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Alexandre\FUNDACE\Erechim\produtos\"/>
    </mc:Choice>
  </mc:AlternateContent>
  <xr:revisionPtr revIDLastSave="0" documentId="8_{27D1B5FB-2725-4A66-BB85-F86501701D70}" xr6:coauthVersionLast="47" xr6:coauthVersionMax="47" xr10:uidLastSave="{00000000-0000-0000-0000-000000000000}"/>
  <bookViews>
    <workbookView xWindow="-108" yWindow="-108" windowWidth="23256" windowHeight="12456" tabRatio="819" firstSheet="41" activeTab="46" xr2:uid="{00000000-000D-0000-FFFF-FFFF00000000}"/>
  </bookViews>
  <sheets>
    <sheet name="RECUPERAÇÃO DE ATIVOS" sheetId="155" state="hidden" r:id="rId1"/>
    <sheet name="Capa" sheetId="142" r:id="rId2"/>
    <sheet name="Diagnóstico - Ativos" sheetId="157" r:id="rId3"/>
    <sheet name="Histograma Corupá" sheetId="159" state="hidden" r:id="rId4"/>
    <sheet name="HISTOGRAMA (2)" sheetId="158" state="hidden" r:id="rId5"/>
    <sheet name="Histograma" sheetId="146" state="hidden" r:id="rId6"/>
    <sheet name="Dados de Entrada" sheetId="83" r:id="rId7"/>
    <sheet name="Projeção de População" sheetId="82" r:id="rId8"/>
    <sheet name="Evolução Atendimento" sheetId="20" r:id="rId9"/>
    <sheet name="Evolução atendimento INDIVIDUAL" sheetId="160" state="hidden" r:id="rId10"/>
    <sheet name="Evolução Volume" sheetId="19" r:id="rId11"/>
    <sheet name="Vazões" sheetId="42" r:id="rId12"/>
    <sheet name="Reservação" sheetId="131" r:id="rId13"/>
    <sheet name="Produção de Água" sheetId="140" r:id="rId14"/>
    <sheet name="Tratamento de Esgoto" sheetId="141" r:id="rId15"/>
    <sheet name="Evolução Economias" sheetId="21" r:id="rId16"/>
    <sheet name="Evolução Ligações" sheetId="61" r:id="rId17"/>
    <sheet name="Evolução de Rede" sheetId="113" r:id="rId18"/>
    <sheet name="ESTRUTURA TARIFÁRIA" sheetId="161" r:id="rId19"/>
    <sheet name="Composição Faturamento 1" sheetId="54" r:id="rId20"/>
    <sheet name="Composição Faturamento 2" sheetId="55" r:id="rId21"/>
    <sheet name="Perfil da Arrecadação" sheetId="56" r:id="rId22"/>
    <sheet name="Cargos e Salários" sheetId="145" r:id="rId23"/>
    <sheet name="Recursos Humanos 1" sheetId="153" r:id="rId24"/>
    <sheet name="Recursos Humanos 2" sheetId="125" r:id="rId25"/>
    <sheet name="Energia Elétrica" sheetId="48" r:id="rId26"/>
    <sheet name="PQ01-ETA" sheetId="99" r:id="rId27"/>
    <sheet name="PQ02-ETA" sheetId="98" r:id="rId28"/>
    <sheet name="PQ03-ETA" sheetId="100" r:id="rId29"/>
    <sheet name="PA04-ETA" sheetId="128" r:id="rId30"/>
    <sheet name="PQ05-ETA" sheetId="107" r:id="rId31"/>
    <sheet name="PQ06-ETA" sheetId="148" r:id="rId32"/>
    <sheet name="PQ07-ETE" sheetId="126" r:id="rId33"/>
    <sheet name="PQ08-ETE" sheetId="101" r:id="rId34"/>
    <sheet name="PQ09-ETE" sheetId="127" r:id="rId35"/>
    <sheet name="PQ10-ETE" sheetId="129" r:id="rId36"/>
    <sheet name="Total PQ" sheetId="105" r:id="rId37"/>
    <sheet name="Disposição de Lodo" sheetId="112" r:id="rId38"/>
    <sheet name="Veículos e Equipamentos" sheetId="154" r:id="rId39"/>
    <sheet name="Composição de Custeio" sheetId="57" r:id="rId40"/>
    <sheet name="Cronograma Físico das Obras" sheetId="118" r:id="rId41"/>
    <sheet name="Preços Unitários" sheetId="156" r:id="rId42"/>
    <sheet name="Investimento" sheetId="58" r:id="rId43"/>
    <sheet name="Depreciação" sheetId="111" r:id="rId44"/>
    <sheet name="Outorga e Regulação" sheetId="64" r:id="rId45"/>
    <sheet name="DRE Sem Financiamento" sheetId="59" r:id="rId46"/>
    <sheet name="Fluxo Sem Financiamento" sheetId="60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C" localSheetId="37">#REF!</definedName>
    <definedName name="\C" localSheetId="17">#REF!</definedName>
    <definedName name="\C" localSheetId="26">#REF!</definedName>
    <definedName name="\C" localSheetId="27">#REF!</definedName>
    <definedName name="\C" localSheetId="30">#REF!</definedName>
    <definedName name="\C" localSheetId="31">#REF!</definedName>
    <definedName name="\C" localSheetId="33">#REF!</definedName>
    <definedName name="\C">#REF!</definedName>
    <definedName name="\e" localSheetId="37">#REF!</definedName>
    <definedName name="\e" localSheetId="17">#REF!</definedName>
    <definedName name="\e" localSheetId="16">#REF!</definedName>
    <definedName name="\e" localSheetId="26">#REF!</definedName>
    <definedName name="\e" localSheetId="27">#REF!</definedName>
    <definedName name="\e" localSheetId="28">#REF!</definedName>
    <definedName name="\e" localSheetId="30">#REF!</definedName>
    <definedName name="\e" localSheetId="31">#REF!</definedName>
    <definedName name="\e" localSheetId="33">#REF!</definedName>
    <definedName name="\e">#REF!</definedName>
    <definedName name="\p" localSheetId="37">#REF!</definedName>
    <definedName name="\p" localSheetId="17">#REF!</definedName>
    <definedName name="\p" localSheetId="16">#REF!</definedName>
    <definedName name="\p" localSheetId="26">#REF!</definedName>
    <definedName name="\p" localSheetId="27">#REF!</definedName>
    <definedName name="\p" localSheetId="28">#REF!</definedName>
    <definedName name="\p" localSheetId="30">#REF!</definedName>
    <definedName name="\p" localSheetId="31">#REF!</definedName>
    <definedName name="\p" localSheetId="33">#REF!</definedName>
    <definedName name="\p">#REF!</definedName>
    <definedName name="\Q" localSheetId="37">#REF!</definedName>
    <definedName name="\Q" localSheetId="17">#REF!</definedName>
    <definedName name="\Q" localSheetId="26">#REF!</definedName>
    <definedName name="\Q" localSheetId="27">#REF!</definedName>
    <definedName name="\Q" localSheetId="30">#REF!</definedName>
    <definedName name="\Q" localSheetId="31">#REF!</definedName>
    <definedName name="\Q" localSheetId="33">#REF!</definedName>
    <definedName name="\Q">#REF!</definedName>
    <definedName name="\S" localSheetId="37">#REF!</definedName>
    <definedName name="\S" localSheetId="17">#REF!</definedName>
    <definedName name="\S" localSheetId="26">#REF!</definedName>
    <definedName name="\S" localSheetId="27">#REF!</definedName>
    <definedName name="\S" localSheetId="30">#REF!</definedName>
    <definedName name="\S" localSheetId="31">#REF!</definedName>
    <definedName name="\S" localSheetId="33">#REF!</definedName>
    <definedName name="\S">#REF!</definedName>
    <definedName name="\X" localSheetId="37">#REF!</definedName>
    <definedName name="\X" localSheetId="17">#REF!</definedName>
    <definedName name="\X" localSheetId="26">#REF!</definedName>
    <definedName name="\X" localSheetId="27">#REF!</definedName>
    <definedName name="\X" localSheetId="30">#REF!</definedName>
    <definedName name="\X" localSheetId="31">#REF!</definedName>
    <definedName name="\X" localSheetId="33">#REF!</definedName>
    <definedName name="\X">#REF!</definedName>
    <definedName name="__">#REF!</definedName>
    <definedName name="____________OUT98" localSheetId="2" hidden="1">{#N/A,#N/A,TRUE,"Serviços"}</definedName>
    <definedName name="____________OUT98" localSheetId="4" hidden="1">{#N/A,#N/A,TRUE,"Serviços"}</definedName>
    <definedName name="____________OUT98" hidden="1">{#N/A,#N/A,TRUE,"Serviços"}</definedName>
    <definedName name="___________OUT98" localSheetId="2" hidden="1">{#N/A,#N/A,TRUE,"Serviços"}</definedName>
    <definedName name="___________OUT98" localSheetId="4" hidden="1">{#N/A,#N/A,TRUE,"Serviços"}</definedName>
    <definedName name="___________OUT98" hidden="1">{#N/A,#N/A,TRUE,"Serviços"}</definedName>
    <definedName name="__________OUT98" localSheetId="2" hidden="1">{#N/A,#N/A,TRUE,"Serviços"}</definedName>
    <definedName name="__________OUT98" localSheetId="4" hidden="1">{#N/A,#N/A,TRUE,"Serviços"}</definedName>
    <definedName name="__________OUT98" hidden="1">{#N/A,#N/A,TRUE,"Serviços"}</definedName>
    <definedName name="_________OUT98" localSheetId="2" hidden="1">{#N/A,#N/A,TRUE,"Serviços"}</definedName>
    <definedName name="_________OUT98" localSheetId="4" hidden="1">{#N/A,#N/A,TRUE,"Serviços"}</definedName>
    <definedName name="_________OUT98" hidden="1">{#N/A,#N/A,TRUE,"Serviços"}</definedName>
    <definedName name="________OUT98" localSheetId="2" hidden="1">{#N/A,#N/A,TRUE,"Serviços"}</definedName>
    <definedName name="________OUT98" localSheetId="4" hidden="1">{#N/A,#N/A,TRUE,"Serviços"}</definedName>
    <definedName name="________OUT98" hidden="1">{#N/A,#N/A,TRUE,"Serviços"}</definedName>
    <definedName name="_____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OUT98" localSheetId="2" hidden="1">{#N/A,#N/A,TRUE,"Serviços"}</definedName>
    <definedName name="_______OUT98" localSheetId="4" hidden="1">{#N/A,#N/A,TRUE,"Serviços"}</definedName>
    <definedName name="_______OUT98" hidden="1">{#N/A,#N/A,TRUE,"Serviços"}</definedName>
    <definedName name="_____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OUT98" localSheetId="2" hidden="1">{#N/A,#N/A,TRUE,"Serviços"}</definedName>
    <definedName name="______OUT98" localSheetId="4" hidden="1">{#N/A,#N/A,TRUE,"Serviços"}</definedName>
    <definedName name="______OUT98" hidden="1">{#N/A,#N/A,TRUE,"Serviços"}</definedName>
    <definedName name="____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OUT98" localSheetId="2" hidden="1">{#N/A,#N/A,TRUE,"Serviços"}</definedName>
    <definedName name="_____OUT98" localSheetId="4" hidden="1">{#N/A,#N/A,TRUE,"Serviços"}</definedName>
    <definedName name="_____OUT98" hidden="1">{#N/A,#N/A,TRUE,"Serviços"}</definedName>
    <definedName name="___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adm1" localSheetId="2" hidden="1">{"'Índice'!$A$1:$K$49"}</definedName>
    <definedName name="____adm1" localSheetId="4" hidden="1">{"'Índice'!$A$1:$K$49"}</definedName>
    <definedName name="____adm1" localSheetId="41" hidden="1">{"'Índice'!$A$1:$K$49"}</definedName>
    <definedName name="____adm1" localSheetId="23" hidden="1">{"'Índice'!$A$1:$K$49"}</definedName>
    <definedName name="____adm1" localSheetId="38" hidden="1">{"'Índice'!$A$1:$K$49"}</definedName>
    <definedName name="____adm1" hidden="1">{"'Índice'!$A$1:$K$49"}</definedName>
    <definedName name="___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OUT98" localSheetId="2" hidden="1">{#N/A,#N/A,TRUE,"Serviços"}</definedName>
    <definedName name="____OUT98" localSheetId="4" hidden="1">{#N/A,#N/A,TRUE,"Serviços"}</definedName>
    <definedName name="____OUT98" hidden="1">{#N/A,#N/A,TRUE,"Serviços"}</definedName>
    <definedName name="____SAN2" localSheetId="2">#N/A</definedName>
    <definedName name="____SAN2" localSheetId="4">#N/A</definedName>
    <definedName name="____SAN2" localSheetId="41">'Preços Unitários'!____SAN2</definedName>
    <definedName name="____SAN2" localSheetId="23">'Recursos Humanos 1'!____SAN2</definedName>
    <definedName name="____SAN2" localSheetId="38">'Veículos e Equipamentos'!____SAN2</definedName>
    <definedName name="____SAN2">'Preços Unitários'!____SAN2</definedName>
    <definedName name="____SAN3" localSheetId="2">#N/A</definedName>
    <definedName name="____SAN3" localSheetId="4">#N/A</definedName>
    <definedName name="____SAN3" localSheetId="41">'Preços Unitários'!____SAN3</definedName>
    <definedName name="____SAN3" localSheetId="23">'Recursos Humanos 1'!____SAN3</definedName>
    <definedName name="____SAN3" localSheetId="38">'Veículos e Equipamentos'!____SAN3</definedName>
    <definedName name="____SAN3">'Preços Unitários'!____SAN3</definedName>
    <definedName name="__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adm1" localSheetId="2" hidden="1">{"'Índice'!$A$1:$K$49"}</definedName>
    <definedName name="___adm1" localSheetId="4" hidden="1">{"'Índice'!$A$1:$K$49"}</definedName>
    <definedName name="___adm1" localSheetId="41" hidden="1">{"'Índice'!$A$1:$K$49"}</definedName>
    <definedName name="___adm1" localSheetId="23" hidden="1">{"'Índice'!$A$1:$K$49"}</definedName>
    <definedName name="___adm1" localSheetId="38" hidden="1">{"'Índice'!$A$1:$K$49"}</definedName>
    <definedName name="___adm1" hidden="1">{"'Índice'!$A$1:$K$49"}</definedName>
    <definedName name="__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us96" localSheetId="37">'[1]Status Page'!#REF!</definedName>
    <definedName name="___aus96" localSheetId="17">'[1]Status Page'!#REF!</definedName>
    <definedName name="___aus96" localSheetId="26">'[1]Status Page'!#REF!</definedName>
    <definedName name="___aus96" localSheetId="27">'[1]Status Page'!#REF!</definedName>
    <definedName name="___aus96" localSheetId="30">'[1]Status Page'!#REF!</definedName>
    <definedName name="___aus96" localSheetId="31">'[1]Status Page'!#REF!</definedName>
    <definedName name="___aus96" localSheetId="33">'[1]Status Page'!#REF!</definedName>
    <definedName name="___aus96">'[1]Status Page'!#REF!</definedName>
    <definedName name="___bef96" localSheetId="37">'[1]Status Page'!#REF!</definedName>
    <definedName name="___bef96" localSheetId="17">'[1]Status Page'!#REF!</definedName>
    <definedName name="___bef96" localSheetId="26">'[1]Status Page'!#REF!</definedName>
    <definedName name="___bef96" localSheetId="27">'[1]Status Page'!#REF!</definedName>
    <definedName name="___bef96" localSheetId="30">'[1]Status Page'!#REF!</definedName>
    <definedName name="___bef96" localSheetId="31">'[1]Status Page'!#REF!</definedName>
    <definedName name="___bef96" localSheetId="33">'[1]Status Page'!#REF!</definedName>
    <definedName name="___bef96">'[1]Status Page'!#REF!</definedName>
    <definedName name="___bef99">'[2]Share Prices'!$C$187</definedName>
    <definedName name="___brp96" localSheetId="37">'[1]Status Page'!#REF!</definedName>
    <definedName name="___brp96" localSheetId="17">'[1]Status Page'!#REF!</definedName>
    <definedName name="___brp96" localSheetId="26">'[1]Status Page'!#REF!</definedName>
    <definedName name="___brp96" localSheetId="27">'[1]Status Page'!#REF!</definedName>
    <definedName name="___brp96" localSheetId="30">'[1]Status Page'!#REF!</definedName>
    <definedName name="___brp96" localSheetId="31">'[1]Status Page'!#REF!</definedName>
    <definedName name="___brp96" localSheetId="33">'[1]Status Page'!#REF!</definedName>
    <definedName name="___brp96">'[1]Status Page'!#REF!</definedName>
    <definedName name="___cad99">[3]Overview!$J$41</definedName>
    <definedName name="___can96" localSheetId="37">'[1]Status Page'!#REF!</definedName>
    <definedName name="___can96" localSheetId="17">'[1]Status Page'!#REF!</definedName>
    <definedName name="___can96" localSheetId="26">'[1]Status Page'!#REF!</definedName>
    <definedName name="___can96" localSheetId="27">'[1]Status Page'!#REF!</definedName>
    <definedName name="___can96" localSheetId="30">'[1]Status Page'!#REF!</definedName>
    <definedName name="___can96" localSheetId="31">'[1]Status Page'!#REF!</definedName>
    <definedName name="___can96" localSheetId="33">'[1]Status Page'!#REF!</definedName>
    <definedName name="___can96">'[1]Status Page'!#REF!</definedName>
    <definedName name="___CMC1" localSheetId="37">[4]Premissas!#REF!</definedName>
    <definedName name="___CMC1" localSheetId="17">[4]Premissas!#REF!</definedName>
    <definedName name="___CMC1" localSheetId="26">[4]Premissas!#REF!</definedName>
    <definedName name="___CMC1" localSheetId="27">[4]Premissas!#REF!</definedName>
    <definedName name="___CMC1" localSheetId="30">[4]Premissas!#REF!</definedName>
    <definedName name="___CMC1" localSheetId="31">[4]Premissas!#REF!</definedName>
    <definedName name="___CMC1" localSheetId="33">[4]Premissas!#REF!</definedName>
    <definedName name="___CMC1">[4]Premissas!#REF!</definedName>
    <definedName name="___CMC2" localSheetId="37">[4]Premissas!#REF!</definedName>
    <definedName name="___CMC2" localSheetId="17">[4]Premissas!#REF!</definedName>
    <definedName name="___CMC2" localSheetId="26">[4]Premissas!#REF!</definedName>
    <definedName name="___CMC2" localSheetId="27">[4]Premissas!#REF!</definedName>
    <definedName name="___CMC2" localSheetId="30">[4]Premissas!#REF!</definedName>
    <definedName name="___CMC2" localSheetId="31">[4]Premissas!#REF!</definedName>
    <definedName name="___CMC2" localSheetId="33">[4]Premissas!#REF!</definedName>
    <definedName name="___CMC2">[4]Premissas!#REF!</definedName>
    <definedName name="___CTD1" localSheetId="37">#REF!</definedName>
    <definedName name="___CTD1" localSheetId="17">#REF!</definedName>
    <definedName name="___CTD1" localSheetId="26">#REF!</definedName>
    <definedName name="___CTD1" localSheetId="27">#REF!</definedName>
    <definedName name="___CTD1" localSheetId="30">#REF!</definedName>
    <definedName name="___CTD1" localSheetId="31">#REF!</definedName>
    <definedName name="___CTD1" localSheetId="33">#REF!</definedName>
    <definedName name="___CTD1">#REF!</definedName>
    <definedName name="___DAT1">[5]Sens!$A$9:$F$15</definedName>
    <definedName name="___DAT2">[5]Sens!$A$19:$F$25</definedName>
    <definedName name="___DAT3">[5]Sens!$A$29:$F$35</definedName>
    <definedName name="___DAT4">[5]Sens!$H$9:$M$15</definedName>
    <definedName name="___DAT5">[5]Sens!$H$19:$M$25</definedName>
    <definedName name="___DAT6">[5]Sens!$H$29:$M$35</definedName>
    <definedName name="___DAT7">[5]Sens!$A$39:$F$45</definedName>
    <definedName name="___DAT8">[5]Sens!$H$39:$M$45</definedName>
    <definedName name="___EPS1" localSheetId="37">#REF!</definedName>
    <definedName name="___EPS1" localSheetId="17">#REF!</definedName>
    <definedName name="___EPS1" localSheetId="26">#REF!</definedName>
    <definedName name="___EPS1" localSheetId="27">#REF!</definedName>
    <definedName name="___EPS1" localSheetId="30">#REF!</definedName>
    <definedName name="___EPS1" localSheetId="31">#REF!</definedName>
    <definedName name="___EPS1" localSheetId="33">#REF!</definedName>
    <definedName name="___EPS1">#REF!</definedName>
    <definedName name="___EPS2" localSheetId="37">#REF!</definedName>
    <definedName name="___EPS2" localSheetId="17">#REF!</definedName>
    <definedName name="___EPS2" localSheetId="26">#REF!</definedName>
    <definedName name="___EPS2" localSheetId="27">#REF!</definedName>
    <definedName name="___EPS2" localSheetId="30">#REF!</definedName>
    <definedName name="___EPS2" localSheetId="31">#REF!</definedName>
    <definedName name="___EPS2" localSheetId="33">#REF!</definedName>
    <definedName name="___EPS2">#REF!</definedName>
    <definedName name="___EPS3" localSheetId="37">#REF!</definedName>
    <definedName name="___EPS3" localSheetId="17">#REF!</definedName>
    <definedName name="___EPS3" localSheetId="26">#REF!</definedName>
    <definedName name="___EPS3" localSheetId="27">#REF!</definedName>
    <definedName name="___EPS3" localSheetId="30">#REF!</definedName>
    <definedName name="___EPS3" localSheetId="31">#REF!</definedName>
    <definedName name="___EPS3" localSheetId="33">#REF!</definedName>
    <definedName name="___EPS3">#REF!</definedName>
    <definedName name="___esp96" localSheetId="37">'[1]Status Page'!#REF!</definedName>
    <definedName name="___esp96" localSheetId="17">'[1]Status Page'!#REF!</definedName>
    <definedName name="___esp96" localSheetId="26">'[1]Status Page'!#REF!</definedName>
    <definedName name="___esp96" localSheetId="27">'[1]Status Page'!#REF!</definedName>
    <definedName name="___esp96" localSheetId="30">'[1]Status Page'!#REF!</definedName>
    <definedName name="___esp96" localSheetId="31">'[1]Status Page'!#REF!</definedName>
    <definedName name="___esp96" localSheetId="33">'[1]Status Page'!#REF!</definedName>
    <definedName name="___esp96">'[1]Status Page'!#REF!</definedName>
    <definedName name="___EST92" localSheetId="37">[6]WACC!#REF!</definedName>
    <definedName name="___EST92" localSheetId="17">[6]WACC!#REF!</definedName>
    <definedName name="___EST92" localSheetId="26">[6]WACC!#REF!</definedName>
    <definedName name="___EST92" localSheetId="27">[6]WACC!#REF!</definedName>
    <definedName name="___EST92" localSheetId="30">[6]WACC!#REF!</definedName>
    <definedName name="___EST92" localSheetId="31">[6]WACC!#REF!</definedName>
    <definedName name="___EST92" localSheetId="33">[6]WACC!#REF!</definedName>
    <definedName name="___EST92">[6]WACC!#REF!</definedName>
    <definedName name="___EST93" localSheetId="37">[6]WACC!#REF!</definedName>
    <definedName name="___EST93" localSheetId="17">[6]WACC!#REF!</definedName>
    <definedName name="___EST93" localSheetId="26">[6]WACC!#REF!</definedName>
    <definedName name="___EST93" localSheetId="27">[6]WACC!#REF!</definedName>
    <definedName name="___EST93" localSheetId="30">[6]WACC!#REF!</definedName>
    <definedName name="___EST93" localSheetId="31">[6]WACC!#REF!</definedName>
    <definedName name="___EST93" localSheetId="33">[6]WACC!#REF!</definedName>
    <definedName name="___EST93">[6]WACC!#REF!</definedName>
    <definedName name="___FYE2" localSheetId="37">#REF!</definedName>
    <definedName name="___FYE2" localSheetId="17">#REF!</definedName>
    <definedName name="___FYE2" localSheetId="26">#REF!</definedName>
    <definedName name="___FYE2" localSheetId="27">#REF!</definedName>
    <definedName name="___FYE2" localSheetId="30">#REF!</definedName>
    <definedName name="___FYE2" localSheetId="31">#REF!</definedName>
    <definedName name="___FYE2" localSheetId="33">#REF!</definedName>
    <definedName name="___FYE2">#REF!</definedName>
    <definedName name="_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Low1" localSheetId="37">#REF!</definedName>
    <definedName name="___Low1" localSheetId="17">#REF!</definedName>
    <definedName name="___Low1" localSheetId="26">#REF!</definedName>
    <definedName name="___Low1" localSheetId="27">#REF!</definedName>
    <definedName name="___Low1" localSheetId="30">#REF!</definedName>
    <definedName name="___Low1" localSheetId="31">#REF!</definedName>
    <definedName name="___Low1" localSheetId="33">#REF!</definedName>
    <definedName name="___Low1">#REF!</definedName>
    <definedName name="___Low2" localSheetId="37">#REF!</definedName>
    <definedName name="___Low2" localSheetId="17">#REF!</definedName>
    <definedName name="___Low2" localSheetId="26">#REF!</definedName>
    <definedName name="___Low2" localSheetId="27">#REF!</definedName>
    <definedName name="___Low2" localSheetId="30">#REF!</definedName>
    <definedName name="___Low2" localSheetId="31">#REF!</definedName>
    <definedName name="___Low2" localSheetId="33">#REF!</definedName>
    <definedName name="___Low2">#REF!</definedName>
    <definedName name="___Low3" localSheetId="37">#REF!</definedName>
    <definedName name="___Low3" localSheetId="17">#REF!</definedName>
    <definedName name="___Low3" localSheetId="26">#REF!</definedName>
    <definedName name="___Low3" localSheetId="27">#REF!</definedName>
    <definedName name="___Low3" localSheetId="30">#REF!</definedName>
    <definedName name="___Low3" localSheetId="31">#REF!</definedName>
    <definedName name="___Low3" localSheetId="33">#REF!</definedName>
    <definedName name="___Low3">#REF!</definedName>
    <definedName name="___Low4" localSheetId="37">#REF!</definedName>
    <definedName name="___Low4" localSheetId="17">#REF!</definedName>
    <definedName name="___Low4" localSheetId="26">#REF!</definedName>
    <definedName name="___Low4" localSheetId="27">#REF!</definedName>
    <definedName name="___Low4" localSheetId="30">#REF!</definedName>
    <definedName name="___Low4" localSheetId="31">#REF!</definedName>
    <definedName name="___Low4" localSheetId="33">#REF!</definedName>
    <definedName name="___Low4">#REF!</definedName>
    <definedName name="___Low5" localSheetId="37">#REF!</definedName>
    <definedName name="___Low5" localSheetId="17">#REF!</definedName>
    <definedName name="___Low5" localSheetId="26">#REF!</definedName>
    <definedName name="___Low5" localSheetId="27">#REF!</definedName>
    <definedName name="___Low5" localSheetId="30">#REF!</definedName>
    <definedName name="___Low5" localSheetId="31">#REF!</definedName>
    <definedName name="___Low5" localSheetId="33">#REF!</definedName>
    <definedName name="___Low5">#REF!</definedName>
    <definedName name="___Low6" localSheetId="37">#REF!</definedName>
    <definedName name="___Low6" localSheetId="17">#REF!</definedName>
    <definedName name="___Low6" localSheetId="26">#REF!</definedName>
    <definedName name="___Low6" localSheetId="27">#REF!</definedName>
    <definedName name="___Low6" localSheetId="30">#REF!</definedName>
    <definedName name="___Low6" localSheetId="31">#REF!</definedName>
    <definedName name="___Low6" localSheetId="33">#REF!</definedName>
    <definedName name="___Low6">#REF!</definedName>
    <definedName name="___Low7" localSheetId="37">#REF!</definedName>
    <definedName name="___Low7" localSheetId="17">#REF!</definedName>
    <definedName name="___Low7" localSheetId="26">#REF!</definedName>
    <definedName name="___Low7" localSheetId="27">#REF!</definedName>
    <definedName name="___Low7" localSheetId="30">#REF!</definedName>
    <definedName name="___Low7" localSheetId="31">#REF!</definedName>
    <definedName name="___Low7" localSheetId="33">#REF!</definedName>
    <definedName name="___Low7">#REF!</definedName>
    <definedName name="___Low8" localSheetId="37">#REF!</definedName>
    <definedName name="___Low8" localSheetId="17">#REF!</definedName>
    <definedName name="___Low8" localSheetId="26">#REF!</definedName>
    <definedName name="___Low8" localSheetId="27">#REF!</definedName>
    <definedName name="___Low8" localSheetId="30">#REF!</definedName>
    <definedName name="___Low8" localSheetId="31">#REF!</definedName>
    <definedName name="___Low8" localSheetId="33">#REF!</definedName>
    <definedName name="___Low8">#REF!</definedName>
    <definedName name="___Low9" localSheetId="37">#REF!</definedName>
    <definedName name="___Low9" localSheetId="17">#REF!</definedName>
    <definedName name="___Low9" localSheetId="26">#REF!</definedName>
    <definedName name="___Low9" localSheetId="27">#REF!</definedName>
    <definedName name="___Low9" localSheetId="30">#REF!</definedName>
    <definedName name="___Low9" localSheetId="31">#REF!</definedName>
    <definedName name="___Low9" localSheetId="33">#REF!</definedName>
    <definedName name="___Low9">#REF!</definedName>
    <definedName name="___MLH1" localSheetId="37">#REF!</definedName>
    <definedName name="___MLH1" localSheetId="17">#REF!</definedName>
    <definedName name="___MLH1" localSheetId="26">#REF!</definedName>
    <definedName name="___MLH1" localSheetId="27">#REF!</definedName>
    <definedName name="___MLH1" localSheetId="30">#REF!</definedName>
    <definedName name="___MLH1" localSheetId="31">#REF!</definedName>
    <definedName name="___MLH1" localSheetId="33">#REF!</definedName>
    <definedName name="___MLH1">#REF!</definedName>
    <definedName name="___MLH2" localSheetId="37">#REF!</definedName>
    <definedName name="___MLH2" localSheetId="17">#REF!</definedName>
    <definedName name="___MLH2" localSheetId="26">#REF!</definedName>
    <definedName name="___MLH2" localSheetId="27">#REF!</definedName>
    <definedName name="___MLH2" localSheetId="30">#REF!</definedName>
    <definedName name="___MLH2" localSheetId="31">#REF!</definedName>
    <definedName name="___MLH2" localSheetId="33">#REF!</definedName>
    <definedName name="___MLH2">#REF!</definedName>
    <definedName name="___MLH3" localSheetId="37">#REF!</definedName>
    <definedName name="___MLH3" localSheetId="17">#REF!</definedName>
    <definedName name="___MLH3" localSheetId="26">#REF!</definedName>
    <definedName name="___MLH3" localSheetId="27">#REF!</definedName>
    <definedName name="___MLH3" localSheetId="30">#REF!</definedName>
    <definedName name="___MLH3" localSheetId="31">#REF!</definedName>
    <definedName name="___MLH3" localSheetId="33">#REF!</definedName>
    <definedName name="___MLH3">#REF!</definedName>
    <definedName name="___OUT98" localSheetId="2" hidden="1">{#N/A,#N/A,TRUE,"Serviços"}</definedName>
    <definedName name="___OUT98" localSheetId="4" hidden="1">{#N/A,#N/A,TRUE,"Serviços"}</definedName>
    <definedName name="___OUT98" hidden="1">{#N/A,#N/A,TRUE,"Serviços"}</definedName>
    <definedName name="___PE1" localSheetId="37">#REF!</definedName>
    <definedName name="___PE1" localSheetId="17">#REF!</definedName>
    <definedName name="___PE1" localSheetId="26">#REF!</definedName>
    <definedName name="___PE1" localSheetId="27">#REF!</definedName>
    <definedName name="___PE1" localSheetId="30">#REF!</definedName>
    <definedName name="___PE1" localSheetId="31">#REF!</definedName>
    <definedName name="___PE1" localSheetId="33">#REF!</definedName>
    <definedName name="___PE1">#REF!</definedName>
    <definedName name="___PE2" localSheetId="37">#REF!</definedName>
    <definedName name="___PE2" localSheetId="17">#REF!</definedName>
    <definedName name="___PE2" localSheetId="26">#REF!</definedName>
    <definedName name="___PE2" localSheetId="27">#REF!</definedName>
    <definedName name="___PE2" localSheetId="30">#REF!</definedName>
    <definedName name="___PE2" localSheetId="31">#REF!</definedName>
    <definedName name="___PE2" localSheetId="33">#REF!</definedName>
    <definedName name="___PE2">#REF!</definedName>
    <definedName name="___PE3" localSheetId="37">#REF!</definedName>
    <definedName name="___PE3" localSheetId="17">#REF!</definedName>
    <definedName name="___PE3" localSheetId="26">#REF!</definedName>
    <definedName name="___PE3" localSheetId="27">#REF!</definedName>
    <definedName name="___PE3" localSheetId="30">#REF!</definedName>
    <definedName name="___PE3" localSheetId="31">#REF!</definedName>
    <definedName name="___PE3" localSheetId="33">#REF!</definedName>
    <definedName name="___PE3">#REF!</definedName>
    <definedName name="___PFY1" localSheetId="37">#REF!</definedName>
    <definedName name="___PFY1" localSheetId="17">#REF!</definedName>
    <definedName name="___PFY1" localSheetId="26">#REF!</definedName>
    <definedName name="___PFY1" localSheetId="27">#REF!</definedName>
    <definedName name="___PFY1" localSheetId="30">#REF!</definedName>
    <definedName name="___PFY1" localSheetId="31">#REF!</definedName>
    <definedName name="___PFY1" localSheetId="33">#REF!</definedName>
    <definedName name="___PFY1">#REF!</definedName>
    <definedName name="___PFY2" localSheetId="37">#REF!</definedName>
    <definedName name="___PFY2" localSheetId="17">#REF!</definedName>
    <definedName name="___PFY2" localSheetId="26">#REF!</definedName>
    <definedName name="___PFY2" localSheetId="27">#REF!</definedName>
    <definedName name="___PFY2" localSheetId="30">#REF!</definedName>
    <definedName name="___PFY2" localSheetId="31">#REF!</definedName>
    <definedName name="___PFY2" localSheetId="33">#REF!</definedName>
    <definedName name="___PFY2">#REF!</definedName>
    <definedName name="___PFY3" localSheetId="37">#REF!</definedName>
    <definedName name="___PFY3" localSheetId="17">#REF!</definedName>
    <definedName name="___PFY3" localSheetId="26">#REF!</definedName>
    <definedName name="___PFY3" localSheetId="27">#REF!</definedName>
    <definedName name="___PFY3" localSheetId="30">#REF!</definedName>
    <definedName name="___PFY3" localSheetId="31">#REF!</definedName>
    <definedName name="___PFY3" localSheetId="33">#REF!</definedName>
    <definedName name="___PFY3">#REF!</definedName>
    <definedName name="___PFY4" localSheetId="37">#REF!</definedName>
    <definedName name="___PFY4" localSheetId="17">#REF!</definedName>
    <definedName name="___PFY4" localSheetId="26">#REF!</definedName>
    <definedName name="___PFY4" localSheetId="27">#REF!</definedName>
    <definedName name="___PFY4" localSheetId="30">#REF!</definedName>
    <definedName name="___PFY4" localSheetId="31">#REF!</definedName>
    <definedName name="___PFY4" localSheetId="33">#REF!</definedName>
    <definedName name="___PFY4">#REF!</definedName>
    <definedName name="___pg1" localSheetId="37">#REF!</definedName>
    <definedName name="___pg1" localSheetId="17">#REF!</definedName>
    <definedName name="___pg1" localSheetId="26">#REF!</definedName>
    <definedName name="___pg1" localSheetId="27">#REF!</definedName>
    <definedName name="___pg1" localSheetId="30">#REF!</definedName>
    <definedName name="___pg1" localSheetId="31">#REF!</definedName>
    <definedName name="___pg1" localSheetId="33">#REF!</definedName>
    <definedName name="___pg1">#REF!</definedName>
    <definedName name="___pg2" localSheetId="37">#REF!</definedName>
    <definedName name="___pg2" localSheetId="17">#REF!</definedName>
    <definedName name="___pg2" localSheetId="26">#REF!</definedName>
    <definedName name="___pg2" localSheetId="27">#REF!</definedName>
    <definedName name="___pg2" localSheetId="30">#REF!</definedName>
    <definedName name="___pg2" localSheetId="31">#REF!</definedName>
    <definedName name="___pg2" localSheetId="33">#REF!</definedName>
    <definedName name="___pg2">#REF!</definedName>
    <definedName name="___pg3" localSheetId="37">#REF!</definedName>
    <definedName name="___pg3" localSheetId="17">#REF!</definedName>
    <definedName name="___pg3" localSheetId="26">#REF!</definedName>
    <definedName name="___pg3" localSheetId="27">#REF!</definedName>
    <definedName name="___pg3" localSheetId="30">#REF!</definedName>
    <definedName name="___pg3" localSheetId="31">#REF!</definedName>
    <definedName name="___pg3" localSheetId="33">#REF!</definedName>
    <definedName name="___pg3">#REF!</definedName>
    <definedName name="___pg4" localSheetId="37">#REF!</definedName>
    <definedName name="___pg4" localSheetId="17">#REF!</definedName>
    <definedName name="___pg4" localSheetId="26">#REF!</definedName>
    <definedName name="___pg4" localSheetId="27">#REF!</definedName>
    <definedName name="___pg4" localSheetId="30">#REF!</definedName>
    <definedName name="___pg4" localSheetId="31">#REF!</definedName>
    <definedName name="___pg4" localSheetId="33">#REF!</definedName>
    <definedName name="___pg4">#REF!</definedName>
    <definedName name="___pg5" localSheetId="37">#REF!</definedName>
    <definedName name="___pg5" localSheetId="17">#REF!</definedName>
    <definedName name="___pg5" localSheetId="26">#REF!</definedName>
    <definedName name="___pg5" localSheetId="27">#REF!</definedName>
    <definedName name="___pg5" localSheetId="30">#REF!</definedName>
    <definedName name="___pg5" localSheetId="31">#REF!</definedName>
    <definedName name="___pg5" localSheetId="33">#REF!</definedName>
    <definedName name="___pg5">#REF!</definedName>
    <definedName name="___SAN2" localSheetId="2">#N/A</definedName>
    <definedName name="___SAN2" localSheetId="4">#N/A</definedName>
    <definedName name="___SAN2" localSheetId="41">'Preços Unitários'!___SAN2</definedName>
    <definedName name="___SAN2" localSheetId="23">'Recursos Humanos 1'!___SAN2</definedName>
    <definedName name="___SAN2" localSheetId="38">'Veículos e Equipamentos'!___SAN2</definedName>
    <definedName name="___SAN2">'Preços Unitários'!___SAN2</definedName>
    <definedName name="___SAN3" localSheetId="2">#N/A</definedName>
    <definedName name="___SAN3" localSheetId="4">#N/A</definedName>
    <definedName name="___SAN3" localSheetId="41">'Preços Unitários'!___SAN3</definedName>
    <definedName name="___SAN3" localSheetId="23">'Recursos Humanos 1'!___SAN3</definedName>
    <definedName name="___SAN3" localSheetId="38">'Veículos e Equipamentos'!___SAN3</definedName>
    <definedName name="___SAN3">'Preços Unitários'!___SAN3</definedName>
    <definedName name="___sum92" localSheetId="37">[6]WACC!#REF!</definedName>
    <definedName name="___sum92" localSheetId="17">[6]WACC!#REF!</definedName>
    <definedName name="___sum92" localSheetId="26">[6]WACC!#REF!</definedName>
    <definedName name="___sum92" localSheetId="27">[6]WACC!#REF!</definedName>
    <definedName name="___sum92" localSheetId="30">[6]WACC!#REF!</definedName>
    <definedName name="___sum92" localSheetId="31">[6]WACC!#REF!</definedName>
    <definedName name="___sum92" localSheetId="33">[6]WACC!#REF!</definedName>
    <definedName name="___sum92">[6]WACC!#REF!</definedName>
    <definedName name="___sum93" localSheetId="37">[6]WACC!#REF!</definedName>
    <definedName name="___sum93" localSheetId="17">[6]WACC!#REF!</definedName>
    <definedName name="___sum93" localSheetId="26">[6]WACC!#REF!</definedName>
    <definedName name="___sum93" localSheetId="27">[6]WACC!#REF!</definedName>
    <definedName name="___sum93" localSheetId="30">[6]WACC!#REF!</definedName>
    <definedName name="___sum93" localSheetId="31">[6]WACC!#REF!</definedName>
    <definedName name="___sum93" localSheetId="33">[6]WACC!#REF!</definedName>
    <definedName name="___sum93">[6]WACC!#REF!</definedName>
    <definedName name="___SYN1" localSheetId="37">#REF!</definedName>
    <definedName name="___SYN1" localSheetId="17">#REF!</definedName>
    <definedName name="___SYN1" localSheetId="26">#REF!</definedName>
    <definedName name="___SYN1" localSheetId="27">#REF!</definedName>
    <definedName name="___SYN1" localSheetId="30">#REF!</definedName>
    <definedName name="___SYN1" localSheetId="31">#REF!</definedName>
    <definedName name="___SYN1" localSheetId="33">#REF!</definedName>
    <definedName name="___SYN1">#REF!</definedName>
    <definedName name="___SYN2" localSheetId="37">#REF!</definedName>
    <definedName name="___SYN2" localSheetId="17">#REF!</definedName>
    <definedName name="___SYN2" localSheetId="26">#REF!</definedName>
    <definedName name="___SYN2" localSheetId="27">#REF!</definedName>
    <definedName name="___SYN2" localSheetId="30">#REF!</definedName>
    <definedName name="___SYN2" localSheetId="31">#REF!</definedName>
    <definedName name="___SYN2" localSheetId="33">#REF!</definedName>
    <definedName name="___SYN2">#REF!</definedName>
    <definedName name="___VAX1" localSheetId="37">#REF!</definedName>
    <definedName name="___VAX1" localSheetId="17">#REF!</definedName>
    <definedName name="___VAX1" localSheetId="26">#REF!</definedName>
    <definedName name="___VAX1" localSheetId="27">#REF!</definedName>
    <definedName name="___VAX1" localSheetId="30">#REF!</definedName>
    <definedName name="___VAX1" localSheetId="31">#REF!</definedName>
    <definedName name="___VAX1" localSheetId="33">#REF!</definedName>
    <definedName name="___VAX1">#REF!</definedName>
    <definedName name="___VAX2" localSheetId="37">#REF!</definedName>
    <definedName name="___VAX2" localSheetId="17">#REF!</definedName>
    <definedName name="___VAX2" localSheetId="26">#REF!</definedName>
    <definedName name="___VAX2" localSheetId="27">#REF!</definedName>
    <definedName name="___VAX2" localSheetId="30">#REF!</definedName>
    <definedName name="___VAX2" localSheetId="31">#REF!</definedName>
    <definedName name="___VAX2" localSheetId="33">#REF!</definedName>
    <definedName name="___VAX2">#REF!</definedName>
    <definedName name="___VRL1" localSheetId="37">#REF!</definedName>
    <definedName name="___VRL1" localSheetId="17">#REF!</definedName>
    <definedName name="___VRL1" localSheetId="26">#REF!</definedName>
    <definedName name="___VRL1" localSheetId="27">#REF!</definedName>
    <definedName name="___VRL1" localSheetId="30">#REF!</definedName>
    <definedName name="___VRL1" localSheetId="31">#REF!</definedName>
    <definedName name="___VRL1" localSheetId="33">#REF!</definedName>
    <definedName name="___VRL1">#REF!</definedName>
    <definedName name="___VRL2" localSheetId="37">#REF!</definedName>
    <definedName name="___VRL2" localSheetId="17">#REF!</definedName>
    <definedName name="___VRL2" localSheetId="26">#REF!</definedName>
    <definedName name="___VRL2" localSheetId="27">#REF!</definedName>
    <definedName name="___VRL2" localSheetId="30">#REF!</definedName>
    <definedName name="___VRL2" localSheetId="31">#REF!</definedName>
    <definedName name="___VRL2" localSheetId="33">#REF!</definedName>
    <definedName name="___VRL2">#REF!</definedName>
    <definedName name="___VRL3" localSheetId="37">#REF!</definedName>
    <definedName name="___VRL3" localSheetId="17">#REF!</definedName>
    <definedName name="___VRL3" localSheetId="26">#REF!</definedName>
    <definedName name="___VRL3" localSheetId="27">#REF!</definedName>
    <definedName name="___VRL3" localSheetId="30">#REF!</definedName>
    <definedName name="___VRL3" localSheetId="31">#REF!</definedName>
    <definedName name="___VRL3" localSheetId="33">#REF!</definedName>
    <definedName name="___VRL3">#REF!</definedName>
    <definedName name="_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r2" localSheetId="37">#REF!</definedName>
    <definedName name="___xr2" localSheetId="17">#REF!</definedName>
    <definedName name="___xr2" localSheetId="26">#REF!</definedName>
    <definedName name="___xr2" localSheetId="27">#REF!</definedName>
    <definedName name="___xr2" localSheetId="30">#REF!</definedName>
    <definedName name="___xr2" localSheetId="31">#REF!</definedName>
    <definedName name="___xr2" localSheetId="33">#REF!</definedName>
    <definedName name="___xr2">#REF!</definedName>
    <definedName name="___YR1" localSheetId="37">#REF!</definedName>
    <definedName name="___YR1" localSheetId="17">#REF!</definedName>
    <definedName name="___YR1" localSheetId="26">#REF!</definedName>
    <definedName name="___YR1" localSheetId="27">#REF!</definedName>
    <definedName name="___YR1" localSheetId="30">#REF!</definedName>
    <definedName name="___YR1" localSheetId="31">#REF!</definedName>
    <definedName name="___YR1" localSheetId="33">#REF!</definedName>
    <definedName name="___YR1">#REF!</definedName>
    <definedName name="__123Graph_A" hidden="1">[7]PRODUCAO!$C$11:$F$11</definedName>
    <definedName name="__123Graph_AANIDRO" hidden="1">[7]PRODUCAO!$C$4:$F$4</definedName>
    <definedName name="__123Graph_AChart1" hidden="1">[8]P!#REF!</definedName>
    <definedName name="__123Graph_ACurrent" hidden="1">[8]P!#REF!</definedName>
    <definedName name="__123Graph_AGRAPH1" hidden="1">[9]A!$O$133:$O$150</definedName>
    <definedName name="__123Graph_AGraph11" hidden="1">[10]aux!$I$26:$M$26</definedName>
    <definedName name="__123Graph_AGraph12" hidden="1">[10]aux!$I$28:$M$28</definedName>
    <definedName name="__123Graph_AGRAPH2" hidden="1">[9]A!$O$69:$O$86</definedName>
    <definedName name="__123Graph_AGRAPH3" hidden="1">[9]A!$J$294:$J$309</definedName>
    <definedName name="__123Graph_AGRAPH4" hidden="1">[9]A!$K$8:$K$38</definedName>
    <definedName name="__123Graph_AGraph5" hidden="1">[10]aux!$I$14:$M$14</definedName>
    <definedName name="__123Graph_AGraph6" hidden="1">[10]aux!$I$16:$M$16</definedName>
    <definedName name="__123Graph_AGraph7" hidden="1">[10]aux!$I$18:$M$18</definedName>
    <definedName name="__123Graph_AGraph8" hidden="1">[10]aux!$I$20:$M$20</definedName>
    <definedName name="__123Graph_AGraph9" hidden="1">[10]aux!$I$22:$M$22</definedName>
    <definedName name="__123Graph_AHIALCOOL" hidden="1">[7]PRODUCAO!$C$8:$F$8</definedName>
    <definedName name="__123Graph_AHIDRATADO" hidden="1">[7]PRODUCAO!$C$6:$F$6</definedName>
    <definedName name="__123Graph_ASACAS" hidden="1">[7]PRODUCAO!$C$11:$F$11</definedName>
    <definedName name="__123Graph_ASIDECO" localSheetId="37" hidden="1">#REF!</definedName>
    <definedName name="__123Graph_ASIDECO" localSheetId="17" hidden="1">#REF!</definedName>
    <definedName name="__123Graph_ASIDECO" localSheetId="26" hidden="1">#REF!</definedName>
    <definedName name="__123Graph_ASIDECO" localSheetId="27" hidden="1">#REF!</definedName>
    <definedName name="__123Graph_ASIDECO" localSheetId="30" hidden="1">#REF!</definedName>
    <definedName name="__123Graph_ASIDECO" localSheetId="31" hidden="1">#REF!</definedName>
    <definedName name="__123Graph_ASIDECO" localSheetId="33" hidden="1">#REF!</definedName>
    <definedName name="__123Graph_ASIDECO" localSheetId="41" hidden="1">#REF!</definedName>
    <definedName name="__123Graph_ASIDECO" hidden="1">#REF!</definedName>
    <definedName name="__123Graph_A需要曲線" hidden="1">#REF!</definedName>
    <definedName name="__123Graph_B" hidden="1">#REF!</definedName>
    <definedName name="__123Graph_BGraph10" hidden="1">[10]aux!$B$24:$F$24</definedName>
    <definedName name="__123Graph_BGraph11" hidden="1">[10]aux!$B$26:$F$26</definedName>
    <definedName name="__123Graph_BGraph12" hidden="1">[10]aux!$B$28:$F$28</definedName>
    <definedName name="__123Graph_BGraph2" hidden="1">[10]aux!$B$8:$F$8</definedName>
    <definedName name="__123Graph_BGraph3" hidden="1">[10]aux!$B$10:$F$10</definedName>
    <definedName name="__123Graph_BGraph4" hidden="1">[10]aux!$B$12:$F$12</definedName>
    <definedName name="__123Graph_BGraph5" hidden="1">[10]aux!$B$14:$F$14</definedName>
    <definedName name="__123Graph_BGraph6" hidden="1">[10]aux!$B$16:$F$16</definedName>
    <definedName name="__123Graph_BGraph7" hidden="1">[10]aux!$B$18:$F$18</definedName>
    <definedName name="__123Graph_BGraph8" hidden="1">[10]aux!$B$20:$F$20</definedName>
    <definedName name="__123Graph_BGraph9" hidden="1">[10]aux!$B$22:$F$22</definedName>
    <definedName name="__123Graph_BSIDECO" localSheetId="37" hidden="1">#REF!</definedName>
    <definedName name="__123Graph_BSIDECO" localSheetId="17" hidden="1">#REF!</definedName>
    <definedName name="__123Graph_BSIDECO" localSheetId="26" hidden="1">#REF!</definedName>
    <definedName name="__123Graph_BSIDECO" localSheetId="27" hidden="1">#REF!</definedName>
    <definedName name="__123Graph_BSIDECO" localSheetId="30" hidden="1">#REF!</definedName>
    <definedName name="__123Graph_BSIDECO" localSheetId="31" hidden="1">#REF!</definedName>
    <definedName name="__123Graph_BSIDECO" localSheetId="33" hidden="1">#REF!</definedName>
    <definedName name="__123Graph_BSIDECO" localSheetId="41" hidden="1">#REF!</definedName>
    <definedName name="__123Graph_BSIDECO" hidden="1">#REF!</definedName>
    <definedName name="__123Graph_C" hidden="1">#REF!</definedName>
    <definedName name="__123Graph_CGRAPH3" hidden="1">[9]A!$K$294:$K$309</definedName>
    <definedName name="__123Graph_CSIDECO" localSheetId="37" hidden="1">#REF!</definedName>
    <definedName name="__123Graph_CSIDECO" localSheetId="17" hidden="1">#REF!</definedName>
    <definedName name="__123Graph_CSIDECO" localSheetId="26" hidden="1">#REF!</definedName>
    <definedName name="__123Graph_CSIDECO" localSheetId="27" hidden="1">#REF!</definedName>
    <definedName name="__123Graph_CSIDECO" localSheetId="30" hidden="1">#REF!</definedName>
    <definedName name="__123Graph_CSIDECO" localSheetId="31" hidden="1">#REF!</definedName>
    <definedName name="__123Graph_CSIDECO" localSheetId="33" hidden="1">#REF!</definedName>
    <definedName name="__123Graph_CSIDECO" localSheetId="41" hidden="1">#REF!</definedName>
    <definedName name="__123Graph_CSIDECO" hidden="1">#REF!</definedName>
    <definedName name="__123Graph_D" hidden="1">'[11]Pag .11 À 13'!#REF!</definedName>
    <definedName name="__123Graph_E" localSheetId="2" hidden="1">#REF!</definedName>
    <definedName name="__123Graph_E" localSheetId="4" hidden="1">#REF!</definedName>
    <definedName name="__123Graph_E" hidden="1">#REF!</definedName>
    <definedName name="__123Graph_F" localSheetId="2" hidden="1">#REF!</definedName>
    <definedName name="__123Graph_F" localSheetId="4" hidden="1">#REF!</definedName>
    <definedName name="__123Graph_F" hidden="1">#REF!</definedName>
    <definedName name="__123Graph_X" hidden="1">[7]PRODUCAO!$C$3:$F$3</definedName>
    <definedName name="__123Graph_XANIDRO" hidden="1">[7]PRODUCAO!$C$3:$F$3</definedName>
    <definedName name="__123Graph_XGRAPH1" hidden="1">[9]A!$Q$133:$Q$150</definedName>
    <definedName name="__123Graph_XGraph10" hidden="1">[10]aux!$B$25:$F$25</definedName>
    <definedName name="__123Graph_XGraph11" hidden="1">[10]aux!$B$27:$F$27</definedName>
    <definedName name="__123Graph_XGraph12" hidden="1">[10]aux!$B$29:$F$29</definedName>
    <definedName name="__123Graph_XGRAPH2" hidden="1">[9]A!$Q$69:$Q$86</definedName>
    <definedName name="__123Graph_XGRAPH3" hidden="1">[9]A!$H$294:$H$309</definedName>
    <definedName name="__123Graph_XGraph4" hidden="1">[10]aux!$B$13:$F$13</definedName>
    <definedName name="__123Graph_XGraph5" hidden="1">[10]aux!$B$15:$F$15</definedName>
    <definedName name="__123Graph_XGraph6" hidden="1">[10]aux!$B$17:$F$17</definedName>
    <definedName name="__123Graph_XGraph7" hidden="1">[10]aux!$B$19:$F$19</definedName>
    <definedName name="__123Graph_XGraph8" hidden="1">[10]aux!$B$21:$F$21</definedName>
    <definedName name="__123Graph_XGraph9" hidden="1">[10]aux!$B$23:$F$23</definedName>
    <definedName name="__123Graph_XHIALCOOL" hidden="1">[7]PRODUCAO!$C$3:$F$3</definedName>
    <definedName name="__123Graph_XHIDRATADO" hidden="1">[7]PRODUCAO!$C$3:$F$3</definedName>
    <definedName name="__123Graph_XSACAS" hidden="1">[7]PRODUCAO!$C$3:$F$3</definedName>
    <definedName name="__123Graph_XSIDECO" localSheetId="37" hidden="1">#REF!</definedName>
    <definedName name="__123Graph_XSIDECO" localSheetId="17" hidden="1">#REF!</definedName>
    <definedName name="__123Graph_XSIDECO" localSheetId="26" hidden="1">#REF!</definedName>
    <definedName name="__123Graph_XSIDECO" localSheetId="27" hidden="1">#REF!</definedName>
    <definedName name="__123Graph_XSIDECO" localSheetId="30" hidden="1">#REF!</definedName>
    <definedName name="__123Graph_XSIDECO" localSheetId="31" hidden="1">#REF!</definedName>
    <definedName name="__123Graph_XSIDECO" localSheetId="33" hidden="1">#REF!</definedName>
    <definedName name="__123Graph_XSIDECO" localSheetId="41" hidden="1">#REF!</definedName>
    <definedName name="__123Graph_XSIDECO" hidden="1">#REF!</definedName>
    <definedName name="__123Graph_X需要曲線" hidden="1">#REF!</definedName>
    <definedName name="__2_0Inp" localSheetId="37">[12]Assumptions!#REF!</definedName>
    <definedName name="__2_0Inp" localSheetId="17">[12]Assumptions!#REF!</definedName>
    <definedName name="__2_0Inp" localSheetId="26">[12]Assumptions!#REF!</definedName>
    <definedName name="__2_0Inp" localSheetId="27">[12]Assumptions!#REF!</definedName>
    <definedName name="__2_0Inp" localSheetId="30">[12]Assumptions!#REF!</definedName>
    <definedName name="__2_0Inp" localSheetId="31">[12]Assumptions!#REF!</definedName>
    <definedName name="__2_0Inp" localSheetId="33">[12]Assumptions!#REF!</definedName>
    <definedName name="__2_0Inp">[12]Assumptions!#REF!</definedName>
    <definedName name="__4_0Exp" localSheetId="37">#REF!</definedName>
    <definedName name="__4_0Exp" localSheetId="17">#REF!</definedName>
    <definedName name="__4_0Exp" localSheetId="26">#REF!</definedName>
    <definedName name="__4_0Exp" localSheetId="27">#REF!</definedName>
    <definedName name="__4_0Exp" localSheetId="30">#REF!</definedName>
    <definedName name="__4_0Exp" localSheetId="31">#REF!</definedName>
    <definedName name="__4_0Exp" localSheetId="33">#REF!</definedName>
    <definedName name="__4_0Exp">#REF!</definedName>
    <definedName name="__adm1" localSheetId="2" hidden="1">{"'Índice'!$A$1:$K$49"}</definedName>
    <definedName name="__adm1" localSheetId="4" hidden="1">{"'Índice'!$A$1:$K$49"}</definedName>
    <definedName name="__adm1" localSheetId="41" hidden="1">{"'Índice'!$A$1:$K$49"}</definedName>
    <definedName name="__adm1" localSheetId="23" hidden="1">{"'Índice'!$A$1:$K$49"}</definedName>
    <definedName name="__adm1" localSheetId="38" hidden="1">{"'Índice'!$A$1:$K$49"}</definedName>
    <definedName name="__adm1" hidden="1">{"'Índice'!$A$1:$K$49"}</definedName>
    <definedName name="_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us96" localSheetId="37">'[1]Status Page'!#REF!</definedName>
    <definedName name="__aus96" localSheetId="17">'[1]Status Page'!#REF!</definedName>
    <definedName name="__aus96" localSheetId="26">'[1]Status Page'!#REF!</definedName>
    <definedName name="__aus96" localSheetId="27">'[1]Status Page'!#REF!</definedName>
    <definedName name="__aus96" localSheetId="30">'[1]Status Page'!#REF!</definedName>
    <definedName name="__aus96" localSheetId="31">'[1]Status Page'!#REF!</definedName>
    <definedName name="__aus96" localSheetId="33">'[1]Status Page'!#REF!</definedName>
    <definedName name="__aus96">'[1]Status Page'!#REF!</definedName>
    <definedName name="__bef96" localSheetId="37">'[1]Status Page'!#REF!</definedName>
    <definedName name="__bef96" localSheetId="17">'[1]Status Page'!#REF!</definedName>
    <definedName name="__bef96" localSheetId="26">'[1]Status Page'!#REF!</definedName>
    <definedName name="__bef96" localSheetId="27">'[1]Status Page'!#REF!</definedName>
    <definedName name="__bef96" localSheetId="30">'[1]Status Page'!#REF!</definedName>
    <definedName name="__bef96" localSheetId="31">'[1]Status Page'!#REF!</definedName>
    <definedName name="__bef96" localSheetId="33">'[1]Status Page'!#REF!</definedName>
    <definedName name="__bef96">'[1]Status Page'!#REF!</definedName>
    <definedName name="__bef99">'[2]Share Prices'!$C$187</definedName>
    <definedName name="__brp96" localSheetId="37">'[1]Status Page'!#REF!</definedName>
    <definedName name="__brp96" localSheetId="17">'[1]Status Page'!#REF!</definedName>
    <definedName name="__brp96" localSheetId="26">'[1]Status Page'!#REF!</definedName>
    <definedName name="__brp96" localSheetId="27">'[1]Status Page'!#REF!</definedName>
    <definedName name="__brp96" localSheetId="30">'[1]Status Page'!#REF!</definedName>
    <definedName name="__brp96" localSheetId="31">'[1]Status Page'!#REF!</definedName>
    <definedName name="__brp96" localSheetId="33">'[1]Status Page'!#REF!</definedName>
    <definedName name="__brp96">'[1]Status Page'!#REF!</definedName>
    <definedName name="__cad99">[3]Overview!$J$41</definedName>
    <definedName name="__can96" localSheetId="37">'[1]Status Page'!#REF!</definedName>
    <definedName name="__can96" localSheetId="17">'[1]Status Page'!#REF!</definedName>
    <definedName name="__can96" localSheetId="26">'[1]Status Page'!#REF!</definedName>
    <definedName name="__can96" localSheetId="27">'[1]Status Page'!#REF!</definedName>
    <definedName name="__can96" localSheetId="30">'[1]Status Page'!#REF!</definedName>
    <definedName name="__can96" localSheetId="31">'[1]Status Page'!#REF!</definedName>
    <definedName name="__can96" localSheetId="33">'[1]Status Page'!#REF!</definedName>
    <definedName name="__can96">'[1]Status Page'!#REF!</definedName>
    <definedName name="__CMC1" localSheetId="37">[13]Premissas!#REF!</definedName>
    <definedName name="__CMC1" localSheetId="17">[13]Premissas!#REF!</definedName>
    <definedName name="__CMC1" localSheetId="26">[13]Premissas!#REF!</definedName>
    <definedName name="__CMC1" localSheetId="27">[13]Premissas!#REF!</definedName>
    <definedName name="__CMC1" localSheetId="30">[13]Premissas!#REF!</definedName>
    <definedName name="__CMC1" localSheetId="31">[13]Premissas!#REF!</definedName>
    <definedName name="__CMC1" localSheetId="33">[13]Premissas!#REF!</definedName>
    <definedName name="__CMC1">[13]Premissas!#REF!</definedName>
    <definedName name="__CMC2" localSheetId="37">[13]Premissas!#REF!</definedName>
    <definedName name="__CMC2" localSheetId="17">[13]Premissas!#REF!</definedName>
    <definedName name="__CMC2" localSheetId="26">[13]Premissas!#REF!</definedName>
    <definedName name="__CMC2" localSheetId="27">[13]Premissas!#REF!</definedName>
    <definedName name="__CMC2" localSheetId="30">[13]Premissas!#REF!</definedName>
    <definedName name="__CMC2" localSheetId="31">[13]Premissas!#REF!</definedName>
    <definedName name="__CMC2" localSheetId="33">[13]Premissas!#REF!</definedName>
    <definedName name="__CMC2">[13]Premissas!#REF!</definedName>
    <definedName name="__CTD1" localSheetId="37">#REF!</definedName>
    <definedName name="__CTD1" localSheetId="17">#REF!</definedName>
    <definedName name="__CTD1" localSheetId="26">#REF!</definedName>
    <definedName name="__CTD1" localSheetId="27">#REF!</definedName>
    <definedName name="__CTD1" localSheetId="30">#REF!</definedName>
    <definedName name="__CTD1" localSheetId="31">#REF!</definedName>
    <definedName name="__CTD1" localSheetId="33">#REF!</definedName>
    <definedName name="__CTD1">#REF!</definedName>
    <definedName name="__DAT1">[5]Sens!$A$9:$F$15</definedName>
    <definedName name="__DAT2">[5]Sens!$A$19:$F$25</definedName>
    <definedName name="__DAT3">[5]Sens!$A$29:$F$35</definedName>
    <definedName name="__DAT4">[5]Sens!$H$9:$M$15</definedName>
    <definedName name="__DAT5">[5]Sens!$H$19:$M$25</definedName>
    <definedName name="__DAT6">[5]Sens!$H$29:$M$35</definedName>
    <definedName name="__DAT7">[5]Sens!$A$39:$F$45</definedName>
    <definedName name="__DAT8">[5]Sens!$H$39:$M$45</definedName>
    <definedName name="__DRE0700" localSheetId="2" hidden="1">{"'PXR_6500'!$A$1:$I$124"}</definedName>
    <definedName name="__DRE0700" localSheetId="4" hidden="1">{"'PXR_6500'!$A$1:$I$124"}</definedName>
    <definedName name="__DRE0700" hidden="1">{"'PXR_6500'!$A$1:$I$124"}</definedName>
    <definedName name="__EPS1" localSheetId="37">#REF!</definedName>
    <definedName name="__EPS1" localSheetId="17">#REF!</definedName>
    <definedName name="__EPS1" localSheetId="26">#REF!</definedName>
    <definedName name="__EPS1" localSheetId="27">#REF!</definedName>
    <definedName name="__EPS1" localSheetId="30">#REF!</definedName>
    <definedName name="__EPS1" localSheetId="31">#REF!</definedName>
    <definedName name="__EPS1" localSheetId="33">#REF!</definedName>
    <definedName name="__EPS1">#REF!</definedName>
    <definedName name="__EPS2" localSheetId="37">#REF!</definedName>
    <definedName name="__EPS2" localSheetId="17">#REF!</definedName>
    <definedName name="__EPS2" localSheetId="26">#REF!</definedName>
    <definedName name="__EPS2" localSheetId="27">#REF!</definedName>
    <definedName name="__EPS2" localSheetId="30">#REF!</definedName>
    <definedName name="__EPS2" localSheetId="31">#REF!</definedName>
    <definedName name="__EPS2" localSheetId="33">#REF!</definedName>
    <definedName name="__EPS2">#REF!</definedName>
    <definedName name="__EPS3" localSheetId="37">#REF!</definedName>
    <definedName name="__EPS3" localSheetId="17">#REF!</definedName>
    <definedName name="__EPS3" localSheetId="26">#REF!</definedName>
    <definedName name="__EPS3" localSheetId="27">#REF!</definedName>
    <definedName name="__EPS3" localSheetId="30">#REF!</definedName>
    <definedName name="__EPS3" localSheetId="31">#REF!</definedName>
    <definedName name="__EPS3" localSheetId="33">#REF!</definedName>
    <definedName name="__EPS3">#REF!</definedName>
    <definedName name="__esp96" localSheetId="37">'[1]Status Page'!#REF!</definedName>
    <definedName name="__esp96" localSheetId="17">'[1]Status Page'!#REF!</definedName>
    <definedName name="__esp96" localSheetId="26">'[1]Status Page'!#REF!</definedName>
    <definedName name="__esp96" localSheetId="27">'[1]Status Page'!#REF!</definedName>
    <definedName name="__esp96" localSheetId="30">'[1]Status Page'!#REF!</definedName>
    <definedName name="__esp96" localSheetId="31">'[1]Status Page'!#REF!</definedName>
    <definedName name="__esp96" localSheetId="33">'[1]Status Page'!#REF!</definedName>
    <definedName name="__esp96">'[1]Status Page'!#REF!</definedName>
    <definedName name="__EST92" localSheetId="37">[6]WACC!#REF!</definedName>
    <definedName name="__EST92" localSheetId="17">[6]WACC!#REF!</definedName>
    <definedName name="__EST92" localSheetId="26">[6]WACC!#REF!</definedName>
    <definedName name="__EST92" localSheetId="27">[6]WACC!#REF!</definedName>
    <definedName name="__EST92" localSheetId="30">[6]WACC!#REF!</definedName>
    <definedName name="__EST92" localSheetId="31">[6]WACC!#REF!</definedName>
    <definedName name="__EST92" localSheetId="33">[6]WACC!#REF!</definedName>
    <definedName name="__EST92">[6]WACC!#REF!</definedName>
    <definedName name="__EST93" localSheetId="37">[6]WACC!#REF!</definedName>
    <definedName name="__EST93" localSheetId="17">[6]WACC!#REF!</definedName>
    <definedName name="__EST93" localSheetId="26">[6]WACC!#REF!</definedName>
    <definedName name="__EST93" localSheetId="27">[6]WACC!#REF!</definedName>
    <definedName name="__EST93" localSheetId="30">[6]WACC!#REF!</definedName>
    <definedName name="__EST93" localSheetId="31">[6]WACC!#REF!</definedName>
    <definedName name="__EST93" localSheetId="33">[6]WACC!#REF!</definedName>
    <definedName name="__EST93">[6]WACC!#REF!</definedName>
    <definedName name="__FDS_HYPERLINK_TOGGLE_STATE__" hidden="1">"ON"</definedName>
    <definedName name="__FYE2" localSheetId="37">#REF!</definedName>
    <definedName name="__FYE2" localSheetId="17">#REF!</definedName>
    <definedName name="__FYE2" localSheetId="26">#REF!</definedName>
    <definedName name="__FYE2" localSheetId="27">#REF!</definedName>
    <definedName name="__FYE2" localSheetId="30">#REF!</definedName>
    <definedName name="__FYE2" localSheetId="31">#REF!</definedName>
    <definedName name="__FYE2" localSheetId="33">#REF!</definedName>
    <definedName name="__FYE2">#REF!</definedName>
    <definedName name="__IntlFixup" hidden="1">TRUE</definedName>
    <definedName name="__IntlFixupTable" hidden="1">#REF!</definedName>
    <definedName name="_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L16518">'[14]2.365_97'!$L$10618</definedName>
    <definedName name="__Low1" localSheetId="37">#REF!</definedName>
    <definedName name="__Low1" localSheetId="17">#REF!</definedName>
    <definedName name="__Low1" localSheetId="26">#REF!</definedName>
    <definedName name="__Low1" localSheetId="27">#REF!</definedName>
    <definedName name="__Low1" localSheetId="30">#REF!</definedName>
    <definedName name="__Low1" localSheetId="31">#REF!</definedName>
    <definedName name="__Low1" localSheetId="33">#REF!</definedName>
    <definedName name="__Low1">#REF!</definedName>
    <definedName name="__Low2" localSheetId="37">#REF!</definedName>
    <definedName name="__Low2" localSheetId="17">#REF!</definedName>
    <definedName name="__Low2" localSheetId="26">#REF!</definedName>
    <definedName name="__Low2" localSheetId="27">#REF!</definedName>
    <definedName name="__Low2" localSheetId="30">#REF!</definedName>
    <definedName name="__Low2" localSheetId="31">#REF!</definedName>
    <definedName name="__Low2" localSheetId="33">#REF!</definedName>
    <definedName name="__Low2">#REF!</definedName>
    <definedName name="__Low3" localSheetId="37">#REF!</definedName>
    <definedName name="__Low3" localSheetId="17">#REF!</definedName>
    <definedName name="__Low3" localSheetId="26">#REF!</definedName>
    <definedName name="__Low3" localSheetId="27">#REF!</definedName>
    <definedName name="__Low3" localSheetId="30">#REF!</definedName>
    <definedName name="__Low3" localSheetId="31">#REF!</definedName>
    <definedName name="__Low3" localSheetId="33">#REF!</definedName>
    <definedName name="__Low3">#REF!</definedName>
    <definedName name="__Low4" localSheetId="37">#REF!</definedName>
    <definedName name="__Low4" localSheetId="17">#REF!</definedName>
    <definedName name="__Low4" localSheetId="26">#REF!</definedName>
    <definedName name="__Low4" localSheetId="27">#REF!</definedName>
    <definedName name="__Low4" localSheetId="30">#REF!</definedName>
    <definedName name="__Low4" localSheetId="31">#REF!</definedName>
    <definedName name="__Low4" localSheetId="33">#REF!</definedName>
    <definedName name="__Low4">#REF!</definedName>
    <definedName name="__Low5" localSheetId="37">#REF!</definedName>
    <definedName name="__Low5" localSheetId="17">#REF!</definedName>
    <definedName name="__Low5" localSheetId="26">#REF!</definedName>
    <definedName name="__Low5" localSheetId="27">#REF!</definedName>
    <definedName name="__Low5" localSheetId="30">#REF!</definedName>
    <definedName name="__Low5" localSheetId="31">#REF!</definedName>
    <definedName name="__Low5" localSheetId="33">#REF!</definedName>
    <definedName name="__Low5">#REF!</definedName>
    <definedName name="__Low6" localSheetId="37">#REF!</definedName>
    <definedName name="__Low6" localSheetId="17">#REF!</definedName>
    <definedName name="__Low6" localSheetId="26">#REF!</definedName>
    <definedName name="__Low6" localSheetId="27">#REF!</definedName>
    <definedName name="__Low6" localSheetId="30">#REF!</definedName>
    <definedName name="__Low6" localSheetId="31">#REF!</definedName>
    <definedName name="__Low6" localSheetId="33">#REF!</definedName>
    <definedName name="__Low6">#REF!</definedName>
    <definedName name="__Low7" localSheetId="37">#REF!</definedName>
    <definedName name="__Low7" localSheetId="17">#REF!</definedName>
    <definedName name="__Low7" localSheetId="26">#REF!</definedName>
    <definedName name="__Low7" localSheetId="27">#REF!</definedName>
    <definedName name="__Low7" localSheetId="30">#REF!</definedName>
    <definedName name="__Low7" localSheetId="31">#REF!</definedName>
    <definedName name="__Low7" localSheetId="33">#REF!</definedName>
    <definedName name="__Low7">#REF!</definedName>
    <definedName name="__Low8" localSheetId="37">#REF!</definedName>
    <definedName name="__Low8" localSheetId="17">#REF!</definedName>
    <definedName name="__Low8" localSheetId="26">#REF!</definedName>
    <definedName name="__Low8" localSheetId="27">#REF!</definedName>
    <definedName name="__Low8" localSheetId="30">#REF!</definedName>
    <definedName name="__Low8" localSheetId="31">#REF!</definedName>
    <definedName name="__Low8" localSheetId="33">#REF!</definedName>
    <definedName name="__Low8">#REF!</definedName>
    <definedName name="__Low9" localSheetId="37">#REF!</definedName>
    <definedName name="__Low9" localSheetId="17">#REF!</definedName>
    <definedName name="__Low9" localSheetId="26">#REF!</definedName>
    <definedName name="__Low9" localSheetId="27">#REF!</definedName>
    <definedName name="__Low9" localSheetId="30">#REF!</definedName>
    <definedName name="__Low9" localSheetId="31">#REF!</definedName>
    <definedName name="__Low9" localSheetId="33">#REF!</definedName>
    <definedName name="__Low9">#REF!</definedName>
    <definedName name="__MLH1" localSheetId="37">#REF!</definedName>
    <definedName name="__MLH1" localSheetId="17">#REF!</definedName>
    <definedName name="__MLH1" localSheetId="26">#REF!</definedName>
    <definedName name="__MLH1" localSheetId="27">#REF!</definedName>
    <definedName name="__MLH1" localSheetId="30">#REF!</definedName>
    <definedName name="__MLH1" localSheetId="31">#REF!</definedName>
    <definedName name="__MLH1" localSheetId="33">#REF!</definedName>
    <definedName name="__MLH1">#REF!</definedName>
    <definedName name="__MLH2" localSheetId="37">#REF!</definedName>
    <definedName name="__MLH2" localSheetId="17">#REF!</definedName>
    <definedName name="__MLH2" localSheetId="26">#REF!</definedName>
    <definedName name="__MLH2" localSheetId="27">#REF!</definedName>
    <definedName name="__MLH2" localSheetId="30">#REF!</definedName>
    <definedName name="__MLH2" localSheetId="31">#REF!</definedName>
    <definedName name="__MLH2" localSheetId="33">#REF!</definedName>
    <definedName name="__MLH2">#REF!</definedName>
    <definedName name="__MLH3" localSheetId="37">#REF!</definedName>
    <definedName name="__MLH3" localSheetId="17">#REF!</definedName>
    <definedName name="__MLH3" localSheetId="26">#REF!</definedName>
    <definedName name="__MLH3" localSheetId="27">#REF!</definedName>
    <definedName name="__MLH3" localSheetId="30">#REF!</definedName>
    <definedName name="__MLH3" localSheetId="31">#REF!</definedName>
    <definedName name="__MLH3" localSheetId="33">#REF!</definedName>
    <definedName name="__MLH3">#REF!</definedName>
    <definedName name="__OUT98" localSheetId="2" hidden="1">{#N/A,#N/A,TRUE,"Serviços"}</definedName>
    <definedName name="__OUT98" localSheetId="4" hidden="1">{#N/A,#N/A,TRUE,"Serviços"}</definedName>
    <definedName name="__OUT98" hidden="1">{#N/A,#N/A,TRUE,"Serviços"}</definedName>
    <definedName name="__PE1" localSheetId="37">#REF!</definedName>
    <definedName name="__PE1" localSheetId="17">#REF!</definedName>
    <definedName name="__PE1" localSheetId="26">#REF!</definedName>
    <definedName name="__PE1" localSheetId="27">#REF!</definedName>
    <definedName name="__PE1" localSheetId="30">#REF!</definedName>
    <definedName name="__PE1" localSheetId="31">#REF!</definedName>
    <definedName name="__PE1" localSheetId="33">#REF!</definedName>
    <definedName name="__PE1">#REF!</definedName>
    <definedName name="__PE2" localSheetId="37">#REF!</definedName>
    <definedName name="__PE2" localSheetId="17">#REF!</definedName>
    <definedName name="__PE2" localSheetId="26">#REF!</definedName>
    <definedName name="__PE2" localSheetId="27">#REF!</definedName>
    <definedName name="__PE2" localSheetId="30">#REF!</definedName>
    <definedName name="__PE2" localSheetId="31">#REF!</definedName>
    <definedName name="__PE2" localSheetId="33">#REF!</definedName>
    <definedName name="__PE2">#REF!</definedName>
    <definedName name="__PE3" localSheetId="37">#REF!</definedName>
    <definedName name="__PE3" localSheetId="17">#REF!</definedName>
    <definedName name="__PE3" localSheetId="26">#REF!</definedName>
    <definedName name="__PE3" localSheetId="27">#REF!</definedName>
    <definedName name="__PE3" localSheetId="30">#REF!</definedName>
    <definedName name="__PE3" localSheetId="31">#REF!</definedName>
    <definedName name="__PE3" localSheetId="33">#REF!</definedName>
    <definedName name="__PE3">#REF!</definedName>
    <definedName name="__PFY1" localSheetId="37">#REF!</definedName>
    <definedName name="__PFY1" localSheetId="17">#REF!</definedName>
    <definedName name="__PFY1" localSheetId="26">#REF!</definedName>
    <definedName name="__PFY1" localSheetId="27">#REF!</definedName>
    <definedName name="__PFY1" localSheetId="30">#REF!</definedName>
    <definedName name="__PFY1" localSheetId="31">#REF!</definedName>
    <definedName name="__PFY1" localSheetId="33">#REF!</definedName>
    <definedName name="__PFY1">#REF!</definedName>
    <definedName name="__PFY2" localSheetId="37">#REF!</definedName>
    <definedName name="__PFY2" localSheetId="17">#REF!</definedName>
    <definedName name="__PFY2" localSheetId="26">#REF!</definedName>
    <definedName name="__PFY2" localSheetId="27">#REF!</definedName>
    <definedName name="__PFY2" localSheetId="30">#REF!</definedName>
    <definedName name="__PFY2" localSheetId="31">#REF!</definedName>
    <definedName name="__PFY2" localSheetId="33">#REF!</definedName>
    <definedName name="__PFY2">#REF!</definedName>
    <definedName name="__PFY3" localSheetId="37">#REF!</definedName>
    <definedName name="__PFY3" localSheetId="17">#REF!</definedName>
    <definedName name="__PFY3" localSheetId="26">#REF!</definedName>
    <definedName name="__PFY3" localSheetId="27">#REF!</definedName>
    <definedName name="__PFY3" localSheetId="30">#REF!</definedName>
    <definedName name="__PFY3" localSheetId="31">#REF!</definedName>
    <definedName name="__PFY3" localSheetId="33">#REF!</definedName>
    <definedName name="__PFY3">#REF!</definedName>
    <definedName name="__PFY4" localSheetId="37">#REF!</definedName>
    <definedName name="__PFY4" localSheetId="17">#REF!</definedName>
    <definedName name="__PFY4" localSheetId="26">#REF!</definedName>
    <definedName name="__PFY4" localSheetId="27">#REF!</definedName>
    <definedName name="__PFY4" localSheetId="30">#REF!</definedName>
    <definedName name="__PFY4" localSheetId="31">#REF!</definedName>
    <definedName name="__PFY4" localSheetId="33">#REF!</definedName>
    <definedName name="__PFY4">#REF!</definedName>
    <definedName name="__pg1" localSheetId="37">#REF!</definedName>
    <definedName name="__pg1" localSheetId="17">#REF!</definedName>
    <definedName name="__pg1" localSheetId="26">#REF!</definedName>
    <definedName name="__pg1" localSheetId="27">#REF!</definedName>
    <definedName name="__pg1" localSheetId="30">#REF!</definedName>
    <definedName name="__pg1" localSheetId="31">#REF!</definedName>
    <definedName name="__pg1" localSheetId="33">#REF!</definedName>
    <definedName name="__pg1">#REF!</definedName>
    <definedName name="__pg2" localSheetId="37">#REF!</definedName>
    <definedName name="__pg2" localSheetId="17">#REF!</definedName>
    <definedName name="__pg2" localSheetId="26">#REF!</definedName>
    <definedName name="__pg2" localSheetId="27">#REF!</definedName>
    <definedName name="__pg2" localSheetId="30">#REF!</definedName>
    <definedName name="__pg2" localSheetId="31">#REF!</definedName>
    <definedName name="__pg2" localSheetId="33">#REF!</definedName>
    <definedName name="__pg2">#REF!</definedName>
    <definedName name="__pg3" localSheetId="37">#REF!</definedName>
    <definedName name="__pg3" localSheetId="17">#REF!</definedName>
    <definedName name="__pg3" localSheetId="26">#REF!</definedName>
    <definedName name="__pg3" localSheetId="27">#REF!</definedName>
    <definedName name="__pg3" localSheetId="30">#REF!</definedName>
    <definedName name="__pg3" localSheetId="31">#REF!</definedName>
    <definedName name="__pg3" localSheetId="33">#REF!</definedName>
    <definedName name="__pg3">#REF!</definedName>
    <definedName name="__pg4" localSheetId="37">#REF!</definedName>
    <definedName name="__pg4" localSheetId="17">#REF!</definedName>
    <definedName name="__pg4" localSheetId="26">#REF!</definedName>
    <definedName name="__pg4" localSheetId="27">#REF!</definedName>
    <definedName name="__pg4" localSheetId="30">#REF!</definedName>
    <definedName name="__pg4" localSheetId="31">#REF!</definedName>
    <definedName name="__pg4" localSheetId="33">#REF!</definedName>
    <definedName name="__pg4">#REF!</definedName>
    <definedName name="__pg5" localSheetId="37">#REF!</definedName>
    <definedName name="__pg5" localSheetId="17">#REF!</definedName>
    <definedName name="__pg5" localSheetId="26">#REF!</definedName>
    <definedName name="__pg5" localSheetId="27">#REF!</definedName>
    <definedName name="__pg5" localSheetId="30">#REF!</definedName>
    <definedName name="__pg5" localSheetId="31">#REF!</definedName>
    <definedName name="__pg5" localSheetId="33">#REF!</definedName>
    <definedName name="__pg5">#REF!</definedName>
    <definedName name="__SAN2" localSheetId="2">#N/A</definedName>
    <definedName name="__SAN2" localSheetId="4">#N/A</definedName>
    <definedName name="__SAN2" localSheetId="41">'Preços Unitários'!__SAN2</definedName>
    <definedName name="__SAN2" localSheetId="23">'Recursos Humanos 1'!__SAN2</definedName>
    <definedName name="__SAN2" localSheetId="38">'Veículos e Equipamentos'!__SAN2</definedName>
    <definedName name="__SAN2">'Preços Unitários'!__SAN2</definedName>
    <definedName name="__SAN3" localSheetId="2">#N/A</definedName>
    <definedName name="__SAN3" localSheetId="4">#N/A</definedName>
    <definedName name="__SAN3" localSheetId="41">'Preços Unitários'!__SAN3</definedName>
    <definedName name="__SAN3" localSheetId="23">'Recursos Humanos 1'!__SAN3</definedName>
    <definedName name="__SAN3" localSheetId="38">'Veículos e Equipamentos'!__SAN3</definedName>
    <definedName name="__SAN3">'Preços Unitários'!__SAN3</definedName>
    <definedName name="__sum92" localSheetId="37">[6]WACC!#REF!</definedName>
    <definedName name="__sum92" localSheetId="17">[6]WACC!#REF!</definedName>
    <definedName name="__sum92" localSheetId="26">[6]WACC!#REF!</definedName>
    <definedName name="__sum92" localSheetId="27">[6]WACC!#REF!</definedName>
    <definedName name="__sum92" localSheetId="30">[6]WACC!#REF!</definedName>
    <definedName name="__sum92" localSheetId="31">[6]WACC!#REF!</definedName>
    <definedName name="__sum92" localSheetId="33">[6]WACC!#REF!</definedName>
    <definedName name="__sum92">[6]WACC!#REF!</definedName>
    <definedName name="__sum93" localSheetId="37">[6]WACC!#REF!</definedName>
    <definedName name="__sum93" localSheetId="17">[6]WACC!#REF!</definedName>
    <definedName name="__sum93" localSheetId="26">[6]WACC!#REF!</definedName>
    <definedName name="__sum93" localSheetId="27">[6]WACC!#REF!</definedName>
    <definedName name="__sum93" localSheetId="30">[6]WACC!#REF!</definedName>
    <definedName name="__sum93" localSheetId="31">[6]WACC!#REF!</definedName>
    <definedName name="__sum93" localSheetId="33">[6]WACC!#REF!</definedName>
    <definedName name="__sum93">[6]WACC!#REF!</definedName>
    <definedName name="__SYN1" localSheetId="37">#REF!</definedName>
    <definedName name="__SYN1" localSheetId="17">#REF!</definedName>
    <definedName name="__SYN1" localSheetId="26">#REF!</definedName>
    <definedName name="__SYN1" localSheetId="27">#REF!</definedName>
    <definedName name="__SYN1" localSheetId="30">#REF!</definedName>
    <definedName name="__SYN1" localSheetId="31">#REF!</definedName>
    <definedName name="__SYN1" localSheetId="33">#REF!</definedName>
    <definedName name="__SYN1">#REF!</definedName>
    <definedName name="__SYN2" localSheetId="37">#REF!</definedName>
    <definedName name="__SYN2" localSheetId="17">#REF!</definedName>
    <definedName name="__SYN2" localSheetId="26">#REF!</definedName>
    <definedName name="__SYN2" localSheetId="27">#REF!</definedName>
    <definedName name="__SYN2" localSheetId="30">#REF!</definedName>
    <definedName name="__SYN2" localSheetId="31">#REF!</definedName>
    <definedName name="__SYN2" localSheetId="33">#REF!</definedName>
    <definedName name="__SYN2">#REF!</definedName>
    <definedName name="__VAX1" localSheetId="37">#REF!</definedName>
    <definedName name="__VAX1" localSheetId="17">#REF!</definedName>
    <definedName name="__VAX1" localSheetId="26">#REF!</definedName>
    <definedName name="__VAX1" localSheetId="27">#REF!</definedName>
    <definedName name="__VAX1" localSheetId="30">#REF!</definedName>
    <definedName name="__VAX1" localSheetId="31">#REF!</definedName>
    <definedName name="__VAX1" localSheetId="33">#REF!</definedName>
    <definedName name="__VAX1">#REF!</definedName>
    <definedName name="__VAX2" localSheetId="37">#REF!</definedName>
    <definedName name="__VAX2" localSheetId="17">#REF!</definedName>
    <definedName name="__VAX2" localSheetId="26">#REF!</definedName>
    <definedName name="__VAX2" localSheetId="27">#REF!</definedName>
    <definedName name="__VAX2" localSheetId="30">#REF!</definedName>
    <definedName name="__VAX2" localSheetId="31">#REF!</definedName>
    <definedName name="__VAX2" localSheetId="33">#REF!</definedName>
    <definedName name="__VAX2">#REF!</definedName>
    <definedName name="__VRL1" localSheetId="37">#REF!</definedName>
    <definedName name="__VRL1" localSheetId="17">#REF!</definedName>
    <definedName name="__VRL1" localSheetId="26">#REF!</definedName>
    <definedName name="__VRL1" localSheetId="27">#REF!</definedName>
    <definedName name="__VRL1" localSheetId="30">#REF!</definedName>
    <definedName name="__VRL1" localSheetId="31">#REF!</definedName>
    <definedName name="__VRL1" localSheetId="33">#REF!</definedName>
    <definedName name="__VRL1">#REF!</definedName>
    <definedName name="__VRL2" localSheetId="37">#REF!</definedName>
    <definedName name="__VRL2" localSheetId="17">#REF!</definedName>
    <definedName name="__VRL2" localSheetId="26">#REF!</definedName>
    <definedName name="__VRL2" localSheetId="27">#REF!</definedName>
    <definedName name="__VRL2" localSheetId="30">#REF!</definedName>
    <definedName name="__VRL2" localSheetId="31">#REF!</definedName>
    <definedName name="__VRL2" localSheetId="33">#REF!</definedName>
    <definedName name="__VRL2">#REF!</definedName>
    <definedName name="__VRL3" localSheetId="37">#REF!</definedName>
    <definedName name="__VRL3" localSheetId="17">#REF!</definedName>
    <definedName name="__VRL3" localSheetId="26">#REF!</definedName>
    <definedName name="__VRL3" localSheetId="27">#REF!</definedName>
    <definedName name="__VRL3" localSheetId="30">#REF!</definedName>
    <definedName name="__VRL3" localSheetId="31">#REF!</definedName>
    <definedName name="__VRL3" localSheetId="33">#REF!</definedName>
    <definedName name="__VRL3">#REF!</definedName>
    <definedName name="_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r2" localSheetId="37">#REF!</definedName>
    <definedName name="__xr2" localSheetId="17">#REF!</definedName>
    <definedName name="__xr2" localSheetId="26">#REF!</definedName>
    <definedName name="__xr2" localSheetId="27">#REF!</definedName>
    <definedName name="__xr2" localSheetId="30">#REF!</definedName>
    <definedName name="__xr2" localSheetId="31">#REF!</definedName>
    <definedName name="__xr2" localSheetId="33">#REF!</definedName>
    <definedName name="__xr2">#REF!</definedName>
    <definedName name="__YR1" localSheetId="37">#REF!</definedName>
    <definedName name="__YR1" localSheetId="17">#REF!</definedName>
    <definedName name="__YR1" localSheetId="26">#REF!</definedName>
    <definedName name="__YR1" localSheetId="27">#REF!</definedName>
    <definedName name="__YR1" localSheetId="30">#REF!</definedName>
    <definedName name="__YR1" localSheetId="31">#REF!</definedName>
    <definedName name="__YR1" localSheetId="33">#REF!</definedName>
    <definedName name="__YR1">#REF!</definedName>
    <definedName name="_1___0Inp" localSheetId="37">[12]Assumptions!#REF!</definedName>
    <definedName name="_1___0Inp" localSheetId="17">[12]Assumptions!#REF!</definedName>
    <definedName name="_1___0Inp" localSheetId="26">[12]Assumptions!#REF!</definedName>
    <definedName name="_1___0Inp" localSheetId="27">[12]Assumptions!#REF!</definedName>
    <definedName name="_1___0Inp" localSheetId="30">[12]Assumptions!#REF!</definedName>
    <definedName name="_1___0Inp" localSheetId="31">[12]Assumptions!#REF!</definedName>
    <definedName name="_1___0Inp" localSheetId="33">[12]Assumptions!#REF!</definedName>
    <definedName name="_1___0Inp">[12]Assumptions!#REF!</definedName>
    <definedName name="_1__123Graph_ACHART_1" hidden="1">[15]DADOS!$K$13:$K$26</definedName>
    <definedName name="_1__123Graph_BGrßfico_10C" localSheetId="2" hidden="1">#REF!</definedName>
    <definedName name="_1__123Graph_BGrßfico_10C" localSheetId="4" hidden="1">#REF!</definedName>
    <definedName name="_1__123Graph_BGrßfico_10C" hidden="1">#REF!</definedName>
    <definedName name="_1_0Inp" localSheetId="37">[12]Assumptions!#REF!</definedName>
    <definedName name="_1_0Inp" localSheetId="17">[12]Assumptions!#REF!</definedName>
    <definedName name="_1_0Inp" localSheetId="26">[12]Assumptions!#REF!</definedName>
    <definedName name="_1_0Inp" localSheetId="27">[12]Assumptions!#REF!</definedName>
    <definedName name="_1_0Inp" localSheetId="30">[12]Assumptions!#REF!</definedName>
    <definedName name="_1_0Inp" localSheetId="31">[12]Assumptions!#REF!</definedName>
    <definedName name="_1_0Inp" localSheetId="33">[12]Assumptions!#REF!</definedName>
    <definedName name="_1_0Inp">[12]Assumptions!#REF!</definedName>
    <definedName name="_10__123Graph_ACHART_18" hidden="1">'[15]Produt JUL'!$B$12:$B$13</definedName>
    <definedName name="_10__123Graph_AR_M_MARG" hidden="1">[8]P!#REF!</definedName>
    <definedName name="_100__123Graph_FCHART_17" hidden="1">'[15]Produt JUN'!$D$12:$D$44</definedName>
    <definedName name="_101__123Graph_FCHART_18" hidden="1">'[15]Produt JUL'!$D$12:$D$44</definedName>
    <definedName name="_102__123Graph_FCHART_19" hidden="1">'[15]Produt AGO'!$D$12:$D$44</definedName>
    <definedName name="_103__123Graph_FCHART_20" hidden="1">'[15]Produt SET'!$D$12:$D$44</definedName>
    <definedName name="_104__123Graph_FCHART_21" hidden="1">'[15]Produt OUT'!$D$12:$D$44</definedName>
    <definedName name="_105__123Graph_FCHART_22" hidden="1">'[15]Produt NOV'!$D$12:$D$44</definedName>
    <definedName name="_106__123Graph_FCHART_23" hidden="1">'[15]Produt DEZ'!$D$12:$D$44</definedName>
    <definedName name="_107__123Graph_FCHART_9" hidden="1">[15]DADOS!$E$13:$E$26</definedName>
    <definedName name="_108__123Graph_LBL_ACHART_2" hidden="1">[16]PARETOS!$M$4:$M$10</definedName>
    <definedName name="_109__123Graph_LBL_ACHART_3" hidden="1">[16]PARETOS!$N$29:$N$36</definedName>
    <definedName name="_11__123Graph_ACHART_19" hidden="1">'[15]Produt AGO'!$B$12:$B$13</definedName>
    <definedName name="_11__123Graph_BIRR_IRR" localSheetId="2" hidden="1">#REF!</definedName>
    <definedName name="_11__123Graph_BIRR_IRR" localSheetId="4" hidden="1">#REF!</definedName>
    <definedName name="_11__123Graph_BIRR_IRR" hidden="1">#REF!</definedName>
    <definedName name="_110__123Graph_LBL_ACHART_7" hidden="1">'[16]PROP ELAB GANH'!$P$47:$P$55</definedName>
    <definedName name="_111__123Graph_LBL_ACHART_8" hidden="1">'[16]PROP ELAB GANH'!$P$70:$P$78</definedName>
    <definedName name="_112__123Graph_LBL_ACHART_9" hidden="1">[15]DADOS!$T$13:$T$14</definedName>
    <definedName name="_113__123Graph_LBL_BCHART_10" hidden="1">'[15]Produt JAN'!$AJ$12:$AJ$44</definedName>
    <definedName name="_114__123Graph_LBL_BCHART_13" hidden="1">'[15]Produt FEV'!$AJ$12:$AJ$44</definedName>
    <definedName name="_115__123Graph_LBL_BCHART_14" hidden="1">'[15]Produt MAR'!$AJ$12:$AJ$44</definedName>
    <definedName name="_116__123Graph_LBL_BCHART_15" hidden="1">'[15]Produt ABR'!$AJ$12:$AJ$44</definedName>
    <definedName name="_117__123Graph_LBL_BCHART_16" hidden="1">'[15]Produt MAI'!$AJ$12:$AJ$44</definedName>
    <definedName name="_118__123Graph_LBL_BCHART_17" hidden="1">'[15]Produt JUN'!$AJ$12:$AJ$44</definedName>
    <definedName name="_119__123Graph_LBL_BCHART_18" hidden="1">'[15]Produt JUL'!$AJ$12:$AJ$44</definedName>
    <definedName name="_12__123Graph_ACHART_2" hidden="1">[15]DADOS!$J$28:$L$28</definedName>
    <definedName name="_12__123Graph_BMOF_NB" localSheetId="2" hidden="1">#REF!</definedName>
    <definedName name="_12__123Graph_BMOF_NB" localSheetId="4" hidden="1">#REF!</definedName>
    <definedName name="_12__123Graph_BMOF_NB" hidden="1">#REF!</definedName>
    <definedName name="_120__123Graph_LBL_BCHART_19" hidden="1">'[15]Produt AGO'!$AJ$12:$AJ$44</definedName>
    <definedName name="_121__123Graph_LBL_BCHART_2" hidden="1">[16]PARETOS!$N$4:$N$10</definedName>
    <definedName name="_122__123Graph_LBL_BCHART_20" hidden="1">'[15]Produt SET'!$AJ$12:$AJ$44</definedName>
    <definedName name="_123__123Graph_LBL_BCHART_21" hidden="1">'[15]Produt OUT'!$AJ$12:$AJ$44</definedName>
    <definedName name="_123G_E" localSheetId="2" hidden="1">#REF!</definedName>
    <definedName name="_123G_E" localSheetId="4" hidden="1">#REF!</definedName>
    <definedName name="_123G_E" hidden="1">#REF!</definedName>
    <definedName name="_123Graph_CSIDECOO" localSheetId="2" hidden="1">#REF!</definedName>
    <definedName name="_123Graph_CSIDECOO" localSheetId="4" hidden="1">#REF!</definedName>
    <definedName name="_123Graph_CSIDECOO" hidden="1">#REF!</definedName>
    <definedName name="_124__123Graph_LBL_BCHART_22" hidden="1">'[15]Produt NOV'!$AJ$12:$AJ$44</definedName>
    <definedName name="_125__123Graph_LBL_BCHART_23" hidden="1">'[15]Produt DEZ'!$AJ$12:$AJ$44</definedName>
    <definedName name="_126__123Graph_LBL_BCHART_3" hidden="1">[16]PARETOS!$O$28:$O$35</definedName>
    <definedName name="_127__123Graph_LBL_DCHART_10" hidden="1">'[15]Produt JAN'!$AK$12:$AK$44</definedName>
    <definedName name="_128__123Graph_LBL_DCHART_13" hidden="1">'[15]Produt FEV'!$AK$12:$AK$44</definedName>
    <definedName name="_129__123Graph_LBL_DCHART_14" hidden="1">'[15]Produt MAR'!$AK$12:$AK$44</definedName>
    <definedName name="_13__123Graph_ACHART_20" hidden="1">'[15]Produt SET'!$B$12:$B$13</definedName>
    <definedName name="_13__123Graph_XIRR_IRR" localSheetId="2" hidden="1">#REF!</definedName>
    <definedName name="_13__123Graph_XIRR_IRR" localSheetId="4" hidden="1">#REF!</definedName>
    <definedName name="_13__123Graph_XIRR_IRR" hidden="1">#REF!</definedName>
    <definedName name="_130__123Graph_LBL_DCHART_15" hidden="1">'[15]Produt ABR'!$AK$12:$AK$44</definedName>
    <definedName name="_131__123Graph_LBL_DCHART_16" hidden="1">'[15]Produt MAI'!$AK$12:$AK$44</definedName>
    <definedName name="_132__123Graph_LBL_DCHART_17" hidden="1">'[15]Produt JUN'!$AK$12:$AK$44</definedName>
    <definedName name="_133__123Graph_LBL_DCHART_18" hidden="1">'[15]Produt JUL'!$AK$12:$AK$44</definedName>
    <definedName name="_134__123Graph_LBL_DCHART_19" hidden="1">'[15]Produt AGO'!$AK$12:$AK$44</definedName>
    <definedName name="_135__123Graph_LBL_DCHART_20" hidden="1">'[15]Produt SET'!$AK$12:$AK$44</definedName>
    <definedName name="_136__123Graph_LBL_DCHART_21" hidden="1">'[15]Produt OUT'!$AK$12:$AK$44</definedName>
    <definedName name="_137__123Graph_LBL_DCHART_22" hidden="1">'[15]Produt NOV'!$AK$12:$AK$44</definedName>
    <definedName name="_138__123Graph_LBL_DCHART_23" hidden="1">'[15]Produt DEZ'!$AK$12:$AK$44</definedName>
    <definedName name="_139__123Graph_XCHART_1" hidden="1">[15]DADOS!$A$13:$A$26</definedName>
    <definedName name="_14__123Graph_ACHART_21" hidden="1">'[15]Produt OUT'!$B$12:$B$13</definedName>
    <definedName name="_14__123Graph_XMOF_NB" localSheetId="2" hidden="1">#REF!</definedName>
    <definedName name="_14__123Graph_XMOF_NB" localSheetId="4" hidden="1">#REF!</definedName>
    <definedName name="_14__123Graph_XMOF_NB" hidden="1">#REF!</definedName>
    <definedName name="_140__123Graph_XCHART_3" hidden="1">[16]PARETOS!$M$29:$M$36</definedName>
    <definedName name="_141__123Graph_XCHART_6" hidden="1">[15]DADOS!$A$15:$A$26</definedName>
    <definedName name="_142__123Graph_XCHART_8" hidden="1">'[16]PROP ELAB GANH'!$L$70:$L$78</definedName>
    <definedName name="_143__123Graph_XCHART_9" hidden="1">[15]DADOS!$A$13:$A$26</definedName>
    <definedName name="_15__123Graph_ACHART_22" hidden="1">'[15]Produt NOV'!$B$12:$B$13</definedName>
    <definedName name="_16__123Graph_ACHART_23" hidden="1">'[15]Produt DEZ'!$B$12:$B$13</definedName>
    <definedName name="_17__123Graph_ACHART_25" hidden="1">'[15]Produt FEV'!$J$48:$L$48</definedName>
    <definedName name="_18__123Graph_ACHART_27" hidden="1">'[15]Produt MAR'!$J$48:$L$48</definedName>
    <definedName name="_19__123Graph_ACHART_29" hidden="1">'[15]Produt ABR'!$J$48:$L$48</definedName>
    <definedName name="_1900_Minority_Interest" localSheetId="37">[17]summary!#REF!</definedName>
    <definedName name="_1900_Minority_Interest" localSheetId="17">[17]summary!#REF!</definedName>
    <definedName name="_1900_Minority_Interest" localSheetId="26">[17]summary!#REF!</definedName>
    <definedName name="_1900_Minority_Interest" localSheetId="27">[17]summary!#REF!</definedName>
    <definedName name="_1900_Minority_Interest" localSheetId="30">[17]summary!#REF!</definedName>
    <definedName name="_1900_Minority_Interest" localSheetId="31">[17]summary!#REF!</definedName>
    <definedName name="_1900_Minority_Interest" localSheetId="33">[17]summary!#REF!</definedName>
    <definedName name="_1900_Minority_Interest">[17]summary!#REF!</definedName>
    <definedName name="_1995_Asset_Sales" localSheetId="37">[17]summary!#REF!</definedName>
    <definedName name="_1995_Asset_Sales" localSheetId="17">[17]summary!#REF!</definedName>
    <definedName name="_1995_Asset_Sales" localSheetId="26">[17]summary!#REF!</definedName>
    <definedName name="_1995_Asset_Sales" localSheetId="27">[17]summary!#REF!</definedName>
    <definedName name="_1995_Asset_Sales" localSheetId="30">[17]summary!#REF!</definedName>
    <definedName name="_1995_Asset_Sales" localSheetId="31">[17]summary!#REF!</definedName>
    <definedName name="_1995_Asset_Sales" localSheetId="33">[17]summary!#REF!</definedName>
    <definedName name="_1995_Asset_Sales">[17]summary!#REF!</definedName>
    <definedName name="_1995_Capex" localSheetId="37">[17]summary!#REF!</definedName>
    <definedName name="_1995_Capex" localSheetId="17">[17]summary!#REF!</definedName>
    <definedName name="_1995_Capex" localSheetId="26">[17]summary!#REF!</definedName>
    <definedName name="_1995_Capex" localSheetId="27">[17]summary!#REF!</definedName>
    <definedName name="_1995_Capex" localSheetId="30">[17]summary!#REF!</definedName>
    <definedName name="_1995_Capex" localSheetId="31">[17]summary!#REF!</definedName>
    <definedName name="_1995_Capex" localSheetId="33">[17]summary!#REF!</definedName>
    <definedName name="_1995_Capex">[17]summary!#REF!</definedName>
    <definedName name="_1995_Capitalized_Interest" localSheetId="37">[17]summary!#REF!</definedName>
    <definedName name="_1995_Capitalized_Interest" localSheetId="17">[17]summary!#REF!</definedName>
    <definedName name="_1995_Capitalized_Interest" localSheetId="26">[17]summary!#REF!</definedName>
    <definedName name="_1995_Capitalized_Interest" localSheetId="27">[17]summary!#REF!</definedName>
    <definedName name="_1995_Capitalized_Interest" localSheetId="30">[17]summary!#REF!</definedName>
    <definedName name="_1995_Capitalized_Interest" localSheetId="31">[17]summary!#REF!</definedName>
    <definedName name="_1995_Capitalized_Interest" localSheetId="33">[17]summary!#REF!</definedName>
    <definedName name="_1995_Capitalized_Interest">[17]summary!#REF!</definedName>
    <definedName name="_1995_Cash_Flow" localSheetId="37">[17]summary!#REF!</definedName>
    <definedName name="_1995_Cash_Flow" localSheetId="17">[17]summary!#REF!</definedName>
    <definedName name="_1995_Cash_Flow" localSheetId="26">[17]summary!#REF!</definedName>
    <definedName name="_1995_Cash_Flow" localSheetId="27">[17]summary!#REF!</definedName>
    <definedName name="_1995_Cash_Flow" localSheetId="30">[17]summary!#REF!</definedName>
    <definedName name="_1995_Cash_Flow" localSheetId="31">[17]summary!#REF!</definedName>
    <definedName name="_1995_Cash_Flow" localSheetId="33">[17]summary!#REF!</definedName>
    <definedName name="_1995_Cash_Flow">[17]summary!#REF!</definedName>
    <definedName name="_1995_Current_Income_Tax" localSheetId="37">[17]summary!#REF!</definedName>
    <definedName name="_1995_Current_Income_Tax" localSheetId="17">[17]summary!#REF!</definedName>
    <definedName name="_1995_Current_Income_Tax" localSheetId="26">[17]summary!#REF!</definedName>
    <definedName name="_1995_Current_Income_Tax" localSheetId="27">[17]summary!#REF!</definedName>
    <definedName name="_1995_Current_Income_Tax" localSheetId="30">[17]summary!#REF!</definedName>
    <definedName name="_1995_Current_Income_Tax" localSheetId="31">[17]summary!#REF!</definedName>
    <definedName name="_1995_Current_Income_Tax" localSheetId="33">[17]summary!#REF!</definedName>
    <definedName name="_1995_Current_Income_Tax">[17]summary!#REF!</definedName>
    <definedName name="_1995_DD_A" localSheetId="37">[17]summary!#REF!</definedName>
    <definedName name="_1995_DD_A" localSheetId="17">[17]summary!#REF!</definedName>
    <definedName name="_1995_DD_A" localSheetId="26">[17]summary!#REF!</definedName>
    <definedName name="_1995_DD_A" localSheetId="27">[17]summary!#REF!</definedName>
    <definedName name="_1995_DD_A" localSheetId="30">[17]summary!#REF!</definedName>
    <definedName name="_1995_DD_A" localSheetId="31">[17]summary!#REF!</definedName>
    <definedName name="_1995_DD_A" localSheetId="33">[17]summary!#REF!</definedName>
    <definedName name="_1995_DD_A">[17]summary!#REF!</definedName>
    <definedName name="_1995_Deferred_Income_Tax" localSheetId="37">[17]summary!#REF!</definedName>
    <definedName name="_1995_Deferred_Income_Tax" localSheetId="17">[17]summary!#REF!</definedName>
    <definedName name="_1995_Deferred_Income_Tax" localSheetId="26">[17]summary!#REF!</definedName>
    <definedName name="_1995_Deferred_Income_Tax" localSheetId="27">[17]summary!#REF!</definedName>
    <definedName name="_1995_Deferred_Income_Tax" localSheetId="30">[17]summary!#REF!</definedName>
    <definedName name="_1995_Deferred_Income_Tax" localSheetId="31">[17]summary!#REF!</definedName>
    <definedName name="_1995_Deferred_Income_Tax" localSheetId="33">[17]summary!#REF!</definedName>
    <definedName name="_1995_Deferred_Income_Tax">[17]summary!#REF!</definedName>
    <definedName name="_1995_EBIT" localSheetId="37">[17]summary!#REF!</definedName>
    <definedName name="_1995_EBIT" localSheetId="17">[17]summary!#REF!</definedName>
    <definedName name="_1995_EBIT" localSheetId="26">[17]summary!#REF!</definedName>
    <definedName name="_1995_EBIT" localSheetId="27">[17]summary!#REF!</definedName>
    <definedName name="_1995_EBIT" localSheetId="30">[17]summary!#REF!</definedName>
    <definedName name="_1995_EBIT" localSheetId="31">[17]summary!#REF!</definedName>
    <definedName name="_1995_EBIT" localSheetId="33">[17]summary!#REF!</definedName>
    <definedName name="_1995_EBIT">[17]summary!#REF!</definedName>
    <definedName name="_1995_EBITDAX" localSheetId="37">[17]summary!#REF!</definedName>
    <definedName name="_1995_EBITDAX" localSheetId="17">[17]summary!#REF!</definedName>
    <definedName name="_1995_EBITDAX" localSheetId="26">[17]summary!#REF!</definedName>
    <definedName name="_1995_EBITDAX" localSheetId="27">[17]summary!#REF!</definedName>
    <definedName name="_1995_EBITDAX" localSheetId="30">[17]summary!#REF!</definedName>
    <definedName name="_1995_EBITDAX" localSheetId="31">[17]summary!#REF!</definedName>
    <definedName name="_1995_EBITDAX" localSheetId="33">[17]summary!#REF!</definedName>
    <definedName name="_1995_EBITDAX">[17]summary!#REF!</definedName>
    <definedName name="_1995_Exploration_Expense" localSheetId="37">[17]summary!#REF!</definedName>
    <definedName name="_1995_Exploration_Expense" localSheetId="17">[17]summary!#REF!</definedName>
    <definedName name="_1995_Exploration_Expense" localSheetId="26">[17]summary!#REF!</definedName>
    <definedName name="_1995_Exploration_Expense" localSheetId="27">[17]summary!#REF!</definedName>
    <definedName name="_1995_Exploration_Expense" localSheetId="30">[17]summary!#REF!</definedName>
    <definedName name="_1995_Exploration_Expense" localSheetId="31">[17]summary!#REF!</definedName>
    <definedName name="_1995_Exploration_Expense" localSheetId="33">[17]summary!#REF!</definedName>
    <definedName name="_1995_Exploration_Expense">[17]summary!#REF!</definedName>
    <definedName name="_1995_Interest_Expense" localSheetId="37">[17]summary!#REF!</definedName>
    <definedName name="_1995_Interest_Expense" localSheetId="17">[17]summary!#REF!</definedName>
    <definedName name="_1995_Interest_Expense" localSheetId="26">[17]summary!#REF!</definedName>
    <definedName name="_1995_Interest_Expense" localSheetId="27">[17]summary!#REF!</definedName>
    <definedName name="_1995_Interest_Expense" localSheetId="30">[17]summary!#REF!</definedName>
    <definedName name="_1995_Interest_Expense" localSheetId="31">[17]summary!#REF!</definedName>
    <definedName name="_1995_Interest_Expense" localSheetId="33">[17]summary!#REF!</definedName>
    <definedName name="_1995_Interest_Expense">[17]summary!#REF!</definedName>
    <definedName name="_1995_Net_Income" localSheetId="37">[17]summary!#REF!</definedName>
    <definedName name="_1995_Net_Income" localSheetId="17">[17]summary!#REF!</definedName>
    <definedName name="_1995_Net_Income" localSheetId="26">[17]summary!#REF!</definedName>
    <definedName name="_1995_Net_Income" localSheetId="27">[17]summary!#REF!</definedName>
    <definedName name="_1995_Net_Income" localSheetId="30">[17]summary!#REF!</definedName>
    <definedName name="_1995_Net_Income" localSheetId="31">[17]summary!#REF!</definedName>
    <definedName name="_1995_Net_Income" localSheetId="33">[17]summary!#REF!</definedName>
    <definedName name="_1995_Net_Income">[17]summary!#REF!</definedName>
    <definedName name="_1995_Other_Income" localSheetId="37">[17]summary!#REF!</definedName>
    <definedName name="_1995_Other_Income" localSheetId="17">[17]summary!#REF!</definedName>
    <definedName name="_1995_Other_Income" localSheetId="26">[17]summary!#REF!</definedName>
    <definedName name="_1995_Other_Income" localSheetId="27">[17]summary!#REF!</definedName>
    <definedName name="_1995_Other_Income" localSheetId="30">[17]summary!#REF!</definedName>
    <definedName name="_1995_Other_Income" localSheetId="31">[17]summary!#REF!</definedName>
    <definedName name="_1995_Other_Income" localSheetId="33">[17]summary!#REF!</definedName>
    <definedName name="_1995_Other_Income">[17]summary!#REF!</definedName>
    <definedName name="_1995_Other_Non_Cash_Items" localSheetId="37">[17]summary!#REF!</definedName>
    <definedName name="_1995_Other_Non_Cash_Items" localSheetId="17">[17]summary!#REF!</definedName>
    <definedName name="_1995_Other_Non_Cash_Items" localSheetId="26">[17]summary!#REF!</definedName>
    <definedName name="_1995_Other_Non_Cash_Items" localSheetId="27">[17]summary!#REF!</definedName>
    <definedName name="_1995_Other_Non_Cash_Items" localSheetId="30">[17]summary!#REF!</definedName>
    <definedName name="_1995_Other_Non_Cash_Items" localSheetId="31">[17]summary!#REF!</definedName>
    <definedName name="_1995_Other_Non_Cash_Items" localSheetId="33">[17]summary!#REF!</definedName>
    <definedName name="_1995_Other_Non_Cash_Items">[17]summary!#REF!</definedName>
    <definedName name="_1995_Revenue" localSheetId="37">[17]summary!#REF!</definedName>
    <definedName name="_1995_Revenue" localSheetId="17">[17]summary!#REF!</definedName>
    <definedName name="_1995_Revenue" localSheetId="26">[17]summary!#REF!</definedName>
    <definedName name="_1995_Revenue" localSheetId="27">[17]summary!#REF!</definedName>
    <definedName name="_1995_Revenue" localSheetId="30">[17]summary!#REF!</definedName>
    <definedName name="_1995_Revenue" localSheetId="31">[17]summary!#REF!</definedName>
    <definedName name="_1995_Revenue" localSheetId="33">[17]summary!#REF!</definedName>
    <definedName name="_1995_Revenue">[17]summary!#REF!</definedName>
    <definedName name="_1995_Weighted_Average_Shares_Outstanding" localSheetId="37">[17]summary!#REF!</definedName>
    <definedName name="_1995_Weighted_Average_Shares_Outstanding" localSheetId="17">[17]summary!#REF!</definedName>
    <definedName name="_1995_Weighted_Average_Shares_Outstanding" localSheetId="26">[17]summary!#REF!</definedName>
    <definedName name="_1995_Weighted_Average_Shares_Outstanding" localSheetId="27">[17]summary!#REF!</definedName>
    <definedName name="_1995_Weighted_Average_Shares_Outstanding" localSheetId="30">[17]summary!#REF!</definedName>
    <definedName name="_1995_Weighted_Average_Shares_Outstanding" localSheetId="31">[17]summary!#REF!</definedName>
    <definedName name="_1995_Weighted_Average_Shares_Outstanding" localSheetId="33">[17]summary!#REF!</definedName>
    <definedName name="_1995_Weighted_Average_Shares_Outstanding">[17]summary!#REF!</definedName>
    <definedName name="_1997E_Asset_Sales" localSheetId="37">[17]summary!#REF!</definedName>
    <definedName name="_1997E_Asset_Sales" localSheetId="17">[17]summary!#REF!</definedName>
    <definedName name="_1997E_Asset_Sales" localSheetId="26">[17]summary!#REF!</definedName>
    <definedName name="_1997E_Asset_Sales" localSheetId="27">[17]summary!#REF!</definedName>
    <definedName name="_1997E_Asset_Sales" localSheetId="30">[17]summary!#REF!</definedName>
    <definedName name="_1997E_Asset_Sales" localSheetId="31">[17]summary!#REF!</definedName>
    <definedName name="_1997E_Asset_Sales" localSheetId="33">[17]summary!#REF!</definedName>
    <definedName name="_1997E_Asset_Sales">[17]summary!#REF!</definedName>
    <definedName name="_1997E_Capex" localSheetId="37">[17]summary!#REF!</definedName>
    <definedName name="_1997E_Capex" localSheetId="17">[17]summary!#REF!</definedName>
    <definedName name="_1997E_Capex" localSheetId="26">[17]summary!#REF!</definedName>
    <definedName name="_1997E_Capex" localSheetId="27">[17]summary!#REF!</definedName>
    <definedName name="_1997E_Capex" localSheetId="30">[17]summary!#REF!</definedName>
    <definedName name="_1997E_Capex" localSheetId="31">[17]summary!#REF!</definedName>
    <definedName name="_1997E_Capex" localSheetId="33">[17]summary!#REF!</definedName>
    <definedName name="_1997E_Capex">[17]summary!#REF!</definedName>
    <definedName name="_1997E_Capitalized_Interest" localSheetId="37">[17]summary!#REF!</definedName>
    <definedName name="_1997E_Capitalized_Interest" localSheetId="17">[17]summary!#REF!</definedName>
    <definedName name="_1997E_Capitalized_Interest" localSheetId="26">[17]summary!#REF!</definedName>
    <definedName name="_1997E_Capitalized_Interest" localSheetId="27">[17]summary!#REF!</definedName>
    <definedName name="_1997E_Capitalized_Interest" localSheetId="30">[17]summary!#REF!</definedName>
    <definedName name="_1997E_Capitalized_Interest" localSheetId="31">[17]summary!#REF!</definedName>
    <definedName name="_1997E_Capitalized_Interest" localSheetId="33">[17]summary!#REF!</definedName>
    <definedName name="_1997E_Capitalized_Interest">[17]summary!#REF!</definedName>
    <definedName name="_1997E_Cash_Flow" localSheetId="37">[17]summary!#REF!</definedName>
    <definedName name="_1997E_Cash_Flow" localSheetId="17">[17]summary!#REF!</definedName>
    <definedName name="_1997E_Cash_Flow" localSheetId="26">[17]summary!#REF!</definedName>
    <definedName name="_1997E_Cash_Flow" localSheetId="27">[17]summary!#REF!</definedName>
    <definedName name="_1997E_Cash_Flow" localSheetId="30">[17]summary!#REF!</definedName>
    <definedName name="_1997E_Cash_Flow" localSheetId="31">[17]summary!#REF!</definedName>
    <definedName name="_1997E_Cash_Flow" localSheetId="33">[17]summary!#REF!</definedName>
    <definedName name="_1997E_Cash_Flow">[17]summary!#REF!</definedName>
    <definedName name="_1997E_Current_Income_Tax" localSheetId="37">[17]summary!#REF!</definedName>
    <definedName name="_1997E_Current_Income_Tax" localSheetId="17">[17]summary!#REF!</definedName>
    <definedName name="_1997E_Current_Income_Tax" localSheetId="26">[17]summary!#REF!</definedName>
    <definedName name="_1997E_Current_Income_Tax" localSheetId="27">[17]summary!#REF!</definedName>
    <definedName name="_1997E_Current_Income_Tax" localSheetId="30">[17]summary!#REF!</definedName>
    <definedName name="_1997E_Current_Income_Tax" localSheetId="31">[17]summary!#REF!</definedName>
    <definedName name="_1997E_Current_Income_Tax" localSheetId="33">[17]summary!#REF!</definedName>
    <definedName name="_1997E_Current_Income_Tax">[17]summary!#REF!</definedName>
    <definedName name="_1997E_DD_A" localSheetId="37">[17]summary!#REF!</definedName>
    <definedName name="_1997E_DD_A" localSheetId="17">[17]summary!#REF!</definedName>
    <definedName name="_1997E_DD_A" localSheetId="26">[17]summary!#REF!</definedName>
    <definedName name="_1997E_DD_A" localSheetId="27">[17]summary!#REF!</definedName>
    <definedName name="_1997E_DD_A" localSheetId="30">[17]summary!#REF!</definedName>
    <definedName name="_1997E_DD_A" localSheetId="31">[17]summary!#REF!</definedName>
    <definedName name="_1997E_DD_A" localSheetId="33">[17]summary!#REF!</definedName>
    <definedName name="_1997E_DD_A">[17]summary!#REF!</definedName>
    <definedName name="_1997E_Deferred_Income_Tax" localSheetId="37">[17]summary!#REF!</definedName>
    <definedName name="_1997E_Deferred_Income_Tax" localSheetId="17">[17]summary!#REF!</definedName>
    <definedName name="_1997E_Deferred_Income_Tax" localSheetId="26">[17]summary!#REF!</definedName>
    <definedName name="_1997E_Deferred_Income_Tax" localSheetId="27">[17]summary!#REF!</definedName>
    <definedName name="_1997E_Deferred_Income_Tax" localSheetId="30">[17]summary!#REF!</definedName>
    <definedName name="_1997E_Deferred_Income_Tax" localSheetId="31">[17]summary!#REF!</definedName>
    <definedName name="_1997E_Deferred_Income_Tax" localSheetId="33">[17]summary!#REF!</definedName>
    <definedName name="_1997E_Deferred_Income_Tax">[17]summary!#REF!</definedName>
    <definedName name="_1997E_EBIT" localSheetId="37">[17]summary!#REF!</definedName>
    <definedName name="_1997E_EBIT" localSheetId="17">[17]summary!#REF!</definedName>
    <definedName name="_1997E_EBIT" localSheetId="26">[17]summary!#REF!</definedName>
    <definedName name="_1997E_EBIT" localSheetId="27">[17]summary!#REF!</definedName>
    <definedName name="_1997E_EBIT" localSheetId="30">[17]summary!#REF!</definedName>
    <definedName name="_1997E_EBIT" localSheetId="31">[17]summary!#REF!</definedName>
    <definedName name="_1997E_EBIT" localSheetId="33">[17]summary!#REF!</definedName>
    <definedName name="_1997E_EBIT">[17]summary!#REF!</definedName>
    <definedName name="_1997E_EBITDAX" localSheetId="37">[17]summary!#REF!</definedName>
    <definedName name="_1997E_EBITDAX" localSheetId="17">[17]summary!#REF!</definedName>
    <definedName name="_1997E_EBITDAX" localSheetId="26">[17]summary!#REF!</definedName>
    <definedName name="_1997E_EBITDAX" localSheetId="27">[17]summary!#REF!</definedName>
    <definedName name="_1997E_EBITDAX" localSheetId="30">[17]summary!#REF!</definedName>
    <definedName name="_1997E_EBITDAX" localSheetId="31">[17]summary!#REF!</definedName>
    <definedName name="_1997E_EBITDAX" localSheetId="33">[17]summary!#REF!</definedName>
    <definedName name="_1997E_EBITDAX">[17]summary!#REF!</definedName>
    <definedName name="_1997E_Exploration_Expense" localSheetId="37">[17]summary!#REF!</definedName>
    <definedName name="_1997E_Exploration_Expense" localSheetId="17">[17]summary!#REF!</definedName>
    <definedName name="_1997E_Exploration_Expense" localSheetId="26">[17]summary!#REF!</definedName>
    <definedName name="_1997E_Exploration_Expense" localSheetId="27">[17]summary!#REF!</definedName>
    <definedName name="_1997E_Exploration_Expense" localSheetId="30">[17]summary!#REF!</definedName>
    <definedName name="_1997E_Exploration_Expense" localSheetId="31">[17]summary!#REF!</definedName>
    <definedName name="_1997E_Exploration_Expense" localSheetId="33">[17]summary!#REF!</definedName>
    <definedName name="_1997E_Exploration_Expense">[17]summary!#REF!</definedName>
    <definedName name="_1997E_Interest_Expense" localSheetId="37">[17]summary!#REF!</definedName>
    <definedName name="_1997E_Interest_Expense" localSheetId="17">[17]summary!#REF!</definedName>
    <definedName name="_1997E_Interest_Expense" localSheetId="26">[17]summary!#REF!</definedName>
    <definedName name="_1997E_Interest_Expense" localSheetId="27">[17]summary!#REF!</definedName>
    <definedName name="_1997E_Interest_Expense" localSheetId="30">[17]summary!#REF!</definedName>
    <definedName name="_1997E_Interest_Expense" localSheetId="31">[17]summary!#REF!</definedName>
    <definedName name="_1997E_Interest_Expense" localSheetId="33">[17]summary!#REF!</definedName>
    <definedName name="_1997E_Interest_Expense">[17]summary!#REF!</definedName>
    <definedName name="_1997E_Minority_Interest" localSheetId="37">[17]summary!#REF!</definedName>
    <definedName name="_1997E_Minority_Interest" localSheetId="17">[17]summary!#REF!</definedName>
    <definedName name="_1997E_Minority_Interest" localSheetId="26">[17]summary!#REF!</definedName>
    <definedName name="_1997E_Minority_Interest" localSheetId="27">[17]summary!#REF!</definedName>
    <definedName name="_1997E_Minority_Interest" localSheetId="30">[17]summary!#REF!</definedName>
    <definedName name="_1997E_Minority_Interest" localSheetId="31">[17]summary!#REF!</definedName>
    <definedName name="_1997E_Minority_Interest" localSheetId="33">[17]summary!#REF!</definedName>
    <definedName name="_1997E_Minority_Interest">[17]summary!#REF!</definedName>
    <definedName name="_1997E_Net_Income" localSheetId="37">[17]summary!#REF!</definedName>
    <definedName name="_1997E_Net_Income" localSheetId="17">[17]summary!#REF!</definedName>
    <definedName name="_1997E_Net_Income" localSheetId="26">[17]summary!#REF!</definedName>
    <definedName name="_1997E_Net_Income" localSheetId="27">[17]summary!#REF!</definedName>
    <definedName name="_1997E_Net_Income" localSheetId="30">[17]summary!#REF!</definedName>
    <definedName name="_1997E_Net_Income" localSheetId="31">[17]summary!#REF!</definedName>
    <definedName name="_1997E_Net_Income" localSheetId="33">[17]summary!#REF!</definedName>
    <definedName name="_1997E_Net_Income">[17]summary!#REF!</definedName>
    <definedName name="_1997E_Other_Income" localSheetId="37">[17]summary!#REF!</definedName>
    <definedName name="_1997E_Other_Income" localSheetId="17">[17]summary!#REF!</definedName>
    <definedName name="_1997E_Other_Income" localSheetId="26">[17]summary!#REF!</definedName>
    <definedName name="_1997E_Other_Income" localSheetId="27">[17]summary!#REF!</definedName>
    <definedName name="_1997E_Other_Income" localSheetId="30">[17]summary!#REF!</definedName>
    <definedName name="_1997E_Other_Income" localSheetId="31">[17]summary!#REF!</definedName>
    <definedName name="_1997E_Other_Income" localSheetId="33">[17]summary!#REF!</definedName>
    <definedName name="_1997E_Other_Income">[17]summary!#REF!</definedName>
    <definedName name="_1997E_Other_Non_Cash_Items" localSheetId="37">[17]summary!#REF!</definedName>
    <definedName name="_1997E_Other_Non_Cash_Items" localSheetId="17">[17]summary!#REF!</definedName>
    <definedName name="_1997E_Other_Non_Cash_Items" localSheetId="26">[17]summary!#REF!</definedName>
    <definedName name="_1997E_Other_Non_Cash_Items" localSheetId="27">[17]summary!#REF!</definedName>
    <definedName name="_1997E_Other_Non_Cash_Items" localSheetId="30">[17]summary!#REF!</definedName>
    <definedName name="_1997E_Other_Non_Cash_Items" localSheetId="31">[17]summary!#REF!</definedName>
    <definedName name="_1997E_Other_Non_Cash_Items" localSheetId="33">[17]summary!#REF!</definedName>
    <definedName name="_1997E_Other_Non_Cash_Items">[17]summary!#REF!</definedName>
    <definedName name="_1997E_Revenue" localSheetId="37">[17]summary!#REF!</definedName>
    <definedName name="_1997E_Revenue" localSheetId="17">[17]summary!#REF!</definedName>
    <definedName name="_1997E_Revenue" localSheetId="26">[17]summary!#REF!</definedName>
    <definedName name="_1997E_Revenue" localSheetId="27">[17]summary!#REF!</definedName>
    <definedName name="_1997E_Revenue" localSheetId="30">[17]summary!#REF!</definedName>
    <definedName name="_1997E_Revenue" localSheetId="31">[17]summary!#REF!</definedName>
    <definedName name="_1997E_Revenue" localSheetId="33">[17]summary!#REF!</definedName>
    <definedName name="_1997E_Revenue">[17]summary!#REF!</definedName>
    <definedName name="_1997E_Weighted_Average_Shares_Outstanding" localSheetId="37">[17]summary!#REF!</definedName>
    <definedName name="_1997E_Weighted_Average_Shares_Outstanding" localSheetId="17">[17]summary!#REF!</definedName>
    <definedName name="_1997E_Weighted_Average_Shares_Outstanding" localSheetId="26">[17]summary!#REF!</definedName>
    <definedName name="_1997E_Weighted_Average_Shares_Outstanding" localSheetId="27">[17]summary!#REF!</definedName>
    <definedName name="_1997E_Weighted_Average_Shares_Outstanding" localSheetId="30">[17]summary!#REF!</definedName>
    <definedName name="_1997E_Weighted_Average_Shares_Outstanding" localSheetId="31">[17]summary!#REF!</definedName>
    <definedName name="_1997E_Weighted_Average_Shares_Outstanding" localSheetId="33">[17]summary!#REF!</definedName>
    <definedName name="_1997E_Weighted_Average_Shares_Outstanding">[17]summary!#REF!</definedName>
    <definedName name="_1998E_Asset_Sales" localSheetId="37">[17]summary!#REF!</definedName>
    <definedName name="_1998E_Asset_Sales" localSheetId="17">[17]summary!#REF!</definedName>
    <definedName name="_1998E_Asset_Sales" localSheetId="26">[17]summary!#REF!</definedName>
    <definedName name="_1998E_Asset_Sales" localSheetId="27">[17]summary!#REF!</definedName>
    <definedName name="_1998E_Asset_Sales" localSheetId="30">[17]summary!#REF!</definedName>
    <definedName name="_1998E_Asset_Sales" localSheetId="31">[17]summary!#REF!</definedName>
    <definedName name="_1998E_Asset_Sales" localSheetId="33">[17]summary!#REF!</definedName>
    <definedName name="_1998E_Asset_Sales">[17]summary!#REF!</definedName>
    <definedName name="_1998E_Capex" localSheetId="37">[17]summary!#REF!</definedName>
    <definedName name="_1998E_Capex" localSheetId="17">[17]summary!#REF!</definedName>
    <definedName name="_1998E_Capex" localSheetId="26">[17]summary!#REF!</definedName>
    <definedName name="_1998E_Capex" localSheetId="27">[17]summary!#REF!</definedName>
    <definedName name="_1998E_Capex" localSheetId="30">[17]summary!#REF!</definedName>
    <definedName name="_1998E_Capex" localSheetId="31">[17]summary!#REF!</definedName>
    <definedName name="_1998E_Capex" localSheetId="33">[17]summary!#REF!</definedName>
    <definedName name="_1998E_Capex">[17]summary!#REF!</definedName>
    <definedName name="_1998E_Capitalized_Interest" localSheetId="37">[17]summary!#REF!</definedName>
    <definedName name="_1998E_Capitalized_Interest" localSheetId="17">[17]summary!#REF!</definedName>
    <definedName name="_1998E_Capitalized_Interest" localSheetId="26">[17]summary!#REF!</definedName>
    <definedName name="_1998E_Capitalized_Interest" localSheetId="27">[17]summary!#REF!</definedName>
    <definedName name="_1998E_Capitalized_Interest" localSheetId="30">[17]summary!#REF!</definedName>
    <definedName name="_1998E_Capitalized_Interest" localSheetId="31">[17]summary!#REF!</definedName>
    <definedName name="_1998E_Capitalized_Interest" localSheetId="33">[17]summary!#REF!</definedName>
    <definedName name="_1998E_Capitalized_Interest">[17]summary!#REF!</definedName>
    <definedName name="_1998E_Cash_Flow" localSheetId="37">[17]summary!#REF!</definedName>
    <definedName name="_1998E_Cash_Flow" localSheetId="17">[17]summary!#REF!</definedName>
    <definedName name="_1998E_Cash_Flow" localSheetId="26">[17]summary!#REF!</definedName>
    <definedName name="_1998E_Cash_Flow" localSheetId="27">[17]summary!#REF!</definedName>
    <definedName name="_1998E_Cash_Flow" localSheetId="30">[17]summary!#REF!</definedName>
    <definedName name="_1998E_Cash_Flow" localSheetId="31">[17]summary!#REF!</definedName>
    <definedName name="_1998E_Cash_Flow" localSheetId="33">[17]summary!#REF!</definedName>
    <definedName name="_1998E_Cash_Flow">[17]summary!#REF!</definedName>
    <definedName name="_1998E_Current_Income_Tax" localSheetId="37">[17]summary!#REF!</definedName>
    <definedName name="_1998E_Current_Income_Tax" localSheetId="17">[17]summary!#REF!</definedName>
    <definedName name="_1998E_Current_Income_Tax" localSheetId="26">[17]summary!#REF!</definedName>
    <definedName name="_1998E_Current_Income_Tax" localSheetId="27">[17]summary!#REF!</definedName>
    <definedName name="_1998E_Current_Income_Tax" localSheetId="30">[17]summary!#REF!</definedName>
    <definedName name="_1998E_Current_Income_Tax" localSheetId="31">[17]summary!#REF!</definedName>
    <definedName name="_1998E_Current_Income_Tax" localSheetId="33">[17]summary!#REF!</definedName>
    <definedName name="_1998E_Current_Income_Tax">[17]summary!#REF!</definedName>
    <definedName name="_1998E_DD_A" localSheetId="37">[17]summary!#REF!</definedName>
    <definedName name="_1998E_DD_A" localSheetId="17">[17]summary!#REF!</definedName>
    <definedName name="_1998E_DD_A" localSheetId="26">[17]summary!#REF!</definedName>
    <definedName name="_1998E_DD_A" localSheetId="27">[17]summary!#REF!</definedName>
    <definedName name="_1998E_DD_A" localSheetId="30">[17]summary!#REF!</definedName>
    <definedName name="_1998E_DD_A" localSheetId="31">[17]summary!#REF!</definedName>
    <definedName name="_1998E_DD_A" localSheetId="33">[17]summary!#REF!</definedName>
    <definedName name="_1998E_DD_A">[17]summary!#REF!</definedName>
    <definedName name="_1998E_Deferred_Income_Tax" localSheetId="37">[17]summary!#REF!</definedName>
    <definedName name="_1998E_Deferred_Income_Tax" localSheetId="17">[17]summary!#REF!</definedName>
    <definedName name="_1998E_Deferred_Income_Tax" localSheetId="26">[17]summary!#REF!</definedName>
    <definedName name="_1998E_Deferred_Income_Tax" localSheetId="27">[17]summary!#REF!</definedName>
    <definedName name="_1998E_Deferred_Income_Tax" localSheetId="30">[17]summary!#REF!</definedName>
    <definedName name="_1998E_Deferred_Income_Tax" localSheetId="31">[17]summary!#REF!</definedName>
    <definedName name="_1998E_Deferred_Income_Tax" localSheetId="33">[17]summary!#REF!</definedName>
    <definedName name="_1998E_Deferred_Income_Tax">[17]summary!#REF!</definedName>
    <definedName name="_1998E_EBIT" localSheetId="37">[17]summary!#REF!</definedName>
    <definedName name="_1998E_EBIT" localSheetId="17">[17]summary!#REF!</definedName>
    <definedName name="_1998E_EBIT" localSheetId="26">[17]summary!#REF!</definedName>
    <definedName name="_1998E_EBIT" localSheetId="27">[17]summary!#REF!</definedName>
    <definedName name="_1998E_EBIT" localSheetId="30">[17]summary!#REF!</definedName>
    <definedName name="_1998E_EBIT" localSheetId="31">[17]summary!#REF!</definedName>
    <definedName name="_1998E_EBIT" localSheetId="33">[17]summary!#REF!</definedName>
    <definedName name="_1998E_EBIT">[17]summary!#REF!</definedName>
    <definedName name="_1998E_EBITDAX" localSheetId="37">[17]summary!#REF!</definedName>
    <definedName name="_1998E_EBITDAX" localSheetId="17">[17]summary!#REF!</definedName>
    <definedName name="_1998E_EBITDAX" localSheetId="26">[17]summary!#REF!</definedName>
    <definedName name="_1998E_EBITDAX" localSheetId="27">[17]summary!#REF!</definedName>
    <definedName name="_1998E_EBITDAX" localSheetId="30">[17]summary!#REF!</definedName>
    <definedName name="_1998E_EBITDAX" localSheetId="31">[17]summary!#REF!</definedName>
    <definedName name="_1998E_EBITDAX" localSheetId="33">[17]summary!#REF!</definedName>
    <definedName name="_1998E_EBITDAX">[17]summary!#REF!</definedName>
    <definedName name="_1998E_Exploration_Expense" localSheetId="37">[17]summary!#REF!</definedName>
    <definedName name="_1998E_Exploration_Expense" localSheetId="17">[17]summary!#REF!</definedName>
    <definedName name="_1998E_Exploration_Expense" localSheetId="26">[17]summary!#REF!</definedName>
    <definedName name="_1998E_Exploration_Expense" localSheetId="27">[17]summary!#REF!</definedName>
    <definedName name="_1998E_Exploration_Expense" localSheetId="30">[17]summary!#REF!</definedName>
    <definedName name="_1998E_Exploration_Expense" localSheetId="31">[17]summary!#REF!</definedName>
    <definedName name="_1998E_Exploration_Expense" localSheetId="33">[17]summary!#REF!</definedName>
    <definedName name="_1998E_Exploration_Expense">[17]summary!#REF!</definedName>
    <definedName name="_1998E_Interest_Expense" localSheetId="37">[17]summary!#REF!</definedName>
    <definedName name="_1998E_Interest_Expense" localSheetId="17">[17]summary!#REF!</definedName>
    <definedName name="_1998E_Interest_Expense" localSheetId="26">[17]summary!#REF!</definedName>
    <definedName name="_1998E_Interest_Expense" localSheetId="27">[17]summary!#REF!</definedName>
    <definedName name="_1998E_Interest_Expense" localSheetId="30">[17]summary!#REF!</definedName>
    <definedName name="_1998E_Interest_Expense" localSheetId="31">[17]summary!#REF!</definedName>
    <definedName name="_1998E_Interest_Expense" localSheetId="33">[17]summary!#REF!</definedName>
    <definedName name="_1998E_Interest_Expense">[17]summary!#REF!</definedName>
    <definedName name="_1998E_Minority_Interest" localSheetId="37">[17]summary!#REF!</definedName>
    <definedName name="_1998E_Minority_Interest" localSheetId="17">[17]summary!#REF!</definedName>
    <definedName name="_1998E_Minority_Interest" localSheetId="26">[17]summary!#REF!</definedName>
    <definedName name="_1998E_Minority_Interest" localSheetId="27">[17]summary!#REF!</definedName>
    <definedName name="_1998E_Minority_Interest" localSheetId="30">[17]summary!#REF!</definedName>
    <definedName name="_1998E_Minority_Interest" localSheetId="31">[17]summary!#REF!</definedName>
    <definedName name="_1998E_Minority_Interest" localSheetId="33">[17]summary!#REF!</definedName>
    <definedName name="_1998E_Minority_Interest">[17]summary!#REF!</definedName>
    <definedName name="_1998E_Net_Income" localSheetId="37">[17]summary!#REF!</definedName>
    <definedName name="_1998E_Net_Income" localSheetId="17">[17]summary!#REF!</definedName>
    <definedName name="_1998E_Net_Income" localSheetId="26">[17]summary!#REF!</definedName>
    <definedName name="_1998E_Net_Income" localSheetId="27">[17]summary!#REF!</definedName>
    <definedName name="_1998E_Net_Income" localSheetId="30">[17]summary!#REF!</definedName>
    <definedName name="_1998E_Net_Income" localSheetId="31">[17]summary!#REF!</definedName>
    <definedName name="_1998E_Net_Income" localSheetId="33">[17]summary!#REF!</definedName>
    <definedName name="_1998E_Net_Income">[17]summary!#REF!</definedName>
    <definedName name="_1998E_Other_Income" localSheetId="37">[17]summary!#REF!</definedName>
    <definedName name="_1998E_Other_Income" localSheetId="17">[17]summary!#REF!</definedName>
    <definedName name="_1998E_Other_Income" localSheetId="26">[17]summary!#REF!</definedName>
    <definedName name="_1998E_Other_Income" localSheetId="27">[17]summary!#REF!</definedName>
    <definedName name="_1998E_Other_Income" localSheetId="30">[17]summary!#REF!</definedName>
    <definedName name="_1998E_Other_Income" localSheetId="31">[17]summary!#REF!</definedName>
    <definedName name="_1998E_Other_Income" localSheetId="33">[17]summary!#REF!</definedName>
    <definedName name="_1998E_Other_Income">[17]summary!#REF!</definedName>
    <definedName name="_1998E_Other_Non_Cash_Items" localSheetId="37">[17]summary!#REF!</definedName>
    <definedName name="_1998E_Other_Non_Cash_Items" localSheetId="17">[17]summary!#REF!</definedName>
    <definedName name="_1998E_Other_Non_Cash_Items" localSheetId="26">[17]summary!#REF!</definedName>
    <definedName name="_1998E_Other_Non_Cash_Items" localSheetId="27">[17]summary!#REF!</definedName>
    <definedName name="_1998E_Other_Non_Cash_Items" localSheetId="30">[17]summary!#REF!</definedName>
    <definedName name="_1998E_Other_Non_Cash_Items" localSheetId="31">[17]summary!#REF!</definedName>
    <definedName name="_1998E_Other_Non_Cash_Items" localSheetId="33">[17]summary!#REF!</definedName>
    <definedName name="_1998E_Other_Non_Cash_Items">[17]summary!#REF!</definedName>
    <definedName name="_1998E_Revenue" localSheetId="37">[17]summary!#REF!</definedName>
    <definedName name="_1998E_Revenue" localSheetId="17">[17]summary!#REF!</definedName>
    <definedName name="_1998E_Revenue" localSheetId="26">[17]summary!#REF!</definedName>
    <definedName name="_1998E_Revenue" localSheetId="27">[17]summary!#REF!</definedName>
    <definedName name="_1998E_Revenue" localSheetId="30">[17]summary!#REF!</definedName>
    <definedName name="_1998E_Revenue" localSheetId="31">[17]summary!#REF!</definedName>
    <definedName name="_1998E_Revenue" localSheetId="33">[17]summary!#REF!</definedName>
    <definedName name="_1998E_Revenue">[17]summary!#REF!</definedName>
    <definedName name="_1998E_Weighted_Average_Shares_Outstanding" localSheetId="37">[17]summary!#REF!</definedName>
    <definedName name="_1998E_Weighted_Average_Shares_Outstanding" localSheetId="17">[17]summary!#REF!</definedName>
    <definedName name="_1998E_Weighted_Average_Shares_Outstanding" localSheetId="26">[17]summary!#REF!</definedName>
    <definedName name="_1998E_Weighted_Average_Shares_Outstanding" localSheetId="27">[17]summary!#REF!</definedName>
    <definedName name="_1998E_Weighted_Average_Shares_Outstanding" localSheetId="30">[17]summary!#REF!</definedName>
    <definedName name="_1998E_Weighted_Average_Shares_Outstanding" localSheetId="31">[17]summary!#REF!</definedName>
    <definedName name="_1998E_Weighted_Average_Shares_Outstanding" localSheetId="33">[17]summary!#REF!</definedName>
    <definedName name="_1998E_Weighted_Average_Shares_Outstanding">[17]summary!#REF!</definedName>
    <definedName name="_1999E_Asset_Sales" localSheetId="37">[17]summary!#REF!</definedName>
    <definedName name="_1999E_Asset_Sales" localSheetId="17">[17]summary!#REF!</definedName>
    <definedName name="_1999E_Asset_Sales" localSheetId="26">[17]summary!#REF!</definedName>
    <definedName name="_1999E_Asset_Sales" localSheetId="27">[17]summary!#REF!</definedName>
    <definedName name="_1999E_Asset_Sales" localSheetId="30">[17]summary!#REF!</definedName>
    <definedName name="_1999E_Asset_Sales" localSheetId="31">[17]summary!#REF!</definedName>
    <definedName name="_1999E_Asset_Sales" localSheetId="33">[17]summary!#REF!</definedName>
    <definedName name="_1999E_Asset_Sales">[17]summary!#REF!</definedName>
    <definedName name="_1999E_Capex" localSheetId="37">[17]summary!#REF!</definedName>
    <definedName name="_1999E_Capex" localSheetId="17">[17]summary!#REF!</definedName>
    <definedName name="_1999E_Capex" localSheetId="26">[17]summary!#REF!</definedName>
    <definedName name="_1999E_Capex" localSheetId="27">[17]summary!#REF!</definedName>
    <definedName name="_1999E_Capex" localSheetId="30">[17]summary!#REF!</definedName>
    <definedName name="_1999E_Capex" localSheetId="31">[17]summary!#REF!</definedName>
    <definedName name="_1999E_Capex" localSheetId="33">[17]summary!#REF!</definedName>
    <definedName name="_1999E_Capex">[17]summary!#REF!</definedName>
    <definedName name="_1999E_Capitalized_Interest" localSheetId="37">[17]summary!#REF!</definedName>
    <definedName name="_1999E_Capitalized_Interest" localSheetId="17">[17]summary!#REF!</definedName>
    <definedName name="_1999E_Capitalized_Interest" localSheetId="26">[17]summary!#REF!</definedName>
    <definedName name="_1999E_Capitalized_Interest" localSheetId="27">[17]summary!#REF!</definedName>
    <definedName name="_1999E_Capitalized_Interest" localSheetId="30">[17]summary!#REF!</definedName>
    <definedName name="_1999E_Capitalized_Interest" localSheetId="31">[17]summary!#REF!</definedName>
    <definedName name="_1999E_Capitalized_Interest" localSheetId="33">[17]summary!#REF!</definedName>
    <definedName name="_1999E_Capitalized_Interest">[17]summary!#REF!</definedName>
    <definedName name="_1999E_Cash_Flow" localSheetId="37">[17]summary!#REF!</definedName>
    <definedName name="_1999E_Cash_Flow" localSheetId="17">[17]summary!#REF!</definedName>
    <definedName name="_1999E_Cash_Flow" localSheetId="26">[17]summary!#REF!</definedName>
    <definedName name="_1999E_Cash_Flow" localSheetId="27">[17]summary!#REF!</definedName>
    <definedName name="_1999E_Cash_Flow" localSheetId="30">[17]summary!#REF!</definedName>
    <definedName name="_1999E_Cash_Flow" localSheetId="31">[17]summary!#REF!</definedName>
    <definedName name="_1999E_Cash_Flow" localSheetId="33">[17]summary!#REF!</definedName>
    <definedName name="_1999E_Cash_Flow">[17]summary!#REF!</definedName>
    <definedName name="_1999E_Current_Income_Tax" localSheetId="37">[17]summary!#REF!</definedName>
    <definedName name="_1999E_Current_Income_Tax" localSheetId="17">[17]summary!#REF!</definedName>
    <definedName name="_1999E_Current_Income_Tax" localSheetId="26">[17]summary!#REF!</definedName>
    <definedName name="_1999E_Current_Income_Tax" localSheetId="27">[17]summary!#REF!</definedName>
    <definedName name="_1999E_Current_Income_Tax" localSheetId="30">[17]summary!#REF!</definedName>
    <definedName name="_1999E_Current_Income_Tax" localSheetId="31">[17]summary!#REF!</definedName>
    <definedName name="_1999E_Current_Income_Tax" localSheetId="33">[17]summary!#REF!</definedName>
    <definedName name="_1999E_Current_Income_Tax">[17]summary!#REF!</definedName>
    <definedName name="_1999E_DD_A" localSheetId="37">[17]summary!#REF!</definedName>
    <definedName name="_1999E_DD_A" localSheetId="17">[17]summary!#REF!</definedName>
    <definedName name="_1999E_DD_A" localSheetId="26">[17]summary!#REF!</definedName>
    <definedName name="_1999E_DD_A" localSheetId="27">[17]summary!#REF!</definedName>
    <definedName name="_1999E_DD_A" localSheetId="30">[17]summary!#REF!</definedName>
    <definedName name="_1999E_DD_A" localSheetId="31">[17]summary!#REF!</definedName>
    <definedName name="_1999E_DD_A" localSheetId="33">[17]summary!#REF!</definedName>
    <definedName name="_1999E_DD_A">[17]summary!#REF!</definedName>
    <definedName name="_1999E_Deferred_Income_Tax" localSheetId="37">[17]summary!#REF!</definedName>
    <definedName name="_1999E_Deferred_Income_Tax" localSheetId="17">[17]summary!#REF!</definedName>
    <definedName name="_1999E_Deferred_Income_Tax" localSheetId="26">[17]summary!#REF!</definedName>
    <definedName name="_1999E_Deferred_Income_Tax" localSheetId="27">[17]summary!#REF!</definedName>
    <definedName name="_1999E_Deferred_Income_Tax" localSheetId="30">[17]summary!#REF!</definedName>
    <definedName name="_1999E_Deferred_Income_Tax" localSheetId="31">[17]summary!#REF!</definedName>
    <definedName name="_1999E_Deferred_Income_Tax" localSheetId="33">[17]summary!#REF!</definedName>
    <definedName name="_1999E_Deferred_Income_Tax">[17]summary!#REF!</definedName>
    <definedName name="_1999E_EBIT" localSheetId="37">[17]summary!#REF!</definedName>
    <definedName name="_1999E_EBIT" localSheetId="17">[17]summary!#REF!</definedName>
    <definedName name="_1999E_EBIT" localSheetId="26">[17]summary!#REF!</definedName>
    <definedName name="_1999E_EBIT" localSheetId="27">[17]summary!#REF!</definedName>
    <definedName name="_1999E_EBIT" localSheetId="30">[17]summary!#REF!</definedName>
    <definedName name="_1999E_EBIT" localSheetId="31">[17]summary!#REF!</definedName>
    <definedName name="_1999E_EBIT" localSheetId="33">[17]summary!#REF!</definedName>
    <definedName name="_1999E_EBIT">[17]summary!#REF!</definedName>
    <definedName name="_1999E_EBITDAX" localSheetId="37">[17]summary!#REF!</definedName>
    <definedName name="_1999E_EBITDAX" localSheetId="17">[17]summary!#REF!</definedName>
    <definedName name="_1999E_EBITDAX" localSheetId="26">[17]summary!#REF!</definedName>
    <definedName name="_1999E_EBITDAX" localSheetId="27">[17]summary!#REF!</definedName>
    <definedName name="_1999E_EBITDAX" localSheetId="30">[17]summary!#REF!</definedName>
    <definedName name="_1999E_EBITDAX" localSheetId="31">[17]summary!#REF!</definedName>
    <definedName name="_1999E_EBITDAX" localSheetId="33">[17]summary!#REF!</definedName>
    <definedName name="_1999E_EBITDAX">[17]summary!#REF!</definedName>
    <definedName name="_1999E_Exploration_Expense" localSheetId="37">[17]summary!#REF!</definedName>
    <definedName name="_1999E_Exploration_Expense" localSheetId="17">[17]summary!#REF!</definedName>
    <definedName name="_1999E_Exploration_Expense" localSheetId="26">[17]summary!#REF!</definedName>
    <definedName name="_1999E_Exploration_Expense" localSheetId="27">[17]summary!#REF!</definedName>
    <definedName name="_1999E_Exploration_Expense" localSheetId="30">[17]summary!#REF!</definedName>
    <definedName name="_1999E_Exploration_Expense" localSheetId="31">[17]summary!#REF!</definedName>
    <definedName name="_1999E_Exploration_Expense" localSheetId="33">[17]summary!#REF!</definedName>
    <definedName name="_1999E_Exploration_Expense">[17]summary!#REF!</definedName>
    <definedName name="_1999E_Interest_Expense" localSheetId="37">[17]summary!#REF!</definedName>
    <definedName name="_1999E_Interest_Expense" localSheetId="17">[17]summary!#REF!</definedName>
    <definedName name="_1999E_Interest_Expense" localSheetId="26">[17]summary!#REF!</definedName>
    <definedName name="_1999E_Interest_Expense" localSheetId="27">[17]summary!#REF!</definedName>
    <definedName name="_1999E_Interest_Expense" localSheetId="30">[17]summary!#REF!</definedName>
    <definedName name="_1999E_Interest_Expense" localSheetId="31">[17]summary!#REF!</definedName>
    <definedName name="_1999E_Interest_Expense" localSheetId="33">[17]summary!#REF!</definedName>
    <definedName name="_1999E_Interest_Expense">[17]summary!#REF!</definedName>
    <definedName name="_1999E_Minority_Interest" localSheetId="37">[17]summary!#REF!</definedName>
    <definedName name="_1999E_Minority_Interest" localSheetId="17">[17]summary!#REF!</definedName>
    <definedName name="_1999E_Minority_Interest" localSheetId="26">[17]summary!#REF!</definedName>
    <definedName name="_1999E_Minority_Interest" localSheetId="27">[17]summary!#REF!</definedName>
    <definedName name="_1999E_Minority_Interest" localSheetId="30">[17]summary!#REF!</definedName>
    <definedName name="_1999E_Minority_Interest" localSheetId="31">[17]summary!#REF!</definedName>
    <definedName name="_1999E_Minority_Interest" localSheetId="33">[17]summary!#REF!</definedName>
    <definedName name="_1999E_Minority_Interest">[17]summary!#REF!</definedName>
    <definedName name="_1999E_Net_Income" localSheetId="37">[17]summary!#REF!</definedName>
    <definedName name="_1999E_Net_Income" localSheetId="17">[17]summary!#REF!</definedName>
    <definedName name="_1999E_Net_Income" localSheetId="26">[17]summary!#REF!</definedName>
    <definedName name="_1999E_Net_Income" localSheetId="27">[17]summary!#REF!</definedName>
    <definedName name="_1999E_Net_Income" localSheetId="30">[17]summary!#REF!</definedName>
    <definedName name="_1999E_Net_Income" localSheetId="31">[17]summary!#REF!</definedName>
    <definedName name="_1999E_Net_Income" localSheetId="33">[17]summary!#REF!</definedName>
    <definedName name="_1999E_Net_Income">[17]summary!#REF!</definedName>
    <definedName name="_1999E_Other_Income" localSheetId="37">[17]summary!#REF!</definedName>
    <definedName name="_1999E_Other_Income" localSheetId="17">[17]summary!#REF!</definedName>
    <definedName name="_1999E_Other_Income" localSheetId="26">[17]summary!#REF!</definedName>
    <definedName name="_1999E_Other_Income" localSheetId="27">[17]summary!#REF!</definedName>
    <definedName name="_1999E_Other_Income" localSheetId="30">[17]summary!#REF!</definedName>
    <definedName name="_1999E_Other_Income" localSheetId="31">[17]summary!#REF!</definedName>
    <definedName name="_1999E_Other_Income" localSheetId="33">[17]summary!#REF!</definedName>
    <definedName name="_1999E_Other_Income">[17]summary!#REF!</definedName>
    <definedName name="_1999E_Other_Non_Cash_Items" localSheetId="37">[17]summary!#REF!</definedName>
    <definedName name="_1999E_Other_Non_Cash_Items" localSheetId="17">[17]summary!#REF!</definedName>
    <definedName name="_1999E_Other_Non_Cash_Items" localSheetId="26">[17]summary!#REF!</definedName>
    <definedName name="_1999E_Other_Non_Cash_Items" localSheetId="27">[17]summary!#REF!</definedName>
    <definedName name="_1999E_Other_Non_Cash_Items" localSheetId="30">[17]summary!#REF!</definedName>
    <definedName name="_1999E_Other_Non_Cash_Items" localSheetId="31">[17]summary!#REF!</definedName>
    <definedName name="_1999E_Other_Non_Cash_Items" localSheetId="33">[17]summary!#REF!</definedName>
    <definedName name="_1999E_Other_Non_Cash_Items">[17]summary!#REF!</definedName>
    <definedName name="_1999E_Revenue" localSheetId="37">[17]summary!#REF!</definedName>
    <definedName name="_1999E_Revenue" localSheetId="17">[17]summary!#REF!</definedName>
    <definedName name="_1999E_Revenue" localSheetId="26">[17]summary!#REF!</definedName>
    <definedName name="_1999E_Revenue" localSheetId="27">[17]summary!#REF!</definedName>
    <definedName name="_1999E_Revenue" localSheetId="30">[17]summary!#REF!</definedName>
    <definedName name="_1999E_Revenue" localSheetId="31">[17]summary!#REF!</definedName>
    <definedName name="_1999E_Revenue" localSheetId="33">[17]summary!#REF!</definedName>
    <definedName name="_1999E_Revenue">[17]summary!#REF!</definedName>
    <definedName name="_1999E_Weighted_Average_Shares_Outstanding" localSheetId="37">[17]summary!#REF!</definedName>
    <definedName name="_1999E_Weighted_Average_Shares_Outstanding" localSheetId="17">[17]summary!#REF!</definedName>
    <definedName name="_1999E_Weighted_Average_Shares_Outstanding" localSheetId="26">[17]summary!#REF!</definedName>
    <definedName name="_1999E_Weighted_Average_Shares_Outstanding" localSheetId="27">[17]summary!#REF!</definedName>
    <definedName name="_1999E_Weighted_Average_Shares_Outstanding" localSheetId="30">[17]summary!#REF!</definedName>
    <definedName name="_1999E_Weighted_Average_Shares_Outstanding" localSheetId="31">[17]summary!#REF!</definedName>
    <definedName name="_1999E_Weighted_Average_Shares_Outstanding" localSheetId="33">[17]summary!#REF!</definedName>
    <definedName name="_1999E_Weighted_Average_Shares_Outstanding">[17]summary!#REF!</definedName>
    <definedName name="_2___0Exp" localSheetId="37">#REF!</definedName>
    <definedName name="_2___0Exp" localSheetId="17">#REF!</definedName>
    <definedName name="_2___0Exp" localSheetId="26">#REF!</definedName>
    <definedName name="_2___0Exp" localSheetId="27">#REF!</definedName>
    <definedName name="_2___0Exp" localSheetId="30">#REF!</definedName>
    <definedName name="_2___0Exp" localSheetId="31">#REF!</definedName>
    <definedName name="_2___0Exp" localSheetId="33">#REF!</definedName>
    <definedName name="_2___0Exp">#REF!</definedName>
    <definedName name="_2__123Graph_ACHART_10" hidden="1">'[15]Produt JAN'!$B$12:$B$13</definedName>
    <definedName name="_2_0Exp" localSheetId="37">#REF!</definedName>
    <definedName name="_2_0Exp" localSheetId="17">#REF!</definedName>
    <definedName name="_2_0Exp" localSheetId="26">#REF!</definedName>
    <definedName name="_2_0Exp" localSheetId="27">#REF!</definedName>
    <definedName name="_2_0Exp" localSheetId="30">#REF!</definedName>
    <definedName name="_2_0Exp" localSheetId="31">#REF!</definedName>
    <definedName name="_2_0Exp" localSheetId="33">#REF!</definedName>
    <definedName name="_2_0Exp">#REF!</definedName>
    <definedName name="_2_0Inp" localSheetId="37">[12]Assumptions!#REF!</definedName>
    <definedName name="_2_0Inp" localSheetId="17">[12]Assumptions!#REF!</definedName>
    <definedName name="_2_0Inp" localSheetId="26">[12]Assumptions!#REF!</definedName>
    <definedName name="_2_0Inp" localSheetId="27">[12]Assumptions!#REF!</definedName>
    <definedName name="_2_0Inp" localSheetId="30">[12]Assumptions!#REF!</definedName>
    <definedName name="_2_0Inp" localSheetId="31">[12]Assumptions!#REF!</definedName>
    <definedName name="_2_0Inp" localSheetId="33">[12]Assumptions!#REF!</definedName>
    <definedName name="_2_0Inp">[12]Assumptions!#REF!</definedName>
    <definedName name="_20__123Graph_ACHART_3" hidden="1">[15]DADOS!$J$30:$L$30</definedName>
    <definedName name="_2000E_Asset_Sales" localSheetId="37">[17]summary!#REF!</definedName>
    <definedName name="_2000E_Asset_Sales" localSheetId="17">[17]summary!#REF!</definedName>
    <definedName name="_2000E_Asset_Sales" localSheetId="26">[17]summary!#REF!</definedName>
    <definedName name="_2000E_Asset_Sales" localSheetId="27">[17]summary!#REF!</definedName>
    <definedName name="_2000E_Asset_Sales" localSheetId="30">[17]summary!#REF!</definedName>
    <definedName name="_2000E_Asset_Sales" localSheetId="31">[17]summary!#REF!</definedName>
    <definedName name="_2000E_Asset_Sales" localSheetId="33">[17]summary!#REF!</definedName>
    <definedName name="_2000E_Asset_Sales">[17]summary!#REF!</definedName>
    <definedName name="_2000E_Capex" localSheetId="37">[17]summary!#REF!</definedName>
    <definedName name="_2000E_Capex" localSheetId="17">[17]summary!#REF!</definedName>
    <definedName name="_2000E_Capex" localSheetId="26">[17]summary!#REF!</definedName>
    <definedName name="_2000E_Capex" localSheetId="27">[17]summary!#REF!</definedName>
    <definedName name="_2000E_Capex" localSheetId="30">[17]summary!#REF!</definedName>
    <definedName name="_2000E_Capex" localSheetId="31">[17]summary!#REF!</definedName>
    <definedName name="_2000E_Capex" localSheetId="33">[17]summary!#REF!</definedName>
    <definedName name="_2000E_Capex">[17]summary!#REF!</definedName>
    <definedName name="_2000E_Capitalized_Interest" localSheetId="37">[17]summary!#REF!</definedName>
    <definedName name="_2000E_Capitalized_Interest" localSheetId="17">[17]summary!#REF!</definedName>
    <definedName name="_2000E_Capitalized_Interest" localSheetId="26">[17]summary!#REF!</definedName>
    <definedName name="_2000E_Capitalized_Interest" localSheetId="27">[17]summary!#REF!</definedName>
    <definedName name="_2000E_Capitalized_Interest" localSheetId="30">[17]summary!#REF!</definedName>
    <definedName name="_2000E_Capitalized_Interest" localSheetId="31">[17]summary!#REF!</definedName>
    <definedName name="_2000E_Capitalized_Interest" localSheetId="33">[17]summary!#REF!</definedName>
    <definedName name="_2000E_Capitalized_Interest">[17]summary!#REF!</definedName>
    <definedName name="_2000E_Cash_Flow" localSheetId="37">[17]summary!#REF!</definedName>
    <definedName name="_2000E_Cash_Flow" localSheetId="17">[17]summary!#REF!</definedName>
    <definedName name="_2000E_Cash_Flow" localSheetId="26">[17]summary!#REF!</definedName>
    <definedName name="_2000E_Cash_Flow" localSheetId="27">[17]summary!#REF!</definedName>
    <definedName name="_2000E_Cash_Flow" localSheetId="30">[17]summary!#REF!</definedName>
    <definedName name="_2000E_Cash_Flow" localSheetId="31">[17]summary!#REF!</definedName>
    <definedName name="_2000E_Cash_Flow" localSheetId="33">[17]summary!#REF!</definedName>
    <definedName name="_2000E_Cash_Flow">[17]summary!#REF!</definedName>
    <definedName name="_2000E_Current_Income_Tax" localSheetId="37">[17]summary!#REF!</definedName>
    <definedName name="_2000E_Current_Income_Tax" localSheetId="17">[17]summary!#REF!</definedName>
    <definedName name="_2000E_Current_Income_Tax" localSheetId="26">[17]summary!#REF!</definedName>
    <definedName name="_2000E_Current_Income_Tax" localSheetId="27">[17]summary!#REF!</definedName>
    <definedName name="_2000E_Current_Income_Tax" localSheetId="30">[17]summary!#REF!</definedName>
    <definedName name="_2000E_Current_Income_Tax" localSheetId="31">[17]summary!#REF!</definedName>
    <definedName name="_2000E_Current_Income_Tax" localSheetId="33">[17]summary!#REF!</definedName>
    <definedName name="_2000E_Current_Income_Tax">[17]summary!#REF!</definedName>
    <definedName name="_2000E_DD_A" localSheetId="37">[17]summary!#REF!</definedName>
    <definedName name="_2000E_DD_A" localSheetId="17">[17]summary!#REF!</definedName>
    <definedName name="_2000E_DD_A" localSheetId="26">[17]summary!#REF!</definedName>
    <definedName name="_2000E_DD_A" localSheetId="27">[17]summary!#REF!</definedName>
    <definedName name="_2000E_DD_A" localSheetId="30">[17]summary!#REF!</definedName>
    <definedName name="_2000E_DD_A" localSheetId="31">[17]summary!#REF!</definedName>
    <definedName name="_2000E_DD_A" localSheetId="33">[17]summary!#REF!</definedName>
    <definedName name="_2000E_DD_A">[17]summary!#REF!</definedName>
    <definedName name="_2000E_Deferred_Income_Tax" localSheetId="37">[17]summary!#REF!</definedName>
    <definedName name="_2000E_Deferred_Income_Tax" localSheetId="17">[17]summary!#REF!</definedName>
    <definedName name="_2000E_Deferred_Income_Tax" localSheetId="26">[17]summary!#REF!</definedName>
    <definedName name="_2000E_Deferred_Income_Tax" localSheetId="27">[17]summary!#REF!</definedName>
    <definedName name="_2000E_Deferred_Income_Tax" localSheetId="30">[17]summary!#REF!</definedName>
    <definedName name="_2000E_Deferred_Income_Tax" localSheetId="31">[17]summary!#REF!</definedName>
    <definedName name="_2000E_Deferred_Income_Tax" localSheetId="33">[17]summary!#REF!</definedName>
    <definedName name="_2000E_Deferred_Income_Tax">[17]summary!#REF!</definedName>
    <definedName name="_2000E_EBIT" localSheetId="37">[17]summary!#REF!</definedName>
    <definedName name="_2000E_EBIT" localSheetId="17">[17]summary!#REF!</definedName>
    <definedName name="_2000E_EBIT" localSheetId="26">[17]summary!#REF!</definedName>
    <definedName name="_2000E_EBIT" localSheetId="27">[17]summary!#REF!</definedName>
    <definedName name="_2000E_EBIT" localSheetId="30">[17]summary!#REF!</definedName>
    <definedName name="_2000E_EBIT" localSheetId="31">[17]summary!#REF!</definedName>
    <definedName name="_2000E_EBIT" localSheetId="33">[17]summary!#REF!</definedName>
    <definedName name="_2000E_EBIT">[17]summary!#REF!</definedName>
    <definedName name="_2000E_EBITDAX" localSheetId="37">[17]summary!#REF!</definedName>
    <definedName name="_2000E_EBITDAX" localSheetId="17">[17]summary!#REF!</definedName>
    <definedName name="_2000E_EBITDAX" localSheetId="26">[17]summary!#REF!</definedName>
    <definedName name="_2000E_EBITDAX" localSheetId="27">[17]summary!#REF!</definedName>
    <definedName name="_2000E_EBITDAX" localSheetId="30">[17]summary!#REF!</definedName>
    <definedName name="_2000E_EBITDAX" localSheetId="31">[17]summary!#REF!</definedName>
    <definedName name="_2000E_EBITDAX" localSheetId="33">[17]summary!#REF!</definedName>
    <definedName name="_2000E_EBITDAX">[17]summary!#REF!</definedName>
    <definedName name="_2000E_Exploration_Expense" localSheetId="37">[17]summary!#REF!</definedName>
    <definedName name="_2000E_Exploration_Expense" localSheetId="17">[17]summary!#REF!</definedName>
    <definedName name="_2000E_Exploration_Expense" localSheetId="26">[17]summary!#REF!</definedName>
    <definedName name="_2000E_Exploration_Expense" localSheetId="27">[17]summary!#REF!</definedName>
    <definedName name="_2000E_Exploration_Expense" localSheetId="30">[17]summary!#REF!</definedName>
    <definedName name="_2000E_Exploration_Expense" localSheetId="31">[17]summary!#REF!</definedName>
    <definedName name="_2000E_Exploration_Expense" localSheetId="33">[17]summary!#REF!</definedName>
    <definedName name="_2000E_Exploration_Expense">[17]summary!#REF!</definedName>
    <definedName name="_2000E_Interest_Expense" localSheetId="37">[17]summary!#REF!</definedName>
    <definedName name="_2000E_Interest_Expense" localSheetId="17">[17]summary!#REF!</definedName>
    <definedName name="_2000E_Interest_Expense" localSheetId="26">[17]summary!#REF!</definedName>
    <definedName name="_2000E_Interest_Expense" localSheetId="27">[17]summary!#REF!</definedName>
    <definedName name="_2000E_Interest_Expense" localSheetId="30">[17]summary!#REF!</definedName>
    <definedName name="_2000E_Interest_Expense" localSheetId="31">[17]summary!#REF!</definedName>
    <definedName name="_2000E_Interest_Expense" localSheetId="33">[17]summary!#REF!</definedName>
    <definedName name="_2000E_Interest_Expense">[17]summary!#REF!</definedName>
    <definedName name="_2000E_Minority_Interest" localSheetId="37">[17]summary!#REF!</definedName>
    <definedName name="_2000E_Minority_Interest" localSheetId="17">[17]summary!#REF!</definedName>
    <definedName name="_2000E_Minority_Interest" localSheetId="26">[17]summary!#REF!</definedName>
    <definedName name="_2000E_Minority_Interest" localSheetId="27">[17]summary!#REF!</definedName>
    <definedName name="_2000E_Minority_Interest" localSheetId="30">[17]summary!#REF!</definedName>
    <definedName name="_2000E_Minority_Interest" localSheetId="31">[17]summary!#REF!</definedName>
    <definedName name="_2000E_Minority_Interest" localSheetId="33">[17]summary!#REF!</definedName>
    <definedName name="_2000E_Minority_Interest">[17]summary!#REF!</definedName>
    <definedName name="_2000E_Net_Income" localSheetId="37">[17]summary!#REF!</definedName>
    <definedName name="_2000E_Net_Income" localSheetId="17">[17]summary!#REF!</definedName>
    <definedName name="_2000E_Net_Income" localSheetId="26">[17]summary!#REF!</definedName>
    <definedName name="_2000E_Net_Income" localSheetId="27">[17]summary!#REF!</definedName>
    <definedName name="_2000E_Net_Income" localSheetId="30">[17]summary!#REF!</definedName>
    <definedName name="_2000E_Net_Income" localSheetId="31">[17]summary!#REF!</definedName>
    <definedName name="_2000E_Net_Income" localSheetId="33">[17]summary!#REF!</definedName>
    <definedName name="_2000E_Net_Income">[17]summary!#REF!</definedName>
    <definedName name="_2000E_Other_Income" localSheetId="37">[17]summary!#REF!</definedName>
    <definedName name="_2000E_Other_Income" localSheetId="17">[17]summary!#REF!</definedName>
    <definedName name="_2000E_Other_Income" localSheetId="26">[17]summary!#REF!</definedName>
    <definedName name="_2000E_Other_Income" localSheetId="27">[17]summary!#REF!</definedName>
    <definedName name="_2000E_Other_Income" localSheetId="30">[17]summary!#REF!</definedName>
    <definedName name="_2000E_Other_Income" localSheetId="31">[17]summary!#REF!</definedName>
    <definedName name="_2000E_Other_Income" localSheetId="33">[17]summary!#REF!</definedName>
    <definedName name="_2000E_Other_Income">[17]summary!#REF!</definedName>
    <definedName name="_2000E_Other_Non_Cash_Items" localSheetId="37">[17]summary!#REF!</definedName>
    <definedName name="_2000E_Other_Non_Cash_Items" localSheetId="17">[17]summary!#REF!</definedName>
    <definedName name="_2000E_Other_Non_Cash_Items" localSheetId="26">[17]summary!#REF!</definedName>
    <definedName name="_2000E_Other_Non_Cash_Items" localSheetId="27">[17]summary!#REF!</definedName>
    <definedName name="_2000E_Other_Non_Cash_Items" localSheetId="30">[17]summary!#REF!</definedName>
    <definedName name="_2000E_Other_Non_Cash_Items" localSheetId="31">[17]summary!#REF!</definedName>
    <definedName name="_2000E_Other_Non_Cash_Items" localSheetId="33">[17]summary!#REF!</definedName>
    <definedName name="_2000E_Other_Non_Cash_Items">[17]summary!#REF!</definedName>
    <definedName name="_2000E_Revenue" localSheetId="37">[17]summary!#REF!</definedName>
    <definedName name="_2000E_Revenue" localSheetId="17">[17]summary!#REF!</definedName>
    <definedName name="_2000E_Revenue" localSheetId="26">[17]summary!#REF!</definedName>
    <definedName name="_2000E_Revenue" localSheetId="27">[17]summary!#REF!</definedName>
    <definedName name="_2000E_Revenue" localSheetId="30">[17]summary!#REF!</definedName>
    <definedName name="_2000E_Revenue" localSheetId="31">[17]summary!#REF!</definedName>
    <definedName name="_2000E_Revenue" localSheetId="33">[17]summary!#REF!</definedName>
    <definedName name="_2000E_Revenue">[17]summary!#REF!</definedName>
    <definedName name="_2000E_Weighted_Average_Shares_Outstanding" localSheetId="37">[17]summary!#REF!</definedName>
    <definedName name="_2000E_Weighted_Average_Shares_Outstanding" localSheetId="17">[17]summary!#REF!</definedName>
    <definedName name="_2000E_Weighted_Average_Shares_Outstanding" localSheetId="26">[17]summary!#REF!</definedName>
    <definedName name="_2000E_Weighted_Average_Shares_Outstanding" localSheetId="27">[17]summary!#REF!</definedName>
    <definedName name="_2000E_Weighted_Average_Shares_Outstanding" localSheetId="30">[17]summary!#REF!</definedName>
    <definedName name="_2000E_Weighted_Average_Shares_Outstanding" localSheetId="31">[17]summary!#REF!</definedName>
    <definedName name="_2000E_Weighted_Average_Shares_Outstanding" localSheetId="33">[17]summary!#REF!</definedName>
    <definedName name="_2000E_Weighted_Average_Shares_Outstanding">[17]summary!#REF!</definedName>
    <definedName name="_21__123Graph_ACHART_31" hidden="1">'[15]Produt MAI'!$J$48:$L$48</definedName>
    <definedName name="_22__123Graph_ACHART_33" hidden="1">'[15]Produt JUN'!$J$48:$L$48</definedName>
    <definedName name="_23__123Graph_ACHART_35" hidden="1">'[15]Produt JUL'!$J$48:$L$48</definedName>
    <definedName name="_24__123Graph_ACHART_37" hidden="1">'[15]Produt AGO'!$J$48:$L$48</definedName>
    <definedName name="_25__123Graph_ACHART_39" hidden="1">'[15]Produt SET'!$J$48:$L$48</definedName>
    <definedName name="_26__123Graph_ACHART_4" hidden="1">[15]DADOS!$O$28:$Q$28</definedName>
    <definedName name="_27__123Graph_ACHART_41" hidden="1">'[15]Produt OUT'!$J$48:$L$48</definedName>
    <definedName name="_28__123Graph_ACHART_43" hidden="1">'[15]Produt NOV'!$J$48:$L$48</definedName>
    <definedName name="_29__123Graph_ACHART_45" hidden="1">'[15]Produt DEZ'!$J$48:$L$48</definedName>
    <definedName name="_3__123Graph_ACHART_11" hidden="1">'[15]Produt JAN'!$J$46:$L$46</definedName>
    <definedName name="_3__123Graph_BCHART_5" hidden="1">[18]MEX95IB!#REF!</definedName>
    <definedName name="_3__123Graph_BCHART_5OpCo" hidden="1">[18]MEX95IB!#REF!</definedName>
    <definedName name="_30__123Graph_ACHART_5" hidden="1">[15]DADOS!$O$30:$Q$30</definedName>
    <definedName name="_31__123Graph_ACHART_6" hidden="1">[15]DADOS!$G$15:$G$26</definedName>
    <definedName name="_32__123Graph_ACHART_7" hidden="1">[15]DADOS!$S$28:$U$28</definedName>
    <definedName name="_33__123Graph_ACHART_8" hidden="1">[15]DADOS!$S$30:$U$30</definedName>
    <definedName name="_34__123Graph_ACHART_9" hidden="1">[15]DADOS!$T$13:$T$26</definedName>
    <definedName name="_35__123Graph_BCHART_1" hidden="1">[15]DADOS!$J$13:$J$26</definedName>
    <definedName name="_36__123Graph_BCHART_10" hidden="1">'[15]Produt JAN'!$AE$12:$AE$44</definedName>
    <definedName name="_37__123Graph_BCHART_13" hidden="1">'[15]Produt FEV'!$AE$12:$AE$44</definedName>
    <definedName name="_38__123Graph_BCHART_14" hidden="1">'[15]Produt MAR'!$AE$12:$AE$44</definedName>
    <definedName name="_39__123Graph_BCHART_15" hidden="1">'[15]Produt ABR'!$AE$12:$AE$44</definedName>
    <definedName name="_4__123Graph_ACHART_12" hidden="1">'[15]Produt JAN'!$J$48:$L$48</definedName>
    <definedName name="_4__123Graph_AIRR_IRR" localSheetId="2" hidden="1">#REF!</definedName>
    <definedName name="_4__123Graph_AIRR_IRR" localSheetId="4" hidden="1">#REF!</definedName>
    <definedName name="_4__123Graph_AIRR_IRR" hidden="1">#REF!</definedName>
    <definedName name="_4_0Exp" localSheetId="37">#REF!</definedName>
    <definedName name="_4_0Exp" localSheetId="17">#REF!</definedName>
    <definedName name="_4_0Exp" localSheetId="26">#REF!</definedName>
    <definedName name="_4_0Exp" localSheetId="27">#REF!</definedName>
    <definedName name="_4_0Exp" localSheetId="30">#REF!</definedName>
    <definedName name="_4_0Exp" localSheetId="31">#REF!</definedName>
    <definedName name="_4_0Exp" localSheetId="33">#REF!</definedName>
    <definedName name="_4_0Exp">#REF!</definedName>
    <definedName name="_40__123Graph_BCHART_16" hidden="1">'[15]Produt MAI'!$AE$12:$AE$44</definedName>
    <definedName name="_41__123Graph_BCHART_17" hidden="1">'[15]Produt JUN'!$AE$12:$AE$44</definedName>
    <definedName name="_42__123Graph_BCHART_18" hidden="1">'[15]Produt JUL'!$AE$12:$AE$44</definedName>
    <definedName name="_43__123Graph_BCHART_19" hidden="1">'[15]Produt AGO'!$AE$12:$AE$44</definedName>
    <definedName name="_44__123Graph_BCHART_2" hidden="1">[16]PARETOS!$N$4:$N$10</definedName>
    <definedName name="_45__123Graph_BCHART_20" hidden="1">'[15]Produt SET'!$AE$12:$AE$44</definedName>
    <definedName name="_46__123Graph_BCHART_21" hidden="1">'[15]Produt OUT'!$AE$12:$AE$44</definedName>
    <definedName name="_47__123Graph_BCHART_22" hidden="1">'[15]Produt NOV'!$AE$12:$AE$44</definedName>
    <definedName name="_48__123Graph_BCHART_23" hidden="1">'[15]Produt DEZ'!$AE$12:$AE$44</definedName>
    <definedName name="_49__123Graph_BCHART_3" hidden="1">[16]PARETOS!$O$28:$O$35</definedName>
    <definedName name="_5__123Graph_ACHART_13" hidden="1">'[15]Produt FEV'!$B$12:$B$13</definedName>
    <definedName name="_50__123Graph_BCHART_6" hidden="1">[15]DADOS!$O$15:$O$26</definedName>
    <definedName name="_51__123Graph_BCHART_9" hidden="1">[15]DADOS!$U$13:$U$26</definedName>
    <definedName name="_52__123Graph_CCHART_1" hidden="1">[15]DADOS!$L$13:$L$26</definedName>
    <definedName name="_53__123Graph_CCHART_10" hidden="1">'[15]Produt JAN'!$AF$12:$AF$44</definedName>
    <definedName name="_54__123Graph_CCHART_13" hidden="1">'[15]Produt FEV'!$AF$12:$AF$44</definedName>
    <definedName name="_55__123Graph_CCHART_14" hidden="1">'[15]Produt MAR'!$AF$12:$AF$44</definedName>
    <definedName name="_56__123Graph_CCHART_15" hidden="1">'[15]Produt ABR'!$AF$12:$AF$44</definedName>
    <definedName name="_57__123Graph_CCHART_16" hidden="1">'[15]Produt MAI'!$AF$12:$AF$44</definedName>
    <definedName name="_58__123Graph_CCHART_17" hidden="1">'[15]Produt JUN'!$AF$12:$AF$44</definedName>
    <definedName name="_59__123Graph_CCHART_18" hidden="1">'[15]Produt JUL'!$AF$12:$AF$44</definedName>
    <definedName name="_5Excel_BuiltIn_Print_Area_1_1" localSheetId="37">#REF!</definedName>
    <definedName name="_5Excel_BuiltIn_Print_Area_1_1" localSheetId="17">#REF!</definedName>
    <definedName name="_5Excel_BuiltIn_Print_Area_1_1" localSheetId="26">#REF!</definedName>
    <definedName name="_5Excel_BuiltIn_Print_Area_1_1" localSheetId="27">#REF!</definedName>
    <definedName name="_5Excel_BuiltIn_Print_Area_1_1" localSheetId="30">#REF!</definedName>
    <definedName name="_5Excel_BuiltIn_Print_Area_1_1" localSheetId="31">#REF!</definedName>
    <definedName name="_5Excel_BuiltIn_Print_Area_1_1" localSheetId="33">#REF!</definedName>
    <definedName name="_5Excel_BuiltIn_Print_Area_1_1">#REF!</definedName>
    <definedName name="_6__123Graph_ACHART_14" hidden="1">'[15]Produt MAR'!$B$12:$B$13</definedName>
    <definedName name="_60__123Graph_CCHART_19" hidden="1">'[15]Produt AGO'!$AF$12:$AF$44</definedName>
    <definedName name="_61__123Graph_CCHART_20" hidden="1">'[15]Produt SET'!$AF$12:$AF$44</definedName>
    <definedName name="_62__123Graph_CCHART_21" hidden="1">'[15]Produt OUT'!$AF$12:$AF$44</definedName>
    <definedName name="_63__123Graph_CCHART_22" hidden="1">'[15]Produt NOV'!$AF$12:$AF$44</definedName>
    <definedName name="_64__123Graph_CCHART_23" hidden="1">'[15]Produt DEZ'!$AF$12:$AF$44</definedName>
    <definedName name="_65__123Graph_CCHART_6" hidden="1">[15]DADOS!$P$15:$P$26</definedName>
    <definedName name="_66__123Graph_CCHART_9" hidden="1">[15]DADOS!$S$13:$S$26</definedName>
    <definedName name="_67__123Graph_DCHART_1" hidden="1">[15]DADOS!$M$13:$M$26</definedName>
    <definedName name="_68__123Graph_DCHART_10" hidden="1">'[15]Produt JAN'!$AG$12:$AG$44</definedName>
    <definedName name="_69__123Graph_DCHART_13" hidden="1">'[15]Produt FEV'!$AG$12:$AG$44</definedName>
    <definedName name="_7__123Graph_ACHART_15" hidden="1">'[15]Produt ABR'!$B$12:$B$13</definedName>
    <definedName name="_7__123Graph_AMOF_NB" hidden="1">[19]計算過程シート!#REF!</definedName>
    <definedName name="_70__123Graph_DCHART_14" hidden="1">'[15]Produt MAR'!$AG$12:$AG$44</definedName>
    <definedName name="_71__123Graph_DCHART_15" hidden="1">'[15]Produt ABR'!$AG$12:$AG$44</definedName>
    <definedName name="_72__123Graph_DCHART_16" hidden="1">'[15]Produt MAI'!$AG$12:$AG$44</definedName>
    <definedName name="_73__123Graph_DCHART_17" hidden="1">'[15]Produt JUN'!$AG$12:$AG$44</definedName>
    <definedName name="_74__123Graph_DCHART_18" hidden="1">'[15]Produt JUL'!$AG$12:$AG$44</definedName>
    <definedName name="_75__123Graph_DCHART_19" hidden="1">'[15]Produt AGO'!$AG$12:$AG$44</definedName>
    <definedName name="_76__123Graph_DCHART_20" hidden="1">'[15]Produt SET'!$AG$12:$AG$44</definedName>
    <definedName name="_77__123Graph_DCHART_21" hidden="1">'[15]Produt OUT'!$AG$12:$AG$44</definedName>
    <definedName name="_78__123Graph_DCHART_22" hidden="1">'[15]Produt NOV'!$AG$12:$AG$44</definedName>
    <definedName name="_79__123Graph_DCHART_23" hidden="1">'[15]Produt DEZ'!$AG$12:$AG$44</definedName>
    <definedName name="_8__123Graph_ACHART_16" hidden="1">'[15]Produt MAI'!$B$12:$B$13</definedName>
    <definedName name="_80__123Graph_DCHART_6" hidden="1">[15]DADOS!$Q$15:$Q$26</definedName>
    <definedName name="_81__123Graph_DCHART_9" hidden="1">[15]DADOS!$V$13:$V$26</definedName>
    <definedName name="_82__123Graph_ECHART_10" hidden="1">'[15]Produt JAN'!$AH$12:$AH$44</definedName>
    <definedName name="_83__123Graph_ECHART_13" hidden="1">'[15]Produt FEV'!$AH$12:$AH$44</definedName>
    <definedName name="_84__123Graph_ECHART_14" hidden="1">'[15]Produt MAR'!$AH$12:$AH$44</definedName>
    <definedName name="_85__123Graph_ECHART_15" hidden="1">'[15]Produt ABR'!$AH$12:$AH$44</definedName>
    <definedName name="_86__123Graph_ECHART_16" hidden="1">'[15]Produt MAI'!$AH$12:$AH$44</definedName>
    <definedName name="_87__123Graph_ECHART_17" hidden="1">'[15]Produt JUN'!$AH$12:$AH$44</definedName>
    <definedName name="_88__123Graph_ECHART_18" hidden="1">'[15]Produt JUL'!$AH$12:$AH$44</definedName>
    <definedName name="_89__123Graph_ECHART_19" hidden="1">'[15]Produt AGO'!$AH$12:$AH$44</definedName>
    <definedName name="_9__123Graph_ACHART_17" hidden="1">'[15]Produt JUN'!$B$12:$B$13</definedName>
    <definedName name="_9_30_95_Asset_Sales" localSheetId="37">[17]summary!#REF!</definedName>
    <definedName name="_9_30_95_Asset_Sales" localSheetId="17">[17]summary!#REF!</definedName>
    <definedName name="_9_30_95_Asset_Sales" localSheetId="26">[17]summary!#REF!</definedName>
    <definedName name="_9_30_95_Asset_Sales" localSheetId="27">[17]summary!#REF!</definedName>
    <definedName name="_9_30_95_Asset_Sales" localSheetId="30">[17]summary!#REF!</definedName>
    <definedName name="_9_30_95_Asset_Sales" localSheetId="31">[17]summary!#REF!</definedName>
    <definedName name="_9_30_95_Asset_Sales" localSheetId="33">[17]summary!#REF!</definedName>
    <definedName name="_9_30_95_Asset_Sales">[17]summary!#REF!</definedName>
    <definedName name="_9_30_95_Capex" localSheetId="37">[17]summary!#REF!</definedName>
    <definedName name="_9_30_95_Capex" localSheetId="17">[17]summary!#REF!</definedName>
    <definedName name="_9_30_95_Capex" localSheetId="26">[17]summary!#REF!</definedName>
    <definedName name="_9_30_95_Capex" localSheetId="27">[17]summary!#REF!</definedName>
    <definedName name="_9_30_95_Capex" localSheetId="30">[17]summary!#REF!</definedName>
    <definedName name="_9_30_95_Capex" localSheetId="31">[17]summary!#REF!</definedName>
    <definedName name="_9_30_95_Capex" localSheetId="33">[17]summary!#REF!</definedName>
    <definedName name="_9_30_95_Capex">[17]summary!#REF!</definedName>
    <definedName name="_9_30_95_Capitalized_Interest" localSheetId="37">[17]summary!#REF!</definedName>
    <definedName name="_9_30_95_Capitalized_Interest" localSheetId="17">[17]summary!#REF!</definedName>
    <definedName name="_9_30_95_Capitalized_Interest" localSheetId="26">[17]summary!#REF!</definedName>
    <definedName name="_9_30_95_Capitalized_Interest" localSheetId="27">[17]summary!#REF!</definedName>
    <definedName name="_9_30_95_Capitalized_Interest" localSheetId="30">[17]summary!#REF!</definedName>
    <definedName name="_9_30_95_Capitalized_Interest" localSheetId="31">[17]summary!#REF!</definedName>
    <definedName name="_9_30_95_Capitalized_Interest" localSheetId="33">[17]summary!#REF!</definedName>
    <definedName name="_9_30_95_Capitalized_Interest">[17]summary!#REF!</definedName>
    <definedName name="_9_30_95_Cash_Flow" localSheetId="37">[17]summary!#REF!</definedName>
    <definedName name="_9_30_95_Cash_Flow" localSheetId="17">[17]summary!#REF!</definedName>
    <definedName name="_9_30_95_Cash_Flow" localSheetId="26">[17]summary!#REF!</definedName>
    <definedName name="_9_30_95_Cash_Flow" localSheetId="27">[17]summary!#REF!</definedName>
    <definedName name="_9_30_95_Cash_Flow" localSheetId="30">[17]summary!#REF!</definedName>
    <definedName name="_9_30_95_Cash_Flow" localSheetId="31">[17]summary!#REF!</definedName>
    <definedName name="_9_30_95_Cash_Flow" localSheetId="33">[17]summary!#REF!</definedName>
    <definedName name="_9_30_95_Cash_Flow">[17]summary!#REF!</definedName>
    <definedName name="_9_30_95_Current_Income_Tax" localSheetId="37">[17]summary!#REF!</definedName>
    <definedName name="_9_30_95_Current_Income_Tax" localSheetId="17">[17]summary!#REF!</definedName>
    <definedName name="_9_30_95_Current_Income_Tax" localSheetId="26">[17]summary!#REF!</definedName>
    <definedName name="_9_30_95_Current_Income_Tax" localSheetId="27">[17]summary!#REF!</definedName>
    <definedName name="_9_30_95_Current_Income_Tax" localSheetId="30">[17]summary!#REF!</definedName>
    <definedName name="_9_30_95_Current_Income_Tax" localSheetId="31">[17]summary!#REF!</definedName>
    <definedName name="_9_30_95_Current_Income_Tax" localSheetId="33">[17]summary!#REF!</definedName>
    <definedName name="_9_30_95_Current_Income_Tax">[17]summary!#REF!</definedName>
    <definedName name="_9_30_95_DD_A" localSheetId="37">[17]summary!#REF!</definedName>
    <definedName name="_9_30_95_DD_A" localSheetId="17">[17]summary!#REF!</definedName>
    <definedName name="_9_30_95_DD_A" localSheetId="26">[17]summary!#REF!</definedName>
    <definedName name="_9_30_95_DD_A" localSheetId="27">[17]summary!#REF!</definedName>
    <definedName name="_9_30_95_DD_A" localSheetId="30">[17]summary!#REF!</definedName>
    <definedName name="_9_30_95_DD_A" localSheetId="31">[17]summary!#REF!</definedName>
    <definedName name="_9_30_95_DD_A" localSheetId="33">[17]summary!#REF!</definedName>
    <definedName name="_9_30_95_DD_A">[17]summary!#REF!</definedName>
    <definedName name="_9_30_95_Deferred_Income_Tax" localSheetId="37">[17]summary!#REF!</definedName>
    <definedName name="_9_30_95_Deferred_Income_Tax" localSheetId="17">[17]summary!#REF!</definedName>
    <definedName name="_9_30_95_Deferred_Income_Tax" localSheetId="26">[17]summary!#REF!</definedName>
    <definedName name="_9_30_95_Deferred_Income_Tax" localSheetId="27">[17]summary!#REF!</definedName>
    <definedName name="_9_30_95_Deferred_Income_Tax" localSheetId="30">[17]summary!#REF!</definedName>
    <definedName name="_9_30_95_Deferred_Income_Tax" localSheetId="31">[17]summary!#REF!</definedName>
    <definedName name="_9_30_95_Deferred_Income_Tax" localSheetId="33">[17]summary!#REF!</definedName>
    <definedName name="_9_30_95_Deferred_Income_Tax">[17]summary!#REF!</definedName>
    <definedName name="_9_30_95_EBIT" localSheetId="37">[17]summary!#REF!</definedName>
    <definedName name="_9_30_95_EBIT" localSheetId="17">[17]summary!#REF!</definedName>
    <definedName name="_9_30_95_EBIT" localSheetId="26">[17]summary!#REF!</definedName>
    <definedName name="_9_30_95_EBIT" localSheetId="27">[17]summary!#REF!</definedName>
    <definedName name="_9_30_95_EBIT" localSheetId="30">[17]summary!#REF!</definedName>
    <definedName name="_9_30_95_EBIT" localSheetId="31">[17]summary!#REF!</definedName>
    <definedName name="_9_30_95_EBIT" localSheetId="33">[17]summary!#REF!</definedName>
    <definedName name="_9_30_95_EBIT">[17]summary!#REF!</definedName>
    <definedName name="_9_30_95_EBITDAX" localSheetId="37">[17]summary!#REF!</definedName>
    <definedName name="_9_30_95_EBITDAX" localSheetId="17">[17]summary!#REF!</definedName>
    <definedName name="_9_30_95_EBITDAX" localSheetId="26">[17]summary!#REF!</definedName>
    <definedName name="_9_30_95_EBITDAX" localSheetId="27">[17]summary!#REF!</definedName>
    <definedName name="_9_30_95_EBITDAX" localSheetId="30">[17]summary!#REF!</definedName>
    <definedName name="_9_30_95_EBITDAX" localSheetId="31">[17]summary!#REF!</definedName>
    <definedName name="_9_30_95_EBITDAX" localSheetId="33">[17]summary!#REF!</definedName>
    <definedName name="_9_30_95_EBITDAX">[17]summary!#REF!</definedName>
    <definedName name="_9_30_95_Exploration_Expense" localSheetId="37">[17]summary!#REF!</definedName>
    <definedName name="_9_30_95_Exploration_Expense" localSheetId="17">[17]summary!#REF!</definedName>
    <definedName name="_9_30_95_Exploration_Expense" localSheetId="26">[17]summary!#REF!</definedName>
    <definedName name="_9_30_95_Exploration_Expense" localSheetId="27">[17]summary!#REF!</definedName>
    <definedName name="_9_30_95_Exploration_Expense" localSheetId="30">[17]summary!#REF!</definedName>
    <definedName name="_9_30_95_Exploration_Expense" localSheetId="31">[17]summary!#REF!</definedName>
    <definedName name="_9_30_95_Exploration_Expense" localSheetId="33">[17]summary!#REF!</definedName>
    <definedName name="_9_30_95_Exploration_Expense">[17]summary!#REF!</definedName>
    <definedName name="_9_30_95_Interest_Expense" localSheetId="37">[17]summary!#REF!</definedName>
    <definedName name="_9_30_95_Interest_Expense" localSheetId="17">[17]summary!#REF!</definedName>
    <definedName name="_9_30_95_Interest_Expense" localSheetId="26">[17]summary!#REF!</definedName>
    <definedName name="_9_30_95_Interest_Expense" localSheetId="27">[17]summary!#REF!</definedName>
    <definedName name="_9_30_95_Interest_Expense" localSheetId="30">[17]summary!#REF!</definedName>
    <definedName name="_9_30_95_Interest_Expense" localSheetId="31">[17]summary!#REF!</definedName>
    <definedName name="_9_30_95_Interest_Expense" localSheetId="33">[17]summary!#REF!</definedName>
    <definedName name="_9_30_95_Interest_Expense">[17]summary!#REF!</definedName>
    <definedName name="_9_30_95_Minority_Interest" localSheetId="37">[17]summary!#REF!</definedName>
    <definedName name="_9_30_95_Minority_Interest" localSheetId="17">[17]summary!#REF!</definedName>
    <definedName name="_9_30_95_Minority_Interest" localSheetId="26">[17]summary!#REF!</definedName>
    <definedName name="_9_30_95_Minority_Interest" localSheetId="27">[17]summary!#REF!</definedName>
    <definedName name="_9_30_95_Minority_Interest" localSheetId="30">[17]summary!#REF!</definedName>
    <definedName name="_9_30_95_Minority_Interest" localSheetId="31">[17]summary!#REF!</definedName>
    <definedName name="_9_30_95_Minority_Interest" localSheetId="33">[17]summary!#REF!</definedName>
    <definedName name="_9_30_95_Minority_Interest">[17]summary!#REF!</definedName>
    <definedName name="_9_30_95_Net_Income" localSheetId="37">[17]summary!#REF!</definedName>
    <definedName name="_9_30_95_Net_Income" localSheetId="17">[17]summary!#REF!</definedName>
    <definedName name="_9_30_95_Net_Income" localSheetId="26">[17]summary!#REF!</definedName>
    <definedName name="_9_30_95_Net_Income" localSheetId="27">[17]summary!#REF!</definedName>
    <definedName name="_9_30_95_Net_Income" localSheetId="30">[17]summary!#REF!</definedName>
    <definedName name="_9_30_95_Net_Income" localSheetId="31">[17]summary!#REF!</definedName>
    <definedName name="_9_30_95_Net_Income" localSheetId="33">[17]summary!#REF!</definedName>
    <definedName name="_9_30_95_Net_Income">[17]summary!#REF!</definedName>
    <definedName name="_9_30_95_Other_Income" localSheetId="37">[17]summary!#REF!</definedName>
    <definedName name="_9_30_95_Other_Income" localSheetId="17">[17]summary!#REF!</definedName>
    <definedName name="_9_30_95_Other_Income" localSheetId="26">[17]summary!#REF!</definedName>
    <definedName name="_9_30_95_Other_Income" localSheetId="27">[17]summary!#REF!</definedName>
    <definedName name="_9_30_95_Other_Income" localSheetId="30">[17]summary!#REF!</definedName>
    <definedName name="_9_30_95_Other_Income" localSheetId="31">[17]summary!#REF!</definedName>
    <definedName name="_9_30_95_Other_Income" localSheetId="33">[17]summary!#REF!</definedName>
    <definedName name="_9_30_95_Other_Income">[17]summary!#REF!</definedName>
    <definedName name="_9_30_95_Other_Non_Cash_Items" localSheetId="37">[17]summary!#REF!</definedName>
    <definedName name="_9_30_95_Other_Non_Cash_Items" localSheetId="17">[17]summary!#REF!</definedName>
    <definedName name="_9_30_95_Other_Non_Cash_Items" localSheetId="26">[17]summary!#REF!</definedName>
    <definedName name="_9_30_95_Other_Non_Cash_Items" localSheetId="27">[17]summary!#REF!</definedName>
    <definedName name="_9_30_95_Other_Non_Cash_Items" localSheetId="30">[17]summary!#REF!</definedName>
    <definedName name="_9_30_95_Other_Non_Cash_Items" localSheetId="31">[17]summary!#REF!</definedName>
    <definedName name="_9_30_95_Other_Non_Cash_Items" localSheetId="33">[17]summary!#REF!</definedName>
    <definedName name="_9_30_95_Other_Non_Cash_Items">[17]summary!#REF!</definedName>
    <definedName name="_9_30_95_Revenue" localSheetId="37">[17]summary!#REF!</definedName>
    <definedName name="_9_30_95_Revenue" localSheetId="17">[17]summary!#REF!</definedName>
    <definedName name="_9_30_95_Revenue" localSheetId="26">[17]summary!#REF!</definedName>
    <definedName name="_9_30_95_Revenue" localSheetId="27">[17]summary!#REF!</definedName>
    <definedName name="_9_30_95_Revenue" localSheetId="30">[17]summary!#REF!</definedName>
    <definedName name="_9_30_95_Revenue" localSheetId="31">[17]summary!#REF!</definedName>
    <definedName name="_9_30_95_Revenue" localSheetId="33">[17]summary!#REF!</definedName>
    <definedName name="_9_30_95_Revenue">[17]summary!#REF!</definedName>
    <definedName name="_9_30_95_Weighted_Average_Shares_Outstanding" localSheetId="37">[17]summary!#REF!</definedName>
    <definedName name="_9_30_95_Weighted_Average_Shares_Outstanding" localSheetId="17">[17]summary!#REF!</definedName>
    <definedName name="_9_30_95_Weighted_Average_Shares_Outstanding" localSheetId="26">[17]summary!#REF!</definedName>
    <definedName name="_9_30_95_Weighted_Average_Shares_Outstanding" localSheetId="27">[17]summary!#REF!</definedName>
    <definedName name="_9_30_95_Weighted_Average_Shares_Outstanding" localSheetId="30">[17]summary!#REF!</definedName>
    <definedName name="_9_30_95_Weighted_Average_Shares_Outstanding" localSheetId="31">[17]summary!#REF!</definedName>
    <definedName name="_9_30_95_Weighted_Average_Shares_Outstanding" localSheetId="33">[17]summary!#REF!</definedName>
    <definedName name="_9_30_95_Weighted_Average_Shares_Outstanding">[17]summary!#REF!</definedName>
    <definedName name="_9_30_96_Asset_Sales" localSheetId="37">[17]summary!#REF!</definedName>
    <definedName name="_9_30_96_Asset_Sales" localSheetId="17">[17]summary!#REF!</definedName>
    <definedName name="_9_30_96_Asset_Sales" localSheetId="26">[17]summary!#REF!</definedName>
    <definedName name="_9_30_96_Asset_Sales" localSheetId="27">[17]summary!#REF!</definedName>
    <definedName name="_9_30_96_Asset_Sales" localSheetId="30">[17]summary!#REF!</definedName>
    <definedName name="_9_30_96_Asset_Sales" localSheetId="31">[17]summary!#REF!</definedName>
    <definedName name="_9_30_96_Asset_Sales" localSheetId="33">[17]summary!#REF!</definedName>
    <definedName name="_9_30_96_Asset_Sales">[17]summary!#REF!</definedName>
    <definedName name="_9_30_96_Capex" localSheetId="37">[17]summary!#REF!</definedName>
    <definedName name="_9_30_96_Capex" localSheetId="17">[17]summary!#REF!</definedName>
    <definedName name="_9_30_96_Capex" localSheetId="26">[17]summary!#REF!</definedName>
    <definedName name="_9_30_96_Capex" localSheetId="27">[17]summary!#REF!</definedName>
    <definedName name="_9_30_96_Capex" localSheetId="30">[17]summary!#REF!</definedName>
    <definedName name="_9_30_96_Capex" localSheetId="31">[17]summary!#REF!</definedName>
    <definedName name="_9_30_96_Capex" localSheetId="33">[17]summary!#REF!</definedName>
    <definedName name="_9_30_96_Capex">[17]summary!#REF!</definedName>
    <definedName name="_9_30_96_Capitalized_Interest" localSheetId="37">[17]summary!#REF!</definedName>
    <definedName name="_9_30_96_Capitalized_Interest" localSheetId="17">[17]summary!#REF!</definedName>
    <definedName name="_9_30_96_Capitalized_Interest" localSheetId="26">[17]summary!#REF!</definedName>
    <definedName name="_9_30_96_Capitalized_Interest" localSheetId="27">[17]summary!#REF!</definedName>
    <definedName name="_9_30_96_Capitalized_Interest" localSheetId="30">[17]summary!#REF!</definedName>
    <definedName name="_9_30_96_Capitalized_Interest" localSheetId="31">[17]summary!#REF!</definedName>
    <definedName name="_9_30_96_Capitalized_Interest" localSheetId="33">[17]summary!#REF!</definedName>
    <definedName name="_9_30_96_Capitalized_Interest">[17]summary!#REF!</definedName>
    <definedName name="_9_30_96_Cash_Flow" localSheetId="37">[17]summary!#REF!</definedName>
    <definedName name="_9_30_96_Cash_Flow" localSheetId="17">[17]summary!#REF!</definedName>
    <definedName name="_9_30_96_Cash_Flow" localSheetId="26">[17]summary!#REF!</definedName>
    <definedName name="_9_30_96_Cash_Flow" localSheetId="27">[17]summary!#REF!</definedName>
    <definedName name="_9_30_96_Cash_Flow" localSheetId="30">[17]summary!#REF!</definedName>
    <definedName name="_9_30_96_Cash_Flow" localSheetId="31">[17]summary!#REF!</definedName>
    <definedName name="_9_30_96_Cash_Flow" localSheetId="33">[17]summary!#REF!</definedName>
    <definedName name="_9_30_96_Cash_Flow">[17]summary!#REF!</definedName>
    <definedName name="_9_30_96_Current_Income_Tax" localSheetId="37">[17]summary!#REF!</definedName>
    <definedName name="_9_30_96_Current_Income_Tax" localSheetId="17">[17]summary!#REF!</definedName>
    <definedName name="_9_30_96_Current_Income_Tax" localSheetId="26">[17]summary!#REF!</definedName>
    <definedName name="_9_30_96_Current_Income_Tax" localSheetId="27">[17]summary!#REF!</definedName>
    <definedName name="_9_30_96_Current_Income_Tax" localSheetId="30">[17]summary!#REF!</definedName>
    <definedName name="_9_30_96_Current_Income_Tax" localSheetId="31">[17]summary!#REF!</definedName>
    <definedName name="_9_30_96_Current_Income_Tax" localSheetId="33">[17]summary!#REF!</definedName>
    <definedName name="_9_30_96_Current_Income_Tax">[17]summary!#REF!</definedName>
    <definedName name="_9_30_96_DD_A" localSheetId="37">[17]summary!#REF!</definedName>
    <definedName name="_9_30_96_DD_A" localSheetId="17">[17]summary!#REF!</definedName>
    <definedName name="_9_30_96_DD_A" localSheetId="26">[17]summary!#REF!</definedName>
    <definedName name="_9_30_96_DD_A" localSheetId="27">[17]summary!#REF!</definedName>
    <definedName name="_9_30_96_DD_A" localSheetId="30">[17]summary!#REF!</definedName>
    <definedName name="_9_30_96_DD_A" localSheetId="31">[17]summary!#REF!</definedName>
    <definedName name="_9_30_96_DD_A" localSheetId="33">[17]summary!#REF!</definedName>
    <definedName name="_9_30_96_DD_A">[17]summary!#REF!</definedName>
    <definedName name="_9_30_96_Deferred_Income_Tax" localSheetId="37">[17]summary!#REF!</definedName>
    <definedName name="_9_30_96_Deferred_Income_Tax" localSheetId="17">[17]summary!#REF!</definedName>
    <definedName name="_9_30_96_Deferred_Income_Tax" localSheetId="26">[17]summary!#REF!</definedName>
    <definedName name="_9_30_96_Deferred_Income_Tax" localSheetId="27">[17]summary!#REF!</definedName>
    <definedName name="_9_30_96_Deferred_Income_Tax" localSheetId="30">[17]summary!#REF!</definedName>
    <definedName name="_9_30_96_Deferred_Income_Tax" localSheetId="31">[17]summary!#REF!</definedName>
    <definedName name="_9_30_96_Deferred_Income_Tax" localSheetId="33">[17]summary!#REF!</definedName>
    <definedName name="_9_30_96_Deferred_Income_Tax">[17]summary!#REF!</definedName>
    <definedName name="_9_30_96_EBIT" localSheetId="37">[17]summary!#REF!</definedName>
    <definedName name="_9_30_96_EBIT" localSheetId="17">[17]summary!#REF!</definedName>
    <definedName name="_9_30_96_EBIT" localSheetId="26">[17]summary!#REF!</definedName>
    <definedName name="_9_30_96_EBIT" localSheetId="27">[17]summary!#REF!</definedName>
    <definedName name="_9_30_96_EBIT" localSheetId="30">[17]summary!#REF!</definedName>
    <definedName name="_9_30_96_EBIT" localSheetId="31">[17]summary!#REF!</definedName>
    <definedName name="_9_30_96_EBIT" localSheetId="33">[17]summary!#REF!</definedName>
    <definedName name="_9_30_96_EBIT">[17]summary!#REF!</definedName>
    <definedName name="_9_30_96_EBITDAX" localSheetId="37">[17]summary!#REF!</definedName>
    <definedName name="_9_30_96_EBITDAX" localSheetId="17">[17]summary!#REF!</definedName>
    <definedName name="_9_30_96_EBITDAX" localSheetId="26">[17]summary!#REF!</definedName>
    <definedName name="_9_30_96_EBITDAX" localSheetId="27">[17]summary!#REF!</definedName>
    <definedName name="_9_30_96_EBITDAX" localSheetId="30">[17]summary!#REF!</definedName>
    <definedName name="_9_30_96_EBITDAX" localSheetId="31">[17]summary!#REF!</definedName>
    <definedName name="_9_30_96_EBITDAX" localSheetId="33">[17]summary!#REF!</definedName>
    <definedName name="_9_30_96_EBITDAX">[17]summary!#REF!</definedName>
    <definedName name="_9_30_96_Exploration_Expense" localSheetId="37">[17]summary!#REF!</definedName>
    <definedName name="_9_30_96_Exploration_Expense" localSheetId="17">[17]summary!#REF!</definedName>
    <definedName name="_9_30_96_Exploration_Expense" localSheetId="26">[17]summary!#REF!</definedName>
    <definedName name="_9_30_96_Exploration_Expense" localSheetId="27">[17]summary!#REF!</definedName>
    <definedName name="_9_30_96_Exploration_Expense" localSheetId="30">[17]summary!#REF!</definedName>
    <definedName name="_9_30_96_Exploration_Expense" localSheetId="31">[17]summary!#REF!</definedName>
    <definedName name="_9_30_96_Exploration_Expense" localSheetId="33">[17]summary!#REF!</definedName>
    <definedName name="_9_30_96_Exploration_Expense">[17]summary!#REF!</definedName>
    <definedName name="_9_30_96_Interest_Expense" localSheetId="37">[17]summary!#REF!</definedName>
    <definedName name="_9_30_96_Interest_Expense" localSheetId="17">[17]summary!#REF!</definedName>
    <definedName name="_9_30_96_Interest_Expense" localSheetId="26">[17]summary!#REF!</definedName>
    <definedName name="_9_30_96_Interest_Expense" localSheetId="27">[17]summary!#REF!</definedName>
    <definedName name="_9_30_96_Interest_Expense" localSheetId="30">[17]summary!#REF!</definedName>
    <definedName name="_9_30_96_Interest_Expense" localSheetId="31">[17]summary!#REF!</definedName>
    <definedName name="_9_30_96_Interest_Expense" localSheetId="33">[17]summary!#REF!</definedName>
    <definedName name="_9_30_96_Interest_Expense">[17]summary!#REF!</definedName>
    <definedName name="_9_30_96_Minority_Interest" localSheetId="37">[17]summary!#REF!</definedName>
    <definedName name="_9_30_96_Minority_Interest" localSheetId="17">[17]summary!#REF!</definedName>
    <definedName name="_9_30_96_Minority_Interest" localSheetId="26">[17]summary!#REF!</definedName>
    <definedName name="_9_30_96_Minority_Interest" localSheetId="27">[17]summary!#REF!</definedName>
    <definedName name="_9_30_96_Minority_Interest" localSheetId="30">[17]summary!#REF!</definedName>
    <definedName name="_9_30_96_Minority_Interest" localSheetId="31">[17]summary!#REF!</definedName>
    <definedName name="_9_30_96_Minority_Interest" localSheetId="33">[17]summary!#REF!</definedName>
    <definedName name="_9_30_96_Minority_Interest">[17]summary!#REF!</definedName>
    <definedName name="_9_30_96_Net_Income" localSheetId="37">[17]summary!#REF!</definedName>
    <definedName name="_9_30_96_Net_Income" localSheetId="17">[17]summary!#REF!</definedName>
    <definedName name="_9_30_96_Net_Income" localSheetId="26">[17]summary!#REF!</definedName>
    <definedName name="_9_30_96_Net_Income" localSheetId="27">[17]summary!#REF!</definedName>
    <definedName name="_9_30_96_Net_Income" localSheetId="30">[17]summary!#REF!</definedName>
    <definedName name="_9_30_96_Net_Income" localSheetId="31">[17]summary!#REF!</definedName>
    <definedName name="_9_30_96_Net_Income" localSheetId="33">[17]summary!#REF!</definedName>
    <definedName name="_9_30_96_Net_Income">[17]summary!#REF!</definedName>
    <definedName name="_9_30_96_Other_Income" localSheetId="37">[17]summary!#REF!</definedName>
    <definedName name="_9_30_96_Other_Income" localSheetId="17">[17]summary!#REF!</definedName>
    <definedName name="_9_30_96_Other_Income" localSheetId="26">[17]summary!#REF!</definedName>
    <definedName name="_9_30_96_Other_Income" localSheetId="27">[17]summary!#REF!</definedName>
    <definedName name="_9_30_96_Other_Income" localSheetId="30">[17]summary!#REF!</definedName>
    <definedName name="_9_30_96_Other_Income" localSheetId="31">[17]summary!#REF!</definedName>
    <definedName name="_9_30_96_Other_Income" localSheetId="33">[17]summary!#REF!</definedName>
    <definedName name="_9_30_96_Other_Income">[17]summary!#REF!</definedName>
    <definedName name="_9_30_96_Other_Non_Cash_Items" localSheetId="37">[17]summary!#REF!</definedName>
    <definedName name="_9_30_96_Other_Non_Cash_Items" localSheetId="17">[17]summary!#REF!</definedName>
    <definedName name="_9_30_96_Other_Non_Cash_Items" localSheetId="26">[17]summary!#REF!</definedName>
    <definedName name="_9_30_96_Other_Non_Cash_Items" localSheetId="27">[17]summary!#REF!</definedName>
    <definedName name="_9_30_96_Other_Non_Cash_Items" localSheetId="30">[17]summary!#REF!</definedName>
    <definedName name="_9_30_96_Other_Non_Cash_Items" localSheetId="31">[17]summary!#REF!</definedName>
    <definedName name="_9_30_96_Other_Non_Cash_Items" localSheetId="33">[17]summary!#REF!</definedName>
    <definedName name="_9_30_96_Other_Non_Cash_Items">[17]summary!#REF!</definedName>
    <definedName name="_9_30_96_Revenue" localSheetId="37">[17]summary!#REF!</definedName>
    <definedName name="_9_30_96_Revenue" localSheetId="17">[17]summary!#REF!</definedName>
    <definedName name="_9_30_96_Revenue" localSheetId="26">[17]summary!#REF!</definedName>
    <definedName name="_9_30_96_Revenue" localSheetId="27">[17]summary!#REF!</definedName>
    <definedName name="_9_30_96_Revenue" localSheetId="30">[17]summary!#REF!</definedName>
    <definedName name="_9_30_96_Revenue" localSheetId="31">[17]summary!#REF!</definedName>
    <definedName name="_9_30_96_Revenue" localSheetId="33">[17]summary!#REF!</definedName>
    <definedName name="_9_30_96_Revenue">[17]summary!#REF!</definedName>
    <definedName name="_9_30_96_Weighted_Average_Shares_Outstanding" localSheetId="37">[17]summary!#REF!</definedName>
    <definedName name="_9_30_96_Weighted_Average_Shares_Outstanding" localSheetId="17">[17]summary!#REF!</definedName>
    <definedName name="_9_30_96_Weighted_Average_Shares_Outstanding" localSheetId="26">[17]summary!#REF!</definedName>
    <definedName name="_9_30_96_Weighted_Average_Shares_Outstanding" localSheetId="27">[17]summary!#REF!</definedName>
    <definedName name="_9_30_96_Weighted_Average_Shares_Outstanding" localSheetId="30">[17]summary!#REF!</definedName>
    <definedName name="_9_30_96_Weighted_Average_Shares_Outstanding" localSheetId="31">[17]summary!#REF!</definedName>
    <definedName name="_9_30_96_Weighted_Average_Shares_Outstanding" localSheetId="33">[17]summary!#REF!</definedName>
    <definedName name="_9_30_96_Weighted_Average_Shares_Outstanding">[17]summary!#REF!</definedName>
    <definedName name="_90__123Graph_ECHART_20" hidden="1">'[15]Produt SET'!$AH$12:$AH$44</definedName>
    <definedName name="_91__123Graph_ECHART_21" hidden="1">'[15]Produt OUT'!$AH$12:$AH$44</definedName>
    <definedName name="_92__123Graph_ECHART_22" hidden="1">'[15]Produt NOV'!$AH$12:$AH$44</definedName>
    <definedName name="_93__123Graph_ECHART_23" hidden="1">'[15]Produt DEZ'!$AH$12:$AH$44</definedName>
    <definedName name="_94__123Graph_ECHART_9" hidden="1">[15]DADOS!$W$13:$W$26</definedName>
    <definedName name="_95__123Graph_FCHART_10" hidden="1">'[15]Produt JAN'!$D$12:$D$44</definedName>
    <definedName name="_96__123Graph_FCHART_13" hidden="1">'[15]Produt FEV'!$D$12:$D$44</definedName>
    <definedName name="_97__123Graph_FCHART_14" hidden="1">'[15]Produt MAR'!$D$12:$D$44</definedName>
    <definedName name="_98__123Graph_FCHART_15" hidden="1">'[15]Produt ABR'!$D$12:$D$44</definedName>
    <definedName name="_99__123Graph_FCHART_16" hidden="1">'[15]Produt MAI'!$D$12:$D$44</definedName>
    <definedName name="_a1" localSheetId="2" hidden="1">#REF!</definedName>
    <definedName name="_a1" localSheetId="4" hidden="1">#REF!</definedName>
    <definedName name="_a1" hidden="1">#REF!</definedName>
    <definedName name="_a10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4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2" hidden="1">{"up stand alones",#N/A,FALSE,"Acquiror"}</definedName>
    <definedName name="_a11" localSheetId="4" hidden="1">{"up stand alones",#N/A,FALSE,"Acquiror"}</definedName>
    <definedName name="_a11" hidden="1">{"up stand alones",#N/A,FALSE,"Acquiror"}</definedName>
    <definedName name="_a12" localSheetId="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4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2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4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2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2" hidden="1">{#N/A,#N/A,FALSE,"Calc";#N/A,#N/A,FALSE,"Sensitivity";#N/A,#N/A,FALSE,"LT Earn.Dil.";#N/A,#N/A,FALSE,"Dil. AVP"}</definedName>
    <definedName name="_a3" localSheetId="4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2" hidden="1">{"away stand alones",#N/A,FALSE,"Target"}</definedName>
    <definedName name="_a5" localSheetId="4" hidden="1">{"away stand alones",#N/A,FALSE,"Target"}</definedName>
    <definedName name="_a5" hidden="1">{"away stand alones",#N/A,FALSE,"Target"}</definedName>
    <definedName name="_a6" localSheetId="2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4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2" hidden="1">{"hiden",#N/A,FALSE,"14";"hidden",#N/A,FALSE,"16";"hidden",#N/A,FALSE,"18";"hidden",#N/A,FALSE,"20"}</definedName>
    <definedName name="_a7" localSheetId="4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2" hidden="1">{"consolidated",#N/A,FALSE,"Sheet1";"cms",#N/A,FALSE,"Sheet1";"fse",#N/A,FALSE,"Sheet1"}</definedName>
    <definedName name="_a8" localSheetId="4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2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4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dm1" localSheetId="2" hidden="1">{"'Índice'!$A$1:$K$49"}</definedName>
    <definedName name="_adm1" localSheetId="4" hidden="1">{"'Índice'!$A$1:$K$49"}</definedName>
    <definedName name="_adm1" localSheetId="41" hidden="1">{"'Índice'!$A$1:$K$49"}</definedName>
    <definedName name="_adm1" localSheetId="23" hidden="1">{"'Índice'!$A$1:$K$49"}</definedName>
    <definedName name="_adm1" localSheetId="38" hidden="1">{"'Índice'!$A$1:$K$49"}</definedName>
    <definedName name="_adm1" hidden="1">{"'Índice'!$A$1:$K$49"}</definedName>
    <definedName name="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s96" localSheetId="37">'[1]Status Page'!#REF!</definedName>
    <definedName name="_aus96" localSheetId="17">'[1]Status Page'!#REF!</definedName>
    <definedName name="_aus96" localSheetId="26">'[1]Status Page'!#REF!</definedName>
    <definedName name="_aus96" localSheetId="27">'[1]Status Page'!#REF!</definedName>
    <definedName name="_aus96" localSheetId="30">'[1]Status Page'!#REF!</definedName>
    <definedName name="_aus96" localSheetId="31">'[1]Status Page'!#REF!</definedName>
    <definedName name="_aus96" localSheetId="33">'[1]Status Page'!#REF!</definedName>
    <definedName name="_aus96">'[1]Status Page'!#REF!</definedName>
    <definedName name="_Base_datos_a_filtrar" localSheetId="2" hidden="1">#REF!</definedName>
    <definedName name="_Base_datos_a_filtrar" localSheetId="4" hidden="1">#REF!</definedName>
    <definedName name="_Base_datos_a_filtrar" hidden="1">#REF!</definedName>
    <definedName name="_Base_datos_a_filtrarOpCo" localSheetId="2" hidden="1">#REF!</definedName>
    <definedName name="_Base_datos_a_filtrarOpCo" localSheetId="4" hidden="1">#REF!</definedName>
    <definedName name="_Base_datos_a_filtrarOpCo" hidden="1">#REF!</definedName>
    <definedName name="_bdm.3BAD14737C3A49268B139C84051E6F73.edm" hidden="1" xml:space="preserve">  [20]Overview!$A:$IV</definedName>
    <definedName name="_bdm.48EB9556216D4E1E8D44CD6A50E47B74.edm" hidden="1" xml:space="preserve">  [20]Overview!$A:$IV</definedName>
    <definedName name="_bdm.519DD357BA314D7E8E7D7C6FC1C6B800.edm" hidden="1" xml:space="preserve">  [20]Overview!$A:$IV</definedName>
    <definedName name="_bdm.68AA62ACFF3D49D8835CF11F30575D53.edm" hidden="1" xml:space="preserve">  [20]Overview!$A:$IV</definedName>
    <definedName name="_bdm.6A8C119F701A4A8CAD625ED02695BD6E.edm" hidden="1" xml:space="preserve">  [20]Overview!$A:$IV</definedName>
    <definedName name="_bdm.8698A8ADEE7F4B6089B0B15C74D0B353.edm" hidden="1" xml:space="preserve">  [20]Overview!$A:$IV</definedName>
    <definedName name="_bdm.905C455BB1454FA4A4F660E3F11A7018.edm" hidden="1" xml:space="preserve">  [20]Overview!$A:$IV</definedName>
    <definedName name="_bdm.9F5CC7B918D54C778BB3D6C065B33A32.edm" hidden="1">'[21]DRE Output'!$A:$IV</definedName>
    <definedName name="_bdm.a67789129e5f44128813377f6c7bc219.edm" localSheetId="2" hidden="1">#REF!</definedName>
    <definedName name="_bdm.a67789129e5f44128813377f6c7bc219.edm" localSheetId="4" hidden="1">#REF!</definedName>
    <definedName name="_bdm.a67789129e5f44128813377f6c7bc219.edm" hidden="1">#REF!</definedName>
    <definedName name="_bdm.A8BF5B5471E144E6BB8A557EFC594795.edm" hidden="1" xml:space="preserve">  [20]Overview!$A:$IV</definedName>
    <definedName name="_bdm.AADD2A32416F4A0182A5D8DB7BEC6B6F.edm" hidden="1">'[21]BP Output'!$A:$IV</definedName>
    <definedName name="_bdm.AB44070EABF243E094848185BA8235E9.edm" hidden="1" xml:space="preserve">  [20]Overview!$A:$IV</definedName>
    <definedName name="_bdm.B694A8498176486BA436F872026AE92F.edm" hidden="1" xml:space="preserve">  [20]Mults!$A:$IV</definedName>
    <definedName name="_bdm.D14F931A98FD4F079358D01D288B08AC.edm" hidden="1">'[21]DDM Output'!$A:$IV</definedName>
    <definedName name="_bdm.E4EACF2F9B1D411DB6CD9999843D5FFF.edm" hidden="1" xml:space="preserve">  [20]Overview!$A:$IV</definedName>
    <definedName name="_bdm.EA164CCEB66C408B9A35245C9C75C947.edm" hidden="1" xml:space="preserve">  [20]Overview!$A:$IV</definedName>
    <definedName name="_bdm.ECD1742A40FD4924958087F13535625C.edm" hidden="1">[21]Cenários!$A:$IV</definedName>
    <definedName name="_bdm.EE80DFE1B7CB49B7AFE99BDB64A6A804.edm" hidden="1">[21]DDM!$A:$IV</definedName>
    <definedName name="_bef96" localSheetId="37">'[1]Status Page'!#REF!</definedName>
    <definedName name="_bef96" localSheetId="17">'[1]Status Page'!#REF!</definedName>
    <definedName name="_bef96" localSheetId="26">'[1]Status Page'!#REF!</definedName>
    <definedName name="_bef96" localSheetId="27">'[1]Status Page'!#REF!</definedName>
    <definedName name="_bef96" localSheetId="30">'[1]Status Page'!#REF!</definedName>
    <definedName name="_bef96" localSheetId="31">'[1]Status Page'!#REF!</definedName>
    <definedName name="_bef96" localSheetId="33">'[1]Status Page'!#REF!</definedName>
    <definedName name="_bef96">'[1]Status Page'!#REF!</definedName>
    <definedName name="_bef99">'[2]Share Prices'!$C$187</definedName>
    <definedName name="_brp96" localSheetId="37">'[1]Status Page'!#REF!</definedName>
    <definedName name="_brp96" localSheetId="17">'[1]Status Page'!#REF!</definedName>
    <definedName name="_brp96" localSheetId="26">'[1]Status Page'!#REF!</definedName>
    <definedName name="_brp96" localSheetId="27">'[1]Status Page'!#REF!</definedName>
    <definedName name="_brp96" localSheetId="30">'[1]Status Page'!#REF!</definedName>
    <definedName name="_brp96" localSheetId="31">'[1]Status Page'!#REF!</definedName>
    <definedName name="_brp96" localSheetId="33">'[1]Status Page'!#REF!</definedName>
    <definedName name="_brp96">'[1]Status Page'!#REF!</definedName>
    <definedName name="_cad99">[3]Overview!$J$41</definedName>
    <definedName name="_can96" localSheetId="37">'[1]Status Page'!#REF!</definedName>
    <definedName name="_can96" localSheetId="17">'[1]Status Page'!#REF!</definedName>
    <definedName name="_can96" localSheetId="26">'[1]Status Page'!#REF!</definedName>
    <definedName name="_can96" localSheetId="27">'[1]Status Page'!#REF!</definedName>
    <definedName name="_can96" localSheetId="30">'[1]Status Page'!#REF!</definedName>
    <definedName name="_can96" localSheetId="31">'[1]Status Page'!#REF!</definedName>
    <definedName name="_can96" localSheetId="33">'[1]Status Page'!#REF!</definedName>
    <definedName name="_can96">'[1]Status Page'!#REF!</definedName>
    <definedName name="_CMC1" localSheetId="37">[22]Premissas!#REF!</definedName>
    <definedName name="_CMC1" localSheetId="17">[22]Premissas!#REF!</definedName>
    <definedName name="_CMC1" localSheetId="26">[22]Premissas!#REF!</definedName>
    <definedName name="_CMC1" localSheetId="27">[22]Premissas!#REF!</definedName>
    <definedName name="_CMC1" localSheetId="30">[22]Premissas!#REF!</definedName>
    <definedName name="_CMC1" localSheetId="31">[22]Premissas!#REF!</definedName>
    <definedName name="_CMC1" localSheetId="33">[22]Premissas!#REF!</definedName>
    <definedName name="_CMC1">[22]Premissas!#REF!</definedName>
    <definedName name="_CMC2" localSheetId="37">[22]Premissas!#REF!</definedName>
    <definedName name="_CMC2" localSheetId="17">[22]Premissas!#REF!</definedName>
    <definedName name="_CMC2" localSheetId="26">[22]Premissas!#REF!</definedName>
    <definedName name="_CMC2" localSheetId="27">[22]Premissas!#REF!</definedName>
    <definedName name="_CMC2" localSheetId="30">[22]Premissas!#REF!</definedName>
    <definedName name="_CMC2" localSheetId="31">[22]Premissas!#REF!</definedName>
    <definedName name="_CMC2" localSheetId="33">[22]Premissas!#REF!</definedName>
    <definedName name="_CMC2">[22]Premissas!#REF!</definedName>
    <definedName name="_CTD1" localSheetId="37">#REF!</definedName>
    <definedName name="_CTD1" localSheetId="17">#REF!</definedName>
    <definedName name="_CTD1" localSheetId="16">#REF!</definedName>
    <definedName name="_CTD1" localSheetId="26">#REF!</definedName>
    <definedName name="_CTD1" localSheetId="27">#REF!</definedName>
    <definedName name="_CTD1" localSheetId="28">#REF!</definedName>
    <definedName name="_CTD1" localSheetId="30">#REF!</definedName>
    <definedName name="_CTD1" localSheetId="31">#REF!</definedName>
    <definedName name="_CTD1" localSheetId="33">#REF!</definedName>
    <definedName name="_CTD1">#REF!</definedName>
    <definedName name="_DAT1">[5]Sens!$A$9:$F$15</definedName>
    <definedName name="_DAT2">[5]Sens!$A$19:$F$25</definedName>
    <definedName name="_DAT3">[5]Sens!$A$29:$F$35</definedName>
    <definedName name="_DAT4">[5]Sens!$H$9:$M$15</definedName>
    <definedName name="_DAT5">[5]Sens!$H$19:$M$25</definedName>
    <definedName name="_DAT6">[5]Sens!$H$29:$M$35</definedName>
    <definedName name="_DAT7">[5]Sens!$A$39:$F$45</definedName>
    <definedName name="_DAT8">[5]Sens!$H$39:$M$45</definedName>
    <definedName name="_Dist_Values" hidden="1">[23]Plan1!#REF!</definedName>
    <definedName name="_DRE0700" localSheetId="2" hidden="1">{"'PXR_6500'!$A$1:$I$124"}</definedName>
    <definedName name="_DRE0700" localSheetId="4" hidden="1">{"'PXR_6500'!$A$1:$I$124"}</definedName>
    <definedName name="_DRE0700" hidden="1">{"'PXR_6500'!$A$1:$I$124"}</definedName>
    <definedName name="_EPS1" localSheetId="37">#REF!</definedName>
    <definedName name="_EPS1" localSheetId="17">#REF!</definedName>
    <definedName name="_EPS1" localSheetId="26">#REF!</definedName>
    <definedName name="_EPS1" localSheetId="27">#REF!</definedName>
    <definedName name="_EPS1" localSheetId="30">#REF!</definedName>
    <definedName name="_EPS1" localSheetId="31">#REF!</definedName>
    <definedName name="_EPS1" localSheetId="33">#REF!</definedName>
    <definedName name="_EPS1">#REF!</definedName>
    <definedName name="_EPS2" localSheetId="37">#REF!</definedName>
    <definedName name="_EPS2" localSheetId="17">#REF!</definedName>
    <definedName name="_EPS2" localSheetId="26">#REF!</definedName>
    <definedName name="_EPS2" localSheetId="27">#REF!</definedName>
    <definedName name="_EPS2" localSheetId="30">#REF!</definedName>
    <definedName name="_EPS2" localSheetId="31">#REF!</definedName>
    <definedName name="_EPS2" localSheetId="33">#REF!</definedName>
    <definedName name="_EPS2">#REF!</definedName>
    <definedName name="_EPS3" localSheetId="37">#REF!</definedName>
    <definedName name="_EPS3" localSheetId="17">#REF!</definedName>
    <definedName name="_EPS3" localSheetId="26">#REF!</definedName>
    <definedName name="_EPS3" localSheetId="27">#REF!</definedName>
    <definedName name="_EPS3" localSheetId="30">#REF!</definedName>
    <definedName name="_EPS3" localSheetId="31">#REF!</definedName>
    <definedName name="_EPS3" localSheetId="33">#REF!</definedName>
    <definedName name="_EPS3">#REF!</definedName>
    <definedName name="_esp96" localSheetId="37">'[1]Status Page'!#REF!</definedName>
    <definedName name="_esp96" localSheetId="17">'[1]Status Page'!#REF!</definedName>
    <definedName name="_esp96" localSheetId="26">'[1]Status Page'!#REF!</definedName>
    <definedName name="_esp96" localSheetId="27">'[1]Status Page'!#REF!</definedName>
    <definedName name="_esp96" localSheetId="30">'[1]Status Page'!#REF!</definedName>
    <definedName name="_esp96" localSheetId="31">'[1]Status Page'!#REF!</definedName>
    <definedName name="_esp96" localSheetId="33">'[1]Status Page'!#REF!</definedName>
    <definedName name="_esp96">'[1]Status Page'!#REF!</definedName>
    <definedName name="_EST92" localSheetId="37">[6]WACC!#REF!</definedName>
    <definedName name="_EST92" localSheetId="17">[6]WACC!#REF!</definedName>
    <definedName name="_EST92" localSheetId="26">[6]WACC!#REF!</definedName>
    <definedName name="_EST92" localSheetId="27">[6]WACC!#REF!</definedName>
    <definedName name="_EST92" localSheetId="30">[6]WACC!#REF!</definedName>
    <definedName name="_EST92" localSheetId="31">[6]WACC!#REF!</definedName>
    <definedName name="_EST92" localSheetId="33">[6]WACC!#REF!</definedName>
    <definedName name="_EST92">[6]WACC!#REF!</definedName>
    <definedName name="_EST93" localSheetId="37">[6]WACC!#REF!</definedName>
    <definedName name="_EST93" localSheetId="17">[6]WACC!#REF!</definedName>
    <definedName name="_EST93" localSheetId="26">[6]WACC!#REF!</definedName>
    <definedName name="_EST93" localSheetId="27">[6]WACC!#REF!</definedName>
    <definedName name="_EST93" localSheetId="30">[6]WACC!#REF!</definedName>
    <definedName name="_EST93" localSheetId="31">[6]WACC!#REF!</definedName>
    <definedName name="_EST93" localSheetId="33">[6]WACC!#REF!</definedName>
    <definedName name="_EST93">[6]WACC!#REF!</definedName>
    <definedName name="_fat1">[24]Dados_Contrato!$B$18</definedName>
    <definedName name="_fat2">[24]Dados_Contrato!$B$19</definedName>
    <definedName name="_Fill" localSheetId="37" hidden="1">#REF!</definedName>
    <definedName name="_Fill" localSheetId="17" hidden="1">#REF!</definedName>
    <definedName name="_Fill" localSheetId="16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41" hidden="1">#REF!</definedName>
    <definedName name="_Fill" hidden="1">#REF!</definedName>
    <definedName name="_FillOpCo" hidden="1">#REF!</definedName>
    <definedName name="_xlnm._FilterDatabase" localSheetId="22" hidden="1">'Cargos e Salários'!$A$1:$C$94</definedName>
    <definedName name="_FYE2" localSheetId="37">#REF!</definedName>
    <definedName name="_FYE2" localSheetId="17">#REF!</definedName>
    <definedName name="_FYE2" localSheetId="26">#REF!</definedName>
    <definedName name="_FYE2" localSheetId="27">#REF!</definedName>
    <definedName name="_FYE2" localSheetId="30">#REF!</definedName>
    <definedName name="_FYE2" localSheetId="31">#REF!</definedName>
    <definedName name="_FYE2" localSheetId="33">#REF!</definedName>
    <definedName name="_FYE2">#REF!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H2" localSheetId="2" hidden="1">{"'Sheet1'!$A$1:$G$85"}</definedName>
    <definedName name="_H2" localSheetId="4" hidden="1">{"'Sheet1'!$A$1:$G$85"}</definedName>
    <definedName name="_H2" hidden="1">{"'Sheet1'!$A$1:$G$85"}</definedName>
    <definedName name="_Hlk77177690" localSheetId="5">Histograma!#REF!</definedName>
    <definedName name="_Ice2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Ice2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Ice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Int1" localSheetId="37">#REF!</definedName>
    <definedName name="_Int1" localSheetId="17">#REF!</definedName>
    <definedName name="_Int1" localSheetId="26">#REF!</definedName>
    <definedName name="_Int1" localSheetId="27">#REF!</definedName>
    <definedName name="_Int1" localSheetId="30">#REF!</definedName>
    <definedName name="_Int1" localSheetId="31">#REF!</definedName>
    <definedName name="_Int1" localSheetId="33">#REF!</definedName>
    <definedName name="_Int1">#REF!</definedName>
    <definedName name="_Int10" localSheetId="37">#REF!</definedName>
    <definedName name="_Int10" localSheetId="17">#REF!</definedName>
    <definedName name="_Int10" localSheetId="26">#REF!</definedName>
    <definedName name="_Int10" localSheetId="27">#REF!</definedName>
    <definedName name="_Int10" localSheetId="30">#REF!</definedName>
    <definedName name="_Int10" localSheetId="31">#REF!</definedName>
    <definedName name="_Int10" localSheetId="33">#REF!</definedName>
    <definedName name="_Int10">#REF!</definedName>
    <definedName name="_Int11" localSheetId="37">#REF!</definedName>
    <definedName name="_Int11" localSheetId="17">#REF!</definedName>
    <definedName name="_Int11" localSheetId="26">#REF!</definedName>
    <definedName name="_Int11" localSheetId="27">#REF!</definedName>
    <definedName name="_Int11" localSheetId="30">#REF!</definedName>
    <definedName name="_Int11" localSheetId="31">#REF!</definedName>
    <definedName name="_Int11" localSheetId="33">#REF!</definedName>
    <definedName name="_Int11">#REF!</definedName>
    <definedName name="_Int12" localSheetId="37">#REF!</definedName>
    <definedName name="_Int12" localSheetId="17">#REF!</definedName>
    <definedName name="_Int12" localSheetId="26">#REF!</definedName>
    <definedName name="_Int12" localSheetId="27">#REF!</definedName>
    <definedName name="_Int12" localSheetId="30">#REF!</definedName>
    <definedName name="_Int12" localSheetId="31">#REF!</definedName>
    <definedName name="_Int12" localSheetId="33">#REF!</definedName>
    <definedName name="_Int12">#REF!</definedName>
    <definedName name="_Int13" localSheetId="37">#REF!</definedName>
    <definedName name="_Int13" localSheetId="17">#REF!</definedName>
    <definedName name="_Int13" localSheetId="26">#REF!</definedName>
    <definedName name="_Int13" localSheetId="27">#REF!</definedName>
    <definedName name="_Int13" localSheetId="30">#REF!</definedName>
    <definedName name="_Int13" localSheetId="31">#REF!</definedName>
    <definedName name="_Int13" localSheetId="33">#REF!</definedName>
    <definedName name="_Int13">#REF!</definedName>
    <definedName name="_Int14" localSheetId="37">#REF!</definedName>
    <definedName name="_Int14" localSheetId="17">#REF!</definedName>
    <definedName name="_Int14" localSheetId="26">#REF!</definedName>
    <definedName name="_Int14" localSheetId="27">#REF!</definedName>
    <definedName name="_Int14" localSheetId="30">#REF!</definedName>
    <definedName name="_Int14" localSheetId="31">#REF!</definedName>
    <definedName name="_Int14" localSheetId="33">#REF!</definedName>
    <definedName name="_Int14">#REF!</definedName>
    <definedName name="_Int15" localSheetId="37">#REF!</definedName>
    <definedName name="_Int15" localSheetId="17">#REF!</definedName>
    <definedName name="_Int15" localSheetId="26">#REF!</definedName>
    <definedName name="_Int15" localSheetId="27">#REF!</definedName>
    <definedName name="_Int15" localSheetId="30">#REF!</definedName>
    <definedName name="_Int15" localSheetId="31">#REF!</definedName>
    <definedName name="_Int15" localSheetId="33">#REF!</definedName>
    <definedName name="_Int15">#REF!</definedName>
    <definedName name="_Int16" localSheetId="37">#REF!</definedName>
    <definedName name="_Int16" localSheetId="17">#REF!</definedName>
    <definedName name="_Int16" localSheetId="26">#REF!</definedName>
    <definedName name="_Int16" localSheetId="27">#REF!</definedName>
    <definedName name="_Int16" localSheetId="30">#REF!</definedName>
    <definedName name="_Int16" localSheetId="31">#REF!</definedName>
    <definedName name="_Int16" localSheetId="33">#REF!</definedName>
    <definedName name="_Int16">#REF!</definedName>
    <definedName name="_Int17" localSheetId="37">#REF!</definedName>
    <definedName name="_Int17" localSheetId="17">#REF!</definedName>
    <definedName name="_Int17" localSheetId="26">#REF!</definedName>
    <definedName name="_Int17" localSheetId="27">#REF!</definedName>
    <definedName name="_Int17" localSheetId="30">#REF!</definedName>
    <definedName name="_Int17" localSheetId="31">#REF!</definedName>
    <definedName name="_Int17" localSheetId="33">#REF!</definedName>
    <definedName name="_Int17">#REF!</definedName>
    <definedName name="_Int18" localSheetId="37">#REF!</definedName>
    <definedName name="_Int18" localSheetId="17">#REF!</definedName>
    <definedName name="_Int18" localSheetId="26">#REF!</definedName>
    <definedName name="_Int18" localSheetId="27">#REF!</definedName>
    <definedName name="_Int18" localSheetId="30">#REF!</definedName>
    <definedName name="_Int18" localSheetId="31">#REF!</definedName>
    <definedName name="_Int18" localSheetId="33">#REF!</definedName>
    <definedName name="_Int18">#REF!</definedName>
    <definedName name="_Int19" localSheetId="37">#REF!</definedName>
    <definedName name="_Int19" localSheetId="17">#REF!</definedName>
    <definedName name="_Int19" localSheetId="26">#REF!</definedName>
    <definedName name="_Int19" localSheetId="27">#REF!</definedName>
    <definedName name="_Int19" localSheetId="30">#REF!</definedName>
    <definedName name="_Int19" localSheetId="31">#REF!</definedName>
    <definedName name="_Int19" localSheetId="33">#REF!</definedName>
    <definedName name="_Int19">#REF!</definedName>
    <definedName name="_Int2" localSheetId="37">#REF!</definedName>
    <definedName name="_Int2" localSheetId="17">#REF!</definedName>
    <definedName name="_Int2" localSheetId="26">#REF!</definedName>
    <definedName name="_Int2" localSheetId="27">#REF!</definedName>
    <definedName name="_Int2" localSheetId="30">#REF!</definedName>
    <definedName name="_Int2" localSheetId="31">#REF!</definedName>
    <definedName name="_Int2" localSheetId="33">#REF!</definedName>
    <definedName name="_Int2">#REF!</definedName>
    <definedName name="_Int20" localSheetId="37">#REF!</definedName>
    <definedName name="_Int20" localSheetId="17">#REF!</definedName>
    <definedName name="_Int20" localSheetId="26">#REF!</definedName>
    <definedName name="_Int20" localSheetId="27">#REF!</definedName>
    <definedName name="_Int20" localSheetId="30">#REF!</definedName>
    <definedName name="_Int20" localSheetId="31">#REF!</definedName>
    <definedName name="_Int20" localSheetId="33">#REF!</definedName>
    <definedName name="_Int20">#REF!</definedName>
    <definedName name="_Int3" localSheetId="37">#REF!</definedName>
    <definedName name="_Int3" localSheetId="17">#REF!</definedName>
    <definedName name="_Int3" localSheetId="26">#REF!</definedName>
    <definedName name="_Int3" localSheetId="27">#REF!</definedName>
    <definedName name="_Int3" localSheetId="30">#REF!</definedName>
    <definedName name="_Int3" localSheetId="31">#REF!</definedName>
    <definedName name="_Int3" localSheetId="33">#REF!</definedName>
    <definedName name="_Int3">#REF!</definedName>
    <definedName name="_Int4" localSheetId="37">#REF!</definedName>
    <definedName name="_Int4" localSheetId="17">#REF!</definedName>
    <definedName name="_Int4" localSheetId="26">#REF!</definedName>
    <definedName name="_Int4" localSheetId="27">#REF!</definedName>
    <definedName name="_Int4" localSheetId="30">#REF!</definedName>
    <definedName name="_Int4" localSheetId="31">#REF!</definedName>
    <definedName name="_Int4" localSheetId="33">#REF!</definedName>
    <definedName name="_Int4">#REF!</definedName>
    <definedName name="_Int5" localSheetId="37">#REF!</definedName>
    <definedName name="_Int5" localSheetId="17">#REF!</definedName>
    <definedName name="_Int5" localSheetId="26">#REF!</definedName>
    <definedName name="_Int5" localSheetId="27">#REF!</definedName>
    <definedName name="_Int5" localSheetId="30">#REF!</definedName>
    <definedName name="_Int5" localSheetId="31">#REF!</definedName>
    <definedName name="_Int5" localSheetId="33">#REF!</definedName>
    <definedName name="_Int5">#REF!</definedName>
    <definedName name="_Int8" localSheetId="37">#REF!</definedName>
    <definedName name="_Int8" localSheetId="17">#REF!</definedName>
    <definedName name="_Int8" localSheetId="26">#REF!</definedName>
    <definedName name="_Int8" localSheetId="27">#REF!</definedName>
    <definedName name="_Int8" localSheetId="30">#REF!</definedName>
    <definedName name="_Int8" localSheetId="31">#REF!</definedName>
    <definedName name="_Int8" localSheetId="33">#REF!</definedName>
    <definedName name="_Int8">#REF!</definedName>
    <definedName name="_Int9" localSheetId="37">#REF!</definedName>
    <definedName name="_Int9" localSheetId="17">#REF!</definedName>
    <definedName name="_Int9" localSheetId="26">#REF!</definedName>
    <definedName name="_Int9" localSheetId="27">#REF!</definedName>
    <definedName name="_Int9" localSheetId="30">#REF!</definedName>
    <definedName name="_Int9" localSheetId="31">#REF!</definedName>
    <definedName name="_Int9" localSheetId="33">#REF!</definedName>
    <definedName name="_Int9">#REF!</definedName>
    <definedName name="_JAN0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Key1" localSheetId="2" hidden="1">#REF!</definedName>
    <definedName name="_Key1" localSheetId="37" hidden="1">#REF!</definedName>
    <definedName name="_Key1" localSheetId="17" hidden="1">#REF!</definedName>
    <definedName name="_Key1" localSheetId="4" hidden="1">#REF!</definedName>
    <definedName name="_Key1" localSheetId="26" hidden="1">#REF!</definedName>
    <definedName name="_Key1" localSheetId="27" hidden="1">#REF!</definedName>
    <definedName name="_Key1" localSheetId="30" hidden="1">#REF!</definedName>
    <definedName name="_Key1" localSheetId="31" hidden="1">#REF!</definedName>
    <definedName name="_Key1" localSheetId="33" hidden="1">#REF!</definedName>
    <definedName name="_Key1" localSheetId="41" hidden="1">#REF!</definedName>
    <definedName name="_Key1" hidden="1">#REF!</definedName>
    <definedName name="_Key2" localSheetId="37" hidden="1">#REF!</definedName>
    <definedName name="_Key2" localSheetId="17" hidden="1">#REF!</definedName>
    <definedName name="_Key2" localSheetId="26" hidden="1">#REF!</definedName>
    <definedName name="_Key2" localSheetId="27" hidden="1">#REF!</definedName>
    <definedName name="_Key2" localSheetId="30" hidden="1">#REF!</definedName>
    <definedName name="_Key2" localSheetId="31" hidden="1">#REF!</definedName>
    <definedName name="_Key2" localSheetId="33" hidden="1">#REF!</definedName>
    <definedName name="_Key2" localSheetId="41" hidden="1">#REF!</definedName>
    <definedName name="_Key2" hidden="1">#REF!</definedName>
    <definedName name="_Key3" localSheetId="2" hidden="1">[25]保全状況!#REF!</definedName>
    <definedName name="_Key3" localSheetId="4" hidden="1">[25]保全状況!#REF!</definedName>
    <definedName name="_Key3" hidden="1">[25]保全状況!#REF!</definedName>
    <definedName name="_Low1" localSheetId="37">#REF!</definedName>
    <definedName name="_Low1" localSheetId="17">#REF!</definedName>
    <definedName name="_Low1" localSheetId="26">#REF!</definedName>
    <definedName name="_Low1" localSheetId="27">#REF!</definedName>
    <definedName name="_Low1" localSheetId="30">#REF!</definedName>
    <definedName name="_Low1" localSheetId="31">#REF!</definedName>
    <definedName name="_Low1" localSheetId="33">#REF!</definedName>
    <definedName name="_Low1">#REF!</definedName>
    <definedName name="_Low2" localSheetId="37">#REF!</definedName>
    <definedName name="_Low2" localSheetId="17">#REF!</definedName>
    <definedName name="_Low2" localSheetId="26">#REF!</definedName>
    <definedName name="_Low2" localSheetId="27">#REF!</definedName>
    <definedName name="_Low2" localSheetId="30">#REF!</definedName>
    <definedName name="_Low2" localSheetId="31">#REF!</definedName>
    <definedName name="_Low2" localSheetId="33">#REF!</definedName>
    <definedName name="_Low2">#REF!</definedName>
    <definedName name="_Low3" localSheetId="37">#REF!</definedName>
    <definedName name="_Low3" localSheetId="17">#REF!</definedName>
    <definedName name="_Low3" localSheetId="26">#REF!</definedName>
    <definedName name="_Low3" localSheetId="27">#REF!</definedName>
    <definedName name="_Low3" localSheetId="30">#REF!</definedName>
    <definedName name="_Low3" localSheetId="31">#REF!</definedName>
    <definedName name="_Low3" localSheetId="33">#REF!</definedName>
    <definedName name="_Low3">#REF!</definedName>
    <definedName name="_Low4" localSheetId="37">#REF!</definedName>
    <definedName name="_Low4" localSheetId="17">#REF!</definedName>
    <definedName name="_Low4" localSheetId="26">#REF!</definedName>
    <definedName name="_Low4" localSheetId="27">#REF!</definedName>
    <definedName name="_Low4" localSheetId="30">#REF!</definedName>
    <definedName name="_Low4" localSheetId="31">#REF!</definedName>
    <definedName name="_Low4" localSheetId="33">#REF!</definedName>
    <definedName name="_Low4">#REF!</definedName>
    <definedName name="_Low5" localSheetId="37">#REF!</definedName>
    <definedName name="_Low5" localSheetId="17">#REF!</definedName>
    <definedName name="_Low5" localSheetId="26">#REF!</definedName>
    <definedName name="_Low5" localSheetId="27">#REF!</definedName>
    <definedName name="_Low5" localSheetId="30">#REF!</definedName>
    <definedName name="_Low5" localSheetId="31">#REF!</definedName>
    <definedName name="_Low5" localSheetId="33">#REF!</definedName>
    <definedName name="_Low5">#REF!</definedName>
    <definedName name="_Low6" localSheetId="37">#REF!</definedName>
    <definedName name="_Low6" localSheetId="17">#REF!</definedName>
    <definedName name="_Low6" localSheetId="26">#REF!</definedName>
    <definedName name="_Low6" localSheetId="27">#REF!</definedName>
    <definedName name="_Low6" localSheetId="30">#REF!</definedName>
    <definedName name="_Low6" localSheetId="31">#REF!</definedName>
    <definedName name="_Low6" localSheetId="33">#REF!</definedName>
    <definedName name="_Low6">#REF!</definedName>
    <definedName name="_Low7" localSheetId="37">#REF!</definedName>
    <definedName name="_Low7" localSheetId="17">#REF!</definedName>
    <definedName name="_Low7" localSheetId="26">#REF!</definedName>
    <definedName name="_Low7" localSheetId="27">#REF!</definedName>
    <definedName name="_Low7" localSheetId="30">#REF!</definedName>
    <definedName name="_Low7" localSheetId="31">#REF!</definedName>
    <definedName name="_Low7" localSheetId="33">#REF!</definedName>
    <definedName name="_Low7">#REF!</definedName>
    <definedName name="_Low8" localSheetId="37">#REF!</definedName>
    <definedName name="_Low8" localSheetId="17">#REF!</definedName>
    <definedName name="_Low8" localSheetId="26">#REF!</definedName>
    <definedName name="_Low8" localSheetId="27">#REF!</definedName>
    <definedName name="_Low8" localSheetId="30">#REF!</definedName>
    <definedName name="_Low8" localSheetId="31">#REF!</definedName>
    <definedName name="_Low8" localSheetId="33">#REF!</definedName>
    <definedName name="_Low8">#REF!</definedName>
    <definedName name="_Low9" localSheetId="37">#REF!</definedName>
    <definedName name="_Low9" localSheetId="17">#REF!</definedName>
    <definedName name="_Low9" localSheetId="26">#REF!</definedName>
    <definedName name="_Low9" localSheetId="27">#REF!</definedName>
    <definedName name="_Low9" localSheetId="30">#REF!</definedName>
    <definedName name="_Low9" localSheetId="31">#REF!</definedName>
    <definedName name="_Low9" localSheetId="33">#REF!</definedName>
    <definedName name="_Low9">#REF!</definedName>
    <definedName name="_MatMult_A" localSheetId="2" hidden="1">'[26]Painel de Controle'!#REF!</definedName>
    <definedName name="_MatMult_A" localSheetId="4" hidden="1">'[26]Painel de Controle'!#REF!</definedName>
    <definedName name="_MatMult_A" hidden="1">'[26]Painel de Controle'!#REF!</definedName>
    <definedName name="_MLH1" localSheetId="37">#REF!</definedName>
    <definedName name="_MLH1" localSheetId="17">#REF!</definedName>
    <definedName name="_MLH1" localSheetId="16">#REF!</definedName>
    <definedName name="_MLH1" localSheetId="26">#REF!</definedName>
    <definedName name="_MLH1" localSheetId="27">#REF!</definedName>
    <definedName name="_MLH1" localSheetId="28">#REF!</definedName>
    <definedName name="_MLH1" localSheetId="30">#REF!</definedName>
    <definedName name="_MLH1" localSheetId="31">#REF!</definedName>
    <definedName name="_MLH1" localSheetId="33">#REF!</definedName>
    <definedName name="_MLH1">#REF!</definedName>
    <definedName name="_MLH2" localSheetId="37">#REF!</definedName>
    <definedName name="_MLH2" localSheetId="17">#REF!</definedName>
    <definedName name="_MLH2" localSheetId="16">#REF!</definedName>
    <definedName name="_MLH2" localSheetId="26">#REF!</definedName>
    <definedName name="_MLH2" localSheetId="27">#REF!</definedName>
    <definedName name="_MLH2" localSheetId="28">#REF!</definedName>
    <definedName name="_MLH2" localSheetId="30">#REF!</definedName>
    <definedName name="_MLH2" localSheetId="31">#REF!</definedName>
    <definedName name="_MLH2" localSheetId="33">#REF!</definedName>
    <definedName name="_MLH2">#REF!</definedName>
    <definedName name="_MLH3" localSheetId="37">#REF!</definedName>
    <definedName name="_MLH3" localSheetId="17">#REF!</definedName>
    <definedName name="_MLH3" localSheetId="16">#REF!</definedName>
    <definedName name="_MLH3" localSheetId="26">#REF!</definedName>
    <definedName name="_MLH3" localSheetId="27">#REF!</definedName>
    <definedName name="_MLH3" localSheetId="28">#REF!</definedName>
    <definedName name="_MLH3" localSheetId="30">#REF!</definedName>
    <definedName name="_MLH3" localSheetId="31">#REF!</definedName>
    <definedName name="_MLH3" localSheetId="33">#REF!</definedName>
    <definedName name="_MLH3">#REF!</definedName>
    <definedName name="_Order1" hidden="1">255</definedName>
    <definedName name="_Order2" hidden="1">255</definedName>
    <definedName name="_OUT98" localSheetId="2" hidden="1">{#N/A,#N/A,TRUE,"Serviços"}</definedName>
    <definedName name="_OUT98" localSheetId="4" hidden="1">{#N/A,#N/A,TRUE,"Serviços"}</definedName>
    <definedName name="_OUT98" hidden="1">{#N/A,#N/A,TRUE,"Serviços"}</definedName>
    <definedName name="_Parse_Out" localSheetId="2" hidden="1">[23]Plan1!#REF!</definedName>
    <definedName name="_Parse_Out" localSheetId="4" hidden="1">[23]Plan1!#REF!</definedName>
    <definedName name="_Parse_Out" hidden="1">[23]Plan1!#REF!</definedName>
    <definedName name="_PE1" localSheetId="37">#REF!</definedName>
    <definedName name="_PE1" localSheetId="17">#REF!</definedName>
    <definedName name="_PE1" localSheetId="26">#REF!</definedName>
    <definedName name="_PE1" localSheetId="27">#REF!</definedName>
    <definedName name="_PE1" localSheetId="30">#REF!</definedName>
    <definedName name="_PE1" localSheetId="31">#REF!</definedName>
    <definedName name="_PE1" localSheetId="33">#REF!</definedName>
    <definedName name="_PE1">#REF!</definedName>
    <definedName name="_PE2" localSheetId="37">#REF!</definedName>
    <definedName name="_PE2" localSheetId="17">#REF!</definedName>
    <definedName name="_PE2" localSheetId="26">#REF!</definedName>
    <definedName name="_PE2" localSheetId="27">#REF!</definedName>
    <definedName name="_PE2" localSheetId="30">#REF!</definedName>
    <definedName name="_PE2" localSheetId="31">#REF!</definedName>
    <definedName name="_PE2" localSheetId="33">#REF!</definedName>
    <definedName name="_PE2">#REF!</definedName>
    <definedName name="_PE3" localSheetId="37">#REF!</definedName>
    <definedName name="_PE3" localSheetId="17">#REF!</definedName>
    <definedName name="_PE3" localSheetId="26">#REF!</definedName>
    <definedName name="_PE3" localSheetId="27">#REF!</definedName>
    <definedName name="_PE3" localSheetId="30">#REF!</definedName>
    <definedName name="_PE3" localSheetId="31">#REF!</definedName>
    <definedName name="_PE3" localSheetId="33">#REF!</definedName>
    <definedName name="_PE3">#REF!</definedName>
    <definedName name="_PFY1" localSheetId="37">#REF!</definedName>
    <definedName name="_PFY1" localSheetId="17">#REF!</definedName>
    <definedName name="_PFY1" localSheetId="26">#REF!</definedName>
    <definedName name="_PFY1" localSheetId="27">#REF!</definedName>
    <definedName name="_PFY1" localSheetId="30">#REF!</definedName>
    <definedName name="_PFY1" localSheetId="31">#REF!</definedName>
    <definedName name="_PFY1" localSheetId="33">#REF!</definedName>
    <definedName name="_PFY1">#REF!</definedName>
    <definedName name="_PFY2" localSheetId="37">#REF!</definedName>
    <definedName name="_PFY2" localSheetId="17">#REF!</definedName>
    <definedName name="_PFY2" localSheetId="26">#REF!</definedName>
    <definedName name="_PFY2" localSheetId="27">#REF!</definedName>
    <definedName name="_PFY2" localSheetId="30">#REF!</definedName>
    <definedName name="_PFY2" localSheetId="31">#REF!</definedName>
    <definedName name="_PFY2" localSheetId="33">#REF!</definedName>
    <definedName name="_PFY2">#REF!</definedName>
    <definedName name="_PFY3" localSheetId="37">#REF!</definedName>
    <definedName name="_PFY3" localSheetId="17">#REF!</definedName>
    <definedName name="_PFY3" localSheetId="26">#REF!</definedName>
    <definedName name="_PFY3" localSheetId="27">#REF!</definedName>
    <definedName name="_PFY3" localSheetId="30">#REF!</definedName>
    <definedName name="_PFY3" localSheetId="31">#REF!</definedName>
    <definedName name="_PFY3" localSheetId="33">#REF!</definedName>
    <definedName name="_PFY3">#REF!</definedName>
    <definedName name="_PFY4" localSheetId="37">#REF!</definedName>
    <definedName name="_PFY4" localSheetId="17">#REF!</definedName>
    <definedName name="_PFY4" localSheetId="26">#REF!</definedName>
    <definedName name="_PFY4" localSheetId="27">#REF!</definedName>
    <definedName name="_PFY4" localSheetId="30">#REF!</definedName>
    <definedName name="_PFY4" localSheetId="31">#REF!</definedName>
    <definedName name="_PFY4" localSheetId="33">#REF!</definedName>
    <definedName name="_PFY4">#REF!</definedName>
    <definedName name="_pg1" localSheetId="37">#REF!</definedName>
    <definedName name="_pg1" localSheetId="17">#REF!</definedName>
    <definedName name="_pg1" localSheetId="26">#REF!</definedName>
    <definedName name="_pg1" localSheetId="27">#REF!</definedName>
    <definedName name="_pg1" localSheetId="30">#REF!</definedName>
    <definedName name="_pg1" localSheetId="31">#REF!</definedName>
    <definedName name="_pg1" localSheetId="33">#REF!</definedName>
    <definedName name="_pg1">#REF!</definedName>
    <definedName name="_pg2" localSheetId="37">#REF!</definedName>
    <definedName name="_pg2" localSheetId="17">#REF!</definedName>
    <definedName name="_pg2" localSheetId="26">#REF!</definedName>
    <definedName name="_pg2" localSheetId="27">#REF!</definedName>
    <definedName name="_pg2" localSheetId="30">#REF!</definedName>
    <definedName name="_pg2" localSheetId="31">#REF!</definedName>
    <definedName name="_pg2" localSheetId="33">#REF!</definedName>
    <definedName name="_pg2">#REF!</definedName>
    <definedName name="_pg3" localSheetId="37">#REF!</definedName>
    <definedName name="_pg3" localSheetId="17">#REF!</definedName>
    <definedName name="_pg3" localSheetId="26">#REF!</definedName>
    <definedName name="_pg3" localSheetId="27">#REF!</definedName>
    <definedName name="_pg3" localSheetId="30">#REF!</definedName>
    <definedName name="_pg3" localSheetId="31">#REF!</definedName>
    <definedName name="_pg3" localSheetId="33">#REF!</definedName>
    <definedName name="_pg3">#REF!</definedName>
    <definedName name="_pg4" localSheetId="37">#REF!</definedName>
    <definedName name="_pg4" localSheetId="17">#REF!</definedName>
    <definedName name="_pg4" localSheetId="26">#REF!</definedName>
    <definedName name="_pg4" localSheetId="27">#REF!</definedName>
    <definedName name="_pg4" localSheetId="30">#REF!</definedName>
    <definedName name="_pg4" localSheetId="31">#REF!</definedName>
    <definedName name="_pg4" localSheetId="33">#REF!</definedName>
    <definedName name="_pg4">#REF!</definedName>
    <definedName name="_pg5" localSheetId="37">#REF!</definedName>
    <definedName name="_pg5" localSheetId="17">#REF!</definedName>
    <definedName name="_pg5" localSheetId="26">#REF!</definedName>
    <definedName name="_pg5" localSheetId="27">#REF!</definedName>
    <definedName name="_pg5" localSheetId="30">#REF!</definedName>
    <definedName name="_pg5" localSheetId="31">#REF!</definedName>
    <definedName name="_pg5" localSheetId="33">#REF!</definedName>
    <definedName name="_pg5">#REF!</definedName>
    <definedName name="_Prd1">MIN(IF(#REF!="EQ",#REF!*#REF!))</definedName>
    <definedName name="_R" hidden="1">#REF!</definedName>
    <definedName name="_Regression_Int" hidden="1">1</definedName>
    <definedName name="_ROB3" localSheetId="37">#REF!</definedName>
    <definedName name="_ROB3" localSheetId="17">#REF!</definedName>
    <definedName name="_ROB3" localSheetId="26">#REF!</definedName>
    <definedName name="_ROB3" localSheetId="27">#REF!</definedName>
    <definedName name="_ROB3" localSheetId="30">#REF!</definedName>
    <definedName name="_ROB3" localSheetId="31">#REF!</definedName>
    <definedName name="_ROB3" localSheetId="33">#REF!</definedName>
    <definedName name="_ROB3">#REF!</definedName>
    <definedName name="_s" hidden="1">#REF!</definedName>
    <definedName name="_SAN2" localSheetId="2">#N/A</definedName>
    <definedName name="_SAN2" localSheetId="4">#N/A</definedName>
    <definedName name="_SAN2" localSheetId="41">'Preços Unitários'!_SAN2</definedName>
    <definedName name="_SAN2" localSheetId="23">'Recursos Humanos 1'!_SAN2</definedName>
    <definedName name="_SAN2" localSheetId="38">'Veículos e Equipamentos'!_SAN2</definedName>
    <definedName name="_SAN2">'Preços Unitários'!_SAN2</definedName>
    <definedName name="_SAN3" localSheetId="2">#N/A</definedName>
    <definedName name="_SAN3" localSheetId="4">#N/A</definedName>
    <definedName name="_SAN3" localSheetId="41">'Preços Unitários'!_SAN3</definedName>
    <definedName name="_SAN3" localSheetId="23">'Recursos Humanos 1'!_SAN3</definedName>
    <definedName name="_SAN3" localSheetId="38">'Veículos e Equipamentos'!_SAN3</definedName>
    <definedName name="_SAN3">'Preços Unitários'!_SAN3</definedName>
    <definedName name="_Sort" localSheetId="2" hidden="1">#REF!</definedName>
    <definedName name="_Sort" localSheetId="37" hidden="1">#REF!</definedName>
    <definedName name="_Sort" localSheetId="17" hidden="1">#REF!</definedName>
    <definedName name="_Sort" localSheetId="4" hidden="1">#REF!</definedName>
    <definedName name="_Sort" localSheetId="26" hidden="1">#REF!</definedName>
    <definedName name="_Sort" localSheetId="27" hidden="1">#REF!</definedName>
    <definedName name="_Sort" localSheetId="30" hidden="1">#REF!</definedName>
    <definedName name="_Sort" localSheetId="31" hidden="1">#REF!</definedName>
    <definedName name="_Sort" localSheetId="33" hidden="1">#REF!</definedName>
    <definedName name="_Sort" localSheetId="41" hidden="1">#REF!</definedName>
    <definedName name="_Sort" hidden="1">#REF!</definedName>
    <definedName name="_sum92" localSheetId="2">[6]WACC!#REF!</definedName>
    <definedName name="_sum92" localSheetId="37">[6]WACC!#REF!</definedName>
    <definedName name="_sum92" localSheetId="17">[6]WACC!#REF!</definedName>
    <definedName name="_sum92" localSheetId="4">[6]WACC!#REF!</definedName>
    <definedName name="_sum92" localSheetId="26">[6]WACC!#REF!</definedName>
    <definedName name="_sum92" localSheetId="27">[6]WACC!#REF!</definedName>
    <definedName name="_sum92" localSheetId="30">[6]WACC!#REF!</definedName>
    <definedName name="_sum92" localSheetId="31">[6]WACC!#REF!</definedName>
    <definedName name="_sum92" localSheetId="33">[6]WACC!#REF!</definedName>
    <definedName name="_sum92">[6]WACC!#REF!</definedName>
    <definedName name="_sum93" localSheetId="2">[6]WACC!#REF!</definedName>
    <definedName name="_sum93" localSheetId="37">[6]WACC!#REF!</definedName>
    <definedName name="_sum93" localSheetId="17">[6]WACC!#REF!</definedName>
    <definedName name="_sum93" localSheetId="4">[6]WACC!#REF!</definedName>
    <definedName name="_sum93" localSheetId="26">[6]WACC!#REF!</definedName>
    <definedName name="_sum93" localSheetId="27">[6]WACC!#REF!</definedName>
    <definedName name="_sum93" localSheetId="30">[6]WACC!#REF!</definedName>
    <definedName name="_sum93" localSheetId="31">[6]WACC!#REF!</definedName>
    <definedName name="_sum93" localSheetId="33">[6]WACC!#REF!</definedName>
    <definedName name="_sum93">[6]WACC!#REF!</definedName>
    <definedName name="_SYN1" localSheetId="37">#REF!</definedName>
    <definedName name="_SYN1" localSheetId="17">#REF!</definedName>
    <definedName name="_SYN1" localSheetId="26">#REF!</definedName>
    <definedName name="_SYN1" localSheetId="27">#REF!</definedName>
    <definedName name="_SYN1" localSheetId="30">#REF!</definedName>
    <definedName name="_SYN1" localSheetId="31">#REF!</definedName>
    <definedName name="_SYN1" localSheetId="33">#REF!</definedName>
    <definedName name="_SYN1">#REF!</definedName>
    <definedName name="_SYN2" localSheetId="37">#REF!</definedName>
    <definedName name="_SYN2" localSheetId="17">#REF!</definedName>
    <definedName name="_SYN2" localSheetId="26">#REF!</definedName>
    <definedName name="_SYN2" localSheetId="27">#REF!</definedName>
    <definedName name="_SYN2" localSheetId="30">#REF!</definedName>
    <definedName name="_SYN2" localSheetId="31">#REF!</definedName>
    <definedName name="_SYN2" localSheetId="33">#REF!</definedName>
    <definedName name="_SYN2">#REF!</definedName>
    <definedName name="_Table1_In1" localSheetId="37" hidden="1">#REF!</definedName>
    <definedName name="_Table1_In1" localSheetId="17" hidden="1">#REF!</definedName>
    <definedName name="_Table1_In1" localSheetId="26" hidden="1">#REF!</definedName>
    <definedName name="_Table1_In1" localSheetId="27" hidden="1">#REF!</definedName>
    <definedName name="_Table1_In1" localSheetId="30" hidden="1">#REF!</definedName>
    <definedName name="_Table1_In1" localSheetId="31" hidden="1">#REF!</definedName>
    <definedName name="_Table1_In1" localSheetId="33" hidden="1">#REF!</definedName>
    <definedName name="_Table1_In1" localSheetId="41" hidden="1">#REF!</definedName>
    <definedName name="_Table1_In1" hidden="1">#REF!</definedName>
    <definedName name="_Table1_Out" localSheetId="37" hidden="1">#REF!</definedName>
    <definedName name="_Table1_Out" localSheetId="17" hidden="1">#REF!</definedName>
    <definedName name="_Table1_Out" localSheetId="26" hidden="1">#REF!</definedName>
    <definedName name="_Table1_Out" localSheetId="27" hidden="1">#REF!</definedName>
    <definedName name="_Table1_Out" localSheetId="30" hidden="1">#REF!</definedName>
    <definedName name="_Table1_Out" localSheetId="31" hidden="1">#REF!</definedName>
    <definedName name="_Table1_Out" localSheetId="33" hidden="1">#REF!</definedName>
    <definedName name="_Table1_Out" localSheetId="41" hidden="1">#REF!</definedName>
    <definedName name="_Table1_Out" hidden="1">#REF!</definedName>
    <definedName name="_Table2_In1" hidden="1">#REF!</definedName>
    <definedName name="_Table2_In2" hidden="1">#REF!</definedName>
    <definedName name="_Table2_Out" localSheetId="37" hidden="1">#REF!</definedName>
    <definedName name="_Table2_Out" localSheetId="17" hidden="1">#REF!</definedName>
    <definedName name="_Table2_Out" localSheetId="26" hidden="1">#REF!</definedName>
    <definedName name="_Table2_Out" localSheetId="27" hidden="1">#REF!</definedName>
    <definedName name="_Table2_Out" localSheetId="30" hidden="1">#REF!</definedName>
    <definedName name="_Table2_Out" localSheetId="31" hidden="1">#REF!</definedName>
    <definedName name="_Table2_Out" localSheetId="33" hidden="1">#REF!</definedName>
    <definedName name="_Table2_Out" localSheetId="41" hidden="1">#REF!</definedName>
    <definedName name="_Table2_Out" hidden="1">#REF!</definedName>
    <definedName name="_VAX1" localSheetId="37">#REF!</definedName>
    <definedName name="_VAX1" localSheetId="17">#REF!</definedName>
    <definedName name="_VAX1" localSheetId="16">#REF!</definedName>
    <definedName name="_VAX1" localSheetId="26">#REF!</definedName>
    <definedName name="_VAX1" localSheetId="27">#REF!</definedName>
    <definedName name="_VAX1" localSheetId="28">#REF!</definedName>
    <definedName name="_VAX1" localSheetId="30">#REF!</definedName>
    <definedName name="_VAX1" localSheetId="31">#REF!</definedName>
    <definedName name="_VAX1" localSheetId="33">#REF!</definedName>
    <definedName name="_VAX1">#REF!</definedName>
    <definedName name="_VAX2" localSheetId="37">#REF!</definedName>
    <definedName name="_VAX2" localSheetId="17">#REF!</definedName>
    <definedName name="_VAX2" localSheetId="16">#REF!</definedName>
    <definedName name="_VAX2" localSheetId="26">#REF!</definedName>
    <definedName name="_VAX2" localSheetId="27">#REF!</definedName>
    <definedName name="_VAX2" localSheetId="28">#REF!</definedName>
    <definedName name="_VAX2" localSheetId="30">#REF!</definedName>
    <definedName name="_VAX2" localSheetId="31">#REF!</definedName>
    <definedName name="_VAX2" localSheetId="33">#REF!</definedName>
    <definedName name="_VAX2">#REF!</definedName>
    <definedName name="_VRL1" localSheetId="37">#REF!</definedName>
    <definedName name="_VRL1" localSheetId="17">#REF!</definedName>
    <definedName name="_VRL1" localSheetId="16">#REF!</definedName>
    <definedName name="_VRL1" localSheetId="26">#REF!</definedName>
    <definedName name="_VRL1" localSheetId="27">#REF!</definedName>
    <definedName name="_VRL1" localSheetId="28">#REF!</definedName>
    <definedName name="_VRL1" localSheetId="30">#REF!</definedName>
    <definedName name="_VRL1" localSheetId="31">#REF!</definedName>
    <definedName name="_VRL1" localSheetId="33">#REF!</definedName>
    <definedName name="_VRL1">#REF!</definedName>
    <definedName name="_VRL2" localSheetId="37">#REF!</definedName>
    <definedName name="_VRL2" localSheetId="17">#REF!</definedName>
    <definedName name="_VRL2" localSheetId="16">#REF!</definedName>
    <definedName name="_VRL2" localSheetId="26">#REF!</definedName>
    <definedName name="_VRL2" localSheetId="27">#REF!</definedName>
    <definedName name="_VRL2" localSheetId="28">#REF!</definedName>
    <definedName name="_VRL2" localSheetId="30">#REF!</definedName>
    <definedName name="_VRL2" localSheetId="31">#REF!</definedName>
    <definedName name="_VRL2" localSheetId="33">#REF!</definedName>
    <definedName name="_VRL2">#REF!</definedName>
    <definedName name="_VRL3" localSheetId="37">#REF!</definedName>
    <definedName name="_VRL3" localSheetId="17">#REF!</definedName>
    <definedName name="_VRL3" localSheetId="16">#REF!</definedName>
    <definedName name="_VRL3" localSheetId="26">#REF!</definedName>
    <definedName name="_VRL3" localSheetId="27">#REF!</definedName>
    <definedName name="_VRL3" localSheetId="28">#REF!</definedName>
    <definedName name="_VRL3" localSheetId="30">#REF!</definedName>
    <definedName name="_VRL3" localSheetId="31">#REF!</definedName>
    <definedName name="_VRL3" localSheetId="33">#REF!</definedName>
    <definedName name="_VRL3">#REF!</definedName>
    <definedName name="_x1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r2" localSheetId="37">#REF!</definedName>
    <definedName name="_xr2" localSheetId="17">#REF!</definedName>
    <definedName name="_xr2" localSheetId="26">#REF!</definedName>
    <definedName name="_xr2" localSheetId="27">#REF!</definedName>
    <definedName name="_xr2" localSheetId="30">#REF!</definedName>
    <definedName name="_xr2" localSheetId="31">#REF!</definedName>
    <definedName name="_xr2" localSheetId="33">#REF!</definedName>
    <definedName name="_xr2">#REF!</definedName>
    <definedName name="_YR1" localSheetId="37">#REF!</definedName>
    <definedName name="_YR1" localSheetId="17">#REF!</definedName>
    <definedName name="_YR1" localSheetId="26">#REF!</definedName>
    <definedName name="_YR1" localSheetId="27">#REF!</definedName>
    <definedName name="_YR1" localSheetId="30">#REF!</definedName>
    <definedName name="_YR1" localSheetId="31">#REF!</definedName>
    <definedName name="_YR1" localSheetId="33">#REF!</definedName>
    <definedName name="_YR1">#REF!</definedName>
    <definedName name="a" localSheetId="37">#REF!</definedName>
    <definedName name="a" localSheetId="17">#REF!</definedName>
    <definedName name="a" localSheetId="26">#REF!</definedName>
    <definedName name="a" localSheetId="27">#REF!</definedName>
    <definedName name="a" localSheetId="30">#REF!</definedName>
    <definedName name="a" localSheetId="31">#REF!</definedName>
    <definedName name="a" localSheetId="33">#REF!</definedName>
    <definedName name="a">#REF!</definedName>
    <definedName name="A_I_C_V">#N/A</definedName>
    <definedName name="A_M_FRA">#N/A</definedName>
    <definedName name="A_METROS">#N/A</definedName>
    <definedName name="aa" localSheetId="2" hidden="1">{"'RR'!$A$2:$E$81"}</definedName>
    <definedName name="aa" localSheetId="4" hidden="1">{"'RR'!$A$2:$E$81"}</definedName>
    <definedName name="aa" hidden="1">{"'RR'!$A$2:$E$81"}</definedName>
    <definedName name="aaa" localSheetId="2" hidden="1">{"'RR'!$A$2:$E$81"}</definedName>
    <definedName name="aaa" localSheetId="4" hidden="1">{"'RR'!$A$2:$E$81"}</definedName>
    <definedName name="aaa" hidden="1">{"'RR'!$A$2:$E$81"}</definedName>
    <definedName name="AAA_DOCTOPS" hidden="1">"AAA_SET"</definedName>
    <definedName name="AAA_duser" hidden="1">"OFF"</definedName>
    <definedName name="aaaaaa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" localSheetId="4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a" hidden="1">#N/A</definedName>
    <definedName name="aaaaaaaaaaaaaa" localSheetId="2" hidden="1">{"'RR'!$A$2:$E$81"}</definedName>
    <definedName name="aaaaaaaaaaaaaa" localSheetId="4" hidden="1">{"'RR'!$A$2:$E$81"}</definedName>
    <definedName name="aaaaaaaaaaaaaa" hidden="1">{"'RR'!$A$2:$E$81"}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T_5.2" localSheetId="2" hidden="1">{#N/A,#N/A,FALSE,"Planilha";#N/A,#N/A,FALSE,"Resumo";#N/A,#N/A,FALSE,"Fisico";#N/A,#N/A,FALSE,"Financeiro";#N/A,#N/A,FALSE,"Financeiro"}</definedName>
    <definedName name="AAT_5.2" localSheetId="4" hidden="1">{#N/A,#N/A,FALSE,"Planilha";#N/A,#N/A,FALSE,"Resumo";#N/A,#N/A,FALSE,"Fisico";#N/A,#N/A,FALSE,"Financeiro";#N/A,#N/A,FALSE,"Financeiro"}</definedName>
    <definedName name="AAT_5.2" hidden="1">{#N/A,#N/A,FALSE,"Planilha";#N/A,#N/A,FALSE,"Resumo";#N/A,#N/A,FALSE,"Fisico";#N/A,#N/A,FALSE,"Financeiro";#N/A,#N/A,FALSE,"Financeiro"}</definedName>
    <definedName name="abc" localSheetId="2" hidden="1">{"TotalGeralDespesasPorArea",#N/A,FALSE,"VinculosAccessEfetivo"}</definedName>
    <definedName name="abc" localSheetId="4" hidden="1">{"TotalGeralDespesasPorArea",#N/A,FALSE,"VinculosAccessEfetivo"}</definedName>
    <definedName name="abc" hidden="1">{"TotalGeralDespesasPorArea",#N/A,FALSE,"VinculosAccessEfetivo"}</definedName>
    <definedName name="abcdef" localSheetId="2" hidden="1">{"'PXR_6500'!$A$1:$I$124"}</definedName>
    <definedName name="abcdef" localSheetId="4" hidden="1">{"'PXR_6500'!$A$1:$I$124"}</definedName>
    <definedName name="abcdef" hidden="1">{"'PXR_6500'!$A$1:$I$124"}</definedName>
    <definedName name="ABN" localSheetId="2" hidden="1">{"'PXR_6500'!$A$1:$I$124"}</definedName>
    <definedName name="ABN" localSheetId="4" hidden="1">{"'PXR_6500'!$A$1:$I$124"}</definedName>
    <definedName name="ABN" hidden="1">{"'PXR_6500'!$A$1:$I$124"}</definedName>
    <definedName name="ABR" localSheetId="2">#N/A</definedName>
    <definedName name="ABR" localSheetId="4">#N/A</definedName>
    <definedName name="ABR" localSheetId="41">'Preços Unitários'!ABR</definedName>
    <definedName name="ABR" localSheetId="23">'Recursos Humanos 1'!ABR</definedName>
    <definedName name="ABR" localSheetId="38">'Veículos e Equipamentos'!ABR</definedName>
    <definedName name="ABR">'Preços Unitários'!ABR</definedName>
    <definedName name="AccessDatabase" hidden="1">"C:\FAME\famework\elyval.mdb"</definedName>
    <definedName name="AccPay" localSheetId="37">#REF!</definedName>
    <definedName name="AccPay" localSheetId="17">#REF!</definedName>
    <definedName name="AccPay" localSheetId="26">#REF!</definedName>
    <definedName name="AccPay" localSheetId="27">#REF!</definedName>
    <definedName name="AccPay" localSheetId="30">#REF!</definedName>
    <definedName name="AccPay" localSheetId="31">#REF!</definedName>
    <definedName name="AccPay" localSheetId="33">#REF!</definedName>
    <definedName name="AccPay">#REF!</definedName>
    <definedName name="AccRec" localSheetId="37">#REF!</definedName>
    <definedName name="AccRec" localSheetId="17">#REF!</definedName>
    <definedName name="AccRec" localSheetId="26">#REF!</definedName>
    <definedName name="AccRec" localSheetId="27">#REF!</definedName>
    <definedName name="AccRec" localSheetId="30">#REF!</definedName>
    <definedName name="AccRec" localSheetId="31">#REF!</definedName>
    <definedName name="AccRec" localSheetId="33">#REF!</definedName>
    <definedName name="AccRec">#REF!</definedName>
    <definedName name="ACCTNG" localSheetId="37">#REF!</definedName>
    <definedName name="ACCTNG" localSheetId="17">#REF!</definedName>
    <definedName name="ACCTNG" localSheetId="26">#REF!</definedName>
    <definedName name="ACCTNG" localSheetId="27">#REF!</definedName>
    <definedName name="ACCTNG" localSheetId="30">#REF!</definedName>
    <definedName name="ACCTNG" localSheetId="31">#REF!</definedName>
    <definedName name="ACCTNG" localSheetId="33">#REF!</definedName>
    <definedName name="ACCTNG">#REF!</definedName>
    <definedName name="acq" localSheetId="37">'[27]Opco BS'!#REF!</definedName>
    <definedName name="acq" localSheetId="17">'[27]Opco BS'!#REF!</definedName>
    <definedName name="acq" localSheetId="26">'[27]Opco BS'!#REF!</definedName>
    <definedName name="acq" localSheetId="27">'[27]Opco BS'!#REF!</definedName>
    <definedName name="acq" localSheetId="30">'[27]Opco BS'!#REF!</definedName>
    <definedName name="acq" localSheetId="31">'[27]Opco BS'!#REF!</definedName>
    <definedName name="acq" localSheetId="33">'[27]Opco BS'!#REF!</definedName>
    <definedName name="acq">'[27]Opco BS'!#REF!</definedName>
    <definedName name="Acquirer" localSheetId="4">#REF!</definedName>
    <definedName name="Acquirer">#REF!</definedName>
    <definedName name="Acquiror">[12]Assumptions!$C$17</definedName>
    <definedName name="acsi" localSheetId="37">#REF!</definedName>
    <definedName name="acsi" localSheetId="17">#REF!</definedName>
    <definedName name="acsi" localSheetId="26">#REF!</definedName>
    <definedName name="acsi" localSheetId="27">#REF!</definedName>
    <definedName name="acsi" localSheetId="30">#REF!</definedName>
    <definedName name="acsi" localSheetId="31">#REF!</definedName>
    <definedName name="acsi" localSheetId="33">#REF!</definedName>
    <definedName name="acsi">#REF!</definedName>
    <definedName name="acsioptions" localSheetId="37">#REF!</definedName>
    <definedName name="acsioptions" localSheetId="17">#REF!</definedName>
    <definedName name="acsioptions" localSheetId="26">#REF!</definedName>
    <definedName name="acsioptions" localSheetId="27">#REF!</definedName>
    <definedName name="acsioptions" localSheetId="30">#REF!</definedName>
    <definedName name="acsioptions" localSheetId="31">#REF!</definedName>
    <definedName name="acsioptions" localSheetId="33">#REF!</definedName>
    <definedName name="acsioptions">#REF!</definedName>
    <definedName name="acsiwarrants" localSheetId="37">#REF!</definedName>
    <definedName name="acsiwarrants" localSheetId="17">#REF!</definedName>
    <definedName name="acsiwarrants" localSheetId="26">#REF!</definedName>
    <definedName name="acsiwarrants" localSheetId="27">#REF!</definedName>
    <definedName name="acsiwarrants" localSheetId="30">#REF!</definedName>
    <definedName name="acsiwarrants" localSheetId="31">#REF!</definedName>
    <definedName name="acsiwarrants" localSheetId="33">#REF!</definedName>
    <definedName name="acsiwarrants">#REF!</definedName>
    <definedName name="Active.Case" hidden="1">#REF!</definedName>
    <definedName name="Active.CaseOpCo" hidden="1">#REF!</definedName>
    <definedName name="Actual" localSheetId="2" hidden="1">{#N/A,#N/A,TRUE,"Historicals";#N/A,#N/A,TRUE,"Charts";#N/A,#N/A,TRUE,"Forecasts"}</definedName>
    <definedName name="Actual" localSheetId="4" hidden="1">{#N/A,#N/A,TRUE,"Historicals";#N/A,#N/A,TRUE,"Charts";#N/A,#N/A,TRUE,"Forecasts"}</definedName>
    <definedName name="Actual" hidden="1">{#N/A,#N/A,TRUE,"Historicals";#N/A,#N/A,TRUE,"Charts";#N/A,#N/A,TRUE,"Forecasts"}</definedName>
    <definedName name="actual_start_year">1995</definedName>
    <definedName name="AddIn_Source" localSheetId="37">#REF!</definedName>
    <definedName name="AddIn_Source" localSheetId="17">#REF!</definedName>
    <definedName name="AddIn_Source" localSheetId="26">#REF!</definedName>
    <definedName name="AddIn_Source" localSheetId="27">#REF!</definedName>
    <definedName name="AddIn_Source" localSheetId="30">#REF!</definedName>
    <definedName name="AddIn_Source" localSheetId="31">#REF!</definedName>
    <definedName name="AddIn_Source" localSheetId="33">#REF!</definedName>
    <definedName name="AddIn_Source">#REF!</definedName>
    <definedName name="Additional_Material_Movement_1" localSheetId="37">#REF!</definedName>
    <definedName name="Additional_Material_Movement_1" localSheetId="17">#REF!</definedName>
    <definedName name="Additional_Material_Movement_1" localSheetId="26">#REF!</definedName>
    <definedName name="Additional_Material_Movement_1" localSheetId="27">#REF!</definedName>
    <definedName name="Additional_Material_Movement_1" localSheetId="30">#REF!</definedName>
    <definedName name="Additional_Material_Movement_1" localSheetId="31">#REF!</definedName>
    <definedName name="Additional_Material_Movement_1" localSheetId="33">#REF!</definedName>
    <definedName name="Additional_Material_Movement_1">#REF!</definedName>
    <definedName name="Additional_Material_Movement_2" localSheetId="37">#REF!</definedName>
    <definedName name="Additional_Material_Movement_2" localSheetId="17">#REF!</definedName>
    <definedName name="Additional_Material_Movement_2" localSheetId="26">#REF!</definedName>
    <definedName name="Additional_Material_Movement_2" localSheetId="27">#REF!</definedName>
    <definedName name="Additional_Material_Movement_2" localSheetId="30">#REF!</definedName>
    <definedName name="Additional_Material_Movement_2" localSheetId="31">#REF!</definedName>
    <definedName name="Additional_Material_Movement_2" localSheetId="33">#REF!</definedName>
    <definedName name="Additional_Material_Movement_2">#REF!</definedName>
    <definedName name="Additional_Material_Movement_3" localSheetId="37">#REF!</definedName>
    <definedName name="Additional_Material_Movement_3" localSheetId="17">#REF!</definedName>
    <definedName name="Additional_Material_Movement_3" localSheetId="26">#REF!</definedName>
    <definedName name="Additional_Material_Movement_3" localSheetId="27">#REF!</definedName>
    <definedName name="Additional_Material_Movement_3" localSheetId="30">#REF!</definedName>
    <definedName name="Additional_Material_Movement_3" localSheetId="31">#REF!</definedName>
    <definedName name="Additional_Material_Movement_3" localSheetId="33">#REF!</definedName>
    <definedName name="Additional_Material_Movement_3">#REF!</definedName>
    <definedName name="Additional_Material_Movement_4" localSheetId="37">#REF!</definedName>
    <definedName name="Additional_Material_Movement_4" localSheetId="17">#REF!</definedName>
    <definedName name="Additional_Material_Movement_4" localSheetId="26">#REF!</definedName>
    <definedName name="Additional_Material_Movement_4" localSheetId="27">#REF!</definedName>
    <definedName name="Additional_Material_Movement_4" localSheetId="30">#REF!</definedName>
    <definedName name="Additional_Material_Movement_4" localSheetId="31">#REF!</definedName>
    <definedName name="Additional_Material_Movement_4" localSheetId="33">#REF!</definedName>
    <definedName name="Additional_Material_Movement_4">#REF!</definedName>
    <definedName name="Additional_Material_Movement_5" localSheetId="37">#REF!</definedName>
    <definedName name="Additional_Material_Movement_5" localSheetId="17">#REF!</definedName>
    <definedName name="Additional_Material_Movement_5" localSheetId="26">#REF!</definedName>
    <definedName name="Additional_Material_Movement_5" localSheetId="27">#REF!</definedName>
    <definedName name="Additional_Material_Movement_5" localSheetId="30">#REF!</definedName>
    <definedName name="Additional_Material_Movement_5" localSheetId="31">#REF!</definedName>
    <definedName name="Additional_Material_Movement_5" localSheetId="33">#REF!</definedName>
    <definedName name="Additional_Material_Movement_5">#REF!</definedName>
    <definedName name="adew" localSheetId="2" hidden="1">{#N/A,#N/A,FALSE,"FFCXOUT3"}</definedName>
    <definedName name="adew" localSheetId="4" hidden="1">{#N/A,#N/A,FALSE,"FFCXOUT3"}</definedName>
    <definedName name="adew" hidden="1">{#N/A,#N/A,FALSE,"FFCXOUT3"}</definedName>
    <definedName name="Adir">"C:\SisGpo\Banco de Dados"</definedName>
    <definedName name="AdjTaxes" localSheetId="37">#REF!</definedName>
    <definedName name="AdjTaxes" localSheetId="17">#REF!</definedName>
    <definedName name="AdjTaxes" localSheetId="26">#REF!</definedName>
    <definedName name="AdjTaxes" localSheetId="27">#REF!</definedName>
    <definedName name="AdjTaxes" localSheetId="30">#REF!</definedName>
    <definedName name="AdjTaxes" localSheetId="31">#REF!</definedName>
    <definedName name="AdjTaxes" localSheetId="33">#REF!</definedName>
    <definedName name="AdjTaxes">#REF!</definedName>
    <definedName name="Adjusted_Market_Value" localSheetId="37">#REF!</definedName>
    <definedName name="Adjusted_Market_Value" localSheetId="17">#REF!</definedName>
    <definedName name="Adjusted_Market_Value" localSheetId="26">#REF!</definedName>
    <definedName name="Adjusted_Market_Value" localSheetId="27">#REF!</definedName>
    <definedName name="Adjusted_Market_Value" localSheetId="30">#REF!</definedName>
    <definedName name="Adjusted_Market_Value" localSheetId="31">#REF!</definedName>
    <definedName name="Adjusted_Market_Value" localSheetId="33">#REF!</definedName>
    <definedName name="Adjusted_Market_Value">#REF!</definedName>
    <definedName name="afdvfvvzv" hidden="1">#REF!</definedName>
    <definedName name="afgafdbcvb" hidden="1">#REF!</definedName>
    <definedName name="After_Tax_SEC_PV_10" localSheetId="37">#REF!</definedName>
    <definedName name="After_Tax_SEC_PV_10" localSheetId="17">#REF!</definedName>
    <definedName name="After_Tax_SEC_PV_10" localSheetId="26">#REF!</definedName>
    <definedName name="After_Tax_SEC_PV_10" localSheetId="27">#REF!</definedName>
    <definedName name="After_Tax_SEC_PV_10" localSheetId="30">#REF!</definedName>
    <definedName name="After_Tax_SEC_PV_10" localSheetId="31">#REF!</definedName>
    <definedName name="After_Tax_SEC_PV_10" localSheetId="33">#REF!</definedName>
    <definedName name="After_Tax_SEC_PV_10">#REF!</definedName>
    <definedName name="AfterTaxItems" localSheetId="37">#REF!</definedName>
    <definedName name="AfterTaxItems" localSheetId="17">#REF!</definedName>
    <definedName name="AfterTaxItems" localSheetId="26">#REF!</definedName>
    <definedName name="AfterTaxItems" localSheetId="27">#REF!</definedName>
    <definedName name="AfterTaxItems" localSheetId="30">#REF!</definedName>
    <definedName name="AfterTaxItems" localSheetId="31">#REF!</definedName>
    <definedName name="AfterTaxItems" localSheetId="33">#REF!</definedName>
    <definedName name="AfterTaxItems">#REF!</definedName>
    <definedName name="AGO" localSheetId="2">#N/A</definedName>
    <definedName name="AGO" localSheetId="4">#N/A</definedName>
    <definedName name="AGO" localSheetId="41">'Preços Unitários'!AGO</definedName>
    <definedName name="AGO" localSheetId="23">'Recursos Humanos 1'!AGO</definedName>
    <definedName name="AGO" localSheetId="38">'Veículos e Equipamentos'!AGO</definedName>
    <definedName name="AGO">'Preços Unitários'!AGO</definedName>
    <definedName name="agrtsf" localSheetId="2" hidden="1">#REF!</definedName>
    <definedName name="agrtsf" localSheetId="4" hidden="1">#REF!</definedName>
    <definedName name="agrtsf" hidden="1">#REF!</definedName>
    <definedName name="Aliq" localSheetId="37">#REF!</definedName>
    <definedName name="Aliq" localSheetId="17">#REF!</definedName>
    <definedName name="Aliq" localSheetId="26">#REF!</definedName>
    <definedName name="Aliq" localSheetId="27">#REF!</definedName>
    <definedName name="Aliq" localSheetId="30">#REF!</definedName>
    <definedName name="Aliq" localSheetId="31">#REF!</definedName>
    <definedName name="Aliq" localSheetId="33">#REF!</definedName>
    <definedName name="Aliq">#REF!</definedName>
    <definedName name="allcash">1</definedName>
    <definedName name="allokay" localSheetId="37">#REF!</definedName>
    <definedName name="allokay" localSheetId="17">#REF!</definedName>
    <definedName name="allokay" localSheetId="26">#REF!</definedName>
    <definedName name="allokay" localSheetId="27">#REF!</definedName>
    <definedName name="allokay" localSheetId="30">#REF!</definedName>
    <definedName name="allokay" localSheetId="31">#REF!</definedName>
    <definedName name="allokay" localSheetId="33">#REF!</definedName>
    <definedName name="allokay">#REF!</definedName>
    <definedName name="allsicempty" localSheetId="37">#REF!</definedName>
    <definedName name="allsicempty" localSheetId="17">#REF!</definedName>
    <definedName name="allsicempty" localSheetId="26">#REF!</definedName>
    <definedName name="allsicempty" localSheetId="27">#REF!</definedName>
    <definedName name="allsicempty" localSheetId="30">#REF!</definedName>
    <definedName name="allsicempty" localSheetId="31">#REF!</definedName>
    <definedName name="allsicempty" localSheetId="33">#REF!</definedName>
    <definedName name="allsicempty">#REF!</definedName>
    <definedName name="AllStockPool">2</definedName>
    <definedName name="AllStockPurch">3</definedName>
    <definedName name="amortiz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V____Net_PP_E" localSheetId="37">[17]summary!#REF!</definedName>
    <definedName name="AMV____Net_PP_E" localSheetId="17">[17]summary!#REF!</definedName>
    <definedName name="AMV____Net_PP_E" localSheetId="26">[17]summary!#REF!</definedName>
    <definedName name="AMV____Net_PP_E" localSheetId="27">[17]summary!#REF!</definedName>
    <definedName name="AMV____Net_PP_E" localSheetId="30">[17]summary!#REF!</definedName>
    <definedName name="AMV____Net_PP_E" localSheetId="31">[17]summary!#REF!</definedName>
    <definedName name="AMV____Net_PP_E" localSheetId="33">[17]summary!#REF!</definedName>
    <definedName name="AMV____Net_PP_E">[17]summary!#REF!</definedName>
    <definedName name="AMV___1997E_EBITDAX" localSheetId="37">#REF!</definedName>
    <definedName name="AMV___1997E_EBITDAX" localSheetId="17">#REF!</definedName>
    <definedName name="AMV___1997E_EBITDAX" localSheetId="26">#REF!</definedName>
    <definedName name="AMV___1997E_EBITDAX" localSheetId="27">#REF!</definedName>
    <definedName name="AMV___1997E_EBITDAX" localSheetId="30">#REF!</definedName>
    <definedName name="AMV___1997E_EBITDAX" localSheetId="31">#REF!</definedName>
    <definedName name="AMV___1997E_EBITDAX" localSheetId="33">#REF!</definedName>
    <definedName name="AMV___1997E_EBITDAX">#REF!</definedName>
    <definedName name="AMV___1998E_EBITDAX" localSheetId="37">#REF!</definedName>
    <definedName name="AMV___1998E_EBITDAX" localSheetId="17">#REF!</definedName>
    <definedName name="AMV___1998E_EBITDAX" localSheetId="26">#REF!</definedName>
    <definedName name="AMV___1998E_EBITDAX" localSheetId="27">#REF!</definedName>
    <definedName name="AMV___1998E_EBITDAX" localSheetId="30">#REF!</definedName>
    <definedName name="AMV___1998E_EBITDAX" localSheetId="31">#REF!</definedName>
    <definedName name="AMV___1998E_EBITDAX" localSheetId="33">#REF!</definedName>
    <definedName name="AMV___1998E_EBITDAX">#REF!</definedName>
    <definedName name="AMV___After_Tax_SEC_10_Value" localSheetId="37">#REF!</definedName>
    <definedName name="AMV___After_Tax_SEC_10_Value" localSheetId="17">#REF!</definedName>
    <definedName name="AMV___After_Tax_SEC_10_Value" localSheetId="26">#REF!</definedName>
    <definedName name="AMV___After_Tax_SEC_10_Value" localSheetId="27">#REF!</definedName>
    <definedName name="AMV___After_Tax_SEC_10_Value" localSheetId="30">#REF!</definedName>
    <definedName name="AMV___After_Tax_SEC_10_Value" localSheetId="31">#REF!</definedName>
    <definedName name="AMV___After_Tax_SEC_10_Value" localSheetId="33">#REF!</definedName>
    <definedName name="AMV___After_Tax_SEC_10_Value">#REF!</definedName>
    <definedName name="AMV___LTM_EBITDAX" localSheetId="37">#REF!</definedName>
    <definedName name="AMV___LTM_EBITDAX" localSheetId="17">#REF!</definedName>
    <definedName name="AMV___LTM_EBITDAX" localSheetId="26">#REF!</definedName>
    <definedName name="AMV___LTM_EBITDAX" localSheetId="27">#REF!</definedName>
    <definedName name="AMV___LTM_EBITDAX" localSheetId="30">#REF!</definedName>
    <definedName name="AMV___LTM_EBITDAX" localSheetId="31">#REF!</definedName>
    <definedName name="AMV___LTM_EBITDAX" localSheetId="33">#REF!</definedName>
    <definedName name="AMV___LTM_EBITDAX">#REF!</definedName>
    <definedName name="AMV___Proved_BOE" localSheetId="37">[17]summary!#REF!</definedName>
    <definedName name="AMV___Proved_BOE" localSheetId="17">[17]summary!#REF!</definedName>
    <definedName name="AMV___Proved_BOE" localSheetId="26">[17]summary!#REF!</definedName>
    <definedName name="AMV___Proved_BOE" localSheetId="27">[17]summary!#REF!</definedName>
    <definedName name="AMV___Proved_BOE" localSheetId="30">[17]summary!#REF!</definedName>
    <definedName name="AMV___Proved_BOE" localSheetId="31">[17]summary!#REF!</definedName>
    <definedName name="AMV___Proved_BOE" localSheetId="33">[17]summary!#REF!</definedName>
    <definedName name="AMV___Proved_BOE">[17]summary!#REF!</definedName>
    <definedName name="ancusto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ancusto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ancusto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ano">'[28]Investimentos '!#REF!</definedName>
    <definedName name="anscount" hidden="1">7</definedName>
    <definedName name="apage" localSheetId="37">[29]DCF!#REF!</definedName>
    <definedName name="apage" localSheetId="17">[29]DCF!#REF!</definedName>
    <definedName name="apage" localSheetId="26">[29]DCF!#REF!</definedName>
    <definedName name="apage" localSheetId="27">[29]DCF!#REF!</definedName>
    <definedName name="apage" localSheetId="30">[29]DCF!#REF!</definedName>
    <definedName name="apage" localSheetId="31">[29]DCF!#REF!</definedName>
    <definedName name="apage" localSheetId="33">[29]DCF!#REF!</definedName>
    <definedName name="apage">[29]DCF!#REF!</definedName>
    <definedName name="aportes" localSheetId="4">#REF!</definedName>
    <definedName name="aportes">#REF!</definedName>
    <definedName name="aqda" localSheetId="2" hidden="1">{#N/A,#N/A,FALSE,"FFCXOUT3"}</definedName>
    <definedName name="aqda" localSheetId="4" hidden="1">{#N/A,#N/A,FALSE,"FFCXOUT3"}</definedName>
    <definedName name="aqda" hidden="1">{#N/A,#N/A,FALSE,"FFCXOUT3"}</definedName>
    <definedName name="AQP" localSheetId="37">[17]summary!#REF!</definedName>
    <definedName name="AQP" localSheetId="17">[17]summary!#REF!</definedName>
    <definedName name="AQP" localSheetId="26">[17]summary!#REF!</definedName>
    <definedName name="AQP" localSheetId="27">[17]summary!#REF!</definedName>
    <definedName name="AQP" localSheetId="30">[17]summary!#REF!</definedName>
    <definedName name="AQP" localSheetId="31">[17]summary!#REF!</definedName>
    <definedName name="AQP" localSheetId="33">[17]summary!#REF!</definedName>
    <definedName name="AQP">[17]summary!#REF!</definedName>
    <definedName name="_xlnm.Print_Area" localSheetId="39">'Composição de Custeio'!$A$1:$P$34</definedName>
    <definedName name="_xlnm.Print_Area" localSheetId="19">'Composição Faturamento 1'!$A$1:$F$47</definedName>
    <definedName name="_xlnm.Print_Area" localSheetId="20">'Composição Faturamento 2'!$A$1:$I$34</definedName>
    <definedName name="_xlnm.Print_Area" localSheetId="2">#REF!</definedName>
    <definedName name="_xlnm.Print_Area" localSheetId="37">'Disposição de Lodo'!$A$1:$E$35</definedName>
    <definedName name="_xlnm.Print_Area" localSheetId="25">'Energia Elétrica'!$A$1:$Q$33</definedName>
    <definedName name="_xlnm.Print_Area" localSheetId="8">'Evolução Atendimento'!$B$1:$O$33</definedName>
    <definedName name="_xlnm.Print_Area" localSheetId="17">'Evolução de Rede'!$A$1:$L$33</definedName>
    <definedName name="_xlnm.Print_Area" localSheetId="15">'Evolução Economias'!$A$1:$B$33</definedName>
    <definedName name="_xlnm.Print_Area" localSheetId="16">'Evolução Ligações'!$A$1:$I$34</definedName>
    <definedName name="_xlnm.Print_Area" localSheetId="10">'Evolução Volume'!$A$1:$K$33</definedName>
    <definedName name="_xlnm.Print_Area" localSheetId="4">#REF!</definedName>
    <definedName name="_xlnm.Print_Area" localSheetId="42">Investimento!$B$47:$M$69</definedName>
    <definedName name="_xlnm.Print_Area" localSheetId="44">'Outorga e Regulação'!$A$1:$D$58</definedName>
    <definedName name="_xlnm.Print_Area" localSheetId="21">'Perfil da Arrecadação'!$A$1:$F$34</definedName>
    <definedName name="_xlnm.Print_Area" localSheetId="26">'PQ01-ETA'!$A$1:$E$35</definedName>
    <definedName name="_xlnm.Print_Area" localSheetId="27">'PQ02-ETA'!$A$1:$E$35</definedName>
    <definedName name="_xlnm.Print_Area" localSheetId="28">'PQ03-ETA'!$A$1:$E$35</definedName>
    <definedName name="_xlnm.Print_Area" localSheetId="30">'PQ05-ETA'!$A$1:$E$35</definedName>
    <definedName name="_xlnm.Print_Area" localSheetId="31">'PQ06-ETA'!$A$1:$E$35</definedName>
    <definedName name="_xlnm.Print_Area" localSheetId="33">'PQ08-ETE'!$A$1:$E$35</definedName>
    <definedName name="_xlnm.Print_Area" localSheetId="11">Vazões!$A$1:$M$33</definedName>
    <definedName name="_xlnm.Print_Area">#REF!</definedName>
    <definedName name="AREA_FRAC">#N/A</definedName>
    <definedName name="Área_impressão_IM" localSheetId="37">#REF!</definedName>
    <definedName name="Área_impressão_IM" localSheetId="17">#REF!</definedName>
    <definedName name="Área_impressão_IM" localSheetId="26">#REF!</definedName>
    <definedName name="Área_impressão_IM" localSheetId="27">#REF!</definedName>
    <definedName name="Área_impressão_IM" localSheetId="30">#REF!</definedName>
    <definedName name="Área_impressão_IM" localSheetId="31">#REF!</definedName>
    <definedName name="Área_impressão_IM" localSheetId="33">#REF!</definedName>
    <definedName name="Área_impressão_IM">#REF!</definedName>
    <definedName name="AREA_LEG">#N/A</definedName>
    <definedName name="AREA_MUN">#N/A</definedName>
    <definedName name="AREAFRAC">#N/A</definedName>
    <definedName name="AS" localSheetId="37" hidden="1">#REF!</definedName>
    <definedName name="AS" localSheetId="17" hidden="1">#REF!</definedName>
    <definedName name="AS" localSheetId="26" hidden="1">#REF!</definedName>
    <definedName name="AS" localSheetId="27" hidden="1">#REF!</definedName>
    <definedName name="AS" localSheetId="30" hidden="1">#REF!</definedName>
    <definedName name="AS" localSheetId="31" hidden="1">#REF!</definedName>
    <definedName name="AS" localSheetId="33" hidden="1">#REF!</definedName>
    <definedName name="AS" localSheetId="41" hidden="1">#REF!</definedName>
    <definedName name="AS" hidden="1">#REF!</definedName>
    <definedName name="AS2DocOpenMode" hidden="1">"AS2DocumentEdit"</definedName>
    <definedName name="AS2NamedRange" hidden="1">16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[30]RELATA!$A$1:$AA$335</definedName>
    <definedName name="asas" localSheetId="2" hidden="1">#REF!</definedName>
    <definedName name="asas" localSheetId="4" hidden="1">#REF!</definedName>
    <definedName name="asas" hidden="1">#REF!</definedName>
    <definedName name="asasas" localSheetId="2" hidden="1">{#N/A,#N/A,FALSE,"FFCXOUT3"}</definedName>
    <definedName name="asasas" localSheetId="4" hidden="1">{#N/A,#N/A,FALSE,"FFCXOUT3"}</definedName>
    <definedName name="asasas" hidden="1">{#N/A,#N/A,FALSE,"FFCXOUT3"}</definedName>
    <definedName name="asd">[31]Premissas!$E$46:$E$61</definedName>
    <definedName name="asdasc" localSheetId="2" hidden="1">#REF!</definedName>
    <definedName name="asdasc" localSheetId="4" hidden="1">#REF!</definedName>
    <definedName name="asdasc" hidden="1">#REF!</definedName>
    <definedName name="asdf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sdf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sdf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SDFASFA" localSheetId="2" hidden="1">{#N/A,#N/A,TRUE,"Resumo de Preços"}</definedName>
    <definedName name="ASDFASFA" localSheetId="4" hidden="1">{#N/A,#N/A,TRUE,"Resumo de Preços"}</definedName>
    <definedName name="ASDFASFA" hidden="1">{#N/A,#N/A,TRUE,"Resumo de Preços"}</definedName>
    <definedName name="asdsad" hidden="1">#N/A</definedName>
    <definedName name="ASHR" localSheetId="37">#REF!</definedName>
    <definedName name="ASHR" localSheetId="17">#REF!</definedName>
    <definedName name="ASHR" localSheetId="26">#REF!</definedName>
    <definedName name="ASHR" localSheetId="27">#REF!</definedName>
    <definedName name="ASHR" localSheetId="30">#REF!</definedName>
    <definedName name="ASHR" localSheetId="31">#REF!</definedName>
    <definedName name="ASHR" localSheetId="33">#REF!</definedName>
    <definedName name="ASHR">#REF!</definedName>
    <definedName name="asoihqasha" hidden="1">[32]REAC1!#REF!</definedName>
    <definedName name="asp_it_percentage_of_service_fees">2/3</definedName>
    <definedName name="ASSASASASA">[33]RELATA!$A$1:$AA$335</definedName>
    <definedName name="asset" localSheetId="37">#REF!</definedName>
    <definedName name="asset" localSheetId="17">#REF!</definedName>
    <definedName name="asset" localSheetId="26">#REF!</definedName>
    <definedName name="asset" localSheetId="27">#REF!</definedName>
    <definedName name="asset" localSheetId="30">#REF!</definedName>
    <definedName name="asset" localSheetId="31">#REF!</definedName>
    <definedName name="asset" localSheetId="33">#REF!</definedName>
    <definedName name="asset">#REF!</definedName>
    <definedName name="ASSUM2" localSheetId="37">#REF!</definedName>
    <definedName name="ASSUM2" localSheetId="17">#REF!</definedName>
    <definedName name="ASSUM2" localSheetId="26">#REF!</definedName>
    <definedName name="ASSUM2" localSheetId="27">#REF!</definedName>
    <definedName name="ASSUM2" localSheetId="30">#REF!</definedName>
    <definedName name="ASSUM2" localSheetId="31">#REF!</definedName>
    <definedName name="ASSUM2" localSheetId="33">#REF!</definedName>
    <definedName name="ASSUM2">#REF!</definedName>
    <definedName name="assumptions" localSheetId="37">#REF!</definedName>
    <definedName name="assumptions" localSheetId="17">#REF!</definedName>
    <definedName name="assumptions" localSheetId="26">#REF!</definedName>
    <definedName name="assumptions" localSheetId="27">#REF!</definedName>
    <definedName name="assumptions" localSheetId="30">#REF!</definedName>
    <definedName name="assumptions" localSheetId="31">#REF!</definedName>
    <definedName name="assumptions" localSheetId="33">#REF!</definedName>
    <definedName name="assumptions">#REF!</definedName>
    <definedName name="Assumptios2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TOCK" localSheetId="37">#REF!</definedName>
    <definedName name="ASTOCK" localSheetId="17">#REF!</definedName>
    <definedName name="ASTOCK" localSheetId="26">#REF!</definedName>
    <definedName name="ASTOCK" localSheetId="27">#REF!</definedName>
    <definedName name="ASTOCK" localSheetId="30">#REF!</definedName>
    <definedName name="ASTOCK" localSheetId="31">#REF!</definedName>
    <definedName name="ASTOCK" localSheetId="33">#REF!</definedName>
    <definedName name="ASTOCK">#REF!</definedName>
    <definedName name="at" localSheetId="37">[29]DCF!#REF!</definedName>
    <definedName name="at" localSheetId="17">[29]DCF!#REF!</definedName>
    <definedName name="at" localSheetId="26">[29]DCF!#REF!</definedName>
    <definedName name="at" localSheetId="27">[29]DCF!#REF!</definedName>
    <definedName name="at" localSheetId="30">[29]DCF!#REF!</definedName>
    <definedName name="at" localSheetId="31">[29]DCF!#REF!</definedName>
    <definedName name="at" localSheetId="33">[29]DCF!#REF!</definedName>
    <definedName name="at">[29]DCF!#REF!</definedName>
    <definedName name="Ati" localSheetId="2" hidden="1">{"TotalGeralDespesasPorArea",#N/A,FALSE,"VinculosAccessEfetivo"}</definedName>
    <definedName name="Ati" localSheetId="4" hidden="1">{"TotalGeralDespesasPorArea",#N/A,FALSE,"VinculosAccessEfetivo"}</definedName>
    <definedName name="Ati" hidden="1">{"TotalGeralDespesasPorArea",#N/A,FALSE,"VinculosAccessEfetivo"}</definedName>
    <definedName name="aTIVO" localSheetId="2" hidden="1">{"TotalGeralDespesasPorArea",#N/A,FALSE,"VinculosAccessEfetivo"}</definedName>
    <definedName name="aTIVO" localSheetId="4" hidden="1">{"TotalGeralDespesasPorArea",#N/A,FALSE,"VinculosAccessEfetivo"}</definedName>
    <definedName name="aTIVO" hidden="1">{"TotalGeralDespesasPorArea",#N/A,FALSE,"VinculosAccessEfetivo"}</definedName>
    <definedName name="ausD96" localSheetId="37">'[1]Status Page'!#REF!</definedName>
    <definedName name="ausD96" localSheetId="17">'[1]Status Page'!#REF!</definedName>
    <definedName name="ausD96" localSheetId="26">'[1]Status Page'!#REF!</definedName>
    <definedName name="ausD96" localSheetId="27">'[1]Status Page'!#REF!</definedName>
    <definedName name="ausD96" localSheetId="30">'[1]Status Page'!#REF!</definedName>
    <definedName name="ausD96" localSheetId="31">'[1]Status Page'!#REF!</definedName>
    <definedName name="ausD96" localSheetId="33">'[1]Status Page'!#REF!</definedName>
    <definedName name="ausD96">'[1]Status Page'!#REF!</definedName>
    <definedName name="ausfy96" localSheetId="37">#REF!</definedName>
    <definedName name="ausfy96" localSheetId="17">#REF!</definedName>
    <definedName name="ausfy96" localSheetId="26">#REF!</definedName>
    <definedName name="ausfy96" localSheetId="27">#REF!</definedName>
    <definedName name="ausfy96" localSheetId="30">#REF!</definedName>
    <definedName name="ausfy96" localSheetId="31">#REF!</definedName>
    <definedName name="ausfy96" localSheetId="33">#REF!</definedName>
    <definedName name="ausfy96">#REF!</definedName>
    <definedName name="Auto_Parts_Book_Value" localSheetId="37">#REF!</definedName>
    <definedName name="Auto_Parts_Book_Value" localSheetId="17">#REF!</definedName>
    <definedName name="Auto_Parts_Book_Value" localSheetId="26">#REF!</definedName>
    <definedName name="Auto_Parts_Book_Value" localSheetId="27">#REF!</definedName>
    <definedName name="Auto_Parts_Book_Value" localSheetId="30">#REF!</definedName>
    <definedName name="Auto_Parts_Book_Value" localSheetId="31">#REF!</definedName>
    <definedName name="Auto_Parts_Book_Value" localSheetId="33">#REF!</definedName>
    <definedName name="Auto_Parts_Book_Value">#REF!</definedName>
    <definedName name="AvgShares" localSheetId="37">#REF!</definedName>
    <definedName name="AvgShares" localSheetId="17">#REF!</definedName>
    <definedName name="AvgShares" localSheetId="26">#REF!</definedName>
    <definedName name="AvgShares" localSheetId="27">#REF!</definedName>
    <definedName name="AvgShares" localSheetId="30">#REF!</definedName>
    <definedName name="AvgShares" localSheetId="31">#REF!</definedName>
    <definedName name="AvgShares" localSheetId="33">#REF!</definedName>
    <definedName name="AvgShares">#REF!</definedName>
    <definedName name="b" localSheetId="2" hidden="1">{"'RR'!$A$2:$E$81"}</definedName>
    <definedName name="b" localSheetId="4" hidden="1">{"'RR'!$A$2:$E$81"}</definedName>
    <definedName name="b" hidden="1">{"'RR'!$A$2:$E$81"}</definedName>
    <definedName name="BACK_A" localSheetId="37">#REF!</definedName>
    <definedName name="BACK_A" localSheetId="17">#REF!</definedName>
    <definedName name="BACK_A" localSheetId="26">#REF!</definedName>
    <definedName name="BACK_A" localSheetId="27">#REF!</definedName>
    <definedName name="BACK_A" localSheetId="30">#REF!</definedName>
    <definedName name="BACK_A" localSheetId="31">#REF!</definedName>
    <definedName name="BACK_A" localSheetId="33">#REF!</definedName>
    <definedName name="BACK_A">#REF!</definedName>
    <definedName name="bad_debt_prct">[34]ASSUM!$P$22</definedName>
    <definedName name="baffvdfz" localSheetId="2" hidden="1">#REF!</definedName>
    <definedName name="baffvdfz" localSheetId="4" hidden="1">#REF!</definedName>
    <definedName name="baffvdfz" hidden="1">#REF!</definedName>
    <definedName name="bal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bal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bal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balance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_xlnm.Database" localSheetId="37">#REF!</definedName>
    <definedName name="_xlnm.Database" localSheetId="17">#REF!</definedName>
    <definedName name="_xlnm.Database" localSheetId="26">#REF!</definedName>
    <definedName name="_xlnm.Database" localSheetId="27">#REF!</definedName>
    <definedName name="_xlnm.Database" localSheetId="30">#REF!</definedName>
    <definedName name="_xlnm.Database" localSheetId="31">#REF!</definedName>
    <definedName name="_xlnm.Database" localSheetId="33">#REF!</definedName>
    <definedName name="_xlnm.Database">#REF!</definedName>
    <definedName name="Banco_do_Brazil___Bond_I" localSheetId="37">#REF!</definedName>
    <definedName name="Banco_do_Brazil___Bond_I" localSheetId="17">#REF!</definedName>
    <definedName name="Banco_do_Brazil___Bond_I" localSheetId="26">#REF!</definedName>
    <definedName name="Banco_do_Brazil___Bond_I" localSheetId="27">#REF!</definedName>
    <definedName name="Banco_do_Brazil___Bond_I" localSheetId="30">#REF!</definedName>
    <definedName name="Banco_do_Brazil___Bond_I" localSheetId="31">#REF!</definedName>
    <definedName name="Banco_do_Brazil___Bond_I" localSheetId="33">#REF!</definedName>
    <definedName name="Banco_do_Brazil___Bond_I">#REF!</definedName>
    <definedName name="Banco_do_Brazil___Brady__Bond_II" localSheetId="37">#REF!</definedName>
    <definedName name="Banco_do_Brazil___Brady__Bond_II" localSheetId="17">#REF!</definedName>
    <definedName name="Banco_do_Brazil___Brady__Bond_II" localSheetId="26">#REF!</definedName>
    <definedName name="Banco_do_Brazil___Brady__Bond_II" localSheetId="27">#REF!</definedName>
    <definedName name="Banco_do_Brazil___Brady__Bond_II" localSheetId="30">#REF!</definedName>
    <definedName name="Banco_do_Brazil___Brady__Bond_II" localSheetId="31">#REF!</definedName>
    <definedName name="Banco_do_Brazil___Brady__Bond_II" localSheetId="33">#REF!</definedName>
    <definedName name="Banco_do_Brazil___Brady__Bond_II">#REF!</definedName>
    <definedName name="Banco_do_Brazil___Brady_AO_Par_Bond" localSheetId="37">#REF!</definedName>
    <definedName name="Banco_do_Brazil___Brady_AO_Par_Bond" localSheetId="17">#REF!</definedName>
    <definedName name="Banco_do_Brazil___Brady_AO_Par_Bond" localSheetId="26">#REF!</definedName>
    <definedName name="Banco_do_Brazil___Brady_AO_Par_Bond" localSheetId="27">#REF!</definedName>
    <definedName name="Banco_do_Brazil___Brady_AO_Par_Bond" localSheetId="30">#REF!</definedName>
    <definedName name="Banco_do_Brazil___Brady_AO_Par_Bond" localSheetId="31">#REF!</definedName>
    <definedName name="Banco_do_Brazil___Brady_AO_Par_Bond" localSheetId="33">#REF!</definedName>
    <definedName name="Banco_do_Brazil___Brady_AO_Par_Bond">#REF!</definedName>
    <definedName name="Banco_do_Brazil___Brady_Bond_Conv" localSheetId="37">#REF!</definedName>
    <definedName name="Banco_do_Brazil___Brady_Bond_Conv" localSheetId="17">#REF!</definedName>
    <definedName name="Banco_do_Brazil___Brady_Bond_Conv" localSheetId="26">#REF!</definedName>
    <definedName name="Banco_do_Brazil___Brady_Bond_Conv" localSheetId="27">#REF!</definedName>
    <definedName name="Banco_do_Brazil___Brady_Bond_Conv" localSheetId="30">#REF!</definedName>
    <definedName name="Banco_do_Brazil___Brady_Bond_Conv" localSheetId="31">#REF!</definedName>
    <definedName name="Banco_do_Brazil___Brady_Bond_Conv" localSheetId="33">#REF!</definedName>
    <definedName name="Banco_do_Brazil___Brady_Bond_Conv">#REF!</definedName>
    <definedName name="Banco_do_Brazil___Brady_Bond_N.Money" localSheetId="37">#REF!</definedName>
    <definedName name="Banco_do_Brazil___Brady_Bond_N.Money" localSheetId="17">#REF!</definedName>
    <definedName name="Banco_do_Brazil___Brady_Bond_N.Money" localSheetId="26">#REF!</definedName>
    <definedName name="Banco_do_Brazil___Brady_Bond_N.Money" localSheetId="27">#REF!</definedName>
    <definedName name="Banco_do_Brazil___Brady_Bond_N.Money" localSheetId="30">#REF!</definedName>
    <definedName name="Banco_do_Brazil___Brady_Bond_N.Money" localSheetId="31">#REF!</definedName>
    <definedName name="Banco_do_Brazil___Brady_Bond_N.Money" localSheetId="33">#REF!</definedName>
    <definedName name="Banco_do_Brazil___Brady_Bond_N.Money">#REF!</definedName>
    <definedName name="Banco_do_Brazil___Brady_Bond_w_Cap" localSheetId="37">#REF!</definedName>
    <definedName name="Banco_do_Brazil___Brady_Bond_w_Cap" localSheetId="17">#REF!</definedName>
    <definedName name="Banco_do_Brazil___Brady_Bond_w_Cap" localSheetId="26">#REF!</definedName>
    <definedName name="Banco_do_Brazil___Brady_Bond_w_Cap" localSheetId="27">#REF!</definedName>
    <definedName name="Banco_do_Brazil___Brady_Bond_w_Cap" localSheetId="30">#REF!</definedName>
    <definedName name="Banco_do_Brazil___Brady_Bond_w_Cap" localSheetId="31">#REF!</definedName>
    <definedName name="Banco_do_Brazil___Brady_Bond_w_Cap" localSheetId="33">#REF!</definedName>
    <definedName name="Banco_do_Brazil___Brady_Bond_w_Cap">#REF!</definedName>
    <definedName name="Banco_do_Brazil___Brady_Bond_w_Disc" localSheetId="37">#REF!</definedName>
    <definedName name="Banco_do_Brazil___Brady_Bond_w_Disc" localSheetId="17">#REF!</definedName>
    <definedName name="Banco_do_Brazil___Brady_Bond_w_Disc" localSheetId="26">#REF!</definedName>
    <definedName name="Banco_do_Brazil___Brady_Bond_w_Disc" localSheetId="27">#REF!</definedName>
    <definedName name="Banco_do_Brazil___Brady_Bond_w_Disc" localSheetId="30">#REF!</definedName>
    <definedName name="Banco_do_Brazil___Brady_Bond_w_Disc" localSheetId="31">#REF!</definedName>
    <definedName name="Banco_do_Brazil___Brady_Bond_w_Disc" localSheetId="33">#REF!</definedName>
    <definedName name="Banco_do_Brazil___Brady_Bond_w_Disc">#REF!</definedName>
    <definedName name="Banco_do_Brazil___Brady_Int._Red." localSheetId="37">#REF!</definedName>
    <definedName name="Banco_do_Brazil___Brady_Int._Red." localSheetId="17">#REF!</definedName>
    <definedName name="Banco_do_Brazil___Brady_Int._Red." localSheetId="26">#REF!</definedName>
    <definedName name="Banco_do_Brazil___Brady_Int._Red." localSheetId="27">#REF!</definedName>
    <definedName name="Banco_do_Brazil___Brady_Int._Red." localSheetId="30">#REF!</definedName>
    <definedName name="Banco_do_Brazil___Brady_Int._Red." localSheetId="31">#REF!</definedName>
    <definedName name="Banco_do_Brazil___Brady_Int._Red." localSheetId="33">#REF!</definedName>
    <definedName name="Banco_do_Brazil___Brady_Int._Red.">#REF!</definedName>
    <definedName name="Banco_do_Brazil___Lei_7976" localSheetId="37">#REF!</definedName>
    <definedName name="Banco_do_Brazil___Lei_7976" localSheetId="17">#REF!</definedName>
    <definedName name="Banco_do_Brazil___Lei_7976" localSheetId="26">#REF!</definedName>
    <definedName name="Banco_do_Brazil___Lei_7976" localSheetId="27">#REF!</definedName>
    <definedName name="Banco_do_Brazil___Lei_7976" localSheetId="30">#REF!</definedName>
    <definedName name="Banco_do_Brazil___Lei_7976" localSheetId="31">#REF!</definedName>
    <definedName name="Banco_do_Brazil___Lei_7976" localSheetId="33">#REF!</definedName>
    <definedName name="Banco_do_Brazil___Lei_7976">#REF!</definedName>
    <definedName name="BASE" localSheetId="2">[29]DCF!#REF!</definedName>
    <definedName name="BASE" localSheetId="37">[29]DCF!#REF!</definedName>
    <definedName name="BASE" localSheetId="17">[29]DCF!#REF!</definedName>
    <definedName name="BASE" localSheetId="4">[29]DCF!#REF!</definedName>
    <definedName name="BASE" localSheetId="26">[29]DCF!#REF!</definedName>
    <definedName name="BASE" localSheetId="27">[29]DCF!#REF!</definedName>
    <definedName name="BASE" localSheetId="30">[29]DCF!#REF!</definedName>
    <definedName name="BASE" localSheetId="31">[29]DCF!#REF!</definedName>
    <definedName name="BASE" localSheetId="33">[29]DCF!#REF!</definedName>
    <definedName name="BASE">[29]DCF!#REF!</definedName>
    <definedName name="BaseTick" localSheetId="37">#REF!</definedName>
    <definedName name="BaseTick" localSheetId="17">#REF!</definedName>
    <definedName name="BaseTick" localSheetId="26">#REF!</definedName>
    <definedName name="BaseTick" localSheetId="27">#REF!</definedName>
    <definedName name="BaseTick" localSheetId="30">#REF!</definedName>
    <definedName name="BaseTick" localSheetId="31">#REF!</definedName>
    <definedName name="BaseTick" localSheetId="33">#REF!</definedName>
    <definedName name="BaseTick">#REF!</definedName>
    <definedName name="bb" hidden="1">#REF!</definedName>
    <definedName name="bbb" localSheetId="2" hidden="1">{"'RR'!$A$2:$E$81"}</definedName>
    <definedName name="bbb" localSheetId="4" hidden="1">{"'RR'!$A$2:$E$81"}</definedName>
    <definedName name="bbb" hidden="1">{"'RR'!$A$2:$E$81"}</definedName>
    <definedName name="BCOS" localSheetId="37">#REF!</definedName>
    <definedName name="BCOS" localSheetId="17">#REF!</definedName>
    <definedName name="BCOS" localSheetId="16">#REF!</definedName>
    <definedName name="BCOS" localSheetId="26">#REF!</definedName>
    <definedName name="BCOS" localSheetId="27">#REF!</definedName>
    <definedName name="BCOS" localSheetId="28">#REF!</definedName>
    <definedName name="BCOS" localSheetId="30">#REF!</definedName>
    <definedName name="BCOS" localSheetId="31">#REF!</definedName>
    <definedName name="BCOS" localSheetId="33">#REF!</definedName>
    <definedName name="BCOS">#REF!</definedName>
    <definedName name="BD01_20" localSheetId="37">#REF!</definedName>
    <definedName name="BD01_20" localSheetId="17">#REF!</definedName>
    <definedName name="BD01_20" localSheetId="16">#REF!</definedName>
    <definedName name="BD01_20" localSheetId="26">#REF!</definedName>
    <definedName name="BD01_20" localSheetId="27">#REF!</definedName>
    <definedName name="BD01_20" localSheetId="28">#REF!</definedName>
    <definedName name="BD01_20" localSheetId="30">#REF!</definedName>
    <definedName name="BD01_20" localSheetId="31">#REF!</definedName>
    <definedName name="BD01_20" localSheetId="33">#REF!</definedName>
    <definedName name="BD01_20">#REF!</definedName>
    <definedName name="BD1_9" localSheetId="37">#REF!</definedName>
    <definedName name="BD1_9" localSheetId="17">#REF!</definedName>
    <definedName name="BD1_9" localSheetId="16">#REF!</definedName>
    <definedName name="BD1_9" localSheetId="26">#REF!</definedName>
    <definedName name="BD1_9" localSheetId="27">#REF!</definedName>
    <definedName name="BD1_9" localSheetId="28">#REF!</definedName>
    <definedName name="BD1_9" localSheetId="30">#REF!</definedName>
    <definedName name="BD1_9" localSheetId="31">#REF!</definedName>
    <definedName name="BD1_9" localSheetId="33">#REF!</definedName>
    <definedName name="BD1_9">#REF!</definedName>
    <definedName name="BD100_900" localSheetId="37">#REF!</definedName>
    <definedName name="BD100_900" localSheetId="17">#REF!</definedName>
    <definedName name="BD100_900" localSheetId="16">#REF!</definedName>
    <definedName name="BD100_900" localSheetId="26">#REF!</definedName>
    <definedName name="BD100_900" localSheetId="27">#REF!</definedName>
    <definedName name="BD100_900" localSheetId="28">#REF!</definedName>
    <definedName name="BD100_900" localSheetId="30">#REF!</definedName>
    <definedName name="BD100_900" localSheetId="31">#REF!</definedName>
    <definedName name="BD100_900" localSheetId="33">#REF!</definedName>
    <definedName name="BD100_900">#REF!</definedName>
    <definedName name="BD20_90" localSheetId="37">#REF!</definedName>
    <definedName name="BD20_90" localSheetId="17">#REF!</definedName>
    <definedName name="BD20_90" localSheetId="16">#REF!</definedName>
    <definedName name="BD20_90" localSheetId="26">#REF!</definedName>
    <definedName name="BD20_90" localSheetId="27">#REF!</definedName>
    <definedName name="BD20_90" localSheetId="28">#REF!</definedName>
    <definedName name="BD20_90" localSheetId="30">#REF!</definedName>
    <definedName name="BD20_90" localSheetId="31">#REF!</definedName>
    <definedName name="BD20_90" localSheetId="33">#REF!</definedName>
    <definedName name="BD20_90">#REF!</definedName>
    <definedName name="BDI" localSheetId="37">#REF!</definedName>
    <definedName name="BDI" localSheetId="17">#REF!</definedName>
    <definedName name="BDI" localSheetId="26">#REF!</definedName>
    <definedName name="BDI" localSheetId="27">#REF!</definedName>
    <definedName name="BDI" localSheetId="30">#REF!</definedName>
    <definedName name="BDI" localSheetId="31">#REF!</definedName>
    <definedName name="BDI" localSheetId="33">#REF!</definedName>
    <definedName name="BDI">#REF!</definedName>
    <definedName name="Beartooth_Pit_1" localSheetId="37">#REF!</definedName>
    <definedName name="Beartooth_Pit_1" localSheetId="17">#REF!</definedName>
    <definedName name="Beartooth_Pit_1" localSheetId="26">#REF!</definedName>
    <definedName name="Beartooth_Pit_1" localSheetId="27">#REF!</definedName>
    <definedName name="Beartooth_Pit_1" localSheetId="30">#REF!</definedName>
    <definedName name="Beartooth_Pit_1" localSheetId="31">#REF!</definedName>
    <definedName name="Beartooth_Pit_1" localSheetId="33">#REF!</definedName>
    <definedName name="Beartooth_Pit_1">#REF!</definedName>
    <definedName name="Beartooth_Pit_2" localSheetId="37">#REF!</definedName>
    <definedName name="Beartooth_Pit_2" localSheetId="17">#REF!</definedName>
    <definedName name="Beartooth_Pit_2" localSheetId="26">#REF!</definedName>
    <definedName name="Beartooth_Pit_2" localSheetId="27">#REF!</definedName>
    <definedName name="Beartooth_Pit_2" localSheetId="30">#REF!</definedName>
    <definedName name="Beartooth_Pit_2" localSheetId="31">#REF!</definedName>
    <definedName name="Beartooth_Pit_2" localSheetId="33">#REF!</definedName>
    <definedName name="Beartooth_Pit_2">#REF!</definedName>
    <definedName name="Beartooth_Pit_3" localSheetId="37">#REF!</definedName>
    <definedName name="Beartooth_Pit_3" localSheetId="17">#REF!</definedName>
    <definedName name="Beartooth_Pit_3" localSheetId="26">#REF!</definedName>
    <definedName name="Beartooth_Pit_3" localSheetId="27">#REF!</definedName>
    <definedName name="Beartooth_Pit_3" localSheetId="30">#REF!</definedName>
    <definedName name="Beartooth_Pit_3" localSheetId="31">#REF!</definedName>
    <definedName name="Beartooth_Pit_3" localSheetId="33">#REF!</definedName>
    <definedName name="Beartooth_Pit_3">#REF!</definedName>
    <definedName name="Beartooth_Pit_4" localSheetId="37">#REF!</definedName>
    <definedName name="Beartooth_Pit_4" localSheetId="17">#REF!</definedName>
    <definedName name="Beartooth_Pit_4" localSheetId="26">#REF!</definedName>
    <definedName name="Beartooth_Pit_4" localSheetId="27">#REF!</definedName>
    <definedName name="Beartooth_Pit_4" localSheetId="30">#REF!</definedName>
    <definedName name="Beartooth_Pit_4" localSheetId="31">#REF!</definedName>
    <definedName name="Beartooth_Pit_4" localSheetId="33">#REF!</definedName>
    <definedName name="Beartooth_Pit_4">#REF!</definedName>
    <definedName name="Beartooth_Pit_5" localSheetId="37">#REF!</definedName>
    <definedName name="Beartooth_Pit_5" localSheetId="17">#REF!</definedName>
    <definedName name="Beartooth_Pit_5" localSheetId="26">#REF!</definedName>
    <definedName name="Beartooth_Pit_5" localSheetId="27">#REF!</definedName>
    <definedName name="Beartooth_Pit_5" localSheetId="30">#REF!</definedName>
    <definedName name="Beartooth_Pit_5" localSheetId="31">#REF!</definedName>
    <definedName name="Beartooth_Pit_5" localSheetId="33">#REF!</definedName>
    <definedName name="Beartooth_Pit_5">#REF!</definedName>
    <definedName name="befD96" localSheetId="37">'[1]Status Page'!#REF!</definedName>
    <definedName name="befD96" localSheetId="17">'[1]Status Page'!#REF!</definedName>
    <definedName name="befD96" localSheetId="26">'[1]Status Page'!#REF!</definedName>
    <definedName name="befD96" localSheetId="27">'[1]Status Page'!#REF!</definedName>
    <definedName name="befD96" localSheetId="30">'[1]Status Page'!#REF!</definedName>
    <definedName name="befD96" localSheetId="31">'[1]Status Page'!#REF!</definedName>
    <definedName name="befD96" localSheetId="33">'[1]Status Page'!#REF!</definedName>
    <definedName name="befD96">'[1]Status Page'!#REF!</definedName>
    <definedName name="befd99">'[2]Share Prices'!$C$195</definedName>
    <definedName name="BERCO" localSheetId="37">#REF!</definedName>
    <definedName name="BERCO" localSheetId="17">#REF!</definedName>
    <definedName name="BERCO" localSheetId="16">#REF!</definedName>
    <definedName name="BERCO" localSheetId="26">#REF!</definedName>
    <definedName name="BERCO" localSheetId="27">#REF!</definedName>
    <definedName name="BERCO" localSheetId="28">#REF!</definedName>
    <definedName name="BERCO" localSheetId="30">#REF!</definedName>
    <definedName name="BERCO" localSheetId="31">#REF!</definedName>
    <definedName name="BERCO" localSheetId="33">#REF!</definedName>
    <definedName name="BERCO">#REF!</definedName>
    <definedName name="Beta" localSheetId="37">#REF!</definedName>
    <definedName name="Beta" localSheetId="17">#REF!</definedName>
    <definedName name="Beta" localSheetId="26">#REF!</definedName>
    <definedName name="Beta" localSheetId="27">#REF!</definedName>
    <definedName name="Beta" localSheetId="30">#REF!</definedName>
    <definedName name="Beta" localSheetId="31">#REF!</definedName>
    <definedName name="Beta" localSheetId="33">#REF!</definedName>
    <definedName name="Beta">#REF!</definedName>
    <definedName name="BetaInc" localSheetId="37">#REF!</definedName>
    <definedName name="BetaInc" localSheetId="17">#REF!</definedName>
    <definedName name="BetaInc" localSheetId="26">#REF!</definedName>
    <definedName name="BetaInc" localSheetId="27">#REF!</definedName>
    <definedName name="BetaInc" localSheetId="30">#REF!</definedName>
    <definedName name="BetaInc" localSheetId="31">#REF!</definedName>
    <definedName name="BetaInc" localSheetId="33">#REF!</definedName>
    <definedName name="BetaInc">#REF!</definedName>
    <definedName name="BG_Del" hidden="1">15</definedName>
    <definedName name="BG_Ins" hidden="1">4</definedName>
    <definedName name="BG_Mod" hidden="1">6</definedName>
    <definedName name="BL_Perc" localSheetId="2">[35]Assm!#REF!</definedName>
    <definedName name="BL_Perc" localSheetId="37">[35]Assm!#REF!</definedName>
    <definedName name="BL_Perc" localSheetId="17">[35]Assm!#REF!</definedName>
    <definedName name="BL_Perc" localSheetId="4">[35]Assm!#REF!</definedName>
    <definedName name="BL_Perc" localSheetId="26">[35]Assm!#REF!</definedName>
    <definedName name="BL_Perc" localSheetId="27">[35]Assm!#REF!</definedName>
    <definedName name="BL_Perc" localSheetId="30">[35]Assm!#REF!</definedName>
    <definedName name="BL_Perc" localSheetId="31">[35]Assm!#REF!</definedName>
    <definedName name="BL_Perc" localSheetId="33">[35]Assm!#REF!</definedName>
    <definedName name="BL_Perc">[35]Assm!#REF!</definedName>
    <definedName name="BLANK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oco" localSheetId="2">#REF!</definedName>
    <definedName name="Bloco">#REF!</definedName>
    <definedName name="Bloco2" localSheetId="2">#REF!</definedName>
    <definedName name="Bloco2">#REF!</definedName>
    <definedName name="BLPH1" localSheetId="2" hidden="1">[36]market!$E$7</definedName>
    <definedName name="BLPH1" localSheetId="4" hidden="1">[36]market!$E$7</definedName>
    <definedName name="BLPH1" hidden="1">[36]market!$E$7</definedName>
    <definedName name="BLPH10" localSheetId="2" hidden="1">[36]market!$O$12</definedName>
    <definedName name="BLPH10" localSheetId="4" hidden="1">[36]market!$O$12</definedName>
    <definedName name="BLPH10" hidden="1">[36]market!$O$12</definedName>
    <definedName name="BLPH11" localSheetId="2" hidden="1">[36]market!$Y$12</definedName>
    <definedName name="BLPH11" localSheetId="4" hidden="1">[36]market!$Y$12</definedName>
    <definedName name="BLPH11" hidden="1">[36]market!$Y$12</definedName>
    <definedName name="BLPH12" localSheetId="2" hidden="1">[36]market!$T$12</definedName>
    <definedName name="BLPH12" localSheetId="4" hidden="1">[36]market!$T$12</definedName>
    <definedName name="BLPH12" hidden="1">[36]market!$T$12</definedName>
    <definedName name="BLPH13" localSheetId="2" hidden="1">[36]market!$AD$12</definedName>
    <definedName name="BLPH13" localSheetId="4" hidden="1">[36]market!$AD$12</definedName>
    <definedName name="BLPH13" hidden="1">[36]market!$AD$12</definedName>
    <definedName name="BLPH14" localSheetId="2" hidden="1">[36]market!$AI$12</definedName>
    <definedName name="BLPH14" localSheetId="4" hidden="1">[36]market!$AI$12</definedName>
    <definedName name="BLPH14" hidden="1">[36]market!$AI$12</definedName>
    <definedName name="BLPH15" localSheetId="37" hidden="1">#REF!</definedName>
    <definedName name="BLPH15" localSheetId="17" hidden="1">#REF!</definedName>
    <definedName name="BLPH15" localSheetId="26" hidden="1">#REF!</definedName>
    <definedName name="BLPH15" localSheetId="27" hidden="1">#REF!</definedName>
    <definedName name="BLPH15" localSheetId="30" hidden="1">#REF!</definedName>
    <definedName name="BLPH15" localSheetId="31" hidden="1">#REF!</definedName>
    <definedName name="BLPH15" localSheetId="33" hidden="1">#REF!</definedName>
    <definedName name="BLPH15" localSheetId="41" hidden="1">#REF!</definedName>
    <definedName name="BLPH15" hidden="1">#REF!</definedName>
    <definedName name="BLPH2" localSheetId="2" hidden="1">[36]market!$I$7</definedName>
    <definedName name="BLPH2" localSheetId="4" hidden="1">[36]market!$I$7</definedName>
    <definedName name="BLPH2" hidden="1">[36]market!$I$7</definedName>
    <definedName name="BLPH3" localSheetId="2" hidden="1">[36]market!$M$7</definedName>
    <definedName name="BLPH3" localSheetId="4" hidden="1">[36]market!$M$7</definedName>
    <definedName name="BLPH3" hidden="1">[36]market!$M$7</definedName>
    <definedName name="BLPH4" localSheetId="2" hidden="1">[36]market!$Q$7</definedName>
    <definedName name="BLPH4" localSheetId="4" hidden="1">[36]market!$Q$7</definedName>
    <definedName name="BLPH4" hidden="1">[36]market!$Q$7</definedName>
    <definedName name="BLPH5" localSheetId="2" hidden="1">[36]market!$Z$7</definedName>
    <definedName name="BLPH5" localSheetId="4" hidden="1">[36]market!$Z$7</definedName>
    <definedName name="BLPH5" hidden="1">[36]market!$Z$7</definedName>
    <definedName name="BLPH6" localSheetId="2" hidden="1">[36]market!$T$7</definedName>
    <definedName name="BLPH6" localSheetId="4" hidden="1">[36]market!$T$7</definedName>
    <definedName name="BLPH6" hidden="1">[36]market!$T$7</definedName>
    <definedName name="BLPH7" localSheetId="2" hidden="1">[36]market!$AC$7</definedName>
    <definedName name="BLPH7" localSheetId="4" hidden="1">[36]market!$AC$7</definedName>
    <definedName name="BLPH7" hidden="1">[36]market!$AC$7</definedName>
    <definedName name="BLPH8" localSheetId="2" hidden="1">[36]market!$E$12</definedName>
    <definedName name="BLPH8" localSheetId="4" hidden="1">[36]market!$E$12</definedName>
    <definedName name="BLPH8" hidden="1">[36]market!$E$12</definedName>
    <definedName name="BLPH9" localSheetId="2" hidden="1">[36]market!$J$12</definedName>
    <definedName name="BLPH9" localSheetId="4" hidden="1">[36]market!$J$12</definedName>
    <definedName name="BLPH9" hidden="1">[36]market!$J$12</definedName>
    <definedName name="BLPR10020040303143550017" localSheetId="4" hidden="1">#REF!</definedName>
    <definedName name="BLPR10020040303143550017" hidden="1">#REF!</definedName>
    <definedName name="BLPR10020040303143550017_1_1" localSheetId="4" hidden="1">#REF!</definedName>
    <definedName name="BLPR10020040303143550017_1_1" hidden="1">#REF!</definedName>
    <definedName name="BLPR10120040303143550017" localSheetId="4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NBCapPagto">[37]PC!$E$98</definedName>
    <definedName name="BNBParticipation">[37]PC!$J$56</definedName>
    <definedName name="Bol_bridge_tot_repay_yearly">[38]Drawdown!$G$29:$AT$29</definedName>
    <definedName name="Bol_bridge_yearly">[38]Drawdown!$G$28:$AT$28</definedName>
    <definedName name="Bol_overdraft_loan">[38]BBPL_Returns!$G$56:$AT$56</definedName>
    <definedName name="Bol_SH_equity_adj">[38]Inputs!$G$120:$AT$120</definedName>
    <definedName name="Bolivia" localSheetId="37">#REF!</definedName>
    <definedName name="Bolivia" localSheetId="17">#REF!</definedName>
    <definedName name="Bolivia" localSheetId="26">#REF!</definedName>
    <definedName name="Bolivia" localSheetId="27">#REF!</definedName>
    <definedName name="Bolivia" localSheetId="30">#REF!</definedName>
    <definedName name="Bolivia" localSheetId="31">#REF!</definedName>
    <definedName name="Bolivia" localSheetId="33">#REF!</definedName>
    <definedName name="Bolivia">#REF!</definedName>
    <definedName name="bpage" localSheetId="37">[29]DCF!#REF!</definedName>
    <definedName name="bpage" localSheetId="17">[29]DCF!#REF!</definedName>
    <definedName name="bpage" localSheetId="26">[29]DCF!#REF!</definedName>
    <definedName name="bpage" localSheetId="27">[29]DCF!#REF!</definedName>
    <definedName name="bpage" localSheetId="30">[29]DCF!#REF!</definedName>
    <definedName name="bpage" localSheetId="31">[29]DCF!#REF!</definedName>
    <definedName name="bpage" localSheetId="33">[29]DCF!#REF!</definedName>
    <definedName name="bpage">[29]DCF!#REF!</definedName>
    <definedName name="Braz">'[2]Share Prices'!$D$57</definedName>
    <definedName name="Brazil" localSheetId="37">#REF!</definedName>
    <definedName name="Brazil" localSheetId="17">#REF!</definedName>
    <definedName name="Brazil" localSheetId="26">#REF!</definedName>
    <definedName name="Brazil" localSheetId="27">#REF!</definedName>
    <definedName name="Brazil" localSheetId="30">#REF!</definedName>
    <definedName name="Brazil" localSheetId="31">#REF!</definedName>
    <definedName name="Brazil" localSheetId="33">#REF!</definedName>
    <definedName name="Brazil">#REF!</definedName>
    <definedName name="BROW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pD96" localSheetId="37">'[1]Status Page'!#REF!</definedName>
    <definedName name="brpD96" localSheetId="17">'[1]Status Page'!#REF!</definedName>
    <definedName name="brpD96" localSheetId="26">'[1]Status Page'!#REF!</definedName>
    <definedName name="brpD96" localSheetId="27">'[1]Status Page'!#REF!</definedName>
    <definedName name="brpD96" localSheetId="30">'[1]Status Page'!#REF!</definedName>
    <definedName name="brpD96" localSheetId="31">'[1]Status Page'!#REF!</definedName>
    <definedName name="brpD96" localSheetId="33">'[1]Status Page'!#REF!</definedName>
    <definedName name="brpD96">'[1]Status Page'!#REF!</definedName>
    <definedName name="brpD99">'[39]Share Prices'!$C$163</definedName>
    <definedName name="bruno" hidden="1">[32]REAC1!#REF!</definedName>
    <definedName name="BS" localSheetId="37">[29]DCF!#REF!</definedName>
    <definedName name="BS" localSheetId="17">[29]DCF!#REF!</definedName>
    <definedName name="BS" localSheetId="26">[29]DCF!#REF!</definedName>
    <definedName name="BS" localSheetId="27">[29]DCF!#REF!</definedName>
    <definedName name="BS" localSheetId="30">[29]DCF!#REF!</definedName>
    <definedName name="BS" localSheetId="31">[29]DCF!#REF!</definedName>
    <definedName name="BS" localSheetId="33">[29]DCF!#REF!</definedName>
    <definedName name="BS">[29]DCF!#REF!</definedName>
    <definedName name="BS_A" localSheetId="37">#REF!</definedName>
    <definedName name="BS_A" localSheetId="17">#REF!</definedName>
    <definedName name="BS_A" localSheetId="26">#REF!</definedName>
    <definedName name="BS_A" localSheetId="27">#REF!</definedName>
    <definedName name="BS_A" localSheetId="30">#REF!</definedName>
    <definedName name="BS_A" localSheetId="31">#REF!</definedName>
    <definedName name="BS_A" localSheetId="33">#REF!</definedName>
    <definedName name="BS_A">#REF!</definedName>
    <definedName name="BSD">#REF!</definedName>
    <definedName name="BT__1" localSheetId="37">#REF!</definedName>
    <definedName name="BT__1" localSheetId="17">#REF!</definedName>
    <definedName name="BT__1" localSheetId="16">#REF!</definedName>
    <definedName name="BT__1" localSheetId="26">#REF!</definedName>
    <definedName name="BT__1" localSheetId="27">#REF!</definedName>
    <definedName name="BT__1" localSheetId="28">#REF!</definedName>
    <definedName name="BT__1" localSheetId="30">#REF!</definedName>
    <definedName name="BT__1" localSheetId="31">#REF!</definedName>
    <definedName name="BT__1" localSheetId="33">#REF!</definedName>
    <definedName name="BT__1">#REF!</definedName>
    <definedName name="BT_AOES" localSheetId="37">#REF!</definedName>
    <definedName name="BT_AOES" localSheetId="17">#REF!</definedName>
    <definedName name="BT_AOES" localSheetId="16">#REF!</definedName>
    <definedName name="BT_AOES" localSheetId="26">#REF!</definedName>
    <definedName name="BT_AOES" localSheetId="27">#REF!</definedName>
    <definedName name="BT_AOES" localSheetId="28">#REF!</definedName>
    <definedName name="BT_AOES" localSheetId="30">#REF!</definedName>
    <definedName name="BT_AOES" localSheetId="31">#REF!</definedName>
    <definedName name="BT_AOES" localSheetId="33">#REF!</definedName>
    <definedName name="BT_AOES">#REF!</definedName>
    <definedName name="BT_BLH" localSheetId="37">#REF!</definedName>
    <definedName name="BT_BLH" localSheetId="17">#REF!</definedName>
    <definedName name="BT_BLH" localSheetId="16">#REF!</definedName>
    <definedName name="BT_BLH" localSheetId="26">#REF!</definedName>
    <definedName name="BT_BLH" localSheetId="27">#REF!</definedName>
    <definedName name="BT_BLH" localSheetId="28">#REF!</definedName>
    <definedName name="BT_BLH" localSheetId="30">#REF!</definedName>
    <definedName name="BT_BLH" localSheetId="31">#REF!</definedName>
    <definedName name="BT_BLH" localSheetId="33">#REF!</definedName>
    <definedName name="BT_BLH">#REF!</definedName>
    <definedName name="BT_CEM" localSheetId="37">#REF!</definedName>
    <definedName name="BT_CEM" localSheetId="17">#REF!</definedName>
    <definedName name="BT_CEM" localSheetId="16">#REF!</definedName>
    <definedName name="BT_CEM" localSheetId="26">#REF!</definedName>
    <definedName name="BT_CEM" localSheetId="27">#REF!</definedName>
    <definedName name="BT_CEM" localSheetId="28">#REF!</definedName>
    <definedName name="BT_CEM" localSheetId="30">#REF!</definedName>
    <definedName name="BT_CEM" localSheetId="31">#REF!</definedName>
    <definedName name="BT_CEM" localSheetId="33">#REF!</definedName>
    <definedName name="BT_CEM">#REF!</definedName>
    <definedName name="BT_CTAVO" localSheetId="37">#REF!</definedName>
    <definedName name="BT_CTAVO" localSheetId="17">#REF!</definedName>
    <definedName name="BT_CTAVO" localSheetId="16">#REF!</definedName>
    <definedName name="BT_CTAVO" localSheetId="26">#REF!</definedName>
    <definedName name="BT_CTAVO" localSheetId="27">#REF!</definedName>
    <definedName name="BT_CTAVO" localSheetId="28">#REF!</definedName>
    <definedName name="BT_CTAVO" localSheetId="30">#REF!</definedName>
    <definedName name="BT_CTAVO" localSheetId="31">#REF!</definedName>
    <definedName name="BT_CTAVO" localSheetId="33">#REF!</definedName>
    <definedName name="BT_CTAVO">#REF!</definedName>
    <definedName name="BT_DE" localSheetId="37">#REF!</definedName>
    <definedName name="BT_DE" localSheetId="17">#REF!</definedName>
    <definedName name="BT_DE" localSheetId="16">#REF!</definedName>
    <definedName name="BT_DE" localSheetId="26">#REF!</definedName>
    <definedName name="BT_DE" localSheetId="27">#REF!</definedName>
    <definedName name="BT_DE" localSheetId="28">#REF!</definedName>
    <definedName name="BT_DE" localSheetId="30">#REF!</definedName>
    <definedName name="BT_DE" localSheetId="31">#REF!</definedName>
    <definedName name="BT_DE" localSheetId="33">#REF!</definedName>
    <definedName name="BT_DE">#REF!</definedName>
    <definedName name="BT_E" localSheetId="37">#REF!</definedName>
    <definedName name="BT_E" localSheetId="17">#REF!</definedName>
    <definedName name="BT_E" localSheetId="16">#REF!</definedName>
    <definedName name="BT_E" localSheetId="26">#REF!</definedName>
    <definedName name="BT_E" localSheetId="27">#REF!</definedName>
    <definedName name="BT_E" localSheetId="28">#REF!</definedName>
    <definedName name="BT_E" localSheetId="30">#REF!</definedName>
    <definedName name="BT_E" localSheetId="31">#REF!</definedName>
    <definedName name="BT_E" localSheetId="33">#REF!</definedName>
    <definedName name="BT_E">#REF!</definedName>
    <definedName name="BT_EVG" localSheetId="37">#REF!</definedName>
    <definedName name="BT_EVG" localSheetId="17">#REF!</definedName>
    <definedName name="BT_EVG" localSheetId="16">#REF!</definedName>
    <definedName name="BT_EVG" localSheetId="26">#REF!</definedName>
    <definedName name="BT_EVG" localSheetId="27">#REF!</definedName>
    <definedName name="BT_EVG" localSheetId="28">#REF!</definedName>
    <definedName name="BT_EVG" localSheetId="30">#REF!</definedName>
    <definedName name="BT_EVG" localSheetId="31">#REF!</definedName>
    <definedName name="BT_EVG" localSheetId="33">#REF!</definedName>
    <definedName name="BT_EVG">#REF!</definedName>
    <definedName name="BT_MDA" localSheetId="37">#REF!</definedName>
    <definedName name="BT_MDA" localSheetId="17">#REF!</definedName>
    <definedName name="BT_MDA" localSheetId="16">#REF!</definedName>
    <definedName name="BT_MDA" localSheetId="26">#REF!</definedName>
    <definedName name="BT_MDA" localSheetId="27">#REF!</definedName>
    <definedName name="BT_MDA" localSheetId="28">#REF!</definedName>
    <definedName name="BT_MDA" localSheetId="30">#REF!</definedName>
    <definedName name="BT_MDA" localSheetId="31">#REF!</definedName>
    <definedName name="BT_MDA" localSheetId="33">#REF!</definedName>
    <definedName name="BT_MDA">#REF!</definedName>
    <definedName name="BT_MIL" localSheetId="37">#REF!</definedName>
    <definedName name="BT_MIL" localSheetId="17">#REF!</definedName>
    <definedName name="BT_MIL" localSheetId="16">#REF!</definedName>
    <definedName name="BT_MIL" localSheetId="26">#REF!</definedName>
    <definedName name="BT_MIL" localSheetId="27">#REF!</definedName>
    <definedName name="BT_MIL" localSheetId="28">#REF!</definedName>
    <definedName name="BT_MIL" localSheetId="30">#REF!</definedName>
    <definedName name="BT_MIL" localSheetId="31">#REF!</definedName>
    <definedName name="BT_MIL" localSheetId="33">#REF!</definedName>
    <definedName name="BT_MIL">#REF!</definedName>
    <definedName name="BT_MLH" localSheetId="37">#REF!</definedName>
    <definedName name="BT_MLH" localSheetId="17">#REF!</definedName>
    <definedName name="BT_MLH" localSheetId="16">#REF!</definedName>
    <definedName name="BT_MLH" localSheetId="26">#REF!</definedName>
    <definedName name="BT_MLH" localSheetId="27">#REF!</definedName>
    <definedName name="BT_MLH" localSheetId="28">#REF!</definedName>
    <definedName name="BT_MLH" localSheetId="30">#REF!</definedName>
    <definedName name="BT_MLH" localSheetId="31">#REF!</definedName>
    <definedName name="BT_MLH" localSheetId="33">#REF!</definedName>
    <definedName name="BT_MLH">#REF!</definedName>
    <definedName name="BT_VG" localSheetId="37">#REF!</definedName>
    <definedName name="BT_VG" localSheetId="17">#REF!</definedName>
    <definedName name="BT_VG" localSheetId="16">#REF!</definedName>
    <definedName name="BT_VG" localSheetId="26">#REF!</definedName>
    <definedName name="BT_VG" localSheetId="27">#REF!</definedName>
    <definedName name="BT_VG" localSheetId="28">#REF!</definedName>
    <definedName name="BT_VG" localSheetId="30">#REF!</definedName>
    <definedName name="BT_VG" localSheetId="31">#REF!</definedName>
    <definedName name="BT_VG" localSheetId="33">#REF!</definedName>
    <definedName name="BT_VG">#REF!</definedName>
    <definedName name="BV" localSheetId="2">#REF!</definedName>
    <definedName name="BV" localSheetId="37">#REF!</definedName>
    <definedName name="BV" localSheetId="17">#REF!</definedName>
    <definedName name="BV" localSheetId="4">#REF!</definedName>
    <definedName name="BV" localSheetId="26">#REF!</definedName>
    <definedName name="BV" localSheetId="27">#REF!</definedName>
    <definedName name="BV" localSheetId="30">#REF!</definedName>
    <definedName name="BV" localSheetId="31">#REF!</definedName>
    <definedName name="BV" localSheetId="33">#REF!</definedName>
    <definedName name="BV">#REF!</definedName>
    <definedName name="C_G_LAT">#N/A</definedName>
    <definedName name="C_G_LON">#N/A</definedName>
    <definedName name="C_M_LAT">#N/A</definedName>
    <definedName name="C_M_LON">#N/A</definedName>
    <definedName name="C_S_LAT">#N/A</definedName>
    <definedName name="C_S_LON">#N/A</definedName>
    <definedName name="CA" localSheetId="37">#REF!</definedName>
    <definedName name="CA" localSheetId="17">#REF!</definedName>
    <definedName name="CA" localSheetId="26">#REF!</definedName>
    <definedName name="CA" localSheetId="27">#REF!</definedName>
    <definedName name="CA" localSheetId="30">#REF!</definedName>
    <definedName name="CA" localSheetId="31">#REF!</definedName>
    <definedName name="CA" localSheetId="33">#REF!</definedName>
    <definedName name="CA">#REF!</definedName>
    <definedName name="cad">[3]Overview!$G$41</definedName>
    <definedName name="cadLTM">[3]Overview!$K$41</definedName>
    <definedName name="cagr">[40]ASSUMPTIONS!$J$4</definedName>
    <definedName name="CAGRTrig" localSheetId="37">#REF!</definedName>
    <definedName name="CAGRTrig" localSheetId="17">#REF!</definedName>
    <definedName name="CAGRTrig" localSheetId="26">#REF!</definedName>
    <definedName name="CAGRTrig" localSheetId="27">#REF!</definedName>
    <definedName name="CAGRTrig" localSheetId="30">#REF!</definedName>
    <definedName name="CAGRTrig" localSheetId="31">#REF!</definedName>
    <definedName name="CAGRTrig" localSheetId="33">#REF!</definedName>
    <definedName name="CAGRTrig">#REF!</definedName>
    <definedName name="CalEPS1" localSheetId="37">#REF!</definedName>
    <definedName name="CalEPS1" localSheetId="17">#REF!</definedName>
    <definedName name="CalEPS1" localSheetId="26">#REF!</definedName>
    <definedName name="CalEPS1" localSheetId="27">#REF!</definedName>
    <definedName name="CalEPS1" localSheetId="30">#REF!</definedName>
    <definedName name="CalEPS1" localSheetId="31">#REF!</definedName>
    <definedName name="CalEPS1" localSheetId="33">#REF!</definedName>
    <definedName name="CalEPS1">#REF!</definedName>
    <definedName name="CalEPS2" localSheetId="37">#REF!</definedName>
    <definedName name="CalEPS2" localSheetId="17">#REF!</definedName>
    <definedName name="CalEPS2" localSheetId="26">#REF!</definedName>
    <definedName name="CalEPS2" localSheetId="27">#REF!</definedName>
    <definedName name="CalEPS2" localSheetId="30">#REF!</definedName>
    <definedName name="CalEPS2" localSheetId="31">#REF!</definedName>
    <definedName name="CalEPS2" localSheetId="33">#REF!</definedName>
    <definedName name="CalEPS2">#REF!</definedName>
    <definedName name="CalEPS3" localSheetId="37">#REF!</definedName>
    <definedName name="CalEPS3" localSheetId="17">#REF!</definedName>
    <definedName name="CalEPS3" localSheetId="26">#REF!</definedName>
    <definedName name="CalEPS3" localSheetId="27">#REF!</definedName>
    <definedName name="CalEPS3" localSheetId="30">#REF!</definedName>
    <definedName name="CalEPS3" localSheetId="31">#REF!</definedName>
    <definedName name="CalEPS3" localSheetId="33">#REF!</definedName>
    <definedName name="CalEPS3">#REF!</definedName>
    <definedName name="CalPE1" localSheetId="37">#REF!</definedName>
    <definedName name="CalPE1" localSheetId="17">#REF!</definedName>
    <definedName name="CalPE1" localSheetId="26">#REF!</definedName>
    <definedName name="CalPE1" localSheetId="27">#REF!</definedName>
    <definedName name="CalPE1" localSheetId="30">#REF!</definedName>
    <definedName name="CalPE1" localSheetId="31">#REF!</definedName>
    <definedName name="CalPE1" localSheetId="33">#REF!</definedName>
    <definedName name="CalPE1">#REF!</definedName>
    <definedName name="CalPE2" localSheetId="37">#REF!</definedName>
    <definedName name="CalPE2" localSheetId="17">#REF!</definedName>
    <definedName name="CalPE2" localSheetId="26">#REF!</definedName>
    <definedName name="CalPE2" localSheetId="27">#REF!</definedName>
    <definedName name="CalPE2" localSheetId="30">#REF!</definedName>
    <definedName name="CalPE2" localSheetId="31">#REF!</definedName>
    <definedName name="CalPE2" localSheetId="33">#REF!</definedName>
    <definedName name="CalPE2">#REF!</definedName>
    <definedName name="CalPE3" localSheetId="37">#REF!</definedName>
    <definedName name="CalPE3" localSheetId="17">#REF!</definedName>
    <definedName name="CalPE3" localSheetId="26">#REF!</definedName>
    <definedName name="CalPE3" localSheetId="27">#REF!</definedName>
    <definedName name="CalPE3" localSheetId="30">#REF!</definedName>
    <definedName name="CalPE3" localSheetId="31">#REF!</definedName>
    <definedName name="CalPE3" localSheetId="33">#REF!</definedName>
    <definedName name="CalPE3">#REF!</definedName>
    <definedName name="canD96" localSheetId="37">'[1]Status Page'!#REF!</definedName>
    <definedName name="canD96" localSheetId="17">'[1]Status Page'!#REF!</definedName>
    <definedName name="canD96" localSheetId="26">'[1]Status Page'!#REF!</definedName>
    <definedName name="canD96" localSheetId="27">'[1]Status Page'!#REF!</definedName>
    <definedName name="canD96" localSheetId="30">'[1]Status Page'!#REF!</definedName>
    <definedName name="canD96" localSheetId="31">'[1]Status Page'!#REF!</definedName>
    <definedName name="canD96" localSheetId="33">'[1]Status Page'!#REF!</definedName>
    <definedName name="canD96">'[1]Status Page'!#REF!</definedName>
    <definedName name="canF00" localSheetId="37">#REF!</definedName>
    <definedName name="canF00" localSheetId="17">#REF!</definedName>
    <definedName name="canF00" localSheetId="26">#REF!</definedName>
    <definedName name="canF00" localSheetId="27">#REF!</definedName>
    <definedName name="canF00" localSheetId="30">#REF!</definedName>
    <definedName name="canF00" localSheetId="31">#REF!</definedName>
    <definedName name="canF00" localSheetId="33">#REF!</definedName>
    <definedName name="canF00">#REF!</definedName>
    <definedName name="canJD97" localSheetId="37">[41]Cabot!#REF!</definedName>
    <definedName name="canJD97" localSheetId="17">[41]Cabot!#REF!</definedName>
    <definedName name="canJD97" localSheetId="26">[41]Cabot!#REF!</definedName>
    <definedName name="canJD97" localSheetId="27">[41]Cabot!#REF!</definedName>
    <definedName name="canJD97" localSheetId="30">[41]Cabot!#REF!</definedName>
    <definedName name="canJD97" localSheetId="31">[41]Cabot!#REF!</definedName>
    <definedName name="canJD97" localSheetId="33">[41]Cabot!#REF!</definedName>
    <definedName name="canJD97">[41]Cabot!#REF!</definedName>
    <definedName name="canjuly00" localSheetId="37">#REF!</definedName>
    <definedName name="canjuly00" localSheetId="17">#REF!</definedName>
    <definedName name="canjuly00" localSheetId="26">#REF!</definedName>
    <definedName name="canjuly00" localSheetId="27">#REF!</definedName>
    <definedName name="canjuly00" localSheetId="30">#REF!</definedName>
    <definedName name="canjuly00" localSheetId="31">#REF!</definedName>
    <definedName name="canjuly00" localSheetId="33">#REF!</definedName>
    <definedName name="canjuly00">#REF!</definedName>
    <definedName name="CAP" localSheetId="37">[29]DCF!#REF!</definedName>
    <definedName name="CAP" localSheetId="17">[29]DCF!#REF!</definedName>
    <definedName name="CAP" localSheetId="26">[29]DCF!#REF!</definedName>
    <definedName name="CAP" localSheetId="27">[29]DCF!#REF!</definedName>
    <definedName name="CAP" localSheetId="30">[29]DCF!#REF!</definedName>
    <definedName name="CAP" localSheetId="31">[29]DCF!#REF!</definedName>
    <definedName name="CAP" localSheetId="33">[29]DCF!#REF!</definedName>
    <definedName name="CAP">[29]DCF!#REF!</definedName>
    <definedName name="CAPA" localSheetId="2" hidden="1">{#N/A,#N/A,TRUE,"Serviços"}</definedName>
    <definedName name="CAPA" localSheetId="4" hidden="1">{#N/A,#N/A,TRUE,"Serviços"}</definedName>
    <definedName name="CAPA" hidden="1">{#N/A,#N/A,TRUE,"Serviços"}</definedName>
    <definedName name="capa1" localSheetId="2" hidden="1">{#N/A,#N/A,TRUE,"Serviços"}</definedName>
    <definedName name="capa1" localSheetId="4" hidden="1">{#N/A,#N/A,TRUE,"Serviços"}</definedName>
    <definedName name="capa1" hidden="1">{#N/A,#N/A,TRUE,"Serviços"}</definedName>
    <definedName name="capa2" localSheetId="2" hidden="1">{#N/A,#N/A,TRUE,"Serviços"}</definedName>
    <definedName name="capa2" localSheetId="4" hidden="1">{#N/A,#N/A,TRUE,"Serviços"}</definedName>
    <definedName name="capa2" hidden="1">{#N/A,#N/A,TRUE,"Serviços"}</definedName>
    <definedName name="Capa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Capaa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Capa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CAPACITY" localSheetId="37">[42]ASSUM!#REF!</definedName>
    <definedName name="CAPACITY" localSheetId="17">[42]ASSUM!#REF!</definedName>
    <definedName name="CAPACITY" localSheetId="26">[42]ASSUM!#REF!</definedName>
    <definedName name="CAPACITY" localSheetId="27">[42]ASSUM!#REF!</definedName>
    <definedName name="CAPACITY" localSheetId="30">[42]ASSUM!#REF!</definedName>
    <definedName name="CAPACITY" localSheetId="31">[42]ASSUM!#REF!</definedName>
    <definedName name="CAPACITY" localSheetId="33">[42]ASSUM!#REF!</definedName>
    <definedName name="CAPACITY">[42]ASSUM!#REF!</definedName>
    <definedName name="CapEx" localSheetId="37">#REF!</definedName>
    <definedName name="CapEx" localSheetId="17">#REF!</definedName>
    <definedName name="CapEx" localSheetId="26">#REF!</definedName>
    <definedName name="CapEx" localSheetId="27">#REF!</definedName>
    <definedName name="CapEx" localSheetId="30">#REF!</definedName>
    <definedName name="CapEx" localSheetId="31">#REF!</definedName>
    <definedName name="CapEx" localSheetId="33">#REF!</definedName>
    <definedName name="CapEx">#REF!</definedName>
    <definedName name="CAPEX98" hidden="1">[43]FINALPHP!$G$27</definedName>
    <definedName name="CapExMargin" localSheetId="37">#REF!</definedName>
    <definedName name="CapExMargin" localSheetId="17">#REF!</definedName>
    <definedName name="CapExMargin" localSheetId="26">#REF!</definedName>
    <definedName name="CapExMargin" localSheetId="27">#REF!</definedName>
    <definedName name="CapExMargin" localSheetId="30">#REF!</definedName>
    <definedName name="CapExMargin" localSheetId="31">#REF!</definedName>
    <definedName name="CapExMargin" localSheetId="33">#REF!</definedName>
    <definedName name="CapExMargin">#REF!</definedName>
    <definedName name="CapIntExp" localSheetId="37">#REF!</definedName>
    <definedName name="CapIntExp" localSheetId="17">#REF!</definedName>
    <definedName name="CapIntExp" localSheetId="26">#REF!</definedName>
    <definedName name="CapIntExp" localSheetId="27">#REF!</definedName>
    <definedName name="CapIntExp" localSheetId="30">#REF!</definedName>
    <definedName name="CapIntExp" localSheetId="31">#REF!</definedName>
    <definedName name="CapIntExp" localSheetId="33">#REF!</definedName>
    <definedName name="CapIntExp">#REF!</definedName>
    <definedName name="Capital_Expenditures" localSheetId="37">#REF!</definedName>
    <definedName name="Capital_Expenditures" localSheetId="17">#REF!</definedName>
    <definedName name="Capital_Expenditures" localSheetId="26">#REF!</definedName>
    <definedName name="Capital_Expenditures" localSheetId="27">#REF!</definedName>
    <definedName name="Capital_Expenditures" localSheetId="30">#REF!</definedName>
    <definedName name="Capital_Expenditures" localSheetId="31">#REF!</definedName>
    <definedName name="Capital_Expenditures" localSheetId="33">#REF!</definedName>
    <definedName name="Capital_Expenditures">#REF!</definedName>
    <definedName name="capopt" localSheetId="37">[44]Data!#REF!</definedName>
    <definedName name="capopt" localSheetId="17">[44]Data!#REF!</definedName>
    <definedName name="capopt" localSheetId="26">[44]Data!#REF!</definedName>
    <definedName name="capopt" localSheetId="27">[44]Data!#REF!</definedName>
    <definedName name="capopt" localSheetId="30">[44]Data!#REF!</definedName>
    <definedName name="capopt" localSheetId="31">[44]Data!#REF!</definedName>
    <definedName name="capopt" localSheetId="33">[44]Data!#REF!</definedName>
    <definedName name="capopt">[44]Data!#REF!</definedName>
    <definedName name="captação" localSheetId="2">[45]CAPTAÇÃO_AGUA!$B$4:$U$70</definedName>
    <definedName name="captação" localSheetId="4">[45]CAPTAÇÃO_AGUA!$B$4:$U$70</definedName>
    <definedName name="captação" localSheetId="0">[46]CAPTAÇÃO_AGUA!$B$4:$U$6</definedName>
    <definedName name="captação">[47]CAPTAÇÃO_AGUA!$B$4:$U$70</definedName>
    <definedName name="carencia" localSheetId="4">#REF!</definedName>
    <definedName name="carencia">#REF!</definedName>
    <definedName name="case">[48]TOC!$L$2</definedName>
    <definedName name="Cash" localSheetId="37">#REF!</definedName>
    <definedName name="Cash" localSheetId="17">#REF!</definedName>
    <definedName name="Cash" localSheetId="26">#REF!</definedName>
    <definedName name="Cash" localSheetId="27">#REF!</definedName>
    <definedName name="Cash" localSheetId="30">#REF!</definedName>
    <definedName name="Cash" localSheetId="31">#REF!</definedName>
    <definedName name="Cash" localSheetId="33">#REF!</definedName>
    <definedName name="Cash">#REF!</definedName>
    <definedName name="CashFlow" localSheetId="37">#REF!</definedName>
    <definedName name="CashFlow" localSheetId="17">#REF!</definedName>
    <definedName name="CashFlow" localSheetId="26">#REF!</definedName>
    <definedName name="CashFlow" localSheetId="27">#REF!</definedName>
    <definedName name="CashFlow" localSheetId="30">#REF!</definedName>
    <definedName name="CashFlow" localSheetId="31">#REF!</definedName>
    <definedName name="CashFlow" localSheetId="33">#REF!</definedName>
    <definedName name="CashFlow">#REF!</definedName>
    <definedName name="cb_sChart16EBA7BA_opts" hidden="1">"1, 1, 1, False, 2, True, False, , 0, False, True, 1, 2"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 hidden="1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WorkbookPriority" hidden="1">-1184384521</definedName>
    <definedName name="CC" hidden="1">#REF!</definedName>
    <definedName name="çç" localSheetId="2" hidden="1">{"'EFETIVO-PIPE-1'!$A$5:$J$46"}</definedName>
    <definedName name="çç" localSheetId="4" hidden="1">{"'EFETIVO-PIPE-1'!$A$5:$J$46"}</definedName>
    <definedName name="çç" hidden="1">{"'EFETIVO-PIPE-1'!$A$5:$J$46"}</definedName>
    <definedName name="ccc" localSheetId="2" hidden="1">{#N/A,#N/A,TRUE,"Serviços"}</definedName>
    <definedName name="ccc" localSheetId="4" hidden="1">{#N/A,#N/A,TRUE,"Serviços"}</definedName>
    <definedName name="ccc" hidden="1">{#N/A,#N/A,TRUE,"Serviços"}</definedName>
    <definedName name="ççç" localSheetId="2" hidden="1">{"'EFETIVO-PIPE-1'!$A$5:$J$46"}</definedName>
    <definedName name="ççç" localSheetId="4" hidden="1">{"'EFETIVO-PIPE-1'!$A$5:$J$46"}</definedName>
    <definedName name="ççç" hidden="1">{"'EFETIVO-PIPE-1'!$A$5:$J$46"}</definedName>
    <definedName name="ccccccc" localSheetId="2" hidden="1">{#N/A,#N/A,TRUE,"Resumo de Preços"}</definedName>
    <definedName name="ccccccc" localSheetId="4" hidden="1">{#N/A,#N/A,TRUE,"Resumo de Preços"}</definedName>
    <definedName name="ccccccc" hidden="1">{#N/A,#N/A,TRUE,"Resumo de Preços"}</definedName>
    <definedName name="CdaCto">2</definedName>
    <definedName name="CdaCun">2</definedName>
    <definedName name="CdaQtd">5</definedName>
    <definedName name="CdCto">2</definedName>
    <definedName name="CdCun">2</definedName>
    <definedName name="CdDersa">5</definedName>
    <definedName name="CdEmop">6</definedName>
    <definedName name="Cdir">"C:\Enejota\Galvão\Sabesp\PPP\Orçamento\Novo"</definedName>
    <definedName name="CdQtd">5</definedName>
    <definedName name="CdQtEqA">2</definedName>
    <definedName name="CdQtEqP">2</definedName>
    <definedName name="CdQtMoA">2</definedName>
    <definedName name="CdQtMoP">2</definedName>
    <definedName name="CdQtMpA">5</definedName>
    <definedName name="CdQtMpP">5</definedName>
    <definedName name="CdQtTrA">2</definedName>
    <definedName name="CdQtTrP">2</definedName>
    <definedName name="cdsc" localSheetId="2" hidden="1">{#N/A,#N/A,FALSE,"FFCXOUT3"}</definedName>
    <definedName name="cdsc" localSheetId="4" hidden="1">{#N/A,#N/A,FALSE,"FFCXOUT3"}</definedName>
    <definedName name="cdsc" hidden="1">{#N/A,#N/A,FALSE,"FFCXOUT3"}</definedName>
    <definedName name="cdte" localSheetId="2" hidden="1">{#N/A,#N/A,FALSE,"FFCXOUT3"}</definedName>
    <definedName name="cdte" localSheetId="4" hidden="1">{#N/A,#N/A,FALSE,"FFCXOUT3"}</definedName>
    <definedName name="cdte" hidden="1">{#N/A,#N/A,FALSE,"FFCXOUT3"}</definedName>
    <definedName name="ceg">0.2538</definedName>
    <definedName name="cell_2oCiclo">[49]PremissasSPE!$C$126</definedName>
    <definedName name="cell_3oCiclo">[49]PremissasSPE!$C$139</definedName>
    <definedName name="cell_CalcReceitaFin">[49]SPE!$C$1510</definedName>
    <definedName name="cell_considerarcrescvegetativo">[50]SPECaraguaLuz!$C$268</definedName>
    <definedName name="cell_considerardemandareprimida">[50]SPECaraguaLuz!$C$277</definedName>
    <definedName name="cell_datapadraostatusparque">[49]PremissasSPE!$C$12</definedName>
    <definedName name="cell_FluxoReal">[49]SPE!$C$3</definedName>
    <definedName name="cell_sel_cenario_CEF">[51]CaraguaLuz!#REF!</definedName>
    <definedName name="cell_taxadedesconto">'[51]ALEGRETE - PPP SJM'!#REF!</definedName>
    <definedName name="cell_utilizarlimite">[49]EPC!$C$296</definedName>
    <definedName name="cen_constr">'[52]#REF'!$G$49</definedName>
    <definedName name="cenariomacro">[53]Summary!$F$60</definedName>
    <definedName name="cesantias" localSheetId="37">#REF!</definedName>
    <definedName name="cesantias" localSheetId="17">#REF!</definedName>
    <definedName name="cesantias" localSheetId="26">#REF!</definedName>
    <definedName name="cesantias" localSheetId="27">#REF!</definedName>
    <definedName name="cesantias" localSheetId="30">#REF!</definedName>
    <definedName name="cesantias" localSheetId="31">#REF!</definedName>
    <definedName name="cesantias" localSheetId="33">#REF!</definedName>
    <definedName name="cesantias">#REF!</definedName>
    <definedName name="CEUS" localSheetId="37">[17]summary!#REF!</definedName>
    <definedName name="CEUS" localSheetId="17">[17]summary!#REF!</definedName>
    <definedName name="CEUS" localSheetId="26">[17]summary!#REF!</definedName>
    <definedName name="CEUS" localSheetId="27">[17]summary!#REF!</definedName>
    <definedName name="CEUS" localSheetId="30">[17]summary!#REF!</definedName>
    <definedName name="CEUS" localSheetId="31">[17]summary!#REF!</definedName>
    <definedName name="CEUS" localSheetId="33">[17]summary!#REF!</definedName>
    <definedName name="CEUS">[17]summary!#REF!</definedName>
    <definedName name="CF" localSheetId="37">[29]DCF!#REF!</definedName>
    <definedName name="CF" localSheetId="17">[29]DCF!#REF!</definedName>
    <definedName name="CF" localSheetId="26">[29]DCF!#REF!</definedName>
    <definedName name="CF" localSheetId="27">[29]DCF!#REF!</definedName>
    <definedName name="CF" localSheetId="30">[29]DCF!#REF!</definedName>
    <definedName name="CF" localSheetId="31">[29]DCF!#REF!</definedName>
    <definedName name="CF" localSheetId="33">[29]DCF!#REF!</definedName>
    <definedName name="CF">[29]DCF!#REF!</definedName>
    <definedName name="CF_Bol_Equity">[38]Cashflow!$G$31:$AT$31</definedName>
    <definedName name="Cf_Table" localSheetId="2">[54]CF!$D$7:$Y$80</definedName>
    <definedName name="Cf_Table" localSheetId="4">[54]CF!$D$7:$Y$80</definedName>
    <definedName name="Cf_Table">[54]CF!$D$7:$Y$80</definedName>
    <definedName name="CFD" localSheetId="4">#REF!</definedName>
    <definedName name="CFD">#REF!</definedName>
    <definedName name="CG" localSheetId="37">[17]summary!#REF!</definedName>
    <definedName name="CG" localSheetId="17">[17]summary!#REF!</definedName>
    <definedName name="CG" localSheetId="26">[17]summary!#REF!</definedName>
    <definedName name="CG" localSheetId="27">[17]summary!#REF!</definedName>
    <definedName name="CG" localSheetId="30">[17]summary!#REF!</definedName>
    <definedName name="CG" localSheetId="31">[17]summary!#REF!</definedName>
    <definedName name="CG" localSheetId="33">[17]summary!#REF!</definedName>
    <definedName name="CG">[17]summary!#REF!</definedName>
    <definedName name="CGP" localSheetId="37">[17]summary!#REF!</definedName>
    <definedName name="CGP" localSheetId="17">[17]summary!#REF!</definedName>
    <definedName name="CGP" localSheetId="26">[17]summary!#REF!</definedName>
    <definedName name="CGP" localSheetId="27">[17]summary!#REF!</definedName>
    <definedName name="CGP" localSheetId="30">[17]summary!#REF!</definedName>
    <definedName name="CGP" localSheetId="31">[17]summary!#REF!</definedName>
    <definedName name="CGP" localSheetId="33">[17]summary!#REF!</definedName>
    <definedName name="CGP">[17]summary!#REF!</definedName>
    <definedName name="Change" localSheetId="2" hidden="1">#N/A</definedName>
    <definedName name="Change" localSheetId="4" hidden="1">#N/A</definedName>
    <definedName name="Change" localSheetId="41" hidden="1">'Preços Unitários'!Change</definedName>
    <definedName name="Change" localSheetId="23" hidden="1">'Recursos Humanos 1'!Change</definedName>
    <definedName name="Change" localSheetId="38" hidden="1">'Veículos e Equipamentos'!Change</definedName>
    <definedName name="Change" hidden="1">'Preços Unitários'!Change</definedName>
    <definedName name="Change2" localSheetId="2" hidden="1">#N/A</definedName>
    <definedName name="Change2" localSheetId="4" hidden="1">#N/A</definedName>
    <definedName name="Change2" localSheetId="41" hidden="1">'Preços Unitários'!Change2</definedName>
    <definedName name="Change2" localSheetId="23" hidden="1">'Recursos Humanos 1'!Change2</definedName>
    <definedName name="Change2" localSheetId="38" hidden="1">'Veículos e Equipamentos'!Change2</definedName>
    <definedName name="Change2" hidden="1">'Preços Unitários'!Change2</definedName>
    <definedName name="Change3" localSheetId="2" hidden="1">#N/A</definedName>
    <definedName name="Change3" localSheetId="4" hidden="1">#N/A</definedName>
    <definedName name="Change3" localSheetId="41" hidden="1">'Preços Unitários'!Change3</definedName>
    <definedName name="Change3" localSheetId="23" hidden="1">'Recursos Humanos 1'!Change3</definedName>
    <definedName name="Change3" localSheetId="38" hidden="1">'Veículos e Equipamentos'!Change3</definedName>
    <definedName name="Change3" hidden="1">'Preços Unitários'!Change3</definedName>
    <definedName name="Change4" localSheetId="2" hidden="1">#N/A</definedName>
    <definedName name="Change4" localSheetId="4" hidden="1">#N/A</definedName>
    <definedName name="Change4" localSheetId="41" hidden="1">'Preços Unitários'!Change4</definedName>
    <definedName name="Change4" localSheetId="23" hidden="1">'Recursos Humanos 1'!Change4</definedName>
    <definedName name="Change4" localSheetId="38" hidden="1">'Veículos e Equipamentos'!Change4</definedName>
    <definedName name="Change4" hidden="1">'Preços Unitários'!Change4</definedName>
    <definedName name="ChangeRange" localSheetId="2" hidden="1">#N/A</definedName>
    <definedName name="ChangeRange" localSheetId="4" hidden="1">#N/A</definedName>
    <definedName name="ChangeRange" localSheetId="41" hidden="1">'Preços Unitários'!ChangeRange</definedName>
    <definedName name="ChangeRange" localSheetId="23" hidden="1">'Recursos Humanos 1'!ChangeRange</definedName>
    <definedName name="ChangeRange" localSheetId="38" hidden="1">'Veículos e Equipamentos'!ChangeRange</definedName>
    <definedName name="ChangeRange" hidden="1">'Preços Unitários'!ChangeRange</definedName>
    <definedName name="ChangeRange2" localSheetId="2" hidden="1">#N/A</definedName>
    <definedName name="ChangeRange2" localSheetId="4" hidden="1">#N/A</definedName>
    <definedName name="ChangeRange2" localSheetId="41" hidden="1">'Preços Unitários'!ChangeRange2</definedName>
    <definedName name="ChangeRange2" localSheetId="23" hidden="1">'Recursos Humanos 1'!ChangeRange2</definedName>
    <definedName name="ChangeRange2" localSheetId="38" hidden="1">'Veículos e Equipamentos'!ChangeRange2</definedName>
    <definedName name="ChangeRange2" hidden="1">'Preços Unitários'!ChangeRange2</definedName>
    <definedName name="Changes" localSheetId="37">#REF!</definedName>
    <definedName name="Changes" localSheetId="17">#REF!</definedName>
    <definedName name="Changes" localSheetId="26">#REF!</definedName>
    <definedName name="Changes" localSheetId="27">#REF!</definedName>
    <definedName name="Changes" localSheetId="30">#REF!</definedName>
    <definedName name="Changes" localSheetId="31">#REF!</definedName>
    <definedName name="Changes" localSheetId="33">#REF!</definedName>
    <definedName name="Changes">#REF!</definedName>
    <definedName name="Check1" localSheetId="37">#REF!</definedName>
    <definedName name="Check1" localSheetId="17">#REF!</definedName>
    <definedName name="Check1" localSheetId="26">#REF!</definedName>
    <definedName name="Check1" localSheetId="27">#REF!</definedName>
    <definedName name="Check1" localSheetId="30">#REF!</definedName>
    <definedName name="Check1" localSheetId="31">#REF!</definedName>
    <definedName name="Check1" localSheetId="33">#REF!</definedName>
    <definedName name="Check1">#REF!</definedName>
    <definedName name="Choices_Wrapper" localSheetId="2">#N/A</definedName>
    <definedName name="Choices_Wrapper" localSheetId="4">#N/A</definedName>
    <definedName name="Choices_Wrapper" localSheetId="41">'Preços Unitários'!Choices_Wrapper</definedName>
    <definedName name="Choices_Wrapper" localSheetId="23">'Recursos Humanos 1'!Choices_Wrapper</definedName>
    <definedName name="Choices_Wrapper" localSheetId="38">'Veículos e Equipamentos'!Choices_Wrapper</definedName>
    <definedName name="Choices_Wrapper">'Preços Unitários'!Choices_Wrapper</definedName>
    <definedName name="ChtValuesEP" localSheetId="2">OFFSET(#REF!,0,5,,CORRESP(0,#REF!,0))</definedName>
    <definedName name="ChtValuesEP" localSheetId="4">OFFSET(#REF!,0,5,,CORRESP(0,#REF!,0))</definedName>
    <definedName name="ChtValuesEP">OFFSET(#REF!,0,5,,CORRESP(0,#REF!,0))</definedName>
    <definedName name="ChtValuesPL" localSheetId="2">OFFSET(#REF!,0,5,,CORRESP(0,#REF!,0))</definedName>
    <definedName name="ChtValuesPL" localSheetId="4">OFFSET(#REF!,0,5,,CORRESP(0,#REF!,0))</definedName>
    <definedName name="ChtValuesPL">OFFSET(#REF!,0,5,,CORRESP(0,#REF!,0))</definedName>
    <definedName name="CIQANR_20b37e48353f49bdb6d73d969b1b65af" hidden="1">#REF!</definedName>
    <definedName name="CIQANR_314a34cb7844461d8f6efccb743fe9ab" hidden="1">#REF!</definedName>
    <definedName name="CIQANR_a8203ce474164017a5e2e08cdc81e7d7" hidden="1">#REF!</definedName>
    <definedName name="CIQWBGuid" hidden="1">"bfb2ecec-0b7a-49e8-90fd-ed605ec81b23"</definedName>
    <definedName name="CLAS_ECO">#N/A</definedName>
    <definedName name="CLAS_LOC">#N/A</definedName>
    <definedName name="classa">[55]Organization!$AB$15</definedName>
    <definedName name="classb">[55]Organization!$AB$16</definedName>
    <definedName name="clecopt" localSheetId="37">[44]Data!#REF!</definedName>
    <definedName name="clecopt" localSheetId="17">[44]Data!#REF!</definedName>
    <definedName name="clecopt" localSheetId="26">[44]Data!#REF!</definedName>
    <definedName name="clecopt" localSheetId="27">[44]Data!#REF!</definedName>
    <definedName name="clecopt" localSheetId="30">[44]Data!#REF!</definedName>
    <definedName name="clecopt" localSheetId="31">[44]Data!#REF!</definedName>
    <definedName name="clecopt" localSheetId="33">[44]Data!#REF!</definedName>
    <definedName name="clecopt">[44]Data!#REF!</definedName>
    <definedName name="Cliente" localSheetId="2">#REF!</definedName>
    <definedName name="Cliente" localSheetId="4">#REF!</definedName>
    <definedName name="Cliente">#REF!</definedName>
    <definedName name="Cls" localSheetId="2">IF(ISNA(VLOOKUP(#REF!,[56]!REC,1,0)),IF(ISNA(VLOOKUP(#REF!,[56]!SR,1,0)),"",VLOOKUP(#REF!,[56]!SR,4,0)),VLOOKUP(#REF!,[56]!REC,4,0))</definedName>
    <definedName name="Cls" localSheetId="4">IF(ISNA(VLOOKUP(#REF!,[56]!REC,1,0)),IF(ISNA(VLOOKUP(#REF!,[56]!SR,1,0)),"",VLOOKUP(#REF!,[56]!SR,4,0)),VLOOKUP(#REF!,[56]!REC,4,0))</definedName>
    <definedName name="Cls">IF(ISNA(VLOOKUP(#REF!,[56]!REC,1,0)),IF(ISNA(VLOOKUP(#REF!,[56]!SR,1,0)),"",VLOOKUP(#REF!,[56]!SR,4,0)),VLOOKUP(#REF!,[56]!REC,4,0))</definedName>
    <definedName name="Clx">#N/A</definedName>
    <definedName name="cm">[57]Salários!$F$11</definedName>
    <definedName name="CMC" localSheetId="37">[22]Premissas!#REF!</definedName>
    <definedName name="CMC" localSheetId="17">[22]Premissas!#REF!</definedName>
    <definedName name="CMC" localSheetId="26">[22]Premissas!#REF!</definedName>
    <definedName name="CMC" localSheetId="27">[22]Premissas!#REF!</definedName>
    <definedName name="CMC" localSheetId="30">[22]Premissas!#REF!</definedName>
    <definedName name="CMC" localSheetId="31">[22]Premissas!#REF!</definedName>
    <definedName name="CMC" localSheetId="33">[22]Premissas!#REF!</definedName>
    <definedName name="CMC">[22]Premissas!#REF!</definedName>
    <definedName name="CMZCONS" localSheetId="37">#REF!</definedName>
    <definedName name="CMZCONS" localSheetId="17">#REF!</definedName>
    <definedName name="CMZCONS" localSheetId="26">#REF!</definedName>
    <definedName name="CMZCONS" localSheetId="27">#REF!</definedName>
    <definedName name="CMZCONS" localSheetId="30">#REF!</definedName>
    <definedName name="CMZCONS" localSheetId="31">#REF!</definedName>
    <definedName name="CMZCONS" localSheetId="33">#REF!</definedName>
    <definedName name="CMZCONS">#REF!</definedName>
    <definedName name="CMZMTRX1" localSheetId="37">#REF!</definedName>
    <definedName name="CMZMTRX1" localSheetId="17">#REF!</definedName>
    <definedName name="CMZMTRX1" localSheetId="26">#REF!</definedName>
    <definedName name="CMZMTRX1" localSheetId="27">#REF!</definedName>
    <definedName name="CMZMTRX1" localSheetId="30">#REF!</definedName>
    <definedName name="CMZMTRX1" localSheetId="31">#REF!</definedName>
    <definedName name="CMZMTRX1" localSheetId="33">#REF!</definedName>
    <definedName name="CMZMTRX1">#REF!</definedName>
    <definedName name="CNG" localSheetId="37">[17]summary!#REF!</definedName>
    <definedName name="CNG" localSheetId="17">[17]summary!#REF!</definedName>
    <definedName name="CNG" localSheetId="26">[17]summary!#REF!</definedName>
    <definedName name="CNG" localSheetId="27">[17]summary!#REF!</definedName>
    <definedName name="CNG" localSheetId="30">[17]summary!#REF!</definedName>
    <definedName name="CNG" localSheetId="31">[17]summary!#REF!</definedName>
    <definedName name="CNG" localSheetId="33">[17]summary!#REF!</definedName>
    <definedName name="CNG">[17]summary!#REF!</definedName>
    <definedName name="co">[53]Data!$C$12</definedName>
    <definedName name="COA" localSheetId="37">[6]WACC!#REF!</definedName>
    <definedName name="COA" localSheetId="17">[6]WACC!#REF!</definedName>
    <definedName name="COA" localSheetId="26">[6]WACC!#REF!</definedName>
    <definedName name="COA" localSheetId="27">[6]WACC!#REF!</definedName>
    <definedName name="COA" localSheetId="30">[6]WACC!#REF!</definedName>
    <definedName name="COA" localSheetId="31">[6]WACC!#REF!</definedName>
    <definedName name="COA" localSheetId="33">[6]WACC!#REF!</definedName>
    <definedName name="COA">[6]WACC!#REF!</definedName>
    <definedName name="COB" localSheetId="37">[6]WACC!#REF!</definedName>
    <definedName name="COB" localSheetId="17">[6]WACC!#REF!</definedName>
    <definedName name="COB" localSheetId="26">[6]WACC!#REF!</definedName>
    <definedName name="COB" localSheetId="27">[6]WACC!#REF!</definedName>
    <definedName name="COB" localSheetId="30">[6]WACC!#REF!</definedName>
    <definedName name="COB" localSheetId="31">[6]WACC!#REF!</definedName>
    <definedName name="COB" localSheetId="33">[6]WACC!#REF!</definedName>
    <definedName name="COB">[6]WACC!#REF!</definedName>
    <definedName name="COD_DIST">#N/A</definedName>
    <definedName name="COD_ME_R">#N/A</definedName>
    <definedName name="COD_MI_R">#N/A</definedName>
    <definedName name="COD_MUNI">#N/A</definedName>
    <definedName name="COD_UF">#N/A</definedName>
    <definedName name="Codigo" localSheetId="2">#REF!</definedName>
    <definedName name="Codigo" localSheetId="4">#REF!</definedName>
    <definedName name="Codigo">#REF!</definedName>
    <definedName name="COG" localSheetId="37">[17]summary!#REF!</definedName>
    <definedName name="COG" localSheetId="17">[17]summary!#REF!</definedName>
    <definedName name="COG" localSheetId="26">[17]summary!#REF!</definedName>
    <definedName name="COG" localSheetId="27">[17]summary!#REF!</definedName>
    <definedName name="COG" localSheetId="30">[17]summary!#REF!</definedName>
    <definedName name="COG" localSheetId="31">[17]summary!#REF!</definedName>
    <definedName name="COG" localSheetId="33">[17]summary!#REF!</definedName>
    <definedName name="COG">[17]summary!#REF!</definedName>
    <definedName name="COGS" localSheetId="37">#REF!</definedName>
    <definedName name="COGS" localSheetId="17">#REF!</definedName>
    <definedName name="COGS" localSheetId="26">#REF!</definedName>
    <definedName name="COGS" localSheetId="27">#REF!</definedName>
    <definedName name="COGS" localSheetId="30">#REF!</definedName>
    <definedName name="COGS" localSheetId="31">#REF!</definedName>
    <definedName name="COGS" localSheetId="33">#REF!</definedName>
    <definedName name="COGS">#REF!</definedName>
    <definedName name="COINFO" localSheetId="37">[6]WACC!#REF!</definedName>
    <definedName name="COINFO" localSheetId="17">[6]WACC!#REF!</definedName>
    <definedName name="COINFO" localSheetId="26">[6]WACC!#REF!</definedName>
    <definedName name="COINFO" localSheetId="27">[6]WACC!#REF!</definedName>
    <definedName name="COINFO" localSheetId="30">[6]WACC!#REF!</definedName>
    <definedName name="COINFO" localSheetId="31">[6]WACC!#REF!</definedName>
    <definedName name="COINFO" localSheetId="33">[6]WACC!#REF!</definedName>
    <definedName name="COINFO">[6]WACC!#REF!</definedName>
    <definedName name="coltyoptions" localSheetId="37">#REF!</definedName>
    <definedName name="coltyoptions" localSheetId="17">#REF!</definedName>
    <definedName name="coltyoptions" localSheetId="26">#REF!</definedName>
    <definedName name="coltyoptions" localSheetId="27">#REF!</definedName>
    <definedName name="coltyoptions" localSheetId="30">#REF!</definedName>
    <definedName name="coltyoptions" localSheetId="31">#REF!</definedName>
    <definedName name="coltyoptions" localSheetId="33">#REF!</definedName>
    <definedName name="coltyoptions">#REF!</definedName>
    <definedName name="Coluna">#REF!</definedName>
    <definedName name="COMB" localSheetId="37">#REF!</definedName>
    <definedName name="COMB" localSheetId="17">#REF!</definedName>
    <definedName name="COMB" localSheetId="26">#REF!</definedName>
    <definedName name="COMB" localSheetId="27">#REF!</definedName>
    <definedName name="COMB" localSheetId="30">#REF!</definedName>
    <definedName name="COMB" localSheetId="31">#REF!</definedName>
    <definedName name="COMB" localSheetId="33">#REF!</definedName>
    <definedName name="COMB">#REF!</definedName>
    <definedName name="COMBBS" localSheetId="37">#REF!</definedName>
    <definedName name="COMBBS" localSheetId="17">#REF!</definedName>
    <definedName name="COMBBS" localSheetId="26">#REF!</definedName>
    <definedName name="COMBBS" localSheetId="27">#REF!</definedName>
    <definedName name="COMBBS" localSheetId="30">#REF!</definedName>
    <definedName name="COMBBS" localSheetId="31">#REF!</definedName>
    <definedName name="COMBBS" localSheetId="33">#REF!</definedName>
    <definedName name="COMBBS">#REF!</definedName>
    <definedName name="ComDivPaid" localSheetId="37">#REF!</definedName>
    <definedName name="ComDivPaid" localSheetId="17">#REF!</definedName>
    <definedName name="ComDivPaid" localSheetId="26">#REF!</definedName>
    <definedName name="ComDivPaid" localSheetId="27">#REF!</definedName>
    <definedName name="ComDivPaid" localSheetId="30">#REF!</definedName>
    <definedName name="ComDivPaid" localSheetId="31">#REF!</definedName>
    <definedName name="ComDivPaid" localSheetId="33">#REF!</definedName>
    <definedName name="ComDivPaid">#REF!</definedName>
    <definedName name="Common_Shareholders__Equity" localSheetId="37">[17]summary!#REF!</definedName>
    <definedName name="Common_Shareholders__Equity" localSheetId="17">[17]summary!#REF!</definedName>
    <definedName name="Common_Shareholders__Equity" localSheetId="26">[17]summary!#REF!</definedName>
    <definedName name="Common_Shareholders__Equity" localSheetId="27">[17]summary!#REF!</definedName>
    <definedName name="Common_Shareholders__Equity" localSheetId="30">[17]summary!#REF!</definedName>
    <definedName name="Common_Shareholders__Equity" localSheetId="31">[17]summary!#REF!</definedName>
    <definedName name="Common_Shareholders__Equity" localSheetId="33">[17]summary!#REF!</definedName>
    <definedName name="Common_Shareholders__Equity">[17]summary!#REF!</definedName>
    <definedName name="CommonEquity" localSheetId="37">#REF!</definedName>
    <definedName name="CommonEquity" localSheetId="17">#REF!</definedName>
    <definedName name="CommonEquity" localSheetId="26">#REF!</definedName>
    <definedName name="CommonEquity" localSheetId="27">#REF!</definedName>
    <definedName name="CommonEquity" localSheetId="30">#REF!</definedName>
    <definedName name="CommonEquity" localSheetId="31">#REF!</definedName>
    <definedName name="CommonEquity" localSheetId="33">#REF!</definedName>
    <definedName name="CommonEquity">#REF!</definedName>
    <definedName name="comp" localSheetId="37">#REF!</definedName>
    <definedName name="comp" localSheetId="17">#REF!</definedName>
    <definedName name="comp" localSheetId="26">#REF!</definedName>
    <definedName name="comp" localSheetId="27">#REF!</definedName>
    <definedName name="comp" localSheetId="30">#REF!</definedName>
    <definedName name="comp" localSheetId="31">#REF!</definedName>
    <definedName name="comp" localSheetId="33">#REF!</definedName>
    <definedName name="comp">#REF!</definedName>
    <definedName name="Company" localSheetId="37">#REF!</definedName>
    <definedName name="Company" localSheetId="17">#REF!</definedName>
    <definedName name="Company" localSheetId="26">#REF!</definedName>
    <definedName name="Company" localSheetId="27">#REF!</definedName>
    <definedName name="Company" localSheetId="30">#REF!</definedName>
    <definedName name="Company" localSheetId="31">#REF!</definedName>
    <definedName name="Company" localSheetId="33">#REF!</definedName>
    <definedName name="Company">#REF!</definedName>
    <definedName name="Company_Name">"Commonwealth Aluminum"</definedName>
    <definedName name="CompanyName" localSheetId="37">#REF!</definedName>
    <definedName name="CompanyName" localSheetId="17">#REF!</definedName>
    <definedName name="CompanyName" localSheetId="26">#REF!</definedName>
    <definedName name="CompanyName" localSheetId="27">#REF!</definedName>
    <definedName name="CompanyName" localSheetId="30">#REF!</definedName>
    <definedName name="CompanyName" localSheetId="31">#REF!</definedName>
    <definedName name="CompanyName" localSheetId="33">#REF!</definedName>
    <definedName name="CompanyName">#REF!</definedName>
    <definedName name="CompDebtCap" localSheetId="37">#REF!</definedName>
    <definedName name="CompDebtCap" localSheetId="17">#REF!</definedName>
    <definedName name="CompDebtCap" localSheetId="26">#REF!</definedName>
    <definedName name="CompDebtCap" localSheetId="27">#REF!</definedName>
    <definedName name="CompDebtCap" localSheetId="30">#REF!</definedName>
    <definedName name="CompDebtCap" localSheetId="31">#REF!</definedName>
    <definedName name="CompDebtCap" localSheetId="33">#REF!</definedName>
    <definedName name="CompDebtCap">#REF!</definedName>
    <definedName name="CompTaxRate" localSheetId="37">#REF!</definedName>
    <definedName name="CompTaxRate" localSheetId="17">#REF!</definedName>
    <definedName name="CompTaxRate" localSheetId="26">#REF!</definedName>
    <definedName name="CompTaxRate" localSheetId="27">#REF!</definedName>
    <definedName name="CompTaxRate" localSheetId="30">#REF!</definedName>
    <definedName name="CompTaxRate" localSheetId="31">#REF!</definedName>
    <definedName name="CompTaxRate" localSheetId="33">#REF!</definedName>
    <definedName name="CompTaxRate">#REF!</definedName>
    <definedName name="CompTrig" localSheetId="37">#REF!</definedName>
    <definedName name="CompTrig" localSheetId="17">#REF!</definedName>
    <definedName name="CompTrig" localSheetId="26">#REF!</definedName>
    <definedName name="CompTrig" localSheetId="27">#REF!</definedName>
    <definedName name="CompTrig" localSheetId="30">#REF!</definedName>
    <definedName name="CompTrig" localSheetId="31">#REF!</definedName>
    <definedName name="CompTrig" localSheetId="33">#REF!</definedName>
    <definedName name="CompTrig">#REF!</definedName>
    <definedName name="conciliadados">'[58]Conciliação Bancária'!$B$4:$L$2597</definedName>
    <definedName name="CONMTRX1" localSheetId="37">#REF!</definedName>
    <definedName name="CONMTRX1" localSheetId="17">#REF!</definedName>
    <definedName name="CONMTRX1" localSheetId="26">#REF!</definedName>
    <definedName name="CONMTRX1" localSheetId="27">#REF!</definedName>
    <definedName name="CONMTRX1" localSheetId="30">#REF!</definedName>
    <definedName name="CONMTRX1" localSheetId="31">#REF!</definedName>
    <definedName name="CONMTRX1" localSheetId="33">#REF!</definedName>
    <definedName name="CONMTRX1">#REF!</definedName>
    <definedName name="conpagjan">#REF!</definedName>
    <definedName name="conrecjan">#REF!</definedName>
    <definedName name="CONSBASE" localSheetId="37">#REF!</definedName>
    <definedName name="CONSBASE" localSheetId="17">#REF!</definedName>
    <definedName name="CONSBASE" localSheetId="26">#REF!</definedName>
    <definedName name="CONSBASE" localSheetId="27">#REF!</definedName>
    <definedName name="CONSBASE" localSheetId="30">#REF!</definedName>
    <definedName name="CONSBASE" localSheetId="31">#REF!</definedName>
    <definedName name="CONSBASE" localSheetId="33">#REF!</definedName>
    <definedName name="CONSBASE">#REF!</definedName>
    <definedName name="considcash" localSheetId="37">#REF!</definedName>
    <definedName name="considcash" localSheetId="17">#REF!</definedName>
    <definedName name="considcash" localSheetId="26">#REF!</definedName>
    <definedName name="considcash" localSheetId="27">#REF!</definedName>
    <definedName name="considcash" localSheetId="30">#REF!</definedName>
    <definedName name="considcash" localSheetId="31">#REF!</definedName>
    <definedName name="considcash" localSheetId="33">#REF!</definedName>
    <definedName name="considcash">#REF!</definedName>
    <definedName name="considmix" localSheetId="37">#REF!</definedName>
    <definedName name="considmix" localSheetId="17">#REF!</definedName>
    <definedName name="considmix" localSheetId="26">#REF!</definedName>
    <definedName name="considmix" localSheetId="27">#REF!</definedName>
    <definedName name="considmix" localSheetId="30">#REF!</definedName>
    <definedName name="considmix" localSheetId="31">#REF!</definedName>
    <definedName name="considmix" localSheetId="33">#REF!</definedName>
    <definedName name="considmix">#REF!</definedName>
    <definedName name="considstock" localSheetId="37">#REF!</definedName>
    <definedName name="considstock" localSheetId="17">#REF!</definedName>
    <definedName name="considstock" localSheetId="26">#REF!</definedName>
    <definedName name="considstock" localSheetId="27">#REF!</definedName>
    <definedName name="considstock" localSheetId="30">#REF!</definedName>
    <definedName name="considstock" localSheetId="31">#REF!</definedName>
    <definedName name="considstock" localSheetId="33">#REF!</definedName>
    <definedName name="considstock">#REF!</definedName>
    <definedName name="CONSMTXB" localSheetId="37">#REF!</definedName>
    <definedName name="CONSMTXB" localSheetId="17">#REF!</definedName>
    <definedName name="CONSMTXB" localSheetId="26">#REF!</definedName>
    <definedName name="CONSMTXB" localSheetId="27">#REF!</definedName>
    <definedName name="CONSMTXB" localSheetId="30">#REF!</definedName>
    <definedName name="CONSMTXB" localSheetId="31">#REF!</definedName>
    <definedName name="CONSMTXB" localSheetId="33">#REF!</definedName>
    <definedName name="CONSMTXB">#REF!</definedName>
    <definedName name="CONSMTXU" localSheetId="37">#REF!</definedName>
    <definedName name="CONSMTXU" localSheetId="17">#REF!</definedName>
    <definedName name="CONSMTXU" localSheetId="26">#REF!</definedName>
    <definedName name="CONSMTXU" localSheetId="27">#REF!</definedName>
    <definedName name="CONSMTXU" localSheetId="30">#REF!</definedName>
    <definedName name="CONSMTXU" localSheetId="31">#REF!</definedName>
    <definedName name="CONSMTXU" localSheetId="33">#REF!</definedName>
    <definedName name="CONSMTXU">#REF!</definedName>
    <definedName name="CONSO" localSheetId="37">#REF!</definedName>
    <definedName name="CONSO" localSheetId="17">#REF!</definedName>
    <definedName name="CONSO" localSheetId="26">#REF!</definedName>
    <definedName name="CONSO" localSheetId="27">#REF!</definedName>
    <definedName name="CONSO" localSheetId="30">#REF!</definedName>
    <definedName name="CONSO" localSheetId="31">#REF!</definedName>
    <definedName name="CONSO" localSheetId="33">#REF!</definedName>
    <definedName name="CONSO">#REF!</definedName>
    <definedName name="CONSOBASSE" localSheetId="37">#REF!</definedName>
    <definedName name="CONSOBASSE" localSheetId="17">#REF!</definedName>
    <definedName name="CONSOBASSE" localSheetId="26">#REF!</definedName>
    <definedName name="CONSOBASSE" localSheetId="27">#REF!</definedName>
    <definedName name="CONSOBASSE" localSheetId="30">#REF!</definedName>
    <definedName name="CONSOBASSE" localSheetId="31">#REF!</definedName>
    <definedName name="CONSOBASSE" localSheetId="33">#REF!</definedName>
    <definedName name="CONSOBASSE">#REF!</definedName>
    <definedName name="CONSOHAUTE" localSheetId="37">#REF!</definedName>
    <definedName name="CONSOHAUTE" localSheetId="17">#REF!</definedName>
    <definedName name="CONSOHAUTE" localSheetId="26">#REF!</definedName>
    <definedName name="CONSOHAUTE" localSheetId="27">#REF!</definedName>
    <definedName name="CONSOHAUTE" localSheetId="30">#REF!</definedName>
    <definedName name="CONSOHAUTE" localSheetId="31">#REF!</definedName>
    <definedName name="CONSOHAUTE" localSheetId="33">#REF!</definedName>
    <definedName name="CONSOHAUTE">#REF!</definedName>
    <definedName name="Consolidated">"Consolidated"</definedName>
    <definedName name="CONSOMOY" localSheetId="37">#REF!</definedName>
    <definedName name="CONSOMOY" localSheetId="17">#REF!</definedName>
    <definedName name="CONSOMOY" localSheetId="26">#REF!</definedName>
    <definedName name="CONSOMOY" localSheetId="27">#REF!</definedName>
    <definedName name="CONSOMOY" localSheetId="30">#REF!</definedName>
    <definedName name="CONSOMOY" localSheetId="31">#REF!</definedName>
    <definedName name="CONSOMOY" localSheetId="33">#REF!</definedName>
    <definedName name="CONSOMOY">#REF!</definedName>
    <definedName name="Consulta_itens_financeiros">#REF!</definedName>
    <definedName name="Consulta_itens_financeiros2">#REF!</definedName>
    <definedName name="CONSUMBL" localSheetId="37">#REF!</definedName>
    <definedName name="CONSUMBL" localSheetId="17">#REF!</definedName>
    <definedName name="CONSUMBL" localSheetId="26">#REF!</definedName>
    <definedName name="CONSUMBL" localSheetId="27">#REF!</definedName>
    <definedName name="CONSUMBL" localSheetId="30">#REF!</definedName>
    <definedName name="CONSUMBL" localSheetId="31">#REF!</definedName>
    <definedName name="CONSUMBL" localSheetId="33">#REF!</definedName>
    <definedName name="CONSUMBL">#REF!</definedName>
    <definedName name="CONSUP" localSheetId="37">#REF!</definedName>
    <definedName name="CONSUP" localSheetId="17">#REF!</definedName>
    <definedName name="CONSUP" localSheetId="26">#REF!</definedName>
    <definedName name="CONSUP" localSheetId="27">#REF!</definedName>
    <definedName name="CONSUP" localSheetId="30">#REF!</definedName>
    <definedName name="CONSUP" localSheetId="31">#REF!</definedName>
    <definedName name="CONSUP" localSheetId="33">#REF!</definedName>
    <definedName name="CONSUP">#REF!</definedName>
    <definedName name="contequity_efetivo">'[52]#REF'!$D$81</definedName>
    <definedName name="CONTRIB" localSheetId="37">#REF!</definedName>
    <definedName name="CONTRIB" localSheetId="17">#REF!</definedName>
    <definedName name="CONTRIB" localSheetId="26">#REF!</definedName>
    <definedName name="CONTRIB" localSheetId="27">#REF!</definedName>
    <definedName name="CONTRIB" localSheetId="30">#REF!</definedName>
    <definedName name="CONTRIB" localSheetId="31">#REF!</definedName>
    <definedName name="CONTRIB" localSheetId="33">#REF!</definedName>
    <definedName name="CONTRIB">#REF!</definedName>
    <definedName name="ConvDebt1" localSheetId="37">#REF!</definedName>
    <definedName name="ConvDebt1" localSheetId="17">#REF!</definedName>
    <definedName name="ConvDebt1" localSheetId="26">#REF!</definedName>
    <definedName name="ConvDebt1" localSheetId="27">#REF!</definedName>
    <definedName name="ConvDebt1" localSheetId="30">#REF!</definedName>
    <definedName name="ConvDebt1" localSheetId="31">#REF!</definedName>
    <definedName name="ConvDebt1" localSheetId="33">#REF!</definedName>
    <definedName name="ConvDebt1">#REF!</definedName>
    <definedName name="ConvDebt2" localSheetId="37">#REF!</definedName>
    <definedName name="ConvDebt2" localSheetId="17">#REF!</definedName>
    <definedName name="ConvDebt2" localSheetId="26">#REF!</definedName>
    <definedName name="ConvDebt2" localSheetId="27">#REF!</definedName>
    <definedName name="ConvDebt2" localSheetId="30">#REF!</definedName>
    <definedName name="ConvDebt2" localSheetId="31">#REF!</definedName>
    <definedName name="ConvDebt2" localSheetId="33">#REF!</definedName>
    <definedName name="ConvDebt2">#REF!</definedName>
    <definedName name="ConvDebtOut" localSheetId="37">#REF!</definedName>
    <definedName name="ConvDebtOut" localSheetId="17">#REF!</definedName>
    <definedName name="ConvDebtOut" localSheetId="26">#REF!</definedName>
    <definedName name="ConvDebtOut" localSheetId="27">#REF!</definedName>
    <definedName name="ConvDebtOut" localSheetId="30">#REF!</definedName>
    <definedName name="ConvDebtOut" localSheetId="31">#REF!</definedName>
    <definedName name="ConvDebtOut" localSheetId="33">#REF!</definedName>
    <definedName name="ConvDebtOut">#REF!</definedName>
    <definedName name="Convertible_Debt" localSheetId="37">[17]summary!#REF!</definedName>
    <definedName name="Convertible_Debt" localSheetId="17">[17]summary!#REF!</definedName>
    <definedName name="Convertible_Debt" localSheetId="26">[17]summary!#REF!</definedName>
    <definedName name="Convertible_Debt" localSheetId="27">[17]summary!#REF!</definedName>
    <definedName name="Convertible_Debt" localSheetId="30">[17]summary!#REF!</definedName>
    <definedName name="Convertible_Debt" localSheetId="31">[17]summary!#REF!</definedName>
    <definedName name="Convertible_Debt" localSheetId="33">[17]summary!#REF!</definedName>
    <definedName name="Convertible_Debt">[17]summary!#REF!</definedName>
    <definedName name="ConvPref1" localSheetId="37">#REF!</definedName>
    <definedName name="ConvPref1" localSheetId="17">#REF!</definedName>
    <definedName name="ConvPref1" localSheetId="26">#REF!</definedName>
    <definedName name="ConvPref1" localSheetId="27">#REF!</definedName>
    <definedName name="ConvPref1" localSheetId="30">#REF!</definedName>
    <definedName name="ConvPref1" localSheetId="31">#REF!</definedName>
    <definedName name="ConvPref1" localSheetId="33">#REF!</definedName>
    <definedName name="ConvPref1">#REF!</definedName>
    <definedName name="ConvPref2" localSheetId="37">#REF!</definedName>
    <definedName name="ConvPref2" localSheetId="17">#REF!</definedName>
    <definedName name="ConvPref2" localSheetId="26">#REF!</definedName>
    <definedName name="ConvPref2" localSheetId="27">#REF!</definedName>
    <definedName name="ConvPref2" localSheetId="30">#REF!</definedName>
    <definedName name="ConvPref2" localSheetId="31">#REF!</definedName>
    <definedName name="ConvPref2" localSheetId="33">#REF!</definedName>
    <definedName name="ConvPref2">#REF!</definedName>
    <definedName name="ConvPrefLiq1" localSheetId="37">#REF!</definedName>
    <definedName name="ConvPrefLiq1" localSheetId="17">#REF!</definedName>
    <definedName name="ConvPrefLiq1" localSheetId="26">#REF!</definedName>
    <definedName name="ConvPrefLiq1" localSheetId="27">#REF!</definedName>
    <definedName name="ConvPrefLiq1" localSheetId="30">#REF!</definedName>
    <definedName name="ConvPrefLiq1" localSheetId="31">#REF!</definedName>
    <definedName name="ConvPrefLiq1" localSheetId="33">#REF!</definedName>
    <definedName name="ConvPrefLiq1">#REF!</definedName>
    <definedName name="ConvPrefLiq2" localSheetId="37">#REF!</definedName>
    <definedName name="ConvPrefLiq2" localSheetId="17">#REF!</definedName>
    <definedName name="ConvPrefLiq2" localSheetId="26">#REF!</definedName>
    <definedName name="ConvPrefLiq2" localSheetId="27">#REF!</definedName>
    <definedName name="ConvPrefLiq2" localSheetId="30">#REF!</definedName>
    <definedName name="ConvPrefLiq2" localSheetId="31">#REF!</definedName>
    <definedName name="ConvPrefLiq2" localSheetId="33">#REF!</definedName>
    <definedName name="ConvPrefLiq2">#REF!</definedName>
    <definedName name="ConvPrefOut" localSheetId="37">#REF!</definedName>
    <definedName name="ConvPrefOut" localSheetId="17">#REF!</definedName>
    <definedName name="ConvPrefOut" localSheetId="26">#REF!</definedName>
    <definedName name="ConvPrefOut" localSheetId="27">#REF!</definedName>
    <definedName name="ConvPrefOut" localSheetId="30">#REF!</definedName>
    <definedName name="ConvPrefOut" localSheetId="31">#REF!</definedName>
    <definedName name="ConvPrefOut" localSheetId="33">#REF!</definedName>
    <definedName name="ConvPrefOut">#REF!</definedName>
    <definedName name="ConvTrig" localSheetId="37">#REF!</definedName>
    <definedName name="ConvTrig" localSheetId="17">#REF!</definedName>
    <definedName name="ConvTrig" localSheetId="26">#REF!</definedName>
    <definedName name="ConvTrig" localSheetId="27">#REF!</definedName>
    <definedName name="ConvTrig" localSheetId="30">#REF!</definedName>
    <definedName name="ConvTrig" localSheetId="31">#REF!</definedName>
    <definedName name="ConvTrig" localSheetId="33">#REF!</definedName>
    <definedName name="ConvTrig">#REF!</definedName>
    <definedName name="copiacheque">'[58]Conciliação Bancária'!$B$5:$Q$2597</definedName>
    <definedName name="CopyBack" localSheetId="37">#REF!</definedName>
    <definedName name="CopyBack" localSheetId="17">#REF!</definedName>
    <definedName name="CopyBack" localSheetId="26">#REF!</definedName>
    <definedName name="CopyBack" localSheetId="27">#REF!</definedName>
    <definedName name="CopyBack" localSheetId="30">#REF!</definedName>
    <definedName name="CopyBack" localSheetId="31">#REF!</definedName>
    <definedName name="CopyBack" localSheetId="33">#REF!</definedName>
    <definedName name="CopyBack">#REF!</definedName>
    <definedName name="CopyFrom" localSheetId="37">#REF!</definedName>
    <definedName name="CopyFrom" localSheetId="17">#REF!</definedName>
    <definedName name="CopyFrom" localSheetId="26">#REF!</definedName>
    <definedName name="CopyFrom" localSheetId="27">#REF!</definedName>
    <definedName name="CopyFrom" localSheetId="30">#REF!</definedName>
    <definedName name="CopyFrom" localSheetId="31">#REF!</definedName>
    <definedName name="CopyFrom" localSheetId="33">#REF!</definedName>
    <definedName name="CopyFrom">#REF!</definedName>
    <definedName name="CopyRange" localSheetId="37">#REF!</definedName>
    <definedName name="CopyRange" localSheetId="17">#REF!</definedName>
    <definedName name="CopyRange" localSheetId="26">#REF!</definedName>
    <definedName name="CopyRange" localSheetId="27">#REF!</definedName>
    <definedName name="CopyRange" localSheetId="30">#REF!</definedName>
    <definedName name="CopyRange" localSheetId="31">#REF!</definedName>
    <definedName name="CopyRange" localSheetId="33">#REF!</definedName>
    <definedName name="CopyRange">#REF!</definedName>
    <definedName name="CostOfDebt" localSheetId="37">#REF!</definedName>
    <definedName name="CostOfDebt" localSheetId="17">#REF!</definedName>
    <definedName name="CostOfDebt" localSheetId="26">#REF!</definedName>
    <definedName name="CostOfDebt" localSheetId="27">#REF!</definedName>
    <definedName name="CostOfDebt" localSheetId="30">#REF!</definedName>
    <definedName name="CostOfDebt" localSheetId="31">#REF!</definedName>
    <definedName name="CostOfDebt" localSheetId="33">#REF!</definedName>
    <definedName name="CostOfDebt">#REF!</definedName>
    <definedName name="cpage" localSheetId="37">[29]DCF!#REF!</definedName>
    <definedName name="cpage" localSheetId="17">[29]DCF!#REF!</definedName>
    <definedName name="cpage" localSheetId="26">[29]DCF!#REF!</definedName>
    <definedName name="cpage" localSheetId="27">[29]DCF!#REF!</definedName>
    <definedName name="cpage" localSheetId="30">[29]DCF!#REF!</definedName>
    <definedName name="cpage" localSheetId="31">[29]DCF!#REF!</definedName>
    <definedName name="cpage" localSheetId="33">[29]DCF!#REF!</definedName>
    <definedName name="cpage">[29]DCF!#REF!</definedName>
    <definedName name="CPI" localSheetId="2">[54]Turnkey!#REF!</definedName>
    <definedName name="CPI" localSheetId="37">[54]Turnkey!#REF!</definedName>
    <definedName name="CPI" localSheetId="17">[54]Turnkey!#REF!</definedName>
    <definedName name="CPI" localSheetId="4">[54]Turnkey!#REF!</definedName>
    <definedName name="CPI" localSheetId="26">[54]Turnkey!#REF!</definedName>
    <definedName name="CPI" localSheetId="27">[54]Turnkey!#REF!</definedName>
    <definedName name="CPI" localSheetId="30">[54]Turnkey!#REF!</definedName>
    <definedName name="CPI" localSheetId="31">[54]Turnkey!#REF!</definedName>
    <definedName name="CPI" localSheetId="33">[54]Turnkey!#REF!</definedName>
    <definedName name="CPI">[54]Turnkey!#REF!</definedName>
    <definedName name="CPI_1998" localSheetId="37">#REF!</definedName>
    <definedName name="CPI_1998" localSheetId="17">#REF!</definedName>
    <definedName name="CPI_1998" localSheetId="26">#REF!</definedName>
    <definedName name="CPI_1998" localSheetId="27">#REF!</definedName>
    <definedName name="CPI_1998" localSheetId="30">#REF!</definedName>
    <definedName name="CPI_1998" localSheetId="31">#REF!</definedName>
    <definedName name="CPI_1998" localSheetId="33">#REF!</definedName>
    <definedName name="CPI_1998">#REF!</definedName>
    <definedName name="CPI_Annual" localSheetId="37">#REF!</definedName>
    <definedName name="CPI_Annual" localSheetId="17">#REF!</definedName>
    <definedName name="CPI_Annual" localSheetId="26">#REF!</definedName>
    <definedName name="CPI_Annual" localSheetId="27">#REF!</definedName>
    <definedName name="CPI_Annual" localSheetId="30">#REF!</definedName>
    <definedName name="CPI_Annual" localSheetId="31">#REF!</definedName>
    <definedName name="CPI_Annual" localSheetId="33">#REF!</definedName>
    <definedName name="CPI_Annual">#REF!</definedName>
    <definedName name="CPMF">0.38%</definedName>
    <definedName name="CPMF1">'[59]Estudo Impostos'!#REF!</definedName>
    <definedName name="CPMF2">'[59]Estudo Impostos'!#REF!</definedName>
    <definedName name="CPMF3">'[59]Estudo Impostos'!#REF!</definedName>
    <definedName name="CPMF4">'[59]Estudo Impostos'!#REF!</definedName>
    <definedName name="CPONT" localSheetId="37">#REF!</definedName>
    <definedName name="CPONT" localSheetId="17">#REF!</definedName>
    <definedName name="CPONT" localSheetId="16">#REF!</definedName>
    <definedName name="CPONT" localSheetId="26">#REF!</definedName>
    <definedName name="CPONT" localSheetId="27">#REF!</definedName>
    <definedName name="CPONT" localSheetId="28">#REF!</definedName>
    <definedName name="CPONT" localSheetId="30">#REF!</definedName>
    <definedName name="CPONT" localSheetId="31">#REF!</definedName>
    <definedName name="CPONT" localSheetId="33">#REF!</definedName>
    <definedName name="CPONT">#REF!</definedName>
    <definedName name="CpuAux">#REF!</definedName>
    <definedName name="CPUs" localSheetId="2">#N/A</definedName>
    <definedName name="CPUs" localSheetId="4">#N/A</definedName>
    <definedName name="CPUs" localSheetId="41">OFFSET('Preços Unitários'!SRV,-1,,COUNTA(#REF!)+1,4)</definedName>
    <definedName name="CPUs" localSheetId="23">OFFSET('Preços Unitários'!SRV,-1,,COUNTA(#REF!)+1,4)</definedName>
    <definedName name="CPUs" localSheetId="38">OFFSET('Preços Unitários'!SRV,-1,,COUNTA(#REF!)+1,4)</definedName>
    <definedName name="CPUs">OFFSET('Preços Unitários'!SRV,-1,,COUNTA(#REF!)+1,4)</definedName>
    <definedName name="cr" localSheetId="37">#REF!</definedName>
    <definedName name="cr" localSheetId="17">#REF!</definedName>
    <definedName name="cr" localSheetId="26">#REF!</definedName>
    <definedName name="cr" localSheetId="27">#REF!</definedName>
    <definedName name="cr" localSheetId="30">#REF!</definedName>
    <definedName name="cr" localSheetId="31">#REF!</definedName>
    <definedName name="cr" localSheetId="33">#REF!</definedName>
    <definedName name="cr">#REF!</definedName>
    <definedName name="CRIT">#REF!</definedName>
    <definedName name="csasac" hidden="1">#REF!</definedName>
    <definedName name="CTA" localSheetId="37">#REF!</definedName>
    <definedName name="CTA" localSheetId="17">#REF!</definedName>
    <definedName name="CTA" localSheetId="26">#REF!</definedName>
    <definedName name="CTA" localSheetId="27">#REF!</definedName>
    <definedName name="CTA" localSheetId="30">#REF!</definedName>
    <definedName name="CTA" localSheetId="31">#REF!</definedName>
    <definedName name="CTA" localSheetId="33">#REF!</definedName>
    <definedName name="CTA">#REF!</definedName>
    <definedName name="CTD" localSheetId="37">#REF!</definedName>
    <definedName name="CTD" localSheetId="17">#REF!</definedName>
    <definedName name="CTD" localSheetId="16">#REF!</definedName>
    <definedName name="CTD" localSheetId="26">#REF!</definedName>
    <definedName name="CTD" localSheetId="27">#REF!</definedName>
    <definedName name="CTD" localSheetId="28">#REF!</definedName>
    <definedName name="CTD" localSheetId="30">#REF!</definedName>
    <definedName name="CTD" localSheetId="31">#REF!</definedName>
    <definedName name="CTD" localSheetId="33">#REF!</definedName>
    <definedName name="CTD">#REF!</definedName>
    <definedName name="Cto">#N/A</definedName>
    <definedName name="Cun" localSheetId="2">IF(ISNA(VLOOKUP(#REF!,[56]!REC,1,0)),VLOOKUP(#REF!,[56]!SR,5,0),VLOOKUP(#REF!,[56]!REC,5,0))</definedName>
    <definedName name="Cun" localSheetId="4">IF(ISNA(VLOOKUP(#REF!,[56]!REC,1,0)),VLOOKUP(#REF!,[56]!SR,5,0),VLOOKUP(#REF!,[56]!REC,5,0))</definedName>
    <definedName name="Cun">IF(ISNA(VLOOKUP(#REF!,[56]!REC,1,0)),VLOOKUP(#REF!,[56]!SR,5,0),VLOOKUP(#REF!,[56]!REC,5,0))</definedName>
    <definedName name="CunImp">0</definedName>
    <definedName name="currency" localSheetId="37">#REF!</definedName>
    <definedName name="currency" localSheetId="17">#REF!</definedName>
    <definedName name="currency" localSheetId="26">#REF!</definedName>
    <definedName name="currency" localSheetId="27">#REF!</definedName>
    <definedName name="currency" localSheetId="30">#REF!</definedName>
    <definedName name="currency" localSheetId="31">#REF!</definedName>
    <definedName name="currency" localSheetId="33">#REF!</definedName>
    <definedName name="currency">#REF!</definedName>
    <definedName name="CurrentAssets" localSheetId="37">#REF!</definedName>
    <definedName name="CurrentAssets" localSheetId="17">#REF!</definedName>
    <definedName name="CurrentAssets" localSheetId="26">#REF!</definedName>
    <definedName name="CurrentAssets" localSheetId="27">#REF!</definedName>
    <definedName name="CurrentAssets" localSheetId="30">#REF!</definedName>
    <definedName name="CurrentAssets" localSheetId="31">#REF!</definedName>
    <definedName name="CurrentAssets" localSheetId="33">#REF!</definedName>
    <definedName name="CurrentAssets">#REF!</definedName>
    <definedName name="CurrentLiab" localSheetId="37">#REF!</definedName>
    <definedName name="CurrentLiab" localSheetId="17">#REF!</definedName>
    <definedName name="CurrentLiab" localSheetId="26">#REF!</definedName>
    <definedName name="CurrentLiab" localSheetId="27">#REF!</definedName>
    <definedName name="CurrentLiab" localSheetId="30">#REF!</definedName>
    <definedName name="CurrentLiab" localSheetId="31">#REF!</definedName>
    <definedName name="CurrentLiab" localSheetId="33">#REF!</definedName>
    <definedName name="CurrentLiab">#REF!</definedName>
    <definedName name="CurrentRatio" localSheetId="37">#REF!</definedName>
    <definedName name="CurrentRatio" localSheetId="17">#REF!</definedName>
    <definedName name="CurrentRatio" localSheetId="26">#REF!</definedName>
    <definedName name="CurrentRatio" localSheetId="27">#REF!</definedName>
    <definedName name="CurrentRatio" localSheetId="30">#REF!</definedName>
    <definedName name="CurrentRatio" localSheetId="31">#REF!</definedName>
    <definedName name="CurrentRatio" localSheetId="33">#REF!</definedName>
    <definedName name="CurrentRatio">#REF!</definedName>
    <definedName name="CURVES" localSheetId="37">[60]Curves!#REF!</definedName>
    <definedName name="CURVES" localSheetId="17">[60]Curves!#REF!</definedName>
    <definedName name="CURVES" localSheetId="26">[60]Curves!#REF!</definedName>
    <definedName name="CURVES" localSheetId="27">[60]Curves!#REF!</definedName>
    <definedName name="CURVES" localSheetId="30">[60]Curves!#REF!</definedName>
    <definedName name="CURVES" localSheetId="31">[60]Curves!#REF!</definedName>
    <definedName name="CURVES" localSheetId="33">[60]Curves!#REF!</definedName>
    <definedName name="CURVES">[60]Curves!#REF!</definedName>
    <definedName name="Curves_Table" localSheetId="2">[54]Escalation!$A$19:$AW$288</definedName>
    <definedName name="Curves_Table" localSheetId="4">[54]Escalation!$A$19:$AW$288</definedName>
    <definedName name="Curves_Table">[54]Escalation!$A$19:$AW$288</definedName>
    <definedName name="d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_Margin">[53]Projections!$D$1667</definedName>
    <definedName name="DA" localSheetId="37">#REF!</definedName>
    <definedName name="DA" localSheetId="17">#REF!</definedName>
    <definedName name="DA" localSheetId="26">#REF!</definedName>
    <definedName name="DA" localSheetId="27">#REF!</definedName>
    <definedName name="DA" localSheetId="30">#REF!</definedName>
    <definedName name="DA" localSheetId="31">#REF!</definedName>
    <definedName name="DA" localSheetId="33">#REF!</definedName>
    <definedName name="DA">#REF!</definedName>
    <definedName name="Dados">#REF!</definedName>
    <definedName name="Dados_de_entrada_1" localSheetId="2" hidden="1">{"'Sheet1'!$A$1:$G$85"}</definedName>
    <definedName name="Dados_de_entrada_1" localSheetId="4" hidden="1">{"'Sheet1'!$A$1:$G$85"}</definedName>
    <definedName name="Dados_de_entrada_1" hidden="1">{"'Sheet1'!$A$1:$G$85"}</definedName>
    <definedName name="DAEnd" localSheetId="37">#REF!</definedName>
    <definedName name="DAEnd" localSheetId="17">#REF!</definedName>
    <definedName name="DAEnd" localSheetId="26">#REF!</definedName>
    <definedName name="DAEnd" localSheetId="27">#REF!</definedName>
    <definedName name="DAEnd" localSheetId="30">#REF!</definedName>
    <definedName name="DAEnd" localSheetId="31">#REF!</definedName>
    <definedName name="DAEnd" localSheetId="33">#REF!</definedName>
    <definedName name="DAEnd">#REF!</definedName>
    <definedName name="DAER1" localSheetId="2" hidden="1">{#N/A,#N/A,TRUE,"Serviços"}</definedName>
    <definedName name="DAER1" localSheetId="4" hidden="1">{#N/A,#N/A,TRUE,"Serviços"}</definedName>
    <definedName name="DAER1" hidden="1">{#N/A,#N/A,TRUE,"Serviços"}</definedName>
    <definedName name="daniel" localSheetId="2" hidden="1">{"'RR'!$A$2:$E$81"}</definedName>
    <definedName name="daniel" localSheetId="4" hidden="1">{"'RR'!$A$2:$E$81"}</definedName>
    <definedName name="daniel" hidden="1">{"'RR'!$A$2:$E$81"}</definedName>
    <definedName name="dasdsadsad" hidden="1">#N/A</definedName>
    <definedName name="DAStart" localSheetId="37">#REF!</definedName>
    <definedName name="DAStart" localSheetId="17">#REF!</definedName>
    <definedName name="DAStart" localSheetId="26">#REF!</definedName>
    <definedName name="DAStart" localSheetId="27">#REF!</definedName>
    <definedName name="DAStart" localSheetId="30">#REF!</definedName>
    <definedName name="DAStart" localSheetId="31">#REF!</definedName>
    <definedName name="DAStart" localSheetId="33">#REF!</definedName>
    <definedName name="DAStart">#REF!</definedName>
    <definedName name="Data" localSheetId="37">#REF!</definedName>
    <definedName name="Data" localSheetId="17">#REF!</definedName>
    <definedName name="Data" localSheetId="26">#REF!</definedName>
    <definedName name="Data" localSheetId="27">#REF!</definedName>
    <definedName name="Data" localSheetId="30">#REF!</definedName>
    <definedName name="Data" localSheetId="31">#REF!</definedName>
    <definedName name="Data" localSheetId="33">#REF!</definedName>
    <definedName name="Data">#REF!</definedName>
    <definedName name="Data_base">'[61]A. Premissas Gerais'!$J$37</definedName>
    <definedName name="Data_base_coleta" localSheetId="2">[62]Premissas!$I$17</definedName>
    <definedName name="Data_base_coleta" localSheetId="4">[62]Premissas!$I$17</definedName>
    <definedName name="Data_base_coleta">[62]Premissas!$I$17</definedName>
    <definedName name="data_base_descr">'[61]A. Premissas Gerais'!$F$37</definedName>
    <definedName name="data_base_UTE" localSheetId="2">[62]Premissas!$I$43</definedName>
    <definedName name="data_base_UTE" localSheetId="4">[62]Premissas!$I$43</definedName>
    <definedName name="data_base_UTE">[62]Premissas!$I$43</definedName>
    <definedName name="datafim" localSheetId="2">[62]Premissas!$I$46</definedName>
    <definedName name="datafim" localSheetId="4">[62]Premissas!$I$46</definedName>
    <definedName name="datafim">[62]Premissas!$I$46</definedName>
    <definedName name="DataInicialModelo">[37]SPE!$G$1</definedName>
    <definedName name="DataThrough" localSheetId="37">#REF!</definedName>
    <definedName name="DataThrough" localSheetId="17">#REF!</definedName>
    <definedName name="DataThrough" localSheetId="26">#REF!</definedName>
    <definedName name="DataThrough" localSheetId="27">#REF!</definedName>
    <definedName name="DataThrough" localSheetId="30">#REF!</definedName>
    <definedName name="DataThrough" localSheetId="31">#REF!</definedName>
    <definedName name="DataThrough" localSheetId="33">#REF!</definedName>
    <definedName name="DataThrough">#REF!</definedName>
    <definedName name="date">36623</definedName>
    <definedName name="DaysInv" localSheetId="37">#REF!</definedName>
    <definedName name="DaysInv" localSheetId="17">#REF!</definedName>
    <definedName name="DaysInv" localSheetId="26">#REF!</definedName>
    <definedName name="DaysInv" localSheetId="27">#REF!</definedName>
    <definedName name="DaysInv" localSheetId="30">#REF!</definedName>
    <definedName name="DaysInv" localSheetId="31">#REF!</definedName>
    <definedName name="DaysInv" localSheetId="33">#REF!</definedName>
    <definedName name="DaysInv">#REF!</definedName>
    <definedName name="DaysPay" localSheetId="37">#REF!</definedName>
    <definedName name="DaysPay" localSheetId="17">#REF!</definedName>
    <definedName name="DaysPay" localSheetId="26">#REF!</definedName>
    <definedName name="DaysPay" localSheetId="27">#REF!</definedName>
    <definedName name="DaysPay" localSheetId="30">#REF!</definedName>
    <definedName name="DaysPay" localSheetId="31">#REF!</definedName>
    <definedName name="DaysPay" localSheetId="33">#REF!</definedName>
    <definedName name="DaysPay">#REF!</definedName>
    <definedName name="DaysRec" localSheetId="37">#REF!</definedName>
    <definedName name="DaysRec" localSheetId="17">#REF!</definedName>
    <definedName name="DaysRec" localSheetId="26">#REF!</definedName>
    <definedName name="DaysRec" localSheetId="27">#REF!</definedName>
    <definedName name="DaysRec" localSheetId="30">#REF!</definedName>
    <definedName name="DaysRec" localSheetId="31">#REF!</definedName>
    <definedName name="DaysRec" localSheetId="33">#REF!</definedName>
    <definedName name="DaysRec">#REF!</definedName>
    <definedName name="DCF_A" localSheetId="37">#REF!</definedName>
    <definedName name="DCF_A" localSheetId="17">#REF!</definedName>
    <definedName name="DCF_A" localSheetId="26">#REF!</definedName>
    <definedName name="DCF_A" localSheetId="27">#REF!</definedName>
    <definedName name="DCF_A" localSheetId="30">#REF!</definedName>
    <definedName name="DCF_A" localSheetId="31">#REF!</definedName>
    <definedName name="DCF_A" localSheetId="33">#REF!</definedName>
    <definedName name="DCF_A">#REF!</definedName>
    <definedName name="DCF_A2" localSheetId="37">#REF!</definedName>
    <definedName name="DCF_A2" localSheetId="17">#REF!</definedName>
    <definedName name="DCF_A2" localSheetId="26">#REF!</definedName>
    <definedName name="DCF_A2" localSheetId="27">#REF!</definedName>
    <definedName name="DCF_A2" localSheetId="30">#REF!</definedName>
    <definedName name="DCF_A2" localSheetId="31">#REF!</definedName>
    <definedName name="DCF_A2" localSheetId="33">#REF!</definedName>
    <definedName name="DCF_A2">#REF!</definedName>
    <definedName name="DCFBase" localSheetId="37">#REF!</definedName>
    <definedName name="DCFBase" localSheetId="17">#REF!</definedName>
    <definedName name="DCFBase" localSheetId="26">#REF!</definedName>
    <definedName name="DCFBase" localSheetId="27">#REF!</definedName>
    <definedName name="DCFBase" localSheetId="30">#REF!</definedName>
    <definedName name="DCFBase" localSheetId="31">#REF!</definedName>
    <definedName name="DCFBase" localSheetId="33">#REF!</definedName>
    <definedName name="DCFBase">#REF!</definedName>
    <definedName name="DD" hidden="1">#REF!</definedName>
    <definedName name="DDAmt" localSheetId="37">#REF!</definedName>
    <definedName name="DDAmt" localSheetId="17">#REF!</definedName>
    <definedName name="DDAmt" localSheetId="26">#REF!</definedName>
    <definedName name="DDAmt" localSheetId="27">#REF!</definedName>
    <definedName name="DDAmt" localSheetId="30">#REF!</definedName>
    <definedName name="DDAmt" localSheetId="31">#REF!</definedName>
    <definedName name="DDAmt" localSheetId="33">#REF!</definedName>
    <definedName name="DDAmt">#REF!</definedName>
    <definedName name="DDD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DD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DD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dddddd" localSheetId="2" hidden="1">{"'RR'!$A$2:$E$81"}</definedName>
    <definedName name="ddddddd" localSheetId="4" hidden="1">{"'RR'!$A$2:$E$81"}</definedName>
    <definedName name="ddddddd" hidden="1">{"'RR'!$A$2:$E$81"}</definedName>
    <definedName name="Debt" localSheetId="37">#REF!</definedName>
    <definedName name="Debt" localSheetId="17">#REF!</definedName>
    <definedName name="Debt" localSheetId="26">#REF!</definedName>
    <definedName name="Debt" localSheetId="27">#REF!</definedName>
    <definedName name="Debt" localSheetId="30">#REF!</definedName>
    <definedName name="Debt" localSheetId="31">#REF!</definedName>
    <definedName name="Debt" localSheetId="33">#REF!</definedName>
    <definedName name="Debt">#REF!</definedName>
    <definedName name="debt_calculated" localSheetId="37">#REF!</definedName>
    <definedName name="debt_calculated" localSheetId="17">#REF!</definedName>
    <definedName name="debt_calculated" localSheetId="26">#REF!</definedName>
    <definedName name="debt_calculated" localSheetId="27">#REF!</definedName>
    <definedName name="debt_calculated" localSheetId="30">#REF!</definedName>
    <definedName name="debt_calculated" localSheetId="31">#REF!</definedName>
    <definedName name="debt_calculated" localSheetId="33">#REF!</definedName>
    <definedName name="debt_calculated">#REF!</definedName>
    <definedName name="debt_estimated" localSheetId="37">#REF!</definedName>
    <definedName name="debt_estimated" localSheetId="17">#REF!</definedName>
    <definedName name="debt_estimated" localSheetId="26">#REF!</definedName>
    <definedName name="debt_estimated" localSheetId="27">#REF!</definedName>
    <definedName name="debt_estimated" localSheetId="30">#REF!</definedName>
    <definedName name="debt_estimated" localSheetId="31">#REF!</definedName>
    <definedName name="debt_estimated" localSheetId="33">#REF!</definedName>
    <definedName name="debt_estimated">#REF!</definedName>
    <definedName name="DebtAss" localSheetId="37">#REF!</definedName>
    <definedName name="DebtAss" localSheetId="17">#REF!</definedName>
    <definedName name="DebtAss" localSheetId="26">#REF!</definedName>
    <definedName name="DebtAss" localSheetId="27">#REF!</definedName>
    <definedName name="DebtAss" localSheetId="30">#REF!</definedName>
    <definedName name="DebtAss" localSheetId="31">#REF!</definedName>
    <definedName name="DebtAss" localSheetId="33">#REF!</definedName>
    <definedName name="DebtAss">#REF!</definedName>
    <definedName name="DebtBeta" localSheetId="37">#REF!</definedName>
    <definedName name="DebtBeta" localSheetId="17">#REF!</definedName>
    <definedName name="DebtBeta" localSheetId="26">#REF!</definedName>
    <definedName name="DebtBeta" localSheetId="27">#REF!</definedName>
    <definedName name="DebtBeta" localSheetId="30">#REF!</definedName>
    <definedName name="DebtBeta" localSheetId="31">#REF!</definedName>
    <definedName name="DebtBeta" localSheetId="33">#REF!</definedName>
    <definedName name="DebtBeta">#REF!</definedName>
    <definedName name="DebtBook" localSheetId="37">#REF!</definedName>
    <definedName name="DebtBook" localSheetId="17">#REF!</definedName>
    <definedName name="DebtBook" localSheetId="26">#REF!</definedName>
    <definedName name="DebtBook" localSheetId="27">#REF!</definedName>
    <definedName name="DebtBook" localSheetId="30">#REF!</definedName>
    <definedName name="DebtBook" localSheetId="31">#REF!</definedName>
    <definedName name="DebtBook" localSheetId="33">#REF!</definedName>
    <definedName name="DebtBook">#REF!</definedName>
    <definedName name="DebtCap" localSheetId="37">#REF!</definedName>
    <definedName name="DebtCap" localSheetId="17">#REF!</definedName>
    <definedName name="DebtCap" localSheetId="26">#REF!</definedName>
    <definedName name="DebtCap" localSheetId="27">#REF!</definedName>
    <definedName name="DebtCap" localSheetId="30">#REF!</definedName>
    <definedName name="DebtCap" localSheetId="31">#REF!</definedName>
    <definedName name="DebtCap" localSheetId="33">#REF!</definedName>
    <definedName name="DebtCap">#REF!</definedName>
    <definedName name="DebtEBITDA" localSheetId="37">#REF!</definedName>
    <definedName name="DebtEBITDA" localSheetId="17">#REF!</definedName>
    <definedName name="DebtEBITDA" localSheetId="26">#REF!</definedName>
    <definedName name="DebtEBITDA" localSheetId="27">#REF!</definedName>
    <definedName name="DebtEBITDA" localSheetId="30">#REF!</definedName>
    <definedName name="DebtEBITDA" localSheetId="31">#REF!</definedName>
    <definedName name="DebtEBITDA" localSheetId="33">#REF!</definedName>
    <definedName name="DebtEBITDA">#REF!</definedName>
    <definedName name="DebtEnt" localSheetId="37">#REF!</definedName>
    <definedName name="DebtEnt" localSheetId="17">#REF!</definedName>
    <definedName name="DebtEnt" localSheetId="26">#REF!</definedName>
    <definedName name="DebtEnt" localSheetId="27">#REF!</definedName>
    <definedName name="DebtEnt" localSheetId="30">#REF!</definedName>
    <definedName name="DebtEnt" localSheetId="31">#REF!</definedName>
    <definedName name="DebtEnt" localSheetId="33">#REF!</definedName>
    <definedName name="DebtEnt">#REF!</definedName>
    <definedName name="DebtEntInc" localSheetId="37">#REF!</definedName>
    <definedName name="DebtEntInc" localSheetId="17">#REF!</definedName>
    <definedName name="DebtEntInc" localSheetId="26">#REF!</definedName>
    <definedName name="DebtEntInc" localSheetId="27">#REF!</definedName>
    <definedName name="DebtEntInc" localSheetId="30">#REF!</definedName>
    <definedName name="DebtEntInc" localSheetId="31">#REF!</definedName>
    <definedName name="DebtEntInc" localSheetId="33">#REF!</definedName>
    <definedName name="DebtEntInc">#REF!</definedName>
    <definedName name="DebtPrice1" localSheetId="37">#REF!</definedName>
    <definedName name="DebtPrice1" localSheetId="17">#REF!</definedName>
    <definedName name="DebtPrice1" localSheetId="26">#REF!</definedName>
    <definedName name="DebtPrice1" localSheetId="27">#REF!</definedName>
    <definedName name="DebtPrice1" localSheetId="30">#REF!</definedName>
    <definedName name="DebtPrice1" localSheetId="31">#REF!</definedName>
    <definedName name="DebtPrice1" localSheetId="33">#REF!</definedName>
    <definedName name="DebtPrice1">#REF!</definedName>
    <definedName name="DebtPrice2" localSheetId="37">#REF!</definedName>
    <definedName name="DebtPrice2" localSheetId="17">#REF!</definedName>
    <definedName name="DebtPrice2" localSheetId="26">#REF!</definedName>
    <definedName name="DebtPrice2" localSheetId="27">#REF!</definedName>
    <definedName name="DebtPrice2" localSheetId="30">#REF!</definedName>
    <definedName name="DebtPrice2" localSheetId="31">#REF!</definedName>
    <definedName name="DebtPrice2" localSheetId="33">#REF!</definedName>
    <definedName name="DebtPrice2">#REF!</definedName>
    <definedName name="DebtShares1" localSheetId="37">#REF!</definedName>
    <definedName name="DebtShares1" localSheetId="17">#REF!</definedName>
    <definedName name="DebtShares1" localSheetId="26">#REF!</definedName>
    <definedName name="DebtShares1" localSheetId="27">#REF!</definedName>
    <definedName name="DebtShares1" localSheetId="30">#REF!</definedName>
    <definedName name="DebtShares1" localSheetId="31">#REF!</definedName>
    <definedName name="DebtShares1" localSheetId="33">#REF!</definedName>
    <definedName name="DebtShares1">#REF!</definedName>
    <definedName name="DebtShares2" localSheetId="37">#REF!</definedName>
    <definedName name="DebtShares2" localSheetId="17">#REF!</definedName>
    <definedName name="DebtShares2" localSheetId="26">#REF!</definedName>
    <definedName name="DebtShares2" localSheetId="27">#REF!</definedName>
    <definedName name="DebtShares2" localSheetId="30">#REF!</definedName>
    <definedName name="DebtShares2" localSheetId="31">#REF!</definedName>
    <definedName name="DebtShares2" localSheetId="33">#REF!</definedName>
    <definedName name="DebtShares2">#REF!</definedName>
    <definedName name="Dec_Change" localSheetId="2">[54]Escalation!$F$13:$I$288</definedName>
    <definedName name="Dec_Change" localSheetId="4">[54]Escalation!$F$13:$I$288</definedName>
    <definedName name="Dec_Change">[54]Escalation!$F$13:$I$288</definedName>
    <definedName name="DEEnd" localSheetId="37">#REF!</definedName>
    <definedName name="DEEnd" localSheetId="17">#REF!</definedName>
    <definedName name="DEEnd" localSheetId="26">#REF!</definedName>
    <definedName name="DEEnd" localSheetId="27">#REF!</definedName>
    <definedName name="DEEnd" localSheetId="30">#REF!</definedName>
    <definedName name="DEEnd" localSheetId="31">#REF!</definedName>
    <definedName name="DEEnd" localSheetId="33">#REF!</definedName>
    <definedName name="DEEnd">#REF!</definedName>
    <definedName name="Default_Assump." localSheetId="37">#REF!</definedName>
    <definedName name="Default_Assump." localSheetId="17">#REF!</definedName>
    <definedName name="Default_Assump." localSheetId="26">#REF!</definedName>
    <definedName name="Default_Assump." localSheetId="27">#REF!</definedName>
    <definedName name="Default_Assump." localSheetId="30">#REF!</definedName>
    <definedName name="Default_Assump." localSheetId="31">#REF!</definedName>
    <definedName name="Default_Assump." localSheetId="33">#REF!</definedName>
    <definedName name="Default_Assump.">#REF!</definedName>
    <definedName name="DeferredTaxes" localSheetId="37">#REF!</definedName>
    <definedName name="DeferredTaxes" localSheetId="17">#REF!</definedName>
    <definedName name="DeferredTaxes" localSheetId="26">#REF!</definedName>
    <definedName name="DeferredTaxes" localSheetId="27">#REF!</definedName>
    <definedName name="DeferredTaxes" localSheetId="30">#REF!</definedName>
    <definedName name="DeferredTaxes" localSheetId="31">#REF!</definedName>
    <definedName name="DeferredTaxes" localSheetId="33">#REF!</definedName>
    <definedName name="DeferredTaxes">#REF!</definedName>
    <definedName name="Delete" localSheetId="37">#REF!</definedName>
    <definedName name="Delete" localSheetId="17">#REF!</definedName>
    <definedName name="Delete" localSheetId="26">#REF!</definedName>
    <definedName name="Delete" localSheetId="27">#REF!</definedName>
    <definedName name="Delete" localSheetId="30">#REF!</definedName>
    <definedName name="Delete" localSheetId="31">#REF!</definedName>
    <definedName name="Delete" localSheetId="33">#REF!</definedName>
    <definedName name="Delete">#REF!</definedName>
    <definedName name="denomination" localSheetId="37">#REF!</definedName>
    <definedName name="denomination" localSheetId="17">#REF!</definedName>
    <definedName name="denomination" localSheetId="26">#REF!</definedName>
    <definedName name="denomination" localSheetId="27">#REF!</definedName>
    <definedName name="denomination" localSheetId="30">#REF!</definedName>
    <definedName name="denomination" localSheetId="31">#REF!</definedName>
    <definedName name="denomination" localSheetId="33">#REF!</definedName>
    <definedName name="denomination">#REF!</definedName>
    <definedName name="Depreciação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ção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ção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tion" localSheetId="37">#REF!</definedName>
    <definedName name="Depreciation" localSheetId="17">#REF!</definedName>
    <definedName name="Depreciation" localSheetId="26">#REF!</definedName>
    <definedName name="Depreciation" localSheetId="27">#REF!</definedName>
    <definedName name="Depreciation" localSheetId="30">#REF!</definedName>
    <definedName name="Depreciation" localSheetId="31">#REF!</definedName>
    <definedName name="Depreciation" localSheetId="33">#REF!</definedName>
    <definedName name="Depreciation">#REF!</definedName>
    <definedName name="DERSA">[63]!DERSA</definedName>
    <definedName name="Descontos" localSheetId="37">#REF!</definedName>
    <definedName name="Descontos" localSheetId="17">#REF!</definedName>
    <definedName name="Descontos" localSheetId="26">#REF!</definedName>
    <definedName name="Descontos" localSheetId="27">#REF!</definedName>
    <definedName name="Descontos" localSheetId="30">#REF!</definedName>
    <definedName name="Descontos" localSheetId="31">#REF!</definedName>
    <definedName name="Descontos" localSheetId="33">#REF!</definedName>
    <definedName name="Descontos">#REF!</definedName>
    <definedName name="Descrição_Total">#REF!</definedName>
    <definedName name="Description" localSheetId="37">#REF!</definedName>
    <definedName name="Description" localSheetId="17">#REF!</definedName>
    <definedName name="Description" localSheetId="26">#REF!</definedName>
    <definedName name="Description" localSheetId="27">#REF!</definedName>
    <definedName name="Description" localSheetId="30">#REF!</definedName>
    <definedName name="Description" localSheetId="31">#REF!</definedName>
    <definedName name="Description" localSheetId="33">#REF!</definedName>
    <definedName name="Description">#REF!</definedName>
    <definedName name="Description2" localSheetId="37">#REF!</definedName>
    <definedName name="Description2" localSheetId="17">#REF!</definedName>
    <definedName name="Description2" localSheetId="26">#REF!</definedName>
    <definedName name="Description2" localSheetId="27">#REF!</definedName>
    <definedName name="Description2" localSheetId="30">#REF!</definedName>
    <definedName name="Description2" localSheetId="31">#REF!</definedName>
    <definedName name="Description2" localSheetId="33">#REF!</definedName>
    <definedName name="Description2">#REF!</definedName>
    <definedName name="Desp_Fin" localSheetId="37">#REF!</definedName>
    <definedName name="Desp_Fin" localSheetId="17">#REF!</definedName>
    <definedName name="Desp_Fin" localSheetId="26">#REF!</definedName>
    <definedName name="Desp_Fin" localSheetId="27">#REF!</definedName>
    <definedName name="Desp_Fin" localSheetId="30">#REF!</definedName>
    <definedName name="Desp_Fin" localSheetId="31">#REF!</definedName>
    <definedName name="Desp_Fin" localSheetId="33">#REF!</definedName>
    <definedName name="Desp_Fin">#REF!</definedName>
    <definedName name="Desp_Oper" localSheetId="37">#REF!</definedName>
    <definedName name="Desp_Oper" localSheetId="17">#REF!</definedName>
    <definedName name="Desp_Oper" localSheetId="26">#REF!</definedName>
    <definedName name="Desp_Oper" localSheetId="27">#REF!</definedName>
    <definedName name="Desp_Oper" localSheetId="30">#REF!</definedName>
    <definedName name="Desp_Oper" localSheetId="31">#REF!</definedName>
    <definedName name="Desp_Oper" localSheetId="33">#REF!</definedName>
    <definedName name="Desp_Oper">#REF!</definedName>
    <definedName name="DEStart" localSheetId="37">#REF!</definedName>
    <definedName name="DEStart" localSheetId="17">#REF!</definedName>
    <definedName name="DEStart" localSheetId="26">#REF!</definedName>
    <definedName name="DEStart" localSheetId="27">#REF!</definedName>
    <definedName name="DEStart" localSheetId="30">#REF!</definedName>
    <definedName name="DEStart" localSheetId="31">#REF!</definedName>
    <definedName name="DEStart" localSheetId="33">#REF!</definedName>
    <definedName name="DEStart">#REF!</definedName>
    <definedName name="Detail" localSheetId="37">#REF!</definedName>
    <definedName name="Detail" localSheetId="17">#REF!</definedName>
    <definedName name="Detail" localSheetId="26">#REF!</definedName>
    <definedName name="Detail" localSheetId="27">#REF!</definedName>
    <definedName name="Detail" localSheetId="30">#REF!</definedName>
    <definedName name="Detail" localSheetId="31">#REF!</definedName>
    <definedName name="Detail" localSheetId="33">#REF!</definedName>
    <definedName name="Detail">#REF!</definedName>
    <definedName name="deud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v_Fee1" localSheetId="2">[54]Assm!#REF!</definedName>
    <definedName name="Dev_Fee1" localSheetId="37">[54]Assm!#REF!</definedName>
    <definedName name="Dev_Fee1" localSheetId="17">[54]Assm!#REF!</definedName>
    <definedName name="Dev_Fee1" localSheetId="4">[54]Assm!#REF!</definedName>
    <definedName name="Dev_Fee1" localSheetId="26">[54]Assm!#REF!</definedName>
    <definedName name="Dev_Fee1" localSheetId="27">[54]Assm!#REF!</definedName>
    <definedName name="Dev_Fee1" localSheetId="30">[54]Assm!#REF!</definedName>
    <definedName name="Dev_Fee1" localSheetId="31">[54]Assm!#REF!</definedName>
    <definedName name="Dev_Fee1" localSheetId="33">[54]Assm!#REF!</definedName>
    <definedName name="Dev_Fee1">[54]Assm!#REF!</definedName>
    <definedName name="Dev_Fee2" localSheetId="2">[54]Assm!#REF!</definedName>
    <definedName name="Dev_Fee2" localSheetId="37">[54]Assm!#REF!</definedName>
    <definedName name="Dev_Fee2" localSheetId="17">[54]Assm!#REF!</definedName>
    <definedName name="Dev_Fee2" localSheetId="4">[54]Assm!#REF!</definedName>
    <definedName name="Dev_Fee2" localSheetId="26">[54]Assm!#REF!</definedName>
    <definedName name="Dev_Fee2" localSheetId="27">[54]Assm!#REF!</definedName>
    <definedName name="Dev_Fee2" localSheetId="30">[54]Assm!#REF!</definedName>
    <definedName name="Dev_Fee2" localSheetId="31">[54]Assm!#REF!</definedName>
    <definedName name="Dev_Fee2" localSheetId="33">[54]Assm!#REF!</definedName>
    <definedName name="Dev_Fee2">[54]Assm!#REF!</definedName>
    <definedName name="Dev_Fee3" localSheetId="2">[54]Assm!#REF!</definedName>
    <definedName name="Dev_Fee3" localSheetId="37">[54]Assm!#REF!</definedName>
    <definedName name="Dev_Fee3" localSheetId="17">[54]Assm!#REF!</definedName>
    <definedName name="Dev_Fee3" localSheetId="4">[54]Assm!#REF!</definedName>
    <definedName name="Dev_Fee3" localSheetId="26">[54]Assm!#REF!</definedName>
    <definedName name="Dev_Fee3" localSheetId="27">[54]Assm!#REF!</definedName>
    <definedName name="Dev_Fee3" localSheetId="30">[54]Assm!#REF!</definedName>
    <definedName name="Dev_Fee3" localSheetId="31">[54]Assm!#REF!</definedName>
    <definedName name="Dev_Fee3" localSheetId="33">[54]Assm!#REF!</definedName>
    <definedName name="Dev_Fee3">[54]Assm!#REF!</definedName>
    <definedName name="DEZ" localSheetId="2">#N/A</definedName>
    <definedName name="DEZ" localSheetId="4">#N/A</definedName>
    <definedName name="DEZ" localSheetId="41">'Preços Unitários'!DEZ</definedName>
    <definedName name="DEZ" localSheetId="23">'Recursos Humanos 1'!DEZ</definedName>
    <definedName name="DEZ" localSheetId="38">'Veículos e Equipamentos'!DEZ</definedName>
    <definedName name="DEZ">'Preços Unitários'!DEZ</definedName>
    <definedName name="dfdfdfd" hidden="1">#N/A</definedName>
    <definedName name="DFG" localSheetId="2" hidden="1">{"TotalGeralDespesasPorArea",#N/A,FALSE,"VinculosAccessEfetivo"}</definedName>
    <definedName name="DFG" localSheetId="4" hidden="1">{"TotalGeralDespesasPorArea",#N/A,FALSE,"VinculosAccessEfetivo"}</definedName>
    <definedName name="DFG" hidden="1">{"TotalGeralDespesasPorArea",#N/A,FALSE,"VinculosAccessEfetivo"}</definedName>
    <definedName name="dfssa" localSheetId="2" hidden="1">{"'EFETIVO-PIPE-1'!$A$5:$J$46"}</definedName>
    <definedName name="dfssa" localSheetId="4" hidden="1">{"'EFETIVO-PIPE-1'!$A$5:$J$46"}</definedName>
    <definedName name="dfssa" hidden="1">{"'EFETIVO-PIPE-1'!$A$5:$J$46"}</definedName>
    <definedName name="DG">0.06</definedName>
    <definedName name="DGP" localSheetId="37">[17]summary!#REF!</definedName>
    <definedName name="DGP" localSheetId="17">[17]summary!#REF!</definedName>
    <definedName name="DGP" localSheetId="26">[17]summary!#REF!</definedName>
    <definedName name="DGP" localSheetId="27">[17]summary!#REF!</definedName>
    <definedName name="DGP" localSheetId="30">[17]summary!#REF!</definedName>
    <definedName name="DGP" localSheetId="31">[17]summary!#REF!</definedName>
    <definedName name="DGP" localSheetId="33">[17]summary!#REF!</definedName>
    <definedName name="DGP">[17]summary!#REF!</definedName>
    <definedName name="Diferido" localSheetId="2" hidden="1">{"TotalGeralDespesasPorArea",#N/A,FALSE,"VinculosAccessEfetivo"}</definedName>
    <definedName name="Diferido" localSheetId="4" hidden="1">{"TotalGeralDespesasPorArea",#N/A,FALSE,"VinculosAccessEfetivo"}</definedName>
    <definedName name="Diferido" hidden="1">{"TotalGeralDespesasPorArea",#N/A,FALSE,"VinculosAccessEfetivo"}</definedName>
    <definedName name="Diff" localSheetId="37">#REF!</definedName>
    <definedName name="Diff" localSheetId="17">#REF!</definedName>
    <definedName name="Diff" localSheetId="26">#REF!</definedName>
    <definedName name="Diff" localSheetId="27">#REF!</definedName>
    <definedName name="Diff" localSheetId="30">#REF!</definedName>
    <definedName name="Diff" localSheetId="31">#REF!</definedName>
    <definedName name="Diff" localSheetId="33">#REF!</definedName>
    <definedName name="Diff">#REF!</definedName>
    <definedName name="DIMEN_FORM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MEN_FORM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MEN_FORM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MEN_FORM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MEN_FORM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MEN_FORM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ISC">[64]ASS!$K$63</definedName>
    <definedName name="DisE1M2" localSheetId="37">#REF!</definedName>
    <definedName name="DisE1M2" localSheetId="17">#REF!</definedName>
    <definedName name="DisE1M2" localSheetId="26">#REF!</definedName>
    <definedName name="DisE1M2" localSheetId="27">#REF!</definedName>
    <definedName name="DisE1M2" localSheetId="30">#REF!</definedName>
    <definedName name="DisE1M2" localSheetId="31">#REF!</definedName>
    <definedName name="DisE1M2" localSheetId="33">#REF!</definedName>
    <definedName name="DisE1M2">#REF!</definedName>
    <definedName name="Div" localSheetId="37">#REF!</definedName>
    <definedName name="Div" localSheetId="17">#REF!</definedName>
    <definedName name="Div" localSheetId="26">#REF!</definedName>
    <definedName name="Div" localSheetId="27">#REF!</definedName>
    <definedName name="Div" localSheetId="30">#REF!</definedName>
    <definedName name="Div" localSheetId="31">#REF!</definedName>
    <definedName name="Div" localSheetId="33">#REF!</definedName>
    <definedName name="Div">#REF!</definedName>
    <definedName name="Dividend_Yield" localSheetId="37">#REF!</definedName>
    <definedName name="Dividend_Yield" localSheetId="17">#REF!</definedName>
    <definedName name="Dividend_Yield" localSheetId="26">#REF!</definedName>
    <definedName name="Dividend_Yield" localSheetId="27">#REF!</definedName>
    <definedName name="Dividend_Yield" localSheetId="30">#REF!</definedName>
    <definedName name="Dividend_Yield" localSheetId="31">#REF!</definedName>
    <definedName name="Dividend_Yield" localSheetId="33">#REF!</definedName>
    <definedName name="Dividend_Yield">#REF!</definedName>
    <definedName name="DivPayoutRatio" localSheetId="37">#REF!</definedName>
    <definedName name="DivPayoutRatio" localSheetId="17">#REF!</definedName>
    <definedName name="DivPayoutRatio" localSheetId="26">#REF!</definedName>
    <definedName name="DivPayoutRatio" localSheetId="27">#REF!</definedName>
    <definedName name="DivPayoutRatio" localSheetId="30">#REF!</definedName>
    <definedName name="DivPayoutRatio" localSheetId="31">#REF!</definedName>
    <definedName name="DivPayoutRatio" localSheetId="33">#REF!</definedName>
    <definedName name="DivPayoutRatio">#REF!</definedName>
    <definedName name="DivYield" localSheetId="37">#REF!</definedName>
    <definedName name="DivYield" localSheetId="17">#REF!</definedName>
    <definedName name="DivYield" localSheetId="26">#REF!</definedName>
    <definedName name="DivYield" localSheetId="27">#REF!</definedName>
    <definedName name="DivYield" localSheetId="30">#REF!</definedName>
    <definedName name="DivYield" localSheetId="31">#REF!</definedName>
    <definedName name="DivYield" localSheetId="33">#REF!</definedName>
    <definedName name="DivYield">#REF!</definedName>
    <definedName name="dksndas" localSheetId="2" hidden="1">{"'RR'!$A$2:$E$81"}</definedName>
    <definedName name="dksndas" localSheetId="4" hidden="1">{"'RR'!$A$2:$E$81"}</definedName>
    <definedName name="dksndas" hidden="1">{"'RR'!$A$2:$E$81"}</definedName>
    <definedName name="dm" hidden="1">'[65]Manutenção Frota'!$B$45</definedName>
    <definedName name="DMT">2</definedName>
    <definedName name="DOIS">#REF!</definedName>
    <definedName name="dois_caneta">#REF!</definedName>
    <definedName name="dolar_final" localSheetId="37">#REF!</definedName>
    <definedName name="dolar_final" localSheetId="17">#REF!</definedName>
    <definedName name="dolar_final" localSheetId="26">#REF!</definedName>
    <definedName name="dolar_final" localSheetId="27">#REF!</definedName>
    <definedName name="dolar_final" localSheetId="30">#REF!</definedName>
    <definedName name="dolar_final" localSheetId="31">#REF!</definedName>
    <definedName name="dolar_final" localSheetId="33">#REF!</definedName>
    <definedName name="dolar_final">#REF!</definedName>
    <definedName name="dolar_medio" localSheetId="37">#REF!</definedName>
    <definedName name="dolar_medio" localSheetId="17">#REF!</definedName>
    <definedName name="dolar_medio" localSheetId="26">#REF!</definedName>
    <definedName name="dolar_medio" localSheetId="27">#REF!</definedName>
    <definedName name="dolar_medio" localSheetId="30">#REF!</definedName>
    <definedName name="dolar_medio" localSheetId="31">#REF!</definedName>
    <definedName name="dolar_medio" localSheetId="33">#REF!</definedName>
    <definedName name="dolar_medio">#REF!</definedName>
    <definedName name="dpage" localSheetId="37">[29]DCF!#REF!</definedName>
    <definedName name="dpage" localSheetId="17">[29]DCF!#REF!</definedName>
    <definedName name="dpage" localSheetId="26">[29]DCF!#REF!</definedName>
    <definedName name="dpage" localSheetId="27">[29]DCF!#REF!</definedName>
    <definedName name="dpage" localSheetId="30">[29]DCF!#REF!</definedName>
    <definedName name="dpage" localSheetId="31">[29]DCF!#REF!</definedName>
    <definedName name="dpage" localSheetId="33">[29]DCF!#REF!</definedName>
    <definedName name="dpage">[29]DCF!#REF!</definedName>
    <definedName name="dpi" localSheetId="4">#REF!</definedName>
    <definedName name="dpi">#REF!</definedName>
    <definedName name="dpinv" localSheetId="4">#REF!</definedName>
    <definedName name="dpinv">#REF!</definedName>
    <definedName name="dqfee" localSheetId="2" hidden="1">#REF!</definedName>
    <definedName name="dqfee" localSheetId="4" hidden="1">#REF!</definedName>
    <definedName name="dqfee" hidden="1">#REF!</definedName>
    <definedName name="dqwacq" localSheetId="2" hidden="1">#REF!</definedName>
    <definedName name="dqwacq" hidden="1">#REF!</definedName>
    <definedName name="DR" localSheetId="2" hidden="1">#REF!</definedName>
    <definedName name="DR" hidden="1">#REF!</definedName>
    <definedName name="DR9SP425">#REF!</definedName>
    <definedName name="Drawdown" hidden="1">#REF!</definedName>
    <definedName name="dre" localSheetId="2" hidden="1">{"TotalGeralDespesasPorArea",#N/A,FALSE,"VinculosAccessEfetivo"}</definedName>
    <definedName name="dre" localSheetId="4" hidden="1">{"TotalGeralDespesasPorArea",#N/A,FALSE,"VinculosAccessEfetivo"}</definedName>
    <definedName name="dre" hidden="1">{"TotalGeralDespesasPorArea",#N/A,FALSE,"VinculosAccessEfetivo"}</definedName>
    <definedName name="d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agdhasdashfdj" localSheetId="2" hidden="1">{"'RR'!$A$2:$E$81"}</definedName>
    <definedName name="dsagdhasdashfdj" localSheetId="4" hidden="1">{"'RR'!$A$2:$E$81"}</definedName>
    <definedName name="dsagdhasdashfdj" hidden="1">{"'RR'!$A$2:$E$81"}</definedName>
    <definedName name="dsd" hidden="1">[32]REAC1!#REF!</definedName>
    <definedName name="DSRA_IDB_value">'[52]#REF'!$D$388</definedName>
    <definedName name="dswitch" localSheetId="37">[66]MATRIX!#REF!</definedName>
    <definedName name="dswitch" localSheetId="17">[66]MATRIX!#REF!</definedName>
    <definedName name="dswitch" localSheetId="26">[66]MATRIX!#REF!</definedName>
    <definedName name="dswitch" localSheetId="27">[66]MATRIX!#REF!</definedName>
    <definedName name="dswitch" localSheetId="30">[66]MATRIX!#REF!</definedName>
    <definedName name="dswitch" localSheetId="31">[66]MATRIX!#REF!</definedName>
    <definedName name="dswitch" localSheetId="33">[66]MATRIX!#REF!</definedName>
    <definedName name="dswitch">[66]MATRIX!#REF!</definedName>
    <definedName name="DTOC" localSheetId="37">#REF!</definedName>
    <definedName name="DTOC" localSheetId="17">#REF!</definedName>
    <definedName name="DTOC" localSheetId="26">#REF!</definedName>
    <definedName name="DTOC" localSheetId="27">#REF!</definedName>
    <definedName name="DTOC" localSheetId="30">#REF!</definedName>
    <definedName name="DTOC" localSheetId="31">#REF!</definedName>
    <definedName name="DTOC" localSheetId="33">#REF!</definedName>
    <definedName name="DTOC">#REF!</definedName>
    <definedName name="Dupl" localSheetId="37">#REF!</definedName>
    <definedName name="Dupl" localSheetId="17">#REF!</definedName>
    <definedName name="Dupl" localSheetId="26">#REF!</definedName>
    <definedName name="Dupl" localSheetId="27">#REF!</definedName>
    <definedName name="Dupl" localSheetId="30">#REF!</definedName>
    <definedName name="Dupl" localSheetId="31">#REF!</definedName>
    <definedName name="Dupl" localSheetId="33">#REF!</definedName>
    <definedName name="Dupl">#REF!</definedName>
    <definedName name="Dupl_01" localSheetId="37">#REF!</definedName>
    <definedName name="Dupl_01" localSheetId="17">#REF!</definedName>
    <definedName name="Dupl_01" localSheetId="26">#REF!</definedName>
    <definedName name="Dupl_01" localSheetId="27">#REF!</definedName>
    <definedName name="Dupl_01" localSheetId="30">#REF!</definedName>
    <definedName name="Dupl_01" localSheetId="31">#REF!</definedName>
    <definedName name="Dupl_01" localSheetId="33">#REF!</definedName>
    <definedName name="Dupl_01">#REF!</definedName>
    <definedName name="Dupl_02" localSheetId="37">#REF!</definedName>
    <definedName name="Dupl_02" localSheetId="17">#REF!</definedName>
    <definedName name="Dupl_02" localSheetId="26">#REF!</definedName>
    <definedName name="Dupl_02" localSheetId="27">#REF!</definedName>
    <definedName name="Dupl_02" localSheetId="30">#REF!</definedName>
    <definedName name="Dupl_02" localSheetId="31">#REF!</definedName>
    <definedName name="Dupl_02" localSheetId="33">#REF!</definedName>
    <definedName name="Dupl_02">#REF!</definedName>
    <definedName name="Dupl_03" localSheetId="37">#REF!</definedName>
    <definedName name="Dupl_03" localSheetId="17">#REF!</definedName>
    <definedName name="Dupl_03" localSheetId="26">#REF!</definedName>
    <definedName name="Dupl_03" localSheetId="27">#REF!</definedName>
    <definedName name="Dupl_03" localSheetId="30">#REF!</definedName>
    <definedName name="Dupl_03" localSheetId="31">#REF!</definedName>
    <definedName name="Dupl_03" localSheetId="33">#REF!</definedName>
    <definedName name="Dupl_03">#REF!</definedName>
    <definedName name="Dupl_04" localSheetId="37">#REF!</definedName>
    <definedName name="Dupl_04" localSheetId="17">#REF!</definedName>
    <definedName name="Dupl_04" localSheetId="26">#REF!</definedName>
    <definedName name="Dupl_04" localSheetId="27">#REF!</definedName>
    <definedName name="Dupl_04" localSheetId="30">#REF!</definedName>
    <definedName name="Dupl_04" localSheetId="31">#REF!</definedName>
    <definedName name="Dupl_04" localSheetId="33">#REF!</definedName>
    <definedName name="Dupl_04">#REF!</definedName>
    <definedName name="Dupl_05" localSheetId="37">#REF!</definedName>
    <definedName name="Dupl_05" localSheetId="17">#REF!</definedName>
    <definedName name="Dupl_05" localSheetId="26">#REF!</definedName>
    <definedName name="Dupl_05" localSheetId="27">#REF!</definedName>
    <definedName name="Dupl_05" localSheetId="30">#REF!</definedName>
    <definedName name="Dupl_05" localSheetId="31">#REF!</definedName>
    <definedName name="Dupl_05" localSheetId="33">#REF!</definedName>
    <definedName name="Dupl_05">#REF!</definedName>
    <definedName name="Dupl_06" localSheetId="37">#REF!</definedName>
    <definedName name="Dupl_06" localSheetId="17">#REF!</definedName>
    <definedName name="Dupl_06" localSheetId="26">#REF!</definedName>
    <definedName name="Dupl_06" localSheetId="27">#REF!</definedName>
    <definedName name="Dupl_06" localSheetId="30">#REF!</definedName>
    <definedName name="Dupl_06" localSheetId="31">#REF!</definedName>
    <definedName name="Dupl_06" localSheetId="33">#REF!</definedName>
    <definedName name="Dupl_06">#REF!</definedName>
    <definedName name="DV_MUNI">#N/A</definedName>
    <definedName name="E" localSheetId="2" hidden="1">{"'Resumo2'!$B$2:$J$23"}</definedName>
    <definedName name="E" localSheetId="4" hidden="1">{"'Resumo2'!$B$2:$J$23"}</definedName>
    <definedName name="E" hidden="1">{"'Resumo2'!$B$2:$J$23"}</definedName>
    <definedName name="EBIT" localSheetId="37">#REF!</definedName>
    <definedName name="EBIT" localSheetId="17">#REF!</definedName>
    <definedName name="EBIT" localSheetId="26">#REF!</definedName>
    <definedName name="EBIT" localSheetId="27">#REF!</definedName>
    <definedName name="EBIT" localSheetId="30">#REF!</definedName>
    <definedName name="EBIT" localSheetId="31">#REF!</definedName>
    <definedName name="EBIT" localSheetId="33">#REF!</definedName>
    <definedName name="EBIT">#REF!</definedName>
    <definedName name="EBIT95" localSheetId="37">#REF!</definedName>
    <definedName name="EBIT95" localSheetId="17">#REF!</definedName>
    <definedName name="EBIT95" localSheetId="26">#REF!</definedName>
    <definedName name="EBIT95" localSheetId="27">#REF!</definedName>
    <definedName name="EBIT95" localSheetId="30">#REF!</definedName>
    <definedName name="EBIT95" localSheetId="31">#REF!</definedName>
    <definedName name="EBIT95" localSheetId="33">#REF!</definedName>
    <definedName name="EBIT95">#REF!</definedName>
    <definedName name="EBITDA" localSheetId="37">#REF!</definedName>
    <definedName name="EBITDA" localSheetId="17">#REF!</definedName>
    <definedName name="EBITDA" localSheetId="26">#REF!</definedName>
    <definedName name="EBITDA" localSheetId="27">#REF!</definedName>
    <definedName name="EBITDA" localSheetId="30">#REF!</definedName>
    <definedName name="EBITDA" localSheetId="31">#REF!</definedName>
    <definedName name="EBITDA" localSheetId="33">#REF!</definedName>
    <definedName name="EBITDA">#REF!</definedName>
    <definedName name="EBITDACapExInt" localSheetId="37">#REF!</definedName>
    <definedName name="EBITDACapExInt" localSheetId="17">#REF!</definedName>
    <definedName name="EBITDACapExInt" localSheetId="26">#REF!</definedName>
    <definedName name="EBITDACapExInt" localSheetId="27">#REF!</definedName>
    <definedName name="EBITDACapExInt" localSheetId="30">#REF!</definedName>
    <definedName name="EBITDACapExInt" localSheetId="31">#REF!</definedName>
    <definedName name="EBITDACapExInt" localSheetId="33">#REF!</definedName>
    <definedName name="EBITDACapExInt">#REF!</definedName>
    <definedName name="EBITDAGrowth" localSheetId="37">#REF!</definedName>
    <definedName name="EBITDAGrowth" localSheetId="17">#REF!</definedName>
    <definedName name="EBITDAGrowth" localSheetId="26">#REF!</definedName>
    <definedName name="EBITDAGrowth" localSheetId="27">#REF!</definedName>
    <definedName name="EBITDAGrowth" localSheetId="30">#REF!</definedName>
    <definedName name="EBITDAGrowth" localSheetId="31">#REF!</definedName>
    <definedName name="EBITDAGrowth" localSheetId="33">#REF!</definedName>
    <definedName name="EBITDAGrowth">#REF!</definedName>
    <definedName name="EBITDAInt" localSheetId="37">#REF!</definedName>
    <definedName name="EBITDAInt" localSheetId="17">#REF!</definedName>
    <definedName name="EBITDAInt" localSheetId="26">#REF!</definedName>
    <definedName name="EBITDAInt" localSheetId="27">#REF!</definedName>
    <definedName name="EBITDAInt" localSheetId="30">#REF!</definedName>
    <definedName name="EBITDAInt" localSheetId="31">#REF!</definedName>
    <definedName name="EBITDAInt" localSheetId="33">#REF!</definedName>
    <definedName name="EBITDAInt">#REF!</definedName>
    <definedName name="EBITDAMargin" localSheetId="37">#REF!</definedName>
    <definedName name="EBITDAMargin" localSheetId="17">#REF!</definedName>
    <definedName name="EBITDAMargin" localSheetId="26">#REF!</definedName>
    <definedName name="EBITDAMargin" localSheetId="27">#REF!</definedName>
    <definedName name="EBITDAMargin" localSheetId="30">#REF!</definedName>
    <definedName name="EBITDAMargin" localSheetId="31">#REF!</definedName>
    <definedName name="EBITDAMargin" localSheetId="33">#REF!</definedName>
    <definedName name="EBITDAMargin">#REF!</definedName>
    <definedName name="EBITDAR" localSheetId="37">#REF!</definedName>
    <definedName name="EBITDAR" localSheetId="17">#REF!</definedName>
    <definedName name="EBITDAR" localSheetId="26">#REF!</definedName>
    <definedName name="EBITDAR" localSheetId="27">#REF!</definedName>
    <definedName name="EBITDAR" localSheetId="30">#REF!</definedName>
    <definedName name="EBITDAR" localSheetId="31">#REF!</definedName>
    <definedName name="EBITDAR" localSheetId="33">#REF!</definedName>
    <definedName name="EBITDAR">#REF!</definedName>
    <definedName name="EBITGrowth" localSheetId="37">#REF!</definedName>
    <definedName name="EBITGrowth" localSheetId="17">#REF!</definedName>
    <definedName name="EBITGrowth" localSheetId="26">#REF!</definedName>
    <definedName name="EBITGrowth" localSheetId="27">#REF!</definedName>
    <definedName name="EBITGrowth" localSheetId="30">#REF!</definedName>
    <definedName name="EBITGrowth" localSheetId="31">#REF!</definedName>
    <definedName name="EBITGrowth" localSheetId="33">#REF!</definedName>
    <definedName name="EBITGrowth">#REF!</definedName>
    <definedName name="EBITInt" localSheetId="37">#REF!</definedName>
    <definedName name="EBITInt" localSheetId="17">#REF!</definedName>
    <definedName name="EBITInt" localSheetId="26">#REF!</definedName>
    <definedName name="EBITInt" localSheetId="27">#REF!</definedName>
    <definedName name="EBITInt" localSheetId="30">#REF!</definedName>
    <definedName name="EBITInt" localSheetId="31">#REF!</definedName>
    <definedName name="EBITInt" localSheetId="33">#REF!</definedName>
    <definedName name="EBITInt">#REF!</definedName>
    <definedName name="EBITMargin" localSheetId="37">#REF!</definedName>
    <definedName name="EBITMargin" localSheetId="17">#REF!</definedName>
    <definedName name="EBITMargin" localSheetId="26">#REF!</definedName>
    <definedName name="EBITMargin" localSheetId="27">#REF!</definedName>
    <definedName name="EBITMargin" localSheetId="30">#REF!</definedName>
    <definedName name="EBITMargin" localSheetId="31">#REF!</definedName>
    <definedName name="EBITMargin" localSheetId="33">#REF!</definedName>
    <definedName name="EBITMargin">#REF!</definedName>
    <definedName name="EBITR" localSheetId="37">#REF!</definedName>
    <definedName name="EBITR" localSheetId="17">#REF!</definedName>
    <definedName name="EBITR" localSheetId="26">#REF!</definedName>
    <definedName name="EBITR" localSheetId="27">#REF!</definedName>
    <definedName name="EBITR" localSheetId="30">#REF!</definedName>
    <definedName name="EBITR" localSheetId="31">#REF!</definedName>
    <definedName name="EBITR" localSheetId="33">#REF!</definedName>
    <definedName name="EBITR">#REF!</definedName>
    <definedName name="EBITSENS" localSheetId="37">#REF!</definedName>
    <definedName name="EBITSENS" localSheetId="17">#REF!</definedName>
    <definedName name="EBITSENS" localSheetId="26">#REF!</definedName>
    <definedName name="EBITSENS" localSheetId="27">#REF!</definedName>
    <definedName name="EBITSENS" localSheetId="30">#REF!</definedName>
    <definedName name="EBITSENS" localSheetId="31">#REF!</definedName>
    <definedName name="EBITSENS" localSheetId="33">#REF!</definedName>
    <definedName name="EBITSENS">#REF!</definedName>
    <definedName name="ECNOFIBRAS" localSheetId="2" hidden="1">{"'PXR_6500'!$A$1:$I$124"}</definedName>
    <definedName name="ECNOFIBRAS" localSheetId="4" hidden="1">{"'PXR_6500'!$A$1:$I$124"}</definedName>
    <definedName name="ECNOFIBRAS" hidden="1">{"'PXR_6500'!$A$1:$I$124"}</definedName>
    <definedName name="ECNOFIBRAS2" localSheetId="2" hidden="1">{"'PXR_6500'!$A$1:$I$124"}</definedName>
    <definedName name="ECNOFIBRAS2" localSheetId="4" hidden="1">{"'PXR_6500'!$A$1:$I$124"}</definedName>
    <definedName name="ECNOFIBRAS2" hidden="1">{"'PXR_6500'!$A$1:$I$124"}</definedName>
    <definedName name="ECOFIM_2000" localSheetId="37">#REF!</definedName>
    <definedName name="ECOFIM_2000" localSheetId="17">#REF!</definedName>
    <definedName name="ECOFIM_2000" localSheetId="26">#REF!</definedName>
    <definedName name="ECOFIM_2000" localSheetId="27">#REF!</definedName>
    <definedName name="ECOFIM_2000" localSheetId="30">#REF!</definedName>
    <definedName name="ECOFIM_2000" localSheetId="31">#REF!</definedName>
    <definedName name="ECOFIM_2000" localSheetId="33">#REF!</definedName>
    <definedName name="ECOFIM_2000">#REF!</definedName>
    <definedName name="Edital">#REF!</definedName>
    <definedName name="EEE" localSheetId="2" hidden="1">{"'PXR_6500'!$A$1:$I$124"}</definedName>
    <definedName name="EEE" localSheetId="4" hidden="1">{"'PXR_6500'!$A$1:$I$124"}</definedName>
    <definedName name="EEE" hidden="1">{"'PXR_6500'!$A$1:$I$124"}</definedName>
    <definedName name="eeeeeee" hidden="1">#N/A</definedName>
    <definedName name="EEX" localSheetId="37">[17]summary!#REF!</definedName>
    <definedName name="EEX" localSheetId="17">[17]summary!#REF!</definedName>
    <definedName name="EEX" localSheetId="26">[17]summary!#REF!</definedName>
    <definedName name="EEX" localSheetId="27">[17]summary!#REF!</definedName>
    <definedName name="EEX" localSheetId="30">[17]summary!#REF!</definedName>
    <definedName name="EEX" localSheetId="31">[17]summary!#REF!</definedName>
    <definedName name="EEX" localSheetId="33">[17]summary!#REF!</definedName>
    <definedName name="EEX">[17]summary!#REF!</definedName>
    <definedName name="ELECSYST" localSheetId="37">#REF!</definedName>
    <definedName name="ELECSYST" localSheetId="17">#REF!</definedName>
    <definedName name="ELECSYST" localSheetId="26">#REF!</definedName>
    <definedName name="ELECSYST" localSheetId="27">#REF!</definedName>
    <definedName name="ELECSYST" localSheetId="30">#REF!</definedName>
    <definedName name="ELECSYST" localSheetId="31">#REF!</definedName>
    <definedName name="ELECSYST" localSheetId="33">#REF!</definedName>
    <definedName name="ELECSYST">#REF!</definedName>
    <definedName name="ELECTROBRAS_DEBT_TABLE" localSheetId="37">#REF!</definedName>
    <definedName name="ELECTROBRAS_DEBT_TABLE" localSheetId="17">#REF!</definedName>
    <definedName name="ELECTROBRAS_DEBT_TABLE" localSheetId="26">#REF!</definedName>
    <definedName name="ELECTROBRAS_DEBT_TABLE" localSheetId="27">#REF!</definedName>
    <definedName name="ELECTROBRAS_DEBT_TABLE" localSheetId="30">#REF!</definedName>
    <definedName name="ELECTROBRAS_DEBT_TABLE" localSheetId="31">#REF!</definedName>
    <definedName name="ELECTROBRAS_DEBT_TABLE" localSheetId="33">#REF!</definedName>
    <definedName name="ELECTROBRAS_DEBT_TABLE">#REF!</definedName>
    <definedName name="ELEMTRX1" localSheetId="37">#REF!</definedName>
    <definedName name="ELEMTRX1" localSheetId="17">#REF!</definedName>
    <definedName name="ELEMTRX1" localSheetId="26">#REF!</definedName>
    <definedName name="ELEMTRX1" localSheetId="27">#REF!</definedName>
    <definedName name="ELEMTRX1" localSheetId="30">#REF!</definedName>
    <definedName name="ELEMTRX1" localSheetId="31">#REF!</definedName>
    <definedName name="ELEMTRX1" localSheetId="33">#REF!</definedName>
    <definedName name="ELEMTRX1">#REF!</definedName>
    <definedName name="Eletropaulo_Interunion_AO_Par_Bond" localSheetId="37">#REF!</definedName>
    <definedName name="Eletropaulo_Interunion_AO_Par_Bond" localSheetId="17">#REF!</definedName>
    <definedName name="Eletropaulo_Interunion_AO_Par_Bond" localSheetId="26">#REF!</definedName>
    <definedName name="Eletropaulo_Interunion_AO_Par_Bond" localSheetId="27">#REF!</definedName>
    <definedName name="Eletropaulo_Interunion_AO_Par_Bond" localSheetId="30">#REF!</definedName>
    <definedName name="Eletropaulo_Interunion_AO_Par_Bond" localSheetId="31">#REF!</definedName>
    <definedName name="Eletropaulo_Interunion_AO_Par_Bond" localSheetId="33">#REF!</definedName>
    <definedName name="Eletropaulo_Interunion_AO_Par_Bond">#REF!</definedName>
    <definedName name="Eletropaulo_Interunion_Bond" localSheetId="37">#REF!</definedName>
    <definedName name="Eletropaulo_Interunion_Bond" localSheetId="17">#REF!</definedName>
    <definedName name="Eletropaulo_Interunion_Bond" localSheetId="26">#REF!</definedName>
    <definedName name="Eletropaulo_Interunion_Bond" localSheetId="27">#REF!</definedName>
    <definedName name="Eletropaulo_Interunion_Bond" localSheetId="30">#REF!</definedName>
    <definedName name="Eletropaulo_Interunion_Bond" localSheetId="31">#REF!</definedName>
    <definedName name="Eletropaulo_Interunion_Bond" localSheetId="33">#REF!</definedName>
    <definedName name="Eletropaulo_Interunion_Bond">#REF!</definedName>
    <definedName name="Eletropaulo_Interunion_Bond_I" localSheetId="37">#REF!</definedName>
    <definedName name="Eletropaulo_Interunion_Bond_I" localSheetId="17">#REF!</definedName>
    <definedName name="Eletropaulo_Interunion_Bond_I" localSheetId="26">#REF!</definedName>
    <definedName name="Eletropaulo_Interunion_Bond_I" localSheetId="27">#REF!</definedName>
    <definedName name="Eletropaulo_Interunion_Bond_I" localSheetId="30">#REF!</definedName>
    <definedName name="Eletropaulo_Interunion_Bond_I" localSheetId="31">#REF!</definedName>
    <definedName name="Eletropaulo_Interunion_Bond_I" localSheetId="33">#REF!</definedName>
    <definedName name="Eletropaulo_Interunion_Bond_I">#REF!</definedName>
    <definedName name="Eletropaulo_Interunion_Bond_II" localSheetId="37">#REF!</definedName>
    <definedName name="Eletropaulo_Interunion_Bond_II" localSheetId="17">#REF!</definedName>
    <definedName name="Eletropaulo_Interunion_Bond_II" localSheetId="26">#REF!</definedName>
    <definedName name="Eletropaulo_Interunion_Bond_II" localSheetId="27">#REF!</definedName>
    <definedName name="Eletropaulo_Interunion_Bond_II" localSheetId="30">#REF!</definedName>
    <definedName name="Eletropaulo_Interunion_Bond_II" localSheetId="31">#REF!</definedName>
    <definedName name="Eletropaulo_Interunion_Bond_II" localSheetId="33">#REF!</definedName>
    <definedName name="Eletropaulo_Interunion_Bond_II">#REF!</definedName>
    <definedName name="Eletropaulo_Interunion_Bond_w_Cap" localSheetId="37">#REF!</definedName>
    <definedName name="Eletropaulo_Interunion_Bond_w_Cap" localSheetId="17">#REF!</definedName>
    <definedName name="Eletropaulo_Interunion_Bond_w_Cap" localSheetId="26">#REF!</definedName>
    <definedName name="Eletropaulo_Interunion_Bond_w_Cap" localSheetId="27">#REF!</definedName>
    <definedName name="Eletropaulo_Interunion_Bond_w_Cap" localSheetId="30">#REF!</definedName>
    <definedName name="Eletropaulo_Interunion_Bond_w_Cap" localSheetId="31">#REF!</definedName>
    <definedName name="Eletropaulo_Interunion_Bond_w_Cap" localSheetId="33">#REF!</definedName>
    <definedName name="Eletropaulo_Interunion_Bond_w_Cap">#REF!</definedName>
    <definedName name="Eletropaulo_Interunion_Bond_w_Disc" localSheetId="37">#REF!</definedName>
    <definedName name="Eletropaulo_Interunion_Bond_w_Disc" localSheetId="17">#REF!</definedName>
    <definedName name="Eletropaulo_Interunion_Bond_w_Disc" localSheetId="26">#REF!</definedName>
    <definedName name="Eletropaulo_Interunion_Bond_w_Disc" localSheetId="27">#REF!</definedName>
    <definedName name="Eletropaulo_Interunion_Bond_w_Disc" localSheetId="30">#REF!</definedName>
    <definedName name="Eletropaulo_Interunion_Bond_w_Disc" localSheetId="31">#REF!</definedName>
    <definedName name="Eletropaulo_Interunion_Bond_w_Disc" localSheetId="33">#REF!</definedName>
    <definedName name="Eletropaulo_Interunion_Bond_w_Disc">#REF!</definedName>
    <definedName name="Eletropaulo_Interunion_Lei_7976" localSheetId="37">#REF!</definedName>
    <definedName name="Eletropaulo_Interunion_Lei_7976" localSheetId="17">#REF!</definedName>
    <definedName name="Eletropaulo_Interunion_Lei_7976" localSheetId="26">#REF!</definedName>
    <definedName name="Eletropaulo_Interunion_Lei_7976" localSheetId="27">#REF!</definedName>
    <definedName name="Eletropaulo_Interunion_Lei_7976" localSheetId="30">#REF!</definedName>
    <definedName name="Eletropaulo_Interunion_Lei_7976" localSheetId="31">#REF!</definedName>
    <definedName name="Eletropaulo_Interunion_Lei_7976" localSheetId="33">#REF!</definedName>
    <definedName name="Eletropaulo_Interunion_Lei_7976">#REF!</definedName>
    <definedName name="Elevatoria">#REF!</definedName>
    <definedName name="Elevatoria1">#REF!</definedName>
    <definedName name="EmpAux">""</definedName>
    <definedName name="end">[53]Data!$C$15</definedName>
    <definedName name="Endyr" localSheetId="2">[54]Assm!$F$19</definedName>
    <definedName name="Endyr" localSheetId="4">[54]Assm!$F$19</definedName>
    <definedName name="Endyr">[54]Assm!$F$19</definedName>
    <definedName name="ENE" localSheetId="37">[17]summary!#REF!</definedName>
    <definedName name="ENE" localSheetId="17">[17]summary!#REF!</definedName>
    <definedName name="ENE" localSheetId="26">[17]summary!#REF!</definedName>
    <definedName name="ENE" localSheetId="27">[17]summary!#REF!</definedName>
    <definedName name="ENE" localSheetId="30">[17]summary!#REF!</definedName>
    <definedName name="ENE" localSheetId="31">[17]summary!#REF!</definedName>
    <definedName name="ENE" localSheetId="33">[17]summary!#REF!</definedName>
    <definedName name="ENE">[17]summary!#REF!</definedName>
    <definedName name="Enterprise" localSheetId="37">#REF!</definedName>
    <definedName name="Enterprise" localSheetId="17">#REF!</definedName>
    <definedName name="Enterprise" localSheetId="26">#REF!</definedName>
    <definedName name="Enterprise" localSheetId="27">#REF!</definedName>
    <definedName name="Enterprise" localSheetId="30">#REF!</definedName>
    <definedName name="Enterprise" localSheetId="31">#REF!</definedName>
    <definedName name="Enterprise" localSheetId="33">#REF!</definedName>
    <definedName name="Enterprise">#REF!</definedName>
    <definedName name="EnterpriseValue" localSheetId="37">#REF!</definedName>
    <definedName name="EnterpriseValue" localSheetId="17">#REF!</definedName>
    <definedName name="EnterpriseValue" localSheetId="26">#REF!</definedName>
    <definedName name="EnterpriseValue" localSheetId="27">#REF!</definedName>
    <definedName name="EnterpriseValue" localSheetId="30">#REF!</definedName>
    <definedName name="EnterpriseValue" localSheetId="31">#REF!</definedName>
    <definedName name="EnterpriseValue" localSheetId="33">#REF!</definedName>
    <definedName name="EnterpriseValue">#REF!</definedName>
    <definedName name="epage" localSheetId="37">[29]DCF!#REF!</definedName>
    <definedName name="epage" localSheetId="17">[29]DCF!#REF!</definedName>
    <definedName name="epage" localSheetId="26">[29]DCF!#REF!</definedName>
    <definedName name="epage" localSheetId="27">[29]DCF!#REF!</definedName>
    <definedName name="epage" localSheetId="30">[29]DCF!#REF!</definedName>
    <definedName name="epage" localSheetId="31">[29]DCF!#REF!</definedName>
    <definedName name="epage" localSheetId="33">[29]DCF!#REF!</definedName>
    <definedName name="epage">[29]DCF!#REF!</definedName>
    <definedName name="EPG" localSheetId="37">[17]summary!#REF!</definedName>
    <definedName name="EPG" localSheetId="17">[17]summary!#REF!</definedName>
    <definedName name="EPG" localSheetId="26">[17]summary!#REF!</definedName>
    <definedName name="EPG" localSheetId="27">[17]summary!#REF!</definedName>
    <definedName name="EPG" localSheetId="30">[17]summary!#REF!</definedName>
    <definedName name="EPG" localSheetId="31">[17]summary!#REF!</definedName>
    <definedName name="EPG" localSheetId="33">[17]summary!#REF!</definedName>
    <definedName name="EPG">[17]summary!#REF!</definedName>
    <definedName name="EPS" localSheetId="37">#REF!</definedName>
    <definedName name="EPS" localSheetId="17">#REF!</definedName>
    <definedName name="EPS" localSheetId="26">#REF!</definedName>
    <definedName name="EPS" localSheetId="27">#REF!</definedName>
    <definedName name="EPS" localSheetId="30">#REF!</definedName>
    <definedName name="EPS" localSheetId="31">#REF!</definedName>
    <definedName name="EPS" localSheetId="33">#REF!</definedName>
    <definedName name="EPS">#REF!</definedName>
    <definedName name="EPSDate" localSheetId="37">#REF!</definedName>
    <definedName name="EPSDate" localSheetId="17">#REF!</definedName>
    <definedName name="EPSDate" localSheetId="26">#REF!</definedName>
    <definedName name="EPSDate" localSheetId="27">#REF!</definedName>
    <definedName name="EPSDate" localSheetId="30">#REF!</definedName>
    <definedName name="EPSDate" localSheetId="31">#REF!</definedName>
    <definedName name="EPSDate" localSheetId="33">#REF!</definedName>
    <definedName name="EPSDate">#REF!</definedName>
    <definedName name="EPSGrowth" localSheetId="37">#REF!</definedName>
    <definedName name="EPSGrowth" localSheetId="17">#REF!</definedName>
    <definedName name="EPSGrowth" localSheetId="26">#REF!</definedName>
    <definedName name="EPSGrowth" localSheetId="27">#REF!</definedName>
    <definedName name="EPSGrowth" localSheetId="30">#REF!</definedName>
    <definedName name="EPSGrowth" localSheetId="31">#REF!</definedName>
    <definedName name="EPSGrowth" localSheetId="33">#REF!</definedName>
    <definedName name="EPSGrowth">#REF!</definedName>
    <definedName name="EPSLTM" localSheetId="37">#REF!</definedName>
    <definedName name="EPSLTM" localSheetId="17">#REF!</definedName>
    <definedName name="EPSLTM" localSheetId="26">#REF!</definedName>
    <definedName name="EPSLTM" localSheetId="27">#REF!</definedName>
    <definedName name="EPSLTM" localSheetId="30">#REF!</definedName>
    <definedName name="EPSLTM" localSheetId="31">#REF!</definedName>
    <definedName name="EPSLTM" localSheetId="33">#REF!</definedName>
    <definedName name="EPSLTM">#REF!</definedName>
    <definedName name="EPSSource" localSheetId="37">#REF!</definedName>
    <definedName name="EPSSource" localSheetId="17">#REF!</definedName>
    <definedName name="EPSSource" localSheetId="26">#REF!</definedName>
    <definedName name="EPSSource" localSheetId="27">#REF!</definedName>
    <definedName name="EPSSource" localSheetId="30">#REF!</definedName>
    <definedName name="EPSSource" localSheetId="31">#REF!</definedName>
    <definedName name="EPSSource" localSheetId="33">#REF!</definedName>
    <definedName name="EPSSource">#REF!</definedName>
    <definedName name="Equity">"Equity"</definedName>
    <definedName name="EquityBeta" localSheetId="37">#REF!</definedName>
    <definedName name="EquityBeta" localSheetId="17">#REF!</definedName>
    <definedName name="EquityBeta" localSheetId="26">#REF!</definedName>
    <definedName name="EquityBeta" localSheetId="27">#REF!</definedName>
    <definedName name="EquityBeta" localSheetId="30">#REF!</definedName>
    <definedName name="EquityBeta" localSheetId="31">#REF!</definedName>
    <definedName name="EquityBeta" localSheetId="33">#REF!</definedName>
    <definedName name="EquityBeta">#REF!</definedName>
    <definedName name="EquityRiskPremium" localSheetId="37">#REF!</definedName>
    <definedName name="EquityRiskPremium" localSheetId="17">#REF!</definedName>
    <definedName name="EquityRiskPremium" localSheetId="26">#REF!</definedName>
    <definedName name="EquityRiskPremium" localSheetId="27">#REF!</definedName>
    <definedName name="EquityRiskPremium" localSheetId="30">#REF!</definedName>
    <definedName name="EquityRiskPremium" localSheetId="31">#REF!</definedName>
    <definedName name="EquityRiskPremium" localSheetId="33">#REF!</definedName>
    <definedName name="EquityRiskPremium">#REF!</definedName>
    <definedName name="EquityValue" localSheetId="37">#REF!</definedName>
    <definedName name="EquityValue" localSheetId="17">#REF!</definedName>
    <definedName name="EquityValue" localSheetId="26">#REF!</definedName>
    <definedName name="EquityValue" localSheetId="27">#REF!</definedName>
    <definedName name="EquityValue" localSheetId="30">#REF!</definedName>
    <definedName name="EquityValue" localSheetId="31">#REF!</definedName>
    <definedName name="EquityValue" localSheetId="33">#REF!</definedName>
    <definedName name="EquityValue">#REF!</definedName>
    <definedName name="eqvhigh" localSheetId="37">#REF!</definedName>
    <definedName name="eqvhigh" localSheetId="17">#REF!</definedName>
    <definedName name="eqvhigh" localSheetId="26">#REF!</definedName>
    <definedName name="eqvhigh" localSheetId="27">#REF!</definedName>
    <definedName name="eqvhigh" localSheetId="30">#REF!</definedName>
    <definedName name="eqvhigh" localSheetId="31">#REF!</definedName>
    <definedName name="eqvhigh" localSheetId="33">#REF!</definedName>
    <definedName name="eqvhigh">#REF!</definedName>
    <definedName name="eqvhighblank" localSheetId="37">#REF!</definedName>
    <definedName name="eqvhighblank" localSheetId="17">#REF!</definedName>
    <definedName name="eqvhighblank" localSheetId="26">#REF!</definedName>
    <definedName name="eqvhighblank" localSheetId="27">#REF!</definedName>
    <definedName name="eqvhighblank" localSheetId="30">#REF!</definedName>
    <definedName name="eqvhighblank" localSheetId="31">#REF!</definedName>
    <definedName name="eqvhighblank" localSheetId="33">#REF!</definedName>
    <definedName name="eqvhighblank">#REF!</definedName>
    <definedName name="eqvlow" localSheetId="37">#REF!</definedName>
    <definedName name="eqvlow" localSheetId="17">#REF!</definedName>
    <definedName name="eqvlow" localSheetId="26">#REF!</definedName>
    <definedName name="eqvlow" localSheetId="27">#REF!</definedName>
    <definedName name="eqvlow" localSheetId="30">#REF!</definedName>
    <definedName name="eqvlow" localSheetId="31">#REF!</definedName>
    <definedName name="eqvlow" localSheetId="33">#REF!</definedName>
    <definedName name="eqvlow">#REF!</definedName>
    <definedName name="Erase" localSheetId="37">#REF!</definedName>
    <definedName name="Erase" localSheetId="17">#REF!</definedName>
    <definedName name="Erase" localSheetId="26">#REF!</definedName>
    <definedName name="Erase" localSheetId="27">#REF!</definedName>
    <definedName name="Erase" localSheetId="30">#REF!</definedName>
    <definedName name="Erase" localSheetId="31">#REF!</definedName>
    <definedName name="Erase" localSheetId="33">#REF!</definedName>
    <definedName name="Erase">#REF!</definedName>
    <definedName name="ErrBd">[67]Argentina!$D$18</definedName>
    <definedName name="ertfg" localSheetId="2" hidden="1">{#N/A,#N/A,FALSE,"FFCXOUT3"}</definedName>
    <definedName name="ertfg" localSheetId="4" hidden="1">{#N/A,#N/A,FALSE,"FFCXOUT3"}</definedName>
    <definedName name="ertfg" hidden="1">{#N/A,#N/A,FALSE,"FFCXOUT3"}</definedName>
    <definedName name="ES" localSheetId="2">#REF!</definedName>
    <definedName name="ES">#REF!</definedName>
    <definedName name="esdgvfsdgvb" localSheetId="2" hidden="1">#REF!</definedName>
    <definedName name="esdgvfsdgvb" localSheetId="4" hidden="1">#REF!</definedName>
    <definedName name="esdgvfsdgvb" hidden="1">#REF!</definedName>
    <definedName name="ESI" localSheetId="2">#REF!</definedName>
    <definedName name="ESI">#REF!</definedName>
    <definedName name="espD96" localSheetId="37">'[1]Status Page'!#REF!</definedName>
    <definedName name="espD96" localSheetId="17">'[1]Status Page'!#REF!</definedName>
    <definedName name="espD96" localSheetId="26">'[1]Status Page'!#REF!</definedName>
    <definedName name="espD96" localSheetId="27">'[1]Status Page'!#REF!</definedName>
    <definedName name="espD96" localSheetId="30">'[1]Status Page'!#REF!</definedName>
    <definedName name="espD96" localSheetId="31">'[1]Status Page'!#REF!</definedName>
    <definedName name="espD96" localSheetId="33">'[1]Status Page'!#REF!</definedName>
    <definedName name="espD96">'[1]Status Page'!#REF!</definedName>
    <definedName name="Est_BL" localSheetId="2">[35]Assm!#REF!</definedName>
    <definedName name="Est_BL" localSheetId="37">[35]Assm!#REF!</definedName>
    <definedName name="Est_BL" localSheetId="17">[35]Assm!#REF!</definedName>
    <definedName name="Est_BL" localSheetId="4">[35]Assm!#REF!</definedName>
    <definedName name="Est_BL" localSheetId="26">[35]Assm!#REF!</definedName>
    <definedName name="Est_BL" localSheetId="27">[35]Assm!#REF!</definedName>
    <definedName name="Est_BL" localSheetId="30">[35]Assm!#REF!</definedName>
    <definedName name="Est_BL" localSheetId="31">[35]Assm!#REF!</definedName>
    <definedName name="Est_BL" localSheetId="33">[35]Assm!#REF!</definedName>
    <definedName name="Est_BL">[35]Assm!#REF!</definedName>
    <definedName name="Estoque_jan" localSheetId="2" hidden="1">{"'RR'!$A$2:$E$81"}</definedName>
    <definedName name="Estoque_jan" localSheetId="4" hidden="1">{"'RR'!$A$2:$E$81"}</definedName>
    <definedName name="Estoque_jan" hidden="1">{"'RR'!$A$2:$E$81"}</definedName>
    <definedName name="estoques" localSheetId="2" hidden="1">{"TotalGeralDespesasPorArea",#N/A,FALSE,"VinculosAccessEfetivo"}</definedName>
    <definedName name="estoques" localSheetId="4" hidden="1">{"TotalGeralDespesasPorArea",#N/A,FALSE,"VinculosAccessEfetivo"}</definedName>
    <definedName name="estoques" hidden="1">{"TotalGeralDespesasPorArea",#N/A,FALSE,"VinculosAccessEfetivo"}</definedName>
    <definedName name="etu">'[68]RELATA VÉIO'!$A$1:$AA$335</definedName>
    <definedName name="etvhigh" localSheetId="37">#REF!</definedName>
    <definedName name="etvhigh" localSheetId="17">#REF!</definedName>
    <definedName name="etvhigh" localSheetId="26">#REF!</definedName>
    <definedName name="etvhigh" localSheetId="27">#REF!</definedName>
    <definedName name="etvhigh" localSheetId="30">#REF!</definedName>
    <definedName name="etvhigh" localSheetId="31">#REF!</definedName>
    <definedName name="etvhigh" localSheetId="33">#REF!</definedName>
    <definedName name="etvhigh">#REF!</definedName>
    <definedName name="etvhighblank" localSheetId="37">#REF!</definedName>
    <definedName name="etvhighblank" localSheetId="17">#REF!</definedName>
    <definedName name="etvhighblank" localSheetId="26">#REF!</definedName>
    <definedName name="etvhighblank" localSheetId="27">#REF!</definedName>
    <definedName name="etvhighblank" localSheetId="30">#REF!</definedName>
    <definedName name="etvhighblank" localSheetId="31">#REF!</definedName>
    <definedName name="etvhighblank" localSheetId="33">#REF!</definedName>
    <definedName name="etvhighblank">#REF!</definedName>
    <definedName name="etvlow" localSheetId="37">#REF!</definedName>
    <definedName name="etvlow" localSheetId="17">#REF!</definedName>
    <definedName name="etvlow" localSheetId="26">#REF!</definedName>
    <definedName name="etvlow" localSheetId="27">#REF!</definedName>
    <definedName name="etvlow" localSheetId="30">#REF!</definedName>
    <definedName name="etvlow" localSheetId="31">#REF!</definedName>
    <definedName name="etvlow" localSheetId="33">#REF!</definedName>
    <definedName name="etvlow">#REF!</definedName>
    <definedName name="eur">'[69]TTT (2)'!$E$1</definedName>
    <definedName name="euro" localSheetId="37">#REF!</definedName>
    <definedName name="euro" localSheetId="17">#REF!</definedName>
    <definedName name="euro" localSheetId="26">#REF!</definedName>
    <definedName name="euro" localSheetId="27">#REF!</definedName>
    <definedName name="euro" localSheetId="30">#REF!</definedName>
    <definedName name="euro" localSheetId="31">#REF!</definedName>
    <definedName name="euro" localSheetId="33">#REF!</definedName>
    <definedName name="euro">#REF!</definedName>
    <definedName name="ev.Calculation" hidden="1">-4135</definedName>
    <definedName name="ev.Initialized" hidden="1">FALSE</definedName>
    <definedName name="EV1Other1" localSheetId="37">#REF!</definedName>
    <definedName name="EV1Other1" localSheetId="17">#REF!</definedName>
    <definedName name="EV1Other1" localSheetId="26">#REF!</definedName>
    <definedName name="EV1Other1" localSheetId="27">#REF!</definedName>
    <definedName name="EV1Other1" localSheetId="30">#REF!</definedName>
    <definedName name="EV1Other1" localSheetId="31">#REF!</definedName>
    <definedName name="EV1Other1" localSheetId="33">#REF!</definedName>
    <definedName name="EV1Other1">#REF!</definedName>
    <definedName name="EV1Other2" localSheetId="37">#REF!</definedName>
    <definedName name="EV1Other2" localSheetId="17">#REF!</definedName>
    <definedName name="EV1Other2" localSheetId="26">#REF!</definedName>
    <definedName name="EV1Other2" localSheetId="27">#REF!</definedName>
    <definedName name="EV1Other2" localSheetId="30">#REF!</definedName>
    <definedName name="EV1Other2" localSheetId="31">#REF!</definedName>
    <definedName name="EV1Other2" localSheetId="33">#REF!</definedName>
    <definedName name="EV1Other2">#REF!</definedName>
    <definedName name="EV1OtherLTM" localSheetId="37">#REF!</definedName>
    <definedName name="EV1OtherLTM" localSheetId="17">#REF!</definedName>
    <definedName name="EV1OtherLTM" localSheetId="26">#REF!</definedName>
    <definedName name="EV1OtherLTM" localSheetId="27">#REF!</definedName>
    <definedName name="EV1OtherLTM" localSheetId="30">#REF!</definedName>
    <definedName name="EV1OtherLTM" localSheetId="31">#REF!</definedName>
    <definedName name="EV1OtherLTM" localSheetId="33">#REF!</definedName>
    <definedName name="EV1OtherLTM">#REF!</definedName>
    <definedName name="EV2Other1" localSheetId="37">#REF!</definedName>
    <definedName name="EV2Other1" localSheetId="17">#REF!</definedName>
    <definedName name="EV2Other1" localSheetId="26">#REF!</definedName>
    <definedName name="EV2Other1" localSheetId="27">#REF!</definedName>
    <definedName name="EV2Other1" localSheetId="30">#REF!</definedName>
    <definedName name="EV2Other1" localSheetId="31">#REF!</definedName>
    <definedName name="EV2Other1" localSheetId="33">#REF!</definedName>
    <definedName name="EV2Other1">#REF!</definedName>
    <definedName name="EV2Other2" localSheetId="37">#REF!</definedName>
    <definedName name="EV2Other2" localSheetId="17">#REF!</definedName>
    <definedName name="EV2Other2" localSheetId="26">#REF!</definedName>
    <definedName name="EV2Other2" localSheetId="27">#REF!</definedName>
    <definedName name="EV2Other2" localSheetId="30">#REF!</definedName>
    <definedName name="EV2Other2" localSheetId="31">#REF!</definedName>
    <definedName name="EV2Other2" localSheetId="33">#REF!</definedName>
    <definedName name="EV2Other2">#REF!</definedName>
    <definedName name="EV2OtherLTM" localSheetId="37">#REF!</definedName>
    <definedName name="EV2OtherLTM" localSheetId="17">#REF!</definedName>
    <definedName name="EV2OtherLTM" localSheetId="26">#REF!</definedName>
    <definedName name="EV2OtherLTM" localSheetId="27">#REF!</definedName>
    <definedName name="EV2OtherLTM" localSheetId="30">#REF!</definedName>
    <definedName name="EV2OtherLTM" localSheetId="31">#REF!</definedName>
    <definedName name="EV2OtherLTM" localSheetId="33">#REF!</definedName>
    <definedName name="EV2OtherLTM">#REF!</definedName>
    <definedName name="EV3Other1" localSheetId="37">#REF!</definedName>
    <definedName name="EV3Other1" localSheetId="17">#REF!</definedName>
    <definedName name="EV3Other1" localSheetId="26">#REF!</definedName>
    <definedName name="EV3Other1" localSheetId="27">#REF!</definedName>
    <definedName name="EV3Other1" localSheetId="30">#REF!</definedName>
    <definedName name="EV3Other1" localSheetId="31">#REF!</definedName>
    <definedName name="EV3Other1" localSheetId="33">#REF!</definedName>
    <definedName name="EV3Other1">#REF!</definedName>
    <definedName name="EV3Other2" localSheetId="37">#REF!</definedName>
    <definedName name="EV3Other2" localSheetId="17">#REF!</definedName>
    <definedName name="EV3Other2" localSheetId="26">#REF!</definedName>
    <definedName name="EV3Other2" localSheetId="27">#REF!</definedName>
    <definedName name="EV3Other2" localSheetId="30">#REF!</definedName>
    <definedName name="EV3Other2" localSheetId="31">#REF!</definedName>
    <definedName name="EV3Other2" localSheetId="33">#REF!</definedName>
    <definedName name="EV3Other2">#REF!</definedName>
    <definedName name="EV3OtherLTM" localSheetId="37">#REF!</definedName>
    <definedName name="EV3OtherLTM" localSheetId="17">#REF!</definedName>
    <definedName name="EV3OtherLTM" localSheetId="26">#REF!</definedName>
    <definedName name="EV3OtherLTM" localSheetId="27">#REF!</definedName>
    <definedName name="EV3OtherLTM" localSheetId="30">#REF!</definedName>
    <definedName name="EV3OtherLTM" localSheetId="31">#REF!</definedName>
    <definedName name="EV3OtherLTM" localSheetId="33">#REF!</definedName>
    <definedName name="EV3OtherLTM">#REF!</definedName>
    <definedName name="EVCashFlow1" localSheetId="37">#REF!</definedName>
    <definedName name="EVCashFlow1" localSheetId="17">#REF!</definedName>
    <definedName name="EVCashFlow1" localSheetId="26">#REF!</definedName>
    <definedName name="EVCashFlow1" localSheetId="27">#REF!</definedName>
    <definedName name="EVCashFlow1" localSheetId="30">#REF!</definedName>
    <definedName name="EVCashFlow1" localSheetId="31">#REF!</definedName>
    <definedName name="EVCashFlow1" localSheetId="33">#REF!</definedName>
    <definedName name="EVCashFlow1">#REF!</definedName>
    <definedName name="EVCashFlow2" localSheetId="37">#REF!</definedName>
    <definedName name="EVCashFlow2" localSheetId="17">#REF!</definedName>
    <definedName name="EVCashFlow2" localSheetId="26">#REF!</definedName>
    <definedName name="EVCashFlow2" localSheetId="27">#REF!</definedName>
    <definedName name="EVCashFlow2" localSheetId="30">#REF!</definedName>
    <definedName name="EVCashFlow2" localSheetId="31">#REF!</definedName>
    <definedName name="EVCashFlow2" localSheetId="33">#REF!</definedName>
    <definedName name="EVCashFlow2">#REF!</definedName>
    <definedName name="EVCashFlowLTM" localSheetId="37">#REF!</definedName>
    <definedName name="EVCashFlowLTM" localSheetId="17">#REF!</definedName>
    <definedName name="EVCashFlowLTM" localSheetId="26">#REF!</definedName>
    <definedName name="EVCashFlowLTM" localSheetId="27">#REF!</definedName>
    <definedName name="EVCashFlowLTM" localSheetId="30">#REF!</definedName>
    <definedName name="EVCashFlowLTM" localSheetId="31">#REF!</definedName>
    <definedName name="EVCashFlowLTM" localSheetId="33">#REF!</definedName>
    <definedName name="EVCashFlowLTM">#REF!</definedName>
    <definedName name="EVEBIT1" localSheetId="37">#REF!</definedName>
    <definedName name="EVEBIT1" localSheetId="17">#REF!</definedName>
    <definedName name="EVEBIT1" localSheetId="26">#REF!</definedName>
    <definedName name="EVEBIT1" localSheetId="27">#REF!</definedName>
    <definedName name="EVEBIT1" localSheetId="30">#REF!</definedName>
    <definedName name="EVEBIT1" localSheetId="31">#REF!</definedName>
    <definedName name="EVEBIT1" localSheetId="33">#REF!</definedName>
    <definedName name="EVEBIT1">#REF!</definedName>
    <definedName name="EVEBIT2" localSheetId="37">#REF!</definedName>
    <definedName name="EVEBIT2" localSheetId="17">#REF!</definedName>
    <definedName name="EVEBIT2" localSheetId="26">#REF!</definedName>
    <definedName name="EVEBIT2" localSheetId="27">#REF!</definedName>
    <definedName name="EVEBIT2" localSheetId="30">#REF!</definedName>
    <definedName name="EVEBIT2" localSheetId="31">#REF!</definedName>
    <definedName name="EVEBIT2" localSheetId="33">#REF!</definedName>
    <definedName name="EVEBIT2">#REF!</definedName>
    <definedName name="EVEBITDA1" localSheetId="37">#REF!</definedName>
    <definedName name="EVEBITDA1" localSheetId="17">#REF!</definedName>
    <definedName name="EVEBITDA1" localSheetId="26">#REF!</definedName>
    <definedName name="EVEBITDA1" localSheetId="27">#REF!</definedName>
    <definedName name="EVEBITDA1" localSheetId="30">#REF!</definedName>
    <definedName name="EVEBITDA1" localSheetId="31">#REF!</definedName>
    <definedName name="EVEBITDA1" localSheetId="33">#REF!</definedName>
    <definedName name="EVEBITDA1">#REF!</definedName>
    <definedName name="EVEBITDA2" localSheetId="37">#REF!</definedName>
    <definedName name="EVEBITDA2" localSheetId="17">#REF!</definedName>
    <definedName name="EVEBITDA2" localSheetId="26">#REF!</definedName>
    <definedName name="EVEBITDA2" localSheetId="27">#REF!</definedName>
    <definedName name="EVEBITDA2" localSheetId="30">#REF!</definedName>
    <definedName name="EVEBITDA2" localSheetId="31">#REF!</definedName>
    <definedName name="EVEBITDA2" localSheetId="33">#REF!</definedName>
    <definedName name="EVEBITDA2">#REF!</definedName>
    <definedName name="EVEBITDALTM" localSheetId="37">#REF!</definedName>
    <definedName name="EVEBITDALTM" localSheetId="17">#REF!</definedName>
    <definedName name="EVEBITDALTM" localSheetId="26">#REF!</definedName>
    <definedName name="EVEBITDALTM" localSheetId="27">#REF!</definedName>
    <definedName name="EVEBITDALTM" localSheetId="30">#REF!</definedName>
    <definedName name="EVEBITDALTM" localSheetId="31">#REF!</definedName>
    <definedName name="EVEBITDALTM" localSheetId="33">#REF!</definedName>
    <definedName name="EVEBITDALTM">#REF!</definedName>
    <definedName name="EVEBITLTM" localSheetId="37">#REF!</definedName>
    <definedName name="EVEBITLTM" localSheetId="17">#REF!</definedName>
    <definedName name="EVEBITLTM" localSheetId="26">#REF!</definedName>
    <definedName name="EVEBITLTM" localSheetId="27">#REF!</definedName>
    <definedName name="EVEBITLTM" localSheetId="30">#REF!</definedName>
    <definedName name="EVEBITLTM" localSheetId="31">#REF!</definedName>
    <definedName name="EVEBITLTM" localSheetId="33">#REF!</definedName>
    <definedName name="EVEBITLTM">#REF!</definedName>
    <definedName name="evlow" localSheetId="37">#REF!</definedName>
    <definedName name="evlow" localSheetId="17">#REF!</definedName>
    <definedName name="evlow" localSheetId="26">#REF!</definedName>
    <definedName name="evlow" localSheetId="27">#REF!</definedName>
    <definedName name="evlow" localSheetId="30">#REF!</definedName>
    <definedName name="evlow" localSheetId="31">#REF!</definedName>
    <definedName name="evlow" localSheetId="33">#REF!</definedName>
    <definedName name="evlow">#REF!</definedName>
    <definedName name="EVNetInc1" localSheetId="37">#REF!</definedName>
    <definedName name="EVNetInc1" localSheetId="17">#REF!</definedName>
    <definedName name="EVNetInc1" localSheetId="26">#REF!</definedName>
    <definedName name="EVNetInc1" localSheetId="27">#REF!</definedName>
    <definedName name="EVNetInc1" localSheetId="30">#REF!</definedName>
    <definedName name="EVNetInc1" localSheetId="31">#REF!</definedName>
    <definedName name="EVNetInc1" localSheetId="33">#REF!</definedName>
    <definedName name="EVNetInc1">#REF!</definedName>
    <definedName name="EVNetInc2" localSheetId="37">#REF!</definedName>
    <definedName name="EVNetInc2" localSheetId="17">#REF!</definedName>
    <definedName name="EVNetInc2" localSheetId="26">#REF!</definedName>
    <definedName name="EVNetInc2" localSheetId="27">#REF!</definedName>
    <definedName name="EVNetInc2" localSheetId="30">#REF!</definedName>
    <definedName name="EVNetInc2" localSheetId="31">#REF!</definedName>
    <definedName name="EVNetInc2" localSheetId="33">#REF!</definedName>
    <definedName name="EVNetInc2">#REF!</definedName>
    <definedName name="EVNetIncLTM" localSheetId="37">#REF!</definedName>
    <definedName name="EVNetIncLTM" localSheetId="17">#REF!</definedName>
    <definedName name="EVNetIncLTM" localSheetId="26">#REF!</definedName>
    <definedName name="EVNetIncLTM" localSheetId="27">#REF!</definedName>
    <definedName name="EVNetIncLTM" localSheetId="30">#REF!</definedName>
    <definedName name="EVNetIncLTM" localSheetId="31">#REF!</definedName>
    <definedName name="EVNetIncLTM" localSheetId="33">#REF!</definedName>
    <definedName name="EVNetIncLTM">#REF!</definedName>
    <definedName name="eVOLUÇÃO" localSheetId="2" hidden="1">{"'RR'!$A$2:$E$81"}</definedName>
    <definedName name="eVOLUÇÃO" localSheetId="4" hidden="1">{"'RR'!$A$2:$E$81"}</definedName>
    <definedName name="eVOLUÇÃO" hidden="1">{"'RR'!$A$2:$E$81"}</definedName>
    <definedName name="EVRevenues1" localSheetId="37">#REF!</definedName>
    <definedName name="EVRevenues1" localSheetId="17">#REF!</definedName>
    <definedName name="EVRevenues1" localSheetId="26">#REF!</definedName>
    <definedName name="EVRevenues1" localSheetId="27">#REF!</definedName>
    <definedName name="EVRevenues1" localSheetId="30">#REF!</definedName>
    <definedName name="EVRevenues1" localSheetId="31">#REF!</definedName>
    <definedName name="EVRevenues1" localSheetId="33">#REF!</definedName>
    <definedName name="EVRevenues1">#REF!</definedName>
    <definedName name="EVRevenues2" localSheetId="37">#REF!</definedName>
    <definedName name="EVRevenues2" localSheetId="17">#REF!</definedName>
    <definedName name="EVRevenues2" localSheetId="26">#REF!</definedName>
    <definedName name="EVRevenues2" localSheetId="27">#REF!</definedName>
    <definedName name="EVRevenues2" localSheetId="30">#REF!</definedName>
    <definedName name="EVRevenues2" localSheetId="31">#REF!</definedName>
    <definedName name="EVRevenues2" localSheetId="33">#REF!</definedName>
    <definedName name="EVRevenues2">#REF!</definedName>
    <definedName name="EVRevenuesLTM" localSheetId="37">#REF!</definedName>
    <definedName name="EVRevenuesLTM" localSheetId="17">#REF!</definedName>
    <definedName name="EVRevenuesLTM" localSheetId="26">#REF!</definedName>
    <definedName name="EVRevenuesLTM" localSheetId="27">#REF!</definedName>
    <definedName name="EVRevenuesLTM" localSheetId="30">#REF!</definedName>
    <definedName name="EVRevenuesLTM" localSheetId="31">#REF!</definedName>
    <definedName name="EVRevenuesLTM" localSheetId="33">#REF!</definedName>
    <definedName name="EVRevenuesLTM">#REF!</definedName>
    <definedName name="Excel_BuiltIn_Print_Area_1_1" localSheetId="37">#REF!</definedName>
    <definedName name="Excel_BuiltIn_Print_Area_1_1" localSheetId="17">#REF!</definedName>
    <definedName name="Excel_BuiltIn_Print_Area_1_1" localSheetId="26">#REF!</definedName>
    <definedName name="Excel_BuiltIn_Print_Area_1_1" localSheetId="27">#REF!</definedName>
    <definedName name="Excel_BuiltIn_Print_Area_1_1" localSheetId="30">#REF!</definedName>
    <definedName name="Excel_BuiltIn_Print_Area_1_1" localSheetId="31">#REF!</definedName>
    <definedName name="Excel_BuiltIn_Print_Area_1_1" localSheetId="33">#REF!</definedName>
    <definedName name="Excel_BuiltIn_Print_Area_1_1">#REF!</definedName>
    <definedName name="Excel_BuiltIn_Print_Area_1_1_1" localSheetId="37">#REF!</definedName>
    <definedName name="Excel_BuiltIn_Print_Area_1_1_1" localSheetId="17">#REF!</definedName>
    <definedName name="Excel_BuiltIn_Print_Area_1_1_1" localSheetId="26">#REF!</definedName>
    <definedName name="Excel_BuiltIn_Print_Area_1_1_1" localSheetId="27">#REF!</definedName>
    <definedName name="Excel_BuiltIn_Print_Area_1_1_1" localSheetId="30">#REF!</definedName>
    <definedName name="Excel_BuiltIn_Print_Area_1_1_1" localSheetId="31">#REF!</definedName>
    <definedName name="Excel_BuiltIn_Print_Area_1_1_1" localSheetId="33">#REF!</definedName>
    <definedName name="Excel_BuiltIn_Print_Area_1_1_1">#REF!</definedName>
    <definedName name="ExcessCash" localSheetId="37">#REF!</definedName>
    <definedName name="ExcessCash" localSheetId="17">#REF!</definedName>
    <definedName name="ExcessCash" localSheetId="26">#REF!</definedName>
    <definedName name="ExcessCash" localSheetId="27">#REF!</definedName>
    <definedName name="ExcessCash" localSheetId="30">#REF!</definedName>
    <definedName name="ExcessCash" localSheetId="31">#REF!</definedName>
    <definedName name="ExcessCash" localSheetId="33">#REF!</definedName>
    <definedName name="ExcessCash">#REF!</definedName>
    <definedName name="Exchange" localSheetId="2">[17]summary!#REF!</definedName>
    <definedName name="Exchange" localSheetId="37">[17]summary!#REF!</definedName>
    <definedName name="Exchange" localSheetId="17">[17]summary!#REF!</definedName>
    <definedName name="Exchange" localSheetId="26">[17]summary!#REF!</definedName>
    <definedName name="Exchange" localSheetId="27">[17]summary!#REF!</definedName>
    <definedName name="Exchange" localSheetId="30">[17]summary!#REF!</definedName>
    <definedName name="Exchange" localSheetId="31">[17]summary!#REF!</definedName>
    <definedName name="Exchange" localSheetId="33">[17]summary!#REF!</definedName>
    <definedName name="Exchange">[17]summary!#REF!</definedName>
    <definedName name="Exit_Table" localSheetId="37">#REF!</definedName>
    <definedName name="Exit_Table" localSheetId="17">#REF!</definedName>
    <definedName name="Exit_Table" localSheetId="26">#REF!</definedName>
    <definedName name="Exit_Table" localSheetId="27">#REF!</definedName>
    <definedName name="Exit_Table" localSheetId="30">#REF!</definedName>
    <definedName name="Exit_Table" localSheetId="31">#REF!</definedName>
    <definedName name="Exit_Table" localSheetId="33">#REF!</definedName>
    <definedName name="Exit_Table">#REF!</definedName>
    <definedName name="EXTMTRX1" localSheetId="37">#REF!</definedName>
    <definedName name="EXTMTRX1" localSheetId="17">#REF!</definedName>
    <definedName name="EXTMTRX1" localSheetId="26">#REF!</definedName>
    <definedName name="EXTMTRX1" localSheetId="27">#REF!</definedName>
    <definedName name="EXTMTRX1" localSheetId="30">#REF!</definedName>
    <definedName name="EXTMTRX1" localSheetId="31">#REF!</definedName>
    <definedName name="EXTMTRX1" localSheetId="33">#REF!</definedName>
    <definedName name="EXTMTRX1">#REF!</definedName>
    <definedName name="EXTOTPS">#REF!</definedName>
    <definedName name="Extra_Capital_1" localSheetId="37">#REF!</definedName>
    <definedName name="Extra_Capital_1" localSheetId="17">#REF!</definedName>
    <definedName name="Extra_Capital_1" localSheetId="26">#REF!</definedName>
    <definedName name="Extra_Capital_1" localSheetId="27">#REF!</definedName>
    <definedName name="Extra_Capital_1" localSheetId="30">#REF!</definedName>
    <definedName name="Extra_Capital_1" localSheetId="31">#REF!</definedName>
    <definedName name="Extra_Capital_1" localSheetId="33">#REF!</definedName>
    <definedName name="Extra_Capital_1">#REF!</definedName>
    <definedName name="Extra_Capital_2" localSheetId="37">#REF!</definedName>
    <definedName name="Extra_Capital_2" localSheetId="17">#REF!</definedName>
    <definedName name="Extra_Capital_2" localSheetId="26">#REF!</definedName>
    <definedName name="Extra_Capital_2" localSheetId="27">#REF!</definedName>
    <definedName name="Extra_Capital_2" localSheetId="30">#REF!</definedName>
    <definedName name="Extra_Capital_2" localSheetId="31">#REF!</definedName>
    <definedName name="Extra_Capital_2" localSheetId="33">#REF!</definedName>
    <definedName name="Extra_Capital_2">#REF!</definedName>
    <definedName name="Extra_Capital_3" localSheetId="37">#REF!</definedName>
    <definedName name="Extra_Capital_3" localSheetId="17">#REF!</definedName>
    <definedName name="Extra_Capital_3" localSheetId="26">#REF!</definedName>
    <definedName name="Extra_Capital_3" localSheetId="27">#REF!</definedName>
    <definedName name="Extra_Capital_3" localSheetId="30">#REF!</definedName>
    <definedName name="Extra_Capital_3" localSheetId="31">#REF!</definedName>
    <definedName name="Extra_Capital_3" localSheetId="33">#REF!</definedName>
    <definedName name="Extra_Capital_3">#REF!</definedName>
    <definedName name="Extra_Capital_4" localSheetId="37">#REF!</definedName>
    <definedName name="Extra_Capital_4" localSheetId="17">#REF!</definedName>
    <definedName name="Extra_Capital_4" localSheetId="26">#REF!</definedName>
    <definedName name="Extra_Capital_4" localSheetId="27">#REF!</definedName>
    <definedName name="Extra_Capital_4" localSheetId="30">#REF!</definedName>
    <definedName name="Extra_Capital_4" localSheetId="31">#REF!</definedName>
    <definedName name="Extra_Capital_4" localSheetId="33">#REF!</definedName>
    <definedName name="Extra_Capital_4">#REF!</definedName>
    <definedName name="Extra_Capital_5" localSheetId="37">#REF!</definedName>
    <definedName name="Extra_Capital_5" localSheetId="17">#REF!</definedName>
    <definedName name="Extra_Capital_5" localSheetId="26">#REF!</definedName>
    <definedName name="Extra_Capital_5" localSheetId="27">#REF!</definedName>
    <definedName name="Extra_Capital_5" localSheetId="30">#REF!</definedName>
    <definedName name="Extra_Capital_5" localSheetId="31">#REF!</definedName>
    <definedName name="Extra_Capital_5" localSheetId="33">#REF!</definedName>
    <definedName name="Extra_Capital_5">#REF!</definedName>
    <definedName name="EXTRSYST" localSheetId="37">#REF!</definedName>
    <definedName name="EXTRSYST" localSheetId="17">#REF!</definedName>
    <definedName name="EXTRSYST" localSheetId="26">#REF!</definedName>
    <definedName name="EXTRSYST" localSheetId="27">#REF!</definedName>
    <definedName name="EXTRSYST" localSheetId="30">#REF!</definedName>
    <definedName name="EXTRSYST" localSheetId="31">#REF!</definedName>
    <definedName name="EXTRSYST" localSheetId="33">#REF!</definedName>
    <definedName name="EXTRSYST">#REF!</definedName>
    <definedName name="f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_2" localSheetId="37">#REF!</definedName>
    <definedName name="F_2" localSheetId="17">#REF!</definedName>
    <definedName name="F_2" localSheetId="26">#REF!</definedName>
    <definedName name="F_2" localSheetId="27">#REF!</definedName>
    <definedName name="F_2" localSheetId="30">#REF!</definedName>
    <definedName name="F_2" localSheetId="31">#REF!</definedName>
    <definedName name="F_2" localSheetId="33">#REF!</definedName>
    <definedName name="F_2">#REF!</definedName>
    <definedName name="F_A_REF">#N/A</definedName>
    <definedName name="F_C_REF">#N/A</definedName>
    <definedName name="F1saldoParcelar">'[70]SEM Créditos'!$E$14</definedName>
    <definedName name="FATOR" localSheetId="4">#REF!</definedName>
    <definedName name="FATOR">#REF!</definedName>
    <definedName name="FATURAS2002" localSheetId="2" hidden="1">{#N/A,#N/A,TRUE,"Serviços"}</definedName>
    <definedName name="FATURAS2002" localSheetId="4" hidden="1">{#N/A,#N/A,TRUE,"Serviços"}</definedName>
    <definedName name="FATURAS2002" hidden="1">{#N/A,#N/A,TRUE,"Serviços"}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gj">[71]RELATA!$A$1:$AA$335</definedName>
    <definedName name="FDP_0_1_aUrv" localSheetId="37" hidden="1">#REF!</definedName>
    <definedName name="FDP_0_1_aUrv" localSheetId="17" hidden="1">#REF!</definedName>
    <definedName name="FDP_0_1_aUrv" localSheetId="26" hidden="1">#REF!</definedName>
    <definedName name="FDP_0_1_aUrv" localSheetId="27" hidden="1">#REF!</definedName>
    <definedName name="FDP_0_1_aUrv" localSheetId="30" hidden="1">#REF!</definedName>
    <definedName name="FDP_0_1_aUrv" localSheetId="31" hidden="1">#REF!</definedName>
    <definedName name="FDP_0_1_aUrv" localSheetId="33" hidden="1">#REF!</definedName>
    <definedName name="FDP_0_1_aUrv" localSheetId="41" hidden="1">#REF!</definedName>
    <definedName name="FDP_0_1_aUrv" hidden="1">#REF!</definedName>
    <definedName name="FDP_10_1_aDrv" localSheetId="37" hidden="1">#REF!</definedName>
    <definedName name="FDP_10_1_aDrv" localSheetId="17" hidden="1">#REF!</definedName>
    <definedName name="FDP_10_1_aDrv" localSheetId="26" hidden="1">#REF!</definedName>
    <definedName name="FDP_10_1_aDrv" localSheetId="27" hidden="1">#REF!</definedName>
    <definedName name="FDP_10_1_aDrv" localSheetId="30" hidden="1">#REF!</definedName>
    <definedName name="FDP_10_1_aDrv" localSheetId="31" hidden="1">#REF!</definedName>
    <definedName name="FDP_10_1_aDrv" localSheetId="33" hidden="1">#REF!</definedName>
    <definedName name="FDP_10_1_aDrv" localSheetId="41" hidden="1">#REF!</definedName>
    <definedName name="FDP_10_1_aDrv" hidden="1">#REF!</definedName>
    <definedName name="FDP_107_1_aUrv" localSheetId="37" hidden="1">#REF!</definedName>
    <definedName name="FDP_107_1_aUrv" localSheetId="17" hidden="1">#REF!</definedName>
    <definedName name="FDP_107_1_aUrv" localSheetId="26" hidden="1">#REF!</definedName>
    <definedName name="FDP_107_1_aUrv" localSheetId="27" hidden="1">#REF!</definedName>
    <definedName name="FDP_107_1_aUrv" localSheetId="30" hidden="1">#REF!</definedName>
    <definedName name="FDP_107_1_aUrv" localSheetId="31" hidden="1">#REF!</definedName>
    <definedName name="FDP_107_1_aUrv" localSheetId="33" hidden="1">#REF!</definedName>
    <definedName name="FDP_107_1_aUrv" localSheetId="41" hidden="1">#REF!</definedName>
    <definedName name="FDP_107_1_aUrv" hidden="1">#REF!</definedName>
    <definedName name="FDP_11_1_aDrv" localSheetId="37" hidden="1">#REF!</definedName>
    <definedName name="FDP_11_1_aDrv" localSheetId="17" hidden="1">#REF!</definedName>
    <definedName name="FDP_11_1_aDrv" localSheetId="26" hidden="1">#REF!</definedName>
    <definedName name="FDP_11_1_aDrv" localSheetId="27" hidden="1">#REF!</definedName>
    <definedName name="FDP_11_1_aDrv" localSheetId="30" hidden="1">#REF!</definedName>
    <definedName name="FDP_11_1_aDrv" localSheetId="31" hidden="1">#REF!</definedName>
    <definedName name="FDP_11_1_aDrv" localSheetId="33" hidden="1">#REF!</definedName>
    <definedName name="FDP_11_1_aDrv" localSheetId="41" hidden="1">#REF!</definedName>
    <definedName name="FDP_11_1_aDrv" hidden="1">#REF!</definedName>
    <definedName name="FDP_111_1_aUrv" localSheetId="37" hidden="1">#REF!</definedName>
    <definedName name="FDP_111_1_aUrv" localSheetId="17" hidden="1">#REF!</definedName>
    <definedName name="FDP_111_1_aUrv" localSheetId="26" hidden="1">#REF!</definedName>
    <definedName name="FDP_111_1_aUrv" localSheetId="27" hidden="1">#REF!</definedName>
    <definedName name="FDP_111_1_aUrv" localSheetId="30" hidden="1">#REF!</definedName>
    <definedName name="FDP_111_1_aUrv" localSheetId="31" hidden="1">#REF!</definedName>
    <definedName name="FDP_111_1_aUrv" localSheetId="33" hidden="1">#REF!</definedName>
    <definedName name="FDP_111_1_aUrv" localSheetId="41" hidden="1">#REF!</definedName>
    <definedName name="FDP_111_1_aUrv" hidden="1">#REF!</definedName>
    <definedName name="FDP_112_1_aUrv" localSheetId="37" hidden="1">#REF!</definedName>
    <definedName name="FDP_112_1_aUrv" localSheetId="17" hidden="1">#REF!</definedName>
    <definedName name="FDP_112_1_aUrv" localSheetId="26" hidden="1">#REF!</definedName>
    <definedName name="FDP_112_1_aUrv" localSheetId="27" hidden="1">#REF!</definedName>
    <definedName name="FDP_112_1_aUrv" localSheetId="30" hidden="1">#REF!</definedName>
    <definedName name="FDP_112_1_aUrv" localSheetId="31" hidden="1">#REF!</definedName>
    <definedName name="FDP_112_1_aUrv" localSheetId="33" hidden="1">#REF!</definedName>
    <definedName name="FDP_112_1_aUrv" localSheetId="41" hidden="1">#REF!</definedName>
    <definedName name="FDP_112_1_aUrv" hidden="1">#REF!</definedName>
    <definedName name="FDP_113_1_aUrv" localSheetId="37" hidden="1">#REF!</definedName>
    <definedName name="FDP_113_1_aUrv" localSheetId="17" hidden="1">#REF!</definedName>
    <definedName name="FDP_113_1_aUrv" localSheetId="26" hidden="1">#REF!</definedName>
    <definedName name="FDP_113_1_aUrv" localSheetId="27" hidden="1">#REF!</definedName>
    <definedName name="FDP_113_1_aUrv" localSheetId="30" hidden="1">#REF!</definedName>
    <definedName name="FDP_113_1_aUrv" localSheetId="31" hidden="1">#REF!</definedName>
    <definedName name="FDP_113_1_aUrv" localSheetId="33" hidden="1">#REF!</definedName>
    <definedName name="FDP_113_1_aUrv" localSheetId="41" hidden="1">#REF!</definedName>
    <definedName name="FDP_113_1_aUrv" hidden="1">#REF!</definedName>
    <definedName name="FDP_114_1_aUrv" localSheetId="37" hidden="1">#REF!</definedName>
    <definedName name="FDP_114_1_aUrv" localSheetId="17" hidden="1">#REF!</definedName>
    <definedName name="FDP_114_1_aUrv" localSheetId="26" hidden="1">#REF!</definedName>
    <definedName name="FDP_114_1_aUrv" localSheetId="27" hidden="1">#REF!</definedName>
    <definedName name="FDP_114_1_aUrv" localSheetId="30" hidden="1">#REF!</definedName>
    <definedName name="FDP_114_1_aUrv" localSheetId="31" hidden="1">#REF!</definedName>
    <definedName name="FDP_114_1_aUrv" localSheetId="33" hidden="1">#REF!</definedName>
    <definedName name="FDP_114_1_aUrv" localSheetId="41" hidden="1">#REF!</definedName>
    <definedName name="FDP_114_1_aUrv" hidden="1">#REF!</definedName>
    <definedName name="FDP_115_1_aUrv" localSheetId="37" hidden="1">#REF!</definedName>
    <definedName name="FDP_115_1_aUrv" localSheetId="17" hidden="1">#REF!</definedName>
    <definedName name="FDP_115_1_aUrv" localSheetId="26" hidden="1">#REF!</definedName>
    <definedName name="FDP_115_1_aUrv" localSheetId="27" hidden="1">#REF!</definedName>
    <definedName name="FDP_115_1_aUrv" localSheetId="30" hidden="1">#REF!</definedName>
    <definedName name="FDP_115_1_aUrv" localSheetId="31" hidden="1">#REF!</definedName>
    <definedName name="FDP_115_1_aUrv" localSheetId="33" hidden="1">#REF!</definedName>
    <definedName name="FDP_115_1_aUrv" localSheetId="41" hidden="1">#REF!</definedName>
    <definedName name="FDP_115_1_aUrv" hidden="1">#REF!</definedName>
    <definedName name="FDP_12_1_aDrv" localSheetId="37" hidden="1">#REF!</definedName>
    <definedName name="FDP_12_1_aDrv" localSheetId="17" hidden="1">#REF!</definedName>
    <definedName name="FDP_12_1_aDrv" localSheetId="26" hidden="1">#REF!</definedName>
    <definedName name="FDP_12_1_aDrv" localSheetId="27" hidden="1">#REF!</definedName>
    <definedName name="FDP_12_1_aDrv" localSheetId="30" hidden="1">#REF!</definedName>
    <definedName name="FDP_12_1_aDrv" localSheetId="31" hidden="1">#REF!</definedName>
    <definedName name="FDP_12_1_aDrv" localSheetId="33" hidden="1">#REF!</definedName>
    <definedName name="FDP_12_1_aDrv" localSheetId="41" hidden="1">#REF!</definedName>
    <definedName name="FDP_12_1_aDrv" hidden="1">#REF!</definedName>
    <definedName name="FDP_126_1_aUrv" localSheetId="37" hidden="1">#REF!</definedName>
    <definedName name="FDP_126_1_aUrv" localSheetId="17" hidden="1">#REF!</definedName>
    <definedName name="FDP_126_1_aUrv" localSheetId="26" hidden="1">#REF!</definedName>
    <definedName name="FDP_126_1_aUrv" localSheetId="27" hidden="1">#REF!</definedName>
    <definedName name="FDP_126_1_aUrv" localSheetId="30" hidden="1">#REF!</definedName>
    <definedName name="FDP_126_1_aUrv" localSheetId="31" hidden="1">#REF!</definedName>
    <definedName name="FDP_126_1_aUrv" localSheetId="33" hidden="1">#REF!</definedName>
    <definedName name="FDP_126_1_aUrv" localSheetId="41" hidden="1">#REF!</definedName>
    <definedName name="FDP_126_1_aUrv" hidden="1">#REF!</definedName>
    <definedName name="FDP_127_1_aUrv" localSheetId="37" hidden="1">#REF!</definedName>
    <definedName name="FDP_127_1_aUrv" localSheetId="17" hidden="1">#REF!</definedName>
    <definedName name="FDP_127_1_aUrv" localSheetId="26" hidden="1">#REF!</definedName>
    <definedName name="FDP_127_1_aUrv" localSheetId="27" hidden="1">#REF!</definedName>
    <definedName name="FDP_127_1_aUrv" localSheetId="30" hidden="1">#REF!</definedName>
    <definedName name="FDP_127_1_aUrv" localSheetId="31" hidden="1">#REF!</definedName>
    <definedName name="FDP_127_1_aUrv" localSheetId="33" hidden="1">#REF!</definedName>
    <definedName name="FDP_127_1_aUrv" localSheetId="41" hidden="1">#REF!</definedName>
    <definedName name="FDP_127_1_aUrv" hidden="1">#REF!</definedName>
    <definedName name="FDP_128_1_aUrv" localSheetId="37" hidden="1">#REF!</definedName>
    <definedName name="FDP_128_1_aUrv" localSheetId="17" hidden="1">#REF!</definedName>
    <definedName name="FDP_128_1_aUrv" localSheetId="26" hidden="1">#REF!</definedName>
    <definedName name="FDP_128_1_aUrv" localSheetId="27" hidden="1">#REF!</definedName>
    <definedName name="FDP_128_1_aUrv" localSheetId="30" hidden="1">#REF!</definedName>
    <definedName name="FDP_128_1_aUrv" localSheetId="31" hidden="1">#REF!</definedName>
    <definedName name="FDP_128_1_aUrv" localSheetId="33" hidden="1">#REF!</definedName>
    <definedName name="FDP_128_1_aUrv" localSheetId="41" hidden="1">#REF!</definedName>
    <definedName name="FDP_128_1_aUrv" hidden="1">#REF!</definedName>
    <definedName name="FDP_129_1_aUrv" localSheetId="37" hidden="1">#REF!</definedName>
    <definedName name="FDP_129_1_aUrv" localSheetId="17" hidden="1">#REF!</definedName>
    <definedName name="FDP_129_1_aUrv" localSheetId="26" hidden="1">#REF!</definedName>
    <definedName name="FDP_129_1_aUrv" localSheetId="27" hidden="1">#REF!</definedName>
    <definedName name="FDP_129_1_aUrv" localSheetId="30" hidden="1">#REF!</definedName>
    <definedName name="FDP_129_1_aUrv" localSheetId="31" hidden="1">#REF!</definedName>
    <definedName name="FDP_129_1_aUrv" localSheetId="33" hidden="1">#REF!</definedName>
    <definedName name="FDP_129_1_aUrv" localSheetId="41" hidden="1">#REF!</definedName>
    <definedName name="FDP_129_1_aUrv" hidden="1">#REF!</definedName>
    <definedName name="FDP_13_1_aDrv" localSheetId="37" hidden="1">#REF!</definedName>
    <definedName name="FDP_13_1_aDrv" localSheetId="17" hidden="1">#REF!</definedName>
    <definedName name="FDP_13_1_aDrv" localSheetId="26" hidden="1">#REF!</definedName>
    <definedName name="FDP_13_1_aDrv" localSheetId="27" hidden="1">#REF!</definedName>
    <definedName name="FDP_13_1_aDrv" localSheetId="30" hidden="1">#REF!</definedName>
    <definedName name="FDP_13_1_aDrv" localSheetId="31" hidden="1">#REF!</definedName>
    <definedName name="FDP_13_1_aDrv" localSheetId="33" hidden="1">#REF!</definedName>
    <definedName name="FDP_13_1_aDrv" localSheetId="41" hidden="1">#REF!</definedName>
    <definedName name="FDP_13_1_aDrv" hidden="1">#REF!</definedName>
    <definedName name="FDP_131_1_aDrv" localSheetId="37" hidden="1">#REF!</definedName>
    <definedName name="FDP_131_1_aDrv" localSheetId="17" hidden="1">#REF!</definedName>
    <definedName name="FDP_131_1_aDrv" localSheetId="26" hidden="1">#REF!</definedName>
    <definedName name="FDP_131_1_aDrv" localSheetId="27" hidden="1">#REF!</definedName>
    <definedName name="FDP_131_1_aDrv" localSheetId="30" hidden="1">#REF!</definedName>
    <definedName name="FDP_131_1_aDrv" localSheetId="31" hidden="1">#REF!</definedName>
    <definedName name="FDP_131_1_aDrv" localSheetId="33" hidden="1">#REF!</definedName>
    <definedName name="FDP_131_1_aDrv" localSheetId="41" hidden="1">#REF!</definedName>
    <definedName name="FDP_131_1_aDrv" hidden="1">#REF!</definedName>
    <definedName name="FDP_134_1_aDrv" localSheetId="37" hidden="1">#REF!</definedName>
    <definedName name="FDP_134_1_aDrv" localSheetId="17" hidden="1">#REF!</definedName>
    <definedName name="FDP_134_1_aDrv" localSheetId="26" hidden="1">#REF!</definedName>
    <definedName name="FDP_134_1_aDrv" localSheetId="27" hidden="1">#REF!</definedName>
    <definedName name="FDP_134_1_aDrv" localSheetId="30" hidden="1">#REF!</definedName>
    <definedName name="FDP_134_1_aDrv" localSheetId="31" hidden="1">#REF!</definedName>
    <definedName name="FDP_134_1_aDrv" localSheetId="33" hidden="1">#REF!</definedName>
    <definedName name="FDP_134_1_aDrv" localSheetId="41" hidden="1">#REF!</definedName>
    <definedName name="FDP_134_1_aDrv" hidden="1">#REF!</definedName>
    <definedName name="FDP_135_1_aDrv" localSheetId="37" hidden="1">#REF!</definedName>
    <definedName name="FDP_135_1_aDrv" localSheetId="17" hidden="1">#REF!</definedName>
    <definedName name="FDP_135_1_aDrv" localSheetId="26" hidden="1">#REF!</definedName>
    <definedName name="FDP_135_1_aDrv" localSheetId="27" hidden="1">#REF!</definedName>
    <definedName name="FDP_135_1_aDrv" localSheetId="30" hidden="1">#REF!</definedName>
    <definedName name="FDP_135_1_aDrv" localSheetId="31" hidden="1">#REF!</definedName>
    <definedName name="FDP_135_1_aDrv" localSheetId="33" hidden="1">#REF!</definedName>
    <definedName name="FDP_135_1_aDrv" localSheetId="41" hidden="1">#REF!</definedName>
    <definedName name="FDP_135_1_aDrv" hidden="1">#REF!</definedName>
    <definedName name="FDP_137_1_aDdv" localSheetId="37" hidden="1">#REF!</definedName>
    <definedName name="FDP_137_1_aDdv" localSheetId="17" hidden="1">#REF!</definedName>
    <definedName name="FDP_137_1_aDdv" localSheetId="26" hidden="1">#REF!</definedName>
    <definedName name="FDP_137_1_aDdv" localSheetId="27" hidden="1">#REF!</definedName>
    <definedName name="FDP_137_1_aDdv" localSheetId="30" hidden="1">#REF!</definedName>
    <definedName name="FDP_137_1_aDdv" localSheetId="31" hidden="1">#REF!</definedName>
    <definedName name="FDP_137_1_aDdv" localSheetId="33" hidden="1">#REF!</definedName>
    <definedName name="FDP_137_1_aDdv" localSheetId="41" hidden="1">#REF!</definedName>
    <definedName name="FDP_137_1_aDdv" hidden="1">#REF!</definedName>
    <definedName name="FDP_139_1_aUrv" localSheetId="37" hidden="1">#REF!</definedName>
    <definedName name="FDP_139_1_aUrv" localSheetId="17" hidden="1">#REF!</definedName>
    <definedName name="FDP_139_1_aUrv" localSheetId="26" hidden="1">#REF!</definedName>
    <definedName name="FDP_139_1_aUrv" localSheetId="27" hidden="1">#REF!</definedName>
    <definedName name="FDP_139_1_aUrv" localSheetId="30" hidden="1">#REF!</definedName>
    <definedName name="FDP_139_1_aUrv" localSheetId="31" hidden="1">#REF!</definedName>
    <definedName name="FDP_139_1_aUrv" localSheetId="33" hidden="1">#REF!</definedName>
    <definedName name="FDP_139_1_aUrv" localSheetId="41" hidden="1">#REF!</definedName>
    <definedName name="FDP_139_1_aUrv" hidden="1">#REF!</definedName>
    <definedName name="FDP_14_1_aDrv" localSheetId="37" hidden="1">#REF!</definedName>
    <definedName name="FDP_14_1_aDrv" localSheetId="17" hidden="1">#REF!</definedName>
    <definedName name="FDP_14_1_aDrv" localSheetId="26" hidden="1">#REF!</definedName>
    <definedName name="FDP_14_1_aDrv" localSheetId="27" hidden="1">#REF!</definedName>
    <definedName name="FDP_14_1_aDrv" localSheetId="30" hidden="1">#REF!</definedName>
    <definedName name="FDP_14_1_aDrv" localSheetId="31" hidden="1">#REF!</definedName>
    <definedName name="FDP_14_1_aDrv" localSheetId="33" hidden="1">#REF!</definedName>
    <definedName name="FDP_14_1_aDrv" localSheetId="41" hidden="1">#REF!</definedName>
    <definedName name="FDP_14_1_aDrv" hidden="1">#REF!</definedName>
    <definedName name="FDP_140_1_aUrv" localSheetId="37" hidden="1">#REF!</definedName>
    <definedName name="FDP_140_1_aUrv" localSheetId="17" hidden="1">#REF!</definedName>
    <definedName name="FDP_140_1_aUrv" localSheetId="26" hidden="1">#REF!</definedName>
    <definedName name="FDP_140_1_aUrv" localSheetId="27" hidden="1">#REF!</definedName>
    <definedName name="FDP_140_1_aUrv" localSheetId="30" hidden="1">#REF!</definedName>
    <definedName name="FDP_140_1_aUrv" localSheetId="31" hidden="1">#REF!</definedName>
    <definedName name="FDP_140_1_aUrv" localSheetId="33" hidden="1">#REF!</definedName>
    <definedName name="FDP_140_1_aUrv" localSheetId="41" hidden="1">#REF!</definedName>
    <definedName name="FDP_140_1_aUrv" hidden="1">#REF!</definedName>
    <definedName name="FDP_141_1_aUrv" localSheetId="37" hidden="1">#REF!</definedName>
    <definedName name="FDP_141_1_aUrv" localSheetId="17" hidden="1">#REF!</definedName>
    <definedName name="FDP_141_1_aUrv" localSheetId="26" hidden="1">#REF!</definedName>
    <definedName name="FDP_141_1_aUrv" localSheetId="27" hidden="1">#REF!</definedName>
    <definedName name="FDP_141_1_aUrv" localSheetId="30" hidden="1">#REF!</definedName>
    <definedName name="FDP_141_1_aUrv" localSheetId="31" hidden="1">#REF!</definedName>
    <definedName name="FDP_141_1_aUrv" localSheetId="33" hidden="1">#REF!</definedName>
    <definedName name="FDP_141_1_aUrv" localSheetId="41" hidden="1">#REF!</definedName>
    <definedName name="FDP_141_1_aUrv" hidden="1">#REF!</definedName>
    <definedName name="FDP_143_1_aUrv" localSheetId="37" hidden="1">#REF!</definedName>
    <definedName name="FDP_143_1_aUrv" localSheetId="17" hidden="1">#REF!</definedName>
    <definedName name="FDP_143_1_aUrv" localSheetId="26" hidden="1">#REF!</definedName>
    <definedName name="FDP_143_1_aUrv" localSheetId="27" hidden="1">#REF!</definedName>
    <definedName name="FDP_143_1_aUrv" localSheetId="30" hidden="1">#REF!</definedName>
    <definedName name="FDP_143_1_aUrv" localSheetId="31" hidden="1">#REF!</definedName>
    <definedName name="FDP_143_1_aUrv" localSheetId="33" hidden="1">#REF!</definedName>
    <definedName name="FDP_143_1_aUrv" localSheetId="41" hidden="1">#REF!</definedName>
    <definedName name="FDP_143_1_aUrv" hidden="1">#REF!</definedName>
    <definedName name="FDP_144_1_aUrv" localSheetId="37" hidden="1">#REF!</definedName>
    <definedName name="FDP_144_1_aUrv" localSheetId="17" hidden="1">#REF!</definedName>
    <definedName name="FDP_144_1_aUrv" localSheetId="26" hidden="1">#REF!</definedName>
    <definedName name="FDP_144_1_aUrv" localSheetId="27" hidden="1">#REF!</definedName>
    <definedName name="FDP_144_1_aUrv" localSheetId="30" hidden="1">#REF!</definedName>
    <definedName name="FDP_144_1_aUrv" localSheetId="31" hidden="1">#REF!</definedName>
    <definedName name="FDP_144_1_aUrv" localSheetId="33" hidden="1">#REF!</definedName>
    <definedName name="FDP_144_1_aUrv" localSheetId="41" hidden="1">#REF!</definedName>
    <definedName name="FDP_144_1_aUrv" hidden="1">#REF!</definedName>
    <definedName name="FDP_15_1_aDrv" localSheetId="37" hidden="1">#REF!</definedName>
    <definedName name="FDP_15_1_aDrv" localSheetId="17" hidden="1">#REF!</definedName>
    <definedName name="FDP_15_1_aDrv" localSheetId="26" hidden="1">#REF!</definedName>
    <definedName name="FDP_15_1_aDrv" localSheetId="27" hidden="1">#REF!</definedName>
    <definedName name="FDP_15_1_aDrv" localSheetId="30" hidden="1">#REF!</definedName>
    <definedName name="FDP_15_1_aDrv" localSheetId="31" hidden="1">#REF!</definedName>
    <definedName name="FDP_15_1_aDrv" localSheetId="33" hidden="1">#REF!</definedName>
    <definedName name="FDP_15_1_aDrv" localSheetId="41" hidden="1">#REF!</definedName>
    <definedName name="FDP_15_1_aDrv" hidden="1">#REF!</definedName>
    <definedName name="FDP_16_1_aDrv" localSheetId="37" hidden="1">#REF!</definedName>
    <definedName name="FDP_16_1_aDrv" localSheetId="17" hidden="1">#REF!</definedName>
    <definedName name="FDP_16_1_aDrv" localSheetId="26" hidden="1">#REF!</definedName>
    <definedName name="FDP_16_1_aDrv" localSheetId="27" hidden="1">#REF!</definedName>
    <definedName name="FDP_16_1_aDrv" localSheetId="30" hidden="1">#REF!</definedName>
    <definedName name="FDP_16_1_aDrv" localSheetId="31" hidden="1">#REF!</definedName>
    <definedName name="FDP_16_1_aDrv" localSheetId="33" hidden="1">#REF!</definedName>
    <definedName name="FDP_16_1_aDrv" localSheetId="41" hidden="1">#REF!</definedName>
    <definedName name="FDP_16_1_aDrv" hidden="1">#REF!</definedName>
    <definedName name="FDP_17_1_aDrv" localSheetId="37" hidden="1">#REF!</definedName>
    <definedName name="FDP_17_1_aDrv" localSheetId="17" hidden="1">#REF!</definedName>
    <definedName name="FDP_17_1_aDrv" localSheetId="26" hidden="1">#REF!</definedName>
    <definedName name="FDP_17_1_aDrv" localSheetId="27" hidden="1">#REF!</definedName>
    <definedName name="FDP_17_1_aDrv" localSheetId="30" hidden="1">#REF!</definedName>
    <definedName name="FDP_17_1_aDrv" localSheetId="31" hidden="1">#REF!</definedName>
    <definedName name="FDP_17_1_aDrv" localSheetId="33" hidden="1">#REF!</definedName>
    <definedName name="FDP_17_1_aDrv" localSheetId="41" hidden="1">#REF!</definedName>
    <definedName name="FDP_17_1_aDrv" hidden="1">#REF!</definedName>
    <definedName name="FDP_18_1_aDrv" localSheetId="37" hidden="1">#REF!</definedName>
    <definedName name="FDP_18_1_aDrv" localSheetId="17" hidden="1">#REF!</definedName>
    <definedName name="FDP_18_1_aDrv" localSheetId="26" hidden="1">#REF!</definedName>
    <definedName name="FDP_18_1_aDrv" localSheetId="27" hidden="1">#REF!</definedName>
    <definedName name="FDP_18_1_aDrv" localSheetId="30" hidden="1">#REF!</definedName>
    <definedName name="FDP_18_1_aDrv" localSheetId="31" hidden="1">#REF!</definedName>
    <definedName name="FDP_18_1_aDrv" localSheetId="33" hidden="1">#REF!</definedName>
    <definedName name="FDP_18_1_aDrv" localSheetId="41" hidden="1">#REF!</definedName>
    <definedName name="FDP_18_1_aDrv" hidden="1">#REF!</definedName>
    <definedName name="FDP_19_1_aDrv" localSheetId="37" hidden="1">#REF!</definedName>
    <definedName name="FDP_19_1_aDrv" localSheetId="17" hidden="1">#REF!</definedName>
    <definedName name="FDP_19_1_aDrv" localSheetId="26" hidden="1">#REF!</definedName>
    <definedName name="FDP_19_1_aDrv" localSheetId="27" hidden="1">#REF!</definedName>
    <definedName name="FDP_19_1_aDrv" localSheetId="30" hidden="1">#REF!</definedName>
    <definedName name="FDP_19_1_aDrv" localSheetId="31" hidden="1">#REF!</definedName>
    <definedName name="FDP_19_1_aDrv" localSheetId="33" hidden="1">#REF!</definedName>
    <definedName name="FDP_19_1_aDrv" localSheetId="41" hidden="1">#REF!</definedName>
    <definedName name="FDP_19_1_aDrv" hidden="1">#REF!</definedName>
    <definedName name="FDP_20_1_aUrv" localSheetId="37" hidden="1">#REF!</definedName>
    <definedName name="FDP_20_1_aUrv" localSheetId="17" hidden="1">#REF!</definedName>
    <definedName name="FDP_20_1_aUrv" localSheetId="26" hidden="1">#REF!</definedName>
    <definedName name="FDP_20_1_aUrv" localSheetId="27" hidden="1">#REF!</definedName>
    <definedName name="FDP_20_1_aUrv" localSheetId="30" hidden="1">#REF!</definedName>
    <definedName name="FDP_20_1_aUrv" localSheetId="31" hidden="1">#REF!</definedName>
    <definedName name="FDP_20_1_aUrv" localSheetId="33" hidden="1">#REF!</definedName>
    <definedName name="FDP_20_1_aUrv" localSheetId="41" hidden="1">#REF!</definedName>
    <definedName name="FDP_20_1_aUrv" hidden="1">#REF!</definedName>
    <definedName name="FDP_21_1_aUrv" localSheetId="37" hidden="1">#REF!</definedName>
    <definedName name="FDP_21_1_aUrv" localSheetId="17" hidden="1">#REF!</definedName>
    <definedName name="FDP_21_1_aUrv" localSheetId="26" hidden="1">#REF!</definedName>
    <definedName name="FDP_21_1_aUrv" localSheetId="27" hidden="1">#REF!</definedName>
    <definedName name="FDP_21_1_aUrv" localSheetId="30" hidden="1">#REF!</definedName>
    <definedName name="FDP_21_1_aUrv" localSheetId="31" hidden="1">#REF!</definedName>
    <definedName name="FDP_21_1_aUrv" localSheetId="33" hidden="1">#REF!</definedName>
    <definedName name="FDP_21_1_aUrv" localSheetId="41" hidden="1">#REF!</definedName>
    <definedName name="FDP_21_1_aUrv" hidden="1">#REF!</definedName>
    <definedName name="FDP_22_1_aUrv" localSheetId="37" hidden="1">#REF!</definedName>
    <definedName name="FDP_22_1_aUrv" localSheetId="17" hidden="1">#REF!</definedName>
    <definedName name="FDP_22_1_aUrv" localSheetId="26" hidden="1">#REF!</definedName>
    <definedName name="FDP_22_1_aUrv" localSheetId="27" hidden="1">#REF!</definedName>
    <definedName name="FDP_22_1_aUrv" localSheetId="30" hidden="1">#REF!</definedName>
    <definedName name="FDP_22_1_aUrv" localSheetId="31" hidden="1">#REF!</definedName>
    <definedName name="FDP_22_1_aUrv" localSheetId="33" hidden="1">#REF!</definedName>
    <definedName name="FDP_22_1_aUrv" localSheetId="41" hidden="1">#REF!</definedName>
    <definedName name="FDP_22_1_aUrv" hidden="1">#REF!</definedName>
    <definedName name="FDP_23_1_aUrv" localSheetId="37" hidden="1">#REF!</definedName>
    <definedName name="FDP_23_1_aUrv" localSheetId="17" hidden="1">#REF!</definedName>
    <definedName name="FDP_23_1_aUrv" localSheetId="26" hidden="1">#REF!</definedName>
    <definedName name="FDP_23_1_aUrv" localSheetId="27" hidden="1">#REF!</definedName>
    <definedName name="FDP_23_1_aUrv" localSheetId="30" hidden="1">#REF!</definedName>
    <definedName name="FDP_23_1_aUrv" localSheetId="31" hidden="1">#REF!</definedName>
    <definedName name="FDP_23_1_aUrv" localSheetId="33" hidden="1">#REF!</definedName>
    <definedName name="FDP_23_1_aUrv" localSheetId="41" hidden="1">#REF!</definedName>
    <definedName name="FDP_23_1_aUrv" hidden="1">#REF!</definedName>
    <definedName name="FDP_24_1_aUrv" localSheetId="37" hidden="1">#REF!</definedName>
    <definedName name="FDP_24_1_aUrv" localSheetId="17" hidden="1">#REF!</definedName>
    <definedName name="FDP_24_1_aUrv" localSheetId="26" hidden="1">#REF!</definedName>
    <definedName name="FDP_24_1_aUrv" localSheetId="27" hidden="1">#REF!</definedName>
    <definedName name="FDP_24_1_aUrv" localSheetId="30" hidden="1">#REF!</definedName>
    <definedName name="FDP_24_1_aUrv" localSheetId="31" hidden="1">#REF!</definedName>
    <definedName name="FDP_24_1_aUrv" localSheetId="33" hidden="1">#REF!</definedName>
    <definedName name="FDP_24_1_aUrv" localSheetId="41" hidden="1">#REF!</definedName>
    <definedName name="FDP_24_1_aUrv" hidden="1">#REF!</definedName>
    <definedName name="FDP_25_1_aUrv" localSheetId="37" hidden="1">#REF!</definedName>
    <definedName name="FDP_25_1_aUrv" localSheetId="17" hidden="1">#REF!</definedName>
    <definedName name="FDP_25_1_aUrv" localSheetId="26" hidden="1">#REF!</definedName>
    <definedName name="FDP_25_1_aUrv" localSheetId="27" hidden="1">#REF!</definedName>
    <definedName name="FDP_25_1_aUrv" localSheetId="30" hidden="1">#REF!</definedName>
    <definedName name="FDP_25_1_aUrv" localSheetId="31" hidden="1">#REF!</definedName>
    <definedName name="FDP_25_1_aUrv" localSheetId="33" hidden="1">#REF!</definedName>
    <definedName name="FDP_25_1_aUrv" localSheetId="41" hidden="1">#REF!</definedName>
    <definedName name="FDP_25_1_aUrv" hidden="1">#REF!</definedName>
    <definedName name="FDP_26_1_aUrv" localSheetId="37" hidden="1">#REF!</definedName>
    <definedName name="FDP_26_1_aUrv" localSheetId="17" hidden="1">#REF!</definedName>
    <definedName name="FDP_26_1_aUrv" localSheetId="26" hidden="1">#REF!</definedName>
    <definedName name="FDP_26_1_aUrv" localSheetId="27" hidden="1">#REF!</definedName>
    <definedName name="FDP_26_1_aUrv" localSheetId="30" hidden="1">#REF!</definedName>
    <definedName name="FDP_26_1_aUrv" localSheetId="31" hidden="1">#REF!</definedName>
    <definedName name="FDP_26_1_aUrv" localSheetId="33" hidden="1">#REF!</definedName>
    <definedName name="FDP_26_1_aUrv" localSheetId="41" hidden="1">#REF!</definedName>
    <definedName name="FDP_26_1_aUrv" hidden="1">#REF!</definedName>
    <definedName name="FDP_27_1_aUrv" localSheetId="37" hidden="1">#REF!</definedName>
    <definedName name="FDP_27_1_aUrv" localSheetId="17" hidden="1">#REF!</definedName>
    <definedName name="FDP_27_1_aUrv" localSheetId="26" hidden="1">#REF!</definedName>
    <definedName name="FDP_27_1_aUrv" localSheetId="27" hidden="1">#REF!</definedName>
    <definedName name="FDP_27_1_aUrv" localSheetId="30" hidden="1">#REF!</definedName>
    <definedName name="FDP_27_1_aUrv" localSheetId="31" hidden="1">#REF!</definedName>
    <definedName name="FDP_27_1_aUrv" localSheetId="33" hidden="1">#REF!</definedName>
    <definedName name="FDP_27_1_aUrv" localSheetId="41" hidden="1">#REF!</definedName>
    <definedName name="FDP_27_1_aUrv" hidden="1">#REF!</definedName>
    <definedName name="FDP_28_1_aUrv" localSheetId="37" hidden="1">#REF!</definedName>
    <definedName name="FDP_28_1_aUrv" localSheetId="17" hidden="1">#REF!</definedName>
    <definedName name="FDP_28_1_aUrv" localSheetId="26" hidden="1">#REF!</definedName>
    <definedName name="FDP_28_1_aUrv" localSheetId="27" hidden="1">#REF!</definedName>
    <definedName name="FDP_28_1_aUrv" localSheetId="30" hidden="1">#REF!</definedName>
    <definedName name="FDP_28_1_aUrv" localSheetId="31" hidden="1">#REF!</definedName>
    <definedName name="FDP_28_1_aUrv" localSheetId="33" hidden="1">#REF!</definedName>
    <definedName name="FDP_28_1_aUrv" localSheetId="41" hidden="1">#REF!</definedName>
    <definedName name="FDP_28_1_aUrv" hidden="1">#REF!</definedName>
    <definedName name="FDP_280_1_aSrv" localSheetId="37" hidden="1">[72]Forecasts_VDF!#REF!</definedName>
    <definedName name="FDP_280_1_aSrv" localSheetId="17" hidden="1">[72]Forecasts_VDF!#REF!</definedName>
    <definedName name="FDP_280_1_aSrv" localSheetId="26" hidden="1">[72]Forecasts_VDF!#REF!</definedName>
    <definedName name="FDP_280_1_aSrv" localSheetId="27" hidden="1">[72]Forecasts_VDF!#REF!</definedName>
    <definedName name="FDP_280_1_aSrv" localSheetId="30" hidden="1">[72]Forecasts_VDF!#REF!</definedName>
    <definedName name="FDP_280_1_aSrv" localSheetId="31" hidden="1">[72]Forecasts_VDF!#REF!</definedName>
    <definedName name="FDP_280_1_aSrv" localSheetId="33" hidden="1">[72]Forecasts_VDF!#REF!</definedName>
    <definedName name="FDP_280_1_aSrv" localSheetId="41" hidden="1">[72]Forecasts_VDF!#REF!</definedName>
    <definedName name="FDP_280_1_aSrv" hidden="1">[72]Forecasts_VDF!#REF!</definedName>
    <definedName name="FDP_281_1_aSrv" localSheetId="37" hidden="1">[72]Forecasts_VDF!#REF!</definedName>
    <definedName name="FDP_281_1_aSrv" localSheetId="17" hidden="1">[72]Forecasts_VDF!#REF!</definedName>
    <definedName name="FDP_281_1_aSrv" localSheetId="26" hidden="1">[72]Forecasts_VDF!#REF!</definedName>
    <definedName name="FDP_281_1_aSrv" localSheetId="27" hidden="1">[72]Forecasts_VDF!#REF!</definedName>
    <definedName name="FDP_281_1_aSrv" localSheetId="30" hidden="1">[72]Forecasts_VDF!#REF!</definedName>
    <definedName name="FDP_281_1_aSrv" localSheetId="31" hidden="1">[72]Forecasts_VDF!#REF!</definedName>
    <definedName name="FDP_281_1_aSrv" localSheetId="33" hidden="1">[72]Forecasts_VDF!#REF!</definedName>
    <definedName name="FDP_281_1_aSrv" localSheetId="41" hidden="1">[72]Forecasts_VDF!#REF!</definedName>
    <definedName name="FDP_281_1_aSrv" hidden="1">[72]Forecasts_VDF!#REF!</definedName>
    <definedName name="FDP_282_1_aSrv" localSheetId="37" hidden="1">[72]Forecasts_VDF!#REF!</definedName>
    <definedName name="FDP_282_1_aSrv" localSheetId="17" hidden="1">[72]Forecasts_VDF!#REF!</definedName>
    <definedName name="FDP_282_1_aSrv" localSheetId="26" hidden="1">[72]Forecasts_VDF!#REF!</definedName>
    <definedName name="FDP_282_1_aSrv" localSheetId="27" hidden="1">[72]Forecasts_VDF!#REF!</definedName>
    <definedName name="FDP_282_1_aSrv" localSheetId="30" hidden="1">[72]Forecasts_VDF!#REF!</definedName>
    <definedName name="FDP_282_1_aSrv" localSheetId="31" hidden="1">[72]Forecasts_VDF!#REF!</definedName>
    <definedName name="FDP_282_1_aSrv" localSheetId="33" hidden="1">[72]Forecasts_VDF!#REF!</definedName>
    <definedName name="FDP_282_1_aSrv" localSheetId="41" hidden="1">[72]Forecasts_VDF!#REF!</definedName>
    <definedName name="FDP_282_1_aSrv" hidden="1">[72]Forecasts_VDF!#REF!</definedName>
    <definedName name="FDP_283_1_aSrv" localSheetId="37" hidden="1">[72]Forecasts_VDF!#REF!</definedName>
    <definedName name="FDP_283_1_aSrv" localSheetId="17" hidden="1">[72]Forecasts_VDF!#REF!</definedName>
    <definedName name="FDP_283_1_aSrv" localSheetId="26" hidden="1">[72]Forecasts_VDF!#REF!</definedName>
    <definedName name="FDP_283_1_aSrv" localSheetId="27" hidden="1">[72]Forecasts_VDF!#REF!</definedName>
    <definedName name="FDP_283_1_aSrv" localSheetId="30" hidden="1">[72]Forecasts_VDF!#REF!</definedName>
    <definedName name="FDP_283_1_aSrv" localSheetId="31" hidden="1">[72]Forecasts_VDF!#REF!</definedName>
    <definedName name="FDP_283_1_aSrv" localSheetId="33" hidden="1">[72]Forecasts_VDF!#REF!</definedName>
    <definedName name="FDP_283_1_aSrv" localSheetId="41" hidden="1">[72]Forecasts_VDF!#REF!</definedName>
    <definedName name="FDP_283_1_aSrv" hidden="1">[72]Forecasts_VDF!#REF!</definedName>
    <definedName name="FDP_29_1_aUrv" localSheetId="37" hidden="1">#REF!</definedName>
    <definedName name="FDP_29_1_aUrv" localSheetId="17" hidden="1">#REF!</definedName>
    <definedName name="FDP_29_1_aUrv" localSheetId="26" hidden="1">#REF!</definedName>
    <definedName name="FDP_29_1_aUrv" localSheetId="27" hidden="1">#REF!</definedName>
    <definedName name="FDP_29_1_aUrv" localSheetId="30" hidden="1">#REF!</definedName>
    <definedName name="FDP_29_1_aUrv" localSheetId="31" hidden="1">#REF!</definedName>
    <definedName name="FDP_29_1_aUrv" localSheetId="33" hidden="1">#REF!</definedName>
    <definedName name="FDP_29_1_aUrv" localSheetId="41" hidden="1">#REF!</definedName>
    <definedName name="FDP_29_1_aUrv" hidden="1">#REF!</definedName>
    <definedName name="FDP_30_1_aUrv" localSheetId="37" hidden="1">#REF!</definedName>
    <definedName name="FDP_30_1_aUrv" localSheetId="17" hidden="1">#REF!</definedName>
    <definedName name="FDP_30_1_aUrv" localSheetId="26" hidden="1">#REF!</definedName>
    <definedName name="FDP_30_1_aUrv" localSheetId="27" hidden="1">#REF!</definedName>
    <definedName name="FDP_30_1_aUrv" localSheetId="30" hidden="1">#REF!</definedName>
    <definedName name="FDP_30_1_aUrv" localSheetId="31" hidden="1">#REF!</definedName>
    <definedName name="FDP_30_1_aUrv" localSheetId="33" hidden="1">#REF!</definedName>
    <definedName name="FDP_30_1_aUrv" localSheetId="41" hidden="1">#REF!</definedName>
    <definedName name="FDP_30_1_aUrv" hidden="1">#REF!</definedName>
    <definedName name="FDP_31_1_aUrv" localSheetId="37" hidden="1">#REF!</definedName>
    <definedName name="FDP_31_1_aUrv" localSheetId="17" hidden="1">#REF!</definedName>
    <definedName name="FDP_31_1_aUrv" localSheetId="26" hidden="1">#REF!</definedName>
    <definedName name="FDP_31_1_aUrv" localSheetId="27" hidden="1">#REF!</definedName>
    <definedName name="FDP_31_1_aUrv" localSheetId="30" hidden="1">#REF!</definedName>
    <definedName name="FDP_31_1_aUrv" localSheetId="31" hidden="1">#REF!</definedName>
    <definedName name="FDP_31_1_aUrv" localSheetId="33" hidden="1">#REF!</definedName>
    <definedName name="FDP_31_1_aUrv" localSheetId="41" hidden="1">#REF!</definedName>
    <definedName name="FDP_31_1_aUrv" hidden="1">#REF!</definedName>
    <definedName name="FDP_32_1_aUrv" localSheetId="37" hidden="1">#REF!</definedName>
    <definedName name="FDP_32_1_aUrv" localSheetId="17" hidden="1">#REF!</definedName>
    <definedName name="FDP_32_1_aUrv" localSheetId="26" hidden="1">#REF!</definedName>
    <definedName name="FDP_32_1_aUrv" localSheetId="27" hidden="1">#REF!</definedName>
    <definedName name="FDP_32_1_aUrv" localSheetId="30" hidden="1">#REF!</definedName>
    <definedName name="FDP_32_1_aUrv" localSheetId="31" hidden="1">#REF!</definedName>
    <definedName name="FDP_32_1_aUrv" localSheetId="33" hidden="1">#REF!</definedName>
    <definedName name="FDP_32_1_aUrv" localSheetId="41" hidden="1">#REF!</definedName>
    <definedName name="FDP_32_1_aUrv" hidden="1">#REF!</definedName>
    <definedName name="FDP_33_1_aUrv" localSheetId="37" hidden="1">#REF!</definedName>
    <definedName name="FDP_33_1_aUrv" localSheetId="17" hidden="1">#REF!</definedName>
    <definedName name="FDP_33_1_aUrv" localSheetId="26" hidden="1">#REF!</definedName>
    <definedName name="FDP_33_1_aUrv" localSheetId="27" hidden="1">#REF!</definedName>
    <definedName name="FDP_33_1_aUrv" localSheetId="30" hidden="1">#REF!</definedName>
    <definedName name="FDP_33_1_aUrv" localSheetId="31" hidden="1">#REF!</definedName>
    <definedName name="FDP_33_1_aUrv" localSheetId="33" hidden="1">#REF!</definedName>
    <definedName name="FDP_33_1_aUrv" localSheetId="41" hidden="1">#REF!</definedName>
    <definedName name="FDP_33_1_aUrv" hidden="1">#REF!</definedName>
    <definedName name="FDP_34_1_aUrv" localSheetId="37" hidden="1">#REF!</definedName>
    <definedName name="FDP_34_1_aUrv" localSheetId="17" hidden="1">#REF!</definedName>
    <definedName name="FDP_34_1_aUrv" localSheetId="26" hidden="1">#REF!</definedName>
    <definedName name="FDP_34_1_aUrv" localSheetId="27" hidden="1">#REF!</definedName>
    <definedName name="FDP_34_1_aUrv" localSheetId="30" hidden="1">#REF!</definedName>
    <definedName name="FDP_34_1_aUrv" localSheetId="31" hidden="1">#REF!</definedName>
    <definedName name="FDP_34_1_aUrv" localSheetId="33" hidden="1">#REF!</definedName>
    <definedName name="FDP_34_1_aUrv" localSheetId="41" hidden="1">#REF!</definedName>
    <definedName name="FDP_34_1_aUrv" hidden="1">#REF!</definedName>
    <definedName name="FDP_35_1_aUrv" localSheetId="37" hidden="1">#REF!</definedName>
    <definedName name="FDP_35_1_aUrv" localSheetId="17" hidden="1">#REF!</definedName>
    <definedName name="FDP_35_1_aUrv" localSheetId="26" hidden="1">#REF!</definedName>
    <definedName name="FDP_35_1_aUrv" localSheetId="27" hidden="1">#REF!</definedName>
    <definedName name="FDP_35_1_aUrv" localSheetId="30" hidden="1">#REF!</definedName>
    <definedName name="FDP_35_1_aUrv" localSheetId="31" hidden="1">#REF!</definedName>
    <definedName name="FDP_35_1_aUrv" localSheetId="33" hidden="1">#REF!</definedName>
    <definedName name="FDP_35_1_aUrv" localSheetId="41" hidden="1">#REF!</definedName>
    <definedName name="FDP_35_1_aUrv" hidden="1">#REF!</definedName>
    <definedName name="FDP_36_1_aUrv" localSheetId="37" hidden="1">#REF!</definedName>
    <definedName name="FDP_36_1_aUrv" localSheetId="17" hidden="1">#REF!</definedName>
    <definedName name="FDP_36_1_aUrv" localSheetId="26" hidden="1">#REF!</definedName>
    <definedName name="FDP_36_1_aUrv" localSheetId="27" hidden="1">#REF!</definedName>
    <definedName name="FDP_36_1_aUrv" localSheetId="30" hidden="1">#REF!</definedName>
    <definedName name="FDP_36_1_aUrv" localSheetId="31" hidden="1">#REF!</definedName>
    <definedName name="FDP_36_1_aUrv" localSheetId="33" hidden="1">#REF!</definedName>
    <definedName name="FDP_36_1_aUrv" localSheetId="41" hidden="1">#REF!</definedName>
    <definedName name="FDP_36_1_aUrv" hidden="1">#REF!</definedName>
    <definedName name="FDP_37_1_aUrv" localSheetId="37" hidden="1">#REF!</definedName>
    <definedName name="FDP_37_1_aUrv" localSheetId="17" hidden="1">#REF!</definedName>
    <definedName name="FDP_37_1_aUrv" localSheetId="26" hidden="1">#REF!</definedName>
    <definedName name="FDP_37_1_aUrv" localSheetId="27" hidden="1">#REF!</definedName>
    <definedName name="FDP_37_1_aUrv" localSheetId="30" hidden="1">#REF!</definedName>
    <definedName name="FDP_37_1_aUrv" localSheetId="31" hidden="1">#REF!</definedName>
    <definedName name="FDP_37_1_aUrv" localSheetId="33" hidden="1">#REF!</definedName>
    <definedName name="FDP_37_1_aUrv" localSheetId="41" hidden="1">#REF!</definedName>
    <definedName name="FDP_37_1_aUrv" hidden="1">#REF!</definedName>
    <definedName name="FDP_38_1_aUrv" localSheetId="37" hidden="1">#REF!</definedName>
    <definedName name="FDP_38_1_aUrv" localSheetId="17" hidden="1">#REF!</definedName>
    <definedName name="FDP_38_1_aUrv" localSheetId="26" hidden="1">#REF!</definedName>
    <definedName name="FDP_38_1_aUrv" localSheetId="27" hidden="1">#REF!</definedName>
    <definedName name="FDP_38_1_aUrv" localSheetId="30" hidden="1">#REF!</definedName>
    <definedName name="FDP_38_1_aUrv" localSheetId="31" hidden="1">#REF!</definedName>
    <definedName name="FDP_38_1_aUrv" localSheetId="33" hidden="1">#REF!</definedName>
    <definedName name="FDP_38_1_aUrv" localSheetId="41" hidden="1">#REF!</definedName>
    <definedName name="FDP_38_1_aUrv" hidden="1">#REF!</definedName>
    <definedName name="FDP_39_1_aUrv" localSheetId="37" hidden="1">#REF!</definedName>
    <definedName name="FDP_39_1_aUrv" localSheetId="17" hidden="1">#REF!</definedName>
    <definedName name="FDP_39_1_aUrv" localSheetId="26" hidden="1">#REF!</definedName>
    <definedName name="FDP_39_1_aUrv" localSheetId="27" hidden="1">#REF!</definedName>
    <definedName name="FDP_39_1_aUrv" localSheetId="30" hidden="1">#REF!</definedName>
    <definedName name="FDP_39_1_aUrv" localSheetId="31" hidden="1">#REF!</definedName>
    <definedName name="FDP_39_1_aUrv" localSheetId="33" hidden="1">#REF!</definedName>
    <definedName name="FDP_39_1_aUrv" localSheetId="41" hidden="1">#REF!</definedName>
    <definedName name="FDP_39_1_aUrv" hidden="1">#REF!</definedName>
    <definedName name="FDP_41_1_aUrv" localSheetId="37" hidden="1">#REF!</definedName>
    <definedName name="FDP_41_1_aUrv" localSheetId="17" hidden="1">#REF!</definedName>
    <definedName name="FDP_41_1_aUrv" localSheetId="26" hidden="1">#REF!</definedName>
    <definedName name="FDP_41_1_aUrv" localSheetId="27" hidden="1">#REF!</definedName>
    <definedName name="FDP_41_1_aUrv" localSheetId="30" hidden="1">#REF!</definedName>
    <definedName name="FDP_41_1_aUrv" localSheetId="31" hidden="1">#REF!</definedName>
    <definedName name="FDP_41_1_aUrv" localSheetId="33" hidden="1">#REF!</definedName>
    <definedName name="FDP_41_1_aUrv" localSheetId="41" hidden="1">#REF!</definedName>
    <definedName name="FDP_41_1_aUrv" hidden="1">#REF!</definedName>
    <definedName name="FDP_42_1_aUrv" localSheetId="37" hidden="1">#REF!</definedName>
    <definedName name="FDP_42_1_aUrv" localSheetId="17" hidden="1">#REF!</definedName>
    <definedName name="FDP_42_1_aUrv" localSheetId="26" hidden="1">#REF!</definedName>
    <definedName name="FDP_42_1_aUrv" localSheetId="27" hidden="1">#REF!</definedName>
    <definedName name="FDP_42_1_aUrv" localSheetId="30" hidden="1">#REF!</definedName>
    <definedName name="FDP_42_1_aUrv" localSheetId="31" hidden="1">#REF!</definedName>
    <definedName name="FDP_42_1_aUrv" localSheetId="33" hidden="1">#REF!</definedName>
    <definedName name="FDP_42_1_aUrv" localSheetId="41" hidden="1">#REF!</definedName>
    <definedName name="FDP_42_1_aUrv" hidden="1">#REF!</definedName>
    <definedName name="FDP_43_1_aUrv" localSheetId="37" hidden="1">#REF!</definedName>
    <definedName name="FDP_43_1_aUrv" localSheetId="17" hidden="1">#REF!</definedName>
    <definedName name="FDP_43_1_aUrv" localSheetId="26" hidden="1">#REF!</definedName>
    <definedName name="FDP_43_1_aUrv" localSheetId="27" hidden="1">#REF!</definedName>
    <definedName name="FDP_43_1_aUrv" localSheetId="30" hidden="1">#REF!</definedName>
    <definedName name="FDP_43_1_aUrv" localSheetId="31" hidden="1">#REF!</definedName>
    <definedName name="FDP_43_1_aUrv" localSheetId="33" hidden="1">#REF!</definedName>
    <definedName name="FDP_43_1_aUrv" localSheetId="41" hidden="1">#REF!</definedName>
    <definedName name="FDP_43_1_aUrv" hidden="1">#REF!</definedName>
    <definedName name="FDP_44_1_aUrv" localSheetId="37" hidden="1">#REF!</definedName>
    <definedName name="FDP_44_1_aUrv" localSheetId="17" hidden="1">#REF!</definedName>
    <definedName name="FDP_44_1_aUrv" localSheetId="26" hidden="1">#REF!</definedName>
    <definedName name="FDP_44_1_aUrv" localSheetId="27" hidden="1">#REF!</definedName>
    <definedName name="FDP_44_1_aUrv" localSheetId="30" hidden="1">#REF!</definedName>
    <definedName name="FDP_44_1_aUrv" localSheetId="31" hidden="1">#REF!</definedName>
    <definedName name="FDP_44_1_aUrv" localSheetId="33" hidden="1">#REF!</definedName>
    <definedName name="FDP_44_1_aUrv" localSheetId="41" hidden="1">#REF!</definedName>
    <definedName name="FDP_44_1_aUrv" hidden="1">#REF!</definedName>
    <definedName name="FDP_45_1_aUrv" localSheetId="37" hidden="1">#REF!</definedName>
    <definedName name="FDP_45_1_aUrv" localSheetId="17" hidden="1">#REF!</definedName>
    <definedName name="FDP_45_1_aUrv" localSheetId="26" hidden="1">#REF!</definedName>
    <definedName name="FDP_45_1_aUrv" localSheetId="27" hidden="1">#REF!</definedName>
    <definedName name="FDP_45_1_aUrv" localSheetId="30" hidden="1">#REF!</definedName>
    <definedName name="FDP_45_1_aUrv" localSheetId="31" hidden="1">#REF!</definedName>
    <definedName name="FDP_45_1_aUrv" localSheetId="33" hidden="1">#REF!</definedName>
    <definedName name="FDP_45_1_aUrv" localSheetId="41" hidden="1">#REF!</definedName>
    <definedName name="FDP_45_1_aUrv" hidden="1">#REF!</definedName>
    <definedName name="FDP_46_1_aUrv" localSheetId="37" hidden="1">#REF!</definedName>
    <definedName name="FDP_46_1_aUrv" localSheetId="17" hidden="1">#REF!</definedName>
    <definedName name="FDP_46_1_aUrv" localSheetId="26" hidden="1">#REF!</definedName>
    <definedName name="FDP_46_1_aUrv" localSheetId="27" hidden="1">#REF!</definedName>
    <definedName name="FDP_46_1_aUrv" localSheetId="30" hidden="1">#REF!</definedName>
    <definedName name="FDP_46_1_aUrv" localSheetId="31" hidden="1">#REF!</definedName>
    <definedName name="FDP_46_1_aUrv" localSheetId="33" hidden="1">#REF!</definedName>
    <definedName name="FDP_46_1_aUrv" localSheetId="41" hidden="1">#REF!</definedName>
    <definedName name="FDP_46_1_aUrv" hidden="1">#REF!</definedName>
    <definedName name="FDP_47_1_aUrv" localSheetId="37" hidden="1">#REF!</definedName>
    <definedName name="FDP_47_1_aUrv" localSheetId="17" hidden="1">#REF!</definedName>
    <definedName name="FDP_47_1_aUrv" localSheetId="26" hidden="1">#REF!</definedName>
    <definedName name="FDP_47_1_aUrv" localSheetId="27" hidden="1">#REF!</definedName>
    <definedName name="FDP_47_1_aUrv" localSheetId="30" hidden="1">#REF!</definedName>
    <definedName name="FDP_47_1_aUrv" localSheetId="31" hidden="1">#REF!</definedName>
    <definedName name="FDP_47_1_aUrv" localSheetId="33" hidden="1">#REF!</definedName>
    <definedName name="FDP_47_1_aUrv" localSheetId="41" hidden="1">#REF!</definedName>
    <definedName name="FDP_47_1_aUrv" hidden="1">#REF!</definedName>
    <definedName name="FDP_48_1_aUrv" localSheetId="37" hidden="1">#REF!</definedName>
    <definedName name="FDP_48_1_aUrv" localSheetId="17" hidden="1">#REF!</definedName>
    <definedName name="FDP_48_1_aUrv" localSheetId="26" hidden="1">#REF!</definedName>
    <definedName name="FDP_48_1_aUrv" localSheetId="27" hidden="1">#REF!</definedName>
    <definedName name="FDP_48_1_aUrv" localSheetId="30" hidden="1">#REF!</definedName>
    <definedName name="FDP_48_1_aUrv" localSheetId="31" hidden="1">#REF!</definedName>
    <definedName name="FDP_48_1_aUrv" localSheetId="33" hidden="1">#REF!</definedName>
    <definedName name="FDP_48_1_aUrv" localSheetId="41" hidden="1">#REF!</definedName>
    <definedName name="FDP_48_1_aUrv" hidden="1">#REF!</definedName>
    <definedName name="FDP_49_1_aUrv" localSheetId="37" hidden="1">#REF!</definedName>
    <definedName name="FDP_49_1_aUrv" localSheetId="17" hidden="1">#REF!</definedName>
    <definedName name="FDP_49_1_aUrv" localSheetId="26" hidden="1">#REF!</definedName>
    <definedName name="FDP_49_1_aUrv" localSheetId="27" hidden="1">#REF!</definedName>
    <definedName name="FDP_49_1_aUrv" localSheetId="30" hidden="1">#REF!</definedName>
    <definedName name="FDP_49_1_aUrv" localSheetId="31" hidden="1">#REF!</definedName>
    <definedName name="FDP_49_1_aUrv" localSheetId="33" hidden="1">#REF!</definedName>
    <definedName name="FDP_49_1_aUrv" localSheetId="41" hidden="1">#REF!</definedName>
    <definedName name="FDP_49_1_aUrv" hidden="1">#REF!</definedName>
    <definedName name="FDP_50_1_aUrv" localSheetId="37" hidden="1">#REF!</definedName>
    <definedName name="FDP_50_1_aUrv" localSheetId="17" hidden="1">#REF!</definedName>
    <definedName name="FDP_50_1_aUrv" localSheetId="26" hidden="1">#REF!</definedName>
    <definedName name="FDP_50_1_aUrv" localSheetId="27" hidden="1">#REF!</definedName>
    <definedName name="FDP_50_1_aUrv" localSheetId="30" hidden="1">#REF!</definedName>
    <definedName name="FDP_50_1_aUrv" localSheetId="31" hidden="1">#REF!</definedName>
    <definedName name="FDP_50_1_aUrv" localSheetId="33" hidden="1">#REF!</definedName>
    <definedName name="FDP_50_1_aUrv" localSheetId="41" hidden="1">#REF!</definedName>
    <definedName name="FDP_50_1_aUrv" hidden="1">#REF!</definedName>
    <definedName name="FDP_51_1_aUrv" localSheetId="37" hidden="1">#REF!</definedName>
    <definedName name="FDP_51_1_aUrv" localSheetId="17" hidden="1">#REF!</definedName>
    <definedName name="FDP_51_1_aUrv" localSheetId="26" hidden="1">#REF!</definedName>
    <definedName name="FDP_51_1_aUrv" localSheetId="27" hidden="1">#REF!</definedName>
    <definedName name="FDP_51_1_aUrv" localSheetId="30" hidden="1">#REF!</definedName>
    <definedName name="FDP_51_1_aUrv" localSheetId="31" hidden="1">#REF!</definedName>
    <definedName name="FDP_51_1_aUrv" localSheetId="33" hidden="1">#REF!</definedName>
    <definedName name="FDP_51_1_aUrv" localSheetId="41" hidden="1">#REF!</definedName>
    <definedName name="FDP_51_1_aUrv" hidden="1">#REF!</definedName>
    <definedName name="FDP_52_1_aUrv" localSheetId="37" hidden="1">#REF!</definedName>
    <definedName name="FDP_52_1_aUrv" localSheetId="17" hidden="1">#REF!</definedName>
    <definedName name="FDP_52_1_aUrv" localSheetId="26" hidden="1">#REF!</definedName>
    <definedName name="FDP_52_1_aUrv" localSheetId="27" hidden="1">#REF!</definedName>
    <definedName name="FDP_52_1_aUrv" localSheetId="30" hidden="1">#REF!</definedName>
    <definedName name="FDP_52_1_aUrv" localSheetId="31" hidden="1">#REF!</definedName>
    <definedName name="FDP_52_1_aUrv" localSheetId="33" hidden="1">#REF!</definedName>
    <definedName name="FDP_52_1_aUrv" localSheetId="41" hidden="1">#REF!</definedName>
    <definedName name="FDP_52_1_aUrv" hidden="1">#REF!</definedName>
    <definedName name="FDP_53_1_aUrv" localSheetId="37" hidden="1">#REF!</definedName>
    <definedName name="FDP_53_1_aUrv" localSheetId="17" hidden="1">#REF!</definedName>
    <definedName name="FDP_53_1_aUrv" localSheetId="26" hidden="1">#REF!</definedName>
    <definedName name="FDP_53_1_aUrv" localSheetId="27" hidden="1">#REF!</definedName>
    <definedName name="FDP_53_1_aUrv" localSheetId="30" hidden="1">#REF!</definedName>
    <definedName name="FDP_53_1_aUrv" localSheetId="31" hidden="1">#REF!</definedName>
    <definedName name="FDP_53_1_aUrv" localSheetId="33" hidden="1">#REF!</definedName>
    <definedName name="FDP_53_1_aUrv" localSheetId="41" hidden="1">#REF!</definedName>
    <definedName name="FDP_53_1_aUrv" hidden="1">#REF!</definedName>
    <definedName name="FDP_53_1_rUrv" localSheetId="37" hidden="1">#REF!</definedName>
    <definedName name="FDP_53_1_rUrv" localSheetId="17" hidden="1">#REF!</definedName>
    <definedName name="FDP_53_1_rUrv" localSheetId="26" hidden="1">#REF!</definedName>
    <definedName name="FDP_53_1_rUrv" localSheetId="27" hidden="1">#REF!</definedName>
    <definedName name="FDP_53_1_rUrv" localSheetId="30" hidden="1">#REF!</definedName>
    <definedName name="FDP_53_1_rUrv" localSheetId="31" hidden="1">#REF!</definedName>
    <definedName name="FDP_53_1_rUrv" localSheetId="33" hidden="1">#REF!</definedName>
    <definedName name="FDP_53_1_rUrv" localSheetId="41" hidden="1">#REF!</definedName>
    <definedName name="FDP_53_1_rUrv" hidden="1">#REF!</definedName>
    <definedName name="FDP_54_1_aUrv" localSheetId="37" hidden="1">#REF!</definedName>
    <definedName name="FDP_54_1_aUrv" localSheetId="17" hidden="1">#REF!</definedName>
    <definedName name="FDP_54_1_aUrv" localSheetId="26" hidden="1">#REF!</definedName>
    <definedName name="FDP_54_1_aUrv" localSheetId="27" hidden="1">#REF!</definedName>
    <definedName name="FDP_54_1_aUrv" localSheetId="30" hidden="1">#REF!</definedName>
    <definedName name="FDP_54_1_aUrv" localSheetId="31" hidden="1">#REF!</definedName>
    <definedName name="FDP_54_1_aUrv" localSheetId="33" hidden="1">#REF!</definedName>
    <definedName name="FDP_54_1_aUrv" localSheetId="41" hidden="1">#REF!</definedName>
    <definedName name="FDP_54_1_aUrv" hidden="1">#REF!</definedName>
    <definedName name="FDP_55_1_aUrv" localSheetId="37" hidden="1">#REF!</definedName>
    <definedName name="FDP_55_1_aUrv" localSheetId="17" hidden="1">#REF!</definedName>
    <definedName name="FDP_55_1_aUrv" localSheetId="26" hidden="1">#REF!</definedName>
    <definedName name="FDP_55_1_aUrv" localSheetId="27" hidden="1">#REF!</definedName>
    <definedName name="FDP_55_1_aUrv" localSheetId="30" hidden="1">#REF!</definedName>
    <definedName name="FDP_55_1_aUrv" localSheetId="31" hidden="1">#REF!</definedName>
    <definedName name="FDP_55_1_aUrv" localSheetId="33" hidden="1">#REF!</definedName>
    <definedName name="FDP_55_1_aUrv" localSheetId="41" hidden="1">#REF!</definedName>
    <definedName name="FDP_55_1_aUrv" hidden="1">#REF!</definedName>
    <definedName name="FDP_8_1_aDrv" localSheetId="37" hidden="1">#REF!</definedName>
    <definedName name="FDP_8_1_aDrv" localSheetId="17" hidden="1">#REF!</definedName>
    <definedName name="FDP_8_1_aDrv" localSheetId="26" hidden="1">#REF!</definedName>
    <definedName name="FDP_8_1_aDrv" localSheetId="27" hidden="1">#REF!</definedName>
    <definedName name="FDP_8_1_aDrv" localSheetId="30" hidden="1">#REF!</definedName>
    <definedName name="FDP_8_1_aDrv" localSheetId="31" hidden="1">#REF!</definedName>
    <definedName name="FDP_8_1_aDrv" localSheetId="33" hidden="1">#REF!</definedName>
    <definedName name="FDP_8_1_aDrv" localSheetId="41" hidden="1">#REF!</definedName>
    <definedName name="FDP_8_1_aDrv" hidden="1">#REF!</definedName>
    <definedName name="FDP_9_1_aDrv" localSheetId="37" hidden="1">#REF!</definedName>
    <definedName name="FDP_9_1_aDrv" localSheetId="17" hidden="1">#REF!</definedName>
    <definedName name="FDP_9_1_aDrv" localSheetId="26" hidden="1">#REF!</definedName>
    <definedName name="FDP_9_1_aDrv" localSheetId="27" hidden="1">#REF!</definedName>
    <definedName name="FDP_9_1_aDrv" localSheetId="30" hidden="1">#REF!</definedName>
    <definedName name="FDP_9_1_aDrv" localSheetId="31" hidden="1">#REF!</definedName>
    <definedName name="FDP_9_1_aDrv" localSheetId="33" hidden="1">#REF!</definedName>
    <definedName name="FDP_9_1_aDrv" localSheetId="41" hidden="1">#REF!</definedName>
    <definedName name="FDP_9_1_aDrv" hidden="1">#REF!</definedName>
    <definedName name="fds" hidden="1">[32]REAC1!#REF!</definedName>
    <definedName name="FDShares" localSheetId="37">#REF!</definedName>
    <definedName name="FDShares" localSheetId="17">#REF!</definedName>
    <definedName name="FDShares" localSheetId="26">#REF!</definedName>
    <definedName name="FDShares" localSheetId="27">#REF!</definedName>
    <definedName name="FDShares" localSheetId="30">#REF!</definedName>
    <definedName name="FDShares" localSheetId="31">#REF!</definedName>
    <definedName name="FDShares" localSheetId="33">#REF!</definedName>
    <definedName name="FDShares">#REF!</definedName>
    <definedName name="feriados">[73]Feriados!$A$4:$A$75</definedName>
    <definedName name="fershdfa" localSheetId="2" hidden="1">#REF!</definedName>
    <definedName name="fershdfa" localSheetId="4" hidden="1">#REF!</definedName>
    <definedName name="fershdfa" hidden="1">#REF!</definedName>
    <definedName name="FEV" localSheetId="2">#N/A</definedName>
    <definedName name="FEV" localSheetId="4">#N/A</definedName>
    <definedName name="FEV" localSheetId="41">'Preços Unitários'!FEV</definedName>
    <definedName name="FEV" localSheetId="23">'Recursos Humanos 1'!FEV</definedName>
    <definedName name="FEV" localSheetId="38">'Veículos e Equipamentos'!FEV</definedName>
    <definedName name="FEV">'Preços Unitários'!FEV</definedName>
    <definedName name="FF" localSheetId="4">#REF!</definedName>
    <definedName name="FF">#REF!</definedName>
    <definedName name="ffcf">HLOOKUP([66]MATRIX!$M$26,[66]MATRIX!$E$13:$Q$14,2)</definedName>
    <definedName name="FFEAHS" localSheetId="2" hidden="1">#REF!</definedName>
    <definedName name="FFEAHS" localSheetId="4" hidden="1">#REF!</definedName>
    <definedName name="FFEAHS" hidden="1">#REF!</definedName>
    <definedName name="fff" localSheetId="2" hidden="1">{#N/A,#N/A,TRUE,"Serviços"}</definedName>
    <definedName name="fff" localSheetId="4" hidden="1">{#N/A,#N/A,TRUE,"Serviços"}</definedName>
    <definedName name="fff" hidden="1">{#N/A,#N/A,TRUE,"Serviços"}</definedName>
    <definedName name="fffff" hidden="1">#REF!</definedName>
    <definedName name="ffw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" hidden="1">#N/A</definedName>
    <definedName name="fgdfg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dfg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dfg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gggg" localSheetId="2" hidden="1">{#N/A,#N/A,FALSE,"CPV";#N/A,#N/A,FALSE,"Pareto";#N/A,#N/A,FALSE,"Gráficos"}</definedName>
    <definedName name="fggggg" localSheetId="4" hidden="1">{#N/A,#N/A,FALSE,"CPV";#N/A,#N/A,FALSE,"Pareto";#N/A,#N/A,FALSE,"Gráficos"}</definedName>
    <definedName name="fggggg" hidden="1">{#N/A,#N/A,FALSE,"CPV";#N/A,#N/A,FALSE,"Pareto";#N/A,#N/A,FALSE,"Gráficos"}</definedName>
    <definedName name="fhfd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hfd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hfd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LL" hidden="1">#REF!</definedName>
    <definedName name="FILTDOWN" localSheetId="37">#REF!</definedName>
    <definedName name="FILTDOWN" localSheetId="17">#REF!</definedName>
    <definedName name="FILTDOWN" localSheetId="26">#REF!</definedName>
    <definedName name="FILTDOWN" localSheetId="27">#REF!</definedName>
    <definedName name="FILTDOWN" localSheetId="30">#REF!</definedName>
    <definedName name="FILTDOWN" localSheetId="31">#REF!</definedName>
    <definedName name="FILTDOWN" localSheetId="33">#REF!</definedName>
    <definedName name="FILTDOWN">#REF!</definedName>
    <definedName name="FILTMTXD" localSheetId="37">#REF!</definedName>
    <definedName name="FILTMTXD" localSheetId="17">#REF!</definedName>
    <definedName name="FILTMTXD" localSheetId="26">#REF!</definedName>
    <definedName name="FILTMTXD" localSheetId="27">#REF!</definedName>
    <definedName name="FILTMTXD" localSheetId="30">#REF!</definedName>
    <definedName name="FILTMTXD" localSheetId="31">#REF!</definedName>
    <definedName name="FILTMTXD" localSheetId="33">#REF!</definedName>
    <definedName name="FILTMTXD">#REF!</definedName>
    <definedName name="fin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BOX" localSheetId="37">#REF!</definedName>
    <definedName name="FIN_BOX" localSheetId="17">#REF!</definedName>
    <definedName name="FIN_BOX" localSheetId="26">#REF!</definedName>
    <definedName name="FIN_BOX" localSheetId="27">#REF!</definedName>
    <definedName name="FIN_BOX" localSheetId="30">#REF!</definedName>
    <definedName name="FIN_BOX" localSheetId="31">#REF!</definedName>
    <definedName name="FIN_BOX" localSheetId="33">#REF!</definedName>
    <definedName name="FIN_BOX">#REF!</definedName>
    <definedName name="Fin_Table" localSheetId="37">#REF!</definedName>
    <definedName name="Fin_Table" localSheetId="17">#REF!</definedName>
    <definedName name="Fin_Table" localSheetId="26">#REF!</definedName>
    <definedName name="Fin_Table" localSheetId="27">#REF!</definedName>
    <definedName name="Fin_Table" localSheetId="30">#REF!</definedName>
    <definedName name="Fin_Table" localSheetId="31">#REF!</definedName>
    <definedName name="Fin_Table" localSheetId="33">#REF!</definedName>
    <definedName name="Fin_Table">#REF!</definedName>
    <definedName name="Final" localSheetId="2">[74]Assm!$J$17</definedName>
    <definedName name="Final" localSheetId="4">[74]Assm!$J$17</definedName>
    <definedName name="Final">[74]Assm!$J$17</definedName>
    <definedName name="FinalConc">[37]PC!$E$9</definedName>
    <definedName name="Fina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iamento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iamento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iamento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BegofConstruction" localSheetId="37">[75]Investimentos!#REF!</definedName>
    <definedName name="FinBegofConstruction" localSheetId="17">[75]Investimentos!#REF!</definedName>
    <definedName name="FinBegofConstruction" localSheetId="26">[75]Investimentos!#REF!</definedName>
    <definedName name="FinBegofConstruction" localSheetId="27">[75]Investimentos!#REF!</definedName>
    <definedName name="FinBegofConstruction" localSheetId="30">[75]Investimentos!#REF!</definedName>
    <definedName name="FinBegofConstruction" localSheetId="31">[75]Investimentos!#REF!</definedName>
    <definedName name="FinBegofConstruction" localSheetId="33">[75]Investimentos!#REF!</definedName>
    <definedName name="FinBegofConstruction">[75]Investimentos!#REF!</definedName>
    <definedName name="FIPEQUADMER" hidden="1">[23]Plan1!#REF!</definedName>
    <definedName name="firma2" localSheetId="37">#REF!</definedName>
    <definedName name="firma2" localSheetId="17">#REF!</definedName>
    <definedName name="firma2" localSheetId="26">#REF!</definedName>
    <definedName name="firma2" localSheetId="27">#REF!</definedName>
    <definedName name="firma2" localSheetId="30">#REF!</definedName>
    <definedName name="firma2" localSheetId="31">#REF!</definedName>
    <definedName name="firma2" localSheetId="33">#REF!</definedName>
    <definedName name="firma2">#REF!</definedName>
    <definedName name="FirstTick" localSheetId="37">#REF!</definedName>
    <definedName name="FirstTick" localSheetId="17">#REF!</definedName>
    <definedName name="FirstTick" localSheetId="26">#REF!</definedName>
    <definedName name="FirstTick" localSheetId="27">#REF!</definedName>
    <definedName name="FirstTick" localSheetId="30">#REF!</definedName>
    <definedName name="FirstTick" localSheetId="31">#REF!</definedName>
    <definedName name="FirstTick" localSheetId="33">#REF!</definedName>
    <definedName name="FirstTick">#REF!</definedName>
    <definedName name="Fiscal_CN_New" localSheetId="37">'[76]VAT &amp; Fiscal Credits'!#REF!</definedName>
    <definedName name="Fiscal_CN_New" localSheetId="17">'[76]VAT &amp; Fiscal Credits'!#REF!</definedName>
    <definedName name="Fiscal_CN_New" localSheetId="26">'[76]VAT &amp; Fiscal Credits'!#REF!</definedName>
    <definedName name="Fiscal_CN_New" localSheetId="27">'[76]VAT &amp; Fiscal Credits'!#REF!</definedName>
    <definedName name="Fiscal_CN_New" localSheetId="30">'[76]VAT &amp; Fiscal Credits'!#REF!</definedName>
    <definedName name="Fiscal_CN_New" localSheetId="31">'[76]VAT &amp; Fiscal Credits'!#REF!</definedName>
    <definedName name="Fiscal_CN_New" localSheetId="33">'[76]VAT &amp; Fiscal Credits'!#REF!</definedName>
    <definedName name="Fiscal_CN_New">'[76]VAT &amp; Fiscal Credits'!#REF!</definedName>
    <definedName name="Fix_Trns_Table" localSheetId="2">[74]Assm!$J$16:$K$33</definedName>
    <definedName name="Fix_Trns_Table" localSheetId="4">[74]Assm!$J$16:$K$33</definedName>
    <definedName name="Fix_Trns_Table">[74]Assm!$J$16:$K$33</definedName>
    <definedName name="flag_contequity">'[52]#REF'!$D$71</definedName>
    <definedName name="fluxo1">'[58]Conciliação Bancária'!$D$5:$H$2597</definedName>
    <definedName name="fluxo2">'[58]Conciliação Bancária'!$D$5:$I$2597</definedName>
    <definedName name="fluxopagar" localSheetId="4">#REF!</definedName>
    <definedName name="fluxopagar">#REF!</definedName>
    <definedName name="FOLHA01" localSheetId="2" hidden="1">{#N/A,#N/A,TRUE,"Serviços"}</definedName>
    <definedName name="FOLHA01" localSheetId="4" hidden="1">{#N/A,#N/A,TRUE,"Serviços"}</definedName>
    <definedName name="FOLHA01" hidden="1">{#N/A,#N/A,TRUE,"Serviços"}</definedName>
    <definedName name="folha1" localSheetId="2" hidden="1">{#N/A,#N/A,TRUE,"Serviços"}</definedName>
    <definedName name="folha1" localSheetId="4" hidden="1">{#N/A,#N/A,TRUE,"Serviços"}</definedName>
    <definedName name="folha1" hidden="1">{#N/A,#N/A,TRUE,"Serviços"}</definedName>
    <definedName name="foot" localSheetId="37">#REF!</definedName>
    <definedName name="foot" localSheetId="17">#REF!</definedName>
    <definedName name="foot" localSheetId="26">#REF!</definedName>
    <definedName name="foot" localSheetId="27">#REF!</definedName>
    <definedName name="foot" localSheetId="30">#REF!</definedName>
    <definedName name="foot" localSheetId="31">#REF!</definedName>
    <definedName name="foot" localSheetId="33">#REF!</definedName>
    <definedName name="foot">#REF!</definedName>
    <definedName name="footer">'[77]Out_Electric (1)'!$T$52</definedName>
    <definedName name="Footnote1" localSheetId="37">#REF!</definedName>
    <definedName name="Footnote1" localSheetId="17">#REF!</definedName>
    <definedName name="Footnote1" localSheetId="26">#REF!</definedName>
    <definedName name="Footnote1" localSheetId="27">#REF!</definedName>
    <definedName name="Footnote1" localSheetId="30">#REF!</definedName>
    <definedName name="Footnote1" localSheetId="31">#REF!</definedName>
    <definedName name="Footnote1" localSheetId="33">#REF!</definedName>
    <definedName name="Footnote1">#REF!</definedName>
    <definedName name="Footnote2" localSheetId="37">#REF!</definedName>
    <definedName name="Footnote2" localSheetId="17">#REF!</definedName>
    <definedName name="Footnote2" localSheetId="26">#REF!</definedName>
    <definedName name="Footnote2" localSheetId="27">#REF!</definedName>
    <definedName name="Footnote2" localSheetId="30">#REF!</definedName>
    <definedName name="Footnote2" localSheetId="31">#REF!</definedName>
    <definedName name="Footnote2" localSheetId="33">#REF!</definedName>
    <definedName name="Footnote2">#REF!</definedName>
    <definedName name="Footnote3" localSheetId="37">#REF!</definedName>
    <definedName name="Footnote3" localSheetId="17">#REF!</definedName>
    <definedName name="Footnote3" localSheetId="26">#REF!</definedName>
    <definedName name="Footnote3" localSheetId="27">#REF!</definedName>
    <definedName name="Footnote3" localSheetId="30">#REF!</definedName>
    <definedName name="Footnote3" localSheetId="31">#REF!</definedName>
    <definedName name="Footnote3" localSheetId="33">#REF!</definedName>
    <definedName name="Footnote3">#REF!</definedName>
    <definedName name="Footnote4" localSheetId="37">#REF!</definedName>
    <definedName name="Footnote4" localSheetId="17">#REF!</definedName>
    <definedName name="Footnote4" localSheetId="26">#REF!</definedName>
    <definedName name="Footnote4" localSheetId="27">#REF!</definedName>
    <definedName name="Footnote4" localSheetId="30">#REF!</definedName>
    <definedName name="Footnote4" localSheetId="31">#REF!</definedName>
    <definedName name="Footnote4" localSheetId="33">#REF!</definedName>
    <definedName name="Footnote4">#REF!</definedName>
    <definedName name="forecast_year_1" localSheetId="37">#REF!</definedName>
    <definedName name="forecast_year_1" localSheetId="17">#REF!</definedName>
    <definedName name="forecast_year_1" localSheetId="26">#REF!</definedName>
    <definedName name="forecast_year_1" localSheetId="27">#REF!</definedName>
    <definedName name="forecast_year_1" localSheetId="30">#REF!</definedName>
    <definedName name="forecast_year_1" localSheetId="31">#REF!</definedName>
    <definedName name="forecast_year_1" localSheetId="33">#REF!</definedName>
    <definedName name="forecast_year_1">#REF!</definedName>
    <definedName name="forecast_year_2" localSheetId="37">#REF!</definedName>
    <definedName name="forecast_year_2" localSheetId="17">#REF!</definedName>
    <definedName name="forecast_year_2" localSheetId="26">#REF!</definedName>
    <definedName name="forecast_year_2" localSheetId="27">#REF!</definedName>
    <definedName name="forecast_year_2" localSheetId="30">#REF!</definedName>
    <definedName name="forecast_year_2" localSheetId="31">#REF!</definedName>
    <definedName name="forecast_year_2" localSheetId="33">#REF!</definedName>
    <definedName name="forecast_year_2">#REF!</definedName>
    <definedName name="forecast_year_5" localSheetId="37">#REF!</definedName>
    <definedName name="forecast_year_5" localSheetId="17">#REF!</definedName>
    <definedName name="forecast_year_5" localSheetId="26">#REF!</definedName>
    <definedName name="forecast_year_5" localSheetId="27">#REF!</definedName>
    <definedName name="forecast_year_5" localSheetId="30">#REF!</definedName>
    <definedName name="forecast_year_5" localSheetId="31">#REF!</definedName>
    <definedName name="forecast_year_5" localSheetId="33">#REF!</definedName>
    <definedName name="forecast_year_5">#REF!</definedName>
    <definedName name="Forward1" localSheetId="37">#REF!</definedName>
    <definedName name="Forward1" localSheetId="17">#REF!</definedName>
    <definedName name="Forward1" localSheetId="26">#REF!</definedName>
    <definedName name="Forward1" localSheetId="27">#REF!</definedName>
    <definedName name="Forward1" localSheetId="30">#REF!</definedName>
    <definedName name="Forward1" localSheetId="31">#REF!</definedName>
    <definedName name="Forward1" localSheetId="33">#REF!</definedName>
    <definedName name="Forward1">#REF!</definedName>
    <definedName name="Forward2" localSheetId="37">#REF!</definedName>
    <definedName name="Forward2" localSheetId="17">#REF!</definedName>
    <definedName name="Forward2" localSheetId="26">#REF!</definedName>
    <definedName name="Forward2" localSheetId="27">#REF!</definedName>
    <definedName name="Forward2" localSheetId="30">#REF!</definedName>
    <definedName name="Forward2" localSheetId="31">#REF!</definedName>
    <definedName name="Forward2" localSheetId="33">#REF!</definedName>
    <definedName name="Forward2">#REF!</definedName>
    <definedName name="four_scenario" localSheetId="2">#N/A</definedName>
    <definedName name="four_scenario" localSheetId="4">#N/A</definedName>
    <definedName name="four_scenario" localSheetId="41">'Preços Unitários'!four_scenario</definedName>
    <definedName name="four_scenario" localSheetId="23">'Recursos Humanos 1'!four_scenario</definedName>
    <definedName name="four_scenario" localSheetId="38">'Veículos e Equipamentos'!four_scenario</definedName>
    <definedName name="four_scenario">'Preços Unitários'!four_scenario</definedName>
    <definedName name="four_scenarios" localSheetId="2">#N/A</definedName>
    <definedName name="four_scenarios" localSheetId="4">#N/A</definedName>
    <definedName name="four_scenarios" localSheetId="41">'Preços Unitários'!four_scenarios</definedName>
    <definedName name="four_scenarios" localSheetId="23">'Recursos Humanos 1'!four_scenarios</definedName>
    <definedName name="four_scenarios" localSheetId="38">'Veículos e Equipamentos'!four_scenarios</definedName>
    <definedName name="four_scenarios">'Preços Unitários'!four_scenarios</definedName>
    <definedName name="Fox_Pit_1" localSheetId="37">#REF!</definedName>
    <definedName name="Fox_Pit_1" localSheetId="17">#REF!</definedName>
    <definedName name="Fox_Pit_1" localSheetId="26">#REF!</definedName>
    <definedName name="Fox_Pit_1" localSheetId="27">#REF!</definedName>
    <definedName name="Fox_Pit_1" localSheetId="30">#REF!</definedName>
    <definedName name="Fox_Pit_1" localSheetId="31">#REF!</definedName>
    <definedName name="Fox_Pit_1" localSheetId="33">#REF!</definedName>
    <definedName name="Fox_Pit_1">#REF!</definedName>
    <definedName name="Fox_Pit_2" localSheetId="37">#REF!</definedName>
    <definedName name="Fox_Pit_2" localSheetId="17">#REF!</definedName>
    <definedName name="Fox_Pit_2" localSheetId="26">#REF!</definedName>
    <definedName name="Fox_Pit_2" localSheetId="27">#REF!</definedName>
    <definedName name="Fox_Pit_2" localSheetId="30">#REF!</definedName>
    <definedName name="Fox_Pit_2" localSheetId="31">#REF!</definedName>
    <definedName name="Fox_Pit_2" localSheetId="33">#REF!</definedName>
    <definedName name="Fox_Pit_2">#REF!</definedName>
    <definedName name="Fox_Pit_3" localSheetId="37">#REF!</definedName>
    <definedName name="Fox_Pit_3" localSheetId="17">#REF!</definedName>
    <definedName name="Fox_Pit_3" localSheetId="26">#REF!</definedName>
    <definedName name="Fox_Pit_3" localSheetId="27">#REF!</definedName>
    <definedName name="Fox_Pit_3" localSheetId="30">#REF!</definedName>
    <definedName name="Fox_Pit_3" localSheetId="31">#REF!</definedName>
    <definedName name="Fox_Pit_3" localSheetId="33">#REF!</definedName>
    <definedName name="Fox_Pit_3">#REF!</definedName>
    <definedName name="Fox_Pit_4" localSheetId="37">#REF!</definedName>
    <definedName name="Fox_Pit_4" localSheetId="17">#REF!</definedName>
    <definedName name="Fox_Pit_4" localSheetId="26">#REF!</definedName>
    <definedName name="Fox_Pit_4" localSheetId="27">#REF!</definedName>
    <definedName name="Fox_Pit_4" localSheetId="30">#REF!</definedName>
    <definedName name="Fox_Pit_4" localSheetId="31">#REF!</definedName>
    <definedName name="Fox_Pit_4" localSheetId="33">#REF!</definedName>
    <definedName name="Fox_Pit_4">#REF!</definedName>
    <definedName name="Fox_Pit_5" localSheetId="37">#REF!</definedName>
    <definedName name="Fox_Pit_5" localSheetId="17">#REF!</definedName>
    <definedName name="Fox_Pit_5" localSheetId="26">#REF!</definedName>
    <definedName name="Fox_Pit_5" localSheetId="27">#REF!</definedName>
    <definedName name="Fox_Pit_5" localSheetId="30">#REF!</definedName>
    <definedName name="Fox_Pit_5" localSheetId="31">#REF!</definedName>
    <definedName name="Fox_Pit_5" localSheetId="33">#REF!</definedName>
    <definedName name="Fox_Pit_5">#REF!</definedName>
    <definedName name="fqwfdcwvw" hidden="1">#REF!</definedName>
    <definedName name="fqwwfwqfs" hidden="1">#REF!</definedName>
    <definedName name="FR_CLEAR_AREA1" localSheetId="2">'[78]Ratio _Calculations'!$AT$1:$AU$264,'[78]Ratio _Calculations'!$AW$1:$AX$264</definedName>
    <definedName name="FR_CLEAR_AREA1" localSheetId="4">'[78]Ratio _Calculations'!$AT$1:$AU$264,'[78]Ratio _Calculations'!$AW$1:$AX$264</definedName>
    <definedName name="FR_CLEAR_AREA1">'[78]Ratio _Calculations'!$AT$1:$AU$264,'[78]Ratio _Calculations'!$AW$1:$AX$264</definedName>
    <definedName name="FR_CODE_COPY_LINK">" "</definedName>
    <definedName name="FR_CODE_DOWNLOAD_START">" "</definedName>
    <definedName name="FR_CODE_STOCK_LINK">" "</definedName>
    <definedName name="FR_COM_ABBR">"APPB"</definedName>
    <definedName name="FR_COM_ABBR_LINK" localSheetId="37">#REF!</definedName>
    <definedName name="FR_COM_ABBR_LINK" localSheetId="17">#REF!</definedName>
    <definedName name="FR_COM_ABBR_LINK" localSheetId="26">#REF!</definedName>
    <definedName name="FR_COM_ABBR_LINK" localSheetId="27">#REF!</definedName>
    <definedName name="FR_COM_ABBR_LINK" localSheetId="30">#REF!</definedName>
    <definedName name="FR_COM_ABBR_LINK" localSheetId="31">#REF!</definedName>
    <definedName name="FR_COM_ABBR_LINK" localSheetId="33">#REF!</definedName>
    <definedName name="FR_COM_ABBR_LINK">#REF!</definedName>
    <definedName name="FR_COM_AGG">0</definedName>
    <definedName name="FR_COM_NAME_LINK" localSheetId="37">#REF!</definedName>
    <definedName name="FR_COM_NAME_LINK" localSheetId="17">#REF!</definedName>
    <definedName name="FR_COM_NAME_LINK" localSheetId="26">#REF!</definedName>
    <definedName name="FR_COM_NAME_LINK" localSheetId="27">#REF!</definedName>
    <definedName name="FR_COM_NAME_LINK" localSheetId="30">#REF!</definedName>
    <definedName name="FR_COM_NAME_LINK" localSheetId="31">#REF!</definedName>
    <definedName name="FR_COM_NAME_LINK" localSheetId="33">#REF!</definedName>
    <definedName name="FR_COM_NAME_LINK">#REF!</definedName>
    <definedName name="FR_COU_ABBR">"usa"</definedName>
    <definedName name="FR_COU_ABBR_LINK" localSheetId="37">#REF!</definedName>
    <definedName name="FR_COU_ABBR_LINK" localSheetId="17">#REF!</definedName>
    <definedName name="FR_COU_ABBR_LINK" localSheetId="26">#REF!</definedName>
    <definedName name="FR_COU_ABBR_LINK" localSheetId="27">#REF!</definedName>
    <definedName name="FR_COU_ABBR_LINK" localSheetId="30">#REF!</definedName>
    <definedName name="FR_COU_ABBR_LINK" localSheetId="31">#REF!</definedName>
    <definedName name="FR_COU_ABBR_LINK" localSheetId="33">#REF!</definedName>
    <definedName name="FR_COU_ABBR_LINK">#REF!</definedName>
    <definedName name="FR_COU_NAME_LINK" localSheetId="37">#REF!</definedName>
    <definedName name="FR_COU_NAME_LINK" localSheetId="17">#REF!</definedName>
    <definedName name="FR_COU_NAME_LINK" localSheetId="26">#REF!</definedName>
    <definedName name="FR_COU_NAME_LINK" localSheetId="27">#REF!</definedName>
    <definedName name="FR_COU_NAME_LINK" localSheetId="30">#REF!</definedName>
    <definedName name="FR_COU_NAME_LINK" localSheetId="31">#REF!</definedName>
    <definedName name="FR_COU_NAME_LINK" localSheetId="33">#REF!</definedName>
    <definedName name="FR_COU_NAME_LINK">#REF!</definedName>
    <definedName name="FR_DATABOX_DOWNLOAD">"Y"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DS_KEY">1</definedName>
    <definedName name="FR_SHOW_LINK_MARKER">FALSE</definedName>
    <definedName name="FR_START_DATE">"'"</definedName>
    <definedName name="FR_SYBASE_SERVER">"PNYEQFRD01"</definedName>
    <definedName name="FR_TEMPLATE_KEY">"75704|1"</definedName>
    <definedName name="FR_USE_BILLIONS">FALSE</definedName>
    <definedName name="FR_USE_DIMFAC">TRUE</definedName>
    <definedName name="FR_USE_LOCAL_CCY">FALSE</definedName>
    <definedName name="FR_USE_PRICEFACTORING">FALSE</definedName>
    <definedName name="FR_WORKBOOK">"I:\Analise\EMPRESAS\ELECTRIC\COPEL\prjcpl2003.xls"</definedName>
    <definedName name="FRA" localSheetId="37">[29]DCF!#REF!</definedName>
    <definedName name="FRA" localSheetId="17">[29]DCF!#REF!</definedName>
    <definedName name="FRA" localSheetId="26">[29]DCF!#REF!</definedName>
    <definedName name="FRA" localSheetId="27">[29]DCF!#REF!</definedName>
    <definedName name="FRA" localSheetId="30">[29]DCF!#REF!</definedName>
    <definedName name="FRA" localSheetId="31">[29]DCF!#REF!</definedName>
    <definedName name="FRA" localSheetId="33">[29]DCF!#REF!</definedName>
    <definedName name="FRA">[29]DCF!#REF!</definedName>
    <definedName name="Freedom" localSheetId="37">#REF!</definedName>
    <definedName name="Freedom" localSheetId="17">#REF!</definedName>
    <definedName name="Freedom" localSheetId="26">#REF!</definedName>
    <definedName name="Freedom" localSheetId="27">#REF!</definedName>
    <definedName name="Freedom" localSheetId="30">#REF!</definedName>
    <definedName name="Freedom" localSheetId="31">#REF!</definedName>
    <definedName name="Freedom" localSheetId="33">#REF!</definedName>
    <definedName name="Freedom">#REF!</definedName>
    <definedName name="Freq">[67]Argentina!$D$19</definedName>
    <definedName name="fresfg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S" localSheetId="37">[29]DCF!#REF!</definedName>
    <definedName name="FS" localSheetId="17">[29]DCF!#REF!</definedName>
    <definedName name="FS" localSheetId="26">[29]DCF!#REF!</definedName>
    <definedName name="FS" localSheetId="27">[29]DCF!#REF!</definedName>
    <definedName name="FS" localSheetId="30">[29]DCF!#REF!</definedName>
    <definedName name="FS" localSheetId="31">[29]DCF!#REF!</definedName>
    <definedName name="FS" localSheetId="33">[29]DCF!#REF!</definedName>
    <definedName name="FS">[29]DCF!#REF!</definedName>
    <definedName name="fthju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uel_Loss" localSheetId="2">[74]Assm!$F$39</definedName>
    <definedName name="Fuel_Loss" localSheetId="4">[74]Assm!$F$39</definedName>
    <definedName name="Fuel_Loss">[74]Assm!$F$39</definedName>
    <definedName name="Fuel_Rev_Table" localSheetId="2">'[74]EPE Revenues'!$A$12:$T$267</definedName>
    <definedName name="Fuel_Rev_Table" localSheetId="4">'[74]EPE Revenues'!$A$12:$T$267</definedName>
    <definedName name="Fuel_Rev_Table">'[74]EPE Revenues'!$A$12:$T$267</definedName>
    <definedName name="FULLSHARES" localSheetId="37">#REF!</definedName>
    <definedName name="FULLSHARES" localSheetId="17">#REF!</definedName>
    <definedName name="FULLSHARES" localSheetId="26">#REF!</definedName>
    <definedName name="FULLSHARES" localSheetId="27">#REF!</definedName>
    <definedName name="FULLSHARES" localSheetId="30">#REF!</definedName>
    <definedName name="FULLSHARES" localSheetId="31">#REF!</definedName>
    <definedName name="FULLSHARES" localSheetId="33">#REF!</definedName>
    <definedName name="FULLSHARES">#REF!</definedName>
    <definedName name="Fully_Diluted_Shares_Outstanding__Millions" localSheetId="37">#REF!</definedName>
    <definedName name="Fully_Diluted_Shares_Outstanding__Millions" localSheetId="17">#REF!</definedName>
    <definedName name="Fully_Diluted_Shares_Outstanding__Millions" localSheetId="26">#REF!</definedName>
    <definedName name="Fully_Diluted_Shares_Outstanding__Millions" localSheetId="27">#REF!</definedName>
    <definedName name="Fully_Diluted_Shares_Outstanding__Millions" localSheetId="30">#REF!</definedName>
    <definedName name="Fully_Diluted_Shares_Outstanding__Millions" localSheetId="31">#REF!</definedName>
    <definedName name="Fully_Diluted_Shares_Outstanding__Millions" localSheetId="33">#REF!</definedName>
    <definedName name="Fully_Diluted_Shares_Outstanding__Millions">#REF!</definedName>
    <definedName name="fwere">[79]RELATA!$A$1:$AA$335</definedName>
    <definedName name="FYE" localSheetId="37">#REF!</definedName>
    <definedName name="FYE" localSheetId="17">#REF!</definedName>
    <definedName name="FYE" localSheetId="26">#REF!</definedName>
    <definedName name="FYE" localSheetId="27">#REF!</definedName>
    <definedName name="FYE" localSheetId="30">#REF!</definedName>
    <definedName name="FYE" localSheetId="31">#REF!</definedName>
    <definedName name="FYE" localSheetId="33">#REF!</definedName>
    <definedName name="FYE">#REF!</definedName>
    <definedName name="FYE1CapEx" localSheetId="37">#REF!</definedName>
    <definedName name="FYE1CapEx" localSheetId="17">#REF!</definedName>
    <definedName name="FYE1CapEx" localSheetId="26">#REF!</definedName>
    <definedName name="FYE1CapEx" localSheetId="27">#REF!</definedName>
    <definedName name="FYE1CapEx" localSheetId="30">#REF!</definedName>
    <definedName name="FYE1CapEx" localSheetId="31">#REF!</definedName>
    <definedName name="FYE1CapEx" localSheetId="33">#REF!</definedName>
    <definedName name="FYE1CapEx">#REF!</definedName>
    <definedName name="FYE1CashFlow" localSheetId="37">#REF!</definedName>
    <definedName name="FYE1CashFlow" localSheetId="17">#REF!</definedName>
    <definedName name="FYE1CashFlow" localSheetId="26">#REF!</definedName>
    <definedName name="FYE1CashFlow" localSheetId="27">#REF!</definedName>
    <definedName name="FYE1CashFlow" localSheetId="30">#REF!</definedName>
    <definedName name="FYE1CashFlow" localSheetId="31">#REF!</definedName>
    <definedName name="FYE1CashFlow" localSheetId="33">#REF!</definedName>
    <definedName name="FYE1CashFlow">#REF!</definedName>
    <definedName name="FYE1EBIT" localSheetId="37">#REF!</definedName>
    <definedName name="FYE1EBIT" localSheetId="17">#REF!</definedName>
    <definedName name="FYE1EBIT" localSheetId="26">#REF!</definedName>
    <definedName name="FYE1EBIT" localSheetId="27">#REF!</definedName>
    <definedName name="FYE1EBIT" localSheetId="30">#REF!</definedName>
    <definedName name="FYE1EBIT" localSheetId="31">#REF!</definedName>
    <definedName name="FYE1EBIT" localSheetId="33">#REF!</definedName>
    <definedName name="FYE1EBIT">#REF!</definedName>
    <definedName name="FYE1EBITDA" localSheetId="37">#REF!</definedName>
    <definedName name="FYE1EBITDA" localSheetId="17">#REF!</definedName>
    <definedName name="FYE1EBITDA" localSheetId="26">#REF!</definedName>
    <definedName name="FYE1EBITDA" localSheetId="27">#REF!</definedName>
    <definedName name="FYE1EBITDA" localSheetId="30">#REF!</definedName>
    <definedName name="FYE1EBITDA" localSheetId="31">#REF!</definedName>
    <definedName name="FYE1EBITDA" localSheetId="33">#REF!</definedName>
    <definedName name="FYE1EBITDA">#REF!</definedName>
    <definedName name="FYE1GrossProfit" localSheetId="37">#REF!</definedName>
    <definedName name="FYE1GrossProfit" localSheetId="17">#REF!</definedName>
    <definedName name="FYE1GrossProfit" localSheetId="26">#REF!</definedName>
    <definedName name="FYE1GrossProfit" localSheetId="27">#REF!</definedName>
    <definedName name="FYE1GrossProfit" localSheetId="30">#REF!</definedName>
    <definedName name="FYE1GrossProfit" localSheetId="31">#REF!</definedName>
    <definedName name="FYE1GrossProfit" localSheetId="33">#REF!</definedName>
    <definedName name="FYE1GrossProfit">#REF!</definedName>
    <definedName name="FYE1NetInc" localSheetId="37">#REF!</definedName>
    <definedName name="FYE1NetInc" localSheetId="17">#REF!</definedName>
    <definedName name="FYE1NetInc" localSheetId="26">#REF!</definedName>
    <definedName name="FYE1NetInc" localSheetId="27">#REF!</definedName>
    <definedName name="FYE1NetInc" localSheetId="30">#REF!</definedName>
    <definedName name="FYE1NetInc" localSheetId="31">#REF!</definedName>
    <definedName name="FYE1NetInc" localSheetId="33">#REF!</definedName>
    <definedName name="FYE1NetInc">#REF!</definedName>
    <definedName name="FYE1Other1" localSheetId="37">#REF!</definedName>
    <definedName name="FYE1Other1" localSheetId="17">#REF!</definedName>
    <definedName name="FYE1Other1" localSheetId="26">#REF!</definedName>
    <definedName name="FYE1Other1" localSheetId="27">#REF!</definedName>
    <definedName name="FYE1Other1" localSheetId="30">#REF!</definedName>
    <definedName name="FYE1Other1" localSheetId="31">#REF!</definedName>
    <definedName name="FYE1Other1" localSheetId="33">#REF!</definedName>
    <definedName name="FYE1Other1">#REF!</definedName>
    <definedName name="FYE1Other2" localSheetId="37">#REF!</definedName>
    <definedName name="FYE1Other2" localSheetId="17">#REF!</definedName>
    <definedName name="FYE1Other2" localSheetId="26">#REF!</definedName>
    <definedName name="FYE1Other2" localSheetId="27">#REF!</definedName>
    <definedName name="FYE1Other2" localSheetId="30">#REF!</definedName>
    <definedName name="FYE1Other2" localSheetId="31">#REF!</definedName>
    <definedName name="FYE1Other2" localSheetId="33">#REF!</definedName>
    <definedName name="FYE1Other2">#REF!</definedName>
    <definedName name="FYE1Other3" localSheetId="37">#REF!</definedName>
    <definedName name="FYE1Other3" localSheetId="17">#REF!</definedName>
    <definedName name="FYE1Other3" localSheetId="26">#REF!</definedName>
    <definedName name="FYE1Other3" localSheetId="27">#REF!</definedName>
    <definedName name="FYE1Other3" localSheetId="30">#REF!</definedName>
    <definedName name="FYE1Other3" localSheetId="31">#REF!</definedName>
    <definedName name="FYE1Other3" localSheetId="33">#REF!</definedName>
    <definedName name="FYE1Other3">#REF!</definedName>
    <definedName name="FYE1Revenues" localSheetId="37">#REF!</definedName>
    <definedName name="FYE1Revenues" localSheetId="17">#REF!</definedName>
    <definedName name="FYE1Revenues" localSheetId="26">#REF!</definedName>
    <definedName name="FYE1Revenues" localSheetId="27">#REF!</definedName>
    <definedName name="FYE1Revenues" localSheetId="30">#REF!</definedName>
    <definedName name="FYE1Revenues" localSheetId="31">#REF!</definedName>
    <definedName name="FYE1Revenues" localSheetId="33">#REF!</definedName>
    <definedName name="FYE1Revenues">#REF!</definedName>
    <definedName name="FYE1Shares" localSheetId="37">#REF!</definedName>
    <definedName name="FYE1Shares" localSheetId="17">#REF!</definedName>
    <definedName name="FYE1Shares" localSheetId="26">#REF!</definedName>
    <definedName name="FYE1Shares" localSheetId="27">#REF!</definedName>
    <definedName name="FYE1Shares" localSheetId="30">#REF!</definedName>
    <definedName name="FYE1Shares" localSheetId="31">#REF!</definedName>
    <definedName name="FYE1Shares" localSheetId="33">#REF!</definedName>
    <definedName name="FYE1Shares">#REF!</definedName>
    <definedName name="FYE2CapEx" localSheetId="37">#REF!</definedName>
    <definedName name="FYE2CapEx" localSheetId="17">#REF!</definedName>
    <definedName name="FYE2CapEx" localSheetId="26">#REF!</definedName>
    <definedName name="FYE2CapEx" localSheetId="27">#REF!</definedName>
    <definedName name="FYE2CapEx" localSheetId="30">#REF!</definedName>
    <definedName name="FYE2CapEx" localSheetId="31">#REF!</definedName>
    <definedName name="FYE2CapEx" localSheetId="33">#REF!</definedName>
    <definedName name="FYE2CapEx">#REF!</definedName>
    <definedName name="FYE2CashFlow" localSheetId="37">#REF!</definedName>
    <definedName name="FYE2CashFlow" localSheetId="17">#REF!</definedName>
    <definedName name="FYE2CashFlow" localSheetId="26">#REF!</definedName>
    <definedName name="FYE2CashFlow" localSheetId="27">#REF!</definedName>
    <definedName name="FYE2CashFlow" localSheetId="30">#REF!</definedName>
    <definedName name="FYE2CashFlow" localSheetId="31">#REF!</definedName>
    <definedName name="FYE2CashFlow" localSheetId="33">#REF!</definedName>
    <definedName name="FYE2CashFlow">#REF!</definedName>
    <definedName name="FYE2EBIT" localSheetId="37">#REF!</definedName>
    <definedName name="FYE2EBIT" localSheetId="17">#REF!</definedName>
    <definedName name="FYE2EBIT" localSheetId="26">#REF!</definedName>
    <definedName name="FYE2EBIT" localSheetId="27">#REF!</definedName>
    <definedName name="FYE2EBIT" localSheetId="30">#REF!</definedName>
    <definedName name="FYE2EBIT" localSheetId="31">#REF!</definedName>
    <definedName name="FYE2EBIT" localSheetId="33">#REF!</definedName>
    <definedName name="FYE2EBIT">#REF!</definedName>
    <definedName name="FYE2EBITDA" localSheetId="37">#REF!</definedName>
    <definedName name="FYE2EBITDA" localSheetId="17">#REF!</definedName>
    <definedName name="FYE2EBITDA" localSheetId="26">#REF!</definedName>
    <definedName name="FYE2EBITDA" localSheetId="27">#REF!</definedName>
    <definedName name="FYE2EBITDA" localSheetId="30">#REF!</definedName>
    <definedName name="FYE2EBITDA" localSheetId="31">#REF!</definedName>
    <definedName name="FYE2EBITDA" localSheetId="33">#REF!</definedName>
    <definedName name="FYE2EBITDA">#REF!</definedName>
    <definedName name="FYE2GrossProfit" localSheetId="37">#REF!</definedName>
    <definedName name="FYE2GrossProfit" localSheetId="17">#REF!</definedName>
    <definedName name="FYE2GrossProfit" localSheetId="26">#REF!</definedName>
    <definedName name="FYE2GrossProfit" localSheetId="27">#REF!</definedName>
    <definedName name="FYE2GrossProfit" localSheetId="30">#REF!</definedName>
    <definedName name="FYE2GrossProfit" localSheetId="31">#REF!</definedName>
    <definedName name="FYE2GrossProfit" localSheetId="33">#REF!</definedName>
    <definedName name="FYE2GrossProfit">#REF!</definedName>
    <definedName name="FYE2NetInc" localSheetId="37">#REF!</definedName>
    <definedName name="FYE2NetInc" localSheetId="17">#REF!</definedName>
    <definedName name="FYE2NetInc" localSheetId="26">#REF!</definedName>
    <definedName name="FYE2NetInc" localSheetId="27">#REF!</definedName>
    <definedName name="FYE2NetInc" localSheetId="30">#REF!</definedName>
    <definedName name="FYE2NetInc" localSheetId="31">#REF!</definedName>
    <definedName name="FYE2NetInc" localSheetId="33">#REF!</definedName>
    <definedName name="FYE2NetInc">#REF!</definedName>
    <definedName name="FYE2Other1" localSheetId="37">#REF!</definedName>
    <definedName name="FYE2Other1" localSheetId="17">#REF!</definedName>
    <definedName name="FYE2Other1" localSheetId="26">#REF!</definedName>
    <definedName name="FYE2Other1" localSheetId="27">#REF!</definedName>
    <definedName name="FYE2Other1" localSheetId="30">#REF!</definedName>
    <definedName name="FYE2Other1" localSheetId="31">#REF!</definedName>
    <definedName name="FYE2Other1" localSheetId="33">#REF!</definedName>
    <definedName name="FYE2Other1">#REF!</definedName>
    <definedName name="FYE2Other2" localSheetId="37">#REF!</definedName>
    <definedName name="FYE2Other2" localSheetId="17">#REF!</definedName>
    <definedName name="FYE2Other2" localSheetId="26">#REF!</definedName>
    <definedName name="FYE2Other2" localSheetId="27">#REF!</definedName>
    <definedName name="FYE2Other2" localSheetId="30">#REF!</definedName>
    <definedName name="FYE2Other2" localSheetId="31">#REF!</definedName>
    <definedName name="FYE2Other2" localSheetId="33">#REF!</definedName>
    <definedName name="FYE2Other2">#REF!</definedName>
    <definedName name="FYE2Other3" localSheetId="37">#REF!</definedName>
    <definedName name="FYE2Other3" localSheetId="17">#REF!</definedName>
    <definedName name="FYE2Other3" localSheetId="26">#REF!</definedName>
    <definedName name="FYE2Other3" localSheetId="27">#REF!</definedName>
    <definedName name="FYE2Other3" localSheetId="30">#REF!</definedName>
    <definedName name="FYE2Other3" localSheetId="31">#REF!</definedName>
    <definedName name="FYE2Other3" localSheetId="33">#REF!</definedName>
    <definedName name="FYE2Other3">#REF!</definedName>
    <definedName name="FYE2Revenues" localSheetId="37">#REF!</definedName>
    <definedName name="FYE2Revenues" localSheetId="17">#REF!</definedName>
    <definedName name="FYE2Revenues" localSheetId="26">#REF!</definedName>
    <definedName name="FYE2Revenues" localSheetId="27">#REF!</definedName>
    <definedName name="FYE2Revenues" localSheetId="30">#REF!</definedName>
    <definedName name="FYE2Revenues" localSheetId="31">#REF!</definedName>
    <definedName name="FYE2Revenues" localSheetId="33">#REF!</definedName>
    <definedName name="FYE2Revenues">#REF!</definedName>
    <definedName name="FYE2Shares" localSheetId="37">#REF!</definedName>
    <definedName name="FYE2Shares" localSheetId="17">#REF!</definedName>
    <definedName name="FYE2Shares" localSheetId="26">#REF!</definedName>
    <definedName name="FYE2Shares" localSheetId="27">#REF!</definedName>
    <definedName name="FYE2Shares" localSheetId="30">#REF!</definedName>
    <definedName name="FYE2Shares" localSheetId="31">#REF!</definedName>
    <definedName name="FYE2Shares" localSheetId="33">#REF!</definedName>
    <definedName name="FYE2Shares">#REF!</definedName>
    <definedName name="G" localSheetId="2">'[80]implantaçao ater_'!#REF!</definedName>
    <definedName name="G" localSheetId="37">'[80]implantaçao ater_'!#REF!</definedName>
    <definedName name="G" localSheetId="17">'[80]implantaçao ater_'!#REF!</definedName>
    <definedName name="G" localSheetId="4">'[80]implantaçao ater_'!#REF!</definedName>
    <definedName name="G" localSheetId="26">'[80]implantaçao ater_'!#REF!</definedName>
    <definedName name="G" localSheetId="27">'[80]implantaçao ater_'!#REF!</definedName>
    <definedName name="G" localSheetId="30">'[80]implantaçao ater_'!#REF!</definedName>
    <definedName name="G" localSheetId="31">'[80]implantaçao ater_'!#REF!</definedName>
    <definedName name="G" localSheetId="33">'[80]implantaçao ater_'!#REF!</definedName>
    <definedName name="G">'[80]implantaçao ater_'!#REF!</definedName>
    <definedName name="g_7" localSheetId="37">#REF!</definedName>
    <definedName name="g_7" localSheetId="17">#REF!</definedName>
    <definedName name="g_7" localSheetId="26">#REF!</definedName>
    <definedName name="g_7" localSheetId="27">#REF!</definedName>
    <definedName name="g_7" localSheetId="30">#REF!</definedName>
    <definedName name="g_7" localSheetId="31">#REF!</definedName>
    <definedName name="g_7" localSheetId="33">#REF!</definedName>
    <definedName name="g_7">#REF!</definedName>
    <definedName name="garantias">#REF!</definedName>
    <definedName name="Gas_as_a___of_Total" localSheetId="37">#REF!</definedName>
    <definedName name="Gas_as_a___of_Total" localSheetId="17">#REF!</definedName>
    <definedName name="Gas_as_a___of_Total" localSheetId="26">#REF!</definedName>
    <definedName name="Gas_as_a___of_Total" localSheetId="27">#REF!</definedName>
    <definedName name="Gas_as_a___of_Total" localSheetId="30">#REF!</definedName>
    <definedName name="Gas_as_a___of_Total" localSheetId="31">#REF!</definedName>
    <definedName name="Gas_as_a___of_Total" localSheetId="33">#REF!</definedName>
    <definedName name="Gas_as_a___of_Total">#REF!</definedName>
    <definedName name="GAST" localSheetId="2" hidden="1">{#N/A,#N/A,TRUE,"Resumo de Preços"}</definedName>
    <definedName name="GAST" localSheetId="4" hidden="1">{#N/A,#N/A,TRUE,"Resumo de Preços"}</definedName>
    <definedName name="GAST" hidden="1">{#N/A,#N/A,TRUE,"Resumo de Preços"}</definedName>
    <definedName name="GERAL">#REF!</definedName>
    <definedName name="gfhgfhgfh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gfhgfhgfh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gfhgfhgfh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gggg" localSheetId="2" hidden="1">{#N/A,#N/A,TRUE,"Serviços"}</definedName>
    <definedName name="gggg" localSheetId="4" hidden="1">{#N/A,#N/A,TRUE,"Serviços"}</definedName>
    <definedName name="gggg" hidden="1">{#N/A,#N/A,TRUE,"Serviços"}</definedName>
    <definedName name="GGGGGGGGGGGGGGGGGGGGGGGGG" localSheetId="37">#REF!</definedName>
    <definedName name="GGGGGGGGGGGGGGGGGGGGGGGGG" localSheetId="17">#REF!</definedName>
    <definedName name="GGGGGGGGGGGGGGGGGGGGGGGGG" localSheetId="26">#REF!</definedName>
    <definedName name="GGGGGGGGGGGGGGGGGGGGGGGGG" localSheetId="27">#REF!</definedName>
    <definedName name="GGGGGGGGGGGGGGGGGGGGGGGGG" localSheetId="30">#REF!</definedName>
    <definedName name="GGGGGGGGGGGGGGGGGGGGGGGGG" localSheetId="31">#REF!</definedName>
    <definedName name="GGGGGGGGGGGGGGGGGGGGGGGGG" localSheetId="33">#REF!</definedName>
    <definedName name="GGGGGGGGGGGGGGGGGGGGGGGGG">#REF!</definedName>
    <definedName name="Goodwill_Amortization">25</definedName>
    <definedName name="gr" localSheetId="2" hidden="1">{"TotalGeralDespesasPorArea",#N/A,FALSE,"VinculosAccessEfetivo"}</definedName>
    <definedName name="gr" localSheetId="4" hidden="1">{"TotalGeralDespesasPorArea",#N/A,FALSE,"VinculosAccessEfetivo"}</definedName>
    <definedName name="gr" hidden="1">{"TotalGeralDespesasPorArea",#N/A,FALSE,"VinculosAccessEfetivo"}</definedName>
    <definedName name="grafico">[81]sbsp!$A$5:$C$252</definedName>
    <definedName name="_xlnm.Recorder" localSheetId="37">[82]Macro1!#REF!</definedName>
    <definedName name="_xlnm.Recorder" localSheetId="17">[82]Macro1!#REF!</definedName>
    <definedName name="_xlnm.Recorder" localSheetId="26">[82]Macro1!#REF!</definedName>
    <definedName name="_xlnm.Recorder" localSheetId="27">[82]Macro1!#REF!</definedName>
    <definedName name="_xlnm.Recorder" localSheetId="30">[82]Macro1!#REF!</definedName>
    <definedName name="_xlnm.Recorder" localSheetId="31">[82]Macro1!#REF!</definedName>
    <definedName name="_xlnm.Recorder" localSheetId="33">[82]Macro1!#REF!</definedName>
    <definedName name="_xlnm.Recorder">[82]Macro1!#REF!</definedName>
    <definedName name="GrossMargin" localSheetId="37">#REF!</definedName>
    <definedName name="GrossMargin" localSheetId="17">#REF!</definedName>
    <definedName name="GrossMargin" localSheetId="26">#REF!</definedName>
    <definedName name="GrossMargin" localSheetId="27">#REF!</definedName>
    <definedName name="GrossMargin" localSheetId="30">#REF!</definedName>
    <definedName name="GrossMargin" localSheetId="31">#REF!</definedName>
    <definedName name="GrossMargin" localSheetId="33">#REF!</definedName>
    <definedName name="GrossMargin">#REF!</definedName>
    <definedName name="GrossProfit" localSheetId="37">#REF!</definedName>
    <definedName name="GrossProfit" localSheetId="17">#REF!</definedName>
    <definedName name="GrossProfit" localSheetId="26">#REF!</definedName>
    <definedName name="GrossProfit" localSheetId="27">#REF!</definedName>
    <definedName name="GrossProfit" localSheetId="30">#REF!</definedName>
    <definedName name="GrossProfit" localSheetId="31">#REF!</definedName>
    <definedName name="GrossProfit" localSheetId="33">#REF!</definedName>
    <definedName name="GrossProfit">#REF!</definedName>
    <definedName name="GRV" localSheetId="37">#REF!</definedName>
    <definedName name="GRV" localSheetId="17">#REF!</definedName>
    <definedName name="GRV" localSheetId="16">#REF!</definedName>
    <definedName name="GRV" localSheetId="26">#REF!</definedName>
    <definedName name="GRV" localSheetId="27">#REF!</definedName>
    <definedName name="GRV" localSheetId="28">#REF!</definedName>
    <definedName name="GRV" localSheetId="30">#REF!</definedName>
    <definedName name="GRV" localSheetId="31">#REF!</definedName>
    <definedName name="GRV" localSheetId="33">#REF!</definedName>
    <definedName name="GRV">#REF!</definedName>
    <definedName name="GSER">1</definedName>
    <definedName name="gst" localSheetId="37">#REF!</definedName>
    <definedName name="gst" localSheetId="17">#REF!</definedName>
    <definedName name="gst" localSheetId="26">#REF!</definedName>
    <definedName name="gst" localSheetId="27">#REF!</definedName>
    <definedName name="gst" localSheetId="30">#REF!</definedName>
    <definedName name="gst" localSheetId="31">#REF!</definedName>
    <definedName name="gst" localSheetId="33">#REF!</definedName>
    <definedName name="gst">#REF!</definedName>
    <definedName name="gstoptions" localSheetId="37">#REF!</definedName>
    <definedName name="gstoptions" localSheetId="17">#REF!</definedName>
    <definedName name="gstoptions" localSheetId="26">#REF!</definedName>
    <definedName name="gstoptions" localSheetId="27">#REF!</definedName>
    <definedName name="gstoptions" localSheetId="30">#REF!</definedName>
    <definedName name="gstoptions" localSheetId="31">#REF!</definedName>
    <definedName name="gstoptions" localSheetId="33">#REF!</definedName>
    <definedName name="gstoptions">#REF!</definedName>
    <definedName name="gstwarrants" localSheetId="37">#REF!</definedName>
    <definedName name="gstwarrants" localSheetId="17">#REF!</definedName>
    <definedName name="gstwarrants" localSheetId="26">#REF!</definedName>
    <definedName name="gstwarrants" localSheetId="27">#REF!</definedName>
    <definedName name="gstwarrants" localSheetId="30">#REF!</definedName>
    <definedName name="gstwarrants" localSheetId="31">#REF!</definedName>
    <definedName name="gstwarrants" localSheetId="33">#REF!</definedName>
    <definedName name="gstwarrants">#REF!</definedName>
    <definedName name="gtryfj" localSheetId="2" hidden="1">{#N/A,#N/A,TRUE,"Serviços"}</definedName>
    <definedName name="gtryfj" localSheetId="4" hidden="1">{#N/A,#N/A,TRUE,"Serviços"}</definedName>
    <definedName name="gtryfj" hidden="1">{#N/A,#N/A,TRUE,"Serviços"}</definedName>
    <definedName name="gutierrez" localSheetId="2" hidden="1">{"TotalGeralDespesasPorArea",#N/A,FALSE,"VinculosAccessEfetivo"}</definedName>
    <definedName name="gutierrez" localSheetId="4" hidden="1">{"TotalGeralDespesasPorArea",#N/A,FALSE,"VinculosAccessEfetivo"}</definedName>
    <definedName name="gutierrez" hidden="1">{"TotalGeralDespesasPorArea",#N/A,FALSE,"VinculosAccessEfetivo"}</definedName>
    <definedName name="GVA_Análise" hidden="1">[32]REAC1!#REF!</definedName>
    <definedName name="GW" localSheetId="37">[29]DCF!#REF!</definedName>
    <definedName name="GW" localSheetId="17">[29]DCF!#REF!</definedName>
    <definedName name="GW" localSheetId="26">[29]DCF!#REF!</definedName>
    <definedName name="GW" localSheetId="27">[29]DCF!#REF!</definedName>
    <definedName name="GW" localSheetId="30">[29]DCF!#REF!</definedName>
    <definedName name="GW" localSheetId="31">[29]DCF!#REF!</definedName>
    <definedName name="GW" localSheetId="33">[29]DCF!#REF!</definedName>
    <definedName name="GW">[29]DCF!#REF!</definedName>
    <definedName name="h" localSheetId="2" hidden="1">#REF!</definedName>
    <definedName name="h" localSheetId="4" hidden="1">#REF!</definedName>
    <definedName name="h" hidden="1">#REF!</definedName>
    <definedName name="HC_Exp">125</definedName>
    <definedName name="HData" localSheetId="37">#REF!</definedName>
    <definedName name="HData" localSheetId="17">#REF!</definedName>
    <definedName name="HData" localSheetId="26">#REF!</definedName>
    <definedName name="HData" localSheetId="27">#REF!</definedName>
    <definedName name="HData" localSheetId="30">#REF!</definedName>
    <definedName name="HData" localSheetId="31">#REF!</definedName>
    <definedName name="HData" localSheetId="33">#REF!</definedName>
    <definedName name="HData">#REF!</definedName>
    <definedName name="header">'[77]Out_Electric (1)'!$T$1</definedName>
    <definedName name="Header1" localSheetId="2" hidden="1">IF(COUNTA(#REF!)=0,0,INDEX(#REF!,MATCH(ROW(#REF!),#REF!,TRUE)))+1</definedName>
    <definedName name="Header1" localSheetId="4" hidden="1">IF(COUNTA(#REF!)=0,0,INDEX(#REF!,MATCH(ROW(#REF!),#REF!,TRUE)))+1</definedName>
    <definedName name="Header1" hidden="1">IF(COUNTA(#REF!)=0,0,INDEX(#REF!,MATCH(ROW(#REF!),#REF!,TRUE)))+1</definedName>
    <definedName name="Header2" localSheetId="2" hidden="1">[83]!Header1-1 &amp; "." &amp; MAX(1,COUNTA(INDEX(#REF!,MATCH([83]!Header1-1,#REF!,FALSE)):#REF!))</definedName>
    <definedName name="Header2" localSheetId="4" hidden="1">[83]!Header1-1 &amp; "." &amp; MAX(1,COUNTA(INDEX(#REF!,MATCH([83]!Header1-1,#REF!,FALSE)):#REF!))</definedName>
    <definedName name="Header2" hidden="1">[83]!Header1-1 &amp; "." &amp; MAX(1,COUNTA(INDEX(#REF!,MATCH([83]!Header1-1,#REF!,FALSE)):#REF!))</definedName>
    <definedName name="HEURE" localSheetId="37">#REF!</definedName>
    <definedName name="HEURE" localSheetId="17">#REF!</definedName>
    <definedName name="HEURE" localSheetId="26">#REF!</definedName>
    <definedName name="HEURE" localSheetId="27">#REF!</definedName>
    <definedName name="HEURE" localSheetId="30">#REF!</definedName>
    <definedName name="HEURE" localSheetId="31">#REF!</definedName>
    <definedName name="HEURE" localSheetId="33">#REF!</definedName>
    <definedName name="HEURE">#REF!</definedName>
    <definedName name="HEUREBASSE" localSheetId="37">#REF!</definedName>
    <definedName name="HEUREBASSE" localSheetId="17">#REF!</definedName>
    <definedName name="HEUREBASSE" localSheetId="26">#REF!</definedName>
    <definedName name="HEUREBASSE" localSheetId="27">#REF!</definedName>
    <definedName name="HEUREBASSE" localSheetId="30">#REF!</definedName>
    <definedName name="HEUREBASSE" localSheetId="31">#REF!</definedName>
    <definedName name="HEUREBASSE" localSheetId="33">#REF!</definedName>
    <definedName name="HEUREBASSE">#REF!</definedName>
    <definedName name="HEUREHAUTE" localSheetId="37">#REF!</definedName>
    <definedName name="HEUREHAUTE" localSheetId="17">#REF!</definedName>
    <definedName name="HEUREHAUTE" localSheetId="26">#REF!</definedName>
    <definedName name="HEUREHAUTE" localSheetId="27">#REF!</definedName>
    <definedName name="HEUREHAUTE" localSheetId="30">#REF!</definedName>
    <definedName name="HEUREHAUTE" localSheetId="31">#REF!</definedName>
    <definedName name="HEUREHAUTE" localSheetId="33">#REF!</definedName>
    <definedName name="HEUREHAUTE">#REF!</definedName>
    <definedName name="HEUREMOY" localSheetId="37">#REF!</definedName>
    <definedName name="HEUREMOY" localSheetId="17">#REF!</definedName>
    <definedName name="HEUREMOY" localSheetId="26">#REF!</definedName>
    <definedName name="HEUREMOY" localSheetId="27">#REF!</definedName>
    <definedName name="HEUREMOY" localSheetId="30">#REF!</definedName>
    <definedName name="HEUREMOY" localSheetId="31">#REF!</definedName>
    <definedName name="HEUREMOY" localSheetId="33">#REF!</definedName>
    <definedName name="HEUREMOY">#REF!</definedName>
    <definedName name="HH" hidden="1">#REF!</definedName>
    <definedName name="High1" localSheetId="37">#REF!</definedName>
    <definedName name="High1" localSheetId="17">#REF!</definedName>
    <definedName name="High1" localSheetId="26">#REF!</definedName>
    <definedName name="High1" localSheetId="27">#REF!</definedName>
    <definedName name="High1" localSheetId="30">#REF!</definedName>
    <definedName name="High1" localSheetId="31">#REF!</definedName>
    <definedName name="High1" localSheetId="33">#REF!</definedName>
    <definedName name="High1">#REF!</definedName>
    <definedName name="High2" localSheetId="37">#REF!</definedName>
    <definedName name="High2" localSheetId="17">#REF!</definedName>
    <definedName name="High2" localSheetId="26">#REF!</definedName>
    <definedName name="High2" localSheetId="27">#REF!</definedName>
    <definedName name="High2" localSheetId="30">#REF!</definedName>
    <definedName name="High2" localSheetId="31">#REF!</definedName>
    <definedName name="High2" localSheetId="33">#REF!</definedName>
    <definedName name="High2">#REF!</definedName>
    <definedName name="High3" localSheetId="37">#REF!</definedName>
    <definedName name="High3" localSheetId="17">#REF!</definedName>
    <definedName name="High3" localSheetId="26">#REF!</definedName>
    <definedName name="High3" localSheetId="27">#REF!</definedName>
    <definedName name="High3" localSheetId="30">#REF!</definedName>
    <definedName name="High3" localSheetId="31">#REF!</definedName>
    <definedName name="High3" localSheetId="33">#REF!</definedName>
    <definedName name="High3">#REF!</definedName>
    <definedName name="High4" localSheetId="37">#REF!</definedName>
    <definedName name="High4" localSheetId="17">#REF!</definedName>
    <definedName name="High4" localSheetId="26">#REF!</definedName>
    <definedName name="High4" localSheetId="27">#REF!</definedName>
    <definedName name="High4" localSheetId="30">#REF!</definedName>
    <definedName name="High4" localSheetId="31">#REF!</definedName>
    <definedName name="High4" localSheetId="33">#REF!</definedName>
    <definedName name="High4">#REF!</definedName>
    <definedName name="High5" localSheetId="37">#REF!</definedName>
    <definedName name="High5" localSheetId="17">#REF!</definedName>
    <definedName name="High5" localSheetId="26">#REF!</definedName>
    <definedName name="High5" localSheetId="27">#REF!</definedName>
    <definedName name="High5" localSheetId="30">#REF!</definedName>
    <definedName name="High5" localSheetId="31">#REF!</definedName>
    <definedName name="High5" localSheetId="33">#REF!</definedName>
    <definedName name="High5">#REF!</definedName>
    <definedName name="High6" localSheetId="37">#REF!</definedName>
    <definedName name="High6" localSheetId="17">#REF!</definedName>
    <definedName name="High6" localSheetId="26">#REF!</definedName>
    <definedName name="High6" localSheetId="27">#REF!</definedName>
    <definedName name="High6" localSheetId="30">#REF!</definedName>
    <definedName name="High6" localSheetId="31">#REF!</definedName>
    <definedName name="High6" localSheetId="33">#REF!</definedName>
    <definedName name="High6">#REF!</definedName>
    <definedName name="High7" localSheetId="37">#REF!</definedName>
    <definedName name="High7" localSheetId="17">#REF!</definedName>
    <definedName name="High7" localSheetId="26">#REF!</definedName>
    <definedName name="High7" localSheetId="27">#REF!</definedName>
    <definedName name="High7" localSheetId="30">#REF!</definedName>
    <definedName name="High7" localSheetId="31">#REF!</definedName>
    <definedName name="High7" localSheetId="33">#REF!</definedName>
    <definedName name="High7">#REF!</definedName>
    <definedName name="High8" localSheetId="37">#REF!</definedName>
    <definedName name="High8" localSheetId="17">#REF!</definedName>
    <definedName name="High8" localSheetId="26">#REF!</definedName>
    <definedName name="High8" localSheetId="27">#REF!</definedName>
    <definedName name="High8" localSheetId="30">#REF!</definedName>
    <definedName name="High8" localSheetId="31">#REF!</definedName>
    <definedName name="High8" localSheetId="33">#REF!</definedName>
    <definedName name="High8">#REF!</definedName>
    <definedName name="High9" localSheetId="37">#REF!</definedName>
    <definedName name="High9" localSheetId="17">#REF!</definedName>
    <definedName name="High9" localSheetId="26">#REF!</definedName>
    <definedName name="High9" localSheetId="27">#REF!</definedName>
    <definedName name="High9" localSheetId="30">#REF!</definedName>
    <definedName name="High9" localSheetId="31">#REF!</definedName>
    <definedName name="High9" localSheetId="33">#REF!</definedName>
    <definedName name="High9">#REF!</definedName>
    <definedName name="HighDate" localSheetId="37">#REF!</definedName>
    <definedName name="HighDate" localSheetId="17">#REF!</definedName>
    <definedName name="HighDate" localSheetId="26">#REF!</definedName>
    <definedName name="HighDate" localSheetId="27">#REF!</definedName>
    <definedName name="HighDate" localSheetId="30">#REF!</definedName>
    <definedName name="HighDate" localSheetId="31">#REF!</definedName>
    <definedName name="HighDate" localSheetId="33">#REF!</definedName>
    <definedName name="HighDate">#REF!</definedName>
    <definedName name="highempty" localSheetId="37">#REF!</definedName>
    <definedName name="highempty" localSheetId="17">#REF!</definedName>
    <definedName name="highempty" localSheetId="26">#REF!</definedName>
    <definedName name="highempty" localSheetId="27">#REF!</definedName>
    <definedName name="highempty" localSheetId="30">#REF!</definedName>
    <definedName name="highempty" localSheetId="31">#REF!</definedName>
    <definedName name="highempty" localSheetId="33">#REF!</definedName>
    <definedName name="highempty">#REF!</definedName>
    <definedName name="HighPrice" localSheetId="37">#REF!</definedName>
    <definedName name="HighPrice" localSheetId="17">#REF!</definedName>
    <definedName name="HighPrice" localSheetId="26">#REF!</definedName>
    <definedName name="HighPrice" localSheetId="27">#REF!</definedName>
    <definedName name="HighPrice" localSheetId="30">#REF!</definedName>
    <definedName name="HighPrice" localSheetId="31">#REF!</definedName>
    <definedName name="HighPrice" localSheetId="33">#REF!</definedName>
    <definedName name="HighPrice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Eq">#REF!</definedName>
    <definedName name="hthj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L" localSheetId="2" hidden="1">{"'PXR_6500'!$A$1:$I$124"}</definedName>
    <definedName name="HTML" localSheetId="4" hidden="1">{"'PXR_6500'!$A$1:$I$124"}</definedName>
    <definedName name="HTML" hidden="1">{"'PXR_6500'!$A$1:$I$124"}</definedName>
    <definedName name="HTML_CodePage" hidden="1">1252</definedName>
    <definedName name="HTML_Control" localSheetId="2" hidden="1">{"'Índice'!$A$1:$K$49"}</definedName>
    <definedName name="HTML_Control" localSheetId="4" hidden="1">{"'Índice'!$A$1:$K$49"}</definedName>
    <definedName name="HTML_Control" localSheetId="41" hidden="1">{"'Índice'!$A$1:$K$49"}</definedName>
    <definedName name="HTML_Control" localSheetId="23" hidden="1">{"'Índice'!$A$1:$K$49"}</definedName>
    <definedName name="HTML_Control" localSheetId="38" hidden="1">{"'Índice'!$A$1:$K$49"}</definedName>
    <definedName name="HTML_Control" hidden="1">{"'Índice'!$A$1:$K$49"}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 hidden="1">"C:\My Documents\HTMLTemp.htm"</definedName>
    <definedName name="HTML_Title" hidden="1">"Gerência de Administração e Controle de Gestão"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tMo">#REF!</definedName>
    <definedName name="HTT" localSheetId="2" hidden="1">{"'EFETIVO-PIPE-1'!$A$5:$J$46"}</definedName>
    <definedName name="HTT" localSheetId="4" hidden="1">{"'EFETIVO-PIPE-1'!$A$5:$J$46"}</definedName>
    <definedName name="HTT" hidden="1">{"'EFETIVO-PIPE-1'!$A$5:$J$46"}</definedName>
    <definedName name="hyp" localSheetId="37">#REF!</definedName>
    <definedName name="hyp" localSheetId="17">#REF!</definedName>
    <definedName name="hyp" localSheetId="26">#REF!</definedName>
    <definedName name="hyp" localSheetId="27">#REF!</definedName>
    <definedName name="hyp" localSheetId="30">#REF!</definedName>
    <definedName name="hyp" localSheetId="31">#REF!</definedName>
    <definedName name="hyp" localSheetId="33">#REF!</definedName>
    <definedName name="hyp">#REF!</definedName>
    <definedName name="I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I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I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icg" localSheetId="37">#REF!</definedName>
    <definedName name="icg" localSheetId="17">#REF!</definedName>
    <definedName name="icg" localSheetId="26">#REF!</definedName>
    <definedName name="icg" localSheetId="27">#REF!</definedName>
    <definedName name="icg" localSheetId="30">#REF!</definedName>
    <definedName name="icg" localSheetId="31">#REF!</definedName>
    <definedName name="icg" localSheetId="33">#REF!</definedName>
    <definedName name="icg">#REF!</definedName>
    <definedName name="icgoptions" localSheetId="37">#REF!</definedName>
    <definedName name="icgoptions" localSheetId="17">#REF!</definedName>
    <definedName name="icgoptions" localSheetId="26">#REF!</definedName>
    <definedName name="icgoptions" localSheetId="27">#REF!</definedName>
    <definedName name="icgoptions" localSheetId="30">#REF!</definedName>
    <definedName name="icgoptions" localSheetId="31">#REF!</definedName>
    <definedName name="icgoptions" localSheetId="33">#REF!</definedName>
    <definedName name="icgoptions">#REF!</definedName>
    <definedName name="icgwarrants" localSheetId="37">#REF!</definedName>
    <definedName name="icgwarrants" localSheetId="17">#REF!</definedName>
    <definedName name="icgwarrants" localSheetId="26">#REF!</definedName>
    <definedName name="icgwarrants" localSheetId="27">#REF!</definedName>
    <definedName name="icgwarrants" localSheetId="30">#REF!</definedName>
    <definedName name="icgwarrants" localSheetId="31">#REF!</definedName>
    <definedName name="icgwarrants" localSheetId="33">#REF!</definedName>
    <definedName name="icgwarrants">#REF!</definedName>
    <definedName name="icix" localSheetId="37">#REF!</definedName>
    <definedName name="icix" localSheetId="17">#REF!</definedName>
    <definedName name="icix" localSheetId="26">#REF!</definedName>
    <definedName name="icix" localSheetId="27">#REF!</definedName>
    <definedName name="icix" localSheetId="30">#REF!</definedName>
    <definedName name="icix" localSheetId="31">#REF!</definedName>
    <definedName name="icix" localSheetId="33">#REF!</definedName>
    <definedName name="icix">#REF!</definedName>
    <definedName name="icixoptions" localSheetId="37">#REF!</definedName>
    <definedName name="icixoptions" localSheetId="17">#REF!</definedName>
    <definedName name="icixoptions" localSheetId="26">#REF!</definedName>
    <definedName name="icixoptions" localSheetId="27">#REF!</definedName>
    <definedName name="icixoptions" localSheetId="30">#REF!</definedName>
    <definedName name="icixoptions" localSheetId="31">#REF!</definedName>
    <definedName name="icixoptions" localSheetId="33">#REF!</definedName>
    <definedName name="icixoptions">#REF!</definedName>
    <definedName name="icixwarrants" localSheetId="37">#REF!</definedName>
    <definedName name="icixwarrants" localSheetId="17">#REF!</definedName>
    <definedName name="icixwarrants" localSheetId="26">#REF!</definedName>
    <definedName name="icixwarrants" localSheetId="27">#REF!</definedName>
    <definedName name="icixwarrants" localSheetId="30">#REF!</definedName>
    <definedName name="icixwarrants" localSheetId="31">#REF!</definedName>
    <definedName name="icixwarrants" localSheetId="33">#REF!</definedName>
    <definedName name="icixwarrants">#REF!</definedName>
    <definedName name="IDC_TABLE">[84]IDC_FEES!$E$7:$AN$38</definedName>
    <definedName name="Idioma">'[52]#REF'!$G$46</definedName>
    <definedName name="Imob" localSheetId="2" hidden="1">{"TotalGeralDespesasPorArea",#N/A,FALSE,"VinculosAccessEfetivo"}</definedName>
    <definedName name="Imob" localSheetId="4" hidden="1">{"TotalGeralDespesasPorArea",#N/A,FALSE,"VinculosAccessEfetivo"}</definedName>
    <definedName name="Imob" hidden="1">{"TotalGeralDespesasPorArea",#N/A,FALSE,"VinculosAccessEfetivo"}</definedName>
    <definedName name="imobil" localSheetId="2" hidden="1">{"TotalGeralDespesasPorArea",#N/A,FALSE,"VinculosAccessEfetivo"}</definedName>
    <definedName name="imobil" localSheetId="4" hidden="1">{"TotalGeralDespesasPorArea",#N/A,FALSE,"VinculosAccessEfetivo"}</definedName>
    <definedName name="imobil" hidden="1">{"TotalGeralDespesasPorArea",#N/A,FALSE,"VinculosAccessEfetivo"}</definedName>
    <definedName name="imobilizado" localSheetId="2" hidden="1">{"TotalGeralDespesasPorArea",#N/A,FALSE,"VinculosAccessEfetivo"}</definedName>
    <definedName name="imobilizado" localSheetId="4" hidden="1">{"TotalGeralDespesasPorArea",#N/A,FALSE,"VinculosAccessEfetivo"}</definedName>
    <definedName name="imobilizado" hidden="1">{"TotalGeralDespesasPorArea",#N/A,FALSE,"VinculosAccessEfetivo"}</definedName>
    <definedName name="Imp_Nac" localSheetId="37">#REF!</definedName>
    <definedName name="Imp_Nac" localSheetId="17">#REF!</definedName>
    <definedName name="Imp_Nac" localSheetId="26">#REF!</definedName>
    <definedName name="Imp_Nac" localSheetId="27">#REF!</definedName>
    <definedName name="Imp_Nac" localSheetId="30">#REF!</definedName>
    <definedName name="Imp_Nac" localSheetId="31">#REF!</definedName>
    <definedName name="Imp_Nac" localSheetId="33">#REF!</definedName>
    <definedName name="Imp_Nac">#REF!</definedName>
    <definedName name="Imp_Saida" localSheetId="37">#REF!</definedName>
    <definedName name="Imp_Saida" localSheetId="17">#REF!</definedName>
    <definedName name="Imp_Saida" localSheetId="26">#REF!</definedName>
    <definedName name="Imp_Saida" localSheetId="27">#REF!</definedName>
    <definedName name="Imp_Saida" localSheetId="30">#REF!</definedName>
    <definedName name="Imp_Saida" localSheetId="31">#REF!</definedName>
    <definedName name="Imp_Saida" localSheetId="33">#REF!</definedName>
    <definedName name="Imp_Saida">#REF!</definedName>
    <definedName name="IMPRI">#REF!</definedName>
    <definedName name="inclu" localSheetId="2">#N/A</definedName>
    <definedName name="inclu" localSheetId="4">#N/A</definedName>
    <definedName name="inclu" localSheetId="41">'Preços Unitários'!inclu</definedName>
    <definedName name="inclu" localSheetId="23">'Recursos Humanos 1'!inclu</definedName>
    <definedName name="inclu" localSheetId="38">'Veículos e Equipamentos'!inclu</definedName>
    <definedName name="inclu">'Preços Unitários'!inclu</definedName>
    <definedName name="INCOME_STATEMENT" localSheetId="4">#REF!</definedName>
    <definedName name="INCOME_STATEMENT">#REF!</definedName>
    <definedName name="IND" localSheetId="37">#REF!</definedName>
    <definedName name="IND" localSheetId="17">#REF!</definedName>
    <definedName name="IND" localSheetId="26">#REF!</definedName>
    <definedName name="IND" localSheetId="27">#REF!</definedName>
    <definedName name="IND" localSheetId="30">#REF!</definedName>
    <definedName name="IND" localSheetId="31">#REF!</definedName>
    <definedName name="IND" localSheetId="33">#REF!</definedName>
    <definedName name="IND">#REF!</definedName>
    <definedName name="Ind_teste">#REF!</definedName>
    <definedName name="indicadores" localSheetId="37">#REF!</definedName>
    <definedName name="indicadores" localSheetId="17">#REF!</definedName>
    <definedName name="indicadores" localSheetId="26">#REF!</definedName>
    <definedName name="indicadores" localSheetId="27">#REF!</definedName>
    <definedName name="indicadores" localSheetId="30">#REF!</definedName>
    <definedName name="indicadores" localSheetId="31">#REF!</definedName>
    <definedName name="indicadores" localSheetId="33">#REF!</definedName>
    <definedName name="indicadores">#REF!</definedName>
    <definedName name="Indicated_Annual_Dividend" localSheetId="37">#REF!</definedName>
    <definedName name="Indicated_Annual_Dividend" localSheetId="17">#REF!</definedName>
    <definedName name="Indicated_Annual_Dividend" localSheetId="26">#REF!</definedName>
    <definedName name="Indicated_Annual_Dividend" localSheetId="27">#REF!</definedName>
    <definedName name="Indicated_Annual_Dividend" localSheetId="30">#REF!</definedName>
    <definedName name="Indicated_Annual_Dividend" localSheetId="31">#REF!</definedName>
    <definedName name="Indicated_Annual_Dividend" localSheetId="33">#REF!</definedName>
    <definedName name="Indicated_Annual_Dividend">#REF!</definedName>
    <definedName name="Industry" localSheetId="37">#REF!</definedName>
    <definedName name="Industry" localSheetId="17">#REF!</definedName>
    <definedName name="Industry" localSheetId="26">#REF!</definedName>
    <definedName name="Industry" localSheetId="27">#REF!</definedName>
    <definedName name="Industry" localSheetId="30">#REF!</definedName>
    <definedName name="Industry" localSheetId="31">#REF!</definedName>
    <definedName name="Industry" localSheetId="33">#REF!</definedName>
    <definedName name="Industry">#REF!</definedName>
    <definedName name="inf" localSheetId="37">[85]CER!#REF!</definedName>
    <definedName name="inf" localSheetId="17">[85]CER!#REF!</definedName>
    <definedName name="inf" localSheetId="26">[85]CER!#REF!</definedName>
    <definedName name="inf" localSheetId="27">[85]CER!#REF!</definedName>
    <definedName name="inf" localSheetId="30">[85]CER!#REF!</definedName>
    <definedName name="inf" localSheetId="31">[85]CER!#REF!</definedName>
    <definedName name="inf" localSheetId="33">[85]CER!#REF!</definedName>
    <definedName name="inf">[85]CER!#REF!</definedName>
    <definedName name="Inflac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tion">0.03</definedName>
    <definedName name="ini">[81]sbsp!$A$252</definedName>
    <definedName name="iniA">[81]sbsp!$B$252</definedName>
    <definedName name="InicioConc">[37]PC!$E$7</definedName>
    <definedName name="INJMOLD" localSheetId="37">#REF!</definedName>
    <definedName name="INJMOLD" localSheetId="17">#REF!</definedName>
    <definedName name="INJMOLD" localSheetId="26">#REF!</definedName>
    <definedName name="INJMOLD" localSheetId="27">#REF!</definedName>
    <definedName name="INJMOLD" localSheetId="30">#REF!</definedName>
    <definedName name="INJMOLD" localSheetId="31">#REF!</definedName>
    <definedName name="INJMOLD" localSheetId="33">#REF!</definedName>
    <definedName name="INJMOLD">#REF!</definedName>
    <definedName name="INJMTRX1" localSheetId="37">#REF!</definedName>
    <definedName name="INJMTRX1" localSheetId="17">#REF!</definedName>
    <definedName name="INJMTRX1" localSheetId="26">#REF!</definedName>
    <definedName name="INJMTRX1" localSheetId="27">#REF!</definedName>
    <definedName name="INJMTRX1" localSheetId="30">#REF!</definedName>
    <definedName name="INJMTRX1" localSheetId="31">#REF!</definedName>
    <definedName name="INJMTRX1" localSheetId="33">#REF!</definedName>
    <definedName name="INJMTRX1">#REF!</definedName>
    <definedName name="Input_Equity_Shares_Issued" localSheetId="37">[76]Input!#REF!</definedName>
    <definedName name="Input_Equity_Shares_Issued" localSheetId="17">[76]Input!#REF!</definedName>
    <definedName name="Input_Equity_Shares_Issued" localSheetId="26">[76]Input!#REF!</definedName>
    <definedName name="Input_Equity_Shares_Issued" localSheetId="27">[76]Input!#REF!</definedName>
    <definedName name="Input_Equity_Shares_Issued" localSheetId="30">[76]Input!#REF!</definedName>
    <definedName name="Input_Equity_Shares_Issued" localSheetId="31">[76]Input!#REF!</definedName>
    <definedName name="Input_Equity_Shares_Issued" localSheetId="33">[76]Input!#REF!</definedName>
    <definedName name="Input_Equity_Shares_Issued">[76]Input!#REF!</definedName>
    <definedName name="INPUT1" localSheetId="37">[29]DCF!#REF!</definedName>
    <definedName name="INPUT1" localSheetId="17">[29]DCF!#REF!</definedName>
    <definedName name="INPUT1" localSheetId="26">[29]DCF!#REF!</definedName>
    <definedName name="INPUT1" localSheetId="27">[29]DCF!#REF!</definedName>
    <definedName name="INPUT1" localSheetId="30">[29]DCF!#REF!</definedName>
    <definedName name="INPUT1" localSheetId="31">[29]DCF!#REF!</definedName>
    <definedName name="INPUT1" localSheetId="33">[29]DCF!#REF!</definedName>
    <definedName name="INPUT1">[29]DCF!#REF!</definedName>
    <definedName name="INPUT2" localSheetId="37">[29]DCF!#REF!</definedName>
    <definedName name="INPUT2" localSheetId="17">[29]DCF!#REF!</definedName>
    <definedName name="INPUT2" localSheetId="26">[29]DCF!#REF!</definedName>
    <definedName name="INPUT2" localSheetId="27">[29]DCF!#REF!</definedName>
    <definedName name="INPUT2" localSheetId="30">[29]DCF!#REF!</definedName>
    <definedName name="INPUT2" localSheetId="31">[29]DCF!#REF!</definedName>
    <definedName name="INPUT2" localSheetId="33">[29]DCF!#REF!</definedName>
    <definedName name="INPUT2">[29]DCF!#REF!</definedName>
    <definedName name="Install_Factor">0.3</definedName>
    <definedName name="Install_Margin">0.15</definedName>
    <definedName name="Insumos">#REF!</definedName>
    <definedName name="Int_exp">8%</definedName>
    <definedName name="IntangAssets" localSheetId="37">#REF!</definedName>
    <definedName name="IntangAssets" localSheetId="17">#REF!</definedName>
    <definedName name="IntangAssets" localSheetId="26">#REF!</definedName>
    <definedName name="IntangAssets" localSheetId="27">#REF!</definedName>
    <definedName name="IntangAssets" localSheetId="30">#REF!</definedName>
    <definedName name="IntangAssets" localSheetId="31">#REF!</definedName>
    <definedName name="IntangAssets" localSheetId="33">#REF!</definedName>
    <definedName name="IntangAssets">#REF!</definedName>
    <definedName name="Intangible_Assets">89.825</definedName>
    <definedName name="IntExp" localSheetId="37">#REF!</definedName>
    <definedName name="IntExp" localSheetId="17">#REF!</definedName>
    <definedName name="IntExp" localSheetId="26">#REF!</definedName>
    <definedName name="IntExp" localSheetId="27">#REF!</definedName>
    <definedName name="IntExp" localSheetId="30">#REF!</definedName>
    <definedName name="IntExp" localSheetId="31">#REF!</definedName>
    <definedName name="IntExp" localSheetId="33">#REF!</definedName>
    <definedName name="IntExp">#REF!</definedName>
    <definedName name="IntInc" localSheetId="37">#REF!</definedName>
    <definedName name="IntInc" localSheetId="17">#REF!</definedName>
    <definedName name="IntInc" localSheetId="26">#REF!</definedName>
    <definedName name="IntInc" localSheetId="27">#REF!</definedName>
    <definedName name="IntInc" localSheetId="30">#REF!</definedName>
    <definedName name="IntInc" localSheetId="31">#REF!</definedName>
    <definedName name="IntInc" localSheetId="33">#REF!</definedName>
    <definedName name="IntInc">#REF!</definedName>
    <definedName name="inv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ntories" localSheetId="37">#REF!</definedName>
    <definedName name="Inventories" localSheetId="17">#REF!</definedName>
    <definedName name="Inventories" localSheetId="26">#REF!</definedName>
    <definedName name="Inventories" localSheetId="27">#REF!</definedName>
    <definedName name="Inventories" localSheetId="30">#REF!</definedName>
    <definedName name="Inventories" localSheetId="31">#REF!</definedName>
    <definedName name="Inventories" localSheetId="33">#REF!</definedName>
    <definedName name="Inventories">#REF!</definedName>
    <definedName name="inver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ST">'[28]Investimentos '!#REF!</definedName>
    <definedName name="InvestBook" localSheetId="37">#REF!</definedName>
    <definedName name="InvestBook" localSheetId="17">#REF!</definedName>
    <definedName name="InvestBook" localSheetId="26">#REF!</definedName>
    <definedName name="InvestBook" localSheetId="27">#REF!</definedName>
    <definedName name="InvestBook" localSheetId="30">#REF!</definedName>
    <definedName name="InvestBook" localSheetId="31">#REF!</definedName>
    <definedName name="InvestBook" localSheetId="33">#REF!</definedName>
    <definedName name="InvestBook">#REF!</definedName>
    <definedName name="INVESTIMENTO">#REF!</definedName>
    <definedName name="Investments" localSheetId="37">#REF!</definedName>
    <definedName name="Investments" localSheetId="17">#REF!</definedName>
    <definedName name="Investments" localSheetId="26">#REF!</definedName>
    <definedName name="Investments" localSheetId="27">#REF!</definedName>
    <definedName name="Investments" localSheetId="30">#REF!</definedName>
    <definedName name="Investments" localSheetId="31">#REF!</definedName>
    <definedName name="Investments" localSheetId="33">#REF!</definedName>
    <definedName name="Investments">#REF!</definedName>
    <definedName name="IPI_Saida" localSheetId="37">#REF!</definedName>
    <definedName name="IPI_Saida" localSheetId="17">#REF!</definedName>
    <definedName name="IPI_Saida" localSheetId="26">#REF!</definedName>
    <definedName name="IPI_Saida" localSheetId="27">#REF!</definedName>
    <definedName name="IPI_Saida" localSheetId="30">#REF!</definedName>
    <definedName name="IPI_Saida" localSheetId="31">#REF!</definedName>
    <definedName name="IPI_Saida" localSheetId="33">#REF!</definedName>
    <definedName name="IPI_Saida">#REF!</definedName>
    <definedName name="IPPIF" localSheetId="37">[17]summary!#REF!</definedName>
    <definedName name="IPPIF" localSheetId="17">[17]summary!#REF!</definedName>
    <definedName name="IPPIF" localSheetId="26">[17]summary!#REF!</definedName>
    <definedName name="IPPIF" localSheetId="27">[17]summary!#REF!</definedName>
    <definedName name="IPPIF" localSheetId="30">[17]summary!#REF!</definedName>
    <definedName name="IPPIF" localSheetId="31">[17]summary!#REF!</definedName>
    <definedName name="IPPIF" localSheetId="33">[17]summary!#REF!</definedName>
    <definedName name="IPPIF">[17]summary!#REF!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MOODYS" hidden="1">"IQ_BONDRATING_MOODYS"</definedName>
    <definedName name="IQ_BONDRATING_SP" hidden="1">"c224"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OLD" hidden="1">"c1761"</definedName>
    <definedName name="IQ_EST_NUM_HOLD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1367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43078.9708564815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REUT" hidden="1">"c3638"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A6" hidden="1">"$AA$7:$AA$1273"</definedName>
    <definedName name="IQRAB39" hidden="1">"$AB$40:$AB$44"</definedName>
    <definedName name="IQRAbakanAC39" hidden="1">#REF!</definedName>
    <definedName name="IQRAbakanAG39" hidden="1">#REF!</definedName>
    <definedName name="IQRAbakanAI17" hidden="1">#REF!</definedName>
    <definedName name="IQRAbakanAJ17" hidden="1">#REF!</definedName>
    <definedName name="IQRAC39" hidden="1">"$AC$40:$AC$44"</definedName>
    <definedName name="IQRAD17" hidden="1">"$AD$18:$AD$1275"</definedName>
    <definedName name="IQRADT2AC39" hidden="1">#REF!</definedName>
    <definedName name="IQRADT2AG39" hidden="1">#REF!</definedName>
    <definedName name="IQRADT2AI17" hidden="1">#REF!</definedName>
    <definedName name="IQRADT2AJ17" hidden="1">#REF!</definedName>
    <definedName name="IQRADTAC39" hidden="1">#REF!</definedName>
    <definedName name="IQRADTAG39" hidden="1">#REF!</definedName>
    <definedName name="IQRADTAI17" hidden="1">#REF!</definedName>
    <definedName name="IQRADTAJ17" hidden="1">#REF!</definedName>
    <definedName name="IQRAE17" hidden="1">"$AE$18:$AE$1199"</definedName>
    <definedName name="IQRAE19" hidden="1">"$AE$20:$AE$479"</definedName>
    <definedName name="IQRAF17" hidden="1">"$AF$18:$AF$1199"</definedName>
    <definedName name="IQRAG39" hidden="1">"$AG$40:$AG$44"</definedName>
    <definedName name="IQRAgriumAC39" hidden="1">#REF!</definedName>
    <definedName name="IQRAgriumAG39" hidden="1">#REF!</definedName>
    <definedName name="IQRAgriumAI17" hidden="1">#REF!</definedName>
    <definedName name="IQRAgriumAJ17" hidden="1">#REF!</definedName>
    <definedName name="IQRAH17" hidden="1">"$AH$18:$AH$1276"</definedName>
    <definedName name="IQRAI17" hidden="1">"$AI$18:$AI$1277"</definedName>
    <definedName name="IQRAJ17" hidden="1">"$AJ$18:$AJ$1277"</definedName>
    <definedName name="IQRAshlandAC39" hidden="1">#REF!</definedName>
    <definedName name="IQRAshlandAG39" hidden="1">#REF!</definedName>
    <definedName name="IQRAshlandAI17" hidden="1">#REF!</definedName>
    <definedName name="IQRAshlandAJ17" hidden="1">#REF!</definedName>
    <definedName name="IQRAvalonRareMetalsAC39" hidden="1">#REF!</definedName>
    <definedName name="IQRAvalonRareMetalsAG39" hidden="1">#REF!</definedName>
    <definedName name="IQRAvalonRareMetalsAI17" hidden="1">#REF!</definedName>
    <definedName name="IQRAvalonRareMetalsAJ17" hidden="1">#REF!</definedName>
    <definedName name="IQRAvanteAC39" hidden="1">#REF!</definedName>
    <definedName name="IQRAvanteAG39" hidden="1">#REF!</definedName>
    <definedName name="IQRAvanteAI17" hidden="1">#REF!</definedName>
    <definedName name="IQRAvanteAJ17" hidden="1">#REF!</definedName>
    <definedName name="IQRBriChemCorpAC39" hidden="1">#REF!</definedName>
    <definedName name="IQRBriChemCorpAG39" hidden="1">#REF!</definedName>
    <definedName name="IQRBriChemCorpAI17" hidden="1">#REF!</definedName>
    <definedName name="IQRBriChemCorpAJ17" hidden="1">#REF!</definedName>
    <definedName name="IQRCabotCorpAC39" hidden="1">#REF!</definedName>
    <definedName name="IQRCabotCorpAG39" hidden="1">#REF!</definedName>
    <definedName name="IQRCabotCorpAI17" hidden="1">#REF!</definedName>
    <definedName name="IQRCabotCorpAJ17" hidden="1">#REF!</definedName>
    <definedName name="IQRCamargoCorrea2AA36" hidden="1">#REF!</definedName>
    <definedName name="IQRCamargoCorrea2W36" hidden="1">#REF!</definedName>
    <definedName name="IQRCamargoCorreaAA36" hidden="1">#REF!</definedName>
    <definedName name="IQRCamargoCorreaW36" hidden="1">#REF!</definedName>
    <definedName name="IQRCelaneseCorpAC39" hidden="1">#REF!</definedName>
    <definedName name="IQRCelaneseCorpAG39" hidden="1">#REF!</definedName>
    <definedName name="IQRCelaneseCorpAI17" hidden="1">#REF!</definedName>
    <definedName name="IQRCelaneseCorpAJ17" hidden="1">#REF!</definedName>
    <definedName name="IQRCERFAC39" hidden="1">#REF!</definedName>
    <definedName name="IQRCERFAG39" hidden="1">#REF!</definedName>
    <definedName name="IQRCERFAI17" hidden="1">#REF!</definedName>
    <definedName name="IQRCERFAJ17" hidden="1">#REF!</definedName>
    <definedName name="IQRCERFIncAC39" hidden="1">#REF!</definedName>
    <definedName name="IQRCERFIncAG39" hidden="1">#REF!</definedName>
    <definedName name="IQRCERFIncAI17" hidden="1">#REF!</definedName>
    <definedName name="IQRCERFIncAJ17" hidden="1">#REF!</definedName>
    <definedName name="IQRCFIndustriesAC39" hidden="1">#REF!</definedName>
    <definedName name="IQRCFIndustriesAG39" hidden="1">#REF!</definedName>
    <definedName name="IQRCFIndustriesAI17" hidden="1">#REF!</definedName>
    <definedName name="IQRCFIndustriesAJ17" hidden="1">#REF!</definedName>
    <definedName name="IQRChorusAviation2AC39" hidden="1">#REF!</definedName>
    <definedName name="IQRChorusAviation2AG39" hidden="1">#REF!</definedName>
    <definedName name="IQRChorusAviation2AI17" hidden="1">#REF!</definedName>
    <definedName name="IQRChorusAviation2AJ17" hidden="1">#REF!</definedName>
    <definedName name="IQRChorusAviationAC39" hidden="1">#REF!</definedName>
    <definedName name="IQRChorusAviationAG39" hidden="1">#REF!</definedName>
    <definedName name="IQRChorusAviationAI17" hidden="1">#REF!</definedName>
    <definedName name="IQRChorusAviationAJ17" hidden="1">#REF!</definedName>
    <definedName name="IQRCipherAC39" hidden="1">#REF!</definedName>
    <definedName name="IQRCipherAG39" hidden="1">#REF!</definedName>
    <definedName name="IQRCipherAI17" hidden="1">#REF!</definedName>
    <definedName name="IQRCipherAJ17" hidden="1">#REF!</definedName>
    <definedName name="IQRCogecoAC39" hidden="1">#REF!</definedName>
    <definedName name="IQRCogecoAG39" hidden="1">#REF!</definedName>
    <definedName name="IQRCogecoAI17" hidden="1">#REF!</definedName>
    <definedName name="IQRCogecoAJ17" hidden="1">#REF!</definedName>
    <definedName name="IQRColaborAC39" hidden="1">#REF!</definedName>
    <definedName name="IQRColaborAG39" hidden="1">#REF!</definedName>
    <definedName name="IQRColaborAI17" hidden="1">#REF!</definedName>
    <definedName name="IQRColaborAJ17" hidden="1">#REF!</definedName>
    <definedName name="IQRCoreMoldingAC39" hidden="1">#REF!</definedName>
    <definedName name="IQRCoreMoldingAG39" hidden="1">#REF!</definedName>
    <definedName name="IQRCoreMoldingAI17" hidden="1">#REF!</definedName>
    <definedName name="IQRCoreMoldingAJ17" hidden="1">#REF!</definedName>
    <definedName name="IQRCottCorpAC39" hidden="1">#REF!</definedName>
    <definedName name="IQRCottCorpAG39" hidden="1">#REF!</definedName>
    <definedName name="IQRCottCorpAI17" hidden="1">#REF!</definedName>
    <definedName name="IQRCottCorpAJ17" hidden="1">#REF!</definedName>
    <definedName name="IQRCrailarAC39" hidden="1">#REF!</definedName>
    <definedName name="IQRCrailarAG39" hidden="1">#REF!</definedName>
    <definedName name="IQRCrailarAI17" hidden="1">#REF!</definedName>
    <definedName name="IQRCrailarAJ17" hidden="1">#REF!</definedName>
    <definedName name="IQRCVTechGroupAC39" hidden="1">#REF!</definedName>
    <definedName name="IQRCVTechGroupAG39" hidden="1">#REF!</definedName>
    <definedName name="IQRCVTechGroupAI17" hidden="1">#REF!</definedName>
    <definedName name="IQRCVTechGroupAJ17" hidden="1">#REF!</definedName>
    <definedName name="IQRDataGroup2AC39" hidden="1">#REF!</definedName>
    <definedName name="IQRDataGroup2AG39" hidden="1">#REF!</definedName>
    <definedName name="IQRDataGroup2AI17" hidden="1">#REF!</definedName>
    <definedName name="IQRDataGroup2AJ17" hidden="1">#REF!</definedName>
    <definedName name="IQRDataGroupAC39" hidden="1">#REF!</definedName>
    <definedName name="IQRDataGroupAG39" hidden="1">#REF!</definedName>
    <definedName name="IQRDataGroupAI17" hidden="1">#REF!</definedName>
    <definedName name="IQRDataGroupAJ17" hidden="1">#REF!</definedName>
    <definedName name="IQRDataGroupLtdAC39" hidden="1">#REF!</definedName>
    <definedName name="IQRDataGroupLtdAG39" hidden="1">#REF!</definedName>
    <definedName name="IQRDataGroupLtdAI17" hidden="1">#REF!</definedName>
    <definedName name="IQRDataGroupLtdAJ17" hidden="1">#REF!</definedName>
    <definedName name="IQRDiscoveryAirAC39" hidden="1">#REF!</definedName>
    <definedName name="IQRDiscoveryAirAG39" hidden="1">#REF!</definedName>
    <definedName name="IQRDiscoveryAirAI17" hidden="1">#REF!</definedName>
    <definedName name="IQRDiscoveryAirAJ17" hidden="1">#REF!</definedName>
    <definedName name="IQREmpireCoAC39" hidden="1">#REF!</definedName>
    <definedName name="IQREmpireCoAG39" hidden="1">#REF!</definedName>
    <definedName name="IQREmpireCoAI17" hidden="1">#REF!</definedName>
    <definedName name="IQREmpireCoAJ17" hidden="1">#REF!</definedName>
    <definedName name="IQREnergoldDrillingAC39" hidden="1">#REF!</definedName>
    <definedName name="IQREnergoldDrillingAG39" hidden="1">#REF!</definedName>
    <definedName name="IQREnergoldDrillingAI17" hidden="1">#REF!</definedName>
    <definedName name="IQREnergoldDrillingAJ17" hidden="1">#REF!</definedName>
    <definedName name="IQRForacoInternationalAC39" hidden="1">#REF!</definedName>
    <definedName name="IQRForacoInternationalAG39" hidden="1">#REF!</definedName>
    <definedName name="IQRForacoInternationalAI17" hidden="1">#REF!</definedName>
    <definedName name="IQRForacoInternationalAJ17" hidden="1">#REF!</definedName>
    <definedName name="IQRFortressPaperAC39" hidden="1">#REF!</definedName>
    <definedName name="IQRFortressPaperAG39" hidden="1">#REF!</definedName>
    <definedName name="IQRFortressPaperAI17" hidden="1">#REF!</definedName>
    <definedName name="IQRFortressPaperAJ17" hidden="1">#REF!</definedName>
    <definedName name="IQRGuritHoldingAC39" hidden="1">#REF!</definedName>
    <definedName name="IQRGuritHoldingAG39" hidden="1">#REF!</definedName>
    <definedName name="IQRGuritHoldingAI17" hidden="1">#REF!</definedName>
    <definedName name="IQRGuritHoldingAJ17" hidden="1">#REF!</definedName>
    <definedName name="IQRHammondPowerAC39" hidden="1">#REF!</definedName>
    <definedName name="IQRHammondPowerAG39" hidden="1">#REF!</definedName>
    <definedName name="IQRHammondPowerAI17" hidden="1">#REF!</definedName>
    <definedName name="IQRHammondPowerAJ17" hidden="1">#REF!</definedName>
    <definedName name="IQRHaztec2AA36" hidden="1">#REF!</definedName>
    <definedName name="IQRHaztec2W36" hidden="1">#REF!</definedName>
    <definedName name="IQRHeringerAC39" hidden="1">#REF!</definedName>
    <definedName name="IQRHeringerAG39" hidden="1">#REF!</definedName>
    <definedName name="IQRHNZGroupAC39" hidden="1">#REF!</definedName>
    <definedName name="IQRHNZGroupAG39" hidden="1">#REF!</definedName>
    <definedName name="IQRHNZGroupAI17" hidden="1">#REF!</definedName>
    <definedName name="IQRHNZGroupAJ17" hidden="1">#REF!</definedName>
    <definedName name="IQRHuntsmanCorpAC39" hidden="1">#REF!</definedName>
    <definedName name="IQRHuntsmanCorpAG39" hidden="1">#REF!</definedName>
    <definedName name="IQRHuntsmanCorpAI17" hidden="1">#REF!</definedName>
    <definedName name="IQRHuntsmanCorpAJ17" hidden="1">#REF!</definedName>
    <definedName name="IQRImvescorAC39" hidden="1">#REF!</definedName>
    <definedName name="IQRImvescorAG39" hidden="1">#REF!</definedName>
    <definedName name="IQRImvescorAI17" hidden="1">#REF!</definedName>
    <definedName name="IQRImvescorAJ17" hidden="1">#REF!</definedName>
    <definedName name="IQRIntrepidPotash2AC39" hidden="1">#REF!</definedName>
    <definedName name="IQRIntrepidPotash2AG39" hidden="1">#REF!</definedName>
    <definedName name="IQRIntrepidPotash2AI17" hidden="1">#REF!</definedName>
    <definedName name="IQRIntrepidPotash2AJ17" hidden="1">#REF!</definedName>
    <definedName name="IQRIntrepidPotash3AC39" hidden="1">#REF!</definedName>
    <definedName name="IQRIntrepidPotash3AG39" hidden="1">#REF!</definedName>
    <definedName name="IQRIntrepidPotash3AI17" hidden="1">#REF!</definedName>
    <definedName name="IQRIntrepidPotash3AJ17" hidden="1">#REF!</definedName>
    <definedName name="IQRKoppersAC39" hidden="1">#REF!</definedName>
    <definedName name="IQRKoppersAG39" hidden="1">#REF!</definedName>
    <definedName name="IQRKoppersAI17" hidden="1">#REF!</definedName>
    <definedName name="IQRKoppersAJ17" hidden="1">#REF!</definedName>
    <definedName name="IQRLandexCorpAC39" hidden="1">#REF!</definedName>
    <definedName name="IQRLandexCorpAG39" hidden="1">#REF!</definedName>
    <definedName name="IQRLandexCorpAI17" hidden="1">#REF!</definedName>
    <definedName name="IQRLandexCorpAJ17" hidden="1">#REF!</definedName>
    <definedName name="IQRLinamarAC39" hidden="1">#REF!</definedName>
    <definedName name="IQRLinamarAG39" hidden="1">#REF!</definedName>
    <definedName name="IQRLinamarAI17" hidden="1">#REF!</definedName>
    <definedName name="IQRLinamarAJ17" hidden="1">#REF!</definedName>
    <definedName name="IQRLooserHoldingsAC39" hidden="1">#REF!</definedName>
    <definedName name="IQRLooserHoldingsAG39" hidden="1">#REF!</definedName>
    <definedName name="IQRLooserHoldingsAI17" hidden="1">#REF!</definedName>
    <definedName name="IQRLooserHoldingsAJ17" hidden="1">#REF!</definedName>
    <definedName name="IQRLSBIndustriesAC39" hidden="1">#REF!</definedName>
    <definedName name="IQRLSBIndustriesAG39" hidden="1">#REF!</definedName>
    <definedName name="IQRLSBIndustriesAI17" hidden="1">#REF!</definedName>
    <definedName name="IQRLSBIndustriesAJ17" hidden="1">#REF!</definedName>
    <definedName name="IQRMagnaAC39" hidden="1">#REF!</definedName>
    <definedName name="IQRMagnaAG39" hidden="1">#REF!</definedName>
    <definedName name="IQRMagnaAI17" hidden="1">#REF!</definedName>
    <definedName name="IQRMagnaAJ17" hidden="1">#REF!</definedName>
    <definedName name="IQRMagnaInternationalAC39" hidden="1">#REF!</definedName>
    <definedName name="IQRMagnaInternationalAG39" hidden="1">#REF!</definedName>
    <definedName name="IQRMagnaInternationalAI17" hidden="1">#REF!</definedName>
    <definedName name="IQRMagnaInternationalAJ17" hidden="1">#REF!</definedName>
    <definedName name="IQRMartinreaAC39" hidden="1">#REF!</definedName>
    <definedName name="IQRMartinreaAG39" hidden="1">#REF!</definedName>
    <definedName name="IQRMartinreaAI17" hidden="1">#REF!</definedName>
    <definedName name="IQRMartinreaAJ17" hidden="1">#REF!</definedName>
    <definedName name="IQRMegaBrandsAC39" hidden="1">#REF!</definedName>
    <definedName name="IQRMegaBrandsAG39" hidden="1">#REF!</definedName>
    <definedName name="IQRMegaBrandsAI17" hidden="1">#REF!</definedName>
    <definedName name="IQRMegaBrandsAJ17" hidden="1">#REF!</definedName>
    <definedName name="IQRMoodAC39" hidden="1">#REF!</definedName>
    <definedName name="IQRMoodAG39" hidden="1">#REF!</definedName>
    <definedName name="IQRMoodAI17" hidden="1">#REF!</definedName>
    <definedName name="IQRMoodAJ17" hidden="1">#REF!</definedName>
    <definedName name="IQRMosaicCorpAC39" hidden="1">#REF!</definedName>
    <definedName name="IQRMosaicCorpAG39" hidden="1">#REF!</definedName>
    <definedName name="IQRMosaicCorpAI17" hidden="1">#REF!</definedName>
    <definedName name="IQRMosaicCorpAJ17" hidden="1">#REF!</definedName>
    <definedName name="IQRNorthwestAC39" hidden="1">#REF!</definedName>
    <definedName name="IQRNorthwestAG39" hidden="1">#REF!</definedName>
    <definedName name="IQRNorthwestAI17" hidden="1">#REF!</definedName>
    <definedName name="IQRNorthwestAJ17" hidden="1">#REF!</definedName>
    <definedName name="IQRODBSA2AA36" hidden="1">#REF!</definedName>
    <definedName name="IQRODBSA2W36" hidden="1">#REF!</definedName>
    <definedName name="IQROlinCorpAC39" hidden="1">#REF!</definedName>
    <definedName name="IQROlinCorpAG39" hidden="1">#REF!</definedName>
    <definedName name="IQROlinCorpAI17" hidden="1">#REF!</definedName>
    <definedName name="IQROlinCorpAJ17" hidden="1">#REF!</definedName>
    <definedName name="IQROMGroupAC39" hidden="1">#REF!</definedName>
    <definedName name="IQROMGroupAG39" hidden="1">#REF!</definedName>
    <definedName name="IQROMGroupAI17" hidden="1">#REF!</definedName>
    <definedName name="IQROMGroupAJ17" hidden="1">#REF!</definedName>
    <definedName name="IQROnePagersAC39" hidden="1">#REF!</definedName>
    <definedName name="IQROnePagersAG39" hidden="1">#REF!</definedName>
    <definedName name="IQROnePagersAI17" hidden="1">#REF!</definedName>
    <definedName name="IQROnePagersAJ17" hidden="1">#REF!</definedName>
    <definedName name="IQROptaMineralsAC39" hidden="1">#REF!</definedName>
    <definedName name="IQROptaMineralsAG39" hidden="1">#REF!</definedName>
    <definedName name="IQROptaMineralsAI17" hidden="1">#REF!</definedName>
    <definedName name="IQROptaMineralsAJ17" hidden="1">#REF!</definedName>
    <definedName name="IQRP88" hidden="1">"$P$89:$P$93"</definedName>
    <definedName name="IQRPetrobras2AC43" hidden="1">#REF!</definedName>
    <definedName name="IQRPetrobras2AG43" hidden="1">#REF!</definedName>
    <definedName name="IQRPetrobrasAC43" hidden="1">#REF!</definedName>
    <definedName name="IQRPetrobrasAG43" hidden="1">#REF!</definedName>
    <definedName name="IQRPotashCorpAC39" hidden="1">#REF!</definedName>
    <definedName name="IQRPotashCorpAG39" hidden="1">#REF!</definedName>
    <definedName name="IQRPotashCorpAI17" hidden="1">#REF!</definedName>
    <definedName name="IQRPotashCorpAJ17" hidden="1">#REF!</definedName>
    <definedName name="IQRQuebecorAC39" hidden="1">#REF!</definedName>
    <definedName name="IQRQuebecorAG39" hidden="1">#REF!</definedName>
    <definedName name="IQRQuebecorAI17" hidden="1">#REF!</definedName>
    <definedName name="IQRQuebecorAJ17" hidden="1">#REF!</definedName>
    <definedName name="IQRReitmansAC39" hidden="1">#REF!</definedName>
    <definedName name="IQRReitmansAG39" hidden="1">#REF!</definedName>
    <definedName name="IQRReitmansAI17" hidden="1">#REF!</definedName>
    <definedName name="IQRReitmansAJ17" hidden="1">#REF!</definedName>
    <definedName name="IQRRentechAC39" hidden="1">#REF!</definedName>
    <definedName name="IQRRentechAG39" hidden="1">#REF!</definedName>
    <definedName name="IQRRentechAI17" hidden="1">#REF!</definedName>
    <definedName name="IQRRentechAJ17" hidden="1">#REF!</definedName>
    <definedName name="IQRResverlogixAC39" hidden="1">#REF!</definedName>
    <definedName name="IQRResverlogixAG39" hidden="1">#REF!</definedName>
    <definedName name="IQRResverlogixAI17" hidden="1">#REF!</definedName>
    <definedName name="IQRResverlogixAJ17" hidden="1">#REF!</definedName>
    <definedName name="IQRSenomyxIncAC39" hidden="1">#REF!</definedName>
    <definedName name="IQRSenomyxIncAG39" hidden="1">#REF!</definedName>
    <definedName name="IQRSenomyxIncAI17" hidden="1">#REF!</definedName>
    <definedName name="IQRSenomyxIncAJ17" hidden="1">#REF!</definedName>
    <definedName name="IQRShell2AC43" hidden="1">#REF!</definedName>
    <definedName name="IQRShell2AG43" hidden="1">#REF!</definedName>
    <definedName name="IQRSolvi2AC42" hidden="1">#REF!</definedName>
    <definedName name="IQRSolvi2AG42" hidden="1">#REF!</definedName>
    <definedName name="IQRStepanCoAC39" hidden="1">#REF!</definedName>
    <definedName name="IQRStepanCoAG39" hidden="1">#REF!</definedName>
    <definedName name="IQRStepanCoAI17" hidden="1">#REF!</definedName>
    <definedName name="IQRStepanCoAJ17" hidden="1">#REF!</definedName>
    <definedName name="IQRStrongcoCorpAC39" hidden="1">#REF!</definedName>
    <definedName name="IQRStrongcoCorpAG39" hidden="1">#REF!</definedName>
    <definedName name="IQRStrongcoCorpAI17" hidden="1">#REF!</definedName>
    <definedName name="IQRStrongcoCorpAJ17" hidden="1">#REF!</definedName>
    <definedName name="IQRSupermexAC39" hidden="1">#REF!</definedName>
    <definedName name="IQRSupermexAG39" hidden="1">#REF!</definedName>
    <definedName name="IQRSupermexAI17" hidden="1">#REF!</definedName>
    <definedName name="IQRSupermexAJ17" hidden="1">#REF!</definedName>
    <definedName name="IQRT89" hidden="1">"$T$90:$T$94"</definedName>
    <definedName name="IQRTamincoAC39" hidden="1">#REF!</definedName>
    <definedName name="IQRTamincoAG39" hidden="1">#REF!</definedName>
    <definedName name="IQRTamincoAI17" hidden="1">#REF!</definedName>
    <definedName name="IQRTamincoAJ17" hidden="1">#REF!</definedName>
    <definedName name="IQRTeragoIncAC39" hidden="1">#REF!</definedName>
    <definedName name="IQRTeragoIncAG39" hidden="1">#REF!</definedName>
    <definedName name="IQRTeragoIncAI17" hidden="1">#REF!</definedName>
    <definedName name="IQRTeragoIncAJ17" hidden="1">#REF!</definedName>
    <definedName name="IQRTereosAC39" hidden="1">#REF!</definedName>
    <definedName name="IQRTereosAC43" hidden="1">#REF!</definedName>
    <definedName name="IQRTereosAG39" hidden="1">#REF!</definedName>
    <definedName name="IQRTereosAG43" hidden="1">#REF!</definedName>
    <definedName name="IQRTereosAI17" hidden="1">#REF!</definedName>
    <definedName name="IQRTereosAI21" hidden="1">#REF!</definedName>
    <definedName name="IQRTereosAJ17" hidden="1">#REF!</definedName>
    <definedName name="IQRTereosAJ21" hidden="1">#REF!</definedName>
    <definedName name="IQRTerexCorpAC39" hidden="1">#REF!</definedName>
    <definedName name="IQRTerexCorpAG39" hidden="1">#REF!</definedName>
    <definedName name="IQRTerexCorpAI17" hidden="1">#REF!</definedName>
    <definedName name="IQRTerexCorpAJ17" hidden="1">#REF!</definedName>
    <definedName name="IQRTessenderloChemieAI16" hidden="1">'[86]Tessenderlo Chemie'!$AI$17:$AI$1551</definedName>
    <definedName name="IQRTessenderloChemieAJ16" hidden="1">'[86]Tessenderlo Chemie'!$AJ$17:$AJ$1551</definedName>
    <definedName name="IQRTVAAC39" localSheetId="2" hidden="1">#REF!</definedName>
    <definedName name="IQRTVAAC39" localSheetId="4" hidden="1">#REF!</definedName>
    <definedName name="IQRTVAAC39" hidden="1">#REF!</definedName>
    <definedName name="IQRTVAAG39" localSheetId="2" hidden="1">#REF!</definedName>
    <definedName name="IQRTVAAG39" localSheetId="4" hidden="1">#REF!</definedName>
    <definedName name="IQRTVAAG39" hidden="1">#REF!</definedName>
    <definedName name="IQRTVAAI17" localSheetId="2" hidden="1">#REF!</definedName>
    <definedName name="IQRTVAAI17" localSheetId="4" hidden="1">#REF!</definedName>
    <definedName name="IQRTVAAI17" hidden="1">#REF!</definedName>
    <definedName name="IQRTVAAJ17" hidden="1">#REF!</definedName>
    <definedName name="IQRUnicasaAC43" hidden="1">#REF!</definedName>
    <definedName name="IQRUnicasaAG43" hidden="1">#REF!</definedName>
    <definedName name="IQRUnicasaAI17" hidden="1">#REF!</definedName>
    <definedName name="IQRUnicasaAI21" hidden="1">#REF!</definedName>
    <definedName name="IQRUnicasaAJ17" hidden="1">#REF!</definedName>
    <definedName name="IQRUnicasaAJ21" hidden="1">#REF!</definedName>
    <definedName name="IQRV6" hidden="1">"$V$7"</definedName>
    <definedName name="IQRWestPort2AC39" hidden="1">#REF!</definedName>
    <definedName name="IQRWestPort2AG39" hidden="1">#REF!</definedName>
    <definedName name="IQRWestPort2AI17" hidden="1">#REF!</definedName>
    <definedName name="IQRWestPort2AJ17" hidden="1">#REF!</definedName>
    <definedName name="IQRX39" hidden="1">"$X$40:$X$44"</definedName>
    <definedName name="IQRY39" hidden="1">"$Y$40:$Y$44"</definedName>
    <definedName name="iQShowHideColumns" hidden="1">"iQShowHalfAnnual"</definedName>
    <definedName name="IRINEU" localSheetId="2" hidden="1">{"TotalGeralDespesasPorArea",#N/A,FALSE,"VinculosAccessEfetivo"}</definedName>
    <definedName name="IRINEU" localSheetId="4" hidden="1">{"TotalGeralDespesasPorArea",#N/A,FALSE,"VinculosAccessEfetivo"}</definedName>
    <definedName name="IRINEU" hidden="1">{"TotalGeralDespesasPorArea",#N/A,FALSE,"VinculosAccessEfetivo"}</definedName>
    <definedName name="IS" localSheetId="37">[29]DCF!#REF!</definedName>
    <definedName name="IS" localSheetId="17">[29]DCF!#REF!</definedName>
    <definedName name="IS" localSheetId="26">[29]DCF!#REF!</definedName>
    <definedName name="IS" localSheetId="27">[29]DCF!#REF!</definedName>
    <definedName name="IS" localSheetId="30">[29]DCF!#REF!</definedName>
    <definedName name="IS" localSheetId="31">[29]DCF!#REF!</definedName>
    <definedName name="IS" localSheetId="33">[29]DCF!#REF!</definedName>
    <definedName name="IS">[29]DCF!#REF!</definedName>
    <definedName name="IsColHidden" hidden="1">FALSE</definedName>
    <definedName name="ISD">#REF!</definedName>
    <definedName name="IsLTMColHidden" hidden="1">FALSE</definedName>
    <definedName name="it" localSheetId="37">[6]WACC!#REF!</definedName>
    <definedName name="it" localSheetId="17">[6]WACC!#REF!</definedName>
    <definedName name="it" localSheetId="26">[6]WACC!#REF!</definedName>
    <definedName name="it" localSheetId="27">[6]WACC!#REF!</definedName>
    <definedName name="it" localSheetId="30">[6]WACC!#REF!</definedName>
    <definedName name="it" localSheetId="31">[6]WACC!#REF!</definedName>
    <definedName name="it" localSheetId="33">[6]WACC!#REF!</definedName>
    <definedName name="it">[6]WACC!#REF!</definedName>
    <definedName name="itcd" localSheetId="37">#REF!</definedName>
    <definedName name="itcd" localSheetId="17">#REF!</definedName>
    <definedName name="itcd" localSheetId="26">#REF!</definedName>
    <definedName name="itcd" localSheetId="27">#REF!</definedName>
    <definedName name="itcd" localSheetId="30">#REF!</definedName>
    <definedName name="itcd" localSheetId="31">#REF!</definedName>
    <definedName name="itcd" localSheetId="33">#REF!</definedName>
    <definedName name="itcd">#REF!</definedName>
    <definedName name="Item1" localSheetId="37">#REF!</definedName>
    <definedName name="Item1" localSheetId="17">#REF!</definedName>
    <definedName name="Item1" localSheetId="26">#REF!</definedName>
    <definedName name="Item1" localSheetId="27">#REF!</definedName>
    <definedName name="Item1" localSheetId="30">#REF!</definedName>
    <definedName name="Item1" localSheetId="31">#REF!</definedName>
    <definedName name="Item1" localSheetId="33">#REF!</definedName>
    <definedName name="Item1">#REF!</definedName>
    <definedName name="Item10" localSheetId="37">#REF!</definedName>
    <definedName name="Item10" localSheetId="17">#REF!</definedName>
    <definedName name="Item10" localSheetId="26">#REF!</definedName>
    <definedName name="Item10" localSheetId="27">#REF!</definedName>
    <definedName name="Item10" localSheetId="30">#REF!</definedName>
    <definedName name="Item10" localSheetId="31">#REF!</definedName>
    <definedName name="Item10" localSheetId="33">#REF!</definedName>
    <definedName name="Item10">#REF!</definedName>
    <definedName name="Item2" localSheetId="37">#REF!</definedName>
    <definedName name="Item2" localSheetId="17">#REF!</definedName>
    <definedName name="Item2" localSheetId="26">#REF!</definedName>
    <definedName name="Item2" localSheetId="27">#REF!</definedName>
    <definedName name="Item2" localSheetId="30">#REF!</definedName>
    <definedName name="Item2" localSheetId="31">#REF!</definedName>
    <definedName name="Item2" localSheetId="33">#REF!</definedName>
    <definedName name="Item2">#REF!</definedName>
    <definedName name="Item3" localSheetId="37">#REF!</definedName>
    <definedName name="Item3" localSheetId="17">#REF!</definedName>
    <definedName name="Item3" localSheetId="26">#REF!</definedName>
    <definedName name="Item3" localSheetId="27">#REF!</definedName>
    <definedName name="Item3" localSheetId="30">#REF!</definedName>
    <definedName name="Item3" localSheetId="31">#REF!</definedName>
    <definedName name="Item3" localSheetId="33">#REF!</definedName>
    <definedName name="Item3">#REF!</definedName>
    <definedName name="Item4" localSheetId="37">#REF!</definedName>
    <definedName name="Item4" localSheetId="17">#REF!</definedName>
    <definedName name="Item4" localSheetId="26">#REF!</definedName>
    <definedName name="Item4" localSheetId="27">#REF!</definedName>
    <definedName name="Item4" localSheetId="30">#REF!</definedName>
    <definedName name="Item4" localSheetId="31">#REF!</definedName>
    <definedName name="Item4" localSheetId="33">#REF!</definedName>
    <definedName name="Item4">#REF!</definedName>
    <definedName name="Item5" localSheetId="37">#REF!</definedName>
    <definedName name="Item5" localSheetId="17">#REF!</definedName>
    <definedName name="Item5" localSheetId="26">#REF!</definedName>
    <definedName name="Item5" localSheetId="27">#REF!</definedName>
    <definedName name="Item5" localSheetId="30">#REF!</definedName>
    <definedName name="Item5" localSheetId="31">#REF!</definedName>
    <definedName name="Item5" localSheetId="33">#REF!</definedName>
    <definedName name="Item5">#REF!</definedName>
    <definedName name="Item6" localSheetId="37">#REF!</definedName>
    <definedName name="Item6" localSheetId="17">#REF!</definedName>
    <definedName name="Item6" localSheetId="26">#REF!</definedName>
    <definedName name="Item6" localSheetId="27">#REF!</definedName>
    <definedName name="Item6" localSheetId="30">#REF!</definedName>
    <definedName name="Item6" localSheetId="31">#REF!</definedName>
    <definedName name="Item6" localSheetId="33">#REF!</definedName>
    <definedName name="Item6">#REF!</definedName>
    <definedName name="Item7" localSheetId="37">#REF!</definedName>
    <definedName name="Item7" localSheetId="17">#REF!</definedName>
    <definedName name="Item7" localSheetId="26">#REF!</definedName>
    <definedName name="Item7" localSheetId="27">#REF!</definedName>
    <definedName name="Item7" localSheetId="30">#REF!</definedName>
    <definedName name="Item7" localSheetId="31">#REF!</definedName>
    <definedName name="Item7" localSheetId="33">#REF!</definedName>
    <definedName name="Item7">#REF!</definedName>
    <definedName name="Item8" localSheetId="37">#REF!</definedName>
    <definedName name="Item8" localSheetId="17">#REF!</definedName>
    <definedName name="Item8" localSheetId="26">#REF!</definedName>
    <definedName name="Item8" localSheetId="27">#REF!</definedName>
    <definedName name="Item8" localSheetId="30">#REF!</definedName>
    <definedName name="Item8" localSheetId="31">#REF!</definedName>
    <definedName name="Item8" localSheetId="33">#REF!</definedName>
    <definedName name="Item8">#REF!</definedName>
    <definedName name="Item9" localSheetId="37">#REF!</definedName>
    <definedName name="Item9" localSheetId="17">#REF!</definedName>
    <definedName name="Item9" localSheetId="26">#REF!</definedName>
    <definedName name="Item9" localSheetId="27">#REF!</definedName>
    <definedName name="Item9" localSheetId="30">#REF!</definedName>
    <definedName name="Item9" localSheetId="31">#REF!</definedName>
    <definedName name="Item9" localSheetId="33">#REF!</definedName>
    <definedName name="Item9">#REF!</definedName>
    <definedName name="ItemLabel1" localSheetId="37">#REF!</definedName>
    <definedName name="ItemLabel1" localSheetId="17">#REF!</definedName>
    <definedName name="ItemLabel1" localSheetId="26">#REF!</definedName>
    <definedName name="ItemLabel1" localSheetId="27">#REF!</definedName>
    <definedName name="ItemLabel1" localSheetId="30">#REF!</definedName>
    <definedName name="ItemLabel1" localSheetId="31">#REF!</definedName>
    <definedName name="ItemLabel1" localSheetId="33">#REF!</definedName>
    <definedName name="ItemLabel1">#REF!</definedName>
    <definedName name="ItemLabel10" localSheetId="37">#REF!</definedName>
    <definedName name="ItemLabel10" localSheetId="17">#REF!</definedName>
    <definedName name="ItemLabel10" localSheetId="26">#REF!</definedName>
    <definedName name="ItemLabel10" localSheetId="27">#REF!</definedName>
    <definedName name="ItemLabel10" localSheetId="30">#REF!</definedName>
    <definedName name="ItemLabel10" localSheetId="31">#REF!</definedName>
    <definedName name="ItemLabel10" localSheetId="33">#REF!</definedName>
    <definedName name="ItemLabel10">#REF!</definedName>
    <definedName name="ItemLabel2" localSheetId="37">#REF!</definedName>
    <definedName name="ItemLabel2" localSheetId="17">#REF!</definedName>
    <definedName name="ItemLabel2" localSheetId="26">#REF!</definedName>
    <definedName name="ItemLabel2" localSheetId="27">#REF!</definedName>
    <definedName name="ItemLabel2" localSheetId="30">#REF!</definedName>
    <definedName name="ItemLabel2" localSheetId="31">#REF!</definedName>
    <definedName name="ItemLabel2" localSheetId="33">#REF!</definedName>
    <definedName name="ItemLabel2">#REF!</definedName>
    <definedName name="ItemLabel3" localSheetId="37">#REF!</definedName>
    <definedName name="ItemLabel3" localSheetId="17">#REF!</definedName>
    <definedName name="ItemLabel3" localSheetId="26">#REF!</definedName>
    <definedName name="ItemLabel3" localSheetId="27">#REF!</definedName>
    <definedName name="ItemLabel3" localSheetId="30">#REF!</definedName>
    <definedName name="ItemLabel3" localSheetId="31">#REF!</definedName>
    <definedName name="ItemLabel3" localSheetId="33">#REF!</definedName>
    <definedName name="ItemLabel3">#REF!</definedName>
    <definedName name="ItemLabel4" localSheetId="37">#REF!</definedName>
    <definedName name="ItemLabel4" localSheetId="17">#REF!</definedName>
    <definedName name="ItemLabel4" localSheetId="26">#REF!</definedName>
    <definedName name="ItemLabel4" localSheetId="27">#REF!</definedName>
    <definedName name="ItemLabel4" localSheetId="30">#REF!</definedName>
    <definedName name="ItemLabel4" localSheetId="31">#REF!</definedName>
    <definedName name="ItemLabel4" localSheetId="33">#REF!</definedName>
    <definedName name="ItemLabel4">#REF!</definedName>
    <definedName name="ItemLabel5" localSheetId="37">#REF!</definedName>
    <definedName name="ItemLabel5" localSheetId="17">#REF!</definedName>
    <definedName name="ItemLabel5" localSheetId="26">#REF!</definedName>
    <definedName name="ItemLabel5" localSheetId="27">#REF!</definedName>
    <definedName name="ItemLabel5" localSheetId="30">#REF!</definedName>
    <definedName name="ItemLabel5" localSheetId="31">#REF!</definedName>
    <definedName name="ItemLabel5" localSheetId="33">#REF!</definedName>
    <definedName name="ItemLabel5">#REF!</definedName>
    <definedName name="ItemLabel6" localSheetId="37">#REF!</definedName>
    <definedName name="ItemLabel6" localSheetId="17">#REF!</definedName>
    <definedName name="ItemLabel6" localSheetId="26">#REF!</definedName>
    <definedName name="ItemLabel6" localSheetId="27">#REF!</definedName>
    <definedName name="ItemLabel6" localSheetId="30">#REF!</definedName>
    <definedName name="ItemLabel6" localSheetId="31">#REF!</definedName>
    <definedName name="ItemLabel6" localSheetId="33">#REF!</definedName>
    <definedName name="ItemLabel6">#REF!</definedName>
    <definedName name="ItemLabel7" localSheetId="37">#REF!</definedName>
    <definedName name="ItemLabel7" localSheetId="17">#REF!</definedName>
    <definedName name="ItemLabel7" localSheetId="26">#REF!</definedName>
    <definedName name="ItemLabel7" localSheetId="27">#REF!</definedName>
    <definedName name="ItemLabel7" localSheetId="30">#REF!</definedName>
    <definedName name="ItemLabel7" localSheetId="31">#REF!</definedName>
    <definedName name="ItemLabel7" localSheetId="33">#REF!</definedName>
    <definedName name="ItemLabel7">#REF!</definedName>
    <definedName name="ItemLabel8" localSheetId="37">#REF!</definedName>
    <definedName name="ItemLabel8" localSheetId="17">#REF!</definedName>
    <definedName name="ItemLabel8" localSheetId="26">#REF!</definedName>
    <definedName name="ItemLabel8" localSheetId="27">#REF!</definedName>
    <definedName name="ItemLabel8" localSheetId="30">#REF!</definedName>
    <definedName name="ItemLabel8" localSheetId="31">#REF!</definedName>
    <definedName name="ItemLabel8" localSheetId="33">#REF!</definedName>
    <definedName name="ItemLabel8">#REF!</definedName>
    <definedName name="ItemLabel9" localSheetId="37">#REF!</definedName>
    <definedName name="ItemLabel9" localSheetId="17">#REF!</definedName>
    <definedName name="ItemLabel9" localSheetId="26">#REF!</definedName>
    <definedName name="ItemLabel9" localSheetId="27">#REF!</definedName>
    <definedName name="ItemLabel9" localSheetId="30">#REF!</definedName>
    <definedName name="ItemLabel9" localSheetId="31">#REF!</definedName>
    <definedName name="ItemLabel9" localSheetId="33">#REF!</definedName>
    <definedName name="ItemLabel9">#REF!</definedName>
    <definedName name="Itens">#REF!</definedName>
    <definedName name="ivb">'[79]RELATA VÉIO'!$A$1:$AA$335</definedName>
    <definedName name="J2_Margin">[53]Projections!$D$1694</definedName>
    <definedName name="jag" localSheetId="2" hidden="1">{"TotalGeralDespesasPorArea",#N/A,FALSE,"VinculosAccessEfetivo"}</definedName>
    <definedName name="jag" localSheetId="4" hidden="1">{"TotalGeralDespesasPorArea",#N/A,FALSE,"VinculosAccessEfetivo"}</definedName>
    <definedName name="jag" hidden="1">{"TotalGeralDespesasPorArea",#N/A,FALSE,"VinculosAccessEfetivo"}</definedName>
    <definedName name="JAN" localSheetId="2">#N/A</definedName>
    <definedName name="JAN" localSheetId="4">#N/A</definedName>
    <definedName name="JAN" localSheetId="41">'Preços Unitários'!JAN</definedName>
    <definedName name="JAN" localSheetId="23">'Recursos Humanos 1'!JAN</definedName>
    <definedName name="JAN" localSheetId="38">'Veículos e Equipamentos'!JAN</definedName>
    <definedName name="JAN">'Preços Unitários'!JAN</definedName>
    <definedName name="JANEIRO" localSheetId="4">#REF!</definedName>
    <definedName name="JANEIRO">#REF!</definedName>
    <definedName name="JANEIRO2003" localSheetId="2" hidden="1">{#N/A,#N/A,TRUE,"Serviços"}</definedName>
    <definedName name="JANEIRO2003" localSheetId="4" hidden="1">{#N/A,#N/A,TRUE,"Serviços"}</definedName>
    <definedName name="JANEIRO2003" hidden="1">{#N/A,#N/A,TRUE,"Serviços"}</definedName>
    <definedName name="jh" localSheetId="2" hidden="1">{#N/A,#N/A,TRUE,"Resumo de Preços"}</definedName>
    <definedName name="jh" localSheetId="4" hidden="1">{#N/A,#N/A,TRUE,"Resumo de Preços"}</definedName>
    <definedName name="jh" hidden="1">{#N/A,#N/A,TRUE,"Resumo de Preços"}</definedName>
    <definedName name="jj" localSheetId="2" hidden="1">{#N/A,#N/A,TRUE,"Resumo de Preços"}</definedName>
    <definedName name="jj" localSheetId="4" hidden="1">{#N/A,#N/A,TRUE,"Resumo de Preços"}</definedName>
    <definedName name="jj" hidden="1">{#N/A,#N/A,TRUE,"Resumo de Preços"}</definedName>
    <definedName name="jjkh" localSheetId="2" hidden="1">{#N/A,#N/A,FALSE,"FFCXOUT3"}</definedName>
    <definedName name="jjkh" localSheetId="4" hidden="1">{#N/A,#N/A,FALSE,"FFCXOUT3"}</definedName>
    <definedName name="jjkh" hidden="1">{#N/A,#N/A,FALSE,"FFCXOUT3"}</definedName>
    <definedName name="joao" localSheetId="2" hidden="1">{"TotalGeralDespesasPorArea",#N/A,FALSE,"VinculosAccessEfetivo"}</definedName>
    <definedName name="joao" localSheetId="4" hidden="1">{"TotalGeralDespesasPorArea",#N/A,FALSE,"VinculosAccessEfetivo"}</definedName>
    <definedName name="joao" hidden="1">{"TotalGeralDespesasPorArea",#N/A,FALSE,"VinculosAccessEfetivo"}</definedName>
    <definedName name="JOUR" localSheetId="37">#REF!</definedName>
    <definedName name="JOUR" localSheetId="17">#REF!</definedName>
    <definedName name="JOUR" localSheetId="26">#REF!</definedName>
    <definedName name="JOUR" localSheetId="27">#REF!</definedName>
    <definedName name="JOUR" localSheetId="30">#REF!</definedName>
    <definedName name="JOUR" localSheetId="31">#REF!</definedName>
    <definedName name="JOUR" localSheetId="33">#REF!</definedName>
    <definedName name="JOUR">#REF!</definedName>
    <definedName name="JOURBASSE" localSheetId="37">#REF!</definedName>
    <definedName name="JOURBASSE" localSheetId="17">#REF!</definedName>
    <definedName name="JOURBASSE" localSheetId="26">#REF!</definedName>
    <definedName name="JOURBASSE" localSheetId="27">#REF!</definedName>
    <definedName name="JOURBASSE" localSheetId="30">#REF!</definedName>
    <definedName name="JOURBASSE" localSheetId="31">#REF!</definedName>
    <definedName name="JOURBASSE" localSheetId="33">#REF!</definedName>
    <definedName name="JOURBASSE">#REF!</definedName>
    <definedName name="JOURHAUTE" localSheetId="37">#REF!</definedName>
    <definedName name="JOURHAUTE" localSheetId="17">#REF!</definedName>
    <definedName name="JOURHAUTE" localSheetId="26">#REF!</definedName>
    <definedName name="JOURHAUTE" localSheetId="27">#REF!</definedName>
    <definedName name="JOURHAUTE" localSheetId="30">#REF!</definedName>
    <definedName name="JOURHAUTE" localSheetId="31">#REF!</definedName>
    <definedName name="JOURHAUTE" localSheetId="33">#REF!</definedName>
    <definedName name="JOURHAUTE">#REF!</definedName>
    <definedName name="JOURMOY" localSheetId="37">#REF!</definedName>
    <definedName name="JOURMOY" localSheetId="17">#REF!</definedName>
    <definedName name="JOURMOY" localSheetId="26">#REF!</definedName>
    <definedName name="JOURMOY" localSheetId="27">#REF!</definedName>
    <definedName name="JOURMOY" localSheetId="30">#REF!</definedName>
    <definedName name="JOURMOY" localSheetId="31">#REF!</definedName>
    <definedName name="JOURMOY" localSheetId="33">#REF!</definedName>
    <definedName name="JOURMOY">#REF!</definedName>
    <definedName name="Jr" localSheetId="2" hidden="1">{#N/A,#N/A,FALSE,"Aging Summary";#N/A,#N/A,FALSE,"Ratio Analysis";#N/A,#N/A,FALSE,"Test 120 Day Accts";#N/A,#N/A,FALSE,"Tickmarks"}</definedName>
    <definedName name="Jr" localSheetId="4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L" localSheetId="2">#N/A</definedName>
    <definedName name="JUL" localSheetId="4">#N/A</definedName>
    <definedName name="JUL" localSheetId="41">'Preços Unitários'!JUL</definedName>
    <definedName name="JUL" localSheetId="23">'Recursos Humanos 1'!JUL</definedName>
    <definedName name="JUL" localSheetId="38">'Veículos e Equipamentos'!JUL</definedName>
    <definedName name="JUL">'Preços Unitários'!JUL</definedName>
    <definedName name="JUN" localSheetId="2">#N/A</definedName>
    <definedName name="JUN" localSheetId="4">#N/A</definedName>
    <definedName name="JUN" localSheetId="41">'Preços Unitários'!JUN</definedName>
    <definedName name="JUN" localSheetId="23">'Recursos Humanos 1'!JUN</definedName>
    <definedName name="JUN" localSheetId="38">'Veículos e Equipamentos'!JUN</definedName>
    <definedName name="JUN">'Preços Unitários'!JUN</definedName>
    <definedName name="JUNK" localSheetId="37">#REF!</definedName>
    <definedName name="JUNK" localSheetId="17">#REF!</definedName>
    <definedName name="JUNK" localSheetId="26">#REF!</definedName>
    <definedName name="JUNK" localSheetId="27">#REF!</definedName>
    <definedName name="JUNK" localSheetId="30">#REF!</definedName>
    <definedName name="JUNK" localSheetId="31">#REF!</definedName>
    <definedName name="JUNK" localSheetId="33">#REF!</definedName>
    <definedName name="JUNK">#REF!</definedName>
    <definedName name="jy">'[87]RELATA VÉIO'!$A$1:$AA$335</definedName>
    <definedName name="K" localSheetId="2" hidden="1">#REF!</definedName>
    <definedName name="K" localSheetId="4" hidden="1">#REF!</definedName>
    <definedName name="K" hidden="1">#REF!</definedName>
    <definedName name="KADS_Version" localSheetId="37">#REF!</definedName>
    <definedName name="KADS_Version" localSheetId="17">#REF!</definedName>
    <definedName name="KADS_Version" localSheetId="26">#REF!</definedName>
    <definedName name="KADS_Version" localSheetId="27">#REF!</definedName>
    <definedName name="KADS_Version" localSheetId="30">#REF!</definedName>
    <definedName name="KADS_Version" localSheetId="31">#REF!</definedName>
    <definedName name="KADS_Version" localSheetId="33">#REF!</definedName>
    <definedName name="KADS_Version">#REF!</definedName>
    <definedName name="KEY" hidden="1">#REF!</definedName>
    <definedName name="kf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jkhjkh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k" localSheetId="2" hidden="1">{#N/A,#N/A,TRUE,"Resumo de Preços"}</definedName>
    <definedName name="kk" localSheetId="4" hidden="1">{#N/A,#N/A,TRUE,"Resumo de Preços"}</definedName>
    <definedName name="kk" hidden="1">{#N/A,#N/A,TRUE,"Resumo de Preços"}</definedName>
    <definedName name="klasfgj" localSheetId="2" hidden="1">{#N/A,#N/A,FALSE,"Monthly report";#N/A,#N/A,FALSE,"M.R. UEM";#N/A,#N/A,FALSE,"M.R. VCM"}</definedName>
    <definedName name="klasfgj" localSheetId="4" hidden="1">{#N/A,#N/A,FALSE,"Monthly report";#N/A,#N/A,FALSE,"M.R. UEM";#N/A,#N/A,FALSE,"M.R. VCM"}</definedName>
    <definedName name="klasfgj" hidden="1">{#N/A,#N/A,FALSE,"Monthly report";#N/A,#N/A,FALSE,"M.R. UEM";#N/A,#N/A,FALSE,"M.R. VCM"}</definedName>
    <definedName name="klçl" hidden="1">[32]REAC1!#REF!</definedName>
    <definedName name="KNE" localSheetId="37">[17]summary!#REF!</definedName>
    <definedName name="KNE" localSheetId="17">[17]summary!#REF!</definedName>
    <definedName name="KNE" localSheetId="26">[17]summary!#REF!</definedName>
    <definedName name="KNE" localSheetId="27">[17]summary!#REF!</definedName>
    <definedName name="KNE" localSheetId="30">[17]summary!#REF!</definedName>
    <definedName name="KNE" localSheetId="31">[17]summary!#REF!</definedName>
    <definedName name="KNE" localSheetId="33">[17]summary!#REF!</definedName>
    <definedName name="KNE">[17]summary!#REF!</definedName>
    <definedName name="Koala_North_Pit_2" localSheetId="37">#REF!</definedName>
    <definedName name="Koala_North_Pit_2" localSheetId="17">#REF!</definedName>
    <definedName name="Koala_North_Pit_2" localSheetId="26">#REF!</definedName>
    <definedName name="Koala_North_Pit_2" localSheetId="27">#REF!</definedName>
    <definedName name="Koala_North_Pit_2" localSheetId="30">#REF!</definedName>
    <definedName name="Koala_North_Pit_2" localSheetId="31">#REF!</definedName>
    <definedName name="Koala_North_Pit_2" localSheetId="33">#REF!</definedName>
    <definedName name="Koala_North_Pit_2">#REF!</definedName>
    <definedName name="Koala_North_Test_Pit_1" localSheetId="37">#REF!</definedName>
    <definedName name="Koala_North_Test_Pit_1" localSheetId="17">#REF!</definedName>
    <definedName name="Koala_North_Test_Pit_1" localSheetId="26">#REF!</definedName>
    <definedName name="Koala_North_Test_Pit_1" localSheetId="27">#REF!</definedName>
    <definedName name="Koala_North_Test_Pit_1" localSheetId="30">#REF!</definedName>
    <definedName name="Koala_North_Test_Pit_1" localSheetId="31">#REF!</definedName>
    <definedName name="Koala_North_Test_Pit_1" localSheetId="33">#REF!</definedName>
    <definedName name="Koala_North_Test_Pit_1">#REF!</definedName>
    <definedName name="Koala_North_Test_Pit_2" localSheetId="37">#REF!</definedName>
    <definedName name="Koala_North_Test_Pit_2" localSheetId="17">#REF!</definedName>
    <definedName name="Koala_North_Test_Pit_2" localSheetId="26">#REF!</definedName>
    <definedName name="Koala_North_Test_Pit_2" localSheetId="27">#REF!</definedName>
    <definedName name="Koala_North_Test_Pit_2" localSheetId="30">#REF!</definedName>
    <definedName name="Koala_North_Test_Pit_2" localSheetId="31">#REF!</definedName>
    <definedName name="Koala_North_Test_Pit_2" localSheetId="33">#REF!</definedName>
    <definedName name="Koala_North_Test_Pit_2">#REF!</definedName>
    <definedName name="Koala_North_Test_Pit_3" localSheetId="37">#REF!</definedName>
    <definedName name="Koala_North_Test_Pit_3" localSheetId="17">#REF!</definedName>
    <definedName name="Koala_North_Test_Pit_3" localSheetId="26">#REF!</definedName>
    <definedName name="Koala_North_Test_Pit_3" localSheetId="27">#REF!</definedName>
    <definedName name="Koala_North_Test_Pit_3" localSheetId="30">#REF!</definedName>
    <definedName name="Koala_North_Test_Pit_3" localSheetId="31">#REF!</definedName>
    <definedName name="Koala_North_Test_Pit_3" localSheetId="33">#REF!</definedName>
    <definedName name="Koala_North_Test_Pit_3">#REF!</definedName>
    <definedName name="Koala_North_Test_Pit_4" localSheetId="37">#REF!</definedName>
    <definedName name="Koala_North_Test_Pit_4" localSheetId="17">#REF!</definedName>
    <definedName name="Koala_North_Test_Pit_4" localSheetId="26">#REF!</definedName>
    <definedName name="Koala_North_Test_Pit_4" localSheetId="27">#REF!</definedName>
    <definedName name="Koala_North_Test_Pit_4" localSheetId="30">#REF!</definedName>
    <definedName name="Koala_North_Test_Pit_4" localSheetId="31">#REF!</definedName>
    <definedName name="Koala_North_Test_Pit_4" localSheetId="33">#REF!</definedName>
    <definedName name="Koala_North_Test_Pit_4">#REF!</definedName>
    <definedName name="Koala_North_Test_Pit_5" localSheetId="37">#REF!</definedName>
    <definedName name="Koala_North_Test_Pit_5" localSheetId="17">#REF!</definedName>
    <definedName name="Koala_North_Test_Pit_5" localSheetId="26">#REF!</definedName>
    <definedName name="Koala_North_Test_Pit_5" localSheetId="27">#REF!</definedName>
    <definedName name="Koala_North_Test_Pit_5" localSheetId="30">#REF!</definedName>
    <definedName name="Koala_North_Test_Pit_5" localSheetId="31">#REF!</definedName>
    <definedName name="Koala_North_Test_Pit_5" localSheetId="33">#REF!</definedName>
    <definedName name="Koala_North_Test_Pit_5">#REF!</definedName>
    <definedName name="Koala_North_Underground_1" localSheetId="37">#REF!</definedName>
    <definedName name="Koala_North_Underground_1" localSheetId="17">#REF!</definedName>
    <definedName name="Koala_North_Underground_1" localSheetId="26">#REF!</definedName>
    <definedName name="Koala_North_Underground_1" localSheetId="27">#REF!</definedName>
    <definedName name="Koala_North_Underground_1" localSheetId="30">#REF!</definedName>
    <definedName name="Koala_North_Underground_1" localSheetId="31">#REF!</definedName>
    <definedName name="Koala_North_Underground_1" localSheetId="33">#REF!</definedName>
    <definedName name="Koala_North_Underground_1">#REF!</definedName>
    <definedName name="koala_North_Underground_2" localSheetId="37">#REF!</definedName>
    <definedName name="koala_North_Underground_2" localSheetId="17">#REF!</definedName>
    <definedName name="koala_North_Underground_2" localSheetId="26">#REF!</definedName>
    <definedName name="koala_North_Underground_2" localSheetId="27">#REF!</definedName>
    <definedName name="koala_North_Underground_2" localSheetId="30">#REF!</definedName>
    <definedName name="koala_North_Underground_2" localSheetId="31">#REF!</definedName>
    <definedName name="koala_North_Underground_2" localSheetId="33">#REF!</definedName>
    <definedName name="koala_North_Underground_2">#REF!</definedName>
    <definedName name="Koala_North_Underground_3" localSheetId="37">#REF!</definedName>
    <definedName name="Koala_North_Underground_3" localSheetId="17">#REF!</definedName>
    <definedName name="Koala_North_Underground_3" localSheetId="26">#REF!</definedName>
    <definedName name="Koala_North_Underground_3" localSheetId="27">#REF!</definedName>
    <definedName name="Koala_North_Underground_3" localSheetId="30">#REF!</definedName>
    <definedName name="Koala_North_Underground_3" localSheetId="31">#REF!</definedName>
    <definedName name="Koala_North_Underground_3" localSheetId="33">#REF!</definedName>
    <definedName name="Koala_North_Underground_3">#REF!</definedName>
    <definedName name="Koala_North_Underground_4" localSheetId="37">#REF!</definedName>
    <definedName name="Koala_North_Underground_4" localSheetId="17">#REF!</definedName>
    <definedName name="Koala_North_Underground_4" localSheetId="26">#REF!</definedName>
    <definedName name="Koala_North_Underground_4" localSheetId="27">#REF!</definedName>
    <definedName name="Koala_North_Underground_4" localSheetId="30">#REF!</definedName>
    <definedName name="Koala_North_Underground_4" localSheetId="31">#REF!</definedName>
    <definedName name="Koala_North_Underground_4" localSheetId="33">#REF!</definedName>
    <definedName name="Koala_North_Underground_4">#REF!</definedName>
    <definedName name="Koala_North_Underground_5" localSheetId="37">#REF!</definedName>
    <definedName name="Koala_North_Underground_5" localSheetId="17">#REF!</definedName>
    <definedName name="Koala_North_Underground_5" localSheetId="26">#REF!</definedName>
    <definedName name="Koala_North_Underground_5" localSheetId="27">#REF!</definedName>
    <definedName name="Koala_North_Underground_5" localSheetId="30">#REF!</definedName>
    <definedName name="Koala_North_Underground_5" localSheetId="31">#REF!</definedName>
    <definedName name="Koala_North_Underground_5" localSheetId="33">#REF!</definedName>
    <definedName name="Koala_North_Underground_5">#REF!</definedName>
    <definedName name="Koala_Pit_1" localSheetId="37">#REF!</definedName>
    <definedName name="Koala_Pit_1" localSheetId="17">#REF!</definedName>
    <definedName name="Koala_Pit_1" localSheetId="26">#REF!</definedName>
    <definedName name="Koala_Pit_1" localSheetId="27">#REF!</definedName>
    <definedName name="Koala_Pit_1" localSheetId="30">#REF!</definedName>
    <definedName name="Koala_Pit_1" localSheetId="31">#REF!</definedName>
    <definedName name="Koala_Pit_1" localSheetId="33">#REF!</definedName>
    <definedName name="Koala_Pit_1">#REF!</definedName>
    <definedName name="Koala_Pit_2" localSheetId="37">#REF!</definedName>
    <definedName name="Koala_Pit_2" localSheetId="17">#REF!</definedName>
    <definedName name="Koala_Pit_2" localSheetId="26">#REF!</definedName>
    <definedName name="Koala_Pit_2" localSheetId="27">#REF!</definedName>
    <definedName name="Koala_Pit_2" localSheetId="30">#REF!</definedName>
    <definedName name="Koala_Pit_2" localSheetId="31">#REF!</definedName>
    <definedName name="Koala_Pit_2" localSheetId="33">#REF!</definedName>
    <definedName name="Koala_Pit_2">#REF!</definedName>
    <definedName name="Koala_Pit_3" localSheetId="37">#REF!</definedName>
    <definedName name="Koala_Pit_3" localSheetId="17">#REF!</definedName>
    <definedName name="Koala_Pit_3" localSheetId="26">#REF!</definedName>
    <definedName name="Koala_Pit_3" localSheetId="27">#REF!</definedName>
    <definedName name="Koala_Pit_3" localSheetId="30">#REF!</definedName>
    <definedName name="Koala_Pit_3" localSheetId="31">#REF!</definedName>
    <definedName name="Koala_Pit_3" localSheetId="33">#REF!</definedName>
    <definedName name="Koala_Pit_3">#REF!</definedName>
    <definedName name="Koala_Pit_4" localSheetId="37">#REF!</definedName>
    <definedName name="Koala_Pit_4" localSheetId="17">#REF!</definedName>
    <definedName name="Koala_Pit_4" localSheetId="26">#REF!</definedName>
    <definedName name="Koala_Pit_4" localSheetId="27">#REF!</definedName>
    <definedName name="Koala_Pit_4" localSheetId="30">#REF!</definedName>
    <definedName name="Koala_Pit_4" localSheetId="31">#REF!</definedName>
    <definedName name="Koala_Pit_4" localSheetId="33">#REF!</definedName>
    <definedName name="Koala_Pit_4">#REF!</definedName>
    <definedName name="Koala_Pit_5" localSheetId="37">#REF!</definedName>
    <definedName name="Koala_Pit_5" localSheetId="17">#REF!</definedName>
    <definedName name="Koala_Pit_5" localSheetId="26">#REF!</definedName>
    <definedName name="Koala_Pit_5" localSheetId="27">#REF!</definedName>
    <definedName name="Koala_Pit_5" localSheetId="30">#REF!</definedName>
    <definedName name="Koala_Pit_5" localSheetId="31">#REF!</definedName>
    <definedName name="Koala_Pit_5" localSheetId="33">#REF!</definedName>
    <definedName name="Koala_Pit_5">#REF!</definedName>
    <definedName name="Koala_Underground_1" localSheetId="37">#REF!</definedName>
    <definedName name="Koala_Underground_1" localSheetId="17">#REF!</definedName>
    <definedName name="Koala_Underground_1" localSheetId="26">#REF!</definedName>
    <definedName name="Koala_Underground_1" localSheetId="27">#REF!</definedName>
    <definedName name="Koala_Underground_1" localSheetId="30">#REF!</definedName>
    <definedName name="Koala_Underground_1" localSheetId="31">#REF!</definedName>
    <definedName name="Koala_Underground_1" localSheetId="33">#REF!</definedName>
    <definedName name="Koala_Underground_1">#REF!</definedName>
    <definedName name="Koala_Underground_2" localSheetId="37">#REF!</definedName>
    <definedName name="Koala_Underground_2" localSheetId="17">#REF!</definedName>
    <definedName name="Koala_Underground_2" localSheetId="26">#REF!</definedName>
    <definedName name="Koala_Underground_2" localSheetId="27">#REF!</definedName>
    <definedName name="Koala_Underground_2" localSheetId="30">#REF!</definedName>
    <definedName name="Koala_Underground_2" localSheetId="31">#REF!</definedName>
    <definedName name="Koala_Underground_2" localSheetId="33">#REF!</definedName>
    <definedName name="Koala_Underground_2">#REF!</definedName>
    <definedName name="Koala_Underground_3" localSheetId="37">#REF!</definedName>
    <definedName name="Koala_Underground_3" localSheetId="17">#REF!</definedName>
    <definedName name="Koala_Underground_3" localSheetId="26">#REF!</definedName>
    <definedName name="Koala_Underground_3" localSheetId="27">#REF!</definedName>
    <definedName name="Koala_Underground_3" localSheetId="30">#REF!</definedName>
    <definedName name="Koala_Underground_3" localSheetId="31">#REF!</definedName>
    <definedName name="Koala_Underground_3" localSheetId="33">#REF!</definedName>
    <definedName name="Koala_Underground_3">#REF!</definedName>
    <definedName name="Koala_Underground_4" localSheetId="37">#REF!</definedName>
    <definedName name="Koala_Underground_4" localSheetId="17">#REF!</definedName>
    <definedName name="Koala_Underground_4" localSheetId="26">#REF!</definedName>
    <definedName name="Koala_Underground_4" localSheetId="27">#REF!</definedName>
    <definedName name="Koala_Underground_4" localSheetId="30">#REF!</definedName>
    <definedName name="Koala_Underground_4" localSheetId="31">#REF!</definedName>
    <definedName name="Koala_Underground_4" localSheetId="33">#REF!</definedName>
    <definedName name="Koala_Underground_4">#REF!</definedName>
    <definedName name="Koala_Underground_5" localSheetId="37">#REF!</definedName>
    <definedName name="Koala_Underground_5" localSheetId="17">#REF!</definedName>
    <definedName name="Koala_Underground_5" localSheetId="26">#REF!</definedName>
    <definedName name="Koala_Underground_5" localSheetId="27">#REF!</definedName>
    <definedName name="Koala_Underground_5" localSheetId="30">#REF!</definedName>
    <definedName name="Koala_Underground_5" localSheetId="31">#REF!</definedName>
    <definedName name="Koala_Underground_5" localSheetId="33">#REF!</definedName>
    <definedName name="Koala_Underground_5">#REF!</definedName>
    <definedName name="lala" localSheetId="2" hidden="1">{"'RR'!$A$2:$E$81"}</definedName>
    <definedName name="lala" localSheetId="4" hidden="1">{"'RR'!$A$2:$E$81"}</definedName>
    <definedName name="lala" hidden="1">{"'RR'!$A$2:$E$81"}</definedName>
    <definedName name="lang">[53]Summary!$F$71</definedName>
    <definedName name="last" localSheetId="37">[24]PGR!#REF!</definedName>
    <definedName name="last" localSheetId="17">[24]PGR!#REF!</definedName>
    <definedName name="last" localSheetId="26">[24]PGR!#REF!</definedName>
    <definedName name="last" localSheetId="27">[24]PGR!#REF!</definedName>
    <definedName name="last" localSheetId="30">[24]PGR!#REF!</definedName>
    <definedName name="last" localSheetId="31">[24]PGR!#REF!</definedName>
    <definedName name="last" localSheetId="33">[24]PGR!#REF!</definedName>
    <definedName name="last">[24]PGR!#REF!</definedName>
    <definedName name="LatestFYE" localSheetId="37">#REF!</definedName>
    <definedName name="LatestFYE" localSheetId="17">#REF!</definedName>
    <definedName name="LatestFYE" localSheetId="26">#REF!</definedName>
    <definedName name="LatestFYE" localSheetId="27">#REF!</definedName>
    <definedName name="LatestFYE" localSheetId="30">#REF!</definedName>
    <definedName name="LatestFYE" localSheetId="31">#REF!</definedName>
    <definedName name="LatestFYE" localSheetId="33">#REF!</definedName>
    <definedName name="LatestFYE">#REF!</definedName>
    <definedName name="LBO" localSheetId="37">#REF!</definedName>
    <definedName name="LBO" localSheetId="17">#REF!</definedName>
    <definedName name="LBO" localSheetId="26">#REF!</definedName>
    <definedName name="LBO" localSheetId="27">#REF!</definedName>
    <definedName name="LBO" localSheetId="30">#REF!</definedName>
    <definedName name="LBO" localSheetId="31">#REF!</definedName>
    <definedName name="LBO" localSheetId="33">#REF!</definedName>
    <definedName name="LBO">#REF!</definedName>
    <definedName name="Less__Cash_and_Equivalents" localSheetId="37">[17]summary!#REF!</definedName>
    <definedName name="Less__Cash_and_Equivalents" localSheetId="17">[17]summary!#REF!</definedName>
    <definedName name="Less__Cash_and_Equivalents" localSheetId="26">[17]summary!#REF!</definedName>
    <definedName name="Less__Cash_and_Equivalents" localSheetId="27">[17]summary!#REF!</definedName>
    <definedName name="Less__Cash_and_Equivalents" localSheetId="30">[17]summary!#REF!</definedName>
    <definedName name="Less__Cash_and_Equivalents" localSheetId="31">[17]summary!#REF!</definedName>
    <definedName name="Less__Cash_and_Equivalents" localSheetId="33">[17]summary!#REF!</definedName>
    <definedName name="Less__Cash_and_Equivalents">[17]summary!#REF!</definedName>
    <definedName name="Leste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vel3" localSheetId="37">#REF!</definedName>
    <definedName name="level3" localSheetId="17">#REF!</definedName>
    <definedName name="level3" localSheetId="26">#REF!</definedName>
    <definedName name="level3" localSheetId="27">#REF!</definedName>
    <definedName name="level3" localSheetId="30">#REF!</definedName>
    <definedName name="level3" localSheetId="31">#REF!</definedName>
    <definedName name="level3" localSheetId="33">#REF!</definedName>
    <definedName name="level3">#REF!</definedName>
    <definedName name="level3opt" localSheetId="37">#REF!</definedName>
    <definedName name="level3opt" localSheetId="17">#REF!</definedName>
    <definedName name="level3opt" localSheetId="26">#REF!</definedName>
    <definedName name="level3opt" localSheetId="27">#REF!</definedName>
    <definedName name="level3opt" localSheetId="30">#REF!</definedName>
    <definedName name="level3opt" localSheetId="31">#REF!</definedName>
    <definedName name="level3opt" localSheetId="33">#REF!</definedName>
    <definedName name="level3opt">#REF!</definedName>
    <definedName name="LFQ" localSheetId="37">#REF!</definedName>
    <definedName name="LFQ" localSheetId="17">#REF!</definedName>
    <definedName name="LFQ" localSheetId="26">#REF!</definedName>
    <definedName name="LFQ" localSheetId="27">#REF!</definedName>
    <definedName name="LFQ" localSheetId="30">#REF!</definedName>
    <definedName name="LFQ" localSheetId="31">#REF!</definedName>
    <definedName name="LFQ" localSheetId="33">#REF!</definedName>
    <definedName name="LFQ">#REF!</definedName>
    <definedName name="LFY" localSheetId="37">#REF!</definedName>
    <definedName name="LFY" localSheetId="17">#REF!</definedName>
    <definedName name="LFY" localSheetId="26">#REF!</definedName>
    <definedName name="LFY" localSheetId="27">#REF!</definedName>
    <definedName name="LFY" localSheetId="30">#REF!</definedName>
    <definedName name="LFY" localSheetId="31">#REF!</definedName>
    <definedName name="LFY" localSheetId="33">#REF!</definedName>
    <definedName name="LFY">#REF!</definedName>
    <definedName name="LHCDebt" localSheetId="37">#REF!</definedName>
    <definedName name="LHCDebt" localSheetId="17">#REF!</definedName>
    <definedName name="LHCDebt" localSheetId="26">#REF!</definedName>
    <definedName name="LHCDebt" localSheetId="27">#REF!</definedName>
    <definedName name="LHCDebt" localSheetId="30">#REF!</definedName>
    <definedName name="LHCDebt" localSheetId="31">#REF!</definedName>
    <definedName name="LHCDebt" localSheetId="33">#REF!</definedName>
    <definedName name="LHCDebt">#REF!</definedName>
    <definedName name="LHCLoan4" localSheetId="37">#REF!</definedName>
    <definedName name="LHCLoan4" localSheetId="17">#REF!</definedName>
    <definedName name="LHCLoan4" localSheetId="26">#REF!</definedName>
    <definedName name="LHCLoan4" localSheetId="27">#REF!</definedName>
    <definedName name="LHCLoan4" localSheetId="30">#REF!</definedName>
    <definedName name="LHCLoan4" localSheetId="31">#REF!</definedName>
    <definedName name="LHCLoan4" localSheetId="33">#REF!</definedName>
    <definedName name="LHCLoan4">#REF!</definedName>
    <definedName name="limcount" hidden="1">1</definedName>
    <definedName name="Lista" localSheetId="37">#REF!</definedName>
    <definedName name="Lista" localSheetId="17">#REF!</definedName>
    <definedName name="Lista" localSheetId="26">#REF!</definedName>
    <definedName name="Lista" localSheetId="27">#REF!</definedName>
    <definedName name="Lista" localSheetId="30">#REF!</definedName>
    <definedName name="Lista" localSheetId="31">#REF!</definedName>
    <definedName name="Lista" localSheetId="33">#REF!</definedName>
    <definedName name="Lista">#REF!</definedName>
    <definedName name="ll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oad" localSheetId="37">#REF!</definedName>
    <definedName name="Load" localSheetId="17">#REF!</definedName>
    <definedName name="Load" localSheetId="26">#REF!</definedName>
    <definedName name="Load" localSheetId="27">#REF!</definedName>
    <definedName name="Load" localSheetId="30">#REF!</definedName>
    <definedName name="Load" localSheetId="31">#REF!</definedName>
    <definedName name="Load" localSheetId="33">#REF!</definedName>
    <definedName name="Load">#REF!</definedName>
    <definedName name="Local">#REF!</definedName>
    <definedName name="lol">[79]RELATA!$A$1:$AA$335</definedName>
    <definedName name="Long_Term_Debt" localSheetId="37">[17]summary!#REF!</definedName>
    <definedName name="Long_Term_Debt" localSheetId="17">[17]summary!#REF!</definedName>
    <definedName name="Long_Term_Debt" localSheetId="26">[17]summary!#REF!</definedName>
    <definedName name="Long_Term_Debt" localSheetId="27">[17]summary!#REF!</definedName>
    <definedName name="Long_Term_Debt" localSheetId="30">[17]summary!#REF!</definedName>
    <definedName name="Long_Term_Debt" localSheetId="31">[17]summary!#REF!</definedName>
    <definedName name="Long_Term_Debt" localSheetId="33">[17]summary!#REF!</definedName>
    <definedName name="Long_Term_Debt">[17]summary!#REF!</definedName>
    <definedName name="loopfactor" localSheetId="37">'[42]CF (R$)'!#REF!</definedName>
    <definedName name="loopfactor" localSheetId="17">'[42]CF (R$)'!#REF!</definedName>
    <definedName name="loopfactor" localSheetId="26">'[42]CF (R$)'!#REF!</definedName>
    <definedName name="loopfactor" localSheetId="27">'[42]CF (R$)'!#REF!</definedName>
    <definedName name="loopfactor" localSheetId="30">'[42]CF (R$)'!#REF!</definedName>
    <definedName name="loopfactor" localSheetId="31">'[42]CF (R$)'!#REF!</definedName>
    <definedName name="loopfactor" localSheetId="33">'[42]CF (R$)'!#REF!</definedName>
    <definedName name="loopfactor">'[42]CF (R$)'!#REF!</definedName>
    <definedName name="loopfactor2" localSheetId="37">'[42]CF (R$)'!#REF!</definedName>
    <definedName name="loopfactor2" localSheetId="17">'[42]CF (R$)'!#REF!</definedName>
    <definedName name="loopfactor2" localSheetId="26">'[42]CF (R$)'!#REF!</definedName>
    <definedName name="loopfactor2" localSheetId="27">'[42]CF (R$)'!#REF!</definedName>
    <definedName name="loopfactor2" localSheetId="30">'[42]CF (R$)'!#REF!</definedName>
    <definedName name="loopfactor2" localSheetId="31">'[42]CF (R$)'!#REF!</definedName>
    <definedName name="loopfactor2" localSheetId="33">'[42]CF (R$)'!#REF!</definedName>
    <definedName name="loopfactor2">'[42]CF (R$)'!#REF!</definedName>
    <definedName name="loopfactor3" localSheetId="37">#REF!</definedName>
    <definedName name="loopfactor3" localSheetId="17">#REF!</definedName>
    <definedName name="loopfactor3" localSheetId="26">#REF!</definedName>
    <definedName name="loopfactor3" localSheetId="27">#REF!</definedName>
    <definedName name="loopfactor3" localSheetId="30">#REF!</definedName>
    <definedName name="loopfactor3" localSheetId="31">#REF!</definedName>
    <definedName name="loopfactor3" localSheetId="33">#REF!</definedName>
    <definedName name="loopfactor3">#REF!</definedName>
    <definedName name="loopfactor4" localSheetId="37">#REF!</definedName>
    <definedName name="loopfactor4" localSheetId="17">#REF!</definedName>
    <definedName name="loopfactor4" localSheetId="26">#REF!</definedName>
    <definedName name="loopfactor4" localSheetId="27">#REF!</definedName>
    <definedName name="loopfactor4" localSheetId="30">#REF!</definedName>
    <definedName name="loopfactor4" localSheetId="31">#REF!</definedName>
    <definedName name="loopfactor4" localSheetId="33">#REF!</definedName>
    <definedName name="loopfactor4">#REF!</definedName>
    <definedName name="Lote">#REF!</definedName>
    <definedName name="LOTE_01_330">#REF!</definedName>
    <definedName name="LOTE_01_348">#REF!</definedName>
    <definedName name="LOTE_03_323">#REF!</definedName>
    <definedName name="LOTE_05_322">#REF!</definedName>
    <definedName name="LOTE_08_225">#REF!</definedName>
    <definedName name="LOTE_09_0">#REF!</definedName>
    <definedName name="LOTE_09_310">#REF!</definedName>
    <definedName name="LOTE_10_255">#REF!</definedName>
    <definedName name="LOTE_10_318">#REF!</definedName>
    <definedName name="LOTE_10_330">#REF!</definedName>
    <definedName name="LOTE_10_334">#REF!</definedName>
    <definedName name="LOTE_10_345">#REF!</definedName>
    <definedName name="LOTE_11_215">#REF!</definedName>
    <definedName name="LOTE_11_340">#REF!</definedName>
    <definedName name="LOTE_11_342">#REF!</definedName>
    <definedName name="LOTE_11_344">#REF!</definedName>
    <definedName name="LOTE_11_350">#REF!</definedName>
    <definedName name="LoteBonito2" localSheetId="2" hidden="1">{"'Resumo2'!$B$2:$J$23"}</definedName>
    <definedName name="LoteBonito2" localSheetId="4" hidden="1">{"'Resumo2'!$B$2:$J$23"}</definedName>
    <definedName name="LoteBonito2" hidden="1">{"'Resumo2'!$B$2:$J$23"}</definedName>
    <definedName name="LowDate" localSheetId="37">#REF!</definedName>
    <definedName name="LowDate" localSheetId="17">#REF!</definedName>
    <definedName name="LowDate" localSheetId="26">#REF!</definedName>
    <definedName name="LowDate" localSheetId="27">#REF!</definedName>
    <definedName name="LowDate" localSheetId="30">#REF!</definedName>
    <definedName name="LowDate" localSheetId="31">#REF!</definedName>
    <definedName name="LowDate" localSheetId="33">#REF!</definedName>
    <definedName name="LowDate">#REF!</definedName>
    <definedName name="lowempty" localSheetId="37">#REF!</definedName>
    <definedName name="lowempty" localSheetId="17">#REF!</definedName>
    <definedName name="lowempty" localSheetId="26">#REF!</definedName>
    <definedName name="lowempty" localSheetId="27">#REF!</definedName>
    <definedName name="lowempty" localSheetId="30">#REF!</definedName>
    <definedName name="lowempty" localSheetId="31">#REF!</definedName>
    <definedName name="lowempty" localSheetId="33">#REF!</definedName>
    <definedName name="lowempty">#REF!</definedName>
    <definedName name="LowPrice" localSheetId="37">#REF!</definedName>
    <definedName name="LowPrice" localSheetId="17">#REF!</definedName>
    <definedName name="LowPrice" localSheetId="26">#REF!</definedName>
    <definedName name="LowPrice" localSheetId="27">#REF!</definedName>
    <definedName name="LowPrice" localSheetId="30">#REF!</definedName>
    <definedName name="LowPrice" localSheetId="31">#REF!</definedName>
    <definedName name="LowPrice" localSheetId="33">#REF!</definedName>
    <definedName name="LowPrice">#REF!</definedName>
    <definedName name="LS">"N"</definedName>
    <definedName name="lst_cargo">'[88]RECURSOS HUMANOS'!$T$4:$T$28</definedName>
    <definedName name="LTEPSGrowth" localSheetId="37">#REF!</definedName>
    <definedName name="LTEPSGrowth" localSheetId="17">#REF!</definedName>
    <definedName name="LTEPSGrowth" localSheetId="26">#REF!</definedName>
    <definedName name="LTEPSGrowth" localSheetId="27">#REF!</definedName>
    <definedName name="LTEPSGrowth" localSheetId="30">#REF!</definedName>
    <definedName name="LTEPSGrowth" localSheetId="31">#REF!</definedName>
    <definedName name="LTEPSGrowth" localSheetId="33">#REF!</definedName>
    <definedName name="LTEPSGrowth">#REF!</definedName>
    <definedName name="LTM" localSheetId="37">[6]WACC!#REF!</definedName>
    <definedName name="LTM" localSheetId="17">[6]WACC!#REF!</definedName>
    <definedName name="LTM" localSheetId="26">[6]WACC!#REF!</definedName>
    <definedName name="LTM" localSheetId="27">[6]WACC!#REF!</definedName>
    <definedName name="LTM" localSheetId="30">[6]WACC!#REF!</definedName>
    <definedName name="LTM" localSheetId="31">[6]WACC!#REF!</definedName>
    <definedName name="LTM" localSheetId="33">[6]WACC!#REF!</definedName>
    <definedName name="LTM">[6]WACC!#REF!</definedName>
    <definedName name="LTM_Asset_Sales" localSheetId="37">[17]summary!#REF!</definedName>
    <definedName name="LTM_Asset_Sales" localSheetId="17">[17]summary!#REF!</definedName>
    <definedName name="LTM_Asset_Sales" localSheetId="26">[17]summary!#REF!</definedName>
    <definedName name="LTM_Asset_Sales" localSheetId="27">[17]summary!#REF!</definedName>
    <definedName name="LTM_Asset_Sales" localSheetId="30">[17]summary!#REF!</definedName>
    <definedName name="LTM_Asset_Sales" localSheetId="31">[17]summary!#REF!</definedName>
    <definedName name="LTM_Asset_Sales" localSheetId="33">[17]summary!#REF!</definedName>
    <definedName name="LTM_Asset_Sales">[17]summary!#REF!</definedName>
    <definedName name="LTM_ATCF___LTM_Revenues" localSheetId="37">[17]summary!#REF!</definedName>
    <definedName name="LTM_ATCF___LTM_Revenues" localSheetId="17">[17]summary!#REF!</definedName>
    <definedName name="LTM_ATCF___LTM_Revenues" localSheetId="26">[17]summary!#REF!</definedName>
    <definedName name="LTM_ATCF___LTM_Revenues" localSheetId="27">[17]summary!#REF!</definedName>
    <definedName name="LTM_ATCF___LTM_Revenues" localSheetId="30">[17]summary!#REF!</definedName>
    <definedName name="LTM_ATCF___LTM_Revenues" localSheetId="31">[17]summary!#REF!</definedName>
    <definedName name="LTM_ATCF___LTM_Revenues" localSheetId="33">[17]summary!#REF!</definedName>
    <definedName name="LTM_ATCF___LTM_Revenues">[17]summary!#REF!</definedName>
    <definedName name="LTM_Capex" localSheetId="37">[17]summary!#REF!</definedName>
    <definedName name="LTM_Capex" localSheetId="17">[17]summary!#REF!</definedName>
    <definedName name="LTM_Capex" localSheetId="26">[17]summary!#REF!</definedName>
    <definedName name="LTM_Capex" localSheetId="27">[17]summary!#REF!</definedName>
    <definedName name="LTM_Capex" localSheetId="30">[17]summary!#REF!</definedName>
    <definedName name="LTM_Capex" localSheetId="31">[17]summary!#REF!</definedName>
    <definedName name="LTM_Capex" localSheetId="33">[17]summary!#REF!</definedName>
    <definedName name="LTM_Capex">[17]summary!#REF!</definedName>
    <definedName name="LTM_Capitalized_Interest" localSheetId="37">[17]summary!#REF!</definedName>
    <definedName name="LTM_Capitalized_Interest" localSheetId="17">[17]summary!#REF!</definedName>
    <definedName name="LTM_Capitalized_Interest" localSheetId="26">[17]summary!#REF!</definedName>
    <definedName name="LTM_Capitalized_Interest" localSheetId="27">[17]summary!#REF!</definedName>
    <definedName name="LTM_Capitalized_Interest" localSheetId="30">[17]summary!#REF!</definedName>
    <definedName name="LTM_Capitalized_Interest" localSheetId="31">[17]summary!#REF!</definedName>
    <definedName name="LTM_Capitalized_Interest" localSheetId="33">[17]summary!#REF!</definedName>
    <definedName name="LTM_Capitalized_Interest">[17]summary!#REF!</definedName>
    <definedName name="LTM_Cash_Flow" localSheetId="37">[17]summary!#REF!</definedName>
    <definedName name="LTM_Cash_Flow" localSheetId="17">[17]summary!#REF!</definedName>
    <definedName name="LTM_Cash_Flow" localSheetId="26">[17]summary!#REF!</definedName>
    <definedName name="LTM_Cash_Flow" localSheetId="27">[17]summary!#REF!</definedName>
    <definedName name="LTM_Cash_Flow" localSheetId="30">[17]summary!#REF!</definedName>
    <definedName name="LTM_Cash_Flow" localSheetId="31">[17]summary!#REF!</definedName>
    <definedName name="LTM_Cash_Flow" localSheetId="33">[17]summary!#REF!</definedName>
    <definedName name="LTM_Cash_Flow">[17]summary!#REF!</definedName>
    <definedName name="LTM_Current_Income_Tax" localSheetId="37">[17]summary!#REF!</definedName>
    <definedName name="LTM_Current_Income_Tax" localSheetId="17">[17]summary!#REF!</definedName>
    <definedName name="LTM_Current_Income_Tax" localSheetId="26">[17]summary!#REF!</definedName>
    <definedName name="LTM_Current_Income_Tax" localSheetId="27">[17]summary!#REF!</definedName>
    <definedName name="LTM_Current_Income_Tax" localSheetId="30">[17]summary!#REF!</definedName>
    <definedName name="LTM_Current_Income_Tax" localSheetId="31">[17]summary!#REF!</definedName>
    <definedName name="LTM_Current_Income_Tax" localSheetId="33">[17]summary!#REF!</definedName>
    <definedName name="LTM_Current_Income_Tax">[17]summary!#REF!</definedName>
    <definedName name="LTM_DD_A" localSheetId="37">[17]summary!#REF!</definedName>
    <definedName name="LTM_DD_A" localSheetId="17">[17]summary!#REF!</definedName>
    <definedName name="LTM_DD_A" localSheetId="26">[17]summary!#REF!</definedName>
    <definedName name="LTM_DD_A" localSheetId="27">[17]summary!#REF!</definedName>
    <definedName name="LTM_DD_A" localSheetId="30">[17]summary!#REF!</definedName>
    <definedName name="LTM_DD_A" localSheetId="31">[17]summary!#REF!</definedName>
    <definedName name="LTM_DD_A" localSheetId="33">[17]summary!#REF!</definedName>
    <definedName name="LTM_DD_A">[17]summary!#REF!</definedName>
    <definedName name="LTM_Deferred_Income_Tax" localSheetId="37">[17]summary!#REF!</definedName>
    <definedName name="LTM_Deferred_Income_Tax" localSheetId="17">[17]summary!#REF!</definedName>
    <definedName name="LTM_Deferred_Income_Tax" localSheetId="26">[17]summary!#REF!</definedName>
    <definedName name="LTM_Deferred_Income_Tax" localSheetId="27">[17]summary!#REF!</definedName>
    <definedName name="LTM_Deferred_Income_Tax" localSheetId="30">[17]summary!#REF!</definedName>
    <definedName name="LTM_Deferred_Income_Tax" localSheetId="31">[17]summary!#REF!</definedName>
    <definedName name="LTM_Deferred_Income_Tax" localSheetId="33">[17]summary!#REF!</definedName>
    <definedName name="LTM_Deferred_Income_Tax">[17]summary!#REF!</definedName>
    <definedName name="LTM_EBIT" localSheetId="37">[17]summary!#REF!</definedName>
    <definedName name="LTM_EBIT" localSheetId="17">[17]summary!#REF!</definedName>
    <definedName name="LTM_EBIT" localSheetId="26">[17]summary!#REF!</definedName>
    <definedName name="LTM_EBIT" localSheetId="27">[17]summary!#REF!</definedName>
    <definedName name="LTM_EBIT" localSheetId="30">[17]summary!#REF!</definedName>
    <definedName name="LTM_EBIT" localSheetId="31">[17]summary!#REF!</definedName>
    <definedName name="LTM_EBIT" localSheetId="33">[17]summary!#REF!</definedName>
    <definedName name="LTM_EBIT">[17]summary!#REF!</definedName>
    <definedName name="LTM_EBITDAX" localSheetId="37">[17]summary!#REF!</definedName>
    <definedName name="LTM_EBITDAX" localSheetId="17">[17]summary!#REF!</definedName>
    <definedName name="LTM_EBITDAX" localSheetId="26">[17]summary!#REF!</definedName>
    <definedName name="LTM_EBITDAX" localSheetId="27">[17]summary!#REF!</definedName>
    <definedName name="LTM_EBITDAX" localSheetId="30">[17]summary!#REF!</definedName>
    <definedName name="LTM_EBITDAX" localSheetId="31">[17]summary!#REF!</definedName>
    <definedName name="LTM_EBITDAX" localSheetId="33">[17]summary!#REF!</definedName>
    <definedName name="LTM_EBITDAX">[17]summary!#REF!</definedName>
    <definedName name="LTM_Exploration_Expense" localSheetId="37">[17]summary!#REF!</definedName>
    <definedName name="LTM_Exploration_Expense" localSheetId="17">[17]summary!#REF!</definedName>
    <definedName name="LTM_Exploration_Expense" localSheetId="26">[17]summary!#REF!</definedName>
    <definedName name="LTM_Exploration_Expense" localSheetId="27">[17]summary!#REF!</definedName>
    <definedName name="LTM_Exploration_Expense" localSheetId="30">[17]summary!#REF!</definedName>
    <definedName name="LTM_Exploration_Expense" localSheetId="31">[17]summary!#REF!</definedName>
    <definedName name="LTM_Exploration_Expense" localSheetId="33">[17]summary!#REF!</definedName>
    <definedName name="LTM_Exploration_Expense">[17]summary!#REF!</definedName>
    <definedName name="LTM_High" localSheetId="37">#REF!</definedName>
    <definedName name="LTM_High" localSheetId="17">#REF!</definedName>
    <definedName name="LTM_High" localSheetId="26">#REF!</definedName>
    <definedName name="LTM_High" localSheetId="27">#REF!</definedName>
    <definedName name="LTM_High" localSheetId="30">#REF!</definedName>
    <definedName name="LTM_High" localSheetId="31">#REF!</definedName>
    <definedName name="LTM_High" localSheetId="33">#REF!</definedName>
    <definedName name="LTM_High">#REF!</definedName>
    <definedName name="LTM_Interest_Expense" localSheetId="37">[17]summary!#REF!</definedName>
    <definedName name="LTM_Interest_Expense" localSheetId="17">[17]summary!#REF!</definedName>
    <definedName name="LTM_Interest_Expense" localSheetId="26">[17]summary!#REF!</definedName>
    <definedName name="LTM_Interest_Expense" localSheetId="27">[17]summary!#REF!</definedName>
    <definedName name="LTM_Interest_Expense" localSheetId="30">[17]summary!#REF!</definedName>
    <definedName name="LTM_Interest_Expense" localSheetId="31">[17]summary!#REF!</definedName>
    <definedName name="LTM_Interest_Expense" localSheetId="33">[17]summary!#REF!</definedName>
    <definedName name="LTM_Interest_Expense">[17]summary!#REF!</definedName>
    <definedName name="LTM_Low" localSheetId="37">#REF!</definedName>
    <definedName name="LTM_Low" localSheetId="17">#REF!</definedName>
    <definedName name="LTM_Low" localSheetId="26">#REF!</definedName>
    <definedName name="LTM_Low" localSheetId="27">#REF!</definedName>
    <definedName name="LTM_Low" localSheetId="30">#REF!</definedName>
    <definedName name="LTM_Low" localSheetId="31">#REF!</definedName>
    <definedName name="LTM_Low" localSheetId="33">#REF!</definedName>
    <definedName name="LTM_Low">#REF!</definedName>
    <definedName name="LTM_Minority_Interest" localSheetId="37">[17]summary!#REF!</definedName>
    <definedName name="LTM_Minority_Interest" localSheetId="17">[17]summary!#REF!</definedName>
    <definedName name="LTM_Minority_Interest" localSheetId="26">[17]summary!#REF!</definedName>
    <definedName name="LTM_Minority_Interest" localSheetId="27">[17]summary!#REF!</definedName>
    <definedName name="LTM_Minority_Interest" localSheetId="30">[17]summary!#REF!</definedName>
    <definedName name="LTM_Minority_Interest" localSheetId="31">[17]summary!#REF!</definedName>
    <definedName name="LTM_Minority_Interest" localSheetId="33">[17]summary!#REF!</definedName>
    <definedName name="LTM_Minority_Interest">[17]summary!#REF!</definedName>
    <definedName name="LTM_Net_Income" localSheetId="37">[17]summary!#REF!</definedName>
    <definedName name="LTM_Net_Income" localSheetId="17">[17]summary!#REF!</definedName>
    <definedName name="LTM_Net_Income" localSheetId="26">[17]summary!#REF!</definedName>
    <definedName name="LTM_Net_Income" localSheetId="27">[17]summary!#REF!</definedName>
    <definedName name="LTM_Net_Income" localSheetId="30">[17]summary!#REF!</definedName>
    <definedName name="LTM_Net_Income" localSheetId="31">[17]summary!#REF!</definedName>
    <definedName name="LTM_Net_Income" localSheetId="33">[17]summary!#REF!</definedName>
    <definedName name="LTM_Net_Income">[17]summary!#REF!</definedName>
    <definedName name="LTM_Non_Cash_Items" localSheetId="37">[17]summary!#REF!</definedName>
    <definedName name="LTM_Non_Cash_Items" localSheetId="17">[17]summary!#REF!</definedName>
    <definedName name="LTM_Non_Cash_Items" localSheetId="26">[17]summary!#REF!</definedName>
    <definedName name="LTM_Non_Cash_Items" localSheetId="27">[17]summary!#REF!</definedName>
    <definedName name="LTM_Non_Cash_Items" localSheetId="30">[17]summary!#REF!</definedName>
    <definedName name="LTM_Non_Cash_Items" localSheetId="31">[17]summary!#REF!</definedName>
    <definedName name="LTM_Non_Cash_Items" localSheetId="33">[17]summary!#REF!</definedName>
    <definedName name="LTM_Non_Cash_Items">[17]summary!#REF!</definedName>
    <definedName name="LTM_Other_Income" localSheetId="37">[17]summary!#REF!</definedName>
    <definedName name="LTM_Other_Income" localSheetId="17">[17]summary!#REF!</definedName>
    <definedName name="LTM_Other_Income" localSheetId="26">[17]summary!#REF!</definedName>
    <definedName name="LTM_Other_Income" localSheetId="27">[17]summary!#REF!</definedName>
    <definedName name="LTM_Other_Income" localSheetId="30">[17]summary!#REF!</definedName>
    <definedName name="LTM_Other_Income" localSheetId="31">[17]summary!#REF!</definedName>
    <definedName name="LTM_Other_Income" localSheetId="33">[17]summary!#REF!</definedName>
    <definedName name="LTM_Other_Income">[17]summary!#REF!</definedName>
    <definedName name="LTM_Revenue" localSheetId="37">[17]summary!#REF!</definedName>
    <definedName name="LTM_Revenue" localSheetId="17">[17]summary!#REF!</definedName>
    <definedName name="LTM_Revenue" localSheetId="26">[17]summary!#REF!</definedName>
    <definedName name="LTM_Revenue" localSheetId="27">[17]summary!#REF!</definedName>
    <definedName name="LTM_Revenue" localSheetId="30">[17]summary!#REF!</definedName>
    <definedName name="LTM_Revenue" localSheetId="31">[17]summary!#REF!</definedName>
    <definedName name="LTM_Revenue" localSheetId="33">[17]summary!#REF!</definedName>
    <definedName name="LTM_Revenue">[17]summary!#REF!</definedName>
    <definedName name="LTM_Weighted_Average_Shares_Outstanding" localSheetId="37">[17]summary!#REF!</definedName>
    <definedName name="LTM_Weighted_Average_Shares_Outstanding" localSheetId="17">[17]summary!#REF!</definedName>
    <definedName name="LTM_Weighted_Average_Shares_Outstanding" localSheetId="26">[17]summary!#REF!</definedName>
    <definedName name="LTM_Weighted_Average_Shares_Outstanding" localSheetId="27">[17]summary!#REF!</definedName>
    <definedName name="LTM_Weighted_Average_Shares_Outstanding" localSheetId="30">[17]summary!#REF!</definedName>
    <definedName name="LTM_Weighted_Average_Shares_Outstanding" localSheetId="31">[17]summary!#REF!</definedName>
    <definedName name="LTM_Weighted_Average_Shares_Outstanding" localSheetId="33">[17]summary!#REF!</definedName>
    <definedName name="LTM_Weighted_Average_Shares_Outstanding">[17]summary!#REF!</definedName>
    <definedName name="LTMCapEx" localSheetId="37">#REF!</definedName>
    <definedName name="LTMCapEx" localSheetId="17">#REF!</definedName>
    <definedName name="LTMCapEx" localSheetId="26">#REF!</definedName>
    <definedName name="LTMCapEx" localSheetId="27">#REF!</definedName>
    <definedName name="LTMCapEx" localSheetId="30">#REF!</definedName>
    <definedName name="LTMCapEx" localSheetId="31">#REF!</definedName>
    <definedName name="LTMCapEx" localSheetId="33">#REF!</definedName>
    <definedName name="LTMCapEx">#REF!</definedName>
    <definedName name="LTMCashFlow" localSheetId="37">#REF!</definedName>
    <definedName name="LTMCashFlow" localSheetId="17">#REF!</definedName>
    <definedName name="LTMCashFlow" localSheetId="26">#REF!</definedName>
    <definedName name="LTMCashFlow" localSheetId="27">#REF!</definedName>
    <definedName name="LTMCashFlow" localSheetId="30">#REF!</definedName>
    <definedName name="LTMCashFlow" localSheetId="31">#REF!</definedName>
    <definedName name="LTMCashFlow" localSheetId="33">#REF!</definedName>
    <definedName name="LTMCashFlow">#REF!</definedName>
    <definedName name="LTMEBIT" localSheetId="37">#REF!</definedName>
    <definedName name="LTMEBIT" localSheetId="17">#REF!</definedName>
    <definedName name="LTMEBIT" localSheetId="26">#REF!</definedName>
    <definedName name="LTMEBIT" localSheetId="27">#REF!</definedName>
    <definedName name="LTMEBIT" localSheetId="30">#REF!</definedName>
    <definedName name="LTMEBIT" localSheetId="31">#REF!</definedName>
    <definedName name="LTMEBIT" localSheetId="33">#REF!</definedName>
    <definedName name="LTMEBIT">#REF!</definedName>
    <definedName name="LTMEBITDA" localSheetId="37">#REF!</definedName>
    <definedName name="LTMEBITDA" localSheetId="17">#REF!</definedName>
    <definedName name="LTMEBITDA" localSheetId="26">#REF!</definedName>
    <definedName name="LTMEBITDA" localSheetId="27">#REF!</definedName>
    <definedName name="LTMEBITDA" localSheetId="30">#REF!</definedName>
    <definedName name="LTMEBITDA" localSheetId="31">#REF!</definedName>
    <definedName name="LTMEBITDA" localSheetId="33">#REF!</definedName>
    <definedName name="LTMEBITDA">#REF!</definedName>
    <definedName name="LTMGrossProfit" localSheetId="37">#REF!</definedName>
    <definedName name="LTMGrossProfit" localSheetId="17">#REF!</definedName>
    <definedName name="LTMGrossProfit" localSheetId="26">#REF!</definedName>
    <definedName name="LTMGrossProfit" localSheetId="27">#REF!</definedName>
    <definedName name="LTMGrossProfit" localSheetId="30">#REF!</definedName>
    <definedName name="LTMGrossProfit" localSheetId="31">#REF!</definedName>
    <definedName name="LTMGrossProfit" localSheetId="33">#REF!</definedName>
    <definedName name="LTMGrossProfit">#REF!</definedName>
    <definedName name="LTMNetInc" localSheetId="37">#REF!</definedName>
    <definedName name="LTMNetInc" localSheetId="17">#REF!</definedName>
    <definedName name="LTMNetInc" localSheetId="26">#REF!</definedName>
    <definedName name="LTMNetInc" localSheetId="27">#REF!</definedName>
    <definedName name="LTMNetInc" localSheetId="30">#REF!</definedName>
    <definedName name="LTMNetInc" localSheetId="31">#REF!</definedName>
    <definedName name="LTMNetInc" localSheetId="33">#REF!</definedName>
    <definedName name="LTMNetInc">#REF!</definedName>
    <definedName name="LTMOther1" localSheetId="37">#REF!</definedName>
    <definedName name="LTMOther1" localSheetId="17">#REF!</definedName>
    <definedName name="LTMOther1" localSheetId="26">#REF!</definedName>
    <definedName name="LTMOther1" localSheetId="27">#REF!</definedName>
    <definedName name="LTMOther1" localSheetId="30">#REF!</definedName>
    <definedName name="LTMOther1" localSheetId="31">#REF!</definedName>
    <definedName name="LTMOther1" localSheetId="33">#REF!</definedName>
    <definedName name="LTMOther1">#REF!</definedName>
    <definedName name="LTMOther2" localSheetId="37">#REF!</definedName>
    <definedName name="LTMOther2" localSheetId="17">#REF!</definedName>
    <definedName name="LTMOther2" localSheetId="26">#REF!</definedName>
    <definedName name="LTMOther2" localSheetId="27">#REF!</definedName>
    <definedName name="LTMOther2" localSheetId="30">#REF!</definedName>
    <definedName name="LTMOther2" localSheetId="31">#REF!</definedName>
    <definedName name="LTMOther2" localSheetId="33">#REF!</definedName>
    <definedName name="LTMOther2">#REF!</definedName>
    <definedName name="LTMOther3" localSheetId="37">#REF!</definedName>
    <definedName name="LTMOther3" localSheetId="17">#REF!</definedName>
    <definedName name="LTMOther3" localSheetId="26">#REF!</definedName>
    <definedName name="LTMOther3" localSheetId="27">#REF!</definedName>
    <definedName name="LTMOther3" localSheetId="30">#REF!</definedName>
    <definedName name="LTMOther3" localSheetId="31">#REF!</definedName>
    <definedName name="LTMOther3" localSheetId="33">#REF!</definedName>
    <definedName name="LTMOther3">#REF!</definedName>
    <definedName name="LTMRevenues" localSheetId="37">#REF!</definedName>
    <definedName name="LTMRevenues" localSheetId="17">#REF!</definedName>
    <definedName name="LTMRevenues" localSheetId="26">#REF!</definedName>
    <definedName name="LTMRevenues" localSheetId="27">#REF!</definedName>
    <definedName name="LTMRevenues" localSheetId="30">#REF!</definedName>
    <definedName name="LTMRevenues" localSheetId="31">#REF!</definedName>
    <definedName name="LTMRevenues" localSheetId="33">#REF!</definedName>
    <definedName name="LTMRevenues">#REF!</definedName>
    <definedName name="LTMSALES" localSheetId="37">[6]WACC!#REF!</definedName>
    <definedName name="LTMSALES" localSheetId="17">[6]WACC!#REF!</definedName>
    <definedName name="LTMSALES" localSheetId="26">[6]WACC!#REF!</definedName>
    <definedName name="LTMSALES" localSheetId="27">[6]WACC!#REF!</definedName>
    <definedName name="LTMSALES" localSheetId="30">[6]WACC!#REF!</definedName>
    <definedName name="LTMSALES" localSheetId="31">[6]WACC!#REF!</definedName>
    <definedName name="LTMSALES" localSheetId="33">[6]WACC!#REF!</definedName>
    <definedName name="LTMSALES">[6]WACC!#REF!</definedName>
    <definedName name="LTMShares" localSheetId="37">#REF!</definedName>
    <definedName name="LTMShares" localSheetId="17">#REF!</definedName>
    <definedName name="LTMShares" localSheetId="26">#REF!</definedName>
    <definedName name="LTMShares" localSheetId="27">#REF!</definedName>
    <definedName name="LTMShares" localSheetId="30">#REF!</definedName>
    <definedName name="LTMShares" localSheetId="31">#REF!</definedName>
    <definedName name="LTMShares" localSheetId="33">#REF!</definedName>
    <definedName name="LTMShares">#REF!</definedName>
    <definedName name="Lynx_Pit_1" localSheetId="37">#REF!</definedName>
    <definedName name="Lynx_Pit_1" localSheetId="17">#REF!</definedName>
    <definedName name="Lynx_Pit_1" localSheetId="26">#REF!</definedName>
    <definedName name="Lynx_Pit_1" localSheetId="27">#REF!</definedName>
    <definedName name="Lynx_Pit_1" localSheetId="30">#REF!</definedName>
    <definedName name="Lynx_Pit_1" localSheetId="31">#REF!</definedName>
    <definedName name="Lynx_Pit_1" localSheetId="33">#REF!</definedName>
    <definedName name="Lynx_Pit_1">#REF!</definedName>
    <definedName name="Lynx_Pit_2" localSheetId="37">#REF!</definedName>
    <definedName name="Lynx_Pit_2" localSheetId="17">#REF!</definedName>
    <definedName name="Lynx_Pit_2" localSheetId="26">#REF!</definedName>
    <definedName name="Lynx_Pit_2" localSheetId="27">#REF!</definedName>
    <definedName name="Lynx_Pit_2" localSheetId="30">#REF!</definedName>
    <definedName name="Lynx_Pit_2" localSheetId="31">#REF!</definedName>
    <definedName name="Lynx_Pit_2" localSheetId="33">#REF!</definedName>
    <definedName name="Lynx_Pit_2">#REF!</definedName>
    <definedName name="Lynx_Pit_3" localSheetId="37">#REF!</definedName>
    <definedName name="Lynx_Pit_3" localSheetId="17">#REF!</definedName>
    <definedName name="Lynx_Pit_3" localSheetId="26">#REF!</definedName>
    <definedName name="Lynx_Pit_3" localSheetId="27">#REF!</definedName>
    <definedName name="Lynx_Pit_3" localSheetId="30">#REF!</definedName>
    <definedName name="Lynx_Pit_3" localSheetId="31">#REF!</definedName>
    <definedName name="Lynx_Pit_3" localSheetId="33">#REF!</definedName>
    <definedName name="Lynx_Pit_3">#REF!</definedName>
    <definedName name="Lynx_Pit_4" localSheetId="37">#REF!</definedName>
    <definedName name="Lynx_Pit_4" localSheetId="17">#REF!</definedName>
    <definedName name="Lynx_Pit_4" localSheetId="26">#REF!</definedName>
    <definedName name="Lynx_Pit_4" localSheetId="27">#REF!</definedName>
    <definedName name="Lynx_Pit_4" localSheetId="30">#REF!</definedName>
    <definedName name="Lynx_Pit_4" localSheetId="31">#REF!</definedName>
    <definedName name="Lynx_Pit_4" localSheetId="33">#REF!</definedName>
    <definedName name="Lynx_Pit_4">#REF!</definedName>
    <definedName name="Lynx_Pit_5" localSheetId="37">#REF!</definedName>
    <definedName name="Lynx_Pit_5" localSheetId="17">#REF!</definedName>
    <definedName name="Lynx_Pit_5" localSheetId="26">#REF!</definedName>
    <definedName name="Lynx_Pit_5" localSheetId="27">#REF!</definedName>
    <definedName name="Lynx_Pit_5" localSheetId="30">#REF!</definedName>
    <definedName name="Lynx_Pit_5" localSheetId="31">#REF!</definedName>
    <definedName name="Lynx_Pit_5" localSheetId="33">#REF!</definedName>
    <definedName name="Lynx_Pit_5">#REF!</definedName>
    <definedName name="M" localSheetId="37">#REF!</definedName>
    <definedName name="M" localSheetId="17">#REF!</definedName>
    <definedName name="M" localSheetId="26">#REF!</definedName>
    <definedName name="M" localSheetId="27">#REF!</definedName>
    <definedName name="M" localSheetId="30">#REF!</definedName>
    <definedName name="M" localSheetId="31">#REF!</definedName>
    <definedName name="M" localSheetId="33">#REF!</definedName>
    <definedName name="M">#REF!</definedName>
    <definedName name="M_PlaceofPath" hidden="1">"F:\CMOTZ\excel\ati\ATI_VDF.XLS"</definedName>
    <definedName name="Macro.Dates" hidden="1">'[89]Macro Assumptions'!$A$6:$BA$6</definedName>
    <definedName name="Macro.Dates.2" hidden="1">'[89]Macro Assumptions'!$A$5:$AW$5</definedName>
    <definedName name="Macro.FX" hidden="1">'[89]Macro Assumptions'!$A$4:$BA$4</definedName>
    <definedName name="Macro.Label" hidden="1">'[89]Macro Assumptions'!$B$1:$B$25</definedName>
    <definedName name="Macro.Table" hidden="1">'[89]Macro Assumptions'!$A$1:$BA$25</definedName>
    <definedName name="MAI" localSheetId="2">#N/A</definedName>
    <definedName name="MAI" localSheetId="4">#N/A</definedName>
    <definedName name="MAI" localSheetId="41">'Preços Unitários'!MAI</definedName>
    <definedName name="MAI" localSheetId="23">'Recursos Humanos 1'!MAI</definedName>
    <definedName name="MAI" localSheetId="38">'Veículos e Equipamentos'!MAI</definedName>
    <definedName name="MAI">'Preços Unitários'!MAI</definedName>
    <definedName name="Maint_Cont_Rev">0.17</definedName>
    <definedName name="Maint_Margin">0.3</definedName>
    <definedName name="Maintenance_Margin">0.3</definedName>
    <definedName name="MAR" localSheetId="2">#N/A</definedName>
    <definedName name="MAR" localSheetId="4">#N/A</definedName>
    <definedName name="MAR" localSheetId="41">'Preços Unitários'!MAR</definedName>
    <definedName name="MAR" localSheetId="23">'Recursos Humanos 1'!MAR</definedName>
    <definedName name="MAR" localSheetId="38">'Veículos e Equipamentos'!MAR</definedName>
    <definedName name="MAR">'Preços Unitários'!MAR</definedName>
    <definedName name="Margem" localSheetId="37">'[52]#REF'!#REF!</definedName>
    <definedName name="Margem" localSheetId="17">'[52]#REF'!#REF!</definedName>
    <definedName name="Margem" localSheetId="26">'[52]#REF'!#REF!</definedName>
    <definedName name="Margem" localSheetId="27">'[52]#REF'!#REF!</definedName>
    <definedName name="Margem" localSheetId="30">'[52]#REF'!#REF!</definedName>
    <definedName name="Margem" localSheetId="31">'[52]#REF'!#REF!</definedName>
    <definedName name="Margem" localSheetId="33">'[52]#REF'!#REF!</definedName>
    <definedName name="Margem">'[52]#REF'!#REF!</definedName>
    <definedName name="Market____Book_Value" localSheetId="37">#REF!</definedName>
    <definedName name="Market____Book_Value" localSheetId="17">#REF!</definedName>
    <definedName name="Market____Book_Value" localSheetId="26">#REF!</definedName>
    <definedName name="Market____Book_Value" localSheetId="27">#REF!</definedName>
    <definedName name="Market____Book_Value" localSheetId="30">#REF!</definedName>
    <definedName name="Market____Book_Value" localSheetId="31">#REF!</definedName>
    <definedName name="Market____Book_Value" localSheetId="33">#REF!</definedName>
    <definedName name="Market____Book_Value">#REF!</definedName>
    <definedName name="Market_Value" localSheetId="37">#REF!</definedName>
    <definedName name="Market_Value" localSheetId="17">#REF!</definedName>
    <definedName name="Market_Value" localSheetId="26">#REF!</definedName>
    <definedName name="Market_Value" localSheetId="27">#REF!</definedName>
    <definedName name="Market_Value" localSheetId="30">#REF!</definedName>
    <definedName name="Market_Value" localSheetId="31">#REF!</definedName>
    <definedName name="Market_Value" localSheetId="33">#REF!</definedName>
    <definedName name="Market_Value">#REF!</definedName>
    <definedName name="Market_Value___Book_Value" localSheetId="37">#REF!</definedName>
    <definedName name="Market_Value___Book_Value" localSheetId="17">#REF!</definedName>
    <definedName name="Market_Value___Book_Value" localSheetId="26">#REF!</definedName>
    <definedName name="Market_Value___Book_Value" localSheetId="27">#REF!</definedName>
    <definedName name="Market_Value___Book_Value" localSheetId="30">#REF!</definedName>
    <definedName name="Market_Value___Book_Value" localSheetId="31">#REF!</definedName>
    <definedName name="Market_Value___Book_Value" localSheetId="33">#REF!</definedName>
    <definedName name="Market_Value___Book_Value">#REF!</definedName>
    <definedName name="Market_Value_1" localSheetId="37">#REF!</definedName>
    <definedName name="Market_Value_1" localSheetId="17">#REF!</definedName>
    <definedName name="Market_Value_1" localSheetId="26">#REF!</definedName>
    <definedName name="Market_Value_1" localSheetId="27">#REF!</definedName>
    <definedName name="Market_Value_1" localSheetId="30">#REF!</definedName>
    <definedName name="Market_Value_1" localSheetId="31">#REF!</definedName>
    <definedName name="Market_Value_1" localSheetId="33">#REF!</definedName>
    <definedName name="Market_Value_1">#REF!</definedName>
    <definedName name="Market_Value_of_Reserves___After_Tax_SEC_10_Value" localSheetId="37">#REF!</definedName>
    <definedName name="Market_Value_of_Reserves___After_Tax_SEC_10_Value" localSheetId="17">#REF!</definedName>
    <definedName name="Market_Value_of_Reserves___After_Tax_SEC_10_Value" localSheetId="26">#REF!</definedName>
    <definedName name="Market_Value_of_Reserves___After_Tax_SEC_10_Value" localSheetId="27">#REF!</definedName>
    <definedName name="Market_Value_of_Reserves___After_Tax_SEC_10_Value" localSheetId="30">#REF!</definedName>
    <definedName name="Market_Value_of_Reserves___After_Tax_SEC_10_Value" localSheetId="31">#REF!</definedName>
    <definedName name="Market_Value_of_Reserves___After_Tax_SEC_10_Value" localSheetId="33">#REF!</definedName>
    <definedName name="Market_Value_of_Reserves___After_Tax_SEC_10_Value">#REF!</definedName>
    <definedName name="Market_Value_of_Reserves___Proved_BOE" localSheetId="37">#REF!</definedName>
    <definedName name="Market_Value_of_Reserves___Proved_BOE" localSheetId="17">#REF!</definedName>
    <definedName name="Market_Value_of_Reserves___Proved_BOE" localSheetId="26">#REF!</definedName>
    <definedName name="Market_Value_of_Reserves___Proved_BOE" localSheetId="27">#REF!</definedName>
    <definedName name="Market_Value_of_Reserves___Proved_BOE" localSheetId="30">#REF!</definedName>
    <definedName name="Market_Value_of_Reserves___Proved_BOE" localSheetId="31">#REF!</definedName>
    <definedName name="Market_Value_of_Reserves___Proved_BOE" localSheetId="33">#REF!</definedName>
    <definedName name="Market_Value_of_Reserves___Proved_BOE">#REF!</definedName>
    <definedName name="Market_Value_of_Reserves___Proved_BOE_10" localSheetId="37">#REF!</definedName>
    <definedName name="Market_Value_of_Reserves___Proved_BOE_10" localSheetId="17">#REF!</definedName>
    <definedName name="Market_Value_of_Reserves___Proved_BOE_10" localSheetId="26">#REF!</definedName>
    <definedName name="Market_Value_of_Reserves___Proved_BOE_10" localSheetId="27">#REF!</definedName>
    <definedName name="Market_Value_of_Reserves___Proved_BOE_10" localSheetId="30">#REF!</definedName>
    <definedName name="Market_Value_of_Reserves___Proved_BOE_10" localSheetId="31">#REF!</definedName>
    <definedName name="Market_Value_of_Reserves___Proved_BOE_10" localSheetId="33">#REF!</definedName>
    <definedName name="Market_Value_of_Reserves___Proved_BOE_10">#REF!</definedName>
    <definedName name="MarketCap" localSheetId="37">#REF!</definedName>
    <definedName name="MarketCap" localSheetId="17">#REF!</definedName>
    <definedName name="MarketCap" localSheetId="26">#REF!</definedName>
    <definedName name="MarketCap" localSheetId="27">#REF!</definedName>
    <definedName name="MarketCap" localSheetId="30">#REF!</definedName>
    <definedName name="MarketCap" localSheetId="31">#REF!</definedName>
    <definedName name="MarketCap" localSheetId="33">#REF!</definedName>
    <definedName name="MarketCap">#REF!</definedName>
    <definedName name="marzo" localSheetId="2" hidden="1">{#N/A,#N/A,FALSE,"Acum Julio - 00"}</definedName>
    <definedName name="marzo" localSheetId="4" hidden="1">{#N/A,#N/A,FALSE,"Acum Julio - 00"}</definedName>
    <definedName name="marzo" hidden="1">{#N/A,#N/A,FALSE,"Acum Julio - 00"}</definedName>
    <definedName name="marzo1" localSheetId="2" hidden="1">{#N/A,#N/A,FALSE,"Acum Julio - 00"}</definedName>
    <definedName name="marzo1" localSheetId="4" hidden="1">{#N/A,#N/A,FALSE,"Acum Julio - 00"}</definedName>
    <definedName name="marzo1" hidden="1">{#N/A,#N/A,FALSE,"Acum Julio - 00"}</definedName>
    <definedName name="MATrig" localSheetId="37">#REF!</definedName>
    <definedName name="MATrig" localSheetId="17">#REF!</definedName>
    <definedName name="MATrig" localSheetId="26">#REF!</definedName>
    <definedName name="MATrig" localSheetId="27">#REF!</definedName>
    <definedName name="MATrig" localSheetId="30">#REF!</definedName>
    <definedName name="MATrig" localSheetId="31">#REF!</definedName>
    <definedName name="MATrig" localSheetId="33">#REF!</definedName>
    <definedName name="MATrig">#REF!</definedName>
    <definedName name="MATRIX" localSheetId="37">#REF!</definedName>
    <definedName name="MATRIX" localSheetId="17">#REF!</definedName>
    <definedName name="MATRIX" localSheetId="26">#REF!</definedName>
    <definedName name="MATRIX" localSheetId="27">#REF!</definedName>
    <definedName name="MATRIX" localSheetId="30">#REF!</definedName>
    <definedName name="MATRIX" localSheetId="31">#REF!</definedName>
    <definedName name="MATRIX" localSheetId="33">#REF!</definedName>
    <definedName name="MATRIX">#REF!</definedName>
    <definedName name="MatrixOff" localSheetId="2">#N/A</definedName>
    <definedName name="MatrixOff" localSheetId="4">#N/A</definedName>
    <definedName name="MatrixOff" localSheetId="41">'Preços Unitários'!MatrixOff</definedName>
    <definedName name="MatrixOff" localSheetId="23">'Recursos Humanos 1'!MatrixOff</definedName>
    <definedName name="MatrixOff" localSheetId="38">'Veículos e Equipamentos'!MatrixOff</definedName>
    <definedName name="MatrixOff">'Preços Unitários'!MatrixOff</definedName>
    <definedName name="MatrixOn" localSheetId="2">#N/A</definedName>
    <definedName name="MatrixOn" localSheetId="4">#N/A</definedName>
    <definedName name="MatrixOn" localSheetId="41">'Preços Unitários'!MatrixOn</definedName>
    <definedName name="MatrixOn" localSheetId="23">'Recursos Humanos 1'!MatrixOn</definedName>
    <definedName name="MatrixOn" localSheetId="38">'Veículos e Equipamentos'!MatrixOn</definedName>
    <definedName name="MatrixOn">'Preços Unitários'!MatrixOn</definedName>
    <definedName name="mcld">[90]Multiples!$F$68</definedName>
    <definedName name="mcldoptions" localSheetId="37">#REF!</definedName>
    <definedName name="mcldoptions" localSheetId="17">#REF!</definedName>
    <definedName name="mcldoptions" localSheetId="26">#REF!</definedName>
    <definedName name="mcldoptions" localSheetId="27">#REF!</definedName>
    <definedName name="mcldoptions" localSheetId="30">#REF!</definedName>
    <definedName name="mcldoptions" localSheetId="31">#REF!</definedName>
    <definedName name="mcldoptions" localSheetId="33">#REF!</definedName>
    <definedName name="mcldoptions">#REF!</definedName>
    <definedName name="mcldprice">[91]CLECs!$AA$390</definedName>
    <definedName name="Median1" localSheetId="37">#REF!</definedName>
    <definedName name="Median1" localSheetId="17">#REF!</definedName>
    <definedName name="Median1" localSheetId="26">#REF!</definedName>
    <definedName name="Median1" localSheetId="27">#REF!</definedName>
    <definedName name="Median1" localSheetId="30">#REF!</definedName>
    <definedName name="Median1" localSheetId="31">#REF!</definedName>
    <definedName name="Median1" localSheetId="33">#REF!</definedName>
    <definedName name="Median1">#REF!</definedName>
    <definedName name="Median2" localSheetId="37">#REF!</definedName>
    <definedName name="Median2" localSheetId="17">#REF!</definedName>
    <definedName name="Median2" localSheetId="26">#REF!</definedName>
    <definedName name="Median2" localSheetId="27">#REF!</definedName>
    <definedName name="Median2" localSheetId="30">#REF!</definedName>
    <definedName name="Median2" localSheetId="31">#REF!</definedName>
    <definedName name="Median2" localSheetId="33">#REF!</definedName>
    <definedName name="Median2">#REF!</definedName>
    <definedName name="Median3" localSheetId="37">#REF!</definedName>
    <definedName name="Median3" localSheetId="17">#REF!</definedName>
    <definedName name="Median3" localSheetId="26">#REF!</definedName>
    <definedName name="Median3" localSheetId="27">#REF!</definedName>
    <definedName name="Median3" localSheetId="30">#REF!</definedName>
    <definedName name="Median3" localSheetId="31">#REF!</definedName>
    <definedName name="Median3" localSheetId="33">#REF!</definedName>
    <definedName name="Median3">#REF!</definedName>
    <definedName name="Median4" localSheetId="37">#REF!</definedName>
    <definedName name="Median4" localSheetId="17">#REF!</definedName>
    <definedName name="Median4" localSheetId="26">#REF!</definedName>
    <definedName name="Median4" localSheetId="27">#REF!</definedName>
    <definedName name="Median4" localSheetId="30">#REF!</definedName>
    <definedName name="Median4" localSheetId="31">#REF!</definedName>
    <definedName name="Median4" localSheetId="33">#REF!</definedName>
    <definedName name="Median4">#REF!</definedName>
    <definedName name="Median5" localSheetId="37">#REF!</definedName>
    <definedName name="Median5" localSheetId="17">#REF!</definedName>
    <definedName name="Median5" localSheetId="26">#REF!</definedName>
    <definedName name="Median5" localSheetId="27">#REF!</definedName>
    <definedName name="Median5" localSheetId="30">#REF!</definedName>
    <definedName name="Median5" localSheetId="31">#REF!</definedName>
    <definedName name="Median5" localSheetId="33">#REF!</definedName>
    <definedName name="Median5">#REF!</definedName>
    <definedName name="Median6" localSheetId="37">#REF!</definedName>
    <definedName name="Median6" localSheetId="17">#REF!</definedName>
    <definedName name="Median6" localSheetId="26">#REF!</definedName>
    <definedName name="Median6" localSheetId="27">#REF!</definedName>
    <definedName name="Median6" localSheetId="30">#REF!</definedName>
    <definedName name="Median6" localSheetId="31">#REF!</definedName>
    <definedName name="Median6" localSheetId="33">#REF!</definedName>
    <definedName name="Median6">#REF!</definedName>
    <definedName name="Median7" localSheetId="37">#REF!</definedName>
    <definedName name="Median7" localSheetId="17">#REF!</definedName>
    <definedName name="Median7" localSheetId="26">#REF!</definedName>
    <definedName name="Median7" localSheetId="27">#REF!</definedName>
    <definedName name="Median7" localSheetId="30">#REF!</definedName>
    <definedName name="Median7" localSheetId="31">#REF!</definedName>
    <definedName name="Median7" localSheetId="33">#REF!</definedName>
    <definedName name="Median7">#REF!</definedName>
    <definedName name="Median8" localSheetId="37">#REF!</definedName>
    <definedName name="Median8" localSheetId="17">#REF!</definedName>
    <definedName name="Median8" localSheetId="26">#REF!</definedName>
    <definedName name="Median8" localSheetId="27">#REF!</definedName>
    <definedName name="Median8" localSheetId="30">#REF!</definedName>
    <definedName name="Median8" localSheetId="31">#REF!</definedName>
    <definedName name="Median8" localSheetId="33">#REF!</definedName>
    <definedName name="Median8">#REF!</definedName>
    <definedName name="Median9" localSheetId="37">#REF!</definedName>
    <definedName name="Median9" localSheetId="17">#REF!</definedName>
    <definedName name="Median9" localSheetId="26">#REF!</definedName>
    <definedName name="Median9" localSheetId="27">#REF!</definedName>
    <definedName name="Median9" localSheetId="30">#REF!</definedName>
    <definedName name="Median9" localSheetId="31">#REF!</definedName>
    <definedName name="Median9" localSheetId="33">#REF!</definedName>
    <definedName name="Median9">#REF!</definedName>
    <definedName name="Merc" localSheetId="37">#REF!</definedName>
    <definedName name="Merc" localSheetId="17">#REF!</definedName>
    <definedName name="Merc" localSheetId="26">#REF!</definedName>
    <definedName name="Merc" localSheetId="27">#REF!</definedName>
    <definedName name="Merc" localSheetId="30">#REF!</definedName>
    <definedName name="Merc" localSheetId="31">#REF!</definedName>
    <definedName name="Merc" localSheetId="33">#REF!</definedName>
    <definedName name="Merc">#REF!</definedName>
    <definedName name="mesAdesao">'[70]SEM Créditos'!$E$7</definedName>
    <definedName name="metroopt" localSheetId="37">#REF!</definedName>
    <definedName name="metroopt" localSheetId="17">#REF!</definedName>
    <definedName name="metroopt" localSheetId="26">#REF!</definedName>
    <definedName name="metroopt" localSheetId="27">#REF!</definedName>
    <definedName name="metroopt" localSheetId="30">#REF!</definedName>
    <definedName name="metroopt" localSheetId="31">#REF!</definedName>
    <definedName name="metroopt" localSheetId="33">#REF!</definedName>
    <definedName name="metroopt">#REF!</definedName>
    <definedName name="minc">1</definedName>
    <definedName name="MINCASH" localSheetId="37">#REF!</definedName>
    <definedName name="MINCASH" localSheetId="17">#REF!</definedName>
    <definedName name="MINCASH" localSheetId="26">#REF!</definedName>
    <definedName name="MINCASH" localSheetId="27">#REF!</definedName>
    <definedName name="MINCASH" localSheetId="30">#REF!</definedName>
    <definedName name="MINCASH" localSheetId="31">#REF!</definedName>
    <definedName name="MINCASH" localSheetId="33">#REF!</definedName>
    <definedName name="MINCASH">#REF!</definedName>
    <definedName name="MinInt" localSheetId="37">#REF!</definedName>
    <definedName name="MinInt" localSheetId="17">#REF!</definedName>
    <definedName name="MinInt" localSheetId="26">#REF!</definedName>
    <definedName name="MinInt" localSheetId="27">#REF!</definedName>
    <definedName name="MinInt" localSheetId="30">#REF!</definedName>
    <definedName name="MinInt" localSheetId="31">#REF!</definedName>
    <definedName name="MinInt" localSheetId="33">#REF!</definedName>
    <definedName name="MinInt">#REF!</definedName>
    <definedName name="MinIntInc" localSheetId="37">#REF!</definedName>
    <definedName name="MinIntInc" localSheetId="17">#REF!</definedName>
    <definedName name="MinIntInc" localSheetId="26">#REF!</definedName>
    <definedName name="MinIntInc" localSheetId="27">#REF!</definedName>
    <definedName name="MinIntInc" localSheetId="30">#REF!</definedName>
    <definedName name="MinIntInc" localSheetId="31">#REF!</definedName>
    <definedName name="MinIntInc" localSheetId="33">#REF!</definedName>
    <definedName name="MinIntInc">#REF!</definedName>
    <definedName name="MinIntMarket" localSheetId="37">#REF!</definedName>
    <definedName name="MinIntMarket" localSheetId="17">#REF!</definedName>
    <definedName name="MinIntMarket" localSheetId="26">#REF!</definedName>
    <definedName name="MinIntMarket" localSheetId="27">#REF!</definedName>
    <definedName name="MinIntMarket" localSheetId="30">#REF!</definedName>
    <definedName name="MinIntMarket" localSheetId="31">#REF!</definedName>
    <definedName name="MinIntMarket" localSheetId="33">#REF!</definedName>
    <definedName name="MinIntMarket">#REF!</definedName>
    <definedName name="Minority_Interest" localSheetId="37">[17]summary!#REF!</definedName>
    <definedName name="Minority_Interest" localSheetId="17">[17]summary!#REF!</definedName>
    <definedName name="Minority_Interest" localSheetId="26">[17]summary!#REF!</definedName>
    <definedName name="Minority_Interest" localSheetId="27">[17]summary!#REF!</definedName>
    <definedName name="Minority_Interest" localSheetId="30">[17]summary!#REF!</definedName>
    <definedName name="Minority_Interest" localSheetId="31">[17]summary!#REF!</definedName>
    <definedName name="Minority_Interest" localSheetId="33">[17]summary!#REF!</definedName>
    <definedName name="Minority_Interest">[17]summary!#REF!</definedName>
    <definedName name="MINTAB" localSheetId="37">#REF!</definedName>
    <definedName name="MINTAB" localSheetId="17">#REF!</definedName>
    <definedName name="MINTAB" localSheetId="26">#REF!</definedName>
    <definedName name="MINTAB" localSheetId="27">#REF!</definedName>
    <definedName name="MINTAB" localSheetId="30">#REF!</definedName>
    <definedName name="MINTAB" localSheetId="31">#REF!</definedName>
    <definedName name="MINTAB" localSheetId="33">#REF!</definedName>
    <definedName name="MINTAB">#REF!</definedName>
    <definedName name="Misery_Pit_1" localSheetId="37">#REF!</definedName>
    <definedName name="Misery_Pit_1" localSheetId="17">#REF!</definedName>
    <definedName name="Misery_Pit_1" localSheetId="26">#REF!</definedName>
    <definedName name="Misery_Pit_1" localSheetId="27">#REF!</definedName>
    <definedName name="Misery_Pit_1" localSheetId="30">#REF!</definedName>
    <definedName name="Misery_Pit_1" localSheetId="31">#REF!</definedName>
    <definedName name="Misery_Pit_1" localSheetId="33">#REF!</definedName>
    <definedName name="Misery_Pit_1">#REF!</definedName>
    <definedName name="Misery_Pit_2" localSheetId="37">#REF!</definedName>
    <definedName name="Misery_Pit_2" localSheetId="17">#REF!</definedName>
    <definedName name="Misery_Pit_2" localSheetId="26">#REF!</definedName>
    <definedName name="Misery_Pit_2" localSheetId="27">#REF!</definedName>
    <definedName name="Misery_Pit_2" localSheetId="30">#REF!</definedName>
    <definedName name="Misery_Pit_2" localSheetId="31">#REF!</definedName>
    <definedName name="Misery_Pit_2" localSheetId="33">#REF!</definedName>
    <definedName name="Misery_Pit_2">#REF!</definedName>
    <definedName name="Misery_Pit_3" localSheetId="37">#REF!</definedName>
    <definedName name="Misery_Pit_3" localSheetId="17">#REF!</definedName>
    <definedName name="Misery_Pit_3" localSheetId="26">#REF!</definedName>
    <definedName name="Misery_Pit_3" localSheetId="27">#REF!</definedName>
    <definedName name="Misery_Pit_3" localSheetId="30">#REF!</definedName>
    <definedName name="Misery_Pit_3" localSheetId="31">#REF!</definedName>
    <definedName name="Misery_Pit_3" localSheetId="33">#REF!</definedName>
    <definedName name="Misery_Pit_3">#REF!</definedName>
    <definedName name="Misery_Pit_4" localSheetId="37">#REF!</definedName>
    <definedName name="Misery_Pit_4" localSheetId="17">#REF!</definedName>
    <definedName name="Misery_Pit_4" localSheetId="26">#REF!</definedName>
    <definedName name="Misery_Pit_4" localSheetId="27">#REF!</definedName>
    <definedName name="Misery_Pit_4" localSheetId="30">#REF!</definedName>
    <definedName name="Misery_Pit_4" localSheetId="31">#REF!</definedName>
    <definedName name="Misery_Pit_4" localSheetId="33">#REF!</definedName>
    <definedName name="Misery_Pit_4">#REF!</definedName>
    <definedName name="Misery_Pit_5" localSheetId="37">#REF!</definedName>
    <definedName name="Misery_Pit_5" localSheetId="17">#REF!</definedName>
    <definedName name="Misery_Pit_5" localSheetId="26">#REF!</definedName>
    <definedName name="Misery_Pit_5" localSheetId="27">#REF!</definedName>
    <definedName name="Misery_Pit_5" localSheetId="30">#REF!</definedName>
    <definedName name="Misery_Pit_5" localSheetId="31">#REF!</definedName>
    <definedName name="Misery_Pit_5" localSheetId="33">#REF!</definedName>
    <definedName name="Misery_Pit_5">#REF!</definedName>
    <definedName name="MLH0" localSheetId="37">#REF!</definedName>
    <definedName name="MLH0" localSheetId="17">#REF!</definedName>
    <definedName name="MLH0" localSheetId="16">#REF!</definedName>
    <definedName name="MLH0" localSheetId="26">#REF!</definedName>
    <definedName name="MLH0" localSheetId="27">#REF!</definedName>
    <definedName name="MLH0" localSheetId="28">#REF!</definedName>
    <definedName name="MLH0" localSheetId="30">#REF!</definedName>
    <definedName name="MLH0" localSheetId="31">#REF!</definedName>
    <definedName name="MLH0" localSheetId="33">#REF!</definedName>
    <definedName name="MLH0">#REF!</definedName>
    <definedName name="mm" hidden="1">#REF!</definedName>
    <definedName name="MMBTU_Table" localSheetId="2">[74]MMBTU!$A$12:$AE$267</definedName>
    <definedName name="MMBTU_Table" localSheetId="4">[74]MMBTU!$A$12:$AE$267</definedName>
    <definedName name="MMBTU_Table">[74]MMBTU!$A$12:$AE$267</definedName>
    <definedName name="mmmm" localSheetId="2" hidden="1">#REF!</definedName>
    <definedName name="mmmm" localSheetId="4" hidden="1">#REF!</definedName>
    <definedName name="mmmm" hidden="1">#REF!</definedName>
    <definedName name="mmmmm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oeda">'[61]A. Premissas Gerais'!$F$34</definedName>
    <definedName name="MOSYR2" localSheetId="2">[54]Assm!#REF!</definedName>
    <definedName name="MOSYR2" localSheetId="37">[54]Assm!#REF!</definedName>
    <definedName name="MOSYR2" localSheetId="17">[54]Assm!#REF!</definedName>
    <definedName name="MOSYR2" localSheetId="4">[54]Assm!#REF!</definedName>
    <definedName name="MOSYR2" localSheetId="26">[54]Assm!#REF!</definedName>
    <definedName name="MOSYR2" localSheetId="27">[54]Assm!#REF!</definedName>
    <definedName name="MOSYR2" localSheetId="30">[54]Assm!#REF!</definedName>
    <definedName name="MOSYR2" localSheetId="31">[54]Assm!#REF!</definedName>
    <definedName name="MOSYR2" localSheetId="33">[54]Assm!#REF!</definedName>
    <definedName name="MOSYR2">[54]Assm!#REF!</definedName>
    <definedName name="MscoInputCell10" localSheetId="2" hidden="1">#REF!</definedName>
    <definedName name="MscoInputCell10" localSheetId="4" hidden="1">#REF!</definedName>
    <definedName name="MscoInputCell10" hidden="1">#REF!</definedName>
    <definedName name="MscoInputCell11" localSheetId="2" hidden="1">#REF!</definedName>
    <definedName name="MscoInputCell11" localSheetId="4" hidden="1">#REF!</definedName>
    <definedName name="MscoInputCell11" hidden="1">#REF!</definedName>
    <definedName name="MscoInputCell12" localSheetId="2" hidden="1">#REF!</definedName>
    <definedName name="MscoInputCell12" localSheetId="4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TC_CONT">0.15</definedName>
    <definedName name="MTC_CONT_TAKE_RATE">0.25</definedName>
    <definedName name="MTGELIM" localSheetId="37">#REF!</definedName>
    <definedName name="MTGELIM" localSheetId="17">#REF!</definedName>
    <definedName name="MTGELIM" localSheetId="26">#REF!</definedName>
    <definedName name="MTGELIM" localSheetId="27">#REF!</definedName>
    <definedName name="MTGELIM" localSheetId="30">#REF!</definedName>
    <definedName name="MTGELIM" localSheetId="31">#REF!</definedName>
    <definedName name="MTGELIM" localSheetId="33">#REF!</definedName>
    <definedName name="MTGELIM">#REF!</definedName>
    <definedName name="mult">9</definedName>
    <definedName name="MUN_LITO">#N/A</definedName>
    <definedName name="MV___1997E_Cash_Flow" localSheetId="37">#REF!</definedName>
    <definedName name="MV___1997E_Cash_Flow" localSheetId="17">#REF!</definedName>
    <definedName name="MV___1997E_Cash_Flow" localSheetId="26">#REF!</definedName>
    <definedName name="MV___1997E_Cash_Flow" localSheetId="27">#REF!</definedName>
    <definedName name="MV___1997E_Cash_Flow" localSheetId="30">#REF!</definedName>
    <definedName name="MV___1997E_Cash_Flow" localSheetId="31">#REF!</definedName>
    <definedName name="MV___1997E_Cash_Flow" localSheetId="33">#REF!</definedName>
    <definedName name="MV___1997E_Cash_Flow">#REF!</definedName>
    <definedName name="MV___1997E_Net_Income" localSheetId="37">#REF!</definedName>
    <definedName name="MV___1997E_Net_Income" localSheetId="17">#REF!</definedName>
    <definedName name="MV___1997E_Net_Income" localSheetId="26">#REF!</definedName>
    <definedName name="MV___1997E_Net_Income" localSheetId="27">#REF!</definedName>
    <definedName name="MV___1997E_Net_Income" localSheetId="30">#REF!</definedName>
    <definedName name="MV___1997E_Net_Income" localSheetId="31">#REF!</definedName>
    <definedName name="MV___1997E_Net_Income" localSheetId="33">#REF!</definedName>
    <definedName name="MV___1997E_Net_Income">#REF!</definedName>
    <definedName name="MV___1998E_Cash_Flow" localSheetId="37">#REF!</definedName>
    <definedName name="MV___1998E_Cash_Flow" localSheetId="17">#REF!</definedName>
    <definedName name="MV___1998E_Cash_Flow" localSheetId="26">#REF!</definedName>
    <definedName name="MV___1998E_Cash_Flow" localSheetId="27">#REF!</definedName>
    <definedName name="MV___1998E_Cash_Flow" localSheetId="30">#REF!</definedName>
    <definedName name="MV___1998E_Cash_Flow" localSheetId="31">#REF!</definedName>
    <definedName name="MV___1998E_Cash_Flow" localSheetId="33">#REF!</definedName>
    <definedName name="MV___1998E_Cash_Flow">#REF!</definedName>
    <definedName name="MV___1998E_Net_Income" localSheetId="37">#REF!</definedName>
    <definedName name="MV___1998E_Net_Income" localSheetId="17">#REF!</definedName>
    <definedName name="MV___1998E_Net_Income" localSheetId="26">#REF!</definedName>
    <definedName name="MV___1998E_Net_Income" localSheetId="27">#REF!</definedName>
    <definedName name="MV___1998E_Net_Income" localSheetId="30">#REF!</definedName>
    <definedName name="MV___1998E_Net_Income" localSheetId="31">#REF!</definedName>
    <definedName name="MV___1998E_Net_Income" localSheetId="33">#REF!</definedName>
    <definedName name="MV___1998E_Net_Income">#REF!</definedName>
    <definedName name="MV___LTM_Cash_Flow" localSheetId="37">#REF!</definedName>
    <definedName name="MV___LTM_Cash_Flow" localSheetId="17">#REF!</definedName>
    <definedName name="MV___LTM_Cash_Flow" localSheetId="26">#REF!</definedName>
    <definedName name="MV___LTM_Cash_Flow" localSheetId="27">#REF!</definedName>
    <definedName name="MV___LTM_Cash_Flow" localSheetId="30">#REF!</definedName>
    <definedName name="MV___LTM_Cash_Flow" localSheetId="31">#REF!</definedName>
    <definedName name="MV___LTM_Cash_Flow" localSheetId="33">#REF!</definedName>
    <definedName name="MV___LTM_Cash_Flow">#REF!</definedName>
    <definedName name="MV___LTM_Net_Income" localSheetId="37">#REF!</definedName>
    <definedName name="MV___LTM_Net_Income" localSheetId="17">#REF!</definedName>
    <definedName name="MV___LTM_Net_Income" localSheetId="26">#REF!</definedName>
    <definedName name="MV___LTM_Net_Income" localSheetId="27">#REF!</definedName>
    <definedName name="MV___LTM_Net_Income" localSheetId="30">#REF!</definedName>
    <definedName name="MV___LTM_Net_Income" localSheetId="31">#REF!</definedName>
    <definedName name="MV___LTM_Net_Income" localSheetId="33">#REF!</definedName>
    <definedName name="MV___LTM_Net_Income">#REF!</definedName>
    <definedName name="MVA" localSheetId="37">#REF!</definedName>
    <definedName name="MVA" localSheetId="17">#REF!</definedName>
    <definedName name="MVA" localSheetId="26">#REF!</definedName>
    <definedName name="MVA" localSheetId="27">#REF!</definedName>
    <definedName name="MVA" localSheetId="30">#REF!</definedName>
    <definedName name="MVA" localSheetId="31">#REF!</definedName>
    <definedName name="MVA" localSheetId="33">#REF!</definedName>
    <definedName name="MVA">#REF!</definedName>
    <definedName name="n">'[92]Conciliação Bancária'!$C$5:$L$481</definedName>
    <definedName name="N_LOCAL">#N/A</definedName>
    <definedName name="name">"Project Summer"</definedName>
    <definedName name="NCA" localSheetId="37">[17]summary!#REF!</definedName>
    <definedName name="NCA" localSheetId="17">[17]summary!#REF!</definedName>
    <definedName name="NCA" localSheetId="26">[17]summary!#REF!</definedName>
    <definedName name="NCA" localSheetId="27">[17]summary!#REF!</definedName>
    <definedName name="NCA" localSheetId="30">[17]summary!#REF!</definedName>
    <definedName name="NCA" localSheetId="31">[17]summary!#REF!</definedName>
    <definedName name="NCA" localSheetId="33">[17]summary!#REF!</definedName>
    <definedName name="NCA">[17]summary!#REF!</definedName>
    <definedName name="Net_Total_Book_Capitalization" localSheetId="37">[17]summary!#REF!</definedName>
    <definedName name="Net_Total_Book_Capitalization" localSheetId="17">[17]summary!#REF!</definedName>
    <definedName name="Net_Total_Book_Capitalization" localSheetId="26">[17]summary!#REF!</definedName>
    <definedName name="Net_Total_Book_Capitalization" localSheetId="27">[17]summary!#REF!</definedName>
    <definedName name="Net_Total_Book_Capitalization" localSheetId="30">[17]summary!#REF!</definedName>
    <definedName name="Net_Total_Book_Capitalization" localSheetId="31">[17]summary!#REF!</definedName>
    <definedName name="Net_Total_Book_Capitalization" localSheetId="33">[17]summary!#REF!</definedName>
    <definedName name="Net_Total_Book_Capitalization">[17]summary!#REF!</definedName>
    <definedName name="NetCFOperations" localSheetId="37">#REF!</definedName>
    <definedName name="NetCFOperations" localSheetId="17">#REF!</definedName>
    <definedName name="NetCFOperations" localSheetId="26">#REF!</definedName>
    <definedName name="NetCFOperations" localSheetId="27">#REF!</definedName>
    <definedName name="NetCFOperations" localSheetId="30">#REF!</definedName>
    <definedName name="NetCFOperations" localSheetId="31">#REF!</definedName>
    <definedName name="NetCFOperations" localSheetId="33">#REF!</definedName>
    <definedName name="NetCFOperations">#REF!</definedName>
    <definedName name="netdebt" localSheetId="37">[6]WACC!#REF!</definedName>
    <definedName name="netdebt" localSheetId="17">[6]WACC!#REF!</definedName>
    <definedName name="netdebt" localSheetId="26">[6]WACC!#REF!</definedName>
    <definedName name="netdebt" localSheetId="27">[6]WACC!#REF!</definedName>
    <definedName name="netdebt" localSheetId="30">[6]WACC!#REF!</definedName>
    <definedName name="netdebt" localSheetId="31">[6]WACC!#REF!</definedName>
    <definedName name="netdebt" localSheetId="33">[6]WACC!#REF!</definedName>
    <definedName name="netdebt">[6]WACC!#REF!</definedName>
    <definedName name="NetDebtBook" localSheetId="37">#REF!</definedName>
    <definedName name="NetDebtBook" localSheetId="17">#REF!</definedName>
    <definedName name="NetDebtBook" localSheetId="26">#REF!</definedName>
    <definedName name="NetDebtBook" localSheetId="27">#REF!</definedName>
    <definedName name="NetDebtBook" localSheetId="30">#REF!</definedName>
    <definedName name="NetDebtBook" localSheetId="31">#REF!</definedName>
    <definedName name="NetDebtBook" localSheetId="33">#REF!</definedName>
    <definedName name="NetDebtBook">#REF!</definedName>
    <definedName name="NetDebtEBITDA" localSheetId="37">#REF!</definedName>
    <definedName name="NetDebtEBITDA" localSheetId="17">#REF!</definedName>
    <definedName name="NetDebtEBITDA" localSheetId="26">#REF!</definedName>
    <definedName name="NetDebtEBITDA" localSheetId="27">#REF!</definedName>
    <definedName name="NetDebtEBITDA" localSheetId="30">#REF!</definedName>
    <definedName name="NetDebtEBITDA" localSheetId="31">#REF!</definedName>
    <definedName name="NetDebtEBITDA" localSheetId="33">#REF!</definedName>
    <definedName name="NetDebtEBITDA">#REF!</definedName>
    <definedName name="NetDebtEnt" localSheetId="37">#REF!</definedName>
    <definedName name="NetDebtEnt" localSheetId="17">#REF!</definedName>
    <definedName name="NetDebtEnt" localSheetId="26">#REF!</definedName>
    <definedName name="NetDebtEnt" localSheetId="27">#REF!</definedName>
    <definedName name="NetDebtEnt" localSheetId="30">#REF!</definedName>
    <definedName name="NetDebtEnt" localSheetId="31">#REF!</definedName>
    <definedName name="NetDebtEnt" localSheetId="33">#REF!</definedName>
    <definedName name="NetDebtEnt">#REF!</definedName>
    <definedName name="NetInc" localSheetId="37">#REF!</definedName>
    <definedName name="NetInc" localSheetId="17">#REF!</definedName>
    <definedName name="NetInc" localSheetId="26">#REF!</definedName>
    <definedName name="NetInc" localSheetId="27">#REF!</definedName>
    <definedName name="NetInc" localSheetId="30">#REF!</definedName>
    <definedName name="NetInc" localSheetId="31">#REF!</definedName>
    <definedName name="NetInc" localSheetId="33">#REF!</definedName>
    <definedName name="NetInc">#REF!</definedName>
    <definedName name="NetIncGrowth" localSheetId="37">#REF!</definedName>
    <definedName name="NetIncGrowth" localSheetId="17">#REF!</definedName>
    <definedName name="NetIncGrowth" localSheetId="26">#REF!</definedName>
    <definedName name="NetIncGrowth" localSheetId="27">#REF!</definedName>
    <definedName name="NetIncGrowth" localSheetId="30">#REF!</definedName>
    <definedName name="NetIncGrowth" localSheetId="31">#REF!</definedName>
    <definedName name="NetIncGrowth" localSheetId="33">#REF!</definedName>
    <definedName name="NetIncGrowth">#REF!</definedName>
    <definedName name="NetIncMargin" localSheetId="37">#REF!</definedName>
    <definedName name="NetIncMargin" localSheetId="17">#REF!</definedName>
    <definedName name="NetIncMargin" localSheetId="26">#REF!</definedName>
    <definedName name="NetIncMargin" localSheetId="27">#REF!</definedName>
    <definedName name="NetIncMargin" localSheetId="30">#REF!</definedName>
    <definedName name="NetIncMargin" localSheetId="31">#REF!</definedName>
    <definedName name="NetIncMargin" localSheetId="33">#REF!</definedName>
    <definedName name="NetIncMargin">#REF!</definedName>
    <definedName name="New_Pipe_1" localSheetId="37">#REF!</definedName>
    <definedName name="New_Pipe_1" localSheetId="17">#REF!</definedName>
    <definedName name="New_Pipe_1" localSheetId="26">#REF!</definedName>
    <definedName name="New_Pipe_1" localSheetId="27">#REF!</definedName>
    <definedName name="New_Pipe_1" localSheetId="30">#REF!</definedName>
    <definedName name="New_Pipe_1" localSheetId="31">#REF!</definedName>
    <definedName name="New_Pipe_1" localSheetId="33">#REF!</definedName>
    <definedName name="New_Pipe_1">#REF!</definedName>
    <definedName name="New_Pipe_1_1" localSheetId="37">#REF!</definedName>
    <definedName name="New_Pipe_1_1" localSheetId="17">#REF!</definedName>
    <definedName name="New_Pipe_1_1" localSheetId="26">#REF!</definedName>
    <definedName name="New_Pipe_1_1" localSheetId="27">#REF!</definedName>
    <definedName name="New_Pipe_1_1" localSheetId="30">#REF!</definedName>
    <definedName name="New_Pipe_1_1" localSheetId="31">#REF!</definedName>
    <definedName name="New_Pipe_1_1" localSheetId="33">#REF!</definedName>
    <definedName name="New_Pipe_1_1">#REF!</definedName>
    <definedName name="New_Pipe_1_2" localSheetId="37">#REF!</definedName>
    <definedName name="New_Pipe_1_2" localSheetId="17">#REF!</definedName>
    <definedName name="New_Pipe_1_2" localSheetId="26">#REF!</definedName>
    <definedName name="New_Pipe_1_2" localSheetId="27">#REF!</definedName>
    <definedName name="New_Pipe_1_2" localSheetId="30">#REF!</definedName>
    <definedName name="New_Pipe_1_2" localSheetId="31">#REF!</definedName>
    <definedName name="New_Pipe_1_2" localSheetId="33">#REF!</definedName>
    <definedName name="New_Pipe_1_2">#REF!</definedName>
    <definedName name="New_Pipe_1_3" localSheetId="37">#REF!</definedName>
    <definedName name="New_Pipe_1_3" localSheetId="17">#REF!</definedName>
    <definedName name="New_Pipe_1_3" localSheetId="26">#REF!</definedName>
    <definedName name="New_Pipe_1_3" localSheetId="27">#REF!</definedName>
    <definedName name="New_Pipe_1_3" localSheetId="30">#REF!</definedName>
    <definedName name="New_Pipe_1_3" localSheetId="31">#REF!</definedName>
    <definedName name="New_Pipe_1_3" localSheetId="33">#REF!</definedName>
    <definedName name="New_Pipe_1_3">#REF!</definedName>
    <definedName name="New_Pipe_1_4" localSheetId="37">#REF!</definedName>
    <definedName name="New_Pipe_1_4" localSheetId="17">#REF!</definedName>
    <definedName name="New_Pipe_1_4" localSheetId="26">#REF!</definedName>
    <definedName name="New_Pipe_1_4" localSheetId="27">#REF!</definedName>
    <definedName name="New_Pipe_1_4" localSheetId="30">#REF!</definedName>
    <definedName name="New_Pipe_1_4" localSheetId="31">#REF!</definedName>
    <definedName name="New_Pipe_1_4" localSheetId="33">#REF!</definedName>
    <definedName name="New_Pipe_1_4">#REF!</definedName>
    <definedName name="New_Pipe_1_5" localSheetId="37">#REF!</definedName>
    <definedName name="New_Pipe_1_5" localSheetId="17">#REF!</definedName>
    <definedName name="New_Pipe_1_5" localSheetId="26">#REF!</definedName>
    <definedName name="New_Pipe_1_5" localSheetId="27">#REF!</definedName>
    <definedName name="New_Pipe_1_5" localSheetId="30">#REF!</definedName>
    <definedName name="New_Pipe_1_5" localSheetId="31">#REF!</definedName>
    <definedName name="New_Pipe_1_5" localSheetId="33">#REF!</definedName>
    <definedName name="New_Pipe_1_5">#REF!</definedName>
    <definedName name="New_Pipe_2" localSheetId="37">#REF!</definedName>
    <definedName name="New_Pipe_2" localSheetId="17">#REF!</definedName>
    <definedName name="New_Pipe_2" localSheetId="26">#REF!</definedName>
    <definedName name="New_Pipe_2" localSheetId="27">#REF!</definedName>
    <definedName name="New_Pipe_2" localSheetId="30">#REF!</definedName>
    <definedName name="New_Pipe_2" localSheetId="31">#REF!</definedName>
    <definedName name="New_Pipe_2" localSheetId="33">#REF!</definedName>
    <definedName name="New_Pipe_2">#REF!</definedName>
    <definedName name="New_Pipe_2_1" localSheetId="37">#REF!</definedName>
    <definedName name="New_Pipe_2_1" localSheetId="17">#REF!</definedName>
    <definedName name="New_Pipe_2_1" localSheetId="26">#REF!</definedName>
    <definedName name="New_Pipe_2_1" localSheetId="27">#REF!</definedName>
    <definedName name="New_Pipe_2_1" localSheetId="30">#REF!</definedName>
    <definedName name="New_Pipe_2_1" localSheetId="31">#REF!</definedName>
    <definedName name="New_Pipe_2_1" localSheetId="33">#REF!</definedName>
    <definedName name="New_Pipe_2_1">#REF!</definedName>
    <definedName name="New_Pipe_2_2" localSheetId="37">#REF!</definedName>
    <definedName name="New_Pipe_2_2" localSheetId="17">#REF!</definedName>
    <definedName name="New_Pipe_2_2" localSheetId="26">#REF!</definedName>
    <definedName name="New_Pipe_2_2" localSheetId="27">#REF!</definedName>
    <definedName name="New_Pipe_2_2" localSheetId="30">#REF!</definedName>
    <definedName name="New_Pipe_2_2" localSheetId="31">#REF!</definedName>
    <definedName name="New_Pipe_2_2" localSheetId="33">#REF!</definedName>
    <definedName name="New_Pipe_2_2">#REF!</definedName>
    <definedName name="New_Pipe_2_3" localSheetId="37">#REF!</definedName>
    <definedName name="New_Pipe_2_3" localSheetId="17">#REF!</definedName>
    <definedName name="New_Pipe_2_3" localSheetId="26">#REF!</definedName>
    <definedName name="New_Pipe_2_3" localSheetId="27">#REF!</definedName>
    <definedName name="New_Pipe_2_3" localSheetId="30">#REF!</definedName>
    <definedName name="New_Pipe_2_3" localSheetId="31">#REF!</definedName>
    <definedName name="New_Pipe_2_3" localSheetId="33">#REF!</definedName>
    <definedName name="New_Pipe_2_3">#REF!</definedName>
    <definedName name="New_Pipe_2_4" localSheetId="37">#REF!</definedName>
    <definedName name="New_Pipe_2_4" localSheetId="17">#REF!</definedName>
    <definedName name="New_Pipe_2_4" localSheetId="26">#REF!</definedName>
    <definedName name="New_Pipe_2_4" localSheetId="27">#REF!</definedName>
    <definedName name="New_Pipe_2_4" localSheetId="30">#REF!</definedName>
    <definedName name="New_Pipe_2_4" localSheetId="31">#REF!</definedName>
    <definedName name="New_Pipe_2_4" localSheetId="33">#REF!</definedName>
    <definedName name="New_Pipe_2_4">#REF!</definedName>
    <definedName name="New_Pipe_2_5" localSheetId="37">#REF!</definedName>
    <definedName name="New_Pipe_2_5" localSheetId="17">#REF!</definedName>
    <definedName name="New_Pipe_2_5" localSheetId="26">#REF!</definedName>
    <definedName name="New_Pipe_2_5" localSheetId="27">#REF!</definedName>
    <definedName name="New_Pipe_2_5" localSheetId="30">#REF!</definedName>
    <definedName name="New_Pipe_2_5" localSheetId="31">#REF!</definedName>
    <definedName name="New_Pipe_2_5" localSheetId="33">#REF!</definedName>
    <definedName name="New_Pipe_2_5">#REF!</definedName>
    <definedName name="New_Pipe_3_1" localSheetId="37">#REF!</definedName>
    <definedName name="New_Pipe_3_1" localSheetId="17">#REF!</definedName>
    <definedName name="New_Pipe_3_1" localSheetId="26">#REF!</definedName>
    <definedName name="New_Pipe_3_1" localSheetId="27">#REF!</definedName>
    <definedName name="New_Pipe_3_1" localSheetId="30">#REF!</definedName>
    <definedName name="New_Pipe_3_1" localSheetId="31">#REF!</definedName>
    <definedName name="New_Pipe_3_1" localSheetId="33">#REF!</definedName>
    <definedName name="New_Pipe_3_1">#REF!</definedName>
    <definedName name="New_Pipe_3_2" localSheetId="37">#REF!</definedName>
    <definedName name="New_Pipe_3_2" localSheetId="17">#REF!</definedName>
    <definedName name="New_Pipe_3_2" localSheetId="26">#REF!</definedName>
    <definedName name="New_Pipe_3_2" localSheetId="27">#REF!</definedName>
    <definedName name="New_Pipe_3_2" localSheetId="30">#REF!</definedName>
    <definedName name="New_Pipe_3_2" localSheetId="31">#REF!</definedName>
    <definedName name="New_Pipe_3_2" localSheetId="33">#REF!</definedName>
    <definedName name="New_Pipe_3_2">#REF!</definedName>
    <definedName name="New_Pipe_3_3" localSheetId="37">#REF!</definedName>
    <definedName name="New_Pipe_3_3" localSheetId="17">#REF!</definedName>
    <definedName name="New_Pipe_3_3" localSheetId="26">#REF!</definedName>
    <definedName name="New_Pipe_3_3" localSheetId="27">#REF!</definedName>
    <definedName name="New_Pipe_3_3" localSheetId="30">#REF!</definedName>
    <definedName name="New_Pipe_3_3" localSheetId="31">#REF!</definedName>
    <definedName name="New_Pipe_3_3" localSheetId="33">#REF!</definedName>
    <definedName name="New_Pipe_3_3">#REF!</definedName>
    <definedName name="New_Pipe_3_4" localSheetId="37">#REF!</definedName>
    <definedName name="New_Pipe_3_4" localSheetId="17">#REF!</definedName>
    <definedName name="New_Pipe_3_4" localSheetId="26">#REF!</definedName>
    <definedName name="New_Pipe_3_4" localSheetId="27">#REF!</definedName>
    <definedName name="New_Pipe_3_4" localSheetId="30">#REF!</definedName>
    <definedName name="New_Pipe_3_4" localSheetId="31">#REF!</definedName>
    <definedName name="New_Pipe_3_4" localSheetId="33">#REF!</definedName>
    <definedName name="New_Pipe_3_4">#REF!</definedName>
    <definedName name="New_Pipe_3_5" localSheetId="37">#REF!</definedName>
    <definedName name="New_Pipe_3_5" localSheetId="17">#REF!</definedName>
    <definedName name="New_Pipe_3_5" localSheetId="26">#REF!</definedName>
    <definedName name="New_Pipe_3_5" localSheetId="27">#REF!</definedName>
    <definedName name="New_Pipe_3_5" localSheetId="30">#REF!</definedName>
    <definedName name="New_Pipe_3_5" localSheetId="31">#REF!</definedName>
    <definedName name="New_Pipe_3_5" localSheetId="33">#REF!</definedName>
    <definedName name="New_Pipe_3_5">#REF!</definedName>
    <definedName name="NEWCO" localSheetId="37">#REF!</definedName>
    <definedName name="NEWCO" localSheetId="17">#REF!</definedName>
    <definedName name="NEWCO" localSheetId="26">#REF!</definedName>
    <definedName name="NEWCO" localSheetId="27">#REF!</definedName>
    <definedName name="NEWCO" localSheetId="30">#REF!</definedName>
    <definedName name="NEWCO" localSheetId="31">#REF!</definedName>
    <definedName name="NEWCO" localSheetId="33">#REF!</definedName>
    <definedName name="NEWCO">#REF!</definedName>
    <definedName name="NewLT" localSheetId="37">#REF!</definedName>
    <definedName name="NewLT" localSheetId="17">#REF!</definedName>
    <definedName name="NewLT" localSheetId="26">#REF!</definedName>
    <definedName name="NewLT" localSheetId="27">#REF!</definedName>
    <definedName name="NewLT" localSheetId="30">#REF!</definedName>
    <definedName name="NewLT" localSheetId="31">#REF!</definedName>
    <definedName name="NewLT" localSheetId="33">#REF!</definedName>
    <definedName name="NewLT">#REF!</definedName>
    <definedName name="NEWMTRX1" localSheetId="37">#REF!</definedName>
    <definedName name="NEWMTRX1" localSheetId="17">#REF!</definedName>
    <definedName name="NEWMTRX1" localSheetId="26">#REF!</definedName>
    <definedName name="NEWMTRX1" localSheetId="27">#REF!</definedName>
    <definedName name="NEWMTRX1" localSheetId="30">#REF!</definedName>
    <definedName name="NEWMTRX1" localSheetId="31">#REF!</definedName>
    <definedName name="NEWMTRX1" localSheetId="33">#REF!</definedName>
    <definedName name="NEWMTRX1">#REF!</definedName>
    <definedName name="NEWWW" localSheetId="2" hidden="1">{"'PXR_6500'!$A$1:$I$124"}</definedName>
    <definedName name="NEWWW" localSheetId="4" hidden="1">{"'PXR_6500'!$A$1:$I$124"}</definedName>
    <definedName name="NEWWW" hidden="1">{"'PXR_6500'!$A$1:$I$124"}</definedName>
    <definedName name="NGL" localSheetId="37">[17]summary!#REF!</definedName>
    <definedName name="NGL" localSheetId="17">[17]summary!#REF!</definedName>
    <definedName name="NGL" localSheetId="26">[17]summary!#REF!</definedName>
    <definedName name="NGL" localSheetId="27">[17]summary!#REF!</definedName>
    <definedName name="NGL" localSheetId="30">[17]summary!#REF!</definedName>
    <definedName name="NGL" localSheetId="31">[17]summary!#REF!</definedName>
    <definedName name="NGL" localSheetId="33">[17]summary!#REF!</definedName>
    <definedName name="NGL">[17]summary!#REF!</definedName>
    <definedName name="NLant">5</definedName>
    <definedName name="NLEq">4</definedName>
    <definedName name="NLmin">5</definedName>
    <definedName name="NLMo">6</definedName>
    <definedName name="NLMp">5</definedName>
    <definedName name="NLTr">3</definedName>
    <definedName name="Nome" localSheetId="37">#REF!</definedName>
    <definedName name="Nome" localSheetId="17">#REF!</definedName>
    <definedName name="Nome" localSheetId="26">#REF!</definedName>
    <definedName name="Nome" localSheetId="27">#REF!</definedName>
    <definedName name="Nome" localSheetId="30">#REF!</definedName>
    <definedName name="Nome" localSheetId="31">#REF!</definedName>
    <definedName name="Nome" localSheetId="33">#REF!</definedName>
    <definedName name="Nome">#REF!</definedName>
    <definedName name="NonOpExp" localSheetId="37">#REF!</definedName>
    <definedName name="NonOpExp" localSheetId="17">#REF!</definedName>
    <definedName name="NonOpExp" localSheetId="26">#REF!</definedName>
    <definedName name="NonOpExp" localSheetId="27">#REF!</definedName>
    <definedName name="NonOpExp" localSheetId="30">#REF!</definedName>
    <definedName name="NonOpExp" localSheetId="31">#REF!</definedName>
    <definedName name="NonOpExp" localSheetId="33">#REF!</definedName>
    <definedName name="NonOpExp">#REF!</definedName>
    <definedName name="NOTES" localSheetId="37">[6]WACC!#REF!</definedName>
    <definedName name="NOTES" localSheetId="17">[6]WACC!#REF!</definedName>
    <definedName name="NOTES" localSheetId="26">[6]WACC!#REF!</definedName>
    <definedName name="NOTES" localSheetId="27">[6]WACC!#REF!</definedName>
    <definedName name="NOTES" localSheetId="30">[6]WACC!#REF!</definedName>
    <definedName name="NOTES" localSheetId="31">[6]WACC!#REF!</definedName>
    <definedName name="NOTES" localSheetId="33">[6]WACC!#REF!</definedName>
    <definedName name="NOTES">[6]WACC!#REF!</definedName>
    <definedName name="NOV" localSheetId="2">#N/A</definedName>
    <definedName name="NOV" localSheetId="4">#N/A</definedName>
    <definedName name="NOV" localSheetId="41">'Preços Unitários'!NOV</definedName>
    <definedName name="NOV" localSheetId="23">'Recursos Humanos 1'!NOV</definedName>
    <definedName name="NOV" localSheetId="38">'Veículos e Equipamentos'!NOV</definedName>
    <definedName name="NOV">'Preços Unitários'!NOV</definedName>
    <definedName name="Nova">'[93]insumos_ materiais e veículos'!$H$8</definedName>
    <definedName name="noventa_e_nove" localSheetId="4">#REF!</definedName>
    <definedName name="noventa_e_nove">#REF!</definedName>
    <definedName name="novo" localSheetId="2" hidden="1">{#N/A,#N/A,TRUE,"Serviços"}</definedName>
    <definedName name="novo" localSheetId="4" hidden="1">{#N/A,#N/A,TRUE,"Serviços"}</definedName>
    <definedName name="novo" hidden="1">{#N/A,#N/A,TRUE,"Serviços"}</definedName>
    <definedName name="Nt" localSheetId="2">#REF!</definedName>
    <definedName name="Nt">#REF!</definedName>
    <definedName name="Number" localSheetId="37">#REF!</definedName>
    <definedName name="Number" localSheetId="17">#REF!</definedName>
    <definedName name="Number" localSheetId="26">#REF!</definedName>
    <definedName name="Number" localSheetId="27">#REF!</definedName>
    <definedName name="Number" localSheetId="30">#REF!</definedName>
    <definedName name="Number" localSheetId="31">#REF!</definedName>
    <definedName name="Number" localSheetId="33">#REF!</definedName>
    <definedName name="Number">#REF!</definedName>
    <definedName name="NUN_FRON">#N/A</definedName>
    <definedName name="NWC" localSheetId="37">#REF!</definedName>
    <definedName name="NWC" localSheetId="17">#REF!</definedName>
    <definedName name="NWC" localSheetId="26">#REF!</definedName>
    <definedName name="NWC" localSheetId="27">#REF!</definedName>
    <definedName name="NWC" localSheetId="30">#REF!</definedName>
    <definedName name="NWC" localSheetId="31">#REF!</definedName>
    <definedName name="NWC" localSheetId="33">#REF!</definedName>
    <definedName name="NWC">#REF!</definedName>
    <definedName name="NWCMargin" localSheetId="37">#REF!</definedName>
    <definedName name="NWCMargin" localSheetId="17">#REF!</definedName>
    <definedName name="NWCMargin" localSheetId="26">#REF!</definedName>
    <definedName name="NWCMargin" localSheetId="27">#REF!</definedName>
    <definedName name="NWCMargin" localSheetId="30">#REF!</definedName>
    <definedName name="NWCMargin" localSheetId="31">#REF!</definedName>
    <definedName name="NWCMargin" localSheetId="33">#REF!</definedName>
    <definedName name="NWCMargin">#REF!</definedName>
    <definedName name="nxlk" localSheetId="37">#REF!</definedName>
    <definedName name="nxlk" localSheetId="17">#REF!</definedName>
    <definedName name="nxlk" localSheetId="26">#REF!</definedName>
    <definedName name="nxlk" localSheetId="27">#REF!</definedName>
    <definedName name="nxlk" localSheetId="30">#REF!</definedName>
    <definedName name="nxlk" localSheetId="31">#REF!</definedName>
    <definedName name="nxlk" localSheetId="33">#REF!</definedName>
    <definedName name="nxlk">#REF!</definedName>
    <definedName name="nxlkoptions" localSheetId="37">#REF!</definedName>
    <definedName name="nxlkoptions" localSheetId="17">#REF!</definedName>
    <definedName name="nxlkoptions" localSheetId="26">#REF!</definedName>
    <definedName name="nxlkoptions" localSheetId="27">#REF!</definedName>
    <definedName name="nxlkoptions" localSheetId="30">#REF!</definedName>
    <definedName name="nxlkoptions" localSheetId="31">#REF!</definedName>
    <definedName name="nxlkoptions" localSheetId="33">#REF!</definedName>
    <definedName name="nxlkoptions">#REF!</definedName>
    <definedName name="nyyr" localSheetId="2" hidden="1">{#N/A,#N/A,FALSE,"CPV";#N/A,#N/A,FALSE,"Pareto";#N/A,#N/A,FALSE,"Gráficos"}</definedName>
    <definedName name="nyyr" localSheetId="4" hidden="1">{#N/A,#N/A,FALSE,"CPV";#N/A,#N/A,FALSE,"Pareto";#N/A,#N/A,FALSE,"Gráficos"}</definedName>
    <definedName name="nyyr" hidden="1">{#N/A,#N/A,FALSE,"CPV";#N/A,#N/A,FALSE,"Pareto";#N/A,#N/A,FALSE,"Gráficos"}</definedName>
    <definedName name="O_A_REF">#N/A</definedName>
    <definedName name="O_C_REF">#N/A</definedName>
    <definedName name="O355a210">#REF!</definedName>
    <definedName name="O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bra" localSheetId="37">#REF!</definedName>
    <definedName name="Obra" localSheetId="17">#REF!</definedName>
    <definedName name="Obra" localSheetId="26">#REF!</definedName>
    <definedName name="Obra" localSheetId="27">#REF!</definedName>
    <definedName name="Obra" localSheetId="30">#REF!</definedName>
    <definedName name="Obra" localSheetId="31">#REF!</definedName>
    <definedName name="Obra" localSheetId="33">#REF!</definedName>
    <definedName name="Obra">#REF!</definedName>
    <definedName name="Obras">#REF!</definedName>
    <definedName name="OFFER" localSheetId="37">#REF!</definedName>
    <definedName name="OFFER" localSheetId="17">#REF!</definedName>
    <definedName name="OFFER" localSheetId="26">#REF!</definedName>
    <definedName name="OFFER" localSheetId="27">#REF!</definedName>
    <definedName name="OFFER" localSheetId="30">#REF!</definedName>
    <definedName name="OFFER" localSheetId="31">#REF!</definedName>
    <definedName name="OFFER" localSheetId="33">#REF!</definedName>
    <definedName name="OFFER">#REF!</definedName>
    <definedName name="offpr">[5]Sens!$O$10</definedName>
    <definedName name="oi" localSheetId="2">P&amp;[94]l!$A$4:$L$53</definedName>
    <definedName name="oi" localSheetId="4">P&amp;[94]l!$A$4:$L$53</definedName>
    <definedName name="oi" localSheetId="31">P&amp;[94]l!$A$4:$L$53</definedName>
    <definedName name="oi" localSheetId="41">P&amp;[94]l!$A$4:$L$53</definedName>
    <definedName name="oi" localSheetId="23">P&amp;[94]l!$A$4:$L$53</definedName>
    <definedName name="oi" localSheetId="38">P&amp;[94]l!$A$4:$L$53</definedName>
    <definedName name="oi">P&amp;[94]l!$A$4:$L$53</definedName>
    <definedName name="oijoijpi" localSheetId="2" hidden="1">[32]REAC1!#REF!</definedName>
    <definedName name="oijoijpi" localSheetId="4" hidden="1">[32]REAC1!#REF!</definedName>
    <definedName name="oijoijpi" hidden="1">[32]REAC1!#REF!</definedName>
    <definedName name="ok" localSheetId="4">#REF!</definedName>
    <definedName name="ok">#REF!</definedName>
    <definedName name="olisboa" localSheetId="2" hidden="1">{"TotalGeralDespesasPorArea",#N/A,FALSE,"VinculosAccessEfetivo"}</definedName>
    <definedName name="olisboa" localSheetId="4" hidden="1">{"TotalGeralDespesasPorArea",#N/A,FALSE,"VinculosAccessEfetivo"}</definedName>
    <definedName name="olisboa" hidden="1">{"TotalGeralDespesasPorArea",#N/A,FALSE,"VinculosAccessEfetivo"}</definedName>
    <definedName name="OnOff">"ON"</definedName>
    <definedName name="OOO" hidden="1">#REF!</definedName>
    <definedName name="ooooooo" hidden="1">#REF!</definedName>
    <definedName name="OPPRI" localSheetId="37">#REF!</definedName>
    <definedName name="OPPRI" localSheetId="17">#REF!</definedName>
    <definedName name="OPPRI" localSheetId="26">#REF!</definedName>
    <definedName name="OPPRI" localSheetId="27">#REF!</definedName>
    <definedName name="OPPRI" localSheetId="30">#REF!</definedName>
    <definedName name="OPPRI" localSheetId="31">#REF!</definedName>
    <definedName name="OPPRI" localSheetId="33">#REF!</definedName>
    <definedName name="OPPRI">#REF!</definedName>
    <definedName name="OPRPI" localSheetId="37">#REF!</definedName>
    <definedName name="OPRPI" localSheetId="17">#REF!</definedName>
    <definedName name="OPRPI" localSheetId="26">#REF!</definedName>
    <definedName name="OPRPI" localSheetId="27">#REF!</definedName>
    <definedName name="OPRPI" localSheetId="30">#REF!</definedName>
    <definedName name="OPRPI" localSheetId="31">#REF!</definedName>
    <definedName name="OPRPI" localSheetId="33">#REF!</definedName>
    <definedName name="OPRPI">#REF!</definedName>
    <definedName name="OptionPrice" localSheetId="37">#REF!</definedName>
    <definedName name="OptionPrice" localSheetId="17">#REF!</definedName>
    <definedName name="OptionPrice" localSheetId="26">#REF!</definedName>
    <definedName name="OptionPrice" localSheetId="27">#REF!</definedName>
    <definedName name="OptionPrice" localSheetId="30">#REF!</definedName>
    <definedName name="OptionPrice" localSheetId="31">#REF!</definedName>
    <definedName name="OptionPrice" localSheetId="33">#REF!</definedName>
    <definedName name="OptionPrice">#REF!</definedName>
    <definedName name="Options" localSheetId="37">#REF!</definedName>
    <definedName name="Options" localSheetId="17">#REF!</definedName>
    <definedName name="Options" localSheetId="26">#REF!</definedName>
    <definedName name="Options" localSheetId="27">#REF!</definedName>
    <definedName name="Options" localSheetId="30">#REF!</definedName>
    <definedName name="Options" localSheetId="31">#REF!</definedName>
    <definedName name="Options" localSheetId="33">#REF!</definedName>
    <definedName name="Options">#REF!</definedName>
    <definedName name="OptionsTrig" localSheetId="37">#REF!</definedName>
    <definedName name="OptionsTrig" localSheetId="17">#REF!</definedName>
    <definedName name="OptionsTrig" localSheetId="26">#REF!</definedName>
    <definedName name="OptionsTrig" localSheetId="27">#REF!</definedName>
    <definedName name="OptionsTrig" localSheetId="30">#REF!</definedName>
    <definedName name="OptionsTrig" localSheetId="31">#REF!</definedName>
    <definedName name="OptionsTrig" localSheetId="33">#REF!</definedName>
    <definedName name="OptionsTrig">#REF!</definedName>
    <definedName name="ORÇAMENTO">'[58]Conciliação Bancária'!$C$5:$L$2597</definedName>
    <definedName name="orçamrest" localSheetId="2" hidden="1">{#N/A,#N/A,TRUE,"Serviços"}</definedName>
    <definedName name="orçamrest" localSheetId="4" hidden="1">{#N/A,#N/A,TRUE,"Serviços"}</definedName>
    <definedName name="orçamrest" hidden="1">{#N/A,#N/A,TRUE,"Serviços"}</definedName>
    <definedName name="Origem" localSheetId="2">#REF!</definedName>
    <definedName name="Origem">#REF!</definedName>
    <definedName name="orig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th_Assets_Activity" localSheetId="37">[76]Activities!#REF!</definedName>
    <definedName name="Oth_Assets_Activity" localSheetId="17">[76]Activities!#REF!</definedName>
    <definedName name="Oth_Assets_Activity" localSheetId="26">[76]Activities!#REF!</definedName>
    <definedName name="Oth_Assets_Activity" localSheetId="27">[76]Activities!#REF!</definedName>
    <definedName name="Oth_Assets_Activity" localSheetId="30">[76]Activities!#REF!</definedName>
    <definedName name="Oth_Assets_Activity" localSheetId="31">[76]Activities!#REF!</definedName>
    <definedName name="Oth_Assets_Activity" localSheetId="33">[76]Activities!#REF!</definedName>
    <definedName name="Oth_Assets_Activity">[76]Activities!#REF!</definedName>
    <definedName name="OtherLabel1" localSheetId="37">#REF!</definedName>
    <definedName name="OtherLabel1" localSheetId="17">#REF!</definedName>
    <definedName name="OtherLabel1" localSheetId="26">#REF!</definedName>
    <definedName name="OtherLabel1" localSheetId="27">#REF!</definedName>
    <definedName name="OtherLabel1" localSheetId="30">#REF!</definedName>
    <definedName name="OtherLabel1" localSheetId="31">#REF!</definedName>
    <definedName name="OtherLabel1" localSheetId="33">#REF!</definedName>
    <definedName name="OtherLabel1">#REF!</definedName>
    <definedName name="OtherLabel2" localSheetId="37">#REF!</definedName>
    <definedName name="OtherLabel2" localSheetId="17">#REF!</definedName>
    <definedName name="OtherLabel2" localSheetId="26">#REF!</definedName>
    <definedName name="OtherLabel2" localSheetId="27">#REF!</definedName>
    <definedName name="OtherLabel2" localSheetId="30">#REF!</definedName>
    <definedName name="OtherLabel2" localSheetId="31">#REF!</definedName>
    <definedName name="OtherLabel2" localSheetId="33">#REF!</definedName>
    <definedName name="OtherLabel2">#REF!</definedName>
    <definedName name="OtherLabel3" localSheetId="37">#REF!</definedName>
    <definedName name="OtherLabel3" localSheetId="17">#REF!</definedName>
    <definedName name="OtherLabel3" localSheetId="26">#REF!</definedName>
    <definedName name="OtherLabel3" localSheetId="27">#REF!</definedName>
    <definedName name="OtherLabel3" localSheetId="30">#REF!</definedName>
    <definedName name="OtherLabel3" localSheetId="31">#REF!</definedName>
    <definedName name="OtherLabel3" localSheetId="33">#REF!</definedName>
    <definedName name="OtherLabel3">#REF!</definedName>
    <definedName name="OtherOpExp" localSheetId="37">#REF!</definedName>
    <definedName name="OtherOpExp" localSheetId="17">#REF!</definedName>
    <definedName name="OtherOpExp" localSheetId="26">#REF!</definedName>
    <definedName name="OtherOpExp" localSheetId="27">#REF!</definedName>
    <definedName name="OtherOpExp" localSheetId="30">#REF!</definedName>
    <definedName name="OtherOpExp" localSheetId="31">#REF!</definedName>
    <definedName name="OtherOpExp" localSheetId="33">#REF!</definedName>
    <definedName name="OtherOpExp">#REF!</definedName>
    <definedName name="OtherRiskPremium" localSheetId="37">#REF!</definedName>
    <definedName name="OtherRiskPremium" localSheetId="17">#REF!</definedName>
    <definedName name="OtherRiskPremium" localSheetId="26">#REF!</definedName>
    <definedName name="OtherRiskPremium" localSheetId="27">#REF!</definedName>
    <definedName name="OtherRiskPremium" localSheetId="30">#REF!</definedName>
    <definedName name="OtherRiskPremium" localSheetId="31">#REF!</definedName>
    <definedName name="OtherRiskPremium" localSheetId="33">#REF!</definedName>
    <definedName name="OtherRiskPremium">#REF!</definedName>
    <definedName name="otto" localSheetId="2" hidden="1">{"TotalGeralDespesasPorArea",#N/A,FALSE,"VinculosAccessEfetivo"}</definedName>
    <definedName name="otto" localSheetId="4" hidden="1">{"TotalGeralDespesasPorArea",#N/A,FALSE,"VinculosAccessEfetivo"}</definedName>
    <definedName name="otto" hidden="1">{"TotalGeralDespesasPorArea",#N/A,FALSE,"VinculosAccessEfetivo"}</definedName>
    <definedName name="OUT" localSheetId="2">#N/A</definedName>
    <definedName name="OUT" localSheetId="4">#N/A</definedName>
    <definedName name="OUT" localSheetId="41">'Preços Unitários'!OUT</definedName>
    <definedName name="OUT" localSheetId="23">'Recursos Humanos 1'!OUT</definedName>
    <definedName name="OUT" localSheetId="38">'Veículos e Equipamentos'!OUT</definedName>
    <definedName name="OUT">'Preços Unitários'!OUT</definedName>
    <definedName name="outorga" localSheetId="4">#REF!</definedName>
    <definedName name="outorga">#REF!</definedName>
    <definedName name="OUTRO" localSheetId="2" hidden="1">{"'PXR_6500'!$A$1:$I$124"}</definedName>
    <definedName name="OUTRO" localSheetId="4" hidden="1">{"'PXR_6500'!$A$1:$I$124"}</definedName>
    <definedName name="OUTRO" hidden="1">{"'PXR_6500'!$A$1:$I$124"}</definedName>
    <definedName name="ov">#REF!</definedName>
    <definedName name="Over" localSheetId="37">#REF!</definedName>
    <definedName name="Over" localSheetId="17">#REF!</definedName>
    <definedName name="Over" localSheetId="26">#REF!</definedName>
    <definedName name="Over" localSheetId="27">#REF!</definedName>
    <definedName name="Over" localSheetId="30">#REF!</definedName>
    <definedName name="Over" localSheetId="31">#REF!</definedName>
    <definedName name="Over" localSheetId="33">#REF!</definedName>
    <definedName name="Over">#REF!</definedName>
    <definedName name="OWN_AL">[95]Assum!$B$22</definedName>
    <definedName name="OWN_BA">[95]Assum!$B$20</definedName>
    <definedName name="OWN_PB">[95]Assum!$B$24</definedName>
    <definedName name="OWN_PE">[95]Assum!$B$21</definedName>
    <definedName name="OWN_PR">[95]Assum!$B$25</definedName>
    <definedName name="OWN_SC">[95]Assum!$B$26</definedName>
    <definedName name="OWN_SE">[95]Assum!$B$23</definedName>
    <definedName name="Oz">2</definedName>
    <definedName name="pagani" localSheetId="2" hidden="1">{#N/A,#N/A,TRUE,"Resumo de Preços"}</definedName>
    <definedName name="pagani" localSheetId="4" hidden="1">{#N/A,#N/A,TRUE,"Resumo de Preços"}</definedName>
    <definedName name="pagani" hidden="1">{#N/A,#N/A,TRUE,"Resumo de Preços"}</definedName>
    <definedName name="PageNum" localSheetId="37">#REF!</definedName>
    <definedName name="PageNum" localSheetId="17">#REF!</definedName>
    <definedName name="PageNum" localSheetId="26">#REF!</definedName>
    <definedName name="PageNum" localSheetId="27">#REF!</definedName>
    <definedName name="PageNum" localSheetId="30">#REF!</definedName>
    <definedName name="PageNum" localSheetId="31">#REF!</definedName>
    <definedName name="PageNum" localSheetId="33">#REF!</definedName>
    <definedName name="PageNum">#REF!</definedName>
    <definedName name="Pal_Workbook_GUID" hidden="1">"B6TUECFBHHUG2B5TLDGYNCF2"</definedName>
    <definedName name="Panda_Pit_1" localSheetId="37">#REF!</definedName>
    <definedName name="Panda_Pit_1" localSheetId="17">#REF!</definedName>
    <definedName name="Panda_Pit_1" localSheetId="26">#REF!</definedName>
    <definedName name="Panda_Pit_1" localSheetId="27">#REF!</definedName>
    <definedName name="Panda_Pit_1" localSheetId="30">#REF!</definedName>
    <definedName name="Panda_Pit_1" localSheetId="31">#REF!</definedName>
    <definedName name="Panda_Pit_1" localSheetId="33">#REF!</definedName>
    <definedName name="Panda_Pit_1">#REF!</definedName>
    <definedName name="Panda_Pit_10" localSheetId="37">#REF!</definedName>
    <definedName name="Panda_Pit_10" localSheetId="17">#REF!</definedName>
    <definedName name="Panda_Pit_10" localSheetId="26">#REF!</definedName>
    <definedName name="Panda_Pit_10" localSheetId="27">#REF!</definedName>
    <definedName name="Panda_Pit_10" localSheetId="30">#REF!</definedName>
    <definedName name="Panda_Pit_10" localSheetId="31">#REF!</definedName>
    <definedName name="Panda_Pit_10" localSheetId="33">#REF!</definedName>
    <definedName name="Panda_Pit_10">#REF!</definedName>
    <definedName name="Panda_Pit_2" localSheetId="37">#REF!</definedName>
    <definedName name="Panda_Pit_2" localSheetId="17">#REF!</definedName>
    <definedName name="Panda_Pit_2" localSheetId="26">#REF!</definedName>
    <definedName name="Panda_Pit_2" localSheetId="27">#REF!</definedName>
    <definedName name="Panda_Pit_2" localSheetId="30">#REF!</definedName>
    <definedName name="Panda_Pit_2" localSheetId="31">#REF!</definedName>
    <definedName name="Panda_Pit_2" localSheetId="33">#REF!</definedName>
    <definedName name="Panda_Pit_2">#REF!</definedName>
    <definedName name="Panda_Pit_3" localSheetId="37">#REF!</definedName>
    <definedName name="Panda_Pit_3" localSheetId="17">#REF!</definedName>
    <definedName name="Panda_Pit_3" localSheetId="26">#REF!</definedName>
    <definedName name="Panda_Pit_3" localSheetId="27">#REF!</definedName>
    <definedName name="Panda_Pit_3" localSheetId="30">#REF!</definedName>
    <definedName name="Panda_Pit_3" localSheetId="31">#REF!</definedName>
    <definedName name="Panda_Pit_3" localSheetId="33">#REF!</definedName>
    <definedName name="Panda_Pit_3">#REF!</definedName>
    <definedName name="Panda_Pit_4" localSheetId="37">#REF!</definedName>
    <definedName name="Panda_Pit_4" localSheetId="17">#REF!</definedName>
    <definedName name="Panda_Pit_4" localSheetId="26">#REF!</definedName>
    <definedName name="Panda_Pit_4" localSheetId="27">#REF!</definedName>
    <definedName name="Panda_Pit_4" localSheetId="30">#REF!</definedName>
    <definedName name="Panda_Pit_4" localSheetId="31">#REF!</definedName>
    <definedName name="Panda_Pit_4" localSheetId="33">#REF!</definedName>
    <definedName name="Panda_Pit_4">#REF!</definedName>
    <definedName name="Panda_Pit_5" localSheetId="37">#REF!</definedName>
    <definedName name="Panda_Pit_5" localSheetId="17">#REF!</definedName>
    <definedName name="Panda_Pit_5" localSheetId="26">#REF!</definedName>
    <definedName name="Panda_Pit_5" localSheetId="27">#REF!</definedName>
    <definedName name="Panda_Pit_5" localSheetId="30">#REF!</definedName>
    <definedName name="Panda_Pit_5" localSheetId="31">#REF!</definedName>
    <definedName name="Panda_Pit_5" localSheetId="33">#REF!</definedName>
    <definedName name="Panda_Pit_5">#REF!</definedName>
    <definedName name="Panda_Pit_6" localSheetId="37">#REF!</definedName>
    <definedName name="Panda_Pit_6" localSheetId="17">#REF!</definedName>
    <definedName name="Panda_Pit_6" localSheetId="26">#REF!</definedName>
    <definedName name="Panda_Pit_6" localSheetId="27">#REF!</definedName>
    <definedName name="Panda_Pit_6" localSheetId="30">#REF!</definedName>
    <definedName name="Panda_Pit_6" localSheetId="31">#REF!</definedName>
    <definedName name="Panda_Pit_6" localSheetId="33">#REF!</definedName>
    <definedName name="Panda_Pit_6">#REF!</definedName>
    <definedName name="Panda_Pit_7" localSheetId="37">#REF!</definedName>
    <definedName name="Panda_Pit_7" localSheetId="17">#REF!</definedName>
    <definedName name="Panda_Pit_7" localSheetId="26">#REF!</definedName>
    <definedName name="Panda_Pit_7" localSheetId="27">#REF!</definedName>
    <definedName name="Panda_Pit_7" localSheetId="30">#REF!</definedName>
    <definedName name="Panda_Pit_7" localSheetId="31">#REF!</definedName>
    <definedName name="Panda_Pit_7" localSheetId="33">#REF!</definedName>
    <definedName name="Panda_Pit_7">#REF!</definedName>
    <definedName name="Panda_Pit_8" localSheetId="37">#REF!</definedName>
    <definedName name="Panda_Pit_8" localSheetId="17">#REF!</definedName>
    <definedName name="Panda_Pit_8" localSheetId="26">#REF!</definedName>
    <definedName name="Panda_Pit_8" localSheetId="27">#REF!</definedName>
    <definedName name="Panda_Pit_8" localSheetId="30">#REF!</definedName>
    <definedName name="Panda_Pit_8" localSheetId="31">#REF!</definedName>
    <definedName name="Panda_Pit_8" localSheetId="33">#REF!</definedName>
    <definedName name="Panda_Pit_8">#REF!</definedName>
    <definedName name="Panda_Pit_9" localSheetId="37">#REF!</definedName>
    <definedName name="Panda_Pit_9" localSheetId="17">#REF!</definedName>
    <definedName name="Panda_Pit_9" localSheetId="26">#REF!</definedName>
    <definedName name="Panda_Pit_9" localSheetId="27">#REF!</definedName>
    <definedName name="Panda_Pit_9" localSheetId="30">#REF!</definedName>
    <definedName name="Panda_Pit_9" localSheetId="31">#REF!</definedName>
    <definedName name="Panda_Pit_9" localSheetId="33">#REF!</definedName>
    <definedName name="Panda_Pit_9">#REF!</definedName>
    <definedName name="Panda_Underground_1" localSheetId="37">#REF!</definedName>
    <definedName name="Panda_Underground_1" localSheetId="17">#REF!</definedName>
    <definedName name="Panda_Underground_1" localSheetId="26">#REF!</definedName>
    <definedName name="Panda_Underground_1" localSheetId="27">#REF!</definedName>
    <definedName name="Panda_Underground_1" localSheetId="30">#REF!</definedName>
    <definedName name="Panda_Underground_1" localSheetId="31">#REF!</definedName>
    <definedName name="Panda_Underground_1" localSheetId="33">#REF!</definedName>
    <definedName name="Panda_Underground_1">#REF!</definedName>
    <definedName name="Panda_Underground_2" localSheetId="37">#REF!</definedName>
    <definedName name="Panda_Underground_2" localSheetId="17">#REF!</definedName>
    <definedName name="Panda_Underground_2" localSheetId="26">#REF!</definedName>
    <definedName name="Panda_Underground_2" localSheetId="27">#REF!</definedName>
    <definedName name="Panda_Underground_2" localSheetId="30">#REF!</definedName>
    <definedName name="Panda_Underground_2" localSheetId="31">#REF!</definedName>
    <definedName name="Panda_Underground_2" localSheetId="33">#REF!</definedName>
    <definedName name="Panda_Underground_2">#REF!</definedName>
    <definedName name="Panda_Underground_3" localSheetId="37">#REF!</definedName>
    <definedName name="Panda_Underground_3" localSheetId="17">#REF!</definedName>
    <definedName name="Panda_Underground_3" localSheetId="26">#REF!</definedName>
    <definedName name="Panda_Underground_3" localSheetId="27">#REF!</definedName>
    <definedName name="Panda_Underground_3" localSheetId="30">#REF!</definedName>
    <definedName name="Panda_Underground_3" localSheetId="31">#REF!</definedName>
    <definedName name="Panda_Underground_3" localSheetId="33">#REF!</definedName>
    <definedName name="Panda_Underground_3">#REF!</definedName>
    <definedName name="Panda_Underground_4" localSheetId="37">#REF!</definedName>
    <definedName name="Panda_Underground_4" localSheetId="17">#REF!</definedName>
    <definedName name="Panda_Underground_4" localSheetId="26">#REF!</definedName>
    <definedName name="Panda_Underground_4" localSheetId="27">#REF!</definedName>
    <definedName name="Panda_Underground_4" localSheetId="30">#REF!</definedName>
    <definedName name="Panda_Underground_4" localSheetId="31">#REF!</definedName>
    <definedName name="Panda_Underground_4" localSheetId="33">#REF!</definedName>
    <definedName name="Panda_Underground_4">#REF!</definedName>
    <definedName name="Panda_Underground_5" localSheetId="37">#REF!</definedName>
    <definedName name="Panda_Underground_5" localSheetId="17">#REF!</definedName>
    <definedName name="Panda_Underground_5" localSheetId="26">#REF!</definedName>
    <definedName name="Panda_Underground_5" localSheetId="27">#REF!</definedName>
    <definedName name="Panda_Underground_5" localSheetId="30">#REF!</definedName>
    <definedName name="Panda_Underground_5" localSheetId="31">#REF!</definedName>
    <definedName name="Panda_Underground_5" localSheetId="33">#REF!</definedName>
    <definedName name="Panda_Underground_5">#REF!</definedName>
    <definedName name="parcMin">'[70]SEM Créditos'!$E$6</definedName>
    <definedName name="PARETOATIV" localSheetId="2" hidden="1">{#N/A,#N/A,FALSE,"CPV";#N/A,#N/A,FALSE,"Pareto";#N/A,#N/A,FALSE,"Gráficos"}</definedName>
    <definedName name="PARETOATIV" localSheetId="4" hidden="1">{#N/A,#N/A,FALSE,"CPV";#N/A,#N/A,FALSE,"Pareto";#N/A,#N/A,FALSE,"Gráficos"}</definedName>
    <definedName name="PARETOATIV" hidden="1">{#N/A,#N/A,FALSE,"CPV";#N/A,#N/A,FALSE,"Pareto";#N/A,#N/A,FALSE,"Gráficos"}</definedName>
    <definedName name="Parity">#REF!</definedName>
    <definedName name="Passivo" localSheetId="2" hidden="1">{"TotalGeralDespesasPorArea",#N/A,FALSE,"VinculosAccessEfetivo"}</definedName>
    <definedName name="Passivo" localSheetId="4" hidden="1">{"TotalGeralDespesasPorArea",#N/A,FALSE,"VinculosAccessEfetivo"}</definedName>
    <definedName name="Passivo" hidden="1">{"TotalGeralDespesasPorArea",#N/A,FALSE,"VinculosAccessEfetivo"}</definedName>
    <definedName name="Payment_Needed">"Pagamento necessário"</definedName>
    <definedName name="PBV" localSheetId="37">#REF!</definedName>
    <definedName name="PBV" localSheetId="17">#REF!</definedName>
    <definedName name="PBV" localSheetId="26">#REF!</definedName>
    <definedName name="PBV" localSheetId="27">#REF!</definedName>
    <definedName name="PBV" localSheetId="30">#REF!</definedName>
    <definedName name="PBV" localSheetId="31">#REF!</definedName>
    <definedName name="PBV" localSheetId="33">#REF!</definedName>
    <definedName name="PBV">#REF!</definedName>
    <definedName name="PC" localSheetId="37">[29]DCF!#REF!</definedName>
    <definedName name="PC" localSheetId="17">[29]DCF!#REF!</definedName>
    <definedName name="PC" localSheetId="26">[29]DCF!#REF!</definedName>
    <definedName name="PC" localSheetId="27">[29]DCF!#REF!</definedName>
    <definedName name="PC" localSheetId="30">[29]DCF!#REF!</definedName>
    <definedName name="PC" localSheetId="31">[29]DCF!#REF!</definedName>
    <definedName name="PC" localSheetId="33">[29]DCF!#REF!</definedName>
    <definedName name="PC">[29]DCF!#REF!</definedName>
    <definedName name="PC_Debt_gas" localSheetId="37">#REF!</definedName>
    <definedName name="PC_Debt_gas" localSheetId="17">#REF!</definedName>
    <definedName name="PC_Debt_gas" localSheetId="26">#REF!</definedName>
    <definedName name="PC_Debt_gas" localSheetId="27">#REF!</definedName>
    <definedName name="PC_Debt_gas" localSheetId="30">#REF!</definedName>
    <definedName name="PC_Debt_gas" localSheetId="31">#REF!</definedName>
    <definedName name="PC_Debt_gas" localSheetId="33">#REF!</definedName>
    <definedName name="PC_Debt_gas">#REF!</definedName>
    <definedName name="PC_Debt_Liquid" localSheetId="37">#REF!</definedName>
    <definedName name="PC_Debt_Liquid" localSheetId="17">#REF!</definedName>
    <definedName name="PC_Debt_Liquid" localSheetId="26">#REF!</definedName>
    <definedName name="PC_Debt_Liquid" localSheetId="27">#REF!</definedName>
    <definedName name="PC_Debt_Liquid" localSheetId="30">#REF!</definedName>
    <definedName name="PC_Debt_Liquid" localSheetId="31">#REF!</definedName>
    <definedName name="PC_Debt_Liquid" localSheetId="33">#REF!</definedName>
    <definedName name="PC_Debt_Liquid">#REF!</definedName>
    <definedName name="PCCASH" localSheetId="37">#REF!</definedName>
    <definedName name="PCCASH" localSheetId="17">#REF!</definedName>
    <definedName name="PCCASH" localSheetId="26">#REF!</definedName>
    <definedName name="PCCASH" localSheetId="27">#REF!</definedName>
    <definedName name="PCCASH" localSheetId="30">#REF!</definedName>
    <definedName name="PCCASH" localSheetId="31">#REF!</definedName>
    <definedName name="PCCASH" localSheetId="33">#REF!</definedName>
    <definedName name="PCCASH">#REF!</definedName>
    <definedName name="PCO" localSheetId="37">#REF!</definedName>
    <definedName name="PCO" localSheetId="17">#REF!</definedName>
    <definedName name="PCO" localSheetId="26">#REF!</definedName>
    <definedName name="PCO" localSheetId="27">#REF!</definedName>
    <definedName name="PCO" localSheetId="30">#REF!</definedName>
    <definedName name="PCO" localSheetId="31">#REF!</definedName>
    <definedName name="PCO" localSheetId="33">#REF!</definedName>
    <definedName name="PCO">#REF!</definedName>
    <definedName name="PCT" localSheetId="37">#REF!</definedName>
    <definedName name="PCT" localSheetId="17">#REF!</definedName>
    <definedName name="PCT" localSheetId="26">#REF!</definedName>
    <definedName name="PCT" localSheetId="27">#REF!</definedName>
    <definedName name="PCT" localSheetId="30">#REF!</definedName>
    <definedName name="PCT" localSheetId="31">#REF!</definedName>
    <definedName name="PCT" localSheetId="33">#REF!</definedName>
    <definedName name="PCT">#REF!</definedName>
    <definedName name="PEL" localSheetId="37">[17]summary!#REF!</definedName>
    <definedName name="PEL" localSheetId="17">[17]summary!#REF!</definedName>
    <definedName name="PEL" localSheetId="26">[17]summary!#REF!</definedName>
    <definedName name="PEL" localSheetId="27">[17]summary!#REF!</definedName>
    <definedName name="PEL" localSheetId="30">[17]summary!#REF!</definedName>
    <definedName name="PEL" localSheetId="31">[17]summary!#REF!</definedName>
    <definedName name="PEL" localSheetId="33">[17]summary!#REF!</definedName>
    <definedName name="PEL">[17]summary!#REF!</definedName>
    <definedName name="PELTM" localSheetId="37">#REF!</definedName>
    <definedName name="PELTM" localSheetId="17">#REF!</definedName>
    <definedName name="PELTM" localSheetId="26">#REF!</definedName>
    <definedName name="PELTM" localSheetId="27">#REF!</definedName>
    <definedName name="PELTM" localSheetId="30">#REF!</definedName>
    <definedName name="PELTM" localSheetId="31">#REF!</definedName>
    <definedName name="PELTM" localSheetId="33">#REF!</definedName>
    <definedName name="PELTM">#REF!</definedName>
    <definedName name="Percentstock">[96]Controls!$F$9/100</definedName>
    <definedName name="Pet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et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et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FPRICE" localSheetId="37">#REF!</definedName>
    <definedName name="PFPRICE" localSheetId="17">#REF!</definedName>
    <definedName name="PFPRICE" localSheetId="26">#REF!</definedName>
    <definedName name="PFPRICE" localSheetId="27">#REF!</definedName>
    <definedName name="PFPRICE" localSheetId="30">#REF!</definedName>
    <definedName name="PFPRICE" localSheetId="31">#REF!</definedName>
    <definedName name="PFPRICE" localSheetId="33">#REF!</definedName>
    <definedName name="PFPRICE">#REF!</definedName>
    <definedName name="PFPRICE2" localSheetId="37">#REF!</definedName>
    <definedName name="PFPRICE2" localSheetId="17">#REF!</definedName>
    <definedName name="PFPRICE2" localSheetId="26">#REF!</definedName>
    <definedName name="PFPRICE2" localSheetId="27">#REF!</definedName>
    <definedName name="PFPRICE2" localSheetId="30">#REF!</definedName>
    <definedName name="PFPRICE2" localSheetId="31">#REF!</definedName>
    <definedName name="PFPRICE2" localSheetId="33">#REF!</definedName>
    <definedName name="PFPRICE2">#REF!</definedName>
    <definedName name="PFQ" localSheetId="37">#REF!</definedName>
    <definedName name="PFQ" localSheetId="17">#REF!</definedName>
    <definedName name="PFQ" localSheetId="26">#REF!</definedName>
    <definedName name="PFQ" localSheetId="27">#REF!</definedName>
    <definedName name="PFQ" localSheetId="30">#REF!</definedName>
    <definedName name="PFQ" localSheetId="31">#REF!</definedName>
    <definedName name="PFQ" localSheetId="33">#REF!</definedName>
    <definedName name="PFQ">#REF!</definedName>
    <definedName name="PG5CASH" localSheetId="37">#REF!</definedName>
    <definedName name="PG5CASH" localSheetId="17">#REF!</definedName>
    <definedName name="PG5CASH" localSheetId="26">#REF!</definedName>
    <definedName name="PG5CASH" localSheetId="27">#REF!</definedName>
    <definedName name="PG5CASH" localSheetId="30">#REF!</definedName>
    <definedName name="PG5CASH" localSheetId="31">#REF!</definedName>
    <definedName name="PG5CASH" localSheetId="33">#REF!</definedName>
    <definedName name="PG5CASH">#REF!</definedName>
    <definedName name="Phase_I" localSheetId="37">#REF!</definedName>
    <definedName name="Phase_I" localSheetId="17">#REF!</definedName>
    <definedName name="Phase_I" localSheetId="26">#REF!</definedName>
    <definedName name="Phase_I" localSheetId="27">#REF!</definedName>
    <definedName name="Phase_I" localSheetId="30">#REF!</definedName>
    <definedName name="Phase_I" localSheetId="31">#REF!</definedName>
    <definedName name="Phase_I" localSheetId="33">#REF!</definedName>
    <definedName name="Phase_I">#REF!</definedName>
    <definedName name="Phase_II" localSheetId="37">#REF!</definedName>
    <definedName name="Phase_II" localSheetId="17">#REF!</definedName>
    <definedName name="Phase_II" localSheetId="26">#REF!</definedName>
    <definedName name="Phase_II" localSheetId="27">#REF!</definedName>
    <definedName name="Phase_II" localSheetId="30">#REF!</definedName>
    <definedName name="Phase_II" localSheetId="31">#REF!</definedName>
    <definedName name="Phase_II" localSheetId="33">#REF!</definedName>
    <definedName name="Phase_II">#REF!</definedName>
    <definedName name="Phase_III" localSheetId="37">#REF!</definedName>
    <definedName name="Phase_III" localSheetId="17">#REF!</definedName>
    <definedName name="Phase_III" localSheetId="26">#REF!</definedName>
    <definedName name="Phase_III" localSheetId="27">#REF!</definedName>
    <definedName name="Phase_III" localSheetId="30">#REF!</definedName>
    <definedName name="Phase_III" localSheetId="31">#REF!</definedName>
    <definedName name="Phase_III" localSheetId="33">#REF!</definedName>
    <definedName name="Phase_III">#REF!</definedName>
    <definedName name="Pigeon_Pit_1" localSheetId="37">#REF!</definedName>
    <definedName name="Pigeon_Pit_1" localSheetId="17">#REF!</definedName>
    <definedName name="Pigeon_Pit_1" localSheetId="26">#REF!</definedName>
    <definedName name="Pigeon_Pit_1" localSheetId="27">#REF!</definedName>
    <definedName name="Pigeon_Pit_1" localSheetId="30">#REF!</definedName>
    <definedName name="Pigeon_Pit_1" localSheetId="31">#REF!</definedName>
    <definedName name="Pigeon_Pit_1" localSheetId="33">#REF!</definedName>
    <definedName name="Pigeon_Pit_1">#REF!</definedName>
    <definedName name="Pigeon_Pit_2" localSheetId="37">#REF!</definedName>
    <definedName name="Pigeon_Pit_2" localSheetId="17">#REF!</definedName>
    <definedName name="Pigeon_Pit_2" localSheetId="26">#REF!</definedName>
    <definedName name="Pigeon_Pit_2" localSheetId="27">#REF!</definedName>
    <definedName name="Pigeon_Pit_2" localSheetId="30">#REF!</definedName>
    <definedName name="Pigeon_Pit_2" localSheetId="31">#REF!</definedName>
    <definedName name="Pigeon_Pit_2" localSheetId="33">#REF!</definedName>
    <definedName name="Pigeon_Pit_2">#REF!</definedName>
    <definedName name="Pigeon_Pit_3" localSheetId="37">#REF!</definedName>
    <definedName name="Pigeon_Pit_3" localSheetId="17">#REF!</definedName>
    <definedName name="Pigeon_Pit_3" localSheetId="26">#REF!</definedName>
    <definedName name="Pigeon_Pit_3" localSheetId="27">#REF!</definedName>
    <definedName name="Pigeon_Pit_3" localSheetId="30">#REF!</definedName>
    <definedName name="Pigeon_Pit_3" localSheetId="31">#REF!</definedName>
    <definedName name="Pigeon_Pit_3" localSheetId="33">#REF!</definedName>
    <definedName name="Pigeon_Pit_3">#REF!</definedName>
    <definedName name="Pigeon_Pit_4" localSheetId="37">#REF!</definedName>
    <definedName name="Pigeon_Pit_4" localSheetId="17">#REF!</definedName>
    <definedName name="Pigeon_Pit_4" localSheetId="26">#REF!</definedName>
    <definedName name="Pigeon_Pit_4" localSheetId="27">#REF!</definedName>
    <definedName name="Pigeon_Pit_4" localSheetId="30">#REF!</definedName>
    <definedName name="Pigeon_Pit_4" localSheetId="31">#REF!</definedName>
    <definedName name="Pigeon_Pit_4" localSheetId="33">#REF!</definedName>
    <definedName name="Pigeon_Pit_4">#REF!</definedName>
    <definedName name="Pigeon_Pit_5" localSheetId="37">#REF!</definedName>
    <definedName name="Pigeon_Pit_5" localSheetId="17">#REF!</definedName>
    <definedName name="Pigeon_Pit_5" localSheetId="26">#REF!</definedName>
    <definedName name="Pigeon_Pit_5" localSheetId="27">#REF!</definedName>
    <definedName name="Pigeon_Pit_5" localSheetId="30">#REF!</definedName>
    <definedName name="Pigeon_Pit_5" localSheetId="31">#REF!</definedName>
    <definedName name="Pigeon_Pit_5" localSheetId="33">#REF!</definedName>
    <definedName name="Pigeon_Pit_5">#REF!</definedName>
    <definedName name="PL_5" localSheetId="2">P&amp;[94]l!$A$4:$L$53</definedName>
    <definedName name="PL_5" localSheetId="37">P&amp;[94]l!$A$4:$L$53</definedName>
    <definedName name="PL_5" localSheetId="17">P&amp;[94]l!$A$4:$L$53</definedName>
    <definedName name="PL_5" localSheetId="4">P&amp;[94]l!$A$4:$L$53</definedName>
    <definedName name="PL_5" localSheetId="26">P&amp;[94]l!$A$4:$L$53</definedName>
    <definedName name="PL_5" localSheetId="27">P&amp;[94]l!$A$4:$L$53</definedName>
    <definedName name="PL_5" localSheetId="30">P&amp;[94]l!$A$4:$L$53</definedName>
    <definedName name="PL_5" localSheetId="31">P&amp;[94]l!$A$4:$L$53</definedName>
    <definedName name="PL_5" localSheetId="33">P&amp;[94]l!$A$4:$L$53</definedName>
    <definedName name="PL_5" localSheetId="41">P&amp;[94]l!$A$4:$L$53</definedName>
    <definedName name="PL_5" localSheetId="13">P&amp;[94]l!$A$4:$L$53</definedName>
    <definedName name="PL_5" localSheetId="23">P&amp;[94]l!$A$4:$L$53</definedName>
    <definedName name="PL_5" localSheetId="14">P&amp;[94]l!$A$4:$L$53</definedName>
    <definedName name="PL_5" localSheetId="38">P&amp;[94]l!$A$4:$L$53</definedName>
    <definedName name="PL_5">P&amp;[94]l!$A$4:$L$53</definedName>
    <definedName name="PLAN_RATEIO" localSheetId="37">#REF!</definedName>
    <definedName name="PLAN_RATEIO" localSheetId="17">#REF!</definedName>
    <definedName name="PLAN_RATEIO" localSheetId="26">#REF!</definedName>
    <definedName name="PLAN_RATEIO" localSheetId="27">#REF!</definedName>
    <definedName name="PLAN_RATEIO" localSheetId="30">#REF!</definedName>
    <definedName name="PLAN_RATEIO" localSheetId="31">#REF!</definedName>
    <definedName name="PLAN_RATEIO" localSheetId="33">#REF!</definedName>
    <definedName name="PLAN_RATEIO">#REF!</definedName>
    <definedName name="Plan1" localSheetId="37">#REF!</definedName>
    <definedName name="Plan1" localSheetId="17">#REF!</definedName>
    <definedName name="Plan1" localSheetId="26">#REF!</definedName>
    <definedName name="Plan1" localSheetId="27">#REF!</definedName>
    <definedName name="Plan1" localSheetId="30">#REF!</definedName>
    <definedName name="Plan1" localSheetId="31">#REF!</definedName>
    <definedName name="Plan1" localSheetId="33">#REF!</definedName>
    <definedName name="Plan1">#REF!</definedName>
    <definedName name="pm" localSheetId="2" hidden="1">{#N/A,#N/A,FALSE,"ET-CAPA";#N/A,#N/A,FALSE,"ET-PAG1";#N/A,#N/A,FALSE,"ET-PAG2";#N/A,#N/A,FALSE,"ET-PAG3";#N/A,#N/A,FALSE,"ET-PAG4";#N/A,#N/A,FALSE,"ET-PAG5"}</definedName>
    <definedName name="pm" localSheetId="4" hidden="1">{#N/A,#N/A,FALSE,"ET-CAPA";#N/A,#N/A,FALSE,"ET-PAG1";#N/A,#N/A,FALSE,"ET-PAG2";#N/A,#N/A,FALSE,"ET-PAG3";#N/A,#N/A,FALSE,"ET-PAG4";#N/A,#N/A,FALSE,"ET-PAG5"}</definedName>
    <definedName name="pm" hidden="1">{#N/A,#N/A,FALSE,"ET-CAPA";#N/A,#N/A,FALSE,"ET-PAG1";#N/A,#N/A,FALSE,"ET-PAG2";#N/A,#N/A,FALSE,"ET-PAG3";#N/A,#N/A,FALSE,"ET-PAG4";#N/A,#N/A,FALSE,"ET-PAG5"}</definedName>
    <definedName name="PMGCONS" localSheetId="37">#REF!</definedName>
    <definedName name="PMGCONS" localSheetId="17">#REF!</definedName>
    <definedName name="PMGCONS" localSheetId="26">#REF!</definedName>
    <definedName name="PMGCONS" localSheetId="27">#REF!</definedName>
    <definedName name="PMGCONS" localSheetId="30">#REF!</definedName>
    <definedName name="PMGCONS" localSheetId="31">#REF!</definedName>
    <definedName name="PMGCONS" localSheetId="33">#REF!</definedName>
    <definedName name="PMGCONS">#REF!</definedName>
    <definedName name="PMGELIM" localSheetId="37">#REF!</definedName>
    <definedName name="PMGELIM" localSheetId="17">#REF!</definedName>
    <definedName name="PMGELIM" localSheetId="26">#REF!</definedName>
    <definedName name="PMGELIM" localSheetId="27">#REF!</definedName>
    <definedName name="PMGELIM" localSheetId="30">#REF!</definedName>
    <definedName name="PMGELIM" localSheetId="31">#REF!</definedName>
    <definedName name="PMGELIM" localSheetId="33">#REF!</definedName>
    <definedName name="PMGELIM">#REF!</definedName>
    <definedName name="PMGMTRX1" localSheetId="37">#REF!</definedName>
    <definedName name="PMGMTRX1" localSheetId="17">#REF!</definedName>
    <definedName name="PMGMTRX1" localSheetId="26">#REF!</definedName>
    <definedName name="PMGMTRX1" localSheetId="27">#REF!</definedName>
    <definedName name="PMGMTRX1" localSheetId="30">#REF!</definedName>
    <definedName name="PMGMTRX1" localSheetId="31">#REF!</definedName>
    <definedName name="PMGMTRX1" localSheetId="33">#REF!</definedName>
    <definedName name="PMGMTRX1">#REF!</definedName>
    <definedName name="PoliticalRiskPremium" localSheetId="37">#REF!</definedName>
    <definedName name="PoliticalRiskPremium" localSheetId="17">#REF!</definedName>
    <definedName name="PoliticalRiskPremium" localSheetId="26">#REF!</definedName>
    <definedName name="PoliticalRiskPremium" localSheetId="27">#REF!</definedName>
    <definedName name="PoliticalRiskPremium" localSheetId="30">#REF!</definedName>
    <definedName name="PoliticalRiskPremium" localSheetId="31">#REF!</definedName>
    <definedName name="PoliticalRiskPremium" localSheetId="33">#REF!</definedName>
    <definedName name="PoliticalRiskPremium">#REF!</definedName>
    <definedName name="PONTE">#REF!</definedName>
    <definedName name="POOL" localSheetId="37">#REF!</definedName>
    <definedName name="POOL" localSheetId="17">#REF!</definedName>
    <definedName name="POOL" localSheetId="26">#REF!</definedName>
    <definedName name="POOL" localSheetId="27">#REF!</definedName>
    <definedName name="POOL" localSheetId="30">#REF!</definedName>
    <definedName name="POOL" localSheetId="31">#REF!</definedName>
    <definedName name="POOL" localSheetId="33">#REF!</definedName>
    <definedName name="POOL">#REF!</definedName>
    <definedName name="Pooling">0</definedName>
    <definedName name="POP_93">#N/A</definedName>
    <definedName name="Posição" localSheetId="2">#REF!</definedName>
    <definedName name="Posição">#REF!</definedName>
    <definedName name="PPA_Client">#REF!</definedName>
    <definedName name="PPA_currency">#REF!</definedName>
    <definedName name="PPA_project">#REF!</definedName>
    <definedName name="PPI_1998" localSheetId="37">#REF!</definedName>
    <definedName name="PPI_1998" localSheetId="17">#REF!</definedName>
    <definedName name="PPI_1998" localSheetId="26">#REF!</definedName>
    <definedName name="PPI_1998" localSheetId="27">#REF!</definedName>
    <definedName name="PPI_1998" localSheetId="30">#REF!</definedName>
    <definedName name="PPI_1998" localSheetId="31">#REF!</definedName>
    <definedName name="PPI_1998" localSheetId="33">#REF!</definedName>
    <definedName name="PPI_1998">#REF!</definedName>
    <definedName name="ppp" hidden="1">#REF!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FCFE">#REF!</definedName>
    <definedName name="PPTFCFF">#REF!</definedName>
    <definedName name="Pr" localSheetId="2">#N/A</definedName>
    <definedName name="Pr" localSheetId="37">IF(VLOOKUP([0]!Codigo,[0]!SR,10,0)&gt;0,VLOOKUP([0]!Codigo,[0]!SR,10,0),_Prd1)</definedName>
    <definedName name="Pr" localSheetId="17">IF(VLOOKUP([0]!Codigo,[0]!SR,10,0)&gt;0,VLOOKUP([0]!Codigo,[0]!SR,10,0),_Prd1)</definedName>
    <definedName name="Pr" localSheetId="4">#N/A</definedName>
    <definedName name="Pr" localSheetId="26">IF(VLOOKUP([0]!Codigo,[0]!SR,10,0)&gt;0,VLOOKUP([0]!Codigo,[0]!SR,10,0),_Prd1)</definedName>
    <definedName name="Pr" localSheetId="27">IF(VLOOKUP([0]!Codigo,[0]!SR,10,0)&gt;0,VLOOKUP([0]!Codigo,[0]!SR,10,0),_Prd1)</definedName>
    <definedName name="Pr" localSheetId="30">IF(VLOOKUP([0]!Codigo,[0]!SR,10,0)&gt;0,VLOOKUP([0]!Codigo,[0]!SR,10,0),_Prd1)</definedName>
    <definedName name="Pr" localSheetId="31">IF(VLOOKUP([0]!Codigo,[0]!SR,10,0)&gt;0,VLOOKUP([0]!Codigo,[0]!SR,10,0),_Prd1)</definedName>
    <definedName name="Pr" localSheetId="33">IF(VLOOKUP([0]!Codigo,[0]!SR,10,0)&gt;0,VLOOKUP([0]!Codigo,[0]!SR,10,0),_Prd1)</definedName>
    <definedName name="Pr" localSheetId="41">IF(VLOOKUP([0]!Codigo,'Preços Unitários'!SR,10,0)&gt;0,VLOOKUP([0]!Codigo,'Preços Unitários'!SR,10,0),_Prd1)</definedName>
    <definedName name="Pr" localSheetId="13">IF(VLOOKUP([0]!Codigo,[0]!SR,10,0)&gt;0,VLOOKUP([0]!Codigo,[0]!SR,10,0),_Prd1)</definedName>
    <definedName name="Pr" localSheetId="23">IF(VLOOKUP([0]!Codigo,[0]!SR,10,0)&gt;0,VLOOKUP([0]!Codigo,[0]!SR,10,0),_Prd1)</definedName>
    <definedName name="Pr" localSheetId="14">IF(VLOOKUP([0]!Codigo,[0]!SR,10,0)&gt;0,VLOOKUP([0]!Codigo,[0]!SR,10,0),_Prd1)</definedName>
    <definedName name="Pr" localSheetId="38">IF(VLOOKUP([0]!Codigo,[0]!SR,10,0)&gt;0,VLOOKUP([0]!Codigo,[0]!SR,10,0),_Prd1)</definedName>
    <definedName name="Pr">IF(VLOOKUP(Codigo,SR,10,0)&gt;0,VLOOKUP(Codigo,SR,10,0),_Prd1)</definedName>
    <definedName name="prazo">[97]premissas!$B$41</definedName>
    <definedName name="Prd" localSheetId="2">IF('Diagnóstico - Ativos'!Pr&gt;0,'Diagnóstico - Ativos'!Pr,IF(_Prd1&gt;0,_Prd1,1))</definedName>
    <definedName name="Prd" localSheetId="37">IF('Disposição de Lodo'!Pr&gt;0,'Disposição de Lodo'!Pr,IF(_Prd1&gt;0,_Prd1,1))</definedName>
    <definedName name="Prd" localSheetId="17">IF('Evolução de Rede'!Pr&gt;0,'Evolução de Rede'!Pr,IF(_Prd1&gt;0,_Prd1,1))</definedName>
    <definedName name="Prd" localSheetId="4">IF('HISTOGRAMA (2)'!Pr&gt;0,'HISTOGRAMA (2)'!Pr,IF(_Prd1&gt;0,_Prd1,1))</definedName>
    <definedName name="Prd" localSheetId="26">IF('PQ01-ETA'!Pr&gt;0,'PQ01-ETA'!Pr,IF(_Prd1&gt;0,_Prd1,1))</definedName>
    <definedName name="Prd" localSheetId="27">IF('PQ02-ETA'!Pr&gt;0,'PQ02-ETA'!Pr,IF(_Prd1&gt;0,_Prd1,1))</definedName>
    <definedName name="Prd" localSheetId="30">IF('PQ05-ETA'!Pr&gt;0,'PQ05-ETA'!Pr,IF(_Prd1&gt;0,_Prd1,1))</definedName>
    <definedName name="Prd" localSheetId="31">IF('PQ06-ETA'!Pr&gt;0,'PQ06-ETA'!Pr,IF(_Prd1&gt;0,_Prd1,1))</definedName>
    <definedName name="Prd" localSheetId="33">IF('PQ08-ETE'!Pr&gt;0,'PQ08-ETE'!Pr,IF(_Prd1&gt;0,_Prd1,1))</definedName>
    <definedName name="Prd" localSheetId="41">IF('Preços Unitários'!Pr&gt;0,'Preços Unitários'!Pr,IF(_Prd1&gt;0,_Prd1,1))</definedName>
    <definedName name="Prd" localSheetId="13">IF('Produção de Água'!Pr&gt;0,'Produção de Água'!Pr,IF(_Prd1&gt;0,_Prd1,1))</definedName>
    <definedName name="Prd" localSheetId="23">IF('Recursos Humanos 1'!Pr&gt;0,'Recursos Humanos 1'!Pr,IF(_Prd1&gt;0,_Prd1,1))</definedName>
    <definedName name="Prd" localSheetId="14">IF('Tratamento de Esgoto'!Pr&gt;0,'Tratamento de Esgoto'!Pr,IF(_Prd1&gt;0,_Prd1,1))</definedName>
    <definedName name="Prd" localSheetId="38">IF('Veículos e Equipamentos'!Pr&gt;0,'Veículos e Equipamentos'!Pr,IF(_Prd1&gt;0,_Prd1,1))</definedName>
    <definedName name="Prd">IF(Pr&gt;0,Pr,IF(_Prd1&gt;0,_Prd1,1))</definedName>
    <definedName name="PrefDivPaid" localSheetId="37">#REF!</definedName>
    <definedName name="PrefDivPaid" localSheetId="17">#REF!</definedName>
    <definedName name="PrefDivPaid" localSheetId="26">#REF!</definedName>
    <definedName name="PrefDivPaid" localSheetId="27">#REF!</definedName>
    <definedName name="PrefDivPaid" localSheetId="30">#REF!</definedName>
    <definedName name="PrefDivPaid" localSheetId="31">#REF!</definedName>
    <definedName name="PrefDivPaid" localSheetId="33">#REF!</definedName>
    <definedName name="PrefDivPaid">#REF!</definedName>
    <definedName name="Preferred" localSheetId="37">#REF!</definedName>
    <definedName name="Preferred" localSheetId="17">#REF!</definedName>
    <definedName name="Preferred" localSheetId="26">#REF!</definedName>
    <definedName name="Preferred" localSheetId="27">#REF!</definedName>
    <definedName name="Preferred" localSheetId="30">#REF!</definedName>
    <definedName name="Preferred" localSheetId="31">#REF!</definedName>
    <definedName name="Preferred" localSheetId="33">#REF!</definedName>
    <definedName name="Preferred">#REF!</definedName>
    <definedName name="Preferred_Stock" localSheetId="37">[17]summary!#REF!</definedName>
    <definedName name="Preferred_Stock" localSheetId="17">[17]summary!#REF!</definedName>
    <definedName name="Preferred_Stock" localSheetId="26">[17]summary!#REF!</definedName>
    <definedName name="Preferred_Stock" localSheetId="27">[17]summary!#REF!</definedName>
    <definedName name="Preferred_Stock" localSheetId="30">[17]summary!#REF!</definedName>
    <definedName name="Preferred_Stock" localSheetId="31">[17]summary!#REF!</definedName>
    <definedName name="Preferred_Stock" localSheetId="33">[17]summary!#REF!</definedName>
    <definedName name="Preferred_Stock">[17]summary!#REF!</definedName>
    <definedName name="PrefPrice1" localSheetId="37">#REF!</definedName>
    <definedName name="PrefPrice1" localSheetId="17">#REF!</definedName>
    <definedName name="PrefPrice1" localSheetId="26">#REF!</definedName>
    <definedName name="PrefPrice1" localSheetId="27">#REF!</definedName>
    <definedName name="PrefPrice1" localSheetId="30">#REF!</definedName>
    <definedName name="PrefPrice1" localSheetId="31">#REF!</definedName>
    <definedName name="PrefPrice1" localSheetId="33">#REF!</definedName>
    <definedName name="PrefPrice1">#REF!</definedName>
    <definedName name="PrefPrice2" localSheetId="37">#REF!</definedName>
    <definedName name="PrefPrice2" localSheetId="17">#REF!</definedName>
    <definedName name="PrefPrice2" localSheetId="26">#REF!</definedName>
    <definedName name="PrefPrice2" localSheetId="27">#REF!</definedName>
    <definedName name="PrefPrice2" localSheetId="30">#REF!</definedName>
    <definedName name="PrefPrice2" localSheetId="31">#REF!</definedName>
    <definedName name="PrefPrice2" localSheetId="33">#REF!</definedName>
    <definedName name="PrefPrice2">#REF!</definedName>
    <definedName name="PrefShares1" localSheetId="37">#REF!</definedName>
    <definedName name="PrefShares1" localSheetId="17">#REF!</definedName>
    <definedName name="PrefShares1" localSheetId="26">#REF!</definedName>
    <definedName name="PrefShares1" localSheetId="27">#REF!</definedName>
    <definedName name="PrefShares1" localSheetId="30">#REF!</definedName>
    <definedName name="PrefShares1" localSheetId="31">#REF!</definedName>
    <definedName name="PrefShares1" localSheetId="33">#REF!</definedName>
    <definedName name="PrefShares1">#REF!</definedName>
    <definedName name="PrefShares2" localSheetId="37">#REF!</definedName>
    <definedName name="PrefShares2" localSheetId="17">#REF!</definedName>
    <definedName name="PrefShares2" localSheetId="26">#REF!</definedName>
    <definedName name="PrefShares2" localSheetId="27">#REF!</definedName>
    <definedName name="PrefShares2" localSheetId="30">#REF!</definedName>
    <definedName name="PrefShares2" localSheetId="31">#REF!</definedName>
    <definedName name="PrefShares2" localSheetId="33">#REF!</definedName>
    <definedName name="PrefShares2">#REF!</definedName>
    <definedName name="Premissa_01" localSheetId="37">#REF!</definedName>
    <definedName name="Premissa_01" localSheetId="17">#REF!</definedName>
    <definedName name="Premissa_01" localSheetId="26">#REF!</definedName>
    <definedName name="Premissa_01" localSheetId="27">#REF!</definedName>
    <definedName name="Premissa_01" localSheetId="30">#REF!</definedName>
    <definedName name="Premissa_01" localSheetId="31">#REF!</definedName>
    <definedName name="Premissa_01" localSheetId="33">#REF!</definedName>
    <definedName name="Premissa_01">#REF!</definedName>
    <definedName name="Premissa_02" localSheetId="37">#REF!</definedName>
    <definedName name="Premissa_02" localSheetId="17">#REF!</definedName>
    <definedName name="Premissa_02" localSheetId="26">#REF!</definedName>
    <definedName name="Premissa_02" localSheetId="27">#REF!</definedName>
    <definedName name="Premissa_02" localSheetId="30">#REF!</definedName>
    <definedName name="Premissa_02" localSheetId="31">#REF!</definedName>
    <definedName name="Premissa_02" localSheetId="33">#REF!</definedName>
    <definedName name="Premissa_02">#REF!</definedName>
    <definedName name="Premissa_03" localSheetId="37">#REF!</definedName>
    <definedName name="Premissa_03" localSheetId="17">#REF!</definedName>
    <definedName name="Premissa_03" localSheetId="26">#REF!</definedName>
    <definedName name="Premissa_03" localSheetId="27">#REF!</definedName>
    <definedName name="Premissa_03" localSheetId="30">#REF!</definedName>
    <definedName name="Premissa_03" localSheetId="31">#REF!</definedName>
    <definedName name="Premissa_03" localSheetId="33">#REF!</definedName>
    <definedName name="Premissa_03">#REF!</definedName>
    <definedName name="Premissa_04" localSheetId="37">#REF!</definedName>
    <definedName name="Premissa_04" localSheetId="17">#REF!</definedName>
    <definedName name="Premissa_04" localSheetId="26">#REF!</definedName>
    <definedName name="Premissa_04" localSheetId="27">#REF!</definedName>
    <definedName name="Premissa_04" localSheetId="30">#REF!</definedName>
    <definedName name="Premissa_04" localSheetId="31">#REF!</definedName>
    <definedName name="Premissa_04" localSheetId="33">#REF!</definedName>
    <definedName name="Premissa_04">#REF!</definedName>
    <definedName name="Premissa_05" localSheetId="37">#REF!</definedName>
    <definedName name="Premissa_05" localSheetId="17">#REF!</definedName>
    <definedName name="Premissa_05" localSheetId="26">#REF!</definedName>
    <definedName name="Premissa_05" localSheetId="27">#REF!</definedName>
    <definedName name="Premissa_05" localSheetId="30">#REF!</definedName>
    <definedName name="Premissa_05" localSheetId="31">#REF!</definedName>
    <definedName name="Premissa_05" localSheetId="33">#REF!</definedName>
    <definedName name="Premissa_05">#REF!</definedName>
    <definedName name="Premissa_06" localSheetId="37">#REF!</definedName>
    <definedName name="Premissa_06" localSheetId="17">#REF!</definedName>
    <definedName name="Premissa_06" localSheetId="26">#REF!</definedName>
    <definedName name="Premissa_06" localSheetId="27">#REF!</definedName>
    <definedName name="Premissa_06" localSheetId="30">#REF!</definedName>
    <definedName name="Premissa_06" localSheetId="31">#REF!</definedName>
    <definedName name="Premissa_06" localSheetId="33">#REF!</definedName>
    <definedName name="Premissa_06">#REF!</definedName>
    <definedName name="Premissa_07" localSheetId="37">#REF!</definedName>
    <definedName name="Premissa_07" localSheetId="17">#REF!</definedName>
    <definedName name="Premissa_07" localSheetId="26">#REF!</definedName>
    <definedName name="Premissa_07" localSheetId="27">#REF!</definedName>
    <definedName name="Premissa_07" localSheetId="30">#REF!</definedName>
    <definedName name="Premissa_07" localSheetId="31">#REF!</definedName>
    <definedName name="Premissa_07" localSheetId="33">#REF!</definedName>
    <definedName name="Premissa_07">#REF!</definedName>
    <definedName name="Premissa_08" localSheetId="37">#REF!</definedName>
    <definedName name="Premissa_08" localSheetId="17">#REF!</definedName>
    <definedName name="Premissa_08" localSheetId="26">#REF!</definedName>
    <definedName name="Premissa_08" localSheetId="27">#REF!</definedName>
    <definedName name="Premissa_08" localSheetId="30">#REF!</definedName>
    <definedName name="Premissa_08" localSheetId="31">#REF!</definedName>
    <definedName name="Premissa_08" localSheetId="33">#REF!</definedName>
    <definedName name="Premissa_08">#REF!</definedName>
    <definedName name="Premissa_09" localSheetId="37">#REF!</definedName>
    <definedName name="Premissa_09" localSheetId="17">#REF!</definedName>
    <definedName name="Premissa_09" localSheetId="26">#REF!</definedName>
    <definedName name="Premissa_09" localSheetId="27">#REF!</definedName>
    <definedName name="Premissa_09" localSheetId="30">#REF!</definedName>
    <definedName name="Premissa_09" localSheetId="31">#REF!</definedName>
    <definedName name="Premissa_09" localSheetId="33">#REF!</definedName>
    <definedName name="Premissa_09">#REF!</definedName>
    <definedName name="Premissa_10" localSheetId="37">#REF!</definedName>
    <definedName name="Premissa_10" localSheetId="17">#REF!</definedName>
    <definedName name="Premissa_10" localSheetId="26">#REF!</definedName>
    <definedName name="Premissa_10" localSheetId="27">#REF!</definedName>
    <definedName name="Premissa_10" localSheetId="30">#REF!</definedName>
    <definedName name="Premissa_10" localSheetId="31">#REF!</definedName>
    <definedName name="Premissa_10" localSheetId="33">#REF!</definedName>
    <definedName name="Premissa_10">#REF!</definedName>
    <definedName name="Premissa_11" localSheetId="37">#REF!</definedName>
    <definedName name="Premissa_11" localSheetId="17">#REF!</definedName>
    <definedName name="Premissa_11" localSheetId="26">#REF!</definedName>
    <definedName name="Premissa_11" localSheetId="27">#REF!</definedName>
    <definedName name="Premissa_11" localSheetId="30">#REF!</definedName>
    <definedName name="Premissa_11" localSheetId="31">#REF!</definedName>
    <definedName name="Premissa_11" localSheetId="33">#REF!</definedName>
    <definedName name="Premissa_11">#REF!</definedName>
    <definedName name="Premissa_13" localSheetId="37">#REF!</definedName>
    <definedName name="Premissa_13" localSheetId="17">#REF!</definedName>
    <definedName name="Premissa_13" localSheetId="26">#REF!</definedName>
    <definedName name="Premissa_13" localSheetId="27">#REF!</definedName>
    <definedName name="Premissa_13" localSheetId="30">#REF!</definedName>
    <definedName name="Premissa_13" localSheetId="31">#REF!</definedName>
    <definedName name="Premissa_13" localSheetId="33">#REF!</definedName>
    <definedName name="Premissa_13">#REF!</definedName>
    <definedName name="Premissa_14" localSheetId="37">#REF!</definedName>
    <definedName name="Premissa_14" localSheetId="17">#REF!</definedName>
    <definedName name="Premissa_14" localSheetId="26">#REF!</definedName>
    <definedName name="Premissa_14" localSheetId="27">#REF!</definedName>
    <definedName name="Premissa_14" localSheetId="30">#REF!</definedName>
    <definedName name="Premissa_14" localSheetId="31">#REF!</definedName>
    <definedName name="Premissa_14" localSheetId="33">#REF!</definedName>
    <definedName name="Premissa_14">#REF!</definedName>
    <definedName name="Premissa_15" localSheetId="37">#REF!</definedName>
    <definedName name="Premissa_15" localSheetId="17">#REF!</definedName>
    <definedName name="Premissa_15" localSheetId="26">#REF!</definedName>
    <definedName name="Premissa_15" localSheetId="27">#REF!</definedName>
    <definedName name="Premissa_15" localSheetId="30">#REF!</definedName>
    <definedName name="Premissa_15" localSheetId="31">#REF!</definedName>
    <definedName name="Premissa_15" localSheetId="33">#REF!</definedName>
    <definedName name="Premissa_15">#REF!</definedName>
    <definedName name="Premissa_16" localSheetId="37">#REF!</definedName>
    <definedName name="Premissa_16" localSheetId="17">#REF!</definedName>
    <definedName name="Premissa_16" localSheetId="26">#REF!</definedName>
    <definedName name="Premissa_16" localSheetId="27">#REF!</definedName>
    <definedName name="Premissa_16" localSheetId="30">#REF!</definedName>
    <definedName name="Premissa_16" localSheetId="31">#REF!</definedName>
    <definedName name="Premissa_16" localSheetId="33">#REF!</definedName>
    <definedName name="Premissa_16">#REF!</definedName>
    <definedName name="Premissa_17" localSheetId="37">#REF!</definedName>
    <definedName name="Premissa_17" localSheetId="17">#REF!</definedName>
    <definedName name="Premissa_17" localSheetId="26">#REF!</definedName>
    <definedName name="Premissa_17" localSheetId="27">#REF!</definedName>
    <definedName name="Premissa_17" localSheetId="30">#REF!</definedName>
    <definedName name="Premissa_17" localSheetId="31">#REF!</definedName>
    <definedName name="Premissa_17" localSheetId="33">#REF!</definedName>
    <definedName name="Premissa_17">#REF!</definedName>
    <definedName name="Premissa_18" localSheetId="37">#REF!</definedName>
    <definedName name="Premissa_18" localSheetId="17">#REF!</definedName>
    <definedName name="Premissa_18" localSheetId="26">#REF!</definedName>
    <definedName name="Premissa_18" localSheetId="27">#REF!</definedName>
    <definedName name="Premissa_18" localSheetId="30">#REF!</definedName>
    <definedName name="Premissa_18" localSheetId="31">#REF!</definedName>
    <definedName name="Premissa_18" localSheetId="33">#REF!</definedName>
    <definedName name="Premissa_18">#REF!</definedName>
    <definedName name="Premissas" localSheetId="2" hidden="1">{"summary1",#N/A,TRUE,"Comps";"summary2",#N/A,TRUE,"Comps";"summary3",#N/A,TRUE,"Comps"}</definedName>
    <definedName name="Premissas" localSheetId="4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taxInc" localSheetId="37">#REF!</definedName>
    <definedName name="PretaxInc" localSheetId="17">#REF!</definedName>
    <definedName name="PretaxInc" localSheetId="26">#REF!</definedName>
    <definedName name="PretaxInc" localSheetId="27">#REF!</definedName>
    <definedName name="PretaxInc" localSheetId="30">#REF!</definedName>
    <definedName name="PretaxInc" localSheetId="31">#REF!</definedName>
    <definedName name="PretaxInc" localSheetId="33">#REF!</definedName>
    <definedName name="PretaxInc">#REF!</definedName>
    <definedName name="PretaxIncMargin" localSheetId="37">#REF!</definedName>
    <definedName name="PretaxIncMargin" localSheetId="17">#REF!</definedName>
    <definedName name="PretaxIncMargin" localSheetId="26">#REF!</definedName>
    <definedName name="PretaxIncMargin" localSheetId="27">#REF!</definedName>
    <definedName name="PretaxIncMargin" localSheetId="30">#REF!</definedName>
    <definedName name="PretaxIncMargin" localSheetId="31">#REF!</definedName>
    <definedName name="PretaxIncMargin" localSheetId="33">#REF!</definedName>
    <definedName name="PretaxIncMargin">#REF!</definedName>
    <definedName name="PretaxItems1" localSheetId="37">#REF!</definedName>
    <definedName name="PretaxItems1" localSheetId="17">#REF!</definedName>
    <definedName name="PretaxItems1" localSheetId="26">#REF!</definedName>
    <definedName name="PretaxItems1" localSheetId="27">#REF!</definedName>
    <definedName name="PretaxItems1" localSheetId="30">#REF!</definedName>
    <definedName name="PretaxItems1" localSheetId="31">#REF!</definedName>
    <definedName name="PretaxItems1" localSheetId="33">#REF!</definedName>
    <definedName name="PretaxItems1">#REF!</definedName>
    <definedName name="PretaxItems2" localSheetId="37">#REF!</definedName>
    <definedName name="PretaxItems2" localSheetId="17">#REF!</definedName>
    <definedName name="PretaxItems2" localSheetId="26">#REF!</definedName>
    <definedName name="PretaxItems2" localSheetId="27">#REF!</definedName>
    <definedName name="PretaxItems2" localSheetId="30">#REF!</definedName>
    <definedName name="PretaxItems2" localSheetId="31">#REF!</definedName>
    <definedName name="PretaxItems2" localSheetId="33">#REF!</definedName>
    <definedName name="PretaxItems2">#REF!</definedName>
    <definedName name="PretaxItems3" localSheetId="37">#REF!</definedName>
    <definedName name="PretaxItems3" localSheetId="17">#REF!</definedName>
    <definedName name="PretaxItems3" localSheetId="26">#REF!</definedName>
    <definedName name="PretaxItems3" localSheetId="27">#REF!</definedName>
    <definedName name="PretaxItems3" localSheetId="30">#REF!</definedName>
    <definedName name="PretaxItems3" localSheetId="31">#REF!</definedName>
    <definedName name="PretaxItems3" localSheetId="33">#REF!</definedName>
    <definedName name="PretaxItems3">#REF!</definedName>
    <definedName name="PretaxItems4" localSheetId="37">#REF!</definedName>
    <definedName name="PretaxItems4" localSheetId="17">#REF!</definedName>
    <definedName name="PretaxItems4" localSheetId="26">#REF!</definedName>
    <definedName name="PretaxItems4" localSheetId="27">#REF!</definedName>
    <definedName name="PretaxItems4" localSheetId="30">#REF!</definedName>
    <definedName name="PretaxItems4" localSheetId="31">#REF!</definedName>
    <definedName name="PretaxItems4" localSheetId="33">#REF!</definedName>
    <definedName name="PretaxItems4">#REF!</definedName>
    <definedName name="PRICE" localSheetId="37">#REF!</definedName>
    <definedName name="PRICE" localSheetId="17">#REF!</definedName>
    <definedName name="PRICE" localSheetId="26">#REF!</definedName>
    <definedName name="PRICE" localSheetId="27">#REF!</definedName>
    <definedName name="PRICE" localSheetId="30">#REF!</definedName>
    <definedName name="PRICE" localSheetId="31">#REF!</definedName>
    <definedName name="PRICE" localSheetId="33">#REF!</definedName>
    <definedName name="PRICE">#REF!</definedName>
    <definedName name="price_calculated" localSheetId="37">#REF!</definedName>
    <definedName name="price_calculated" localSheetId="17">#REF!</definedName>
    <definedName name="price_calculated" localSheetId="26">#REF!</definedName>
    <definedName name="price_calculated" localSheetId="27">#REF!</definedName>
    <definedName name="price_calculated" localSheetId="30">#REF!</definedName>
    <definedName name="price_calculated" localSheetId="31">#REF!</definedName>
    <definedName name="price_calculated" localSheetId="33">#REF!</definedName>
    <definedName name="price_calculated">#REF!</definedName>
    <definedName name="price_estimated" localSheetId="37">#REF!</definedName>
    <definedName name="price_estimated" localSheetId="17">#REF!</definedName>
    <definedName name="price_estimated" localSheetId="26">#REF!</definedName>
    <definedName name="price_estimated" localSheetId="27">#REF!</definedName>
    <definedName name="price_estimated" localSheetId="30">#REF!</definedName>
    <definedName name="price_estimated" localSheetId="31">#REF!</definedName>
    <definedName name="price_estimated" localSheetId="33">#REF!</definedName>
    <definedName name="price_estimated">#REF!</definedName>
    <definedName name="PriceDate" localSheetId="37">#REF!</definedName>
    <definedName name="PriceDate" localSheetId="17">#REF!</definedName>
    <definedName name="PriceDate" localSheetId="26">#REF!</definedName>
    <definedName name="PriceDate" localSheetId="27">#REF!</definedName>
    <definedName name="PriceDate" localSheetId="30">#REF!</definedName>
    <definedName name="PriceDate" localSheetId="31">#REF!</definedName>
    <definedName name="PriceDate" localSheetId="33">#REF!</definedName>
    <definedName name="PriceDate">#REF!</definedName>
    <definedName name="Prices" localSheetId="37">#REF!</definedName>
    <definedName name="Prices" localSheetId="17">#REF!</definedName>
    <definedName name="Prices" localSheetId="26">#REF!</definedName>
    <definedName name="Prices" localSheetId="27">#REF!</definedName>
    <definedName name="Prices" localSheetId="30">#REF!</definedName>
    <definedName name="Prices" localSheetId="31">#REF!</definedName>
    <definedName name="Prices" localSheetId="33">#REF!</definedName>
    <definedName name="Prices">#REF!</definedName>
    <definedName name="PRICING" localSheetId="37">#REF!</definedName>
    <definedName name="PRICING" localSheetId="17">#REF!</definedName>
    <definedName name="PRICING" localSheetId="26">#REF!</definedName>
    <definedName name="PRICING" localSheetId="27">#REF!</definedName>
    <definedName name="PRICING" localSheetId="30">#REF!</definedName>
    <definedName name="PRICING" localSheetId="31">#REF!</definedName>
    <definedName name="PRICING" localSheetId="33">#REF!</definedName>
    <definedName name="PRICING">#REF!</definedName>
    <definedName name="PrimeiroMes">[98]TS!$E$11</definedName>
    <definedName name="PRINT">#N/A</definedName>
    <definedName name="Print_Area_MI" localSheetId="37">#REF!</definedName>
    <definedName name="Print_Area_MI" localSheetId="25">#REF!</definedName>
    <definedName name="Print_Area_MI" localSheetId="17">#REF!</definedName>
    <definedName name="Print_Area_MI" localSheetId="16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30">#REF!</definedName>
    <definedName name="Print_Area_MI" localSheetId="31">#REF!</definedName>
    <definedName name="Print_Area_MI" localSheetId="33">#REF!</definedName>
    <definedName name="Print_Area_MI" localSheetId="11">#REF!</definedName>
    <definedName name="Print_Area_MI">#REF!</definedName>
    <definedName name="Print1" localSheetId="37">#REF!</definedName>
    <definedName name="Print1" localSheetId="17">#REF!</definedName>
    <definedName name="Print1" localSheetId="26">#REF!</definedName>
    <definedName name="Print1" localSheetId="27">#REF!</definedName>
    <definedName name="Print1" localSheetId="30">#REF!</definedName>
    <definedName name="Print1" localSheetId="31">#REF!</definedName>
    <definedName name="Print1" localSheetId="33">#REF!</definedName>
    <definedName name="Print1">#REF!</definedName>
    <definedName name="Print1Start" localSheetId="37">#REF!</definedName>
    <definedName name="Print1Start" localSheetId="17">#REF!</definedName>
    <definedName name="Print1Start" localSheetId="26">#REF!</definedName>
    <definedName name="Print1Start" localSheetId="27">#REF!</definedName>
    <definedName name="Print1Start" localSheetId="30">#REF!</definedName>
    <definedName name="Print1Start" localSheetId="31">#REF!</definedName>
    <definedName name="Print1Start" localSheetId="33">#REF!</definedName>
    <definedName name="Print1Start">#REF!</definedName>
    <definedName name="Print1Stop" localSheetId="37">#REF!</definedName>
    <definedName name="Print1Stop" localSheetId="17">#REF!</definedName>
    <definedName name="Print1Stop" localSheetId="26">#REF!</definedName>
    <definedName name="Print1Stop" localSheetId="27">#REF!</definedName>
    <definedName name="Print1Stop" localSheetId="30">#REF!</definedName>
    <definedName name="Print1Stop" localSheetId="31">#REF!</definedName>
    <definedName name="Print1Stop" localSheetId="33">#REF!</definedName>
    <definedName name="Print1Stop">#REF!</definedName>
    <definedName name="print2">[44]Data!$U$4:$AH$33,[44]Data!$U$96:$AH$129</definedName>
    <definedName name="Print2Start" localSheetId="37">#REF!</definedName>
    <definedName name="Print2Start" localSheetId="17">#REF!</definedName>
    <definedName name="Print2Start" localSheetId="26">#REF!</definedName>
    <definedName name="Print2Start" localSheetId="27">#REF!</definedName>
    <definedName name="Print2Start" localSheetId="30">#REF!</definedName>
    <definedName name="Print2Start" localSheetId="31">#REF!</definedName>
    <definedName name="Print2Start" localSheetId="33">#REF!</definedName>
    <definedName name="Print2Start">#REF!</definedName>
    <definedName name="Print2Stop" localSheetId="37">#REF!</definedName>
    <definedName name="Print2Stop" localSheetId="17">#REF!</definedName>
    <definedName name="Print2Stop" localSheetId="26">#REF!</definedName>
    <definedName name="Print2Stop" localSheetId="27">#REF!</definedName>
    <definedName name="Print2Stop" localSheetId="30">#REF!</definedName>
    <definedName name="Print2Stop" localSheetId="31">#REF!</definedName>
    <definedName name="Print2Stop" localSheetId="33">#REF!</definedName>
    <definedName name="Print2Stop">#REF!</definedName>
    <definedName name="Print3Start" localSheetId="37">#REF!</definedName>
    <definedName name="Print3Start" localSheetId="17">#REF!</definedName>
    <definedName name="Print3Start" localSheetId="26">#REF!</definedName>
    <definedName name="Print3Start" localSheetId="27">#REF!</definedName>
    <definedName name="Print3Start" localSheetId="30">#REF!</definedName>
    <definedName name="Print3Start" localSheetId="31">#REF!</definedName>
    <definedName name="Print3Start" localSheetId="33">#REF!</definedName>
    <definedName name="Print3Start">#REF!</definedName>
    <definedName name="Print3Stop" localSheetId="37">#REF!</definedName>
    <definedName name="Print3Stop" localSheetId="17">#REF!</definedName>
    <definedName name="Print3Stop" localSheetId="26">#REF!</definedName>
    <definedName name="Print3Stop" localSheetId="27">#REF!</definedName>
    <definedName name="Print3Stop" localSheetId="30">#REF!</definedName>
    <definedName name="Print3Stop" localSheetId="31">#REF!</definedName>
    <definedName name="Print3Stop" localSheetId="33">#REF!</definedName>
    <definedName name="Print3Stop">#REF!</definedName>
    <definedName name="PrintArea2" localSheetId="37">#REF!</definedName>
    <definedName name="PrintArea2" localSheetId="17">#REF!</definedName>
    <definedName name="PrintArea2" localSheetId="26">#REF!</definedName>
    <definedName name="PrintArea2" localSheetId="27">#REF!</definedName>
    <definedName name="PrintArea2" localSheetId="30">#REF!</definedName>
    <definedName name="PrintArea2" localSheetId="31">#REF!</definedName>
    <definedName name="PrintArea2" localSheetId="33">#REF!</definedName>
    <definedName name="PrintArea2">#REF!</definedName>
    <definedName name="printb">[44]Data!$U$4:$AH$33,[44]Data!$U$94:$AH$129</definedName>
    <definedName name="PrintCase" localSheetId="2">#N/A</definedName>
    <definedName name="PrintCase" localSheetId="4">#N/A</definedName>
    <definedName name="PrintCase" localSheetId="41">'Preços Unitários'!PrintCase</definedName>
    <definedName name="PrintCase" localSheetId="23">'Recursos Humanos 1'!PrintCase</definedName>
    <definedName name="PrintCase" localSheetId="38">'Veículos e Equipamentos'!PrintCase</definedName>
    <definedName name="PrintCase">'Preços Unitários'!PrintCase</definedName>
    <definedName name="PROD_1" localSheetId="2" hidden="1">{#N/A,#N/A,TRUE,"Serviços"}</definedName>
    <definedName name="PROD_1" localSheetId="4" hidden="1">{#N/A,#N/A,TRUE,"Serviços"}</definedName>
    <definedName name="PROD_1" hidden="1">{#N/A,#N/A,TRUE,"Serviços"}</definedName>
    <definedName name="Programada_1">#REF!</definedName>
    <definedName name="Programada_1_SP_T">#REF!</definedName>
    <definedName name="Programada_2">#REF!</definedName>
    <definedName name="Programada_2_SP_t">#REF!</definedName>
    <definedName name="Project" localSheetId="37">#REF!</definedName>
    <definedName name="Project" localSheetId="17">#REF!</definedName>
    <definedName name="Project" localSheetId="26">#REF!</definedName>
    <definedName name="Project" localSheetId="27">#REF!</definedName>
    <definedName name="Project" localSheetId="30">#REF!</definedName>
    <definedName name="Project" localSheetId="31">#REF!</definedName>
    <definedName name="Project" localSheetId="33">#REF!</definedName>
    <definedName name="Project">#REF!</definedName>
    <definedName name="PROJECTNAME">[99]CONTROL!$D$4</definedName>
    <definedName name="Projeto" localSheetId="2">#REF!</definedName>
    <definedName name="Projeto" localSheetId="4">#REF!</definedName>
    <definedName name="Projeto" localSheetId="23">#REF!</definedName>
    <definedName name="Projeto" localSheetId="38">#REF!</definedName>
    <definedName name="Projeto">#REF!</definedName>
    <definedName name="Promote_Fee_New" localSheetId="2">[54]Assm!#REF!</definedName>
    <definedName name="Promote_Fee_New" localSheetId="37">[54]Assm!#REF!</definedName>
    <definedName name="Promote_Fee_New" localSheetId="17">[54]Assm!#REF!</definedName>
    <definedName name="Promote_Fee_New" localSheetId="4">[54]Assm!#REF!</definedName>
    <definedName name="Promote_Fee_New" localSheetId="26">[54]Assm!#REF!</definedName>
    <definedName name="Promote_Fee_New" localSheetId="27">[54]Assm!#REF!</definedName>
    <definedName name="Promote_Fee_New" localSheetId="30">[54]Assm!#REF!</definedName>
    <definedName name="Promote_Fee_New" localSheetId="31">[54]Assm!#REF!</definedName>
    <definedName name="Promote_Fee_New" localSheetId="33">[54]Assm!#REF!</definedName>
    <definedName name="Promote_Fee_New">[54]Assm!#REF!</definedName>
    <definedName name="Promote_Fee_Orig" localSheetId="2">[54]Assm!#REF!</definedName>
    <definedName name="Promote_Fee_Orig" localSheetId="37">[54]Assm!#REF!</definedName>
    <definedName name="Promote_Fee_Orig" localSheetId="17">[54]Assm!#REF!</definedName>
    <definedName name="Promote_Fee_Orig" localSheetId="4">[54]Assm!#REF!</definedName>
    <definedName name="Promote_Fee_Orig" localSheetId="26">[54]Assm!#REF!</definedName>
    <definedName name="Promote_Fee_Orig" localSheetId="27">[54]Assm!#REF!</definedName>
    <definedName name="Promote_Fee_Orig" localSheetId="30">[54]Assm!#REF!</definedName>
    <definedName name="Promote_Fee_Orig" localSheetId="31">[54]Assm!#REF!</definedName>
    <definedName name="Promote_Fee_Orig" localSheetId="33">[54]Assm!#REF!</definedName>
    <definedName name="Promote_Fee_Orig">[54]Assm!#REF!</definedName>
    <definedName name="Promote_Rate_New" localSheetId="2">[54]Assm!#REF!</definedName>
    <definedName name="Promote_Rate_New" localSheetId="37">[54]Assm!#REF!</definedName>
    <definedName name="Promote_Rate_New" localSheetId="17">[54]Assm!#REF!</definedName>
    <definedName name="Promote_Rate_New" localSheetId="4">[54]Assm!#REF!</definedName>
    <definedName name="Promote_Rate_New" localSheetId="26">[54]Assm!#REF!</definedName>
    <definedName name="Promote_Rate_New" localSheetId="27">[54]Assm!#REF!</definedName>
    <definedName name="Promote_Rate_New" localSheetId="30">[54]Assm!#REF!</definedName>
    <definedName name="Promote_Rate_New" localSheetId="31">[54]Assm!#REF!</definedName>
    <definedName name="Promote_Rate_New" localSheetId="33">[54]Assm!#REF!</definedName>
    <definedName name="Promote_Rate_New">[54]Assm!#REF!</definedName>
    <definedName name="Promote_Rate_Orig" localSheetId="2">[54]Assm!#REF!</definedName>
    <definedName name="Promote_Rate_Orig" localSheetId="37">[54]Assm!#REF!</definedName>
    <definedName name="Promote_Rate_Orig" localSheetId="17">[54]Assm!#REF!</definedName>
    <definedName name="Promote_Rate_Orig" localSheetId="4">[54]Assm!#REF!</definedName>
    <definedName name="Promote_Rate_Orig" localSheetId="26">[54]Assm!#REF!</definedName>
    <definedName name="Promote_Rate_Orig" localSheetId="27">[54]Assm!#REF!</definedName>
    <definedName name="Promote_Rate_Orig" localSheetId="30">[54]Assm!#REF!</definedName>
    <definedName name="Promote_Rate_Orig" localSheetId="31">[54]Assm!#REF!</definedName>
    <definedName name="Promote_Rate_Orig" localSheetId="33">[54]Assm!#REF!</definedName>
    <definedName name="Promote_Rate_Orig">[54]Assm!#REF!</definedName>
    <definedName name="Promote_Return_Orig" localSheetId="2">[54]Assm!#REF!</definedName>
    <definedName name="Promote_Return_Orig" localSheetId="37">[54]Assm!#REF!</definedName>
    <definedName name="Promote_Return_Orig" localSheetId="17">[54]Assm!#REF!</definedName>
    <definedName name="Promote_Return_Orig" localSheetId="4">[54]Assm!#REF!</definedName>
    <definedName name="Promote_Return_Orig" localSheetId="26">[54]Assm!#REF!</definedName>
    <definedName name="Promote_Return_Orig" localSheetId="27">[54]Assm!#REF!</definedName>
    <definedName name="Promote_Return_Orig" localSheetId="30">[54]Assm!#REF!</definedName>
    <definedName name="Promote_Return_Orig" localSheetId="31">[54]Assm!#REF!</definedName>
    <definedName name="Promote_Return_Orig" localSheetId="33">[54]Assm!#REF!</definedName>
    <definedName name="Promote_Return_Orig">[54]Assm!#REF!</definedName>
    <definedName name="Proposta" localSheetId="4">#REF!</definedName>
    <definedName name="Proposta">#REF!</definedName>
    <definedName name="Proposta_Técnica_SP_T" localSheetId="4">#REF!</definedName>
    <definedName name="Proposta_Técnica_SP_T">#REF!</definedName>
    <definedName name="PT" localSheetId="37">#REF!</definedName>
    <definedName name="PT" localSheetId="17">#REF!</definedName>
    <definedName name="PT" localSheetId="26">#REF!</definedName>
    <definedName name="PT" localSheetId="27">#REF!</definedName>
    <definedName name="PT" localSheetId="30">#REF!</definedName>
    <definedName name="PT" localSheetId="31">#REF!</definedName>
    <definedName name="PT" localSheetId="33">#REF!</definedName>
    <definedName name="PT">#REF!</definedName>
    <definedName name="PTBV" localSheetId="37">#REF!</definedName>
    <definedName name="PTBV" localSheetId="17">#REF!</definedName>
    <definedName name="PTBV" localSheetId="26">#REF!</definedName>
    <definedName name="PTBV" localSheetId="27">#REF!</definedName>
    <definedName name="PTBV" localSheetId="30">#REF!</definedName>
    <definedName name="PTBV" localSheetId="31">#REF!</definedName>
    <definedName name="PTBV" localSheetId="33">#REF!</definedName>
    <definedName name="PTBV">#REF!</definedName>
    <definedName name="PTC" localSheetId="37">#REF!</definedName>
    <definedName name="PTC" localSheetId="17">#REF!</definedName>
    <definedName name="PTC" localSheetId="26">#REF!</definedName>
    <definedName name="PTC" localSheetId="27">#REF!</definedName>
    <definedName name="PTC" localSheetId="30">#REF!</definedName>
    <definedName name="PTC" localSheetId="31">#REF!</definedName>
    <definedName name="PTC" localSheetId="33">#REF!</definedName>
    <definedName name="PTC">#REF!</definedName>
    <definedName name="ptotal">#REF!</definedName>
    <definedName name="PU_C" localSheetId="37">#REF!</definedName>
    <definedName name="PU_C" localSheetId="17">#REF!</definedName>
    <definedName name="PU_C" localSheetId="26">#REF!</definedName>
    <definedName name="PU_C" localSheetId="27">#REF!</definedName>
    <definedName name="PU_C" localSheetId="30">#REF!</definedName>
    <definedName name="PU_C" localSheetId="31">#REF!</definedName>
    <definedName name="PU_C" localSheetId="33">#REF!</definedName>
    <definedName name="PU_C">#REF!</definedName>
    <definedName name="PU_I" localSheetId="37">#REF!</definedName>
    <definedName name="PU_I" localSheetId="17">#REF!</definedName>
    <definedName name="PU_I" localSheetId="26">#REF!</definedName>
    <definedName name="PU_I" localSheetId="27">#REF!</definedName>
    <definedName name="PU_I" localSheetId="30">#REF!</definedName>
    <definedName name="PU_I" localSheetId="31">#REF!</definedName>
    <definedName name="PU_I" localSheetId="33">#REF!</definedName>
    <definedName name="PU_I">#REF!</definedName>
    <definedName name="PUB_FileID" hidden="1">"L10003649.xls"</definedName>
    <definedName name="PUB_UserID" hidden="1">"MAYERX"</definedName>
    <definedName name="Purchase">1</definedName>
    <definedName name="PVOther" localSheetId="37">#REF!</definedName>
    <definedName name="PVOther" localSheetId="17">#REF!</definedName>
    <definedName name="PVOther" localSheetId="26">#REF!</definedName>
    <definedName name="PVOther" localSheetId="27">#REF!</definedName>
    <definedName name="PVOther" localSheetId="30">#REF!</definedName>
    <definedName name="PVOther" localSheetId="31">#REF!</definedName>
    <definedName name="PVOther" localSheetId="33">#REF!</definedName>
    <definedName name="PVOther">#REF!</definedName>
    <definedName name="q" localSheetId="2">#REF!</definedName>
    <definedName name="q" localSheetId="37">#REF!</definedName>
    <definedName name="q" localSheetId="17">#REF!</definedName>
    <definedName name="q" localSheetId="4">#REF!</definedName>
    <definedName name="q" localSheetId="26">#REF!</definedName>
    <definedName name="q" localSheetId="27">#REF!</definedName>
    <definedName name="q" localSheetId="30">#REF!</definedName>
    <definedName name="q" localSheetId="31">#REF!</definedName>
    <definedName name="q" localSheetId="33">#REF!</definedName>
    <definedName name="q">#REF!</definedName>
    <definedName name="QD" localSheetId="2">#REF!</definedName>
    <definedName name="QD" localSheetId="4">#REF!</definedName>
    <definedName name="QD">#REF!</definedName>
    <definedName name="qq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2" hidden="1">{#N/A,#N/A,FALSE,"cpt"}</definedName>
    <definedName name="qqq" localSheetId="4" hidden="1">{#N/A,#N/A,FALSE,"cpt"}</definedName>
    <definedName name="qqq" localSheetId="41" hidden="1">{#N/A,#N/A,FALSE,"cpt"}</definedName>
    <definedName name="qqq" localSheetId="23" hidden="1">{#N/A,#N/A,FALSE,"cpt"}</definedName>
    <definedName name="qqq" localSheetId="38" hidden="1">{#N/A,#N/A,FALSE,"cpt"}</definedName>
    <definedName name="qqq" hidden="1">{#N/A,#N/A,FALSE,"cpt"}</definedName>
    <definedName name="qqqq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4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2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3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4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2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3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RWERQ" localSheetId="2" hidden="1">{#N/A,#N/A,FALSE,"Planilha";#N/A,#N/A,FALSE,"Resumo";#N/A,#N/A,FALSE,"Fisico";#N/A,#N/A,FALSE,"Financeiro";#N/A,#N/A,FALSE,"Financeiro"}</definedName>
    <definedName name="QRWERQ" localSheetId="4" hidden="1">{#N/A,#N/A,FALSE,"Planilha";#N/A,#N/A,FALSE,"Resumo";#N/A,#N/A,FALSE,"Fisico";#N/A,#N/A,FALSE,"Financeiro";#N/A,#N/A,FALSE,"Financeiro"}</definedName>
    <definedName name="QRWERQ" hidden="1">{#N/A,#N/A,FALSE,"Planilha";#N/A,#N/A,FALSE,"Resumo";#N/A,#N/A,FALSE,"Fisico";#N/A,#N/A,FALSE,"Financeiro";#N/A,#N/A,FALSE,"Financeiro"}</definedName>
    <definedName name="qsfd" localSheetId="2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" localSheetId="2">#REF!</definedName>
    <definedName name="QTD">#REF!</definedName>
    <definedName name="quadro_dois_lápis">#REF!</definedName>
    <definedName name="quadro_dois_zero">#REF!</definedName>
    <definedName name="quadro_um_lápis">#REF!</definedName>
    <definedName name="quadro_um_zero">#REF!</definedName>
    <definedName name="Quali" localSheetId="37">#REF!</definedName>
    <definedName name="Quali" localSheetId="17">#REF!</definedName>
    <definedName name="Quali" localSheetId="26">#REF!</definedName>
    <definedName name="Quali" localSheetId="27">#REF!</definedName>
    <definedName name="Quali" localSheetId="30">#REF!</definedName>
    <definedName name="Quali" localSheetId="31">#REF!</definedName>
    <definedName name="Quali" localSheetId="33">#REF!</definedName>
    <definedName name="Quali">#REF!</definedName>
    <definedName name="QueryResults" localSheetId="37">#REF!</definedName>
    <definedName name="QueryResults" localSheetId="17">#REF!</definedName>
    <definedName name="QueryResults" localSheetId="26">#REF!</definedName>
    <definedName name="QueryResults" localSheetId="27">#REF!</definedName>
    <definedName name="QueryResults" localSheetId="30">#REF!</definedName>
    <definedName name="QueryResults" localSheetId="31">#REF!</definedName>
    <definedName name="QueryResults" localSheetId="33">#REF!</definedName>
    <definedName name="QueryResults">#REF!</definedName>
    <definedName name="quf">[53]Data!$C$13</definedName>
    <definedName name="QuickRatio" localSheetId="37">#REF!</definedName>
    <definedName name="QuickRatio" localSheetId="17">#REF!</definedName>
    <definedName name="QuickRatio" localSheetId="26">#REF!</definedName>
    <definedName name="QuickRatio" localSheetId="27">#REF!</definedName>
    <definedName name="QuickRatio" localSheetId="30">#REF!</definedName>
    <definedName name="QuickRatio" localSheetId="31">#REF!</definedName>
    <definedName name="QuickRatio" localSheetId="33">#REF!</definedName>
    <definedName name="QuickRatio">#REF!</definedName>
    <definedName name="qw">#REF!</definedName>
    <definedName name="qwccqw" hidden="1">#REF!</definedName>
    <definedName name="QWERWE" hidden="1">[32]REAC1!#REF!</definedName>
    <definedName name="qwewqe" localSheetId="2" hidden="1">#REF!</definedName>
    <definedName name="qwewqe" localSheetId="4" hidden="1">#REF!</definedName>
    <definedName name="qwewqe" hidden="1">#REF!</definedName>
    <definedName name="ragrgag" localSheetId="2" hidden="1">#REF!</definedName>
    <definedName name="ragrgag" localSheetId="4" hidden="1">#REF!</definedName>
    <definedName name="ragrgag" hidden="1">#REF!</definedName>
    <definedName name="rakujgzd" localSheetId="2" hidden="1">#REF!</definedName>
    <definedName name="rakujgzd" localSheetId="4" hidden="1">#REF!</definedName>
    <definedName name="rakujgzd" hidden="1">#REF!</definedName>
    <definedName name="rand96" localSheetId="37">'[1]Status Page'!#REF!</definedName>
    <definedName name="rand96" localSheetId="17">'[1]Status Page'!#REF!</definedName>
    <definedName name="rand96" localSheetId="26">'[1]Status Page'!#REF!</definedName>
    <definedName name="rand96" localSheetId="27">'[1]Status Page'!#REF!</definedName>
    <definedName name="rand96" localSheetId="30">'[1]Status Page'!#REF!</definedName>
    <definedName name="rand96" localSheetId="31">'[1]Status Page'!#REF!</definedName>
    <definedName name="rand96" localSheetId="33">'[1]Status Page'!#REF!</definedName>
    <definedName name="rand96">'[1]Status Page'!#REF!</definedName>
    <definedName name="randD96" localSheetId="37">'[1]Status Page'!#REF!</definedName>
    <definedName name="randD96" localSheetId="17">'[1]Status Page'!#REF!</definedName>
    <definedName name="randD96" localSheetId="26">'[1]Status Page'!#REF!</definedName>
    <definedName name="randD96" localSheetId="27">'[1]Status Page'!#REF!</definedName>
    <definedName name="randD96" localSheetId="30">'[1]Status Page'!#REF!</definedName>
    <definedName name="randD96" localSheetId="31">'[1]Status Page'!#REF!</definedName>
    <definedName name="randD96" localSheetId="33">'[1]Status Page'!#REF!</definedName>
    <definedName name="randD96">'[1]Status Page'!#REF!</definedName>
    <definedName name="RangeChange" localSheetId="2" hidden="1">#N/A</definedName>
    <definedName name="RangeChange" localSheetId="4" hidden="1">#N/A</definedName>
    <definedName name="RangeChange" localSheetId="41" hidden="1">'Preços Unitários'!RangeChange</definedName>
    <definedName name="RangeChange" localSheetId="23" hidden="1">'Recursos Humanos 1'!RangeChange</definedName>
    <definedName name="RangeChange" localSheetId="38" hidden="1">'Veículos e Equipamentos'!RangeChange</definedName>
    <definedName name="RangeChange" hidden="1">'Preços Unitários'!RangeChange</definedName>
    <definedName name="RAT_A" localSheetId="37">#REF!</definedName>
    <definedName name="RAT_A" localSheetId="17">#REF!</definedName>
    <definedName name="RAT_A" localSheetId="26">#REF!</definedName>
    <definedName name="RAT_A" localSheetId="27">#REF!</definedName>
    <definedName name="RAT_A" localSheetId="30">#REF!</definedName>
    <definedName name="RAT_A" localSheetId="31">#REF!</definedName>
    <definedName name="RAT_A" localSheetId="33">#REF!</definedName>
    <definedName name="RAT_A">#REF!</definedName>
    <definedName name="rate" localSheetId="37">[6]WACC!#REF!</definedName>
    <definedName name="rate" localSheetId="17">[6]WACC!#REF!</definedName>
    <definedName name="rate" localSheetId="26">[6]WACC!#REF!</definedName>
    <definedName name="rate" localSheetId="27">[6]WACC!#REF!</definedName>
    <definedName name="rate" localSheetId="30">[6]WACC!#REF!</definedName>
    <definedName name="rate" localSheetId="31">[6]WACC!#REF!</definedName>
    <definedName name="rate" localSheetId="33">[6]WACC!#REF!</definedName>
    <definedName name="rate">[6]WACC!#REF!</definedName>
    <definedName name="RATIOS" localSheetId="37">#REF!</definedName>
    <definedName name="RATIOS" localSheetId="17">#REF!</definedName>
    <definedName name="RATIOS" localSheetId="26">#REF!</definedName>
    <definedName name="RATIOS" localSheetId="27">#REF!</definedName>
    <definedName name="RATIOS" localSheetId="30">#REF!</definedName>
    <definedName name="RATIOS" localSheetId="31">#REF!</definedName>
    <definedName name="RATIOS" localSheetId="33">#REF!</definedName>
    <definedName name="RATIOS">#REF!</definedName>
    <definedName name="Ratios_2" localSheetId="2" hidden="1">{"'TG'!$A$1:$L$37"}</definedName>
    <definedName name="Ratios_2" localSheetId="4" hidden="1">{"'TG'!$A$1:$L$37"}</definedName>
    <definedName name="Ratios_2" hidden="1">{"'TG'!$A$1:$L$37"}</definedName>
    <definedName name="RD" localSheetId="37">#REF!</definedName>
    <definedName name="RD" localSheetId="17">#REF!</definedName>
    <definedName name="RD" localSheetId="26">#REF!</definedName>
    <definedName name="RD" localSheetId="27">#REF!</definedName>
    <definedName name="RD" localSheetId="30">#REF!</definedName>
    <definedName name="RD" localSheetId="31">#REF!</definedName>
    <definedName name="RD" localSheetId="33">#REF!</definedName>
    <definedName name="RD">#REF!</definedName>
    <definedName name="RDEBT" localSheetId="37">#REF!</definedName>
    <definedName name="RDEBT" localSheetId="17">#REF!</definedName>
    <definedName name="RDEBT" localSheetId="26">#REF!</definedName>
    <definedName name="RDEBT" localSheetId="27">#REF!</definedName>
    <definedName name="RDEBT" localSheetId="30">#REF!</definedName>
    <definedName name="RDEBT" localSheetId="31">#REF!</definedName>
    <definedName name="RDEBT" localSheetId="33">#REF!</definedName>
    <definedName name="RDEBT">#REF!</definedName>
    <definedName name="RDMargin" localSheetId="37">#REF!</definedName>
    <definedName name="RDMargin" localSheetId="17">#REF!</definedName>
    <definedName name="RDMargin" localSheetId="26">#REF!</definedName>
    <definedName name="RDMargin" localSheetId="27">#REF!</definedName>
    <definedName name="RDMargin" localSheetId="30">#REF!</definedName>
    <definedName name="RDMargin" localSheetId="31">#REF!</definedName>
    <definedName name="RDMargin" localSheetId="33">#REF!</definedName>
    <definedName name="RDMargin">#REF!</definedName>
    <definedName name="re" hidden="1">#REF!</definedName>
    <definedName name="reaj0">#REF!</definedName>
    <definedName name="reaj1">#REF!</definedName>
    <definedName name="reaj2">#REF!</definedName>
    <definedName name="reaj3">#REF!</definedName>
    <definedName name="reajuste_VT">[100]Salários!$AB$41</definedName>
    <definedName name="Real">[101]Geral!$B$9</definedName>
    <definedName name="Real2">[102]Geral!$B$9</definedName>
    <definedName name="REC" localSheetId="41">OFFSET(#REF!,1,,COUNTA(#REF!),COUNTA(#REF!))</definedName>
    <definedName name="REC">OFFSET(#REF!,1,,COUNTA(#REF!),COUNTA(#REF!))</definedName>
    <definedName name="Receita_fin" localSheetId="2" hidden="1">{"'RR'!$A$2:$E$81"}</definedName>
    <definedName name="Receita_fin" localSheetId="4" hidden="1">{"'RR'!$A$2:$E$81"}</definedName>
    <definedName name="Receita_fin" hidden="1">{"'RR'!$A$2:$E$81"}</definedName>
    <definedName name="redo" localSheetId="2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imbursement">"Reembolso"</definedName>
    <definedName name="reinv">#REF!</definedName>
    <definedName name="rejuste_CM">[100]Salários!$AI$41</definedName>
    <definedName name="REL" localSheetId="2" hidden="1">{#N/A,#N/A,TRUE,"Serviços"}</definedName>
    <definedName name="REL" localSheetId="4" hidden="1">{#N/A,#N/A,TRUE,"Serviços"}</definedName>
    <definedName name="REL" hidden="1">{#N/A,#N/A,TRUE,"Serviços"}</definedName>
    <definedName name="Relatório_BRAM" localSheetId="37">#REF!</definedName>
    <definedName name="Relatório_BRAM" localSheetId="17">#REF!</definedName>
    <definedName name="Relatório_BRAM" localSheetId="26">#REF!</definedName>
    <definedName name="Relatório_BRAM" localSheetId="27">#REF!</definedName>
    <definedName name="Relatório_BRAM" localSheetId="30">#REF!</definedName>
    <definedName name="Relatório_BRAM" localSheetId="31">#REF!</definedName>
    <definedName name="Relatório_BRAM" localSheetId="33">#REF!</definedName>
    <definedName name="Relatório_BRAM">#REF!</definedName>
    <definedName name="Relatório_BRAM_Proj_Rápida" localSheetId="37">#REF!</definedName>
    <definedName name="Relatório_BRAM_Proj_Rápida" localSheetId="17">#REF!</definedName>
    <definedName name="Relatório_BRAM_Proj_Rápida" localSheetId="26">#REF!</definedName>
    <definedName name="Relatório_BRAM_Proj_Rápida" localSheetId="27">#REF!</definedName>
    <definedName name="Relatório_BRAM_Proj_Rápida" localSheetId="30">#REF!</definedName>
    <definedName name="Relatório_BRAM_Proj_Rápida" localSheetId="31">#REF!</definedName>
    <definedName name="Relatório_BRAM_Proj_Rápida" localSheetId="33">#REF!</definedName>
    <definedName name="Relatório_BRAM_Proj_Rápida">#REF!</definedName>
    <definedName name="Rent" localSheetId="37">#REF!</definedName>
    <definedName name="Rent" localSheetId="17">#REF!</definedName>
    <definedName name="Rent" localSheetId="26">#REF!</definedName>
    <definedName name="Rent" localSheetId="27">#REF!</definedName>
    <definedName name="Rent" localSheetId="30">#REF!</definedName>
    <definedName name="Rent" localSheetId="31">#REF!</definedName>
    <definedName name="Rent" localSheetId="33">#REF!</definedName>
    <definedName name="Rent">#REF!</definedName>
    <definedName name="RepaymentLT" localSheetId="37">#REF!</definedName>
    <definedName name="RepaymentLT" localSheetId="17">#REF!</definedName>
    <definedName name="RepaymentLT" localSheetId="26">#REF!</definedName>
    <definedName name="RepaymentLT" localSheetId="27">#REF!</definedName>
    <definedName name="RepaymentLT" localSheetId="30">#REF!</definedName>
    <definedName name="RepaymentLT" localSheetId="31">#REF!</definedName>
    <definedName name="RepaymentLT" localSheetId="33">#REF!</definedName>
    <definedName name="RepaymentLT">#REF!</definedName>
    <definedName name="RepaymentST" localSheetId="37">#REF!</definedName>
    <definedName name="RepaymentST" localSheetId="17">#REF!</definedName>
    <definedName name="RepaymentST" localSheetId="26">#REF!</definedName>
    <definedName name="RepaymentST" localSheetId="27">#REF!</definedName>
    <definedName name="RepaymentST" localSheetId="30">#REF!</definedName>
    <definedName name="RepaymentST" localSheetId="31">#REF!</definedName>
    <definedName name="RepaymentST" localSheetId="33">#REF!</definedName>
    <definedName name="RepaymentST">#REF!</definedName>
    <definedName name="Report" localSheetId="37">#REF!</definedName>
    <definedName name="Report" localSheetId="17">#REF!</definedName>
    <definedName name="Report" localSheetId="26">#REF!</definedName>
    <definedName name="Report" localSheetId="27">#REF!</definedName>
    <definedName name="Report" localSheetId="30">#REF!</definedName>
    <definedName name="Report" localSheetId="31">#REF!</definedName>
    <definedName name="Report" localSheetId="33">#REF!</definedName>
    <definedName name="Report">#REF!</definedName>
    <definedName name="ReportEPS" localSheetId="37">#REF!</definedName>
    <definedName name="ReportEPS" localSheetId="17">#REF!</definedName>
    <definedName name="ReportEPS" localSheetId="26">#REF!</definedName>
    <definedName name="ReportEPS" localSheetId="27">#REF!</definedName>
    <definedName name="ReportEPS" localSheetId="30">#REF!</definedName>
    <definedName name="ReportEPS" localSheetId="31">#REF!</definedName>
    <definedName name="ReportEPS" localSheetId="33">#REF!</definedName>
    <definedName name="ReportEPS">#REF!</definedName>
    <definedName name="ReportEPSLTM" localSheetId="37">#REF!</definedName>
    <definedName name="ReportEPSLTM" localSheetId="17">#REF!</definedName>
    <definedName name="ReportEPSLTM" localSheetId="26">#REF!</definedName>
    <definedName name="ReportEPSLTM" localSheetId="27">#REF!</definedName>
    <definedName name="ReportEPSLTM" localSheetId="30">#REF!</definedName>
    <definedName name="ReportEPSLTM" localSheetId="31">#REF!</definedName>
    <definedName name="ReportEPSLTM" localSheetId="33">#REF!</definedName>
    <definedName name="ReportEPSLTM">#REF!</definedName>
    <definedName name="ReportNetInc" localSheetId="37">#REF!</definedName>
    <definedName name="ReportNetInc" localSheetId="17">#REF!</definedName>
    <definedName name="ReportNetInc" localSheetId="26">#REF!</definedName>
    <definedName name="ReportNetInc" localSheetId="27">#REF!</definedName>
    <definedName name="ReportNetInc" localSheetId="30">#REF!</definedName>
    <definedName name="ReportNetInc" localSheetId="31">#REF!</definedName>
    <definedName name="ReportNetInc" localSheetId="33">#REF!</definedName>
    <definedName name="ReportNetInc">#REF!</definedName>
    <definedName name="ReportPELTM" localSheetId="37">#REF!</definedName>
    <definedName name="ReportPELTM" localSheetId="17">#REF!</definedName>
    <definedName name="ReportPELTM" localSheetId="26">#REF!</definedName>
    <definedName name="ReportPELTM" localSheetId="27">#REF!</definedName>
    <definedName name="ReportPELTM" localSheetId="30">#REF!</definedName>
    <definedName name="ReportPELTM" localSheetId="31">#REF!</definedName>
    <definedName name="ReportPELTM" localSheetId="33">#REF!</definedName>
    <definedName name="ReportPELTM">#REF!</definedName>
    <definedName name="RepurchShares" localSheetId="37">#REF!</definedName>
    <definedName name="RepurchShares" localSheetId="17">#REF!</definedName>
    <definedName name="RepurchShares" localSheetId="26">#REF!</definedName>
    <definedName name="RepurchShares" localSheetId="27">#REF!</definedName>
    <definedName name="RepurchShares" localSheetId="30">#REF!</definedName>
    <definedName name="RepurchShares" localSheetId="31">#REF!</definedName>
    <definedName name="RepurchShares" localSheetId="33">#REF!</definedName>
    <definedName name="RepurchShares">#REF!</definedName>
    <definedName name="ResearchSource" localSheetId="37">#REF!</definedName>
    <definedName name="ResearchSource" localSheetId="17">#REF!</definedName>
    <definedName name="ResearchSource" localSheetId="26">#REF!</definedName>
    <definedName name="ResearchSource" localSheetId="27">#REF!</definedName>
    <definedName name="ResearchSource" localSheetId="30">#REF!</definedName>
    <definedName name="ResearchSource" localSheetId="31">#REF!</definedName>
    <definedName name="ResearchSource" localSheetId="33">#REF!</definedName>
    <definedName name="ResearchSource">#REF!</definedName>
    <definedName name="Reserves" localSheetId="37">#REF!</definedName>
    <definedName name="Reserves" localSheetId="17">#REF!</definedName>
    <definedName name="Reserves" localSheetId="26">#REF!</definedName>
    <definedName name="Reserves" localSheetId="27">#REF!</definedName>
    <definedName name="Reserves" localSheetId="30">#REF!</definedName>
    <definedName name="Reserves" localSheetId="31">#REF!</definedName>
    <definedName name="Reserves" localSheetId="33">#REF!</definedName>
    <definedName name="Reserves">#REF!</definedName>
    <definedName name="Resources" localSheetId="37">#REF!</definedName>
    <definedName name="Resources" localSheetId="17">#REF!</definedName>
    <definedName name="Resources" localSheetId="26">#REF!</definedName>
    <definedName name="Resources" localSheetId="27">#REF!</definedName>
    <definedName name="Resources" localSheetId="30">#REF!</definedName>
    <definedName name="Resources" localSheetId="31">#REF!</definedName>
    <definedName name="Resources" localSheetId="33">#REF!</definedName>
    <definedName name="Resources">#REF!</definedName>
    <definedName name="RESUMO">#REF!</definedName>
    <definedName name="RET" localSheetId="37">#REF!</definedName>
    <definedName name="RET" localSheetId="17">#REF!</definedName>
    <definedName name="RET" localSheetId="26">#REF!</definedName>
    <definedName name="RET" localSheetId="27">#REF!</definedName>
    <definedName name="RET" localSheetId="30">#REF!</definedName>
    <definedName name="RET" localSheetId="31">#REF!</definedName>
    <definedName name="RET" localSheetId="33">#REF!</definedName>
    <definedName name="RET">#REF!</definedName>
    <definedName name="RETURN" localSheetId="37">#REF!</definedName>
    <definedName name="RETURN" localSheetId="17">#REF!</definedName>
    <definedName name="RETURN" localSheetId="26">#REF!</definedName>
    <definedName name="RETURN" localSheetId="27">#REF!</definedName>
    <definedName name="RETURN" localSheetId="30">#REF!</definedName>
    <definedName name="RETURN" localSheetId="31">#REF!</definedName>
    <definedName name="RETURN" localSheetId="33">#REF!</definedName>
    <definedName name="RETURN">#REF!</definedName>
    <definedName name="RevenueGrowth" localSheetId="37">#REF!</definedName>
    <definedName name="RevenueGrowth" localSheetId="17">#REF!</definedName>
    <definedName name="RevenueGrowth" localSheetId="26">#REF!</definedName>
    <definedName name="RevenueGrowth" localSheetId="27">#REF!</definedName>
    <definedName name="RevenueGrowth" localSheetId="30">#REF!</definedName>
    <definedName name="RevenueGrowth" localSheetId="31">#REF!</definedName>
    <definedName name="RevenueGrowth" localSheetId="33">#REF!</definedName>
    <definedName name="RevenueGrowth">#REF!</definedName>
    <definedName name="Revenues" localSheetId="37">#REF!</definedName>
    <definedName name="Revenues" localSheetId="17">#REF!</definedName>
    <definedName name="Revenues" localSheetId="26">#REF!</definedName>
    <definedName name="Revenues" localSheetId="27">#REF!</definedName>
    <definedName name="Revenues" localSheetId="30">#REF!</definedName>
    <definedName name="Revenues" localSheetId="31">#REF!</definedName>
    <definedName name="Revenues" localSheetId="33">#REF!</definedName>
    <definedName name="Revenues">#REF!</definedName>
    <definedName name="rf" localSheetId="37">#REF!</definedName>
    <definedName name="rf" localSheetId="17">#REF!</definedName>
    <definedName name="rf" localSheetId="26">#REF!</definedName>
    <definedName name="rf" localSheetId="27">#REF!</definedName>
    <definedName name="rf" localSheetId="30">#REF!</definedName>
    <definedName name="rf" localSheetId="31">#REF!</definedName>
    <definedName name="rf" localSheetId="33">#REF!</definedName>
    <definedName name="rf">#REF!</definedName>
    <definedName name="ribeiro" localSheetId="2" hidden="1">{"TotalGeralDespesasPorArea",#N/A,FALSE,"VinculosAccessEfetivo"}</definedName>
    <definedName name="ribeiro" localSheetId="4" hidden="1">{"TotalGeralDespesasPorArea",#N/A,FALSE,"VinculosAccessEfetivo"}</definedName>
    <definedName name="ribeiro" hidden="1">{"TotalGeralDespesasPorArea",#N/A,FALSE,"VinculosAccessEfetivo"}</definedName>
    <definedName name="rio">0.3375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6144</definedName>
    <definedName name="RiskFixedSeed">1</definedName>
    <definedName name="RiskFreeRate" localSheetId="37">#REF!</definedName>
    <definedName name="RiskFreeRate" localSheetId="17">#REF!</definedName>
    <definedName name="RiskFreeRate" localSheetId="26">#REF!</definedName>
    <definedName name="RiskFreeRate" localSheetId="27">#REF!</definedName>
    <definedName name="RiskFreeRate" localSheetId="30">#REF!</definedName>
    <definedName name="RiskFreeRate" localSheetId="31">#REF!</definedName>
    <definedName name="RiskFreeRate" localSheetId="33">#REF!</definedName>
    <definedName name="RiskFreeRate">#REF!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m" localSheetId="37">#REF!</definedName>
    <definedName name="rm" localSheetId="17">#REF!</definedName>
    <definedName name="rm" localSheetId="26">#REF!</definedName>
    <definedName name="rm" localSheetId="27">#REF!</definedName>
    <definedName name="rm" localSheetId="30">#REF!</definedName>
    <definedName name="rm" localSheetId="31">#REF!</definedName>
    <definedName name="rm" localSheetId="33">#REF!</definedName>
    <definedName name="rm">#REF!</definedName>
    <definedName name="rmcAccount">903000</definedName>
    <definedName name="rmcName">"BEVEFT"</definedName>
    <definedName name="RMCOptions">"*010000000000000"</definedName>
    <definedName name="ROA" localSheetId="37">#REF!</definedName>
    <definedName name="ROA" localSheetId="17">#REF!</definedName>
    <definedName name="ROA" localSheetId="26">#REF!</definedName>
    <definedName name="ROA" localSheetId="27">#REF!</definedName>
    <definedName name="ROA" localSheetId="30">#REF!</definedName>
    <definedName name="ROA" localSheetId="31">#REF!</definedName>
    <definedName name="ROA" localSheetId="33">#REF!</definedName>
    <definedName name="ROA">#REF!</definedName>
    <definedName name="ROB" localSheetId="2" hidden="1">{#N/A,#N/A,FALSE,"ati1294";#N/A,#N/A,FALSE,"pas1294";#N/A,#N/A,FALSE,"res1294"}</definedName>
    <definedName name="ROB" localSheetId="4" hidden="1">{#N/A,#N/A,FALSE,"ati1294";#N/A,#N/A,FALSE,"pas1294";#N/A,#N/A,FALSE,"res1294"}</definedName>
    <definedName name="ROB" hidden="1">{#N/A,#N/A,FALSE,"ati1294";#N/A,#N/A,FALSE,"pas1294";#N/A,#N/A,FALSE,"res1294"}</definedName>
    <definedName name="ROE" localSheetId="37">#REF!</definedName>
    <definedName name="ROE" localSheetId="17">#REF!</definedName>
    <definedName name="ROE" localSheetId="26">#REF!</definedName>
    <definedName name="ROE" localSheetId="27">#REF!</definedName>
    <definedName name="ROE" localSheetId="30">#REF!</definedName>
    <definedName name="ROE" localSheetId="31">#REF!</definedName>
    <definedName name="ROE" localSheetId="33">#REF!</definedName>
    <definedName name="ROE">#REF!</definedName>
    <definedName name="RR" localSheetId="2" hidden="1">{#N/A,#N/A,FALSE,"ati1294";#N/A,#N/A,FALSE,"pas1294";#N/A,#N/A,FALSE,"res1294"}</definedName>
    <definedName name="RR" localSheetId="4" hidden="1">{#N/A,#N/A,FALSE,"ati1294";#N/A,#N/A,FALSE,"pas1294";#N/A,#N/A,FALSE,"res1294"}</definedName>
    <definedName name="RR" hidden="1">{#N/A,#N/A,FALSE,"ati1294";#N/A,#N/A,FALSE,"pas1294";#N/A,#N/A,FALSE,"res1294"}</definedName>
    <definedName name="RRF">[103]RELATA!$A$1:$AA$335</definedName>
    <definedName name="rrff" localSheetId="2" hidden="1">{#N/A,#N/A,TRUE,"Serviços"}</definedName>
    <definedName name="rrff" localSheetId="4" hidden="1">{#N/A,#N/A,TRUE,"Serviços"}</definedName>
    <definedName name="rrff" hidden="1">{#N/A,#N/A,TRUE,"Serviços"}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" hidden="1">#REF!</definedName>
    <definedName name="rrrrrrrrrr" hidden="1">#REF!</definedName>
    <definedName name="RTC" localSheetId="37">#REF!</definedName>
    <definedName name="RTC" localSheetId="17">#REF!</definedName>
    <definedName name="RTC" localSheetId="16">#REF!</definedName>
    <definedName name="RTC" localSheetId="26">#REF!</definedName>
    <definedName name="RTC" localSheetId="27">#REF!</definedName>
    <definedName name="RTC" localSheetId="28">#REF!</definedName>
    <definedName name="RTC" localSheetId="30">#REF!</definedName>
    <definedName name="RTC" localSheetId="31">#REF!</definedName>
    <definedName name="RTC" localSheetId="33">#REF!</definedName>
    <definedName name="RTC">#REF!</definedName>
    <definedName name="RTE" localSheetId="37">#REF!</definedName>
    <definedName name="RTE" localSheetId="17">#REF!</definedName>
    <definedName name="RTE" localSheetId="16">#REF!</definedName>
    <definedName name="RTE" localSheetId="26">#REF!</definedName>
    <definedName name="RTE" localSheetId="27">#REF!</definedName>
    <definedName name="RTE" localSheetId="28">#REF!</definedName>
    <definedName name="RTE" localSheetId="30">#REF!</definedName>
    <definedName name="RTE" localSheetId="31">#REF!</definedName>
    <definedName name="RTE" localSheetId="33">#REF!</definedName>
    <definedName name="RTE">#REF!</definedName>
    <definedName name="RTP" localSheetId="37">#REF!</definedName>
    <definedName name="RTP" localSheetId="17">#REF!</definedName>
    <definedName name="RTP" localSheetId="16">#REF!</definedName>
    <definedName name="RTP" localSheetId="26">#REF!</definedName>
    <definedName name="RTP" localSheetId="27">#REF!</definedName>
    <definedName name="RTP" localSheetId="28">#REF!</definedName>
    <definedName name="RTP" localSheetId="30">#REF!</definedName>
    <definedName name="RTP" localSheetId="31">#REF!</definedName>
    <definedName name="RTP" localSheetId="33">#REF!</definedName>
    <definedName name="RTP">#REF!</definedName>
    <definedName name="s" localSheetId="2">[104]Integração!#REF!</definedName>
    <definedName name="s" localSheetId="37">[104]Integração!#REF!</definedName>
    <definedName name="s" localSheetId="17">[104]Integração!#REF!</definedName>
    <definedName name="s" localSheetId="4">[104]Integração!#REF!</definedName>
    <definedName name="s" localSheetId="26">[104]Integração!#REF!</definedName>
    <definedName name="s" localSheetId="27">[104]Integração!#REF!</definedName>
    <definedName name="s" localSheetId="30">[104]Integração!#REF!</definedName>
    <definedName name="s" localSheetId="31">[104]Integração!#REF!</definedName>
    <definedName name="s" localSheetId="33">[104]Integração!#REF!</definedName>
    <definedName name="s">[104]Integração!#REF!</definedName>
    <definedName name="S_MAME_L">#N/A</definedName>
    <definedName name="saaaaasa" localSheetId="2" hidden="1">Main.SAPF4Help()</definedName>
    <definedName name="saaaaasa" localSheetId="4" hidden="1">Main.SAPF4Help()</definedName>
    <definedName name="saaaaasa" hidden="1">Main.SAPF4Help()</definedName>
    <definedName name="Sable_Pit_1" localSheetId="37">#REF!</definedName>
    <definedName name="Sable_Pit_1" localSheetId="17">#REF!</definedName>
    <definedName name="Sable_Pit_1" localSheetId="26">#REF!</definedName>
    <definedName name="Sable_Pit_1" localSheetId="27">#REF!</definedName>
    <definedName name="Sable_Pit_1" localSheetId="30">#REF!</definedName>
    <definedName name="Sable_Pit_1" localSheetId="31">#REF!</definedName>
    <definedName name="Sable_Pit_1" localSheetId="33">#REF!</definedName>
    <definedName name="Sable_Pit_1">#REF!</definedName>
    <definedName name="Sable_Pit_2" localSheetId="37">#REF!</definedName>
    <definedName name="Sable_Pit_2" localSheetId="17">#REF!</definedName>
    <definedName name="Sable_Pit_2" localSheetId="26">#REF!</definedName>
    <definedName name="Sable_Pit_2" localSheetId="27">#REF!</definedName>
    <definedName name="Sable_Pit_2" localSheetId="30">#REF!</definedName>
    <definedName name="Sable_Pit_2" localSheetId="31">#REF!</definedName>
    <definedName name="Sable_Pit_2" localSheetId="33">#REF!</definedName>
    <definedName name="Sable_Pit_2">#REF!</definedName>
    <definedName name="Sable_Pit_3" localSheetId="37">#REF!</definedName>
    <definedName name="Sable_Pit_3" localSheetId="17">#REF!</definedName>
    <definedName name="Sable_Pit_3" localSheetId="26">#REF!</definedName>
    <definedName name="Sable_Pit_3" localSheetId="27">#REF!</definedName>
    <definedName name="Sable_Pit_3" localSheetId="30">#REF!</definedName>
    <definedName name="Sable_Pit_3" localSheetId="31">#REF!</definedName>
    <definedName name="Sable_Pit_3" localSheetId="33">#REF!</definedName>
    <definedName name="Sable_Pit_3">#REF!</definedName>
    <definedName name="Sable_Pit_4" localSheetId="37">#REF!</definedName>
    <definedName name="Sable_Pit_4" localSheetId="17">#REF!</definedName>
    <definedName name="Sable_Pit_4" localSheetId="26">#REF!</definedName>
    <definedName name="Sable_Pit_4" localSheetId="27">#REF!</definedName>
    <definedName name="Sable_Pit_4" localSheetId="30">#REF!</definedName>
    <definedName name="Sable_Pit_4" localSheetId="31">#REF!</definedName>
    <definedName name="Sable_Pit_4" localSheetId="33">#REF!</definedName>
    <definedName name="Sable_Pit_4">#REF!</definedName>
    <definedName name="Sable_Pit_5" localSheetId="37">#REF!</definedName>
    <definedName name="Sable_Pit_5" localSheetId="17">#REF!</definedName>
    <definedName name="Sable_Pit_5" localSheetId="26">#REF!</definedName>
    <definedName name="Sable_Pit_5" localSheetId="27">#REF!</definedName>
    <definedName name="Sable_Pit_5" localSheetId="30">#REF!</definedName>
    <definedName name="Sable_Pit_5" localSheetId="31">#REF!</definedName>
    <definedName name="Sable_Pit_5" localSheetId="33">#REF!</definedName>
    <definedName name="Sable_Pit_5">#REF!</definedName>
    <definedName name="sadasd" localSheetId="2" hidden="1">{#N/A,#N/A,FALSE,"FFCXOUT3"}</definedName>
    <definedName name="sadasd" localSheetId="4" hidden="1">{#N/A,#N/A,FALSE,"FFCXOUT3"}</definedName>
    <definedName name="sadasd" hidden="1">{#N/A,#N/A,FALSE,"FFCXOUT3"}</definedName>
    <definedName name="Salario">2</definedName>
    <definedName name="SALEOPTION" localSheetId="37">#REF!</definedName>
    <definedName name="SALEOPTION" localSheetId="17">#REF!</definedName>
    <definedName name="SALEOPTION" localSheetId="26">#REF!</definedName>
    <definedName name="SALEOPTION" localSheetId="27">#REF!</definedName>
    <definedName name="SALEOPTION" localSheetId="30">#REF!</definedName>
    <definedName name="SALEOPTION" localSheetId="31">#REF!</definedName>
    <definedName name="SALEOPTION" localSheetId="33">#REF!</definedName>
    <definedName name="SALEOPTION">#REF!</definedName>
    <definedName name="SALES">#REF!</definedName>
    <definedName name="SALES92" localSheetId="37">[6]WACC!#REF!</definedName>
    <definedName name="SALES92" localSheetId="17">[6]WACC!#REF!</definedName>
    <definedName name="SALES92" localSheetId="26">[6]WACC!#REF!</definedName>
    <definedName name="SALES92" localSheetId="27">[6]WACC!#REF!</definedName>
    <definedName name="SALES92" localSheetId="30">[6]WACC!#REF!</definedName>
    <definedName name="SALES92" localSheetId="31">[6]WACC!#REF!</definedName>
    <definedName name="SALES92" localSheetId="33">[6]WACC!#REF!</definedName>
    <definedName name="SALES92">[6]WACC!#REF!</definedName>
    <definedName name="SALES93" localSheetId="37">[6]WACC!#REF!</definedName>
    <definedName name="SALES93" localSheetId="17">[6]WACC!#REF!</definedName>
    <definedName name="SALES93" localSheetId="26">[6]WACC!#REF!</definedName>
    <definedName name="SALES93" localSheetId="27">[6]WACC!#REF!</definedName>
    <definedName name="SALES93" localSheetId="30">[6]WACC!#REF!</definedName>
    <definedName name="SALES93" localSheetId="31">[6]WACC!#REF!</definedName>
    <definedName name="SALES93" localSheetId="33">[6]WACC!#REF!</definedName>
    <definedName name="SALES93">[6]WACC!#REF!</definedName>
    <definedName name="santos" localSheetId="2" hidden="1">{"TotalGeralDespesasPorArea",#N/A,FALSE,"VinculosAccessEfetivo"}</definedName>
    <definedName name="santos" localSheetId="4" hidden="1">{"TotalGeralDespesasPorArea",#N/A,FALSE,"VinculosAccessEfetivo"}</definedName>
    <definedName name="santos" hidden="1">{"TotalGeralDespesasPorArea",#N/A,FALSE,"VinculosAccessEfetivo"}</definedName>
    <definedName name="SAPBEXdnldView" hidden="1">"ATSEC7V4IVBL6X3L877SC5CKT"</definedName>
    <definedName name="SAPBEXrevision" hidden="1">18</definedName>
    <definedName name="SAPBEXsysID" hidden="1">"B1P"</definedName>
    <definedName name="SAPBEXwbID" hidden="1">"4ZUOE77O1HF840EF45K3PLCV5"</definedName>
    <definedName name="SAPFuncF4Help" localSheetId="2" hidden="1">Main.SAPF4Help()</definedName>
    <definedName name="SAPFuncF4Help" localSheetId="4" hidden="1">Main.SAPF4Help()</definedName>
    <definedName name="SAPFuncF4Help" hidden="1">Main.SAPF4Help()</definedName>
    <definedName name="SARPrice" localSheetId="37">#REF!</definedName>
    <definedName name="SARPrice" localSheetId="17">#REF!</definedName>
    <definedName name="SARPrice" localSheetId="26">#REF!</definedName>
    <definedName name="SARPrice" localSheetId="27">#REF!</definedName>
    <definedName name="SARPrice" localSheetId="30">#REF!</definedName>
    <definedName name="SARPrice" localSheetId="31">#REF!</definedName>
    <definedName name="SARPrice" localSheetId="33">#REF!</definedName>
    <definedName name="SARPrice">#REF!</definedName>
    <definedName name="SARs" localSheetId="37">#REF!</definedName>
    <definedName name="SARs" localSheetId="17">#REF!</definedName>
    <definedName name="SARs" localSheetId="26">#REF!</definedName>
    <definedName name="SARs" localSheetId="27">#REF!</definedName>
    <definedName name="SARs" localSheetId="30">#REF!</definedName>
    <definedName name="SARs" localSheetId="31">#REF!</definedName>
    <definedName name="SARs" localSheetId="33">#REF!</definedName>
    <definedName name="SARs">#REF!</definedName>
    <definedName name="scdgrg" hidden="1">#REF!</definedName>
    <definedName name="SCEN" localSheetId="37">#REF!</definedName>
    <definedName name="SCEN" localSheetId="17">#REF!</definedName>
    <definedName name="SCEN" localSheetId="26">#REF!</definedName>
    <definedName name="SCEN" localSheetId="27">#REF!</definedName>
    <definedName name="SCEN" localSheetId="30">#REF!</definedName>
    <definedName name="SCEN" localSheetId="31">#REF!</definedName>
    <definedName name="SCEN" localSheetId="33">#REF!</definedName>
    <definedName name="SCEN">#REF!</definedName>
    <definedName name="Scen2" localSheetId="37">#REF!</definedName>
    <definedName name="Scen2" localSheetId="17">#REF!</definedName>
    <definedName name="Scen2" localSheetId="26">#REF!</definedName>
    <definedName name="Scen2" localSheetId="27">#REF!</definedName>
    <definedName name="Scen2" localSheetId="30">#REF!</definedName>
    <definedName name="Scen2" localSheetId="31">#REF!</definedName>
    <definedName name="Scen2" localSheetId="33">#REF!</definedName>
    <definedName name="Scen2">#REF!</definedName>
    <definedName name="SCG_Table" localSheetId="2">'[74]SCG Commodity'!$A$12:$Y$267</definedName>
    <definedName name="SCG_Table" localSheetId="4">'[74]SCG Commodity'!$A$12:$Y$267</definedName>
    <definedName name="SCG_Table">'[74]SCG Commodity'!$A$12:$Y$267</definedName>
    <definedName name="SD" localSheetId="2" hidden="1">Main.SAPF4Help()</definedName>
    <definedName name="SD" localSheetId="4" hidden="1">Main.SAPF4Help()</definedName>
    <definedName name="SD" hidden="1">Main.SAPF4Help()</definedName>
    <definedName name="SDA" localSheetId="37">#REF!</definedName>
    <definedName name="SDA" localSheetId="17">#REF!</definedName>
    <definedName name="SDA" localSheetId="16">#REF!</definedName>
    <definedName name="SDA" localSheetId="26">#REF!</definedName>
    <definedName name="SDA" localSheetId="27">#REF!</definedName>
    <definedName name="SDA" localSheetId="28">#REF!</definedName>
    <definedName name="SDA" localSheetId="30">#REF!</definedName>
    <definedName name="SDA" localSheetId="31">#REF!</definedName>
    <definedName name="SDA" localSheetId="33">#REF!</definedName>
    <definedName name="SDA">#REF!</definedName>
    <definedName name="SDASDSADASDAS" localSheetId="37">#REF!</definedName>
    <definedName name="SDASDSADASDAS" localSheetId="17">#REF!</definedName>
    <definedName name="SDASDSADASDAS" localSheetId="26">#REF!</definedName>
    <definedName name="SDASDSADASDAS" localSheetId="27">#REF!</definedName>
    <definedName name="SDASDSADASDAS" localSheetId="30">#REF!</definedName>
    <definedName name="SDASDSADASDAS" localSheetId="31">#REF!</definedName>
    <definedName name="SDASDSADASDAS" localSheetId="33">#REF!</definedName>
    <definedName name="SDASDSADASDAS">#REF!</definedName>
    <definedName name="sdsd" localSheetId="2" hidden="1">{#N/A,#N/A,TRUE,"Consolidado";#N/A,#N/A,TRUE,"Laticínios";#N/A,#N/A,TRUE,"Frangos";#N/A,#N/A,TRUE,"Suínos";#N/A,#N/A,TRUE,"Peru";#N/A,#N/A,TRUE,"Carnes";#N/A,#N/A,TRUE,"Suco";#N/A,#N/A,TRUE,"Batata"}</definedName>
    <definedName name="sdsd" localSheetId="4" hidden="1">{#N/A,#N/A,TRUE,"Consolidado";#N/A,#N/A,TRUE,"Laticínios";#N/A,#N/A,TRUE,"Frangos";#N/A,#N/A,TRUE,"Suínos";#N/A,#N/A,TRUE,"Peru";#N/A,#N/A,TRUE,"Carnes";#N/A,#N/A,TRUE,"Suco";#N/A,#N/A,TRUE,"Batata"}</definedName>
    <definedName name="sdsd" hidden="1">{#N/A,#N/A,TRUE,"Consolidado";#N/A,#N/A,TRUE,"Laticínios";#N/A,#N/A,TRUE,"Frangos";#N/A,#N/A,TRUE,"Suínos";#N/A,#N/A,TRUE,"Peru";#N/A,#N/A,TRUE,"Carnes";#N/A,#N/A,TRUE,"Suco";#N/A,#N/A,TRUE,"Batata"}</definedName>
    <definedName name="SDVSDV" hidden="1">#REF!</definedName>
    <definedName name="sea" hidden="1">#REF!</definedName>
    <definedName name="seguros">#REF!</definedName>
    <definedName name="sencount" hidden="1">1</definedName>
    <definedName name="SENS">[5]Sens!$A$1:$M$48</definedName>
    <definedName name="SET" localSheetId="2">#N/A</definedName>
    <definedName name="SET" localSheetId="4">#N/A</definedName>
    <definedName name="SET" localSheetId="41">'Preços Unitários'!SET</definedName>
    <definedName name="SET" localSheetId="23">'Recursos Humanos 1'!SET</definedName>
    <definedName name="SET" localSheetId="38">'Veículos e Equipamentos'!SET</definedName>
    <definedName name="SET">'Preços Unitários'!SET</definedName>
    <definedName name="SETEMBRO" localSheetId="2" hidden="1">{#N/A,#N/A,TRUE,"Serviços"}</definedName>
    <definedName name="SETEMBRO" localSheetId="4" hidden="1">{#N/A,#N/A,TRUE,"Serviços"}</definedName>
    <definedName name="SETEMBRO" hidden="1">{#N/A,#N/A,TRUE,"Serviços"}</definedName>
    <definedName name="SGA" localSheetId="37">#REF!</definedName>
    <definedName name="SGA" localSheetId="17">#REF!</definedName>
    <definedName name="SGA" localSheetId="26">#REF!</definedName>
    <definedName name="SGA" localSheetId="27">#REF!</definedName>
    <definedName name="SGA" localSheetId="30">#REF!</definedName>
    <definedName name="SGA" localSheetId="31">#REF!</definedName>
    <definedName name="SGA" localSheetId="33">#REF!</definedName>
    <definedName name="SGA">#REF!</definedName>
    <definedName name="SGAMargin" localSheetId="37">#REF!</definedName>
    <definedName name="SGAMargin" localSheetId="17">#REF!</definedName>
    <definedName name="SGAMargin" localSheetId="26">#REF!</definedName>
    <definedName name="SGAMargin" localSheetId="27">#REF!</definedName>
    <definedName name="SGAMargin" localSheetId="30">#REF!</definedName>
    <definedName name="SGAMargin" localSheetId="31">#REF!</definedName>
    <definedName name="SGAMargin" localSheetId="33">#REF!</definedName>
    <definedName name="SGAMargin">#REF!</definedName>
    <definedName name="SGCC" localSheetId="2" hidden="1">{#N/A,#N/A,FALSE,"ati1294";#N/A,#N/A,FALSE,"pas1294";#N/A,#N/A,FALSE,"res1294"}</definedName>
    <definedName name="SGCC" localSheetId="4" hidden="1">{#N/A,#N/A,FALSE,"ati1294";#N/A,#N/A,FALSE,"pas1294";#N/A,#N/A,FALSE,"res1294"}</definedName>
    <definedName name="SGCC" hidden="1">{#N/A,#N/A,FALSE,"ati1294";#N/A,#N/A,FALSE,"pas1294";#N/A,#N/A,FALSE,"res1294"}</definedName>
    <definedName name="Share_Price" localSheetId="37">#REF!</definedName>
    <definedName name="Share_Price" localSheetId="17">#REF!</definedName>
    <definedName name="Share_Price" localSheetId="26">#REF!</definedName>
    <definedName name="Share_Price" localSheetId="27">#REF!</definedName>
    <definedName name="Share_Price" localSheetId="30">#REF!</definedName>
    <definedName name="Share_Price" localSheetId="31">#REF!</definedName>
    <definedName name="Share_Price" localSheetId="33">#REF!</definedName>
    <definedName name="Share_Price">#REF!</definedName>
    <definedName name="Shares" localSheetId="37">#REF!</definedName>
    <definedName name="Shares" localSheetId="17">#REF!</definedName>
    <definedName name="Shares" localSheetId="26">#REF!</definedName>
    <definedName name="Shares" localSheetId="27">#REF!</definedName>
    <definedName name="Shares" localSheetId="30">#REF!</definedName>
    <definedName name="Shares" localSheetId="31">#REF!</definedName>
    <definedName name="Shares" localSheetId="33">#REF!</definedName>
    <definedName name="Shares">#REF!</definedName>
    <definedName name="Shares_Outstanding" localSheetId="37">#REF!</definedName>
    <definedName name="Shares_Outstanding" localSheetId="17">#REF!</definedName>
    <definedName name="Shares_Outstanding" localSheetId="26">#REF!</definedName>
    <definedName name="Shares_Outstanding" localSheetId="27">#REF!</definedName>
    <definedName name="Shares_Outstanding" localSheetId="30">#REF!</definedName>
    <definedName name="Shares_Outstanding" localSheetId="31">#REF!</definedName>
    <definedName name="Shares_Outstanding" localSheetId="33">#REF!</definedName>
    <definedName name="Shares_Outstanding">#REF!</definedName>
    <definedName name="SharesConv" localSheetId="37">#REF!</definedName>
    <definedName name="SharesConv" localSheetId="17">#REF!</definedName>
    <definedName name="SharesConv" localSheetId="26">#REF!</definedName>
    <definedName name="SharesConv" localSheetId="27">#REF!</definedName>
    <definedName name="SharesConv" localSheetId="30">#REF!</definedName>
    <definedName name="SharesConv" localSheetId="31">#REF!</definedName>
    <definedName name="SharesConv" localSheetId="33">#REF!</definedName>
    <definedName name="SharesConv">#REF!</definedName>
    <definedName name="SharesOptions" localSheetId="37">#REF!</definedName>
    <definedName name="SharesOptions" localSheetId="17">#REF!</definedName>
    <definedName name="SharesOptions" localSheetId="26">#REF!</definedName>
    <definedName name="SharesOptions" localSheetId="27">#REF!</definedName>
    <definedName name="SharesOptions" localSheetId="30">#REF!</definedName>
    <definedName name="SharesOptions" localSheetId="31">#REF!</definedName>
    <definedName name="SharesOptions" localSheetId="33">#REF!</definedName>
    <definedName name="SharesOptions">#REF!</definedName>
    <definedName name="ShiftSwitch">[67]Argentina!$B$4</definedName>
    <definedName name="Short_Term_Debt" localSheetId="37">[17]summary!#REF!</definedName>
    <definedName name="Short_Term_Debt" localSheetId="17">[17]summary!#REF!</definedName>
    <definedName name="Short_Term_Debt" localSheetId="26">[17]summary!#REF!</definedName>
    <definedName name="Short_Term_Debt" localSheetId="27">[17]summary!#REF!</definedName>
    <definedName name="Short_Term_Debt" localSheetId="30">[17]summary!#REF!</definedName>
    <definedName name="Short_Term_Debt" localSheetId="31">[17]summary!#REF!</definedName>
    <definedName name="Short_Term_Debt" localSheetId="33">[17]summary!#REF!</definedName>
    <definedName name="Short_Term_Debt">[17]summary!#REF!</definedName>
    <definedName name="ShortName">"New Millennium Business Planning Model"</definedName>
    <definedName name="SHRISS" localSheetId="37">#REF!</definedName>
    <definedName name="SHRISS" localSheetId="17">#REF!</definedName>
    <definedName name="SHRISS" localSheetId="26">#REF!</definedName>
    <definedName name="SHRISS" localSheetId="27">#REF!</definedName>
    <definedName name="SHRISS" localSheetId="30">#REF!</definedName>
    <definedName name="SHRISS" localSheetId="31">#REF!</definedName>
    <definedName name="SHRISS" localSheetId="33">#REF!</definedName>
    <definedName name="SHRISS">#REF!</definedName>
    <definedName name="SIC" localSheetId="37">#REF!</definedName>
    <definedName name="SIC" localSheetId="17">#REF!</definedName>
    <definedName name="SIC" localSheetId="26">#REF!</definedName>
    <definedName name="SIC" localSheetId="27">#REF!</definedName>
    <definedName name="SIC" localSheetId="30">#REF!</definedName>
    <definedName name="SIC" localSheetId="31">#REF!</definedName>
    <definedName name="SIC" localSheetId="33">#REF!</definedName>
    <definedName name="SIC">#REF!</definedName>
    <definedName name="sic1high" localSheetId="37">#REF!</definedName>
    <definedName name="sic1high" localSheetId="17">#REF!</definedName>
    <definedName name="sic1high" localSheetId="26">#REF!</definedName>
    <definedName name="sic1high" localSheetId="27">#REF!</definedName>
    <definedName name="sic1high" localSheetId="30">#REF!</definedName>
    <definedName name="sic1high" localSheetId="31">#REF!</definedName>
    <definedName name="sic1high" localSheetId="33">#REF!</definedName>
    <definedName name="sic1high">#REF!</definedName>
    <definedName name="sic1low" localSheetId="37">#REF!</definedName>
    <definedName name="sic1low" localSheetId="17">#REF!</definedName>
    <definedName name="sic1low" localSheetId="26">#REF!</definedName>
    <definedName name="sic1low" localSheetId="27">#REF!</definedName>
    <definedName name="sic1low" localSheetId="30">#REF!</definedName>
    <definedName name="sic1low" localSheetId="31">#REF!</definedName>
    <definedName name="sic1low" localSheetId="33">#REF!</definedName>
    <definedName name="sic1low">#REF!</definedName>
    <definedName name="sic1ok" localSheetId="37">#REF!</definedName>
    <definedName name="sic1ok" localSheetId="17">#REF!</definedName>
    <definedName name="sic1ok" localSheetId="26">#REF!</definedName>
    <definedName name="sic1ok" localSheetId="27">#REF!</definedName>
    <definedName name="sic1ok" localSheetId="30">#REF!</definedName>
    <definedName name="sic1ok" localSheetId="31">#REF!</definedName>
    <definedName name="sic1ok" localSheetId="33">#REF!</definedName>
    <definedName name="sic1ok">#REF!</definedName>
    <definedName name="sic2high" localSheetId="37">#REF!</definedName>
    <definedName name="sic2high" localSheetId="17">#REF!</definedName>
    <definedName name="sic2high" localSheetId="26">#REF!</definedName>
    <definedName name="sic2high" localSheetId="27">#REF!</definedName>
    <definedName name="sic2high" localSheetId="30">#REF!</definedName>
    <definedName name="sic2high" localSheetId="31">#REF!</definedName>
    <definedName name="sic2high" localSheetId="33">#REF!</definedName>
    <definedName name="sic2high">#REF!</definedName>
    <definedName name="sic2low" localSheetId="37">#REF!</definedName>
    <definedName name="sic2low" localSheetId="17">#REF!</definedName>
    <definedName name="sic2low" localSheetId="26">#REF!</definedName>
    <definedName name="sic2low" localSheetId="27">#REF!</definedName>
    <definedName name="sic2low" localSheetId="30">#REF!</definedName>
    <definedName name="sic2low" localSheetId="31">#REF!</definedName>
    <definedName name="sic2low" localSheetId="33">#REF!</definedName>
    <definedName name="sic2low">#REF!</definedName>
    <definedName name="sic2ok" localSheetId="37">#REF!</definedName>
    <definedName name="sic2ok" localSheetId="17">#REF!</definedName>
    <definedName name="sic2ok" localSheetId="26">#REF!</definedName>
    <definedName name="sic2ok" localSheetId="27">#REF!</definedName>
    <definedName name="sic2ok" localSheetId="30">#REF!</definedName>
    <definedName name="sic2ok" localSheetId="31">#REF!</definedName>
    <definedName name="sic2ok" localSheetId="33">#REF!</definedName>
    <definedName name="sic2ok">#REF!</definedName>
    <definedName name="sic3high" localSheetId="37">#REF!</definedName>
    <definedName name="sic3high" localSheetId="17">#REF!</definedName>
    <definedName name="sic3high" localSheetId="26">#REF!</definedName>
    <definedName name="sic3high" localSheetId="27">#REF!</definedName>
    <definedName name="sic3high" localSheetId="30">#REF!</definedName>
    <definedName name="sic3high" localSheetId="31">#REF!</definedName>
    <definedName name="sic3high" localSheetId="33">#REF!</definedName>
    <definedName name="sic3high">#REF!</definedName>
    <definedName name="sic3low" localSheetId="37">#REF!</definedName>
    <definedName name="sic3low" localSheetId="17">#REF!</definedName>
    <definedName name="sic3low" localSheetId="26">#REF!</definedName>
    <definedName name="sic3low" localSheetId="27">#REF!</definedName>
    <definedName name="sic3low" localSheetId="30">#REF!</definedName>
    <definedName name="sic3low" localSheetId="31">#REF!</definedName>
    <definedName name="sic3low" localSheetId="33">#REF!</definedName>
    <definedName name="sic3low">#REF!</definedName>
    <definedName name="sic3ok" localSheetId="37">#REF!</definedName>
    <definedName name="sic3ok" localSheetId="17">#REF!</definedName>
    <definedName name="sic3ok" localSheetId="26">#REF!</definedName>
    <definedName name="sic3ok" localSheetId="27">#REF!</definedName>
    <definedName name="sic3ok" localSheetId="30">#REF!</definedName>
    <definedName name="sic3ok" localSheetId="31">#REF!</definedName>
    <definedName name="sic3ok" localSheetId="33">#REF!</definedName>
    <definedName name="sic3ok">#REF!</definedName>
    <definedName name="SIGLA_UF">#N/A</definedName>
    <definedName name="sign">[53]Data!$C$9</definedName>
    <definedName name="SIM" localSheetId="2" hidden="1">{"TotalGeralDespesasPorArea",#N/A,FALSE,"VinculosAccessEfetivo"}</definedName>
    <definedName name="SIM" localSheetId="4" hidden="1">{"TotalGeralDespesasPorArea",#N/A,FALSE,"VinculosAccessEfetivo"}</definedName>
    <definedName name="SIM" hidden="1">{"TotalGeralDespesasPorArea",#N/A,FALSE,"VinculosAccessEfetivo"}</definedName>
    <definedName name="Simulador" localSheetId="37">#REF!</definedName>
    <definedName name="Simulador" localSheetId="25">#REF!</definedName>
    <definedName name="Simulador" localSheetId="17">#REF!</definedName>
    <definedName name="Simulador" localSheetId="16">#REF!</definedName>
    <definedName name="Simulador" localSheetId="26">#REF!</definedName>
    <definedName name="Simulador" localSheetId="27">#REF!</definedName>
    <definedName name="Simulador" localSheetId="28">#REF!</definedName>
    <definedName name="Simulador" localSheetId="30">#REF!</definedName>
    <definedName name="Simulador" localSheetId="31">#REF!</definedName>
    <definedName name="Simulador" localSheetId="33">#REF!</definedName>
    <definedName name="Simulador" localSheetId="11">#REF!</definedName>
    <definedName name="Simulador">#REF!</definedName>
    <definedName name="SLEVI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NT" localSheetId="37">[17]summary!#REF!</definedName>
    <definedName name="SNT" localSheetId="17">[17]summary!#REF!</definedName>
    <definedName name="SNT" localSheetId="26">[17]summary!#REF!</definedName>
    <definedName name="SNT" localSheetId="27">[17]summary!#REF!</definedName>
    <definedName name="SNT" localSheetId="30">[17]summary!#REF!</definedName>
    <definedName name="SNT" localSheetId="31">[17]summary!#REF!</definedName>
    <definedName name="SNT" localSheetId="33">[17]summary!#REF!</definedName>
    <definedName name="SNT">[17]summary!#REF!</definedName>
    <definedName name="software_percentage_of_service_fees">1/3</definedName>
    <definedName name="solver_adj" hidden="1">[105]Premissas!$Z$166,[105]Premissas!$Z$161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el2" hidden="1">3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0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106.196</definedName>
    <definedName name="somapagar">#REF!</definedName>
    <definedName name="sort">#REF!</definedName>
    <definedName name="SortBy" localSheetId="37">#REF!</definedName>
    <definedName name="SortBy" localSheetId="17">#REF!</definedName>
    <definedName name="SortBy" localSheetId="26">#REF!</definedName>
    <definedName name="SortBy" localSheetId="27">#REF!</definedName>
    <definedName name="SortBy" localSheetId="30">#REF!</definedName>
    <definedName name="SortBy" localSheetId="31">#REF!</definedName>
    <definedName name="SortBy" localSheetId="33">#REF!</definedName>
    <definedName name="SortBy">#REF!</definedName>
    <definedName name="SortRange" localSheetId="37">#REF!</definedName>
    <definedName name="SortRange" localSheetId="17">#REF!</definedName>
    <definedName name="SortRange" localSheetId="26">#REF!</definedName>
    <definedName name="SortRange" localSheetId="27">#REF!</definedName>
    <definedName name="SortRange" localSheetId="30">#REF!</definedName>
    <definedName name="SortRange" localSheetId="31">#REF!</definedName>
    <definedName name="SortRange" localSheetId="33">#REF!</definedName>
    <definedName name="SortRange">#REF!</definedName>
    <definedName name="SOURCE_COMPANY" localSheetId="37">#REF!</definedName>
    <definedName name="SOURCE_COMPANY" localSheetId="17">#REF!</definedName>
    <definedName name="SOURCE_COMPANY" localSheetId="26">#REF!</definedName>
    <definedName name="SOURCE_COMPANY" localSheetId="27">#REF!</definedName>
    <definedName name="SOURCE_COMPANY" localSheetId="30">#REF!</definedName>
    <definedName name="SOURCE_COMPANY" localSheetId="31">#REF!</definedName>
    <definedName name="SOURCE_COMPANY" localSheetId="33">#REF!</definedName>
    <definedName name="SOURCE_COMPANY">#REF!</definedName>
    <definedName name="SOURCE_COMPANY_END" localSheetId="37">#REF!</definedName>
    <definedName name="SOURCE_COMPANY_END" localSheetId="17">#REF!</definedName>
    <definedName name="SOURCE_COMPANY_END" localSheetId="26">#REF!</definedName>
    <definedName name="SOURCE_COMPANY_END" localSheetId="27">#REF!</definedName>
    <definedName name="SOURCE_COMPANY_END" localSheetId="30">#REF!</definedName>
    <definedName name="SOURCE_COMPANY_END" localSheetId="31">#REF!</definedName>
    <definedName name="SOURCE_COMPANY_END" localSheetId="33">#REF!</definedName>
    <definedName name="SOURCE_COMPANY_END">#REF!</definedName>
    <definedName name="SOURCE_DATABASE" localSheetId="37">#REF!</definedName>
    <definedName name="SOURCE_DATABASE" localSheetId="17">#REF!</definedName>
    <definedName name="SOURCE_DATABASE" localSheetId="26">#REF!</definedName>
    <definedName name="SOURCE_DATABASE" localSheetId="27">#REF!</definedName>
    <definedName name="SOURCE_DATABASE" localSheetId="30">#REF!</definedName>
    <definedName name="SOURCE_DATABASE" localSheetId="31">#REF!</definedName>
    <definedName name="SOURCE_DATABASE" localSheetId="33">#REF!</definedName>
    <definedName name="SOURCE_DATABASE">#REF!</definedName>
    <definedName name="SOURCE_SHARE" localSheetId="37">#REF!</definedName>
    <definedName name="SOURCE_SHARE" localSheetId="17">#REF!</definedName>
    <definedName name="SOURCE_SHARE" localSheetId="26">#REF!</definedName>
    <definedName name="SOURCE_SHARE" localSheetId="27">#REF!</definedName>
    <definedName name="SOURCE_SHARE" localSheetId="30">#REF!</definedName>
    <definedName name="SOURCE_SHARE" localSheetId="31">#REF!</definedName>
    <definedName name="SOURCE_SHARE" localSheetId="33">#REF!</definedName>
    <definedName name="SOURCE_SHARE">#REF!</definedName>
    <definedName name="SOURCE_SHARE_END" localSheetId="37">#REF!</definedName>
    <definedName name="SOURCE_SHARE_END" localSheetId="17">#REF!</definedName>
    <definedName name="SOURCE_SHARE_END" localSheetId="26">#REF!</definedName>
    <definedName name="SOURCE_SHARE_END" localSheetId="27">#REF!</definedName>
    <definedName name="SOURCE_SHARE_END" localSheetId="30">#REF!</definedName>
    <definedName name="SOURCE_SHARE_END" localSheetId="31">#REF!</definedName>
    <definedName name="SOURCE_SHARE_END" localSheetId="33">#REF!</definedName>
    <definedName name="SOURCE_SHARE_END">#REF!</definedName>
    <definedName name="SOURCE_STOCK" localSheetId="37">#REF!</definedName>
    <definedName name="SOURCE_STOCK" localSheetId="17">#REF!</definedName>
    <definedName name="SOURCE_STOCK" localSheetId="26">#REF!</definedName>
    <definedName name="SOURCE_STOCK" localSheetId="27">#REF!</definedName>
    <definedName name="SOURCE_STOCK" localSheetId="30">#REF!</definedName>
    <definedName name="SOURCE_STOCK" localSheetId="31">#REF!</definedName>
    <definedName name="SOURCE_STOCK" localSheetId="33">#REF!</definedName>
    <definedName name="SOURCE_STOCK">#REF!</definedName>
    <definedName name="souza" localSheetId="2" hidden="1">{"TotalGeralDespesasPorArea",#N/A,FALSE,"VinculosAccessEfetivo"}</definedName>
    <definedName name="souza" localSheetId="4" hidden="1">{"TotalGeralDespesasPorArea",#N/A,FALSE,"VinculosAccessEfetivo"}</definedName>
    <definedName name="souza" hidden="1">{"TotalGeralDespesasPorArea",#N/A,FALSE,"VinculosAccessEfetivo"}</definedName>
    <definedName name="souzaribeiro" localSheetId="2" hidden="1">{"TotalGeralDespesasPorArea",#N/A,FALSE,"VinculosAccessEfetivo"}</definedName>
    <definedName name="souzaribeiro" localSheetId="4" hidden="1">{"TotalGeralDespesasPorArea",#N/A,FALSE,"VinculosAccessEfetivo"}</definedName>
    <definedName name="souzaribeiro" hidden="1">{"TotalGeralDespesasPorArea",#N/A,FALSE,"VinculosAccessEfetivo"}</definedName>
    <definedName name="Special" localSheetId="37">#REF!</definedName>
    <definedName name="Special" localSheetId="17">#REF!</definedName>
    <definedName name="Special" localSheetId="26">#REF!</definedName>
    <definedName name="Special" localSheetId="27">#REF!</definedName>
    <definedName name="Special" localSheetId="30">#REF!</definedName>
    <definedName name="Special" localSheetId="31">#REF!</definedName>
    <definedName name="Special" localSheetId="33">#REF!</definedName>
    <definedName name="Special">#REF!</definedName>
    <definedName name="SR" localSheetId="41">OFFSET(#REF!,1,,COUNTA(#REF!),COUNTA(#REF!))</definedName>
    <definedName name="SR">OFFSET(#REF!,1,,COUNTA(#REF!),COUNTA(#REF!))</definedName>
    <definedName name="SRT" localSheetId="37">#REF!</definedName>
    <definedName name="SRT" localSheetId="17">#REF!</definedName>
    <definedName name="SRT" localSheetId="16">#REF!</definedName>
    <definedName name="SRT" localSheetId="26">#REF!</definedName>
    <definedName name="SRT" localSheetId="27">#REF!</definedName>
    <definedName name="SRT" localSheetId="28">#REF!</definedName>
    <definedName name="SRT" localSheetId="30">#REF!</definedName>
    <definedName name="SRT" localSheetId="31">#REF!</definedName>
    <definedName name="SRT" localSheetId="33">#REF!</definedName>
    <definedName name="SRT">#REF!</definedName>
    <definedName name="SRV" localSheetId="41">OFFSET(#REF!,1,,COUNTA(#REF!),1)</definedName>
    <definedName name="SRV">OFFSET(#REF!,1,,COUNTA(#REF!),1)</definedName>
    <definedName name="ss" localSheetId="2" hidden="1">{"'RR'!$A$2:$E$81"}</definedName>
    <definedName name="ss" localSheetId="4" hidden="1">{"'RR'!$A$2:$E$81"}</definedName>
    <definedName name="ss" hidden="1">{"'RR'!$A$2:$E$81"}</definedName>
    <definedName name="SSS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SSS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SSS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sssllkod" hidden="1">#REF!</definedName>
    <definedName name="ssss" hidden="1">#REF!</definedName>
    <definedName name="ssssss" hidden="1">#REF!</definedName>
    <definedName name="sssssss" hidden="1">#REF!</definedName>
    <definedName name="sssssssss" hidden="1">#REF!</definedName>
    <definedName name="Startops1" localSheetId="2">[54]Assm!$C$16</definedName>
    <definedName name="Startops1" localSheetId="4">[54]Assm!$C$16</definedName>
    <definedName name="Startops1">[54]Assm!$C$16</definedName>
    <definedName name="Startops2" localSheetId="2">[54]Assm!$D$16</definedName>
    <definedName name="Startops2" localSheetId="4">[54]Assm!$D$16</definedName>
    <definedName name="Startops2">[54]Assm!$D$16</definedName>
    <definedName name="Stat1" localSheetId="37">#REF!</definedName>
    <definedName name="Stat1" localSheetId="17">#REF!</definedName>
    <definedName name="Stat1" localSheetId="26">#REF!</definedName>
    <definedName name="Stat1" localSheetId="27">#REF!</definedName>
    <definedName name="Stat1" localSheetId="30">#REF!</definedName>
    <definedName name="Stat1" localSheetId="31">#REF!</definedName>
    <definedName name="Stat1" localSheetId="33">#REF!</definedName>
    <definedName name="Stat1">#REF!</definedName>
    <definedName name="Stat10" localSheetId="37">#REF!</definedName>
    <definedName name="Stat10" localSheetId="17">#REF!</definedName>
    <definedName name="Stat10" localSheetId="26">#REF!</definedName>
    <definedName name="Stat10" localSheetId="27">#REF!</definedName>
    <definedName name="Stat10" localSheetId="30">#REF!</definedName>
    <definedName name="Stat10" localSheetId="31">#REF!</definedName>
    <definedName name="Stat10" localSheetId="33">#REF!</definedName>
    <definedName name="Stat10">#REF!</definedName>
    <definedName name="Stat2" localSheetId="37">#REF!</definedName>
    <definedName name="Stat2" localSheetId="17">#REF!</definedName>
    <definedName name="Stat2" localSheetId="26">#REF!</definedName>
    <definedName name="Stat2" localSheetId="27">#REF!</definedName>
    <definedName name="Stat2" localSheetId="30">#REF!</definedName>
    <definedName name="Stat2" localSheetId="31">#REF!</definedName>
    <definedName name="Stat2" localSheetId="33">#REF!</definedName>
    <definedName name="Stat2">#REF!</definedName>
    <definedName name="Stat3" localSheetId="37">#REF!</definedName>
    <definedName name="Stat3" localSheetId="17">#REF!</definedName>
    <definedName name="Stat3" localSheetId="26">#REF!</definedName>
    <definedName name="Stat3" localSheetId="27">#REF!</definedName>
    <definedName name="Stat3" localSheetId="30">#REF!</definedName>
    <definedName name="Stat3" localSheetId="31">#REF!</definedName>
    <definedName name="Stat3" localSheetId="33">#REF!</definedName>
    <definedName name="Stat3">#REF!</definedName>
    <definedName name="Stat4" localSheetId="37">#REF!</definedName>
    <definedName name="Stat4" localSheetId="17">#REF!</definedName>
    <definedName name="Stat4" localSheetId="26">#REF!</definedName>
    <definedName name="Stat4" localSheetId="27">#REF!</definedName>
    <definedName name="Stat4" localSheetId="30">#REF!</definedName>
    <definedName name="Stat4" localSheetId="31">#REF!</definedName>
    <definedName name="Stat4" localSheetId="33">#REF!</definedName>
    <definedName name="Stat4">#REF!</definedName>
    <definedName name="Stat5" localSheetId="37">#REF!</definedName>
    <definedName name="Stat5" localSheetId="17">#REF!</definedName>
    <definedName name="Stat5" localSheetId="26">#REF!</definedName>
    <definedName name="Stat5" localSheetId="27">#REF!</definedName>
    <definedName name="Stat5" localSheetId="30">#REF!</definedName>
    <definedName name="Stat5" localSheetId="31">#REF!</definedName>
    <definedName name="Stat5" localSheetId="33">#REF!</definedName>
    <definedName name="Stat5">#REF!</definedName>
    <definedName name="Stat6" localSheetId="37">#REF!</definedName>
    <definedName name="Stat6" localSheetId="17">#REF!</definedName>
    <definedName name="Stat6" localSheetId="26">#REF!</definedName>
    <definedName name="Stat6" localSheetId="27">#REF!</definedName>
    <definedName name="Stat6" localSheetId="30">#REF!</definedName>
    <definedName name="Stat6" localSheetId="31">#REF!</definedName>
    <definedName name="Stat6" localSheetId="33">#REF!</definedName>
    <definedName name="Stat6">#REF!</definedName>
    <definedName name="Stat7" localSheetId="37">#REF!</definedName>
    <definedName name="Stat7" localSheetId="17">#REF!</definedName>
    <definedName name="Stat7" localSheetId="26">#REF!</definedName>
    <definedName name="Stat7" localSheetId="27">#REF!</definedName>
    <definedName name="Stat7" localSheetId="30">#REF!</definedName>
    <definedName name="Stat7" localSheetId="31">#REF!</definedName>
    <definedName name="Stat7" localSheetId="33">#REF!</definedName>
    <definedName name="Stat7">#REF!</definedName>
    <definedName name="Stat8" localSheetId="37">#REF!</definedName>
    <definedName name="Stat8" localSheetId="17">#REF!</definedName>
    <definedName name="Stat8" localSheetId="26">#REF!</definedName>
    <definedName name="Stat8" localSheetId="27">#REF!</definedName>
    <definedName name="Stat8" localSheetId="30">#REF!</definedName>
    <definedName name="Stat8" localSheetId="31">#REF!</definedName>
    <definedName name="Stat8" localSheetId="33">#REF!</definedName>
    <definedName name="Stat8">#REF!</definedName>
    <definedName name="Stat9" localSheetId="37">#REF!</definedName>
    <definedName name="Stat9" localSheetId="17">#REF!</definedName>
    <definedName name="Stat9" localSheetId="26">#REF!</definedName>
    <definedName name="Stat9" localSheetId="27">#REF!</definedName>
    <definedName name="Stat9" localSheetId="30">#REF!</definedName>
    <definedName name="Stat9" localSheetId="31">#REF!</definedName>
    <definedName name="Stat9" localSheetId="33">#REF!</definedName>
    <definedName name="Stat9">#REF!</definedName>
    <definedName name="StatLabel1" localSheetId="37">#REF!</definedName>
    <definedName name="StatLabel1" localSheetId="17">#REF!</definedName>
    <definedName name="StatLabel1" localSheetId="26">#REF!</definedName>
    <definedName name="StatLabel1" localSheetId="27">#REF!</definedName>
    <definedName name="StatLabel1" localSheetId="30">#REF!</definedName>
    <definedName name="StatLabel1" localSheetId="31">#REF!</definedName>
    <definedName name="StatLabel1" localSheetId="33">#REF!</definedName>
    <definedName name="StatLabel1">#REF!</definedName>
    <definedName name="StatLabel10" localSheetId="37">#REF!</definedName>
    <definedName name="StatLabel10" localSheetId="17">#REF!</definedName>
    <definedName name="StatLabel10" localSheetId="26">#REF!</definedName>
    <definedName name="StatLabel10" localSheetId="27">#REF!</definedName>
    <definedName name="StatLabel10" localSheetId="30">#REF!</definedName>
    <definedName name="StatLabel10" localSheetId="31">#REF!</definedName>
    <definedName name="StatLabel10" localSheetId="33">#REF!</definedName>
    <definedName name="StatLabel10">#REF!</definedName>
    <definedName name="StatLabel2" localSheetId="37">#REF!</definedName>
    <definedName name="StatLabel2" localSheetId="17">#REF!</definedName>
    <definedName name="StatLabel2" localSheetId="26">#REF!</definedName>
    <definedName name="StatLabel2" localSheetId="27">#REF!</definedName>
    <definedName name="StatLabel2" localSheetId="30">#REF!</definedName>
    <definedName name="StatLabel2" localSheetId="31">#REF!</definedName>
    <definedName name="StatLabel2" localSheetId="33">#REF!</definedName>
    <definedName name="StatLabel2">#REF!</definedName>
    <definedName name="StatLabel3" localSheetId="37">#REF!</definedName>
    <definedName name="StatLabel3" localSheetId="17">#REF!</definedName>
    <definedName name="StatLabel3" localSheetId="26">#REF!</definedName>
    <definedName name="StatLabel3" localSheetId="27">#REF!</definedName>
    <definedName name="StatLabel3" localSheetId="30">#REF!</definedName>
    <definedName name="StatLabel3" localSheetId="31">#REF!</definedName>
    <definedName name="StatLabel3" localSheetId="33">#REF!</definedName>
    <definedName name="StatLabel3">#REF!</definedName>
    <definedName name="StatLabel4" localSheetId="37">#REF!</definedName>
    <definedName name="StatLabel4" localSheetId="17">#REF!</definedName>
    <definedName name="StatLabel4" localSheetId="26">#REF!</definedName>
    <definedName name="StatLabel4" localSheetId="27">#REF!</definedName>
    <definedName name="StatLabel4" localSheetId="30">#REF!</definedName>
    <definedName name="StatLabel4" localSheetId="31">#REF!</definedName>
    <definedName name="StatLabel4" localSheetId="33">#REF!</definedName>
    <definedName name="StatLabel4">#REF!</definedName>
    <definedName name="StatLabel5" localSheetId="37">#REF!</definedName>
    <definedName name="StatLabel5" localSheetId="17">#REF!</definedName>
    <definedName name="StatLabel5" localSheetId="26">#REF!</definedName>
    <definedName name="StatLabel5" localSheetId="27">#REF!</definedName>
    <definedName name="StatLabel5" localSheetId="30">#REF!</definedName>
    <definedName name="StatLabel5" localSheetId="31">#REF!</definedName>
    <definedName name="StatLabel5" localSheetId="33">#REF!</definedName>
    <definedName name="StatLabel5">#REF!</definedName>
    <definedName name="StatLabel6" localSheetId="37">#REF!</definedName>
    <definedName name="StatLabel6" localSheetId="17">#REF!</definedName>
    <definedName name="StatLabel6" localSheetId="26">#REF!</definedName>
    <definedName name="StatLabel6" localSheetId="27">#REF!</definedName>
    <definedName name="StatLabel6" localSheetId="30">#REF!</definedName>
    <definedName name="StatLabel6" localSheetId="31">#REF!</definedName>
    <definedName name="StatLabel6" localSheetId="33">#REF!</definedName>
    <definedName name="StatLabel6">#REF!</definedName>
    <definedName name="StatLabel7" localSheetId="37">#REF!</definedName>
    <definedName name="StatLabel7" localSheetId="17">#REF!</definedName>
    <definedName name="StatLabel7" localSheetId="26">#REF!</definedName>
    <definedName name="StatLabel7" localSheetId="27">#REF!</definedName>
    <definedName name="StatLabel7" localSheetId="30">#REF!</definedName>
    <definedName name="StatLabel7" localSheetId="31">#REF!</definedName>
    <definedName name="StatLabel7" localSheetId="33">#REF!</definedName>
    <definedName name="StatLabel7">#REF!</definedName>
    <definedName name="StatLabel8" localSheetId="37">#REF!</definedName>
    <definedName name="StatLabel8" localSheetId="17">#REF!</definedName>
    <definedName name="StatLabel8" localSheetId="26">#REF!</definedName>
    <definedName name="StatLabel8" localSheetId="27">#REF!</definedName>
    <definedName name="StatLabel8" localSheetId="30">#REF!</definedName>
    <definedName name="StatLabel8" localSheetId="31">#REF!</definedName>
    <definedName name="StatLabel8" localSheetId="33">#REF!</definedName>
    <definedName name="StatLabel8">#REF!</definedName>
    <definedName name="StatLabel9" localSheetId="37">#REF!</definedName>
    <definedName name="StatLabel9" localSheetId="17">#REF!</definedName>
    <definedName name="StatLabel9" localSheetId="26">#REF!</definedName>
    <definedName name="StatLabel9" localSheetId="27">#REF!</definedName>
    <definedName name="StatLabel9" localSheetId="30">#REF!</definedName>
    <definedName name="StatLabel9" localSheetId="31">#REF!</definedName>
    <definedName name="StatLabel9" localSheetId="33">#REF!</definedName>
    <definedName name="StatLabel9">#REF!</definedName>
    <definedName name="STATS" localSheetId="37">[29]DCF!#REF!</definedName>
    <definedName name="STATS" localSheetId="17">[29]DCF!#REF!</definedName>
    <definedName name="STATS" localSheetId="26">[29]DCF!#REF!</definedName>
    <definedName name="STATS" localSheetId="27">[29]DCF!#REF!</definedName>
    <definedName name="STATS" localSheetId="30">[29]DCF!#REF!</definedName>
    <definedName name="STATS" localSheetId="31">[29]DCF!#REF!</definedName>
    <definedName name="STATS" localSheetId="33">[29]DCF!#REF!</definedName>
    <definedName name="STATS">[29]DCF!#REF!</definedName>
    <definedName name="STDebt" localSheetId="37">#REF!</definedName>
    <definedName name="STDebt" localSheetId="17">#REF!</definedName>
    <definedName name="STDebt" localSheetId="26">#REF!</definedName>
    <definedName name="STDebt" localSheetId="27">#REF!</definedName>
    <definedName name="STDebt" localSheetId="30">#REF!</definedName>
    <definedName name="STDebt" localSheetId="31">#REF!</definedName>
    <definedName name="STDebt" localSheetId="33">#REF!</definedName>
    <definedName name="STDebt">#REF!</definedName>
    <definedName name="Step" localSheetId="37">#REF!</definedName>
    <definedName name="Step" localSheetId="17">#REF!</definedName>
    <definedName name="Step" localSheetId="26">#REF!</definedName>
    <definedName name="Step" localSheetId="27">#REF!</definedName>
    <definedName name="Step" localSheetId="30">#REF!</definedName>
    <definedName name="Step" localSheetId="31">#REF!</definedName>
    <definedName name="Step" localSheetId="33">#REF!</definedName>
    <definedName name="Step">#REF!</definedName>
    <definedName name="StepBridgeGrant">'[53]Macro Outputs'!$O$11</definedName>
    <definedName name="StepCapex">'[53]Macro Outputs'!$O$7</definedName>
    <definedName name="StepK">'[53]Macro Outputs'!$O$6</definedName>
    <definedName name="StepLeverage">'[53]Macro Outputs'!$O$9</definedName>
    <definedName name="StepOpex">'[53]Macro Outputs'!$O$8</definedName>
    <definedName name="StepServRev">'[53]Macro Outputs'!$O$10</definedName>
    <definedName name="STOCK" localSheetId="37">#REF!</definedName>
    <definedName name="STOCK" localSheetId="17">#REF!</definedName>
    <definedName name="STOCK" localSheetId="26">#REF!</definedName>
    <definedName name="STOCK" localSheetId="27">#REF!</definedName>
    <definedName name="STOCK" localSheetId="30">#REF!</definedName>
    <definedName name="STOCK" localSheetId="31">#REF!</definedName>
    <definedName name="STOCK" localSheetId="33">#REF!</definedName>
    <definedName name="STOCK">#REF!</definedName>
    <definedName name="StockExch" localSheetId="37">#REF!</definedName>
    <definedName name="StockExch" localSheetId="17">#REF!</definedName>
    <definedName name="StockExch" localSheetId="26">#REF!</definedName>
    <definedName name="StockExch" localSheetId="27">#REF!</definedName>
    <definedName name="StockExch" localSheetId="30">#REF!</definedName>
    <definedName name="StockExch" localSheetId="31">#REF!</definedName>
    <definedName name="StockExch" localSheetId="33">#REF!</definedName>
    <definedName name="StockExch">#REF!</definedName>
    <definedName name="StraightLine">1</definedName>
    <definedName name="StrLTDebt" localSheetId="37">#REF!</definedName>
    <definedName name="StrLTDebt" localSheetId="17">#REF!</definedName>
    <definedName name="StrLTDebt" localSheetId="26">#REF!</definedName>
    <definedName name="StrLTDebt" localSheetId="27">#REF!</definedName>
    <definedName name="StrLTDebt" localSheetId="30">#REF!</definedName>
    <definedName name="StrLTDebt" localSheetId="31">#REF!</definedName>
    <definedName name="StrLTDebt" localSheetId="33">#REF!</definedName>
    <definedName name="StrLTDebt">#REF!</definedName>
    <definedName name="StrPref" localSheetId="37">#REF!</definedName>
    <definedName name="StrPref" localSheetId="17">#REF!</definedName>
    <definedName name="StrPref" localSheetId="26">#REF!</definedName>
    <definedName name="StrPref" localSheetId="27">#REF!</definedName>
    <definedName name="StrPref" localSheetId="30">#REF!</definedName>
    <definedName name="StrPref" localSheetId="31">#REF!</definedName>
    <definedName name="StrPref" localSheetId="33">#REF!</definedName>
    <definedName name="StrPref">#REF!</definedName>
    <definedName name="StrPrefLiq" localSheetId="37">#REF!</definedName>
    <definedName name="StrPrefLiq" localSheetId="17">#REF!</definedName>
    <definedName name="StrPrefLiq" localSheetId="26">#REF!</definedName>
    <definedName name="StrPrefLiq" localSheetId="27">#REF!</definedName>
    <definedName name="StrPrefLiq" localSheetId="30">#REF!</definedName>
    <definedName name="StrPrefLiq" localSheetId="31">#REF!</definedName>
    <definedName name="StrPrefLiq" localSheetId="33">#REF!</definedName>
    <definedName name="StrPrefLiq">#REF!</definedName>
    <definedName name="SUDENE">#N/A</definedName>
    <definedName name="sueldoBasico" localSheetId="37">#REF!</definedName>
    <definedName name="sueldoBasico" localSheetId="17">#REF!</definedName>
    <definedName name="sueldoBasico" localSheetId="26">#REF!</definedName>
    <definedName name="sueldoBasico" localSheetId="27">#REF!</definedName>
    <definedName name="sueldoBasico" localSheetId="30">#REF!</definedName>
    <definedName name="sueldoBasico" localSheetId="31">#REF!</definedName>
    <definedName name="sueldoBasico" localSheetId="33">#REF!</definedName>
    <definedName name="sueldoBasico">#REF!</definedName>
    <definedName name="Sum">[106]Instructions!$B$18</definedName>
    <definedName name="SUMLTM" localSheetId="37">[6]WACC!#REF!</definedName>
    <definedName name="SUMLTM" localSheetId="17">[6]WACC!#REF!</definedName>
    <definedName name="SUMLTM" localSheetId="26">[6]WACC!#REF!</definedName>
    <definedName name="SUMLTM" localSheetId="27">[6]WACC!#REF!</definedName>
    <definedName name="SUMLTM" localSheetId="30">[6]WACC!#REF!</definedName>
    <definedName name="SUMLTM" localSheetId="31">[6]WACC!#REF!</definedName>
    <definedName name="SUMLTM" localSheetId="33">[6]WACC!#REF!</definedName>
    <definedName name="SUMLTM">[6]WACC!#REF!</definedName>
    <definedName name="SUMM" localSheetId="37">#REF!</definedName>
    <definedName name="SUMM" localSheetId="17">#REF!</definedName>
    <definedName name="SUMM" localSheetId="26">#REF!</definedName>
    <definedName name="SUMM" localSheetId="27">#REF!</definedName>
    <definedName name="SUMM" localSheetId="30">#REF!</definedName>
    <definedName name="SUMM" localSheetId="31">#REF!</definedName>
    <definedName name="SUMM" localSheetId="33">#REF!</definedName>
    <definedName name="SUMM">#REF!</definedName>
    <definedName name="switch">[48]TOC!$J$2</definedName>
    <definedName name="Switch1" localSheetId="37">#REF!</definedName>
    <definedName name="Switch1" localSheetId="17">#REF!</definedName>
    <definedName name="Switch1" localSheetId="26">#REF!</definedName>
    <definedName name="Switch1" localSheetId="27">#REF!</definedName>
    <definedName name="Switch1" localSheetId="30">#REF!</definedName>
    <definedName name="Switch1" localSheetId="31">#REF!</definedName>
    <definedName name="Switch1" localSheetId="33">#REF!</definedName>
    <definedName name="Switch1">#REF!</definedName>
    <definedName name="Switch2" localSheetId="37">#REF!</definedName>
    <definedName name="Switch2" localSheetId="17">#REF!</definedName>
    <definedName name="Switch2" localSheetId="26">#REF!</definedName>
    <definedName name="Switch2" localSheetId="27">#REF!</definedName>
    <definedName name="Switch2" localSheetId="30">#REF!</definedName>
    <definedName name="Switch2" localSheetId="31">#REF!</definedName>
    <definedName name="Switch2" localSheetId="33">#REF!</definedName>
    <definedName name="Switch2">#REF!</definedName>
    <definedName name="SWN" localSheetId="37">[17]summary!#REF!</definedName>
    <definedName name="SWN" localSheetId="17">[17]summary!#REF!</definedName>
    <definedName name="SWN" localSheetId="26">[17]summary!#REF!</definedName>
    <definedName name="SWN" localSheetId="27">[17]summary!#REF!</definedName>
    <definedName name="SWN" localSheetId="30">[17]summary!#REF!</definedName>
    <definedName name="SWN" localSheetId="31">[17]summary!#REF!</definedName>
    <definedName name="SWN" localSheetId="33">[17]summary!#REF!</definedName>
    <definedName name="SWN">[17]summary!#REF!</definedName>
    <definedName name="Symbol" localSheetId="37">#REF!</definedName>
    <definedName name="Symbol" localSheetId="17">#REF!</definedName>
    <definedName name="Symbol" localSheetId="26">#REF!</definedName>
    <definedName name="Symbol" localSheetId="27">#REF!</definedName>
    <definedName name="Symbol" localSheetId="30">#REF!</definedName>
    <definedName name="Symbol" localSheetId="31">#REF!</definedName>
    <definedName name="Symbol" localSheetId="33">#REF!</definedName>
    <definedName name="Symbol">#REF!</definedName>
    <definedName name="T" localSheetId="37">[29]DCF!#REF!</definedName>
    <definedName name="T" localSheetId="17">[29]DCF!#REF!</definedName>
    <definedName name="T" localSheetId="26">[29]DCF!#REF!</definedName>
    <definedName name="T" localSheetId="27">[29]DCF!#REF!</definedName>
    <definedName name="T" localSheetId="30">[29]DCF!#REF!</definedName>
    <definedName name="T" localSheetId="31">[29]DCF!#REF!</definedName>
    <definedName name="T" localSheetId="33">[29]DCF!#REF!</definedName>
    <definedName name="T">[29]DCF!#REF!</definedName>
    <definedName name="tab" localSheetId="4">#REF!</definedName>
    <definedName name="tab">#REF!</definedName>
    <definedName name="tabelae" localSheetId="37">#REF!</definedName>
    <definedName name="tabelae" localSheetId="17">#REF!</definedName>
    <definedName name="tabelae" localSheetId="26">#REF!</definedName>
    <definedName name="tabelae" localSheetId="27">#REF!</definedName>
    <definedName name="tabelae" localSheetId="30">#REF!</definedName>
    <definedName name="tabelae" localSheetId="31">#REF!</definedName>
    <definedName name="tabelae" localSheetId="33">#REF!</definedName>
    <definedName name="tabelae">#REF!</definedName>
    <definedName name="tabelap" localSheetId="37">#REF!</definedName>
    <definedName name="tabelap" localSheetId="17">#REF!</definedName>
    <definedName name="tabelap" localSheetId="26">#REF!</definedName>
    <definedName name="tabelap" localSheetId="27">#REF!</definedName>
    <definedName name="tabelap" localSheetId="30">#REF!</definedName>
    <definedName name="tabelap" localSheetId="31">#REF!</definedName>
    <definedName name="tabelap" localSheetId="33">#REF!</definedName>
    <definedName name="tabelap">#REF!</definedName>
    <definedName name="table_lumantigas">[50]SPECaraguaLuz!$B$289:$B$297</definedName>
    <definedName name="table_periodoscapex">[50]SPECaraguaLuz!$T$217:$X$217</definedName>
    <definedName name="table_premissasmacroanual">[49]SPE!$B$1477:$S$1484</definedName>
    <definedName name="table_premissasmacromensal">[50]SPECaraguaLuz!$B$428:$FL$436</definedName>
    <definedName name="table_titulosWaterfall_QUF">[49]QUF!$A$9,[49]QUF!$A$13:$A$19,[49]QUF!$A$23,[49]QUF!$A$40,[49]QUF!$A$55:$A$60,[49]QUF!$A$62,[49]QUF!$A$64</definedName>
    <definedName name="table_valoresWaterfall_QUF">[49]QUF!$F$9,[49]QUF!$F$12:$F$19,[49]QUF!$F$23,[49]QUF!$F$40,[49]QUF!$F$55:$F$60,[49]QUF!$F$62</definedName>
    <definedName name="TabPBI" localSheetId="37">#REF!</definedName>
    <definedName name="TabPBI" localSheetId="25">#REF!</definedName>
    <definedName name="TabPBI" localSheetId="17">#REF!</definedName>
    <definedName name="TabPBI" localSheetId="16">#REF!</definedName>
    <definedName name="TabPBI" localSheetId="26">#REF!</definedName>
    <definedName name="TabPBI" localSheetId="27">#REF!</definedName>
    <definedName name="TabPBI" localSheetId="28">#REF!</definedName>
    <definedName name="TabPBI" localSheetId="30">#REF!</definedName>
    <definedName name="TabPBI" localSheetId="31">#REF!</definedName>
    <definedName name="TabPBI" localSheetId="33">#REF!</definedName>
    <definedName name="TabPBI" localSheetId="11">#REF!</definedName>
    <definedName name="TabPBI">#REF!</definedName>
    <definedName name="TabPBP" localSheetId="37">#REF!</definedName>
    <definedName name="TabPBP" localSheetId="25">#REF!</definedName>
    <definedName name="TabPBP" localSheetId="17">#REF!</definedName>
    <definedName name="TabPBP" localSheetId="16">#REF!</definedName>
    <definedName name="TabPBP" localSheetId="26">#REF!</definedName>
    <definedName name="TabPBP" localSheetId="27">#REF!</definedName>
    <definedName name="TabPBP" localSheetId="28">#REF!</definedName>
    <definedName name="TabPBP" localSheetId="30">#REF!</definedName>
    <definedName name="TabPBP" localSheetId="31">#REF!</definedName>
    <definedName name="TabPBP" localSheetId="33">#REF!</definedName>
    <definedName name="TabPBP" localSheetId="11">#REF!</definedName>
    <definedName name="TabPBP">#REF!</definedName>
    <definedName name="TAG" localSheetId="37">#REF!</definedName>
    <definedName name="TAG" localSheetId="17">#REF!</definedName>
    <definedName name="TAG" localSheetId="26">#REF!</definedName>
    <definedName name="TAG" localSheetId="27">#REF!</definedName>
    <definedName name="TAG" localSheetId="30">#REF!</definedName>
    <definedName name="TAG" localSheetId="31">#REF!</definedName>
    <definedName name="TAG" localSheetId="33">#REF!</definedName>
    <definedName name="TAG">#REF!</definedName>
    <definedName name="tai">[107]Feriados!$D$4:$E$52</definedName>
    <definedName name="tam" localSheetId="4">#REF!</definedName>
    <definedName name="tam">#REF!</definedName>
    <definedName name="TAR" localSheetId="37">#REF!</definedName>
    <definedName name="TAR" localSheetId="17">#REF!</definedName>
    <definedName name="TAR" localSheetId="26">#REF!</definedName>
    <definedName name="TAR" localSheetId="27">#REF!</definedName>
    <definedName name="TAR" localSheetId="30">#REF!</definedName>
    <definedName name="TAR" localSheetId="31">#REF!</definedName>
    <definedName name="TAR" localSheetId="33">#REF!</definedName>
    <definedName name="TAR">#REF!</definedName>
    <definedName name="Target">[12]Assumptions!$C$18</definedName>
    <definedName name="TargetDivestiture">[12]Assumptions!$C$28</definedName>
    <definedName name="TARGETPRI" localSheetId="37">#REF!</definedName>
    <definedName name="TARGETPRI" localSheetId="17">#REF!</definedName>
    <definedName name="TARGETPRI" localSheetId="26">#REF!</definedName>
    <definedName name="TARGETPRI" localSheetId="27">#REF!</definedName>
    <definedName name="TARGETPRI" localSheetId="30">#REF!</definedName>
    <definedName name="TARGETPRI" localSheetId="31">#REF!</definedName>
    <definedName name="TARGETPRI" localSheetId="33">#REF!</definedName>
    <definedName name="TARGETPRI">#REF!</definedName>
    <definedName name="TARGETSHARES" localSheetId="37">#REF!</definedName>
    <definedName name="TARGETSHARES" localSheetId="17">#REF!</definedName>
    <definedName name="TARGETSHARES" localSheetId="26">#REF!</definedName>
    <definedName name="TARGETSHARES" localSheetId="27">#REF!</definedName>
    <definedName name="TARGETSHARES" localSheetId="30">#REF!</definedName>
    <definedName name="TARGETSHARES" localSheetId="31">#REF!</definedName>
    <definedName name="TARGETSHARES" localSheetId="33">#REF!</definedName>
    <definedName name="TARGETSHARES">#REF!</definedName>
    <definedName name="TargetTaxRate" localSheetId="37">#REF!</definedName>
    <definedName name="TargetTaxRate" localSheetId="17">#REF!</definedName>
    <definedName name="TargetTaxRate" localSheetId="26">#REF!</definedName>
    <definedName name="TargetTaxRate" localSheetId="27">#REF!</definedName>
    <definedName name="TargetTaxRate" localSheetId="30">#REF!</definedName>
    <definedName name="TargetTaxRate" localSheetId="31">#REF!</definedName>
    <definedName name="TargetTaxRate" localSheetId="33">#REF!</definedName>
    <definedName name="TargetTaxRate">#REF!</definedName>
    <definedName name="TARSHARES" localSheetId="37">#REF!</definedName>
    <definedName name="TARSHARES" localSheetId="17">#REF!</definedName>
    <definedName name="TARSHARES" localSheetId="26">#REF!</definedName>
    <definedName name="TARSHARES" localSheetId="27">#REF!</definedName>
    <definedName name="TARSHARES" localSheetId="30">#REF!</definedName>
    <definedName name="TARSHARES" localSheetId="31">#REF!</definedName>
    <definedName name="TARSHARES" localSheetId="33">#REF!</definedName>
    <definedName name="TARSHARES">#REF!</definedName>
    <definedName name="TAX">[108]ASS!$I$12</definedName>
    <definedName name="tax_COFINS">[34]ASSUM!$P$33</definedName>
    <definedName name="tax_ICMS">[34]ASSUM!$P$32</definedName>
    <definedName name="Tax_Income_Loss" localSheetId="37">[76]Tax!#REF!</definedName>
    <definedName name="Tax_Income_Loss" localSheetId="17">[76]Tax!#REF!</definedName>
    <definedName name="Tax_Income_Loss" localSheetId="26">[76]Tax!#REF!</definedName>
    <definedName name="Tax_Income_Loss" localSheetId="27">[76]Tax!#REF!</definedName>
    <definedName name="Tax_Income_Loss" localSheetId="30">[76]Tax!#REF!</definedName>
    <definedName name="Tax_Income_Loss" localSheetId="31">[76]Tax!#REF!</definedName>
    <definedName name="Tax_Income_Loss" localSheetId="33">[76]Tax!#REF!</definedName>
    <definedName name="Tax_Income_Loss">[76]Tax!#REF!</definedName>
    <definedName name="tax_PASEP">[34]ASSUM!$P$34</definedName>
    <definedName name="tax_rate">38%</definedName>
    <definedName name="Taxes" localSheetId="37">#REF!</definedName>
    <definedName name="Taxes" localSheetId="17">#REF!</definedName>
    <definedName name="Taxes" localSheetId="26">#REF!</definedName>
    <definedName name="Taxes" localSheetId="27">#REF!</definedName>
    <definedName name="Taxes" localSheetId="30">#REF!</definedName>
    <definedName name="Taxes" localSheetId="31">#REF!</definedName>
    <definedName name="Taxes" localSheetId="33">#REF!</definedName>
    <definedName name="Taxes">#REF!</definedName>
    <definedName name="TaxRate1" localSheetId="37">#REF!</definedName>
    <definedName name="TaxRate1" localSheetId="17">#REF!</definedName>
    <definedName name="TaxRate1" localSheetId="26">#REF!</definedName>
    <definedName name="TaxRate1" localSheetId="27">#REF!</definedName>
    <definedName name="TaxRate1" localSheetId="30">#REF!</definedName>
    <definedName name="TaxRate1" localSheetId="31">#REF!</definedName>
    <definedName name="TaxRate1" localSheetId="33">#REF!</definedName>
    <definedName name="TaxRate1">#REF!</definedName>
    <definedName name="TaxRate2" localSheetId="37">#REF!</definedName>
    <definedName name="TaxRate2" localSheetId="17">#REF!</definedName>
    <definedName name="TaxRate2" localSheetId="26">#REF!</definedName>
    <definedName name="TaxRate2" localSheetId="27">#REF!</definedName>
    <definedName name="TaxRate2" localSheetId="30">#REF!</definedName>
    <definedName name="TaxRate2" localSheetId="31">#REF!</definedName>
    <definedName name="TaxRate2" localSheetId="33">#REF!</definedName>
    <definedName name="TaxRate2">#REF!</definedName>
    <definedName name="TaxRate3" localSheetId="37">#REF!</definedName>
    <definedName name="TaxRate3" localSheetId="17">#REF!</definedName>
    <definedName name="TaxRate3" localSheetId="26">#REF!</definedName>
    <definedName name="TaxRate3" localSheetId="27">#REF!</definedName>
    <definedName name="TaxRate3" localSheetId="30">#REF!</definedName>
    <definedName name="TaxRate3" localSheetId="31">#REF!</definedName>
    <definedName name="TaxRate3" localSheetId="33">#REF!</definedName>
    <definedName name="TaxRate3">#REF!</definedName>
    <definedName name="TaxRate4" localSheetId="37">#REF!</definedName>
    <definedName name="TaxRate4" localSheetId="17">#REF!</definedName>
    <definedName name="TaxRate4" localSheetId="26">#REF!</definedName>
    <definedName name="TaxRate4" localSheetId="27">#REF!</definedName>
    <definedName name="TaxRate4" localSheetId="30">#REF!</definedName>
    <definedName name="TaxRate4" localSheetId="31">#REF!</definedName>
    <definedName name="TaxRate4" localSheetId="33">#REF!</definedName>
    <definedName name="TaxRate4">#REF!</definedName>
    <definedName name="TBDCO">[109]Tariff!$C$3</definedName>
    <definedName name="TBONON">[109]Tariff!$C$11</definedName>
    <definedName name="TBOPUB">[109]Tariff!$C$27</definedName>
    <definedName name="TBOSOC">[109]Tariff!$C$35</definedName>
    <definedName name="TBV" localSheetId="37">#REF!</definedName>
    <definedName name="TBV" localSheetId="17">#REF!</definedName>
    <definedName name="TBV" localSheetId="26">#REF!</definedName>
    <definedName name="TBV" localSheetId="27">#REF!</definedName>
    <definedName name="TBV" localSheetId="30">#REF!</definedName>
    <definedName name="TBV" localSheetId="31">#REF!</definedName>
    <definedName name="TBV" localSheetId="33">#REF!</definedName>
    <definedName name="TBV">#REF!</definedName>
    <definedName name="tc" localSheetId="37">[29]DCF!#REF!</definedName>
    <definedName name="tc" localSheetId="17">[29]DCF!#REF!</definedName>
    <definedName name="tc" localSheetId="26">[29]DCF!#REF!</definedName>
    <definedName name="tc" localSheetId="27">[29]DCF!#REF!</definedName>
    <definedName name="tc" localSheetId="30">[29]DCF!#REF!</definedName>
    <definedName name="tc" localSheetId="31">[29]DCF!#REF!</definedName>
    <definedName name="tc" localSheetId="33">[29]DCF!#REF!</definedName>
    <definedName name="tc">[29]DCF!#REF!</definedName>
    <definedName name="TCASH" localSheetId="37">#REF!</definedName>
    <definedName name="TCASH" localSheetId="17">#REF!</definedName>
    <definedName name="TCASH" localSheetId="26">#REF!</definedName>
    <definedName name="TCASH" localSheetId="27">#REF!</definedName>
    <definedName name="TCASH" localSheetId="30">#REF!</definedName>
    <definedName name="TCASH" localSheetId="31">#REF!</definedName>
    <definedName name="TCASH" localSheetId="33">#REF!</definedName>
    <definedName name="TCASH">#REF!</definedName>
    <definedName name="tcgdebt" localSheetId="37">#REF!</definedName>
    <definedName name="tcgdebt" localSheetId="17">#REF!</definedName>
    <definedName name="tcgdebt" localSheetId="26">#REF!</definedName>
    <definedName name="tcgdebt" localSheetId="27">#REF!</definedName>
    <definedName name="tcgdebt" localSheetId="30">#REF!</definedName>
    <definedName name="tcgdebt" localSheetId="31">#REF!</definedName>
    <definedName name="tcgdebt" localSheetId="33">#REF!</definedName>
    <definedName name="tcgdebt">#REF!</definedName>
    <definedName name="tcgdebtgross" localSheetId="37">#REF!</definedName>
    <definedName name="tcgdebtgross" localSheetId="17">#REF!</definedName>
    <definedName name="tcgdebtgross" localSheetId="26">#REF!</definedName>
    <definedName name="tcgdebtgross" localSheetId="27">#REF!</definedName>
    <definedName name="tcgdebtgross" localSheetId="30">#REF!</definedName>
    <definedName name="tcgdebtgross" localSheetId="31">#REF!</definedName>
    <definedName name="tcgdebtgross" localSheetId="33">#REF!</definedName>
    <definedName name="tcgdebtgross">#REF!</definedName>
    <definedName name="tcgdebtrate" localSheetId="37">#REF!</definedName>
    <definedName name="tcgdebtrate" localSheetId="17">#REF!</definedName>
    <definedName name="tcgdebtrate" localSheetId="26">#REF!</definedName>
    <definedName name="tcgdebtrate" localSheetId="27">#REF!</definedName>
    <definedName name="tcgdebtrate" localSheetId="30">#REF!</definedName>
    <definedName name="tcgdebtrate" localSheetId="31">#REF!</definedName>
    <definedName name="tcgdebtrate" localSheetId="33">#REF!</definedName>
    <definedName name="tcgdebtrate">#REF!</definedName>
    <definedName name="tcgioptions" localSheetId="37">#REF!</definedName>
    <definedName name="tcgioptions" localSheetId="17">#REF!</definedName>
    <definedName name="tcgioptions" localSheetId="26">#REF!</definedName>
    <definedName name="tcgioptions" localSheetId="27">#REF!</definedName>
    <definedName name="tcgioptions" localSheetId="30">#REF!</definedName>
    <definedName name="tcgioptions" localSheetId="31">#REF!</definedName>
    <definedName name="tcgioptions" localSheetId="33">#REF!</definedName>
    <definedName name="tcgioptions">#REF!</definedName>
    <definedName name="TECNOFIBRAS" localSheetId="2" hidden="1">{"'PXR_6500'!$A$1:$I$124"}</definedName>
    <definedName name="TECNOFIBRAS" localSheetId="4" hidden="1">{"'PXR_6500'!$A$1:$I$124"}</definedName>
    <definedName name="TECNOFIBRAS" hidden="1">{"'PXR_6500'!$A$1:$I$124"}</definedName>
    <definedName name="TECNOFIBRAS2" localSheetId="2" hidden="1">{"'PXR_6500'!$A$1:$I$124"}</definedName>
    <definedName name="TECNOFIBRAS2" localSheetId="4" hidden="1">{"'PXR_6500'!$A$1:$I$124"}</definedName>
    <definedName name="TECNOFIBRAS2" hidden="1">{"'PXR_6500'!$A$1:$I$124"}</definedName>
    <definedName name="TEJ" localSheetId="37">[17]summary!#REF!</definedName>
    <definedName name="TEJ" localSheetId="17">[17]summary!#REF!</definedName>
    <definedName name="TEJ" localSheetId="26">[17]summary!#REF!</definedName>
    <definedName name="TEJ" localSheetId="27">[17]summary!#REF!</definedName>
    <definedName name="TEJ" localSheetId="30">[17]summary!#REF!</definedName>
    <definedName name="TEJ" localSheetId="31">[17]summary!#REF!</definedName>
    <definedName name="TEJ" localSheetId="33">[17]summary!#REF!</definedName>
    <definedName name="TEJ">[17]summary!#REF!</definedName>
    <definedName name="temp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RM">[108]ASS!$E$18</definedName>
    <definedName name="Term_BL" localSheetId="2">[35]Assm!#REF!</definedName>
    <definedName name="Term_BL" localSheetId="37">[35]Assm!#REF!</definedName>
    <definedName name="Term_BL" localSheetId="17">[35]Assm!#REF!</definedName>
    <definedName name="Term_BL" localSheetId="4">[35]Assm!#REF!</definedName>
    <definedName name="Term_BL" localSheetId="26">[35]Assm!#REF!</definedName>
    <definedName name="Term_BL" localSheetId="27">[35]Assm!#REF!</definedName>
    <definedName name="Term_BL" localSheetId="30">[35]Assm!#REF!</definedName>
    <definedName name="Term_BL" localSheetId="31">[35]Assm!#REF!</definedName>
    <definedName name="Term_BL" localSheetId="33">[35]Assm!#REF!</definedName>
    <definedName name="Term_BL">[35]Assm!#REF!</definedName>
    <definedName name="Terminal" localSheetId="37">#REF!</definedName>
    <definedName name="Terminal" localSheetId="17">#REF!</definedName>
    <definedName name="Terminal" localSheetId="26">#REF!</definedName>
    <definedName name="Terminal" localSheetId="27">#REF!</definedName>
    <definedName name="Terminal" localSheetId="30">#REF!</definedName>
    <definedName name="Terminal" localSheetId="31">#REF!</definedName>
    <definedName name="Terminal" localSheetId="33">#REF!</definedName>
    <definedName name="Terminal">#REF!</definedName>
    <definedName name="test" localSheetId="2" hidden="1">{"'PXR_6500'!$A$1:$I$124"}</definedName>
    <definedName name="test" localSheetId="4" hidden="1">{"'PXR_6500'!$A$1:$I$124"}</definedName>
    <definedName name="test" hidden="1">{"'PXR_6500'!$A$1:$I$124"}</definedName>
    <definedName name="teste" localSheetId="2" hidden="1">{#N/A,#N/A,TRUE,"Resumo de Preços"}</definedName>
    <definedName name="teste" localSheetId="4" hidden="1">{#N/A,#N/A,TRUE,"Resumo de Preços"}</definedName>
    <definedName name="teste" hidden="1">{#N/A,#N/A,TRUE,"Resumo de Preços"}</definedName>
    <definedName name="testeeee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eeee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eee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xtRefCopyRangeCount" hidden="1">15</definedName>
    <definedName name="TgtYearend">'[110]General Input'!$D$7</definedName>
    <definedName name="THX" localSheetId="37">[17]summary!#REF!</definedName>
    <definedName name="THX" localSheetId="17">[17]summary!#REF!</definedName>
    <definedName name="THX" localSheetId="26">[17]summary!#REF!</definedName>
    <definedName name="THX" localSheetId="27">[17]summary!#REF!</definedName>
    <definedName name="THX" localSheetId="30">[17]summary!#REF!</definedName>
    <definedName name="THX" localSheetId="31">[17]summary!#REF!</definedName>
    <definedName name="THX" localSheetId="33">[17]summary!#REF!</definedName>
    <definedName name="THX">[17]summary!#REF!</definedName>
    <definedName name="ticker" localSheetId="37">#REF!</definedName>
    <definedName name="ticker" localSheetId="17">#REF!</definedName>
    <definedName name="ticker" localSheetId="26">#REF!</definedName>
    <definedName name="ticker" localSheetId="27">#REF!</definedName>
    <definedName name="ticker" localSheetId="30">#REF!</definedName>
    <definedName name="ticker" localSheetId="31">#REF!</definedName>
    <definedName name="ticker" localSheetId="33">#REF!</definedName>
    <definedName name="ticker">#REF!</definedName>
    <definedName name="Ticker_Symbol" localSheetId="37">#REF!</definedName>
    <definedName name="Ticker_Symbol" localSheetId="17">#REF!</definedName>
    <definedName name="Ticker_Symbol" localSheetId="26">#REF!</definedName>
    <definedName name="Ticker_Symbol" localSheetId="27">#REF!</definedName>
    <definedName name="Ticker_Symbol" localSheetId="30">#REF!</definedName>
    <definedName name="Ticker_Symbol" localSheetId="31">#REF!</definedName>
    <definedName name="Ticker_Symbol" localSheetId="33">#REF!</definedName>
    <definedName name="Ticker_Symbol">#REF!</definedName>
    <definedName name="Tickers" localSheetId="37">#REF!</definedName>
    <definedName name="Tickers" localSheetId="17">#REF!</definedName>
    <definedName name="Tickers" localSheetId="26">#REF!</definedName>
    <definedName name="Tickers" localSheetId="27">#REF!</definedName>
    <definedName name="Tickers" localSheetId="30">#REF!</definedName>
    <definedName name="Tickers" localSheetId="31">#REF!</definedName>
    <definedName name="Tickers" localSheetId="33">#REF!</definedName>
    <definedName name="Tickers">#REF!</definedName>
    <definedName name="Tigr_Exhibit356c17ef_1596_456f_804b_c4712d4c1520" hidden="1">#REF!</definedName>
    <definedName name="Tigr_Exhibit5c92e8ac_04f8_48a5_bfc7_316b5c4bae74" hidden="1">#REF!</definedName>
    <definedName name="Tigr_Exhibit64108755_b76c_4362_abb7_f7dfad7c4e93" hidden="1">#REF!</definedName>
    <definedName name="Tigr_Exhibit86706846_4eb2_4c39_8909_1d866ebc1102" hidden="1">#REF!</definedName>
    <definedName name="time">"FYE DECEMBER 31,"</definedName>
    <definedName name="time_adjust" localSheetId="37">#REF!</definedName>
    <definedName name="time_adjust" localSheetId="17">#REF!</definedName>
    <definedName name="time_adjust" localSheetId="26">#REF!</definedName>
    <definedName name="time_adjust" localSheetId="27">#REF!</definedName>
    <definedName name="time_adjust" localSheetId="30">#REF!</definedName>
    <definedName name="time_adjust" localSheetId="31">#REF!</definedName>
    <definedName name="time_adjust" localSheetId="33">#REF!</definedName>
    <definedName name="time_adjust">#REF!</definedName>
    <definedName name="TInit" localSheetId="37">#REF!</definedName>
    <definedName name="TInit" localSheetId="17">#REF!</definedName>
    <definedName name="TInit" localSheetId="26">#REF!</definedName>
    <definedName name="TInit" localSheetId="27">#REF!</definedName>
    <definedName name="TInit" localSheetId="30">#REF!</definedName>
    <definedName name="TInit" localSheetId="31">#REF!</definedName>
    <definedName name="TInit" localSheetId="33">#REF!</definedName>
    <definedName name="TInit">#REF!</definedName>
    <definedName name="tipocarencia">#REF!</definedName>
    <definedName name="TipoObra">1</definedName>
    <definedName name="TipoRel">"SBS"</definedName>
    <definedName name="TIR">[111]Resumo_Invest!$E$1</definedName>
    <definedName name="_xlnm.Print_Titles" localSheetId="2">#REF!</definedName>
    <definedName name="_xlnm.Print_Titles" localSheetId="37">'Disposição de Lodo'!$A:$A</definedName>
    <definedName name="_xlnm.Print_Titles" localSheetId="25">'Energia Elétrica'!$A:$A</definedName>
    <definedName name="_xlnm.Print_Titles" localSheetId="8">'Evolução Atendimento'!$B:$B</definedName>
    <definedName name="_xlnm.Print_Titles" localSheetId="17">'Evolução de Rede'!$A:$A</definedName>
    <definedName name="_xlnm.Print_Titles" localSheetId="15">'Evolução Economias'!$A:$A</definedName>
    <definedName name="_xlnm.Print_Titles" localSheetId="16">'Evolução Ligações'!$A:$A</definedName>
    <definedName name="_xlnm.Print_Titles" localSheetId="10">'Evolução Volume'!$A:$A</definedName>
    <definedName name="_xlnm.Print_Titles" localSheetId="4">#REF!</definedName>
    <definedName name="_xlnm.Print_Titles" localSheetId="26">'PQ01-ETA'!$A:$A</definedName>
    <definedName name="_xlnm.Print_Titles" localSheetId="27">'PQ02-ETA'!$A:$A</definedName>
    <definedName name="_xlnm.Print_Titles" localSheetId="28">'PQ03-ETA'!$A:$A</definedName>
    <definedName name="_xlnm.Print_Titles" localSheetId="30">'PQ05-ETA'!$A:$A</definedName>
    <definedName name="_xlnm.Print_Titles" localSheetId="31">'PQ06-ETA'!$A:$A</definedName>
    <definedName name="_xlnm.Print_Titles" localSheetId="33">'PQ08-ETE'!$A:$A</definedName>
    <definedName name="_xlnm.Print_Titles" localSheetId="11">Vazões!$A:$A</definedName>
    <definedName name="_xlnm.Print_Titles">#REF!</definedName>
    <definedName name="TJLP">'[13]Resumo Premissas'!$D$33</definedName>
    <definedName name="tk" localSheetId="4">#REF!</definedName>
    <definedName name="tk">#REF!</definedName>
    <definedName name="TOC" localSheetId="37">#REF!</definedName>
    <definedName name="TOC" localSheetId="17">#REF!</definedName>
    <definedName name="TOC" localSheetId="26">#REF!</definedName>
    <definedName name="TOC" localSheetId="27">#REF!</definedName>
    <definedName name="TOC" localSheetId="30">#REF!</definedName>
    <definedName name="TOC" localSheetId="31">#REF!</definedName>
    <definedName name="TOC" localSheetId="33">#REF!</definedName>
    <definedName name="TOC">#REF!</definedName>
    <definedName name="TOT" localSheetId="2">OFFSET(SRV,,4)</definedName>
    <definedName name="TOT" localSheetId="4">OFFSET(SRV,,4)</definedName>
    <definedName name="TOT" localSheetId="41">OFFSET('Preços Unitários'!SRV,,4)</definedName>
    <definedName name="TOT" localSheetId="23">OFFSET(SRV,,4)</definedName>
    <definedName name="TOT" localSheetId="38">OFFSET(SRV,,4)</definedName>
    <definedName name="TOT">OFFSET(SRV,,4)</definedName>
    <definedName name="Tot_Desconto" localSheetId="37">#REF!</definedName>
    <definedName name="Tot_Desconto" localSheetId="17">#REF!</definedName>
    <definedName name="Tot_Desconto" localSheetId="26">#REF!</definedName>
    <definedName name="Tot_Desconto" localSheetId="27">#REF!</definedName>
    <definedName name="Tot_Desconto" localSheetId="30">#REF!</definedName>
    <definedName name="Tot_Desconto" localSheetId="31">#REF!</definedName>
    <definedName name="Tot_Desconto" localSheetId="33">#REF!</definedName>
    <definedName name="Tot_Desconto">#REF!</definedName>
    <definedName name="Tot_Desp_Fin" localSheetId="37">#REF!</definedName>
    <definedName name="Tot_Desp_Fin" localSheetId="17">#REF!</definedName>
    <definedName name="Tot_Desp_Fin" localSheetId="26">#REF!</definedName>
    <definedName name="Tot_Desp_Fin" localSheetId="27">#REF!</definedName>
    <definedName name="Tot_Desp_Fin" localSheetId="30">#REF!</definedName>
    <definedName name="Tot_Desp_Fin" localSheetId="31">#REF!</definedName>
    <definedName name="Tot_Desp_Fin" localSheetId="33">#REF!</definedName>
    <definedName name="Tot_Desp_Fin">#REF!</definedName>
    <definedName name="Tot_Desp_Oper" localSheetId="37">#REF!</definedName>
    <definedName name="Tot_Desp_Oper" localSheetId="17">#REF!</definedName>
    <definedName name="Tot_Desp_Oper" localSheetId="26">#REF!</definedName>
    <definedName name="Tot_Desp_Oper" localSheetId="27">#REF!</definedName>
    <definedName name="Tot_Desp_Oper" localSheetId="30">#REF!</definedName>
    <definedName name="Tot_Desp_Oper" localSheetId="31">#REF!</definedName>
    <definedName name="Tot_Desp_Oper" localSheetId="33">#REF!</definedName>
    <definedName name="Tot_Desp_Oper">#REF!</definedName>
    <definedName name="Tot_Dupl" localSheetId="37">#REF!</definedName>
    <definedName name="Tot_Dupl" localSheetId="17">#REF!</definedName>
    <definedName name="Tot_Dupl" localSheetId="26">#REF!</definedName>
    <definedName name="Tot_Dupl" localSheetId="27">#REF!</definedName>
    <definedName name="Tot_Dupl" localSheetId="30">#REF!</definedName>
    <definedName name="Tot_Dupl" localSheetId="31">#REF!</definedName>
    <definedName name="Tot_Dupl" localSheetId="33">#REF!</definedName>
    <definedName name="Tot_Dupl">#REF!</definedName>
    <definedName name="Total__MMboe___Year__Production" localSheetId="37">#REF!</definedName>
    <definedName name="Total__MMboe___Year__Production" localSheetId="17">#REF!</definedName>
    <definedName name="Total__MMboe___Year__Production" localSheetId="26">#REF!</definedName>
    <definedName name="Total__MMboe___Year__Production" localSheetId="27">#REF!</definedName>
    <definedName name="Total__MMboe___Year__Production" localSheetId="30">#REF!</definedName>
    <definedName name="Total__MMboe___Year__Production" localSheetId="31">#REF!</definedName>
    <definedName name="Total__MMboe___Year__Production" localSheetId="33">#REF!</definedName>
    <definedName name="Total__MMboe___Year__Production">#REF!</definedName>
    <definedName name="Total__MMboe__Reserves" localSheetId="37">#REF!</definedName>
    <definedName name="Total__MMboe__Reserves" localSheetId="17">#REF!</definedName>
    <definedName name="Total__MMboe__Reserves" localSheetId="26">#REF!</definedName>
    <definedName name="Total__MMboe__Reserves" localSheetId="27">#REF!</definedName>
    <definedName name="Total__MMboe__Reserves" localSheetId="30">#REF!</definedName>
    <definedName name="Total__MMboe__Reserves" localSheetId="31">#REF!</definedName>
    <definedName name="Total__MMboe__Reserves" localSheetId="33">#REF!</definedName>
    <definedName name="Total__MMboe__Reserves">#REF!</definedName>
    <definedName name="Total_Book_Capitalization" localSheetId="37">[17]summary!#REF!</definedName>
    <definedName name="Total_Book_Capitalization" localSheetId="17">[17]summary!#REF!</definedName>
    <definedName name="Total_Book_Capitalization" localSheetId="26">[17]summary!#REF!</definedName>
    <definedName name="Total_Book_Capitalization" localSheetId="27">[17]summary!#REF!</definedName>
    <definedName name="Total_Book_Capitalization" localSheetId="30">[17]summary!#REF!</definedName>
    <definedName name="Total_Book_Capitalization" localSheetId="31">[17]summary!#REF!</definedName>
    <definedName name="Total_Book_Capitalization" localSheetId="33">[17]summary!#REF!</definedName>
    <definedName name="Total_Book_Capitalization">[17]summary!#REF!</definedName>
    <definedName name="Total_Debt___Total_Book_Capitalization" localSheetId="37">#REF!</definedName>
    <definedName name="Total_Debt___Total_Book_Capitalization" localSheetId="17">#REF!</definedName>
    <definedName name="Total_Debt___Total_Book_Capitalization" localSheetId="26">#REF!</definedName>
    <definedName name="Total_Debt___Total_Book_Capitalization" localSheetId="27">#REF!</definedName>
    <definedName name="Total_Debt___Total_Book_Capitalization" localSheetId="30">#REF!</definedName>
    <definedName name="Total_Debt___Total_Book_Capitalization" localSheetId="31">#REF!</definedName>
    <definedName name="Total_Debt___Total_Book_Capitalization" localSheetId="33">#REF!</definedName>
    <definedName name="Total_Debt___Total_Book_Capitalization">#REF!</definedName>
    <definedName name="Total_Debt___Total_Market_Capitalization" localSheetId="37">#REF!</definedName>
    <definedName name="Total_Debt___Total_Market_Capitalization" localSheetId="17">#REF!</definedName>
    <definedName name="Total_Debt___Total_Market_Capitalization" localSheetId="26">#REF!</definedName>
    <definedName name="Total_Debt___Total_Market_Capitalization" localSheetId="27">#REF!</definedName>
    <definedName name="Total_Debt___Total_Market_Capitalization" localSheetId="30">#REF!</definedName>
    <definedName name="Total_Debt___Total_Market_Capitalization" localSheetId="31">#REF!</definedName>
    <definedName name="Total_Debt___Total_Market_Capitalization" localSheetId="33">#REF!</definedName>
    <definedName name="Total_Debt___Total_Market_Capitalization">#REF!</definedName>
    <definedName name="TotalAssets" localSheetId="37">#REF!</definedName>
    <definedName name="TotalAssets" localSheetId="17">#REF!</definedName>
    <definedName name="TotalAssets" localSheetId="26">#REF!</definedName>
    <definedName name="TotalAssets" localSheetId="27">#REF!</definedName>
    <definedName name="TotalAssets" localSheetId="30">#REF!</definedName>
    <definedName name="TotalAssets" localSheetId="31">#REF!</definedName>
    <definedName name="TotalAssets" localSheetId="33">#REF!</definedName>
    <definedName name="TotalAssets">#REF!</definedName>
    <definedName name="TotalDebt" localSheetId="37">#REF!</definedName>
    <definedName name="TotalDebt" localSheetId="17">#REF!</definedName>
    <definedName name="TotalDebt" localSheetId="26">#REF!</definedName>
    <definedName name="TotalDebt" localSheetId="27">#REF!</definedName>
    <definedName name="TotalDebt" localSheetId="30">#REF!</definedName>
    <definedName name="TotalDebt" localSheetId="31">#REF!</definedName>
    <definedName name="TotalDebt" localSheetId="33">#REF!</definedName>
    <definedName name="TotalDebt">#REF!</definedName>
    <definedName name="TotalPref" localSheetId="37">#REF!</definedName>
    <definedName name="TotalPref" localSheetId="17">#REF!</definedName>
    <definedName name="TotalPref" localSheetId="26">#REF!</definedName>
    <definedName name="TotalPref" localSheetId="27">#REF!</definedName>
    <definedName name="TotalPref" localSheetId="30">#REF!</definedName>
    <definedName name="TotalPref" localSheetId="31">#REF!</definedName>
    <definedName name="TotalPref" localSheetId="33">#REF!</definedName>
    <definedName name="TotalPref">#REF!</definedName>
    <definedName name="TPC" localSheetId="37">[17]summary!#REF!</definedName>
    <definedName name="TPC" localSheetId="17">[17]summary!#REF!</definedName>
    <definedName name="TPC" localSheetId="26">[17]summary!#REF!</definedName>
    <definedName name="TPC" localSheetId="27">[17]summary!#REF!</definedName>
    <definedName name="TPC" localSheetId="30">[17]summary!#REF!</definedName>
    <definedName name="TPC" localSheetId="31">[17]summary!#REF!</definedName>
    <definedName name="TPC" localSheetId="33">[17]summary!#REF!</definedName>
    <definedName name="TPC">[17]summary!#REF!</definedName>
    <definedName name="Transp_Table" localSheetId="2">[74]Transportation!$A$12:$AM$267</definedName>
    <definedName name="Transp_Table" localSheetId="4">[74]Transportation!$A$12:$AM$267</definedName>
    <definedName name="Transp_Table">[74]Transportation!$A$12:$AM$267</definedName>
    <definedName name="trig" localSheetId="37">#REF!</definedName>
    <definedName name="trig" localSheetId="17">#REF!</definedName>
    <definedName name="trig" localSheetId="26">#REF!</definedName>
    <definedName name="trig" localSheetId="27">#REF!</definedName>
    <definedName name="trig" localSheetId="30">#REF!</definedName>
    <definedName name="trig" localSheetId="31">#REF!</definedName>
    <definedName name="trig" localSheetId="33">#REF!</definedName>
    <definedName name="trig">#REF!</definedName>
    <definedName name="TROCA" localSheetId="37">#REF!</definedName>
    <definedName name="TROCA" localSheetId="17">#REF!</definedName>
    <definedName name="TROCA" localSheetId="16">#REF!</definedName>
    <definedName name="TROCA" localSheetId="26">#REF!</definedName>
    <definedName name="TROCA" localSheetId="27">#REF!</definedName>
    <definedName name="TROCA" localSheetId="28">#REF!</definedName>
    <definedName name="TROCA" localSheetId="30">#REF!</definedName>
    <definedName name="TROCA" localSheetId="31">#REF!</definedName>
    <definedName name="TROCA" localSheetId="33">#REF!</definedName>
    <definedName name="TROCA">#REF!</definedName>
    <definedName name="TRP" localSheetId="37">[17]summary!#REF!</definedName>
    <definedName name="TRP" localSheetId="17">[17]summary!#REF!</definedName>
    <definedName name="TRP" localSheetId="26">[17]summary!#REF!</definedName>
    <definedName name="TRP" localSheetId="27">[17]summary!#REF!</definedName>
    <definedName name="TRP" localSheetId="30">[17]summary!#REF!</definedName>
    <definedName name="TRP" localSheetId="31">[17]summary!#REF!</definedName>
    <definedName name="TRP" localSheetId="33">[17]summary!#REF!</definedName>
    <definedName name="TRP">[17]summary!#REF!</definedName>
    <definedName name="TSLow" localSheetId="37">#REF!</definedName>
    <definedName name="TSLow" localSheetId="17">#REF!</definedName>
    <definedName name="TSLow" localSheetId="26">#REF!</definedName>
    <definedName name="TSLow" localSheetId="27">#REF!</definedName>
    <definedName name="TSLow" localSheetId="30">#REF!</definedName>
    <definedName name="TSLow" localSheetId="31">#REF!</definedName>
    <definedName name="TSLow" localSheetId="33">#REF!</definedName>
    <definedName name="TSLow">#REF!</definedName>
    <definedName name="TUDO">#REF!</definedName>
    <definedName name="TUDOTUDO">#REF!</definedName>
    <definedName name="tukdg">[30]RELATA!$A$1:$AA$335</definedName>
    <definedName name="Turnkey_Table1" localSheetId="37">#REF!</definedName>
    <definedName name="Turnkey_Table1" localSheetId="17">#REF!</definedName>
    <definedName name="Turnkey_Table1" localSheetId="26">#REF!</definedName>
    <definedName name="Turnkey_Table1" localSheetId="27">#REF!</definedName>
    <definedName name="Turnkey_Table1" localSheetId="30">#REF!</definedName>
    <definedName name="Turnkey_Table1" localSheetId="31">#REF!</definedName>
    <definedName name="Turnkey_Table1" localSheetId="33">#REF!</definedName>
    <definedName name="Turnkey_Table1">#REF!</definedName>
    <definedName name="tvc" localSheetId="37">[66]MATRIX!#REF!</definedName>
    <definedName name="tvc" localSheetId="17">[66]MATRIX!#REF!</definedName>
    <definedName name="tvc" localSheetId="26">[66]MATRIX!#REF!</definedName>
    <definedName name="tvc" localSheetId="27">[66]MATRIX!#REF!</definedName>
    <definedName name="tvc" localSheetId="30">[66]MATRIX!#REF!</definedName>
    <definedName name="tvc" localSheetId="31">[66]MATRIX!#REF!</definedName>
    <definedName name="tvc" localSheetId="33">[66]MATRIX!#REF!</definedName>
    <definedName name="tvc">[66]MATRIX!#REF!</definedName>
    <definedName name="Tx_EUR" localSheetId="37">#REF!</definedName>
    <definedName name="Tx_EUR" localSheetId="17">#REF!</definedName>
    <definedName name="Tx_EUR" localSheetId="26">#REF!</definedName>
    <definedName name="Tx_EUR" localSheetId="27">#REF!</definedName>
    <definedName name="Tx_EUR" localSheetId="30">#REF!</definedName>
    <definedName name="Tx_EUR" localSheetId="31">#REF!</definedName>
    <definedName name="Tx_EUR" localSheetId="33">#REF!</definedName>
    <definedName name="Tx_EUR">#REF!</definedName>
    <definedName name="Tx_US" localSheetId="37">#REF!</definedName>
    <definedName name="Tx_US" localSheetId="17">#REF!</definedName>
    <definedName name="Tx_US" localSheetId="26">#REF!</definedName>
    <definedName name="Tx_US" localSheetId="27">#REF!</definedName>
    <definedName name="Tx_US" localSheetId="30">#REF!</definedName>
    <definedName name="Tx_US" localSheetId="31">#REF!</definedName>
    <definedName name="Tx_US" localSheetId="33">#REF!</definedName>
    <definedName name="Tx_US">#REF!</definedName>
    <definedName name="type" localSheetId="37">#REF!</definedName>
    <definedName name="type" localSheetId="17">#REF!</definedName>
    <definedName name="type" localSheetId="26">#REF!</definedName>
    <definedName name="type" localSheetId="27">#REF!</definedName>
    <definedName name="type" localSheetId="30">#REF!</definedName>
    <definedName name="type" localSheetId="31">#REF!</definedName>
    <definedName name="type" localSheetId="33">#REF!</definedName>
    <definedName name="type">#REF!</definedName>
    <definedName name="TYUIO" localSheetId="2" hidden="1">{#N/A,#N/A,TRUE,"Serviços"}</definedName>
    <definedName name="TYUIO" localSheetId="4" hidden="1">{#N/A,#N/A,TRUE,"Serviços"}</definedName>
    <definedName name="TYUIO" hidden="1">{#N/A,#N/A,TRUE,"Serviços"}</definedName>
    <definedName name="U" localSheetId="2" hidden="1">{#N/A,#N/A,FALSE,"ati1294";#N/A,#N/A,FALSE,"pas1294";#N/A,#N/A,FALSE,"res1294"}</definedName>
    <definedName name="U" localSheetId="4" hidden="1">{#N/A,#N/A,FALSE,"ati1294";#N/A,#N/A,FALSE,"pas1294";#N/A,#N/A,FALSE,"res1294"}</definedName>
    <definedName name="U" hidden="1">{#N/A,#N/A,FALSE,"ati1294";#N/A,#N/A,FALSE,"pas1294";#N/A,#N/A,FALSE,"res1294"}</definedName>
    <definedName name="UBB_UTEJF" localSheetId="2" hidden="1">{#N/A,#N/A,FALSE,"ANEXO3 99 ERA";#N/A,#N/A,FALSE,"ANEXO3 99 UBÁ2";#N/A,#N/A,FALSE,"ANEXO3 99 DTU";#N/A,#N/A,FALSE,"ANEXO3 99 RDR";#N/A,#N/A,FALSE,"ANEXO3 99 UBÁ4";#N/A,#N/A,FALSE,"ANEXO3 99 UBÁ6"}</definedName>
    <definedName name="UBB_UTEJF" localSheetId="4" hidden="1">{#N/A,#N/A,FALSE,"ANEXO3 99 ERA";#N/A,#N/A,FALSE,"ANEXO3 99 UBÁ2";#N/A,#N/A,FALSE,"ANEXO3 99 DTU";#N/A,#N/A,FALSE,"ANEXO3 99 RDR";#N/A,#N/A,FALSE,"ANEXO3 99 UBÁ4";#N/A,#N/A,FALSE,"ANEXO3 99 UBÁ6"}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ujtu">[112]RELATA!$A$1:$AA$335</definedName>
    <definedName name="UM" localSheetId="4">#REF!</definedName>
    <definedName name="UM">#REF!</definedName>
    <definedName name="UnleveredBetas" localSheetId="37">#REF!</definedName>
    <definedName name="UnleveredBetas" localSheetId="17">#REF!</definedName>
    <definedName name="UnleveredBetas" localSheetId="26">#REF!</definedName>
    <definedName name="UnleveredBetas" localSheetId="27">#REF!</definedName>
    <definedName name="UnleveredBetas" localSheetId="30">#REF!</definedName>
    <definedName name="UnleveredBetas" localSheetId="31">#REF!</definedName>
    <definedName name="UnleveredBetas" localSheetId="33">#REF!</definedName>
    <definedName name="UnleveredBetas">#REF!</definedName>
    <definedName name="UseAllCash">2</definedName>
    <definedName name="User" localSheetId="37">#REF!</definedName>
    <definedName name="User" localSheetId="17">#REF!</definedName>
    <definedName name="User" localSheetId="26">#REF!</definedName>
    <definedName name="User" localSheetId="27">#REF!</definedName>
    <definedName name="User" localSheetId="30">#REF!</definedName>
    <definedName name="User" localSheetId="31">#REF!</definedName>
    <definedName name="User" localSheetId="33">#REF!</definedName>
    <definedName name="User">#REF!</definedName>
    <definedName name="ut">'[113]RELATA VÉIO'!$A$1:$AA$335</definedName>
    <definedName name="uu" localSheetId="2" hidden="1">{#N/A,#N/A,FALSE,"FFCXOUT3"}</definedName>
    <definedName name="uu" localSheetId="4" hidden="1">{#N/A,#N/A,FALSE,"FFCXOUT3"}</definedName>
    <definedName name="uu" hidden="1">{#N/A,#N/A,FALSE,"FFCXOUT3"}</definedName>
    <definedName name="UUUUUUUUUUUUUUUUUUUUUUUUUUUU" localSheetId="37">#REF!</definedName>
    <definedName name="UUUUUUUUUUUUUUUUUUUUUUUUUUUU" localSheetId="17">#REF!</definedName>
    <definedName name="UUUUUUUUUUUUUUUUUUUUUUUUUUUU" localSheetId="26">#REF!</definedName>
    <definedName name="UUUUUUUUUUUUUUUUUUUUUUUUUUUU" localSheetId="27">#REF!</definedName>
    <definedName name="UUUUUUUUUUUUUUUUUUUUUUUUUUUU" localSheetId="30">#REF!</definedName>
    <definedName name="UUUUUUUUUUUUUUUUUUUUUUUUUUUU" localSheetId="31">#REF!</definedName>
    <definedName name="UUUUUUUUUUUUUUUUUUUUUUUUUUUU" localSheetId="33">#REF!</definedName>
    <definedName name="UUUUUUUUUUUUUUUUUUUUUUUUUUUU">#REF!</definedName>
    <definedName name="V" localSheetId="2" hidden="1">{#N/A,#N/A,FALSE,"ati1294";#N/A,#N/A,FALSE,"pas1294";#N/A,#N/A,FALSE,"res1294"}</definedName>
    <definedName name="V" localSheetId="4" hidden="1">{#N/A,#N/A,FALSE,"ati1294";#N/A,#N/A,FALSE,"pas1294";#N/A,#N/A,FALSE,"res1294"}</definedName>
    <definedName name="V" hidden="1">{#N/A,#N/A,FALSE,"ati1294";#N/A,#N/A,FALSE,"pas1294";#N/A,#N/A,FALSE,"res1294"}</definedName>
    <definedName name="vabasdfbv" hidden="1">#REF!</definedName>
    <definedName name="vadfvadvfe" hidden="1">#REF!</definedName>
    <definedName name="vadvafva" hidden="1">#REF!</definedName>
    <definedName name="VAL" localSheetId="37">[29]DCF!#REF!</definedName>
    <definedName name="VAL" localSheetId="17">[29]DCF!#REF!</definedName>
    <definedName name="VAL" localSheetId="26">[29]DCF!#REF!</definedName>
    <definedName name="VAL" localSheetId="27">[29]DCF!#REF!</definedName>
    <definedName name="VAL" localSheetId="30">[29]DCF!#REF!</definedName>
    <definedName name="VAL" localSheetId="31">[29]DCF!#REF!</definedName>
    <definedName name="VAL" localSheetId="33">[29]DCF!#REF!</definedName>
    <definedName name="VAL">[29]DCF!#REF!</definedName>
    <definedName name="Val_Real" localSheetId="37">#REF!</definedName>
    <definedName name="Val_Real" localSheetId="17">#REF!</definedName>
    <definedName name="Val_Real" localSheetId="26">#REF!</definedName>
    <definedName name="Val_Real" localSheetId="27">#REF!</definedName>
    <definedName name="Val_Real" localSheetId="30">#REF!</definedName>
    <definedName name="Val_Real" localSheetId="31">#REF!</definedName>
    <definedName name="Val_Real" localSheetId="33">#REF!</definedName>
    <definedName name="Val_Real">#REF!</definedName>
    <definedName name="Val_US" localSheetId="37">#REF!</definedName>
    <definedName name="Val_US" localSheetId="17">#REF!</definedName>
    <definedName name="Val_US" localSheetId="26">#REF!</definedName>
    <definedName name="Val_US" localSheetId="27">#REF!</definedName>
    <definedName name="Val_US" localSheetId="30">#REF!</definedName>
    <definedName name="Val_US" localSheetId="31">#REF!</definedName>
    <definedName name="Val_US" localSheetId="33">#REF!</definedName>
    <definedName name="Val_US">#REF!</definedName>
    <definedName name="VALOR">[114]Pgtos!$H$10:$H$3383</definedName>
    <definedName name="ValuationStart">[115]DCF!$E$4</definedName>
    <definedName name="Value_label" localSheetId="4">#REF!</definedName>
    <definedName name="Value_label">#REF!</definedName>
    <definedName name="VAX_ANT" localSheetId="37">#REF!</definedName>
    <definedName name="VAX_ANT" localSheetId="17">#REF!</definedName>
    <definedName name="VAX_ANT" localSheetId="16">#REF!</definedName>
    <definedName name="VAX_ANT" localSheetId="26">#REF!</definedName>
    <definedName name="VAX_ANT" localSheetId="27">#REF!</definedName>
    <definedName name="VAX_ANT" localSheetId="28">#REF!</definedName>
    <definedName name="VAX_ANT" localSheetId="30">#REF!</definedName>
    <definedName name="VAX_ANT" localSheetId="31">#REF!</definedName>
    <definedName name="VAX_ANT" localSheetId="33">#REF!</definedName>
    <definedName name="VAX_ANT">#REF!</definedName>
    <definedName name="Ve">#REF!</definedName>
    <definedName name="vevsdvsdv" hidden="1">#REF!</definedName>
    <definedName name="vfdsgtys" hidden="1">#REF!</definedName>
    <definedName name="VLIndex">#REF!</definedName>
    <definedName name="VME" localSheetId="2">#N/A</definedName>
    <definedName name="VME" localSheetId="4">#N/A</definedName>
    <definedName name="VME" localSheetId="41">'Preços Unitários'!VME</definedName>
    <definedName name="VME" localSheetId="23">'Recursos Humanos 1'!VME</definedName>
    <definedName name="VME" localSheetId="38">'Veículos e Equipamentos'!VME</definedName>
    <definedName name="VME">'Preços Unitários'!VME</definedName>
    <definedName name="VPLFCFE" localSheetId="4">#REF!</definedName>
    <definedName name="VPLFCFE">#REF!</definedName>
    <definedName name="VPLFCFF" localSheetId="4">#REF!</definedName>
    <definedName name="VPLFCFF">#REF!</definedName>
    <definedName name="VPV" localSheetId="37">#REF!</definedName>
    <definedName name="VPV" localSheetId="17">#REF!</definedName>
    <definedName name="VPV" localSheetId="26">#REF!</definedName>
    <definedName name="VPV" localSheetId="27">#REF!</definedName>
    <definedName name="VPV" localSheetId="30">#REF!</definedName>
    <definedName name="VPV" localSheetId="31">#REF!</definedName>
    <definedName name="VPV" localSheetId="33">#REF!</definedName>
    <definedName name="VPV">#REF!</definedName>
    <definedName name="vqvdsvcsd" hidden="1">#REF!</definedName>
    <definedName name="VRL" localSheetId="37">#REF!</definedName>
    <definedName name="VRL" localSheetId="17">#REF!</definedName>
    <definedName name="VRL" localSheetId="16">#REF!</definedName>
    <definedName name="VRL" localSheetId="26">#REF!</definedName>
    <definedName name="VRL" localSheetId="27">#REF!</definedName>
    <definedName name="VRL" localSheetId="28">#REF!</definedName>
    <definedName name="VRL" localSheetId="30">#REF!</definedName>
    <definedName name="VRL" localSheetId="31">#REF!</definedName>
    <definedName name="VRL" localSheetId="33">#REF!</definedName>
    <definedName name="VRL">#REF!</definedName>
    <definedName name="VRL0" localSheetId="37">#REF!</definedName>
    <definedName name="VRL0" localSheetId="17">#REF!</definedName>
    <definedName name="VRL0" localSheetId="16">#REF!</definedName>
    <definedName name="VRL0" localSheetId="26">#REF!</definedName>
    <definedName name="VRL0" localSheetId="27">#REF!</definedName>
    <definedName name="VRL0" localSheetId="28">#REF!</definedName>
    <definedName name="VRL0" localSheetId="30">#REF!</definedName>
    <definedName name="VRL0" localSheetId="31">#REF!</definedName>
    <definedName name="VRL0" localSheetId="33">#REF!</definedName>
    <definedName name="VRL0">#REF!</definedName>
    <definedName name="vsdvsdvs" hidden="1">#REF!</definedName>
    <definedName name="VSEZonas">'[52]#REF'!$A$1:$AQ$250</definedName>
    <definedName name="vt">[57]Salários!$F$10</definedName>
    <definedName name="VV" localSheetId="37">#REF!</definedName>
    <definedName name="VV" localSheetId="17">#REF!</definedName>
    <definedName name="VV" localSheetId="26">#REF!</definedName>
    <definedName name="VV" localSheetId="27">#REF!</definedName>
    <definedName name="VV" localSheetId="30">#REF!</definedName>
    <definedName name="VV" localSheetId="31">#REF!</definedName>
    <definedName name="VV" localSheetId="33">#REF!</definedName>
    <definedName name="VV">#REF!</definedName>
    <definedName name="vvvcx" hidden="1">#REF!</definedName>
    <definedName name="vvvvv" hidden="1">#REF!</definedName>
    <definedName name="vxcvxvdfb" hidden="1">#REF!</definedName>
    <definedName name="vzvzdvabd" hidden="1">#REF!</definedName>
    <definedName name="w">[116]Cotações!$G$42</definedName>
    <definedName name="WACC" localSheetId="37">#REF!</definedName>
    <definedName name="WACC" localSheetId="17">#REF!</definedName>
    <definedName name="WACC" localSheetId="26">#REF!</definedName>
    <definedName name="WACC" localSheetId="27">#REF!</definedName>
    <definedName name="WACC" localSheetId="30">#REF!</definedName>
    <definedName name="WACC" localSheetId="31">#REF!</definedName>
    <definedName name="WACC" localSheetId="33">#REF!</definedName>
    <definedName name="WACC">#REF!</definedName>
    <definedName name="WarrantPrice" localSheetId="37">#REF!</definedName>
    <definedName name="WarrantPrice" localSheetId="17">#REF!</definedName>
    <definedName name="WarrantPrice" localSheetId="26">#REF!</definedName>
    <definedName name="WarrantPrice" localSheetId="27">#REF!</definedName>
    <definedName name="WarrantPrice" localSheetId="30">#REF!</definedName>
    <definedName name="WarrantPrice" localSheetId="31">#REF!</definedName>
    <definedName name="WarrantPrice" localSheetId="33">#REF!</definedName>
    <definedName name="WarrantPrice">#REF!</definedName>
    <definedName name="Warrants" localSheetId="37">#REF!</definedName>
    <definedName name="Warrants" localSheetId="17">#REF!</definedName>
    <definedName name="Warrants" localSheetId="26">#REF!</definedName>
    <definedName name="Warrants" localSheetId="27">#REF!</definedName>
    <definedName name="Warrants" localSheetId="30">#REF!</definedName>
    <definedName name="Warrants" localSheetId="31">#REF!</definedName>
    <definedName name="Warrants" localSheetId="33">#REF!</definedName>
    <definedName name="Warrants">#REF!</definedName>
    <definedName name="WASO" localSheetId="37">#REF!</definedName>
    <definedName name="WASO" localSheetId="17">#REF!</definedName>
    <definedName name="WASO" localSheetId="26">#REF!</definedName>
    <definedName name="WASO" localSheetId="27">#REF!</definedName>
    <definedName name="WASO" localSheetId="30">#REF!</definedName>
    <definedName name="WASO" localSheetId="31">#REF!</definedName>
    <definedName name="WASO" localSheetId="33">#REF!</definedName>
    <definedName name="WASO">#REF!</definedName>
    <definedName name="WE" localSheetId="37">[17]summary!#REF!</definedName>
    <definedName name="WE" localSheetId="17">[17]summary!#REF!</definedName>
    <definedName name="WE" localSheetId="26">[17]summary!#REF!</definedName>
    <definedName name="WE" localSheetId="27">[17]summary!#REF!</definedName>
    <definedName name="WE" localSheetId="30">[17]summary!#REF!</definedName>
    <definedName name="WE" localSheetId="31">[17]summary!#REF!</definedName>
    <definedName name="WE" localSheetId="33">[17]summary!#REF!</definedName>
    <definedName name="WE">[17]summary!#REF!</definedName>
    <definedName name="wew">[117]RELATA!$A$1:$AA$335</definedName>
    <definedName name="WGR" localSheetId="37">[17]summary!#REF!</definedName>
    <definedName name="WGR" localSheetId="17">[17]summary!#REF!</definedName>
    <definedName name="WGR" localSheetId="26">[17]summary!#REF!</definedName>
    <definedName name="WGR" localSheetId="27">[17]summary!#REF!</definedName>
    <definedName name="WGR" localSheetId="30">[17]summary!#REF!</definedName>
    <definedName name="WGR" localSheetId="31">[17]summary!#REF!</definedName>
    <definedName name="WGR" localSheetId="33">[17]summary!#REF!</definedName>
    <definedName name="WGR">[17]summary!#REF!</definedName>
    <definedName name="WMB" localSheetId="37">[17]summary!#REF!</definedName>
    <definedName name="WMB" localSheetId="17">[17]summary!#REF!</definedName>
    <definedName name="WMB" localSheetId="26">[17]summary!#REF!</definedName>
    <definedName name="WMB" localSheetId="27">[17]summary!#REF!</definedName>
    <definedName name="WMB" localSheetId="30">[17]summary!#REF!</definedName>
    <definedName name="WMB" localSheetId="31">[17]summary!#REF!</definedName>
    <definedName name="WMB" localSheetId="33">[17]summary!#REF!</definedName>
    <definedName name="WMB">[17]summary!#REF!</definedName>
    <definedName name="WORKIVST" localSheetId="37">#REF!</definedName>
    <definedName name="WORKIVST" localSheetId="17">#REF!</definedName>
    <definedName name="WORKIVST" localSheetId="26">#REF!</definedName>
    <definedName name="WORKIVST" localSheetId="27">#REF!</definedName>
    <definedName name="WORKIVST" localSheetId="30">#REF!</definedName>
    <definedName name="WORKIVST" localSheetId="31">#REF!</definedName>
    <definedName name="WORKIVST" localSheetId="33">#REF!</definedName>
    <definedName name="WORKIVST">#REF!</definedName>
    <definedName name="wq" localSheetId="2" hidden="1">{"'PXR_6500'!$A$1:$I$124"}</definedName>
    <definedName name="wq" localSheetId="4" hidden="1">{"'PXR_6500'!$A$1:$I$124"}</definedName>
    <definedName name="wq" hidden="1">{"'PXR_6500'!$A$1:$I$124"}</definedName>
    <definedName name="wrn.02INFORME." localSheetId="2" hidden="1">{"NORMAL",#N/A,FALSE,"02"}</definedName>
    <definedName name="wrn.02INFORME." localSheetId="4" hidden="1">{"NORMAL",#N/A,FALSE,"02"}</definedName>
    <definedName name="wrn.02INFORME." hidden="1">{"NORMAL",#N/A,FALSE,"02"}</definedName>
    <definedName name="wrn.2._.pagers." localSheetId="2" hidden="1">{"Cover",#N/A,FALSE,"Cover";"Summary",#N/A,FALSE,"Summarpage"}</definedName>
    <definedName name="wrn.2._.pagers." localSheetId="4" hidden="1">{"Cover",#N/A,FALSE,"Cover";"Summary",#N/A,FALSE,"Summarpage"}</definedName>
    <definedName name="wrn.2._.pagers." hidden="1">{"Cover",#N/A,FALSE,"Cover";"Summary",#N/A,FALSE,"Summarpage"}</definedName>
    <definedName name="wrn.Acquisition_matrix." localSheetId="2" hidden="1">{"Acq_matrix",#N/A,FALSE,"Acquisition Matrix"}</definedName>
    <definedName name="wrn.Acquisition_matrix." localSheetId="4" hidden="1">{"Acq_matrix",#N/A,FALSE,"Acquisition Matrix"}</definedName>
    <definedName name="wrn.Acquisition_matrix." localSheetId="41" hidden="1">{"Acq_matrix",#N/A,FALSE,"Acquisition Matrix"}</definedName>
    <definedName name="wrn.Acquisition_matrix." localSheetId="23" hidden="1">{"Acq_matrix",#N/A,FALSE,"Acquisition Matrix"}</definedName>
    <definedName name="wrn.Acquisition_matrix." localSheetId="38" hidden="1">{"Acq_matrix",#N/A,FALSE,"Acquisition Matrix"}</definedName>
    <definedName name="wrn.Acquisition_matrix." hidden="1">{"Acq_matrix",#N/A,FALSE,"Acquisition Matrix"}</definedName>
    <definedName name="wrn.Adm1." localSheetId="2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localSheetId="4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inistracion." localSheetId="2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vertising._.Acum._.Julio._.00." localSheetId="2" hidden="1">{#N/A,#N/A,FALSE,"Acum Julio - 00"}</definedName>
    <definedName name="wrn.Advertising._.Acum._.Julio._.00." localSheetId="4" hidden="1">{#N/A,#N/A,FALSE,"Acum Julio - 00"}</definedName>
    <definedName name="wrn.Advertising._.Acum._.Julio._.00." hidden="1">{#N/A,#N/A,FALSE,"Acum Julio - 00"}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4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4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2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2" hidden="1">{#N/A,#N/A,FALSE,"cpt"}</definedName>
    <definedName name="wrn.all." localSheetId="4" hidden="1">{#N/A,#N/A,FALSE,"cpt"}</definedName>
    <definedName name="wrn.all." localSheetId="41" hidden="1">{#N/A,#N/A,FALSE,"cpt"}</definedName>
    <definedName name="wrn.all." localSheetId="23" hidden="1">{#N/A,#N/A,FALSE,"cpt"}</definedName>
    <definedName name="wrn.all." localSheetId="38" hidden="1">{#N/A,#N/A,FALSE,"cpt"}</definedName>
    <definedName name="wrn.all." hidden="1">{#N/A,#N/A,FALSE,"cpt"}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pages." localSheetId="2" hidden="1">{#N/A,#N/A,TRUE,"Historicals";#N/A,#N/A,TRUE,"Charts";#N/A,#N/A,TRUE,"Forecasts"}</definedName>
    <definedName name="wrn.allpages." localSheetId="4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2" hidden="1">{#N/A,#N/A,FALSE,"BALANCE";#N/A,#N/A,FALSE,"CUENTA DE PYG";#N/A,#N/A,FALSE,"RATIOS"}</definedName>
    <definedName name="wrn.ANALISIS._.SENSIBILIDAD." localSheetId="4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0300." localSheetId="2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localSheetId="4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localSheetId="2" hidden="1">{#N/A,#N/A,FALSE,"ANEXO3 99 ERA";#N/A,#N/A,FALSE,"ANEXO3 99 UBÁ2";#N/A,#N/A,FALSE,"ANEXO3 99 DTU";#N/A,#N/A,FALSE,"ANEXO3 99 RDR";#N/A,#N/A,FALSE,"ANEXO3 99 UBÁ4";#N/A,#N/A,FALSE,"ANEXO3 99 UBÁ6"}</definedName>
    <definedName name="wrn.ANEXO0399." localSheetId="4" hidden="1">{#N/A,#N/A,FALSE,"ANEXO3 99 ERA";#N/A,#N/A,FALSE,"ANEXO3 99 UBÁ2";#N/A,#N/A,FALSE,"ANEXO3 99 DTU";#N/A,#N/A,FALSE,"ANEXO3 99 RDR";#N/A,#N/A,FALSE,"ANEXO3 99 UBÁ4";#N/A,#N/A,FALSE,"ANEXO3 99 UBÁ6"}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AQUIROR._.DCF." localSheetId="2" hidden="1">{"AQUIRORDCF",#N/A,FALSE,"Merger consequences";"Acquirorassns",#N/A,FALSE,"Merger consequences"}</definedName>
    <definedName name="wrn.AQUIROR._.DCF." localSheetId="4" hidden="1">{"AQUIRORDCF",#N/A,FALSE,"Merger consequences";"Acquirorassns",#N/A,FALSE,"Merger consequences"}</definedName>
    <definedName name="wrn.AQUIROR._.DCF." localSheetId="41" hidden="1">{"AQUIRORDCF",#N/A,FALSE,"Merger consequences";"Acquirorassns",#N/A,FALSE,"Merger consequences"}</definedName>
    <definedName name="wrn.AQUIROR._.DCF." localSheetId="23" hidden="1">{"AQUIRORDCF",#N/A,FALSE,"Merger consequences";"Acquirorassns",#N/A,FALSE,"Merger consequences"}</definedName>
    <definedName name="wrn.AQUIROR._.DCF." localSheetId="38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BALOVER1." localSheetId="2" hidden="1">{#N/A,#N/A,FALSE,"ati1294";#N/A,#N/A,FALSE,"pas1294";#N/A,#N/A,FALSE,"res1294"}</definedName>
    <definedName name="wrn.BALOVER1." localSheetId="4" hidden="1">{#N/A,#N/A,FALSE,"ati1294";#N/A,#N/A,FALSE,"pas1294";#N/A,#N/A,FALSE,"res1294"}</definedName>
    <definedName name="wrn.BALOVER1." hidden="1">{#N/A,#N/A,FALSE,"ati1294";#N/A,#N/A,FALSE,"pas1294";#N/A,#N/A,FALSE,"res1294"}</definedName>
    <definedName name="wrn.baseDEV." localSheetId="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2" hidden="1">{"Board Income Statement",#N/A,FALSE,"Board Summary";"Board Balance Sheet",#N/A,FALSE,"Board Summary";"Board Cash Flow",#N/A,FALSE,"Board Summary"}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2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4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4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23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O._.BASE." localSheetId="2" hidden="1">{"SCENARIOS",#N/A,FALSE,"Resumen de escenario";"INFORHIPOT",#N/A,FALSE,"hipotesis";"INFORA8",#N/A,FALSE,"A-8";"INFORSS",#N/A,FALSE,"SSUR";"SCENARIOS",#N/A,FALSE,"consolidado"}</definedName>
    <definedName name="wrn.CASO._.BASE." localSheetId="4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CO." localSheetId="2" hidden="1">{"Page1",#N/A,FALSE,"CompCo";"Page2",#N/A,FALSE,"CompCo"}</definedName>
    <definedName name="wrn.COMPCO." localSheetId="4" hidden="1">{"Page1",#N/A,FALSE,"CompCo";"Page2",#N/A,FALSE,"CompCo"}</definedName>
    <definedName name="wrn.COMPCO." localSheetId="41" hidden="1">{"Page1",#N/A,FALSE,"CompCo";"Page2",#N/A,FALSE,"CompCo"}</definedName>
    <definedName name="wrn.COMPCO." localSheetId="23" hidden="1">{"Page1",#N/A,FALSE,"CompCo";"Page2",#N/A,FALSE,"CompCo"}</definedName>
    <definedName name="wrn.COMPCO." localSheetId="38" hidden="1">{"Page1",#N/A,FALSE,"CompCo";"Page2",#N/A,FALSE,"CompCo"}</definedName>
    <definedName name="wrn.COMPCO." hidden="1">{"Page1",#N/A,FALSE,"CompCo";"Page2",#N/A,FALSE,"CompCo"}</definedName>
    <definedName name="wrn.Complete." localSheetId="2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taçõesDiáriasAGO95." localSheetId="2" hidden="1">{"CotaçõesDiáriasAGO95",#N/A,FALSE,"CotaçõesDiáriasJUL95"}</definedName>
    <definedName name="wrn.CotaçõesDiáriasAGO95." localSheetId="4" hidden="1">{"CotaçõesDiáriasAGO95",#N/A,FALSE,"CotaçõesDiáriasJUL95"}</definedName>
    <definedName name="wrn.CotaçõesDiáriasAGO95." hidden="1">{"CotaçõesDiáriasAGO95",#N/A,FALSE,"CotaçõesDiáriasJUL95"}</definedName>
    <definedName name="wrn.CotaçõesDiáriasJUL95." localSheetId="2" hidden="1">{"COTAÇÕESDIÁRIASJUL95",#N/A,FALSE,"CotaçõesDiáriasJUL95"}</definedName>
    <definedName name="wrn.CotaçõesDiáriasJUL95." localSheetId="4" hidden="1">{"COTAÇÕESDIÁRIASJUL95",#N/A,FALSE,"CotaçõesDiáriasJUL95"}</definedName>
    <definedName name="wrn.CotaçõesDiáriasJUL95." hidden="1">{"COTAÇÕESDIÁRIASJUL95",#N/A,FALSE,"CotaçõesDiáriasJUL95"}</definedName>
    <definedName name="wrn.cxdia." localSheetId="2" hidden="1">{#N/A,#N/A,FALSE,"FFCXOUT3"}</definedName>
    <definedName name="wrn.cxdia." localSheetId="4" hidden="1">{#N/A,#N/A,FALSE,"FFCXOUT3"}</definedName>
    <definedName name="wrn.cxdia." hidden="1">{#N/A,#N/A,FALSE,"FFCXOUT3"}</definedName>
    <definedName name="wrn.cxdiager." localSheetId="2" hidden="1">{#N/A,#N/A,FALSE,"FFCXOUT3"}</definedName>
    <definedName name="wrn.cxdiager." localSheetId="4" hidden="1">{#N/A,#N/A,FALSE,"FFCXOUT3"}</definedName>
    <definedName name="wrn.cxdiager." hidden="1">{#N/A,#N/A,FALSE,"FFCXOUT3"}</definedName>
    <definedName name="wrn.DCF_Terminal_Value_qchm." localSheetId="2" hidden="1">{"qchm_dcf",#N/A,FALSE,"QCHMDCF2";"qchm_terminal",#N/A,FALSE,"QCHMDCF2"}</definedName>
    <definedName name="wrn.DCF_Terminal_Value_qchm." localSheetId="4" hidden="1">{"qchm_dcf",#N/A,FALSE,"QCHMDCF2";"qchm_terminal",#N/A,FALSE,"QCHMDCF2"}</definedName>
    <definedName name="wrn.DCF_Terminal_Value_qchm." localSheetId="41" hidden="1">{"qchm_dcf",#N/A,FALSE,"QCHMDCF2";"qchm_terminal",#N/A,FALSE,"QCHMDCF2"}</definedName>
    <definedName name="wrn.DCF_Terminal_Value_qchm." localSheetId="23" hidden="1">{"qchm_dcf",#N/A,FALSE,"QCHMDCF2";"qchm_terminal",#N/A,FALSE,"QCHMDCF2"}</definedName>
    <definedName name="wrn.DCF_Terminal_Value_qchm." localSheetId="38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一括印刷." localSheetId="2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CIMAL." localSheetId="2" hidden="1">{"DECIMAL",#N/A,FALSE,"02"}</definedName>
    <definedName name="wrn.DECIMAL." localSheetId="4" hidden="1">{"DECIMAL",#N/A,FALSE,"02"}</definedName>
    <definedName name="wrn.DECIMAL." hidden="1">{"DECIMAL",#N/A,FALSE,"02"}</definedName>
    <definedName name="wrn.def9806." localSheetId="2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hidden="1">{#N/A,#N/A,FALSE,"DEF1";#N/A,#N/A,FALSE,"DEF2";#N/A,#N/A,FALSE,"DEF3"}</definedName>
    <definedName name="wrn.DESDOBRE." localSheetId="2" hidden="1">{#N/A,#N/A,FALSE,"CPV";#N/A,#N/A,FALSE,"Pareto";#N/A,#N/A,FALSE,"Gráficos"}</definedName>
    <definedName name="wrn.DESDOBRE." localSheetId="4" hidden="1">{#N/A,#N/A,FALSE,"CPV";#N/A,#N/A,FALSE,"Pareto";#N/A,#N/A,FALSE,"Gráficos"}</definedName>
    <definedName name="wrn.DESDOBRE." hidden="1">{#N/A,#N/A,FALSE,"CPV";#N/A,#N/A,FALSE,"Pareto";#N/A,#N/A,FALSE,"Gráficos"}</definedName>
    <definedName name="wrn.DespesasPorArea." localSheetId="2" hidden="1">{"TotalGeralDespesasPorArea",#N/A,FALSE,"VinculosAccessEfetivo"}</definedName>
    <definedName name="wrn.DespesasPorArea." localSheetId="4" hidden="1">{"TotalGeralDespesasPorArea",#N/A,FALSE,"VinculosAccessEfetivo"}</definedName>
    <definedName name="wrn.DespesasPorArea." hidden="1">{"TotalGeralDespesasPorArea",#N/A,FALSE,"VinculosAccessEfetivo"}</definedName>
    <definedName name="wrn.Entire._.Model." localSheetId="2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4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41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23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38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stimation._.TP." localSheetId="2" hidden="1">{#N/A,#N/A,TRUE,"Recap";#N/A,#N/A,TRUE,"Comp taux";#N/A,#N/A,TRUE,"Deplaf";#N/A,#N/A,TRUE,"Siége";#N/A,#N/A,TRUE,"Saint Ouen";#N/A,#N/A,TRUE,"Ivry";#N/A,#N/A,TRUE,"Issy";#N/A,#N/A,TRUE,"VA"}</definedName>
    <definedName name="wrn.Estimation._.TP." localSheetId="4" hidden="1">{#N/A,#N/A,TRUE,"Recap";#N/A,#N/A,TRUE,"Comp taux";#N/A,#N/A,TRUE,"Deplaf";#N/A,#N/A,TRUE,"Siége";#N/A,#N/A,TRUE,"Saint Ouen";#N/A,#N/A,TRUE,"Ivry";#N/A,#N/A,TRUE,"Issy";#N/A,#N/A,TRUE,"VA"}</definedName>
    <definedName name="wrn.Estimation._.TP." localSheetId="41" hidden="1">{#N/A,#N/A,TRUE,"Recap";#N/A,#N/A,TRUE,"Comp taux";#N/A,#N/A,TRUE,"Deplaf";#N/A,#N/A,TRUE,"Siége";#N/A,#N/A,TRUE,"Saint Ouen";#N/A,#N/A,TRUE,"Ivry";#N/A,#N/A,TRUE,"Issy";#N/A,#N/A,TRUE,"VA"}</definedName>
    <definedName name="wrn.Estimation._.TP." localSheetId="23" hidden="1">{#N/A,#N/A,TRUE,"Recap";#N/A,#N/A,TRUE,"Comp taux";#N/A,#N/A,TRUE,"Deplaf";#N/A,#N/A,TRUE,"Siége";#N/A,#N/A,TRUE,"Saint Ouen";#N/A,#N/A,TRUE,"Ivry";#N/A,#N/A,TRUE,"Issy";#N/A,#N/A,TRUE,"VA"}</definedName>
    <definedName name="wrn.Estimation._.TP." localSheetId="38" hidden="1">{#N/A,#N/A,TRUE,"Recap";#N/A,#N/A,TRUE,"Comp taux";#N/A,#N/A,TRUE,"Deplaf";#N/A,#N/A,TRUE,"Siége";#N/A,#N/A,TRUE,"Saint Ouen";#N/A,#N/A,TRUE,"Ivry";#N/A,#N/A,TRUE,"Issy";#N/A,#N/A,TRUE,"VA"}</definedName>
    <definedName name="wrn.Estimation._.TP." hidden="1">{#N/A,#N/A,TRUE,"Recap";#N/A,#N/A,TRUE,"Comp taux";#N/A,#N/A,TRUE,"Deplaf";#N/A,#N/A,TRUE,"Siége";#N/A,#N/A,TRUE,"Saint Ouen";#N/A,#N/A,TRUE,"Ivry";#N/A,#N/A,TRUE,"Issy";#N/A,#N/A,TRUE,"VA"}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4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4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liais_marc.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localSheetId="4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4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4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4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4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localSheetId="4" hidden="1">{"IS",#N/A,FALSE,"Financials2 (Expanded)";"bsa",#N/A,FALSE,"Financials2 (Expanded)";"BS",#N/A,FALSE,"Financials2 (Expanded)";"CF",#N/A,FALSE,"Financials2 (Expanded)"}</definedName>
    <definedName name="wrn.Financials_long." localSheetId="41" hidden="1">{"IS",#N/A,FALSE,"Financials2 (Expanded)";"bsa",#N/A,FALSE,"Financials2 (Expanded)";"BS",#N/A,FALSE,"Financials2 (Expanded)";"CF",#N/A,FALSE,"Financials2 (Expanded)"}</definedName>
    <definedName name="wrn.Financials_long." localSheetId="23" hidden="1">{"IS",#N/A,FALSE,"Financials2 (Expanded)";"bsa",#N/A,FALSE,"Financials2 (Expanded)";"BS",#N/A,FALSE,"Financials2 (Expanded)";"CF",#N/A,FALSE,"Financials2 (Expanded)"}</definedName>
    <definedName name="wrn.Financials_long." localSheetId="3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orecast." localSheetId="2" hidden="1">{#N/A,#N/A,FALSE,"model"}</definedName>
    <definedName name="wrn.forecast." localSheetId="4" hidden="1">{#N/A,#N/A,FALSE,"model"}</definedName>
    <definedName name="wrn.forecast." hidden="1">{#N/A,#N/A,FALSE,"model"}</definedName>
    <definedName name="wrn.forecast2" localSheetId="2" hidden="1">{#N/A,#N/A,FALSE,"model"}</definedName>
    <definedName name="wrn.forecast2" localSheetId="4" hidden="1">{#N/A,#N/A,FALSE,"model"}</definedName>
    <definedName name="wrn.forecast2" hidden="1">{#N/A,#N/A,FALSE,"model"}</definedName>
    <definedName name="wrn.forecastassumptions." localSheetId="2" hidden="1">{#N/A,#N/A,FALSE,"model"}</definedName>
    <definedName name="wrn.forecastassumptions." localSheetId="4" hidden="1">{#N/A,#N/A,FALSE,"model"}</definedName>
    <definedName name="wrn.forecastassumptions." hidden="1">{#N/A,#N/A,FALSE,"model"}</definedName>
    <definedName name="wrn.forecastassumptions2" localSheetId="2" hidden="1">{#N/A,#N/A,FALSE,"model"}</definedName>
    <definedName name="wrn.forecastassumptions2" localSheetId="4" hidden="1">{#N/A,#N/A,FALSE,"model"}</definedName>
    <definedName name="wrn.forecastassumptions2" hidden="1">{#N/A,#N/A,FALSE,"model"}</definedName>
    <definedName name="wrn.forecastROIC." localSheetId="2" hidden="1">{#N/A,#N/A,FALSE,"model"}</definedName>
    <definedName name="wrn.forecastROIC." localSheetId="4" hidden="1">{#N/A,#N/A,FALSE,"model"}</definedName>
    <definedName name="wrn.forecastROIC." hidden="1">{#N/A,#N/A,FALSE,"model"}</definedName>
    <definedName name="wrn.forecastROIC2" localSheetId="2" hidden="1">{#N/A,#N/A,FALSE,"model"}</definedName>
    <definedName name="wrn.forecastROIC2" localSheetId="4" hidden="1">{#N/A,#N/A,FALSE,"model"}</definedName>
    <definedName name="wrn.forecastROIC2" hidden="1">{#N/A,#N/A,FALSE,"model"}</definedName>
    <definedName name="wrn.fred." localSheetId="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S一括印刷." localSheetId="2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4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_.model.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4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4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2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4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4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ERAL." localSheetId="2" hidden="1">{#N/A,#N/A,FALSE,"ET-CAPA";#N/A,#N/A,FALSE,"ET-PAG1";#N/A,#N/A,FALSE,"ET-PAG2";#N/A,#N/A,FALSE,"ET-PAG3";#N/A,#N/A,FALSE,"ET-PAG4";#N/A,#N/A,FALSE,"ET-PAG5"}</definedName>
    <definedName name="wrn.GERAL." localSheetId="4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raficos._.CG." localSheetId="2" hidden="1">{#N/A,#N/A,TRUE,"Cert.Global";#N/A,#N/A,TRUE,"Cert. M&amp;C";#N/A,#N/A,TRUE,"Cert. Engineering";#N/A,#N/A,TRUE,"Cert. Procurement ";#N/A,#N/A,TRUE,"Cert. Constr. Manag."}</definedName>
    <definedName name="wrn.Graficos._.CG." localSheetId="4" hidden="1">{#N/A,#N/A,TRUE,"Cert.Global";#N/A,#N/A,TRUE,"Cert. M&amp;C";#N/A,#N/A,TRUE,"Cert. Engineering";#N/A,#N/A,TRUE,"Cert. Procurement ";#N/A,#N/A,TRUE,"Cert. Constr. Manag."}</definedName>
    <definedName name="wrn.Graficos._.CG." hidden="1">{#N/A,#N/A,TRUE,"Cert.Global";#N/A,#N/A,TRUE,"Cert. M&amp;C";#N/A,#N/A,TRUE,"Cert. Engineering";#N/A,#N/A,TRUE,"Cert. Procurement ";#N/A,#N/A,TRUE,"Cert. Constr. Manag."}</definedName>
    <definedName name="wrn.GRAPHS." localSheetId="2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2" hidden="1">{#N/A,#N/A,FALSE,"model"}</definedName>
    <definedName name="wrn.history." localSheetId="4" hidden="1">{#N/A,#N/A,FALSE,"model"}</definedName>
    <definedName name="wrn.history." hidden="1">{#N/A,#N/A,FALSE,"model"}</definedName>
    <definedName name="wrn.history2" localSheetId="2" hidden="1">{#N/A,#N/A,FALSE,"model"}</definedName>
    <definedName name="wrn.history2" localSheetId="4" hidden="1">{#N/A,#N/A,FALSE,"model"}</definedName>
    <definedName name="wrn.history2" hidden="1">{#N/A,#N/A,FALSE,"model"}</definedName>
    <definedName name="wrn.histROIC." localSheetId="2" hidden="1">{#N/A,#N/A,FALSE,"model"}</definedName>
    <definedName name="wrn.histROIC." localSheetId="4" hidden="1">{#N/A,#N/A,FALSE,"model"}</definedName>
    <definedName name="wrn.histROIC." hidden="1">{#N/A,#N/A,FALSE,"model"}</definedName>
    <definedName name="wrn.histROIC2" localSheetId="2" hidden="1">{#N/A,#N/A,FALSE,"model"}</definedName>
    <definedName name="wrn.histROIC2" localSheetId="4" hidden="1">{#N/A,#N/A,FALSE,"model"}</definedName>
    <definedName name="wrn.histROIC2" hidden="1">{#N/A,#N/A,FALSE,"model"}</definedName>
    <definedName name="wrn.imp." localSheetId="2" hidden="1">{"vue1",#N/A,FALSE,"synthese";"vue2",#N/A,FALSE,"synthese"}</definedName>
    <definedName name="wrn.imp." localSheetId="4" hidden="1">{"vue1",#N/A,FALSE,"synthese";"vue2",#N/A,FALSE,"synthese"}</definedName>
    <definedName name="wrn.imp." hidden="1">{"vue1",#N/A,FALSE,"synthese";"vue2",#N/A,FALSE,"synthese"}</definedName>
    <definedName name="wrn.impresión.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4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2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3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ndustry.xls." localSheetId="2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4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VESTIMENTOS._.CORRENTES.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JOGO_CONSOLIDADO." localSheetId="2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4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lh97.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OBIL." localSheetId="2" hidden="1">{"quarter",#N/A,FALSE,"MOB"}</definedName>
    <definedName name="wrn.MOBIL." localSheetId="4" hidden="1">{"quarter",#N/A,FALSE,"MOB"}</definedName>
    <definedName name="wrn.MOBIL." hidden="1">{"quarter",#N/A,FALSE,"MOB"}</definedName>
    <definedName name="wrn.Model.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4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4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23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38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newDEV." localSheetId="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Orçamento." localSheetId="2" hidden="1">{#N/A,#N/A,FALSE,"Planilha";#N/A,#N/A,FALSE,"Resumo";#N/A,#N/A,FALSE,"Fisico";#N/A,#N/A,FALSE,"Financeiro";#N/A,#N/A,FALSE,"Financeiro"}</definedName>
    <definedName name="wrn.Orçamento." localSheetId="4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PL." localSheetId="2" hidden="1">{"20 Years",#N/A,FALSE,"P&amp;Ls";"2001",#N/A,FALSE,"P&amp;Ls"}</definedName>
    <definedName name="wrn.PL." localSheetId="4" hidden="1">{"20 Years",#N/A,FALSE,"P&amp;Ls";"2001",#N/A,FALSE,"P&amp;Ls"}</definedName>
    <definedName name="wrn.PL." hidden="1">{"20 Years",#N/A,FALSE,"P&amp;Ls";"2001",#N/A,FALSE,"P&amp;Ls"}</definedName>
    <definedName name="wrn.Presentacion.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localSheetId="4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int." localSheetId="2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41" hidden="1">{"vi1",#N/A,FALSE,"Financial Statements";"vi2",#N/A,FALSE,"Financial Statements";#N/A,#N/A,FALSE,"DCF"}</definedName>
    <definedName name="wrn.Print." localSheetId="23" hidden="1">{"vi1",#N/A,FALSE,"Financial Statements";"vi2",#N/A,FALSE,"Financial Statements";#N/A,#N/A,FALSE,"DCF"}</definedName>
    <definedName name="wrn.Print." localSheetId="38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2" hidden="1">{"inputs raw data",#N/A,TRUE,"INPUT"}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Report." localSheetId="2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4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41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23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38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summary._.sheets." localSheetId="2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All." localSheetId="2" hidden="1">{"PA1",#N/A,FALSE,"BORDMW";"pa2",#N/A,FALSE,"BORDMW";"PA3",#N/A,FALSE,"BORDMW";"PA4",#N/A,FALSE,"BORDMW"}</definedName>
    <definedName name="wrn.PrintAll." localSheetId="4" hidden="1">{"PA1",#N/A,FALSE,"BORDMW";"pa2",#N/A,FALSE,"BORDMW";"PA3",#N/A,FALSE,"BORDMW";"PA4",#N/A,FALSE,"BORDMW"}</definedName>
    <definedName name="wrn.PrintAll." localSheetId="41" hidden="1">{"PA1",#N/A,FALSE,"BORDMW";"pa2",#N/A,FALSE,"BORDMW";"PA3",#N/A,FALSE,"BORDMW";"PA4",#N/A,FALSE,"BORDMW"}</definedName>
    <definedName name="wrn.PrintAll." localSheetId="23" hidden="1">{"PA1",#N/A,FALSE,"BORDMW";"pa2",#N/A,FALSE,"BORDMW";"PA3",#N/A,FALSE,"BORDMW";"PA4",#N/A,FALSE,"BORDMW"}</definedName>
    <definedName name="wrn.PrintAll." localSheetId="38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ulp." localSheetId="2" hidden="1">{"Pulp Production",#N/A,FALSE,"Pulp";"Pulp Earnings",#N/A,FALSE,"Pulp"}</definedName>
    <definedName name="wrn.Pulp." localSheetId="4" hidden="1">{"Pulp Production",#N/A,FALSE,"Pulp";"Pulp Earnings",#N/A,FALSE,"Pulp"}</definedName>
    <definedName name="wrn.Pulp." hidden="1">{"Pulp Production",#N/A,FALSE,"Pulp";"Pulp Earnings",#N/A,FALSE,"Pulp"}</definedName>
    <definedName name="wrn.Quadros._.relatório." localSheetId="2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" localSheetId="4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Relatório._.01." localSheetId="2" hidden="1">{#N/A,#N/A,TRUE,"Resumo de Preços"}</definedName>
    <definedName name="wrn.Relatório._.01." localSheetId="4" hidden="1">{#N/A,#N/A,TRUE,"Resumo de Preços"}</definedName>
    <definedName name="wrn.Relatório._.01." hidden="1">{#N/A,#N/A,TRUE,"Resumo de Preços"}</definedName>
    <definedName name="wrn.Report._.Mensual." localSheetId="2" hidden="1">{#N/A,#N/A,FALSE,"Monthly report";#N/A,#N/A,FALSE,"M.R. UEM";#N/A,#N/A,FALSE,"M.R. VCM"}</definedName>
    <definedName name="wrn.Report._.Mensual." localSheetId="4" hidden="1">{#N/A,#N/A,FALSE,"Monthly report";#N/A,#N/A,FALSE,"M.R. UEM";#N/A,#N/A,FALSE,"M.R. VCM"}</definedName>
    <definedName name="wrn.Report._.Mensual." hidden="1">{#N/A,#N/A,FALSE,"Monthly report";#N/A,#N/A,FALSE,"M.R. UEM";#N/A,#N/A,FALSE,"M.R. VCM"}</definedName>
    <definedName name="wrn.Report1." localSheetId="2" hidden="1">{"Print1",#N/A,TRUE,"P&amp;L";"Print2",#N/A,TRUE,"CashFL"}</definedName>
    <definedName name="wrn.Report1." localSheetId="4" hidden="1">{"Print1",#N/A,TRUE,"P&amp;L";"Print2",#N/A,TRUE,"CashFL"}</definedName>
    <definedName name="wrn.Report1." hidden="1">{"Print1",#N/A,TRUE,"P&amp;L";"Print2",#N/A,TRUE,"CashFL"}</definedName>
    <definedName name="wrn.sales." localSheetId="2" hidden="1">{"sales",#N/A,FALSE,"Sales";"sales existing",#N/A,FALSE,"Sales";"sales rd1",#N/A,FALSE,"Sales";"sales rd2",#N/A,FALSE,"Sales"}</definedName>
    <definedName name="wrn.sales." localSheetId="4" hidden="1">{"sales",#N/A,FALSE,"Sales";"sales existing",#N/A,FALSE,"Sales";"sales rd1",#N/A,FALSE,"Sales";"sales rd2",#N/A,FALSE,"Sales"}</definedName>
    <definedName name="wrn.sales." localSheetId="41" hidden="1">{"sales",#N/A,FALSE,"Sales";"sales existing",#N/A,FALSE,"Sales";"sales rd1",#N/A,FALSE,"Sales";"sales rd2",#N/A,FALSE,"Sales"}</definedName>
    <definedName name="wrn.sales." localSheetId="23" hidden="1">{"sales",#N/A,FALSE,"Sales";"sales existing",#N/A,FALSE,"Sales";"sales rd1",#N/A,FALSE,"Sales";"sales rd2",#N/A,FALSE,"Sales"}</definedName>
    <definedName name="wrn.sales." localSheetId="3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HORT." localSheetId="2" hidden="1">{"CREDIT STATISTICS",#N/A,FALSE,"STATS";"CF_AND_IS",#N/A,FALSE,"PLAN";"BALSHEET",#N/A,FALSE,"BALANCE SHEET"}</definedName>
    <definedName name="wrn.SHORT." localSheetId="4" hidden="1">{"CREDIT STATISTICS",#N/A,FALSE,"STATS";"CF_AND_IS",#N/A,FALSE,"PLAN";"BALSHEET",#N/A,FALSE,"BALANCE SHEET"}</definedName>
    <definedName name="wrn.SHORT." localSheetId="41" hidden="1">{"CREDIT STATISTICS",#N/A,FALSE,"STATS";"CF_AND_IS",#N/A,FALSE,"PLAN";"BALSHEET",#N/A,FALSE,"BALANCE SHEET"}</definedName>
    <definedName name="wrn.SHORT." localSheetId="23" hidden="1">{"CREDIT STATISTICS",#N/A,FALSE,"STATS";"CF_AND_IS",#N/A,FALSE,"PLAN";"BALSHEET",#N/A,FALSE,"BALANCE SHEET"}</definedName>
    <definedName name="wrn.SHORT." localSheetId="3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4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2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3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TARGET._.DCF." localSheetId="2" hidden="1">{"targetdcf",#N/A,FALSE,"Merger consequences";"TARGETASSU",#N/A,FALSE,"Merger consequences";"TERMINAL VALUE",#N/A,FALSE,"Merger consequences"}</definedName>
    <definedName name="wrn.TARGET._.DCF." localSheetId="4" hidden="1">{"targetdcf",#N/A,FALSE,"Merger consequences";"TARGETASSU",#N/A,FALSE,"Merger consequences";"TERMINAL VALUE",#N/A,FALSE,"Merger consequences"}</definedName>
    <definedName name="wrn.TARGET._.DCF." localSheetId="41" hidden="1">{"targetdcf",#N/A,FALSE,"Merger consequences";"TARGETASSU",#N/A,FALSE,"Merger consequences";"TERMINAL VALUE",#N/A,FALSE,"Merger consequences"}</definedName>
    <definedName name="wrn.TARGET._.DCF." localSheetId="23" hidden="1">{"targetdcf",#N/A,FALSE,"Merger consequences";"TARGETASSU",#N/A,FALSE,"Merger consequences";"TERMINAL VALUE",#N/A,FALSE,"Merger consequences"}</definedName>
    <definedName name="wrn.TARGET._.DCF." localSheetId="38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ipo." localSheetId="2" hidden="1">{#N/A,#N/A,TRUE,"Serviços"}</definedName>
    <definedName name="wrn.Tipo." localSheetId="4" hidden="1">{#N/A,#N/A,TRUE,"Serviços"}</definedName>
    <definedName name="wrn.Tipo." hidden="1">{#N/A,#N/A,TRUE,"Serviços"}</definedName>
    <definedName name="wrn.todo." localSheetId="2" hidden="1">{"Caja",#N/A,TRUE,"P&amp;G BG";"PyG",#N/A,TRUE,"P&amp;G BG";"Balance",#N/A,TRUE,"P&amp;G BG"}</definedName>
    <definedName name="wrn.todo." localSheetId="4" hidden="1">{"Caja",#N/A,TRUE,"P&amp;G BG";"PyG",#N/A,TRUE,"P&amp;G BG";"Balance",#N/A,TRUE,"P&amp;G BG"}</definedName>
    <definedName name="wrn.todo." localSheetId="41" hidden="1">{"Caja",#N/A,TRUE,"P&amp;G BG";"PyG",#N/A,TRUE,"P&amp;G BG";"Balance",#N/A,TRUE,"P&amp;G BG"}</definedName>
    <definedName name="wrn.todo." localSheetId="23" hidden="1">{"Caja",#N/A,TRUE,"P&amp;G BG";"PyG",#N/A,TRUE,"P&amp;G BG";"Balance",#N/A,TRUE,"P&amp;G BG"}</definedName>
    <definedName name="wrn.todo." localSheetId="38" hidden="1">{"Caja",#N/A,TRUE,"P&amp;G BG";"PyG",#N/A,TRUE,"P&amp;G BG";"Balance",#N/A,TRUE,"P&amp;G BG"}</definedName>
    <definedName name="wrn.todo." hidden="1">{"Caja",#N/A,TRUE,"P&amp;G BG";"PyG",#N/A,TRUE,"P&amp;G BG";"Balance",#N/A,TRUE,"P&amp;G BG"}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UDO." localSheetId="2" hidden="1">{#N/A,#N/A,FALSE,"Embalagem";#N/A,#N/A,FALSE,"Custo horaxlinha1";#N/A,#N/A,FALSE,"carga e descarga";#N/A,#N/A,FALSE,"matprima";#N/A,#N/A,FALSE,"linhas"}</definedName>
    <definedName name="wrn.TUDO." localSheetId="4" hidden="1">{#N/A,#N/A,FALSE,"Embalagem";#N/A,#N/A,FALSE,"Custo horaxlinha1";#N/A,#N/A,FALSE,"carga e descarga";#N/A,#N/A,FALSE,"matprima";#N/A,#N/A,FALSE,"linhas"}</definedName>
    <definedName name="wrn.TUDO." hidden="1">{#N/A,#N/A,FALSE,"Embalagem";#N/A,#N/A,FALSE,"Custo horaxlinha1";#N/A,#N/A,FALSE,"carga e descarga";#N/A,#N/A,FALSE,"matprima";#N/A,#N/A,FALSE,"linhas"}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NTAS.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4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2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3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acc." localSheetId="2" hidden="1">{"Area1",#N/A,FALSE,"OREWACC";"Area2",#N/A,FALSE,"OREWACC"}</definedName>
    <definedName name="wrn.Wacc." localSheetId="4" hidden="1">{"Area1",#N/A,FALSE,"OREWACC";"Area2",#N/A,FALSE,"OREWACC"}</definedName>
    <definedName name="wrn.Wacc." localSheetId="41" hidden="1">{"Area1",#N/A,FALSE,"OREWACC";"Area2",#N/A,FALSE,"OREWACC"}</definedName>
    <definedName name="wrn.Wacc." localSheetId="23" hidden="1">{"Area1",#N/A,FALSE,"OREWACC";"Area2",#N/A,FALSE,"OREWACC"}</definedName>
    <definedName name="wrn.Wacc." localSheetId="38" hidden="1">{"Area1",#N/A,FALSE,"OREWACC";"Area2",#N/A,FALSE,"OREWACC"}</definedName>
    <definedName name="wrn.Wacc." hidden="1">{"Area1",#N/A,FALSE,"OREWACC";"Area2",#N/A,FALSE,"OREWACC"}</definedName>
    <definedName name="wrn.Whole._.Pack." localSheetId="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4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4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全印刷." localSheetId="2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4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2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4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1.history" localSheetId="2" hidden="1">{#N/A,#N/A,FALSE,"model"}</definedName>
    <definedName name="wrn1.history" localSheetId="4" hidden="1">{#N/A,#N/A,FALSE,"model"}</definedName>
    <definedName name="wrn1.history" hidden="1">{#N/A,#N/A,FALSE,"model"}</definedName>
    <definedName name="wrn1.TUDO." localSheetId="2" hidden="1">{#N/A,#N/A,FALSE,"Embalagem";#N/A,#N/A,FALSE,"Custo horaxlinha1";#N/A,#N/A,FALSE,"carga e descarga";#N/A,#N/A,FALSE,"matprima";#N/A,#N/A,FALSE,"linhas"}</definedName>
    <definedName name="wrn1.TUDO." localSheetId="4" hidden="1">{#N/A,#N/A,FALSE,"Embalagem";#N/A,#N/A,FALSE,"Custo horaxlinha1";#N/A,#N/A,FALSE,"carga e descarga";#N/A,#N/A,FALSE,"matprima";#N/A,#N/A,FALSE,"linhas"}</definedName>
    <definedName name="wrn1.TUDO." hidden="1">{#N/A,#N/A,FALSE,"Embalagem";#N/A,#N/A,FALSE,"Custo horaxlinha1";#N/A,#N/A,FALSE,"carga e descarga";#N/A,#N/A,FALSE,"matprima";#N/A,#N/A,FALSE,"linhas"}</definedName>
    <definedName name="wrn2.TUDO." localSheetId="2" hidden="1">{#N/A,#N/A,FALSE,"Embalagem";#N/A,#N/A,FALSE,"Custo horaxlinha1";#N/A,#N/A,FALSE,"carga e descarga";#N/A,#N/A,FALSE,"matprima";#N/A,#N/A,FALSE,"linhas"}</definedName>
    <definedName name="wrn2.TUDO." localSheetId="4" hidden="1">{#N/A,#N/A,FALSE,"Embalagem";#N/A,#N/A,FALSE,"Custo horaxlinha1";#N/A,#N/A,FALSE,"carga e descarga";#N/A,#N/A,FALSE,"matprima";#N/A,#N/A,FALSE,"linhas"}</definedName>
    <definedName name="wrn2.TUDO." hidden="1">{#N/A,#N/A,FALSE,"Embalagem";#N/A,#N/A,FALSE,"Custo horaxlinha1";#N/A,#N/A,FALSE,"carga e descarga";#N/A,#N/A,FALSE,"matprima";#N/A,#N/A,FALSE,"linhas"}</definedName>
    <definedName name="wrn3.histroic" localSheetId="2" hidden="1">{#N/A,#N/A,FALSE,"model"}</definedName>
    <definedName name="wrn3.histroic" localSheetId="4" hidden="1">{#N/A,#N/A,FALSE,"model"}</definedName>
    <definedName name="wrn3.histroic" hidden="1">{#N/A,#N/A,FALSE,"model"}</definedName>
    <definedName name="wrn3.TUDO." localSheetId="2" hidden="1">{#N/A,#N/A,FALSE,"Embalagem";#N/A,#N/A,FALSE,"Custo horaxlinha1";#N/A,#N/A,FALSE,"carga e descarga";#N/A,#N/A,FALSE,"matprima";#N/A,#N/A,FALSE,"linhas"}</definedName>
    <definedName name="wrn3.TUDO." localSheetId="4" hidden="1">{#N/A,#N/A,FALSE,"Embalagem";#N/A,#N/A,FALSE,"Custo horaxlinha1";#N/A,#N/A,FALSE,"carga e descarga";#N/A,#N/A,FALSE,"matprima";#N/A,#N/A,FALSE,"linhas"}</definedName>
    <definedName name="wrn3.TUDO." hidden="1">{#N/A,#N/A,FALSE,"Embalagem";#N/A,#N/A,FALSE,"Custo horaxlinha1";#N/A,#N/A,FALSE,"carga e descarga";#N/A,#N/A,FALSE,"matprima";#N/A,#N/A,FALSE,"linhas"}</definedName>
    <definedName name="wrn5.TUDO." localSheetId="2" hidden="1">{#N/A,#N/A,FALSE,"Embalagem";#N/A,#N/A,FALSE,"Custo horaxlinha1";#N/A,#N/A,FALSE,"carga e descarga";#N/A,#N/A,FALSE,"matprima";#N/A,#N/A,FALSE,"linhas"}</definedName>
    <definedName name="wrn5.TUDO." localSheetId="4" hidden="1">{#N/A,#N/A,FALSE,"Embalagem";#N/A,#N/A,FALSE,"Custo horaxlinha1";#N/A,#N/A,FALSE,"carga e descarga";#N/A,#N/A,FALSE,"matprima";#N/A,#N/A,FALSE,"linhas"}</definedName>
    <definedName name="wrn5.TUDO." hidden="1">{#N/A,#N/A,FALSE,"Embalagem";#N/A,#N/A,FALSE,"Custo horaxlinha1";#N/A,#N/A,FALSE,"carga e descarga";#N/A,#N/A,FALSE,"matprima";#N/A,#N/A,FALSE,"linhas"}</definedName>
    <definedName name="wrn6.Tudo" localSheetId="2" hidden="1">{#N/A,#N/A,FALSE,"Embalagem";#N/A,#N/A,FALSE,"Custo horaxlinha1";#N/A,#N/A,FALSE,"carga e descarga";#N/A,#N/A,FALSE,"matprima";#N/A,#N/A,FALSE,"linhas"}</definedName>
    <definedName name="wrn6.Tudo" localSheetId="4" hidden="1">{#N/A,#N/A,FALSE,"Embalagem";#N/A,#N/A,FALSE,"Custo horaxlinha1";#N/A,#N/A,FALSE,"carga e descarga";#N/A,#N/A,FALSE,"matprima";#N/A,#N/A,FALSE,"linhas"}</definedName>
    <definedName name="wrn6.Tudo" hidden="1">{#N/A,#N/A,FALSE,"Embalagem";#N/A,#N/A,FALSE,"Custo horaxlinha1";#N/A,#N/A,FALSE,"carga e descarga";#N/A,#N/A,FALSE,"matprima";#N/A,#N/A,FALSE,"linhas"}</definedName>
    <definedName name="wrn7.TUDO." localSheetId="2" hidden="1">{#N/A,#N/A,FALSE,"Embalagem";#N/A,#N/A,FALSE,"Custo horaxlinha1";#N/A,#N/A,FALSE,"carga e descarga";#N/A,#N/A,FALSE,"matprima";#N/A,#N/A,FALSE,"linhas"}</definedName>
    <definedName name="wrn7.TUDO." localSheetId="4" hidden="1">{#N/A,#N/A,FALSE,"Embalagem";#N/A,#N/A,FALSE,"Custo horaxlinha1";#N/A,#N/A,FALSE,"carga e descarga";#N/A,#N/A,FALSE,"matprima";#N/A,#N/A,FALSE,"linhas"}</definedName>
    <definedName name="wrn7.TUDO." hidden="1">{#N/A,#N/A,FALSE,"Embalagem";#N/A,#N/A,FALSE,"Custo horaxlinha1";#N/A,#N/A,FALSE,"carga e descarga";#N/A,#N/A,FALSE,"matprima";#N/A,#N/A,FALSE,"linhas"}</definedName>
    <definedName name="wrn8.TUDO." localSheetId="2" hidden="1">{#N/A,#N/A,FALSE,"Embalagem";#N/A,#N/A,FALSE,"Custo horaxlinha1";#N/A,#N/A,FALSE,"carga e descarga";#N/A,#N/A,FALSE,"matprima";#N/A,#N/A,FALSE,"linhas"}</definedName>
    <definedName name="wrn8.TUDO." localSheetId="4" hidden="1">{#N/A,#N/A,FALSE,"Embalagem";#N/A,#N/A,FALSE,"Custo horaxlinha1";#N/A,#N/A,FALSE,"carga e descarga";#N/A,#N/A,FALSE,"matprima";#N/A,#N/A,FALSE,"linhas"}</definedName>
    <definedName name="wrn8.TUDO." hidden="1">{#N/A,#N/A,FALSE,"Embalagem";#N/A,#N/A,FALSE,"Custo horaxlinha1";#N/A,#N/A,FALSE,"carga e descarga";#N/A,#N/A,FALSE,"matprima";#N/A,#N/A,FALSE,"linhas"}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_Todo." localSheetId="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4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2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3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4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2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3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 localSheetId="2" hidden="1">{#N/A,#N/A,FALSE,"ati1294";#N/A,#N/A,FALSE,"pas1294";#N/A,#N/A,FALSE,"res1294"}</definedName>
    <definedName name="WW" localSheetId="4" hidden="1">{#N/A,#N/A,FALSE,"ati1294";#N/A,#N/A,FALSE,"pas1294";#N/A,#N/A,FALSE,"res1294"}</definedName>
    <definedName name="WW" hidden="1">{#N/A,#N/A,FALSE,"ati1294";#N/A,#N/A,FALSE,"pas1294";#N/A,#N/A,FALSE,"res1294"}</definedName>
    <definedName name="WW.ValueComparison.vsOA.AssetName" hidden="1">'[89]WW.Value.Comparison'!$B:$B</definedName>
    <definedName name="WW.ValueComparison.vsOA.FieldName" hidden="1">'[89]WW.Value.Comparison'!$6:$6</definedName>
    <definedName name="WW.ValueComparison.vsOA.Table" hidden="1">'[89]WW.Value.Comparison'!$A$1:$V$57</definedName>
    <definedName name="www" localSheetId="2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localSheetId="4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x">[116]salários!$G$8</definedName>
    <definedName name="X_Perc" localSheetId="37">#REF!</definedName>
    <definedName name="X_Perc" localSheetId="17">#REF!</definedName>
    <definedName name="X_Perc" localSheetId="26">#REF!</definedName>
    <definedName name="X_Perc" localSheetId="27">#REF!</definedName>
    <definedName name="X_Perc" localSheetId="30">#REF!</definedName>
    <definedName name="X_Perc" localSheetId="31">#REF!</definedName>
    <definedName name="X_Perc" localSheetId="33">#REF!</definedName>
    <definedName name="X_Perc">#REF!</definedName>
    <definedName name="X_Year" localSheetId="37">#REF!</definedName>
    <definedName name="X_Year" localSheetId="17">#REF!</definedName>
    <definedName name="X_Year" localSheetId="26">#REF!</definedName>
    <definedName name="X_Year" localSheetId="27">#REF!</definedName>
    <definedName name="X_Year" localSheetId="30">#REF!</definedName>
    <definedName name="X_Year" localSheetId="31">#REF!</definedName>
    <definedName name="X_Year" localSheetId="33">#REF!</definedName>
    <definedName name="X_Year">#REF!</definedName>
    <definedName name="xr" localSheetId="37">#REF!</definedName>
    <definedName name="xr" localSheetId="17">#REF!</definedName>
    <definedName name="xr" localSheetId="26">#REF!</definedName>
    <definedName name="xr" localSheetId="27">#REF!</definedName>
    <definedName name="xr" localSheetId="30">#REF!</definedName>
    <definedName name="xr" localSheetId="31">#REF!</definedName>
    <definedName name="xr" localSheetId="33">#REF!</definedName>
    <definedName name="xr">#REF!</definedName>
    <definedName name="xrate" localSheetId="37">#REF!</definedName>
    <definedName name="xrate" localSheetId="17">#REF!</definedName>
    <definedName name="xrate" localSheetId="26">#REF!</definedName>
    <definedName name="xrate" localSheetId="27">#REF!</definedName>
    <definedName name="xrate" localSheetId="30">#REF!</definedName>
    <definedName name="xrate" localSheetId="31">#REF!</definedName>
    <definedName name="xrate" localSheetId="33">#REF!</definedName>
    <definedName name="xrate">#REF!</definedName>
    <definedName name="XREF_COLUMN_1" hidden="1">#REF!</definedName>
    <definedName name="XREF_COLUMN_10" hidden="1">#REF!</definedName>
    <definedName name="XREF_COLUMN_11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'[118]Tickmarks '!$G$1:$G$65536</definedName>
    <definedName name="XREF_COLUMN_19" localSheetId="2" hidden="1">#REF!</definedName>
    <definedName name="XREF_COLUMN_19" localSheetId="4" hidden="1">#REF!</definedName>
    <definedName name="XREF_COLUMN_19" hidden="1">#REF!</definedName>
    <definedName name="XREF_COLUMN_2" localSheetId="2" hidden="1">#REF!</definedName>
    <definedName name="XREF_COLUMN_2" localSheetId="4" hidden="1">#REF!</definedName>
    <definedName name="XREF_COLUMN_2" hidden="1">#REF!</definedName>
    <definedName name="XREF_COLUMN_20" localSheetId="2" hidden="1">'[119]Mapa de Resultado'!#REF!</definedName>
    <definedName name="XREF_COLUMN_20" localSheetId="4" hidden="1">'[119]Mapa de Resultado'!#REF!</definedName>
    <definedName name="XREF_COLUMN_20" hidden="1">'[119]Mapa de Resultado'!#REF!</definedName>
    <definedName name="XREF_COLUMN_21" localSheetId="2" hidden="1">'[119]Mapa de Resultado'!#REF!</definedName>
    <definedName name="XREF_COLUMN_21" localSheetId="4" hidden="1">'[119]Mapa de Resultado'!#REF!</definedName>
    <definedName name="XREF_COLUMN_21" hidden="1">'[119]Mapa de Resultado'!#REF!</definedName>
    <definedName name="XREF_COLUMN_22" localSheetId="2" hidden="1">#REF!</definedName>
    <definedName name="XREF_COLUMN_22" localSheetId="4" hidden="1">#REF!</definedName>
    <definedName name="XREF_COLUMN_22" hidden="1">#REF!</definedName>
    <definedName name="XREF_COLUMN_3" localSheetId="2" hidden="1">#REF!</definedName>
    <definedName name="XREF_COLUMN_3" localSheetId="4" hidden="1">#REF!</definedName>
    <definedName name="XREF_COLUMN_3" hidden="1">#REF!</definedName>
    <definedName name="XREF_COLUMN_4" localSheetId="2" hidden="1">#REF!</definedName>
    <definedName name="XREF_COLUMN_4" localSheetId="4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[120]Resumo!#REF!</definedName>
    <definedName name="XREF_COLUMN_9" localSheetId="2" hidden="1">#REF!</definedName>
    <definedName name="XREF_COLUMN_9" localSheetId="4" hidden="1">#REF!</definedName>
    <definedName name="XREF_COLUMN_9" hidden="1">#REF!</definedName>
    <definedName name="XRefActiveRow" localSheetId="2" hidden="1">#REF!</definedName>
    <definedName name="XRefActiveRow" localSheetId="4" hidden="1">#REF!</definedName>
    <definedName name="XRefActiveRow" hidden="1">#REF!</definedName>
    <definedName name="XRefColumnsCount" hidden="1">2</definedName>
    <definedName name="XRefCopy1" localSheetId="2" hidden="1">#REF!</definedName>
    <definedName name="XRefCopy1" localSheetId="4" hidden="1">#REF!</definedName>
    <definedName name="XRefCopy1" hidden="1">#REF!</definedName>
    <definedName name="XRefCopy10" localSheetId="4" hidden="1">#REF!</definedName>
    <definedName name="XRefCopy10" hidden="1">#REF!</definedName>
    <definedName name="XRefCopy10Row" localSheetId="4" hidden="1">#REF!</definedName>
    <definedName name="XRefCopy10Row" hidden="1">#REF!</definedName>
    <definedName name="XRefCopy11Row" hidden="1">#REF!</definedName>
    <definedName name="XRefCopy12" hidden="1">'[119]Mapa de Resultado'!#REF!</definedName>
    <definedName name="XRefCopy12Row" localSheetId="2" hidden="1">#REF!</definedName>
    <definedName name="XRefCopy12Row" localSheetId="4" hidden="1">#REF!</definedName>
    <definedName name="XRefCopy12Row" hidden="1">#REF!</definedName>
    <definedName name="XRefCopy13" localSheetId="2" hidden="1">#REF!</definedName>
    <definedName name="XRefCopy13" localSheetId="4" hidden="1">#REF!</definedName>
    <definedName name="XRefCopy13" hidden="1">#REF!</definedName>
    <definedName name="XRefCopy13Row" localSheetId="2" hidden="1">#REF!</definedName>
    <definedName name="XRefCopy13Row" localSheetId="4" hidden="1">#REF!</definedName>
    <definedName name="XRefCopy13Row" hidden="1">#REF!</definedName>
    <definedName name="XRefCopy14Row" hidden="1">#REF!</definedName>
    <definedName name="XRefCopy15" hidden="1">#REF!</definedName>
    <definedName name="XRefCopy15Row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'[119]Mapa de Resultado'!#REF!</definedName>
    <definedName name="XRefCopy18Row" localSheetId="2" hidden="1">#REF!</definedName>
    <definedName name="XRefCopy18Row" localSheetId="4" hidden="1">#REF!</definedName>
    <definedName name="XRefCopy18Row" hidden="1">#REF!</definedName>
    <definedName name="XRefCopy19" localSheetId="2" hidden="1">#REF!</definedName>
    <definedName name="XRefCopy19" localSheetId="4" hidden="1">#REF!</definedName>
    <definedName name="XRefCopy19" hidden="1">#REF!</definedName>
    <definedName name="XRefCopy19Row" localSheetId="2" hidden="1">#REF!</definedName>
    <definedName name="XRefCopy19Row" localSheetId="4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'[119]Mapa de Resultado'!#REF!</definedName>
    <definedName name="XRefCopy20Row" localSheetId="2" hidden="1">#REF!</definedName>
    <definedName name="XRefCopy20Row" localSheetId="4" hidden="1">#REF!</definedName>
    <definedName name="XRefCopy20Row" hidden="1">#REF!</definedName>
    <definedName name="XRefCopy21" localSheetId="2" hidden="1">#REF!</definedName>
    <definedName name="XRefCopy21" localSheetId="4" hidden="1">#REF!</definedName>
    <definedName name="XRefCopy21" hidden="1">#REF!</definedName>
    <definedName name="XRefCopy21Row" localSheetId="2" hidden="1">#REF!</definedName>
    <definedName name="XRefCopy21Row" localSheetId="4" hidden="1">#REF!</definedName>
    <definedName name="XRefCopy21Row" hidden="1">#REF!</definedName>
    <definedName name="XRefCopy27" localSheetId="2" hidden="1">[121]AFinanc!#REF!</definedName>
    <definedName name="XRefCopy27" localSheetId="4" hidden="1">[121]AFinanc!#REF!</definedName>
    <definedName name="XRefCopy27" hidden="1">[121]AFinanc!#REF!</definedName>
    <definedName name="XRefCopy28" localSheetId="2" hidden="1">#REF!</definedName>
    <definedName name="XRefCopy28" localSheetId="4" hidden="1">#REF!</definedName>
    <definedName name="XRefCopy28" hidden="1">#REF!</definedName>
    <definedName name="XRefCopy28Row" localSheetId="2" hidden="1">#REF!</definedName>
    <definedName name="XRefCopy28Row" localSheetId="4" hidden="1">#REF!</definedName>
    <definedName name="XRefCopy28Row" hidden="1">#REF!</definedName>
    <definedName name="XRefCopy29" localSheetId="2" hidden="1">#REF!</definedName>
    <definedName name="XRefCopy29" localSheetId="4" hidden="1">#REF!</definedName>
    <definedName name="XRefCopy29" hidden="1">#REF!</definedName>
    <definedName name="XRefCopy29Row" hidden="1">#REF!</definedName>
    <definedName name="XRefCopy2Row" hidden="1">[122]XREF!#REF!</definedName>
    <definedName name="XRefCopy3" localSheetId="2" hidden="1">#REF!</definedName>
    <definedName name="XRefCopy3" localSheetId="4" hidden="1">#REF!</definedName>
    <definedName name="XRefCopy3" hidden="1">#REF!</definedName>
    <definedName name="XRefCopy30Row" localSheetId="2" hidden="1">#REF!</definedName>
    <definedName name="XRefCopy30Row" localSheetId="4" hidden="1">#REF!</definedName>
    <definedName name="XRefCopy30Row" hidden="1">#REF!</definedName>
    <definedName name="XRefCopy31" localSheetId="2" hidden="1">#REF!</definedName>
    <definedName name="XRefCopy31" localSheetId="4" hidden="1">#REF!</definedName>
    <definedName name="XRefCopy31" hidden="1">#REF!</definedName>
    <definedName name="XRefCopy31Row" hidden="1">#REF!</definedName>
    <definedName name="XRefCopy33Row" hidden="1">#REF!</definedName>
    <definedName name="XRefCopy39" hidden="1">#REF!</definedName>
    <definedName name="XRefCopy3Row" hidden="1">#REF!</definedName>
    <definedName name="XRefCopy4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[119]XREF!#REF!</definedName>
    <definedName name="XRefCopy5Row" localSheetId="2" hidden="1">#REF!</definedName>
    <definedName name="XRefCopy5Row" localSheetId="4" hidden="1">#REF!</definedName>
    <definedName name="XRefCopy5Row" hidden="1">#REF!</definedName>
    <definedName name="XRefCopy6" localSheetId="2" hidden="1">#REF!</definedName>
    <definedName name="XRefCopy6" localSheetId="4" hidden="1">#REF!</definedName>
    <definedName name="XRefCopy6" hidden="1">#REF!</definedName>
    <definedName name="XRefCopy61" localSheetId="2" hidden="1">'[119]Mapa de Resultado'!#REF!</definedName>
    <definedName name="XRefCopy61" localSheetId="4" hidden="1">'[119]Mapa de Resultado'!#REF!</definedName>
    <definedName name="XRefCopy61" hidden="1">'[119]Mapa de Resultado'!#REF!</definedName>
    <definedName name="XRefCopy61Row" localSheetId="2" hidden="1">#REF!</definedName>
    <definedName name="XRefCopy61Row" localSheetId="4" hidden="1">#REF!</definedName>
    <definedName name="XRefCopy61Row" hidden="1">#REF!</definedName>
    <definedName name="XRefCopy63Row" localSheetId="2" hidden="1">#REF!</definedName>
    <definedName name="XRefCopy63Row" localSheetId="4" hidden="1">#REF!</definedName>
    <definedName name="XRefCopy63Row" hidden="1">#REF!</definedName>
    <definedName name="XRefCopy64Row" localSheetId="2" hidden="1">#REF!</definedName>
    <definedName name="XRefCopy64Row" localSheetId="4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[123]Lead!#REF!</definedName>
    <definedName name="XRefCopy80Row" localSheetId="2" hidden="1">#REF!</definedName>
    <definedName name="XRefCopy80Row" localSheetId="4" hidden="1">#REF!</definedName>
    <definedName name="XRefCopy80Row" hidden="1">#REF!</definedName>
    <definedName name="XRefCopy81" localSheetId="4" hidden="1">'[119]Mapa de Resultado'!#REF!</definedName>
    <definedName name="XRefCopy81" hidden="1">'[119]Mapa de Resultado'!#REF!</definedName>
    <definedName name="XRefCopy81Row" localSheetId="2" hidden="1">#REF!</definedName>
    <definedName name="XRefCopy81Row" localSheetId="4" hidden="1">#REF!</definedName>
    <definedName name="XRefCopy81Row" hidden="1">#REF!</definedName>
    <definedName name="XRefCopy82Row" localSheetId="2" hidden="1">#REF!</definedName>
    <definedName name="XRefCopy82Row" localSheetId="4" hidden="1">#REF!</definedName>
    <definedName name="XRefCopy82Row" hidden="1">#REF!</definedName>
    <definedName name="XRefCopy8Row" localSheetId="2" hidden="1">#REF!</definedName>
    <definedName name="XRefCopy8Row" localSheetId="4" hidden="1">#REF!</definedName>
    <definedName name="XRefCopy8Row" hidden="1">#REF!</definedName>
    <definedName name="XRefCopy9" localSheetId="2" hidden="1">'[120]Mapa Imobilizado'!#REF!</definedName>
    <definedName name="XRefCopy9" localSheetId="4" hidden="1">'[120]Mapa Imobilizado'!#REF!</definedName>
    <definedName name="XRefCopy9" hidden="1">'[120]Mapa Imobilizado'!#REF!</definedName>
    <definedName name="XRefCopy9Row" localSheetId="2" hidden="1">#REF!</definedName>
    <definedName name="XRefCopy9Row" localSheetId="4" hidden="1">#REF!</definedName>
    <definedName name="XRefCopy9Row" hidden="1">#REF!</definedName>
    <definedName name="XRefCopyRangeCount" hidden="1">3</definedName>
    <definedName name="XRefPaste1" localSheetId="2" hidden="1">#REF!</definedName>
    <definedName name="XRefPaste1" localSheetId="4" hidden="1">#REF!</definedName>
    <definedName name="XRefPaste1" hidden="1">#REF!</definedName>
    <definedName name="XRefPaste10" localSheetId="2" hidden="1">#REF!</definedName>
    <definedName name="XRefPaste10" localSheetId="4" hidden="1">#REF!</definedName>
    <definedName name="XRefPaste10" hidden="1">#REF!</definedName>
    <definedName name="XRefPaste101" localSheetId="4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'[119]Mapa de Resultado'!#REF!</definedName>
    <definedName name="XRefPaste117Row" localSheetId="2" hidden="1">#REF!</definedName>
    <definedName name="XRefPaste117Row" localSheetId="4" hidden="1">#REF!</definedName>
    <definedName name="XRefPaste117Row" hidden="1">#REF!</definedName>
    <definedName name="XRefPaste118" localSheetId="4" hidden="1">'[119]Mapa de Resultado'!#REF!</definedName>
    <definedName name="XRefPaste118" hidden="1">'[119]Mapa de Resultado'!#REF!</definedName>
    <definedName name="XRefPaste118Row" localSheetId="2" hidden="1">#REF!</definedName>
    <definedName name="XRefPaste118Row" localSheetId="4" hidden="1">#REF!</definedName>
    <definedName name="XRefPaste118Row" hidden="1">#REF!</definedName>
    <definedName name="XRefPaste119" localSheetId="4" hidden="1">'[119]Mapa de Resultado'!#REF!</definedName>
    <definedName name="XRefPaste119" hidden="1">'[119]Mapa de Resultado'!#REF!</definedName>
    <definedName name="XRefPaste119Row" localSheetId="2" hidden="1">#REF!</definedName>
    <definedName name="XRefPaste119Row" localSheetId="4" hidden="1">#REF!</definedName>
    <definedName name="XRefPaste119Row" hidden="1">#REF!</definedName>
    <definedName name="XRefPaste11Row" localSheetId="2" hidden="1">#REF!</definedName>
    <definedName name="XRefPaste11Row" localSheetId="4" hidden="1">#REF!</definedName>
    <definedName name="XRefPaste11Row" hidden="1">#REF!</definedName>
    <definedName name="XRefPaste12" localSheetId="2" hidden="1">#REF!</definedName>
    <definedName name="XRefPaste12" localSheetId="4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'[119]Mapa de Resultado'!#REF!</definedName>
    <definedName name="XRefPaste139Row" localSheetId="2" hidden="1">#REF!</definedName>
    <definedName name="XRefPaste139Row" localSheetId="4" hidden="1">#REF!</definedName>
    <definedName name="XRefPaste139Row" hidden="1">#REF!</definedName>
    <definedName name="XRefPaste13Row" localSheetId="2" hidden="1">#REF!</definedName>
    <definedName name="XRefPaste13Row" localSheetId="4" hidden="1">#REF!</definedName>
    <definedName name="XRefPaste13Row" hidden="1">#REF!</definedName>
    <definedName name="XRefPaste14" localSheetId="2" hidden="1">#REF!</definedName>
    <definedName name="XRefPaste14" localSheetId="4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'[119]Mapa de Resultado'!#REF!</definedName>
    <definedName name="XRefPaste19Row" localSheetId="2" hidden="1">#REF!</definedName>
    <definedName name="XRefPaste19Row" localSheetId="4" hidden="1">#REF!</definedName>
    <definedName name="XRefPaste19Row" hidden="1">#REF!</definedName>
    <definedName name="XRefPaste1Row" localSheetId="2" hidden="1">#REF!</definedName>
    <definedName name="XRefPaste1Row" localSheetId="4" hidden="1">#REF!</definedName>
    <definedName name="XRefPaste1Row" hidden="1">#REF!</definedName>
    <definedName name="XRefPaste2" localSheetId="2" hidden="1">#REF!</definedName>
    <definedName name="XRefPaste2" localSheetId="4" hidden="1">#REF!</definedName>
    <definedName name="XRefPaste2" hidden="1">#REF!</definedName>
    <definedName name="XRefPaste21Row" hidden="1">#REF!</definedName>
    <definedName name="XRefPaste22" hidden="1">#REF!</definedName>
    <definedName name="XRefPaste23Row" hidden="1">#REF!</definedName>
    <definedName name="XRefPaste25Row" hidden="1">#REF!</definedName>
    <definedName name="XRefPaste26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Row" hidden="1">#REF!</definedName>
    <definedName name="XRefPaste34Row" hidden="1">#REF!</definedName>
    <definedName name="XRefPaste35" hidden="1">#REF!</definedName>
    <definedName name="XRefPaste35Row" hidden="1">#REF!</definedName>
    <definedName name="XRefPaste37" hidden="1">'[119]Mapa de Resultado'!#REF!</definedName>
    <definedName name="XRefPaste37Row" localSheetId="2" hidden="1">#REF!</definedName>
    <definedName name="XRefPaste37Row" localSheetId="4" hidden="1">#REF!</definedName>
    <definedName name="XRefPaste37Row" hidden="1">#REF!</definedName>
    <definedName name="XRefPaste38" localSheetId="2" hidden="1">#REF!</definedName>
    <definedName name="XRefPaste38" localSheetId="4" hidden="1">#REF!</definedName>
    <definedName name="XRefPaste38" hidden="1">#REF!</definedName>
    <definedName name="XRefPaste38Row" localSheetId="2" hidden="1">#REF!</definedName>
    <definedName name="XRefPaste38Row" localSheetId="4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4" hidden="1">'[119]Deposito Judicial'!#REF!</definedName>
    <definedName name="XRefPaste44Row" hidden="1">[119]XREF!#REF!</definedName>
    <definedName name="XRefPaste45" localSheetId="2" hidden="1">#REF!</definedName>
    <definedName name="XRefPaste45" localSheetId="4" hidden="1">#REF!</definedName>
    <definedName name="XRefPaste45" hidden="1">#REF!</definedName>
    <definedName name="XRefPaste45Row" localSheetId="4" hidden="1">[119]XREF!#REF!</definedName>
    <definedName name="XRefPaste45Row" hidden="1">[119]XREF!#REF!</definedName>
    <definedName name="XRefPaste4Row" localSheetId="2" hidden="1">#REF!</definedName>
    <definedName name="XRefPaste4Row" localSheetId="4" hidden="1">#REF!</definedName>
    <definedName name="XRefPaste4Row" hidden="1">#REF!</definedName>
    <definedName name="XRefPaste5" localSheetId="2" hidden="1">#REF!</definedName>
    <definedName name="XRefPaste5" localSheetId="4" hidden="1">#REF!</definedName>
    <definedName name="XRefPaste5" hidden="1">#REF!</definedName>
    <definedName name="XRefPaste56Row" localSheetId="2" hidden="1">#REF!</definedName>
    <definedName name="XRefPaste56Row" localSheetId="4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9Row" hidden="1">#REF!</definedName>
    <definedName name="XRefPaste9Row" hidden="1">#REF!</definedName>
    <definedName name="XRefPasteRangeCount" hidden="1">7</definedName>
    <definedName name="XX" localSheetId="2" hidden="1">{#N/A,#N/A,FALSE,"ati1294";#N/A,#N/A,FALSE,"pas1294";#N/A,#N/A,FALSE,"res1294"}</definedName>
    <definedName name="XX" localSheetId="4" hidden="1">{#N/A,#N/A,FALSE,"ati1294";#N/A,#N/A,FALSE,"pas1294";#N/A,#N/A,FALSE,"res1294"}</definedName>
    <definedName name="XX" hidden="1">{#N/A,#N/A,FALSE,"ati1294";#N/A,#N/A,FALSE,"pas1294";#N/A,#N/A,FALSE,"res1294"}</definedName>
    <definedName name="xxx" hidden="1">#REF!</definedName>
    <definedName name="XXXX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XXXX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XXXX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xxxxx" localSheetId="2">#N/A</definedName>
    <definedName name="xxxxx" localSheetId="4">#N/A</definedName>
    <definedName name="xxxxx" localSheetId="41">'Preços Unitários'!xxxxx</definedName>
    <definedName name="xxxxx" localSheetId="23">'Recursos Humanos 1'!xxxxx</definedName>
    <definedName name="xxxxx" localSheetId="38">'Veículos e Equipamentos'!xxxxx</definedName>
    <definedName name="xxxxx">'Preços Unitários'!xxxxx</definedName>
    <definedName name="xxxxxxxxxxxxxxxxxx" localSheetId="2">#N/A</definedName>
    <definedName name="xxxxxxxxxxxxxxxxxx" localSheetId="4">#N/A</definedName>
    <definedName name="xxxxxxxxxxxxxxxxxx" localSheetId="41">'Preços Unitários'!xxxxxxxxxxxxxxxxxx</definedName>
    <definedName name="xxxxxxxxxxxxxxxxxx" localSheetId="23">'Recursos Humanos 1'!xxxxxxxxxxxxxxxxxx</definedName>
    <definedName name="xxxxxxxxxxxxxxxxxx" localSheetId="38">'Veículos e Equipamentos'!xxxxxxxxxxxxxxxxxx</definedName>
    <definedName name="xxxxxxxxxxxxxxxxxx">'Preços Unitários'!xxxxxxxxxxxxxxxxxx</definedName>
    <definedName name="xxy" localSheetId="2" hidden="1">{#N/A,#N/A,FALSE,"FFCXOUT3"}</definedName>
    <definedName name="xxy" localSheetId="4" hidden="1">{#N/A,#N/A,FALSE,"FFCXOUT3"}</definedName>
    <definedName name="xxy" hidden="1">{#N/A,#N/A,FALSE,"FFCXOUT3"}</definedName>
    <definedName name="y">[116]Cotações!$G$40</definedName>
    <definedName name="Yabog_TOP" localSheetId="2">[74]Assm!$B$23</definedName>
    <definedName name="Yabog_TOP" localSheetId="4">[74]Assm!$B$23</definedName>
    <definedName name="Yabog_TOP">[74]Assm!$B$23</definedName>
    <definedName name="YEAR" localSheetId="37">#REF!</definedName>
    <definedName name="YEAR" localSheetId="17">#REF!</definedName>
    <definedName name="YEAR" localSheetId="26">#REF!</definedName>
    <definedName name="YEAR" localSheetId="27">#REF!</definedName>
    <definedName name="YEAR" localSheetId="30">#REF!</definedName>
    <definedName name="YEAR" localSheetId="31">#REF!</definedName>
    <definedName name="YEAR" localSheetId="33">#REF!</definedName>
    <definedName name="YEAR">#REF!</definedName>
    <definedName name="Year1" localSheetId="37">#REF!</definedName>
    <definedName name="Year1" localSheetId="17">#REF!</definedName>
    <definedName name="Year1" localSheetId="26">#REF!</definedName>
    <definedName name="Year1" localSheetId="27">#REF!</definedName>
    <definedName name="Year1" localSheetId="30">#REF!</definedName>
    <definedName name="Year1" localSheetId="31">#REF!</definedName>
    <definedName name="Year1" localSheetId="33">#REF!</definedName>
    <definedName name="Year1">#REF!</definedName>
    <definedName name="Year2" localSheetId="37">#REF!</definedName>
    <definedName name="Year2" localSheetId="17">#REF!</definedName>
    <definedName name="Year2" localSheetId="26">#REF!</definedName>
    <definedName name="Year2" localSheetId="27">#REF!</definedName>
    <definedName name="Year2" localSheetId="30">#REF!</definedName>
    <definedName name="Year2" localSheetId="31">#REF!</definedName>
    <definedName name="Year2" localSheetId="33">#REF!</definedName>
    <definedName name="Year2">#REF!</definedName>
    <definedName name="Year3" localSheetId="37">#REF!</definedName>
    <definedName name="Year3" localSheetId="17">#REF!</definedName>
    <definedName name="Year3" localSheetId="26">#REF!</definedName>
    <definedName name="Year3" localSheetId="27">#REF!</definedName>
    <definedName name="Year3" localSheetId="30">#REF!</definedName>
    <definedName name="Year3" localSheetId="31">#REF!</definedName>
    <definedName name="Year3" localSheetId="33">#REF!</definedName>
    <definedName name="Year3">#REF!</definedName>
    <definedName name="yhg" hidden="1">2</definedName>
    <definedName name="YrEnd_FFr_USD">0.1767</definedName>
    <definedName name="yuk">'[124]RELATA VÉIO'!$A$1:$AA$335</definedName>
    <definedName name="yyy" localSheetId="2" hidden="1">{"report",#N/A,FALSE,"dataBase"}</definedName>
    <definedName name="yyy" localSheetId="4" hidden="1">{"report",#N/A,FALSE,"dataBase"}</definedName>
    <definedName name="yyy" hidden="1">{"report",#N/A,FALSE,"dataBase"}</definedName>
    <definedName name="z">[116]Cotações!$G$41</definedName>
    <definedName name="Z_60DF8B29_1C1F_4B50_BDA8_B8E0C7DD04C3_.wvu.Cols" hidden="1">[125]Jurídico!$D$1:$D$65536,[125]Jurídico!$F$1:$K$65536</definedName>
    <definedName name="Z_E3FFE9E0_6C4F_4FB4_A56E_FBE96871B5C8_.wvu.Cols" hidden="1">[125]Jurídico!$D$1:$D$65536,[125]Jurídico!$F$1:$K$65536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  <definedName name="Zonas">'[52]#REF'!$A$1:$AI$249</definedName>
    <definedName name="zxc" localSheetId="2" hidden="1">{#N/A,#N/A,FALSE,"ati1294";#N/A,#N/A,FALSE,"pas1294";#N/A,#N/A,FALSE,"res1294"}</definedName>
    <definedName name="zxc" localSheetId="4" hidden="1">{#N/A,#N/A,FALSE,"ati1294";#N/A,#N/A,FALSE,"pas1294";#N/A,#N/A,FALSE,"res1294"}</definedName>
    <definedName name="zxc" hidden="1">{#N/A,#N/A,FALSE,"ati1294";#N/A,#N/A,FALSE,"pas1294";#N/A,#N/A,FALSE,"res1294"}</definedName>
    <definedName name="ZZ" localSheetId="2" hidden="1">{#N/A,#N/A,FALSE,"ati1294";#N/A,#N/A,FALSE,"pas1294";#N/A,#N/A,FALSE,"res1294"}</definedName>
    <definedName name="ZZ" localSheetId="4" hidden="1">{#N/A,#N/A,FALSE,"ati1294";#N/A,#N/A,FALSE,"pas1294";#N/A,#N/A,FALSE,"res1294"}</definedName>
    <definedName name="ZZ" hidden="1">{#N/A,#N/A,FALSE,"ati1294";#N/A,#N/A,FALSE,"pas1294";#N/A,#N/A,FALSE,"res1294"}</definedName>
    <definedName name="zzz" localSheetId="2" hidden="1">{"report",#N/A,FALSE,"dataBase"}</definedName>
    <definedName name="zzz" localSheetId="4" hidden="1">{"report",#N/A,FALSE,"dataBase"}</definedName>
    <definedName name="zzz" hidden="1">{"report",#N/A,FALSE,"dataBase"}</definedName>
    <definedName name="が" localSheetId="2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4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2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2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[126]保全状況!#REF!</definedName>
    <definedName name="物上保証" localSheetId="2" hidden="1">{#N/A,#N/A,FALSE,"Aging Summary";#N/A,#N/A,FALSE,"Ratio Analysis";#N/A,#N/A,FALSE,"Test 120 Day Accts";#N/A,#N/A,FALSE,"Tickmarks"}</definedName>
    <definedName name="物上保証" localSheetId="4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" i="60" l="1"/>
  <c r="B5" i="56"/>
  <c r="B6" i="56"/>
  <c r="B7" i="56"/>
  <c r="B8" i="56"/>
  <c r="B9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4" i="56"/>
  <c r="I4" i="55"/>
  <c r="I5" i="55"/>
  <c r="I6" i="55"/>
  <c r="I7" i="55"/>
  <c r="I8" i="55"/>
  <c r="I9" i="55"/>
  <c r="I10" i="55"/>
  <c r="J10" i="55" s="1"/>
  <c r="I11" i="55"/>
  <c r="J11" i="55" s="1"/>
  <c r="I12" i="55"/>
  <c r="J12" i="55" s="1"/>
  <c r="I13" i="55"/>
  <c r="I14" i="55"/>
  <c r="I15" i="55"/>
  <c r="I16" i="55"/>
  <c r="I17" i="55"/>
  <c r="I18" i="55"/>
  <c r="J18" i="55" s="1"/>
  <c r="I19" i="55"/>
  <c r="J19" i="55" s="1"/>
  <c r="I20" i="55"/>
  <c r="J20" i="55" s="1"/>
  <c r="I21" i="55"/>
  <c r="I22" i="55"/>
  <c r="I23" i="55"/>
  <c r="I24" i="55"/>
  <c r="I25" i="55"/>
  <c r="I26" i="55"/>
  <c r="J26" i="55" s="1"/>
  <c r="I27" i="55"/>
  <c r="J27" i="55" s="1"/>
  <c r="I28" i="55"/>
  <c r="J28" i="55" s="1"/>
  <c r="I29" i="55"/>
  <c r="I30" i="55"/>
  <c r="I31" i="55"/>
  <c r="I32" i="55"/>
  <c r="I33" i="55"/>
  <c r="J4" i="55"/>
  <c r="J5" i="55"/>
  <c r="J6" i="55"/>
  <c r="J7" i="55"/>
  <c r="J8" i="55"/>
  <c r="J9" i="55"/>
  <c r="J13" i="55"/>
  <c r="J14" i="55"/>
  <c r="J15" i="55"/>
  <c r="J16" i="55"/>
  <c r="J17" i="55"/>
  <c r="J21" i="55"/>
  <c r="J22" i="55"/>
  <c r="J23" i="55"/>
  <c r="J24" i="55"/>
  <c r="J25" i="55"/>
  <c r="J29" i="55"/>
  <c r="J30" i="55"/>
  <c r="J31" i="55"/>
  <c r="J32" i="55"/>
  <c r="J33" i="55"/>
  <c r="F66" i="83"/>
  <c r="E66" i="83"/>
  <c r="AF10" i="111"/>
  <c r="AE10" i="111"/>
  <c r="AD10" i="111"/>
  <c r="AC10" i="111"/>
  <c r="AB10" i="111"/>
  <c r="AA10" i="111"/>
  <c r="Z10" i="111"/>
  <c r="Y10" i="111"/>
  <c r="X10" i="111"/>
  <c r="W10" i="111"/>
  <c r="V10" i="111"/>
  <c r="U10" i="111"/>
  <c r="T10" i="111"/>
  <c r="S10" i="111"/>
  <c r="R10" i="111"/>
  <c r="Q10" i="111"/>
  <c r="P10" i="111"/>
  <c r="O10" i="111"/>
  <c r="N10" i="111"/>
  <c r="M10" i="111"/>
  <c r="L10" i="111"/>
  <c r="K10" i="111"/>
  <c r="J10" i="111"/>
  <c r="I10" i="111"/>
  <c r="H10" i="111"/>
  <c r="G10" i="111"/>
  <c r="F10" i="111"/>
  <c r="E10" i="111"/>
  <c r="B10" i="111" s="1"/>
  <c r="D10" i="111"/>
  <c r="C10" i="111"/>
  <c r="B12" i="111"/>
  <c r="B11" i="111"/>
  <c r="AF12" i="111"/>
  <c r="AE12" i="111"/>
  <c r="AD12" i="111"/>
  <c r="AC12" i="111"/>
  <c r="AB12" i="111"/>
  <c r="AA12" i="111"/>
  <c r="Z12" i="111"/>
  <c r="Y12" i="111"/>
  <c r="X12" i="111"/>
  <c r="W12" i="111"/>
  <c r="V12" i="111"/>
  <c r="U12" i="111"/>
  <c r="T12" i="111"/>
  <c r="S12" i="111"/>
  <c r="R12" i="111"/>
  <c r="Q12" i="111"/>
  <c r="P12" i="111"/>
  <c r="O12" i="111"/>
  <c r="N12" i="111"/>
  <c r="M12" i="111"/>
  <c r="L12" i="111"/>
  <c r="K12" i="111"/>
  <c r="J12" i="111"/>
  <c r="I12" i="111"/>
  <c r="H12" i="111"/>
  <c r="G12" i="111"/>
  <c r="F12" i="111"/>
  <c r="E12" i="111"/>
  <c r="D12" i="111"/>
  <c r="AF11" i="111"/>
  <c r="AE11" i="111"/>
  <c r="AD11" i="111"/>
  <c r="AC11" i="111"/>
  <c r="AB11" i="111"/>
  <c r="AA11" i="111"/>
  <c r="Z11" i="111"/>
  <c r="Y11" i="111"/>
  <c r="X11" i="111"/>
  <c r="W11" i="111"/>
  <c r="V11" i="111"/>
  <c r="U11" i="111"/>
  <c r="T11" i="111"/>
  <c r="S11" i="111"/>
  <c r="R11" i="111"/>
  <c r="Q11" i="111"/>
  <c r="P11" i="111"/>
  <c r="O11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C88" i="111"/>
  <c r="C87" i="111" s="1"/>
  <c r="K91" i="111" s="1"/>
  <c r="D137" i="156"/>
  <c r="S6" i="54"/>
  <c r="S7" i="54" s="1"/>
  <c r="S8" i="54" s="1"/>
  <c r="S9" i="54" s="1"/>
  <c r="S10" i="54" s="1"/>
  <c r="S11" i="54" s="1"/>
  <c r="S12" i="54" s="1"/>
  <c r="S13" i="54" s="1"/>
  <c r="S14" i="54" s="1"/>
  <c r="S15" i="54" s="1"/>
  <c r="S16" i="54" s="1"/>
  <c r="S17" i="54" s="1"/>
  <c r="S18" i="54" s="1"/>
  <c r="S19" i="54" s="1"/>
  <c r="S20" i="54" s="1"/>
  <c r="S21" i="54" s="1"/>
  <c r="S22" i="54" s="1"/>
  <c r="S23" i="54" s="1"/>
  <c r="S24" i="54" s="1"/>
  <c r="S25" i="54" s="1"/>
  <c r="S26" i="54" s="1"/>
  <c r="S27" i="54" s="1"/>
  <c r="S28" i="54" s="1"/>
  <c r="S29" i="54" s="1"/>
  <c r="S30" i="54" s="1"/>
  <c r="S31" i="54" s="1"/>
  <c r="S32" i="54" s="1"/>
  <c r="S33" i="54" s="1"/>
  <c r="S34" i="54" s="1"/>
  <c r="S35" i="54" s="1"/>
  <c r="E65" i="83"/>
  <c r="D66" i="83"/>
  <c r="R2" i="54"/>
  <c r="D33" i="161"/>
  <c r="D35" i="161"/>
  <c r="D36" i="161"/>
  <c r="D38" i="161"/>
  <c r="E38" i="161" s="1"/>
  <c r="D39" i="161"/>
  <c r="E39" i="161" s="1"/>
  <c r="D40" i="161"/>
  <c r="E40" i="161" s="1"/>
  <c r="D32" i="161"/>
  <c r="E32" i="161" s="1"/>
  <c r="E35" i="161"/>
  <c r="E33" i="161"/>
  <c r="C33" i="161"/>
  <c r="C35" i="161"/>
  <c r="C36" i="161"/>
  <c r="C38" i="161"/>
  <c r="C39" i="161"/>
  <c r="C40" i="161"/>
  <c r="C32" i="161"/>
  <c r="C18" i="161"/>
  <c r="F36" i="161"/>
  <c r="E36" i="161"/>
  <c r="F35" i="161"/>
  <c r="F33" i="161"/>
  <c r="E30" i="161"/>
  <c r="F21" i="161"/>
  <c r="F19" i="161"/>
  <c r="F22" i="161"/>
  <c r="F24" i="161"/>
  <c r="F25" i="161"/>
  <c r="F26" i="161"/>
  <c r="F18" i="161"/>
  <c r="E21" i="161"/>
  <c r="D21" i="161"/>
  <c r="E19" i="161"/>
  <c r="E22" i="161"/>
  <c r="E24" i="161"/>
  <c r="E25" i="161"/>
  <c r="E26" i="161"/>
  <c r="D19" i="161"/>
  <c r="D22" i="161"/>
  <c r="D24" i="161"/>
  <c r="D25" i="161"/>
  <c r="D26" i="161"/>
  <c r="D18" i="161"/>
  <c r="C19" i="161"/>
  <c r="C21" i="161"/>
  <c r="C22" i="161"/>
  <c r="C24" i="161"/>
  <c r="C25" i="161"/>
  <c r="C26" i="161"/>
  <c r="E16" i="161"/>
  <c r="J34" i="55" l="1"/>
  <c r="AB15" i="111"/>
  <c r="T15" i="111"/>
  <c r="L15" i="111"/>
  <c r="D15" i="111"/>
  <c r="AA15" i="111"/>
  <c r="S15" i="111"/>
  <c r="K15" i="111"/>
  <c r="AC15" i="111"/>
  <c r="M15" i="111"/>
  <c r="Z15" i="111"/>
  <c r="R15" i="111"/>
  <c r="J15" i="111"/>
  <c r="U15" i="111"/>
  <c r="Y15" i="111"/>
  <c r="Q15" i="111"/>
  <c r="I15" i="111"/>
  <c r="AF15" i="111"/>
  <c r="X15" i="111"/>
  <c r="P15" i="111"/>
  <c r="H15" i="111"/>
  <c r="AE15" i="111"/>
  <c r="W15" i="111"/>
  <c r="O15" i="111"/>
  <c r="G15" i="111"/>
  <c r="E15" i="111"/>
  <c r="AD15" i="111"/>
  <c r="V15" i="111"/>
  <c r="N15" i="111"/>
  <c r="F15" i="111"/>
  <c r="I91" i="111"/>
  <c r="L91" i="111"/>
  <c r="E91" i="111"/>
  <c r="F91" i="111"/>
  <c r="D91" i="111"/>
  <c r="H91" i="111"/>
  <c r="G91" i="111"/>
  <c r="J91" i="111"/>
  <c r="C91" i="111"/>
  <c r="F65" i="83"/>
  <c r="F38" i="161"/>
  <c r="F40" i="161"/>
  <c r="F39" i="161"/>
  <c r="F32" i="161"/>
  <c r="E18" i="161"/>
  <c r="K8" i="54" l="1"/>
  <c r="C46" i="59"/>
  <c r="R34" i="21" l="1"/>
  <c r="Q9" i="21"/>
  <c r="J4" i="64"/>
  <c r="G8" i="118"/>
  <c r="H8" i="118"/>
  <c r="I8" i="118"/>
  <c r="J8" i="118"/>
  <c r="K8" i="118"/>
  <c r="L8" i="118"/>
  <c r="M8" i="118"/>
  <c r="N8" i="118"/>
  <c r="O8" i="118"/>
  <c r="P8" i="118"/>
  <c r="Q8" i="118"/>
  <c r="R8" i="118"/>
  <c r="S8" i="118"/>
  <c r="T8" i="118"/>
  <c r="U8" i="118"/>
  <c r="V8" i="118"/>
  <c r="W8" i="118"/>
  <c r="X8" i="118"/>
  <c r="Y8" i="118"/>
  <c r="Z8" i="118"/>
  <c r="AA8" i="118"/>
  <c r="AB8" i="118"/>
  <c r="AC8" i="118"/>
  <c r="AD8" i="118"/>
  <c r="AE8" i="118"/>
  <c r="AF8" i="118"/>
  <c r="AG8" i="118"/>
  <c r="AH8" i="118"/>
  <c r="F8" i="118"/>
  <c r="E8" i="118"/>
  <c r="G50" i="58" l="1"/>
  <c r="H50" i="58"/>
  <c r="I50" i="58"/>
  <c r="J50" i="58"/>
  <c r="K50" i="58"/>
  <c r="L50" i="58"/>
  <c r="M50" i="58"/>
  <c r="D50" i="58"/>
  <c r="E50" i="58"/>
  <c r="F50" i="58"/>
  <c r="N50" i="58"/>
  <c r="O50" i="58"/>
  <c r="P50" i="58"/>
  <c r="Q50" i="58"/>
  <c r="R50" i="58"/>
  <c r="S50" i="58"/>
  <c r="T50" i="58"/>
  <c r="U50" i="58"/>
  <c r="V50" i="58"/>
  <c r="W50" i="58"/>
  <c r="X50" i="58"/>
  <c r="Y50" i="58"/>
  <c r="Z50" i="58"/>
  <c r="AA50" i="58"/>
  <c r="AB50" i="58"/>
  <c r="AC50" i="58"/>
  <c r="AD50" i="58"/>
  <c r="AE50" i="58"/>
  <c r="AF50" i="58"/>
  <c r="AG50" i="58"/>
  <c r="E41" i="118" a="1"/>
  <c r="E41" i="118" s="1"/>
  <c r="AD6" i="113"/>
  <c r="AD7" i="113"/>
  <c r="AD8" i="113" s="1"/>
  <c r="AD9" i="113" s="1"/>
  <c r="AD10" i="113" s="1"/>
  <c r="AD11" i="113" s="1"/>
  <c r="AD5" i="113"/>
  <c r="AD4" i="113"/>
  <c r="AC8" i="113"/>
  <c r="AC9" i="113"/>
  <c r="AC10" i="113"/>
  <c r="AC11" i="113"/>
  <c r="AC7" i="113"/>
  <c r="AC5" i="113"/>
  <c r="AC6" i="113"/>
  <c r="AC4" i="113"/>
  <c r="W6" i="113"/>
  <c r="L4" i="57" a="1"/>
  <c r="L4" i="57" s="1"/>
  <c r="F4" i="57" a="1"/>
  <c r="F4" i="57" s="1"/>
  <c r="N28" i="145"/>
  <c r="N9" i="145"/>
  <c r="N8" i="145"/>
  <c r="N41" i="145"/>
  <c r="N39" i="145"/>
  <c r="N40" i="145"/>
  <c r="N19" i="145"/>
  <c r="X4" i="113"/>
  <c r="N5" i="57"/>
  <c r="N6" i="57"/>
  <c r="N7" i="57"/>
  <c r="N8" i="57"/>
  <c r="N9" i="57"/>
  <c r="N10" i="57"/>
  <c r="N11" i="57"/>
  <c r="N12" i="57"/>
  <c r="N13" i="57"/>
  <c r="N14" i="57"/>
  <c r="N15" i="57"/>
  <c r="N16" i="57"/>
  <c r="N17" i="57"/>
  <c r="N18" i="57"/>
  <c r="N19" i="57"/>
  <c r="N20" i="57"/>
  <c r="N21" i="57"/>
  <c r="N22" i="57"/>
  <c r="N23" i="57"/>
  <c r="N24" i="57"/>
  <c r="N25" i="57"/>
  <c r="N26" i="57"/>
  <c r="N27" i="57"/>
  <c r="N28" i="57"/>
  <c r="N29" i="57"/>
  <c r="N30" i="57"/>
  <c r="N31" i="57"/>
  <c r="N32" i="57"/>
  <c r="N33" i="57"/>
  <c r="N4" i="57"/>
  <c r="U8" i="20"/>
  <c r="U3" i="54"/>
  <c r="J6" i="54"/>
  <c r="K6" i="54" s="1"/>
  <c r="J7" i="54"/>
  <c r="K7" i="54" s="1"/>
  <c r="J8" i="54"/>
  <c r="J9" i="54"/>
  <c r="K9" i="54" s="1"/>
  <c r="J10" i="54"/>
  <c r="K10" i="54" s="1"/>
  <c r="J11" i="54"/>
  <c r="K11" i="54" s="1"/>
  <c r="J12" i="54"/>
  <c r="K12" i="54" s="1"/>
  <c r="J13" i="54"/>
  <c r="K13" i="54" s="1"/>
  <c r="J14" i="54"/>
  <c r="K14" i="54" s="1"/>
  <c r="J15" i="54"/>
  <c r="K15" i="54" s="1"/>
  <c r="J16" i="54"/>
  <c r="K16" i="54" s="1"/>
  <c r="J17" i="54"/>
  <c r="K17" i="54" s="1"/>
  <c r="J18" i="54"/>
  <c r="K18" i="54" s="1"/>
  <c r="J19" i="54"/>
  <c r="K19" i="54" s="1"/>
  <c r="J20" i="54"/>
  <c r="K20" i="54" s="1"/>
  <c r="J21" i="54"/>
  <c r="K21" i="54" s="1"/>
  <c r="J22" i="54"/>
  <c r="K22" i="54" s="1"/>
  <c r="J23" i="54"/>
  <c r="K23" i="54" s="1"/>
  <c r="J24" i="54"/>
  <c r="K24" i="54" s="1"/>
  <c r="J25" i="54"/>
  <c r="K25" i="54" s="1"/>
  <c r="J26" i="54"/>
  <c r="K26" i="54" s="1"/>
  <c r="J27" i="54"/>
  <c r="K27" i="54" s="1"/>
  <c r="J28" i="54"/>
  <c r="K28" i="54" s="1"/>
  <c r="J29" i="54"/>
  <c r="K29" i="54" s="1"/>
  <c r="J30" i="54"/>
  <c r="K30" i="54" s="1"/>
  <c r="J31" i="54"/>
  <c r="K31" i="54" s="1"/>
  <c r="J32" i="54"/>
  <c r="K32" i="54" s="1"/>
  <c r="J33" i="54"/>
  <c r="K33" i="54" s="1"/>
  <c r="J34" i="54"/>
  <c r="K34" i="54" s="1"/>
  <c r="J5" i="54"/>
  <c r="K5" i="54" s="1"/>
  <c r="C5" i="61"/>
  <c r="C7" i="61"/>
  <c r="E23" i="118" a="1"/>
  <c r="E23" i="118" s="1"/>
  <c r="C50" i="58" l="1"/>
  <c r="L26" i="57"/>
  <c r="L14" i="57"/>
  <c r="L24" i="57"/>
  <c r="L12" i="57"/>
  <c r="L27" i="57"/>
  <c r="L23" i="57"/>
  <c r="L11" i="57"/>
  <c r="L22" i="57"/>
  <c r="L10" i="57"/>
  <c r="L33" i="57"/>
  <c r="L21" i="57"/>
  <c r="L9" i="57"/>
  <c r="L32" i="57"/>
  <c r="L20" i="57"/>
  <c r="L8" i="57"/>
  <c r="L13" i="57"/>
  <c r="L31" i="57"/>
  <c r="L19" i="57"/>
  <c r="L7" i="57"/>
  <c r="L30" i="57"/>
  <c r="L18" i="57"/>
  <c r="L6" i="57"/>
  <c r="L15" i="57"/>
  <c r="L29" i="57"/>
  <c r="L17" i="57"/>
  <c r="L5" i="57"/>
  <c r="L25" i="57"/>
  <c r="L28" i="57"/>
  <c r="L16" i="57"/>
  <c r="F27" i="57"/>
  <c r="F15" i="57"/>
  <c r="F26" i="57"/>
  <c r="F14" i="57"/>
  <c r="F24" i="57"/>
  <c r="F23" i="57"/>
  <c r="C21" i="59" s="1" a="1"/>
  <c r="F11" i="57"/>
  <c r="F12" i="57"/>
  <c r="F22" i="57"/>
  <c r="F10" i="57"/>
  <c r="F33" i="57"/>
  <c r="F21" i="57"/>
  <c r="F9" i="57"/>
  <c r="F32" i="57"/>
  <c r="F20" i="57"/>
  <c r="F8" i="57"/>
  <c r="F25" i="57"/>
  <c r="F31" i="57"/>
  <c r="F19" i="57"/>
  <c r="F7" i="57"/>
  <c r="F30" i="57"/>
  <c r="F18" i="57"/>
  <c r="F6" i="57"/>
  <c r="F13" i="57"/>
  <c r="F29" i="57"/>
  <c r="F17" i="57"/>
  <c r="F5" i="57"/>
  <c r="F28" i="57"/>
  <c r="F16" i="57"/>
  <c r="AB23" i="118"/>
  <c r="Z23" i="118"/>
  <c r="X23" i="118"/>
  <c r="L23" i="118"/>
  <c r="W23" i="118"/>
  <c r="K23" i="118"/>
  <c r="M23" i="118"/>
  <c r="AH23" i="118"/>
  <c r="V23" i="118"/>
  <c r="J23" i="118"/>
  <c r="AA23" i="118"/>
  <c r="O23" i="118"/>
  <c r="Y23" i="118"/>
  <c r="AG23" i="118"/>
  <c r="U23" i="118"/>
  <c r="I23" i="118"/>
  <c r="H23" i="118"/>
  <c r="N23" i="118"/>
  <c r="AF23" i="118"/>
  <c r="T23" i="118"/>
  <c r="AE23" i="118"/>
  <c r="S23" i="118"/>
  <c r="G23" i="118"/>
  <c r="F23" i="118"/>
  <c r="P23" i="118"/>
  <c r="AD23" i="118"/>
  <c r="R23" i="118"/>
  <c r="AC23" i="118"/>
  <c r="Q23" i="118"/>
  <c r="E40" i="118" a="1"/>
  <c r="G40" i="118" s="1"/>
  <c r="F49" i="58" s="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8" i="21"/>
  <c r="D18" i="83"/>
  <c r="C30" i="59" l="1" a="1"/>
  <c r="G30" i="59" s="1"/>
  <c r="C21" i="59"/>
  <c r="G21" i="59"/>
  <c r="N21" i="59"/>
  <c r="J21" i="59"/>
  <c r="AF21" i="59"/>
  <c r="AB21" i="59"/>
  <c r="AD21" i="59"/>
  <c r="P21" i="59"/>
  <c r="X21" i="59"/>
  <c r="V21" i="59"/>
  <c r="R21" i="59"/>
  <c r="D21" i="59"/>
  <c r="M21" i="59"/>
  <c r="L21" i="59"/>
  <c r="U21" i="59"/>
  <c r="F21" i="59"/>
  <c r="AA21" i="59"/>
  <c r="AE21" i="59"/>
  <c r="I21" i="59"/>
  <c r="Y21" i="59"/>
  <c r="O21" i="59"/>
  <c r="S21" i="59"/>
  <c r="E21" i="59"/>
  <c r="Z21" i="59"/>
  <c r="K21" i="59"/>
  <c r="W21" i="59"/>
  <c r="T21" i="59"/>
  <c r="H21" i="59"/>
  <c r="AC21" i="59"/>
  <c r="Q21" i="59"/>
  <c r="Y30" i="59"/>
  <c r="S30" i="59"/>
  <c r="D30" i="59"/>
  <c r="M30" i="59"/>
  <c r="AA30" i="59"/>
  <c r="AD30" i="59"/>
  <c r="I30" i="59"/>
  <c r="AB30" i="59"/>
  <c r="J30" i="59"/>
  <c r="E30" i="59"/>
  <c r="AA40" i="118"/>
  <c r="Z49" i="58" s="1"/>
  <c r="O40" i="118"/>
  <c r="N49" i="58" s="1"/>
  <c r="R40" i="118"/>
  <c r="Q49" i="58" s="1"/>
  <c r="Z40" i="118"/>
  <c r="Y49" i="58" s="1"/>
  <c r="N40" i="118"/>
  <c r="M49" i="58" s="1"/>
  <c r="Y40" i="118"/>
  <c r="X49" i="58" s="1"/>
  <c r="M40" i="118"/>
  <c r="L49" i="58" s="1"/>
  <c r="X40" i="118"/>
  <c r="W49" i="58" s="1"/>
  <c r="L40" i="118"/>
  <c r="K49" i="58" s="1"/>
  <c r="W40" i="118"/>
  <c r="V49" i="58" s="1"/>
  <c r="K40" i="118"/>
  <c r="J49" i="58" s="1"/>
  <c r="AC40" i="118"/>
  <c r="AB49" i="58" s="1"/>
  <c r="E40" i="118"/>
  <c r="D49" i="58" s="1"/>
  <c r="P40" i="118"/>
  <c r="O49" i="58" s="1"/>
  <c r="AH40" i="118"/>
  <c r="AG49" i="58" s="1"/>
  <c r="J40" i="118"/>
  <c r="I49" i="58" s="1"/>
  <c r="AG40" i="118"/>
  <c r="AF49" i="58" s="1"/>
  <c r="U40" i="118"/>
  <c r="T49" i="58" s="1"/>
  <c r="I40" i="118"/>
  <c r="H49" i="58" s="1"/>
  <c r="AD40" i="118"/>
  <c r="AC49" i="58" s="1"/>
  <c r="F40" i="118"/>
  <c r="E49" i="58" s="1"/>
  <c r="Q40" i="118"/>
  <c r="P49" i="58" s="1"/>
  <c r="AB40" i="118"/>
  <c r="AA49" i="58" s="1"/>
  <c r="V40" i="118"/>
  <c r="U49" i="58" s="1"/>
  <c r="AF40" i="118"/>
  <c r="AE49" i="58" s="1"/>
  <c r="T40" i="118"/>
  <c r="S49" i="58" s="1"/>
  <c r="H40" i="118"/>
  <c r="G49" i="58" s="1"/>
  <c r="AE40" i="118"/>
  <c r="AD49" i="58" s="1"/>
  <c r="S40" i="118"/>
  <c r="R49" i="58" s="1"/>
  <c r="C49" i="58" l="1"/>
  <c r="AC30" i="59"/>
  <c r="V30" i="59"/>
  <c r="P30" i="59"/>
  <c r="U30" i="59"/>
  <c r="O30" i="59"/>
  <c r="AE30" i="59"/>
  <c r="Z30" i="59"/>
  <c r="X30" i="59"/>
  <c r="N30" i="59"/>
  <c r="Q30" i="59"/>
  <c r="K30" i="59"/>
  <c r="L30" i="59"/>
  <c r="F30" i="59"/>
  <c r="H30" i="59"/>
  <c r="T30" i="59"/>
  <c r="W30" i="59"/>
  <c r="AF30" i="59"/>
  <c r="C30" i="59"/>
  <c r="R30" i="59"/>
  <c r="C5" i="20" l="1"/>
  <c r="C6" i="20"/>
  <c r="C7" i="20"/>
  <c r="C8" i="20"/>
  <c r="L8" i="20" s="1"/>
  <c r="C9" i="20"/>
  <c r="L9" i="20" s="1"/>
  <c r="C10" i="20"/>
  <c r="L10" i="20" s="1"/>
  <c r="C11" i="20"/>
  <c r="L11" i="20" s="1"/>
  <c r="C12" i="20"/>
  <c r="L12" i="20" s="1"/>
  <c r="C13" i="20"/>
  <c r="L13" i="20" s="1"/>
  <c r="C14" i="20"/>
  <c r="L14" i="20" s="1"/>
  <c r="C15" i="20"/>
  <c r="L15" i="20" s="1"/>
  <c r="C16" i="20"/>
  <c r="L16" i="20" s="1"/>
  <c r="C17" i="20"/>
  <c r="L17" i="20" s="1"/>
  <c r="C18" i="20"/>
  <c r="L18" i="20" s="1"/>
  <c r="C19" i="20"/>
  <c r="L19" i="20" s="1"/>
  <c r="C20" i="20"/>
  <c r="L20" i="20" s="1"/>
  <c r="C21" i="20"/>
  <c r="L21" i="20" s="1"/>
  <c r="C22" i="20"/>
  <c r="L22" i="20" s="1"/>
  <c r="C23" i="20"/>
  <c r="L23" i="20" s="1"/>
  <c r="C24" i="20"/>
  <c r="L24" i="20" s="1"/>
  <c r="C25" i="20"/>
  <c r="L25" i="20" s="1"/>
  <c r="C26" i="20"/>
  <c r="L26" i="20" s="1"/>
  <c r="C27" i="20"/>
  <c r="L27" i="20" s="1"/>
  <c r="C28" i="20"/>
  <c r="L28" i="20" s="1"/>
  <c r="C29" i="20"/>
  <c r="L29" i="20" s="1"/>
  <c r="C30" i="20"/>
  <c r="L30" i="20" s="1"/>
  <c r="C31" i="20"/>
  <c r="L31" i="20" s="1"/>
  <c r="C32" i="20"/>
  <c r="L32" i="20" s="1"/>
  <c r="C33" i="20"/>
  <c r="L33" i="20" s="1"/>
  <c r="C34" i="20"/>
  <c r="L34" i="20" s="1"/>
  <c r="C4" i="20"/>
  <c r="G5" i="82"/>
  <c r="G4" i="82"/>
  <c r="B46" i="59"/>
  <c r="G6" i="82"/>
  <c r="G7" i="82"/>
  <c r="G8" i="82"/>
  <c r="G9" i="82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D96" i="83"/>
  <c r="E22" i="118" a="1"/>
  <c r="E22" i="118" s="1"/>
  <c r="AB22" i="118" l="1"/>
  <c r="L22" i="118"/>
  <c r="AA22" i="118"/>
  <c r="K22" i="118"/>
  <c r="AH22" i="118"/>
  <c r="R22" i="118"/>
  <c r="AG22" i="118"/>
  <c r="Y22" i="118"/>
  <c r="I22" i="118"/>
  <c r="X22" i="118"/>
  <c r="H22" i="118"/>
  <c r="W22" i="118"/>
  <c r="G22" i="118"/>
  <c r="AD22" i="118"/>
  <c r="V22" i="118"/>
  <c r="N22" i="118"/>
  <c r="F22" i="118"/>
  <c r="T22" i="118"/>
  <c r="S22" i="118"/>
  <c r="Z22" i="118"/>
  <c r="J22" i="118"/>
  <c r="Q22" i="118"/>
  <c r="AF22" i="118"/>
  <c r="P22" i="118"/>
  <c r="AE22" i="118"/>
  <c r="O22" i="118"/>
  <c r="AC22" i="118"/>
  <c r="U22" i="118"/>
  <c r="M22" i="118"/>
  <c r="C48" i="59"/>
  <c r="F32" i="58" l="1"/>
  <c r="G32" i="58"/>
  <c r="E32" i="58"/>
  <c r="AA29" i="58"/>
  <c r="T29" i="58"/>
  <c r="M29" i="58"/>
  <c r="F29" i="58"/>
  <c r="I10" i="145"/>
  <c r="D113" i="156"/>
  <c r="K45" i="58" s="1"/>
  <c r="D110" i="156"/>
  <c r="G45" i="58" s="1"/>
  <c r="D109" i="156"/>
  <c r="F55" i="58"/>
  <c r="G55" i="58"/>
  <c r="H55" i="58"/>
  <c r="I55" i="58"/>
  <c r="J55" i="58"/>
  <c r="K55" i="58"/>
  <c r="L55" i="58"/>
  <c r="M55" i="58"/>
  <c r="N55" i="58"/>
  <c r="O55" i="58"/>
  <c r="P55" i="58"/>
  <c r="Q55" i="58"/>
  <c r="R55" i="58"/>
  <c r="S55" i="58"/>
  <c r="T55" i="58"/>
  <c r="U55" i="58"/>
  <c r="V55" i="58"/>
  <c r="W55" i="58"/>
  <c r="X55" i="58"/>
  <c r="Y55" i="58"/>
  <c r="Z55" i="58"/>
  <c r="AA55" i="58"/>
  <c r="AB55" i="58"/>
  <c r="AC55" i="58"/>
  <c r="AD55" i="58"/>
  <c r="AE55" i="58"/>
  <c r="AF55" i="58"/>
  <c r="AG55" i="58"/>
  <c r="D55" i="58"/>
  <c r="H45" i="58" l="1"/>
  <c r="I45" i="58"/>
  <c r="J45" i="58"/>
  <c r="F45" i="58"/>
  <c r="B19" i="154"/>
  <c r="C19" i="154"/>
  <c r="H4" i="127"/>
  <c r="E48" i="83" l="1"/>
  <c r="F58" i="83"/>
  <c r="E58" i="83"/>
  <c r="D58" i="83"/>
  <c r="Q124" i="157"/>
  <c r="U124" i="157" s="1"/>
  <c r="Q123" i="157"/>
  <c r="U123" i="157" s="1"/>
  <c r="Q122" i="157"/>
  <c r="V122" i="157" s="1"/>
  <c r="Q115" i="157"/>
  <c r="U115" i="157" s="1"/>
  <c r="Q117" i="157"/>
  <c r="U117" i="157" s="1"/>
  <c r="Q113" i="157"/>
  <c r="W113" i="157" s="1"/>
  <c r="Q112" i="157"/>
  <c r="W112" i="157" s="1"/>
  <c r="Q111" i="157"/>
  <c r="W111" i="157" s="1"/>
  <c r="Q110" i="157"/>
  <c r="W110" i="157" s="1"/>
  <c r="Q109" i="157"/>
  <c r="W109" i="157" s="1"/>
  <c r="Q108" i="157"/>
  <c r="W108" i="157" s="1"/>
  <c r="Q107" i="157"/>
  <c r="V107" i="157" s="1"/>
  <c r="Q106" i="157"/>
  <c r="U106" i="157" s="1"/>
  <c r="Q105" i="157"/>
  <c r="U105" i="157" s="1"/>
  <c r="Q104" i="157"/>
  <c r="U104" i="157" s="1"/>
  <c r="Q103" i="157"/>
  <c r="U103" i="157" s="1"/>
  <c r="Q102" i="157"/>
  <c r="U102" i="157" s="1"/>
  <c r="Q101" i="157"/>
  <c r="W101" i="157" s="1"/>
  <c r="Q100" i="157"/>
  <c r="W100" i="157" s="1"/>
  <c r="Q99" i="157"/>
  <c r="W99" i="157" s="1"/>
  <c r="Q98" i="157"/>
  <c r="W98" i="157" s="1"/>
  <c r="Q97" i="157"/>
  <c r="U97" i="157" s="1"/>
  <c r="B18" i="58"/>
  <c r="B19" i="58"/>
  <c r="B20" i="58"/>
  <c r="B21" i="58"/>
  <c r="B22" i="58"/>
  <c r="V44" i="157"/>
  <c r="V45" i="157"/>
  <c r="V46" i="157"/>
  <c r="V47" i="157"/>
  <c r="V48" i="157"/>
  <c r="V49" i="157"/>
  <c r="V50" i="157"/>
  <c r="V51" i="157"/>
  <c r="V52" i="157"/>
  <c r="V53" i="157"/>
  <c r="V54" i="157"/>
  <c r="V55" i="157"/>
  <c r="V56" i="157"/>
  <c r="V57" i="157"/>
  <c r="V58" i="157"/>
  <c r="V59" i="157"/>
  <c r="V60" i="157"/>
  <c r="V61" i="157"/>
  <c r="V62" i="157"/>
  <c r="V63" i="157"/>
  <c r="V64" i="157"/>
  <c r="V65" i="157"/>
  <c r="V66" i="157"/>
  <c r="V67" i="157"/>
  <c r="V68" i="157"/>
  <c r="V69" i="157"/>
  <c r="V70" i="157"/>
  <c r="V71" i="157"/>
  <c r="V72" i="157"/>
  <c r="V73" i="157"/>
  <c r="V74" i="157"/>
  <c r="V75" i="157"/>
  <c r="V76" i="157"/>
  <c r="V77" i="157"/>
  <c r="V78" i="157"/>
  <c r="V79" i="157"/>
  <c r="V80" i="157"/>
  <c r="V81" i="157"/>
  <c r="V82" i="157"/>
  <c r="V83" i="157"/>
  <c r="V84" i="157"/>
  <c r="V85" i="157"/>
  <c r="V86" i="157"/>
  <c r="V87" i="157"/>
  <c r="V88" i="157"/>
  <c r="V89" i="157"/>
  <c r="V90" i="157"/>
  <c r="V91" i="157"/>
  <c r="V92" i="157"/>
  <c r="V93" i="157"/>
  <c r="V94" i="157"/>
  <c r="V95" i="157"/>
  <c r="Q120" i="157"/>
  <c r="W120" i="157" s="1"/>
  <c r="Q119" i="157"/>
  <c r="W119" i="157" s="1"/>
  <c r="Q6" i="157"/>
  <c r="W6" i="157" s="1"/>
  <c r="Q5" i="157"/>
  <c r="W5" i="157" s="1"/>
  <c r="Q4" i="157"/>
  <c r="V4" i="157" s="1"/>
  <c r="U6" i="157" l="1"/>
  <c r="V105" i="157"/>
  <c r="U112" i="157"/>
  <c r="V103" i="157"/>
  <c r="U110" i="157"/>
  <c r="V123" i="157"/>
  <c r="U100" i="157"/>
  <c r="U98" i="157"/>
  <c r="W97" i="157"/>
  <c r="W106" i="157"/>
  <c r="U113" i="157"/>
  <c r="U101" i="157"/>
  <c r="V106" i="157"/>
  <c r="V124" i="157"/>
  <c r="W107" i="157"/>
  <c r="W122" i="157"/>
  <c r="W124" i="157"/>
  <c r="U111" i="157"/>
  <c r="U99" i="157"/>
  <c r="V97" i="157"/>
  <c r="V104" i="157"/>
  <c r="W4" i="157"/>
  <c r="W105" i="157"/>
  <c r="W123" i="157"/>
  <c r="U5" i="157"/>
  <c r="U109" i="157"/>
  <c r="U119" i="157"/>
  <c r="V6" i="157"/>
  <c r="V115" i="157"/>
  <c r="V102" i="157"/>
  <c r="W117" i="157"/>
  <c r="W103" i="157"/>
  <c r="V117" i="157"/>
  <c r="U108" i="157"/>
  <c r="U120" i="157"/>
  <c r="V5" i="157"/>
  <c r="V113" i="157"/>
  <c r="V101" i="157"/>
  <c r="W115" i="157"/>
  <c r="W102" i="157"/>
  <c r="U107" i="157"/>
  <c r="U122" i="157"/>
  <c r="V112" i="157"/>
  <c r="V100" i="157"/>
  <c r="W104" i="157"/>
  <c r="V111" i="157"/>
  <c r="V99" i="157"/>
  <c r="U4" i="157"/>
  <c r="V110" i="157"/>
  <c r="V98" i="157"/>
  <c r="V109" i="157"/>
  <c r="V119" i="157"/>
  <c r="V108" i="157"/>
  <c r="V120" i="157"/>
  <c r="X112" i="157" l="1"/>
  <c r="X106" i="157"/>
  <c r="X117" i="157"/>
  <c r="X118" i="157" s="1"/>
  <c r="X105" i="157"/>
  <c r="X6" i="157"/>
  <c r="X100" i="157"/>
  <c r="X107" i="157"/>
  <c r="X122" i="157"/>
  <c r="X110" i="157"/>
  <c r="X120" i="157"/>
  <c r="X115" i="157"/>
  <c r="X116" i="157" s="1"/>
  <c r="X102" i="157"/>
  <c r="X97" i="157"/>
  <c r="X103" i="157"/>
  <c r="X104" i="157"/>
  <c r="X98" i="157"/>
  <c r="X5" i="157"/>
  <c r="X123" i="157"/>
  <c r="X111" i="157"/>
  <c r="X124" i="157"/>
  <c r="X99" i="157"/>
  <c r="X101" i="157"/>
  <c r="X119" i="157"/>
  <c r="X113" i="157"/>
  <c r="X109" i="157"/>
  <c r="X108" i="157"/>
  <c r="X4" i="157"/>
  <c r="X114" i="157" l="1"/>
  <c r="D22" i="58" s="1"/>
  <c r="X121" i="157"/>
  <c r="D20" i="58" s="1"/>
  <c r="C20" i="58" s="1"/>
  <c r="X125" i="157"/>
  <c r="D19" i="58" l="1"/>
  <c r="C19" i="58" s="1"/>
  <c r="C26" i="60"/>
  <c r="B138" i="156"/>
  <c r="C43" i="141"/>
  <c r="C44" i="141" s="1"/>
  <c r="C45" i="141" s="1"/>
  <c r="C46" i="141" s="1"/>
  <c r="C47" i="141" s="1"/>
  <c r="C48" i="141" s="1"/>
  <c r="C49" i="141" s="1"/>
  <c r="C50" i="141" s="1"/>
  <c r="C51" i="141" s="1"/>
  <c r="C52" i="141" s="1"/>
  <c r="C53" i="141" s="1"/>
  <c r="C54" i="141" s="1"/>
  <c r="C55" i="141" s="1"/>
  <c r="C56" i="141" s="1"/>
  <c r="C57" i="141" s="1"/>
  <c r="C58" i="141" s="1"/>
  <c r="C59" i="141" s="1"/>
  <c r="C60" i="141" s="1"/>
  <c r="C61" i="141" s="1"/>
  <c r="C62" i="141" s="1"/>
  <c r="C63" i="141" s="1"/>
  <c r="C64" i="141" s="1"/>
  <c r="C65" i="141" s="1"/>
  <c r="C66" i="141" s="1"/>
  <c r="C67" i="141" s="1"/>
  <c r="C68" i="141" s="1"/>
  <c r="H41" i="154"/>
  <c r="I41" i="154"/>
  <c r="J41" i="154"/>
  <c r="K41" i="154"/>
  <c r="L41" i="154"/>
  <c r="M41" i="154"/>
  <c r="N41" i="154"/>
  <c r="O41" i="154"/>
  <c r="P41" i="154"/>
  <c r="Q41" i="154"/>
  <c r="R41" i="154"/>
  <c r="S41" i="154"/>
  <c r="T41" i="154"/>
  <c r="U41" i="154"/>
  <c r="V41" i="154"/>
  <c r="W41" i="154"/>
  <c r="X41" i="154"/>
  <c r="Y41" i="154"/>
  <c r="Z41" i="154"/>
  <c r="AA41" i="154"/>
  <c r="AB41" i="154"/>
  <c r="AC41" i="154"/>
  <c r="AD41" i="154"/>
  <c r="AE41" i="154"/>
  <c r="AI61" i="153"/>
  <c r="AJ61" i="153"/>
  <c r="AK61" i="153"/>
  <c r="AL61" i="153"/>
  <c r="AM61" i="153"/>
  <c r="G40" i="153"/>
  <c r="H40" i="153"/>
  <c r="I40" i="153"/>
  <c r="J40" i="153"/>
  <c r="K40" i="153"/>
  <c r="L40" i="153"/>
  <c r="M40" i="153"/>
  <c r="N40" i="153"/>
  <c r="O40" i="153"/>
  <c r="P40" i="153"/>
  <c r="Q40" i="153"/>
  <c r="R40" i="153"/>
  <c r="S40" i="153"/>
  <c r="T40" i="153"/>
  <c r="U40" i="153"/>
  <c r="V40" i="153"/>
  <c r="W40" i="153"/>
  <c r="X40" i="153"/>
  <c r="Y40" i="153"/>
  <c r="Z40" i="153"/>
  <c r="AA40" i="153"/>
  <c r="AB40" i="153"/>
  <c r="AC40" i="153"/>
  <c r="AD40" i="153"/>
  <c r="AE40" i="153"/>
  <c r="AF40" i="153"/>
  <c r="AG40" i="153"/>
  <c r="AH40" i="153"/>
  <c r="AI26" i="153"/>
  <c r="AI27" i="153" s="1"/>
  <c r="AJ26" i="153"/>
  <c r="AK26" i="153"/>
  <c r="AK27" i="153" s="1"/>
  <c r="AL26" i="153"/>
  <c r="AL27" i="153" s="1"/>
  <c r="AM26" i="153"/>
  <c r="F27" i="153"/>
  <c r="AJ27" i="153"/>
  <c r="AM27" i="153"/>
  <c r="W5" i="113"/>
  <c r="W4" i="113"/>
  <c r="D51" i="83"/>
  <c r="F38" i="83"/>
  <c r="E38" i="83"/>
  <c r="F19" i="83"/>
  <c r="F20" i="83" s="1"/>
  <c r="E19" i="83"/>
  <c r="E20" i="83" s="1"/>
  <c r="D21" i="83"/>
  <c r="D19" i="83"/>
  <c r="D20" i="83"/>
  <c r="D23" i="83" s="1"/>
  <c r="F23" i="83" s="1"/>
  <c r="AH6" i="58"/>
  <c r="AI6" i="58"/>
  <c r="G47" i="58" l="1"/>
  <c r="O47" i="58"/>
  <c r="W47" i="58"/>
  <c r="AE47" i="58"/>
  <c r="H31" i="58"/>
  <c r="P31" i="58"/>
  <c r="X31" i="58"/>
  <c r="AF31" i="58"/>
  <c r="J31" i="58"/>
  <c r="Z31" i="58"/>
  <c r="D31" i="58"/>
  <c r="R47" i="58"/>
  <c r="F47" i="58"/>
  <c r="K47" i="58"/>
  <c r="AB47" i="58"/>
  <c r="M47" i="58"/>
  <c r="AC47" i="58"/>
  <c r="N31" i="58"/>
  <c r="AD31" i="58"/>
  <c r="N47" i="58"/>
  <c r="H47" i="58"/>
  <c r="P47" i="58"/>
  <c r="X47" i="58"/>
  <c r="AF47" i="58"/>
  <c r="I31" i="58"/>
  <c r="Q31" i="58"/>
  <c r="Y31" i="58"/>
  <c r="AG31" i="58"/>
  <c r="R31" i="58"/>
  <c r="Z47" i="58"/>
  <c r="K31" i="58"/>
  <c r="AA31" i="58"/>
  <c r="AA47" i="58"/>
  <c r="L31" i="58"/>
  <c r="T31" i="58"/>
  <c r="AB31" i="58"/>
  <c r="T47" i="58"/>
  <c r="M31" i="58"/>
  <c r="U31" i="58"/>
  <c r="F31" i="58"/>
  <c r="V31" i="58"/>
  <c r="AD47" i="58"/>
  <c r="O31" i="58"/>
  <c r="AE31" i="58"/>
  <c r="I47" i="58"/>
  <c r="Q47" i="58"/>
  <c r="Y47" i="58"/>
  <c r="AG47" i="58"/>
  <c r="S31" i="58"/>
  <c r="S47" i="58"/>
  <c r="L47" i="58"/>
  <c r="E31" i="58"/>
  <c r="AC31" i="58"/>
  <c r="U47" i="58"/>
  <c r="V47" i="58"/>
  <c r="G31" i="58"/>
  <c r="W31" i="58"/>
  <c r="J47" i="58"/>
  <c r="D61" i="83"/>
  <c r="E61" i="83" s="1"/>
  <c r="F61" i="83" s="1"/>
  <c r="H27" i="153"/>
  <c r="G27" i="153"/>
  <c r="I27" i="153" l="1"/>
  <c r="J27" i="153" l="1"/>
  <c r="K27" i="153" l="1"/>
  <c r="L27" i="153" l="1"/>
  <c r="M27" i="153" l="1"/>
  <c r="N27" i="153" l="1"/>
  <c r="O27" i="153" l="1"/>
  <c r="P27" i="153" l="1"/>
  <c r="Q27" i="153" l="1"/>
  <c r="R27" i="153" l="1"/>
  <c r="S27" i="153" l="1"/>
  <c r="T27" i="153" l="1"/>
  <c r="U27" i="153" l="1"/>
  <c r="V27" i="153" l="1"/>
  <c r="W27" i="153" l="1"/>
  <c r="X27" i="153" l="1"/>
  <c r="Y27" i="153" l="1"/>
  <c r="Z27" i="153" l="1"/>
  <c r="AA27" i="153" l="1"/>
  <c r="AB27" i="153" l="1"/>
  <c r="AC27" i="153" l="1"/>
  <c r="AD27" i="153" l="1"/>
  <c r="AE27" i="153" l="1"/>
  <c r="AF27" i="153" l="1"/>
  <c r="AG27" i="153" l="1"/>
  <c r="AH27" i="153"/>
  <c r="D17" i="83" l="1"/>
  <c r="I5" i="141"/>
  <c r="I6" i="141"/>
  <c r="I7" i="141"/>
  <c r="I8" i="141"/>
  <c r="I9" i="141"/>
  <c r="I10" i="141"/>
  <c r="I11" i="141"/>
  <c r="I12" i="141"/>
  <c r="I13" i="141"/>
  <c r="I14" i="141"/>
  <c r="I15" i="141"/>
  <c r="I16" i="141"/>
  <c r="I17" i="141"/>
  <c r="I18" i="141"/>
  <c r="I19" i="141"/>
  <c r="I20" i="141"/>
  <c r="I21" i="141"/>
  <c r="I22" i="141"/>
  <c r="I23" i="141"/>
  <c r="I24" i="141"/>
  <c r="I25" i="141"/>
  <c r="I26" i="141"/>
  <c r="I27" i="141"/>
  <c r="I28" i="141"/>
  <c r="I29" i="141"/>
  <c r="I30" i="141"/>
  <c r="I31" i="141"/>
  <c r="I32" i="141"/>
  <c r="I33" i="141"/>
  <c r="I4" i="141"/>
  <c r="P6" i="140"/>
  <c r="P7" i="140"/>
  <c r="P8" i="140"/>
  <c r="P9" i="140"/>
  <c r="P10" i="140"/>
  <c r="P11" i="140"/>
  <c r="P12" i="140"/>
  <c r="P13" i="140"/>
  <c r="P14" i="140"/>
  <c r="P15" i="140"/>
  <c r="P16" i="140"/>
  <c r="P17" i="140"/>
  <c r="P18" i="140"/>
  <c r="P19" i="140"/>
  <c r="P20" i="140"/>
  <c r="P21" i="140"/>
  <c r="P22" i="140"/>
  <c r="P23" i="140"/>
  <c r="P24" i="140"/>
  <c r="P25" i="140"/>
  <c r="P26" i="140"/>
  <c r="P27" i="140"/>
  <c r="P28" i="140"/>
  <c r="P29" i="140"/>
  <c r="P30" i="140"/>
  <c r="P31" i="140"/>
  <c r="P32" i="140"/>
  <c r="P33" i="140"/>
  <c r="P34" i="140"/>
  <c r="P35" i="140"/>
  <c r="P5" i="140"/>
  <c r="L6" i="131"/>
  <c r="L7" i="131"/>
  <c r="L8" i="131"/>
  <c r="L9" i="131"/>
  <c r="L10" i="131"/>
  <c r="L11" i="131"/>
  <c r="L12" i="131"/>
  <c r="L13" i="131"/>
  <c r="L14" i="131"/>
  <c r="L15" i="131"/>
  <c r="L16" i="131"/>
  <c r="L17" i="131"/>
  <c r="L18" i="131"/>
  <c r="L19" i="131"/>
  <c r="L20" i="131"/>
  <c r="L21" i="131"/>
  <c r="L22" i="131"/>
  <c r="L23" i="131"/>
  <c r="L24" i="131"/>
  <c r="L25" i="131"/>
  <c r="L26" i="131"/>
  <c r="L27" i="131"/>
  <c r="L28" i="131"/>
  <c r="L29" i="131"/>
  <c r="L30" i="131"/>
  <c r="L31" i="131"/>
  <c r="L32" i="131"/>
  <c r="L33" i="131"/>
  <c r="L34" i="131"/>
  <c r="L5" i="131"/>
  <c r="E37" i="118" l="1" a="1"/>
  <c r="M6" i="131"/>
  <c r="M7" i="131"/>
  <c r="M8" i="131"/>
  <c r="M9" i="131"/>
  <c r="M10" i="131"/>
  <c r="M11" i="131"/>
  <c r="M12" i="131"/>
  <c r="M13" i="131"/>
  <c r="M14" i="131"/>
  <c r="M15" i="131"/>
  <c r="M16" i="131"/>
  <c r="M17" i="131"/>
  <c r="M18" i="131"/>
  <c r="M19" i="131"/>
  <c r="M20" i="131"/>
  <c r="M21" i="131"/>
  <c r="M22" i="131"/>
  <c r="M23" i="131"/>
  <c r="M24" i="131"/>
  <c r="M25" i="131"/>
  <c r="M26" i="131"/>
  <c r="M27" i="131"/>
  <c r="M28" i="131"/>
  <c r="M29" i="131"/>
  <c r="M30" i="131"/>
  <c r="M31" i="131"/>
  <c r="M32" i="131"/>
  <c r="M33" i="131"/>
  <c r="M34" i="131"/>
  <c r="M5" i="131"/>
  <c r="H103" i="131"/>
  <c r="H69" i="131"/>
  <c r="H35" i="131"/>
  <c r="Q5" i="61"/>
  <c r="F37" i="118" l="1"/>
  <c r="AB37" i="118"/>
  <c r="X37" i="118"/>
  <c r="S37" i="118"/>
  <c r="R46" i="58" s="1"/>
  <c r="R37" i="118"/>
  <c r="Q46" i="58" s="1"/>
  <c r="M37" i="118"/>
  <c r="L46" i="58" s="1"/>
  <c r="AE37" i="118"/>
  <c r="AD46" i="58" s="1"/>
  <c r="P37" i="118"/>
  <c r="O46" i="58" s="1"/>
  <c r="AH37" i="118"/>
  <c r="AG46" i="58" s="1"/>
  <c r="G37" i="118"/>
  <c r="F46" i="58" s="1"/>
  <c r="AG37" i="118"/>
  <c r="AF46" i="58" s="1"/>
  <c r="AF37" i="118"/>
  <c r="AE46" i="58" s="1"/>
  <c r="T37" i="118"/>
  <c r="H37" i="118"/>
  <c r="G46" i="58" s="1"/>
  <c r="AA37" i="118"/>
  <c r="Z46" i="58" s="1"/>
  <c r="V37" i="118"/>
  <c r="U46" i="58" s="1"/>
  <c r="Q37" i="118"/>
  <c r="P46" i="58" s="1"/>
  <c r="I37" i="118"/>
  <c r="H46" i="58" s="1"/>
  <c r="L37" i="118"/>
  <c r="K46" i="58" s="1"/>
  <c r="K37" i="118"/>
  <c r="J46" i="58" s="1"/>
  <c r="O37" i="118"/>
  <c r="N46" i="58" s="1"/>
  <c r="J37" i="118"/>
  <c r="I46" i="58" s="1"/>
  <c r="AD37" i="118"/>
  <c r="AC46" i="58" s="1"/>
  <c r="AC37" i="118"/>
  <c r="AB46" i="58" s="1"/>
  <c r="U37" i="118"/>
  <c r="E37" i="118"/>
  <c r="W37" i="118"/>
  <c r="V46" i="58" s="1"/>
  <c r="Z37" i="118"/>
  <c r="Y46" i="58" s="1"/>
  <c r="N37" i="118"/>
  <c r="M46" i="58" s="1"/>
  <c r="Y37" i="118"/>
  <c r="X46" i="58" s="1"/>
  <c r="S46" i="58"/>
  <c r="AA46" i="58"/>
  <c r="T46" i="58"/>
  <c r="W46" i="58"/>
  <c r="AD30" i="58" l="1"/>
  <c r="G77" i="141" l="1"/>
  <c r="C75" i="141"/>
  <c r="A75" i="141"/>
  <c r="A76" i="141" s="1"/>
  <c r="A77" i="141" s="1"/>
  <c r="A78" i="141" s="1"/>
  <c r="A79" i="141" s="1"/>
  <c r="A80" i="141" s="1"/>
  <c r="A81" i="141" s="1"/>
  <c r="A82" i="141" s="1"/>
  <c r="A83" i="141" s="1"/>
  <c r="A84" i="141" s="1"/>
  <c r="A85" i="141" s="1"/>
  <c r="A86" i="141" s="1"/>
  <c r="A87" i="141" s="1"/>
  <c r="A88" i="141" s="1"/>
  <c r="A89" i="141" s="1"/>
  <c r="A90" i="141" s="1"/>
  <c r="A91" i="141" s="1"/>
  <c r="A92" i="141" s="1"/>
  <c r="A93" i="141" s="1"/>
  <c r="A94" i="141" s="1"/>
  <c r="A95" i="141" s="1"/>
  <c r="A96" i="141" s="1"/>
  <c r="A97" i="141" s="1"/>
  <c r="A98" i="141" s="1"/>
  <c r="A99" i="141" s="1"/>
  <c r="A100" i="141" s="1"/>
  <c r="A101" i="141" s="1"/>
  <c r="A102" i="141" s="1"/>
  <c r="A103" i="141" s="1"/>
  <c r="G42" i="141"/>
  <c r="C40" i="141"/>
  <c r="A40" i="14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A54" i="141" s="1"/>
  <c r="A55" i="141" s="1"/>
  <c r="A56" i="141" s="1"/>
  <c r="A57" i="141" s="1"/>
  <c r="A58" i="141" s="1"/>
  <c r="A59" i="141" s="1"/>
  <c r="A60" i="141" s="1"/>
  <c r="A61" i="141" s="1"/>
  <c r="A62" i="141" s="1"/>
  <c r="A63" i="141" s="1"/>
  <c r="A64" i="141" s="1"/>
  <c r="A65" i="141" s="1"/>
  <c r="A66" i="141" s="1"/>
  <c r="A67" i="141" s="1"/>
  <c r="A68" i="141" s="1"/>
  <c r="O5" i="113"/>
  <c r="O4" i="113"/>
  <c r="X11" i="113"/>
  <c r="R6" i="113" s="1"/>
  <c r="Q6" i="113" s="1"/>
  <c r="X8" i="113"/>
  <c r="P6" i="113" s="1"/>
  <c r="O6" i="113" s="1"/>
  <c r="N4" i="61"/>
  <c r="N5" i="61" s="1"/>
  <c r="L4" i="61"/>
  <c r="L5" i="61" s="1"/>
  <c r="M4" i="21"/>
  <c r="K4" i="21"/>
  <c r="F4" i="21"/>
  <c r="D4" i="21"/>
  <c r="M75" i="140"/>
  <c r="H75" i="140"/>
  <c r="G75" i="140"/>
  <c r="G76" i="140" s="1"/>
  <c r="G77" i="140" s="1"/>
  <c r="G78" i="140" s="1"/>
  <c r="G79" i="140" s="1"/>
  <c r="G80" i="140" s="1"/>
  <c r="G81" i="140" s="1"/>
  <c r="G82" i="140" s="1"/>
  <c r="G83" i="140" s="1"/>
  <c r="G84" i="140" s="1"/>
  <c r="G85" i="140" s="1"/>
  <c r="G86" i="140" s="1"/>
  <c r="G87" i="140" s="1"/>
  <c r="G88" i="140" s="1"/>
  <c r="G89" i="140" s="1"/>
  <c r="G90" i="140" s="1"/>
  <c r="G91" i="140" s="1"/>
  <c r="G92" i="140" s="1"/>
  <c r="G93" i="140" s="1"/>
  <c r="G94" i="140" s="1"/>
  <c r="G95" i="140" s="1"/>
  <c r="G96" i="140" s="1"/>
  <c r="G97" i="140" s="1"/>
  <c r="G98" i="140" s="1"/>
  <c r="G99" i="140" s="1"/>
  <c r="G100" i="140" s="1"/>
  <c r="G101" i="140" s="1"/>
  <c r="G102" i="140" s="1"/>
  <c r="G103" i="140" s="1"/>
  <c r="G104" i="140" s="1"/>
  <c r="G105" i="140" s="1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75" i="140"/>
  <c r="M40" i="140"/>
  <c r="G40" i="140"/>
  <c r="G41" i="140" s="1"/>
  <c r="G42" i="140" s="1"/>
  <c r="G43" i="140" s="1"/>
  <c r="G44" i="140" s="1"/>
  <c r="G45" i="140" s="1"/>
  <c r="G46" i="140" s="1"/>
  <c r="G47" i="140" s="1"/>
  <c r="G48" i="140" s="1"/>
  <c r="G49" i="140" s="1"/>
  <c r="G50" i="140" s="1"/>
  <c r="G51" i="140" s="1"/>
  <c r="G52" i="140" s="1"/>
  <c r="G53" i="140" s="1"/>
  <c r="G54" i="140" s="1"/>
  <c r="G55" i="140" s="1"/>
  <c r="G56" i="140" s="1"/>
  <c r="G57" i="140" s="1"/>
  <c r="G58" i="140" s="1"/>
  <c r="G59" i="140" s="1"/>
  <c r="G60" i="140" s="1"/>
  <c r="G61" i="140" s="1"/>
  <c r="G62" i="140" s="1"/>
  <c r="G63" i="140" s="1"/>
  <c r="G64" i="140" s="1"/>
  <c r="G65" i="140" s="1"/>
  <c r="G66" i="140" s="1"/>
  <c r="G67" i="140" s="1"/>
  <c r="G68" i="140" s="1"/>
  <c r="G69" i="140" s="1"/>
  <c r="G70" i="140" s="1"/>
  <c r="H40" i="140"/>
  <c r="H41" i="140" s="1"/>
  <c r="C40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A77" i="140"/>
  <c r="A78" i="140" s="1"/>
  <c r="A79" i="140" s="1"/>
  <c r="A80" i="140" s="1"/>
  <c r="A81" i="140" s="1"/>
  <c r="A82" i="140" s="1"/>
  <c r="A83" i="140" s="1"/>
  <c r="A84" i="140" s="1"/>
  <c r="A85" i="140" s="1"/>
  <c r="A86" i="140" s="1"/>
  <c r="A87" i="140" s="1"/>
  <c r="A88" i="140" s="1"/>
  <c r="A89" i="140" s="1"/>
  <c r="A90" i="140" s="1"/>
  <c r="A91" i="140" s="1"/>
  <c r="A92" i="140" s="1"/>
  <c r="A93" i="140" s="1"/>
  <c r="A94" i="140" s="1"/>
  <c r="A95" i="140" s="1"/>
  <c r="A96" i="140" s="1"/>
  <c r="A97" i="140" s="1"/>
  <c r="A98" i="140" s="1"/>
  <c r="A99" i="140" s="1"/>
  <c r="A100" i="140" s="1"/>
  <c r="A101" i="140" s="1"/>
  <c r="A102" i="140" s="1"/>
  <c r="A103" i="140" s="1"/>
  <c r="A104" i="140" s="1"/>
  <c r="A105" i="140" s="1"/>
  <c r="M76" i="140"/>
  <c r="M77" i="140" s="1"/>
  <c r="M78" i="140" s="1"/>
  <c r="M79" i="140" s="1"/>
  <c r="M80" i="140" s="1"/>
  <c r="M81" i="140" s="1"/>
  <c r="M82" i="140" s="1"/>
  <c r="M83" i="140" s="1"/>
  <c r="M84" i="140" s="1"/>
  <c r="M85" i="140" s="1"/>
  <c r="M86" i="140" s="1"/>
  <c r="M87" i="140" s="1"/>
  <c r="M88" i="140" s="1"/>
  <c r="M89" i="140" s="1"/>
  <c r="M90" i="140" s="1"/>
  <c r="M91" i="140" s="1"/>
  <c r="M92" i="140" s="1"/>
  <c r="M93" i="140" s="1"/>
  <c r="M94" i="140" s="1"/>
  <c r="M95" i="140" s="1"/>
  <c r="M96" i="140" s="1"/>
  <c r="M97" i="140" s="1"/>
  <c r="M98" i="140" s="1"/>
  <c r="M99" i="140" s="1"/>
  <c r="M100" i="140" s="1"/>
  <c r="M101" i="140" s="1"/>
  <c r="M102" i="140" s="1"/>
  <c r="M103" i="140" s="1"/>
  <c r="M104" i="140" s="1"/>
  <c r="M105" i="140" s="1"/>
  <c r="A42" i="140"/>
  <c r="A43" i="140" s="1"/>
  <c r="A44" i="140" s="1"/>
  <c r="A45" i="140" s="1"/>
  <c r="A46" i="140" s="1"/>
  <c r="A47" i="140" s="1"/>
  <c r="A48" i="140" s="1"/>
  <c r="A49" i="140" s="1"/>
  <c r="A50" i="140" s="1"/>
  <c r="A51" i="140" s="1"/>
  <c r="A52" i="140" s="1"/>
  <c r="A53" i="140" s="1"/>
  <c r="A54" i="140" s="1"/>
  <c r="A55" i="140" s="1"/>
  <c r="A56" i="140" s="1"/>
  <c r="A57" i="140" s="1"/>
  <c r="A58" i="140" s="1"/>
  <c r="A59" i="140" s="1"/>
  <c r="A60" i="140" s="1"/>
  <c r="A61" i="140" s="1"/>
  <c r="A62" i="140" s="1"/>
  <c r="A63" i="140" s="1"/>
  <c r="A64" i="140" s="1"/>
  <c r="A65" i="140" s="1"/>
  <c r="A66" i="140" s="1"/>
  <c r="A67" i="140" s="1"/>
  <c r="A68" i="140" s="1"/>
  <c r="A69" i="140" s="1"/>
  <c r="A70" i="140" s="1"/>
  <c r="F73" i="131"/>
  <c r="F74" i="131" s="1"/>
  <c r="F75" i="131" s="1"/>
  <c r="F39" i="131"/>
  <c r="A74" i="131"/>
  <c r="A75" i="131" s="1"/>
  <c r="A76" i="131" s="1"/>
  <c r="A77" i="131" s="1"/>
  <c r="A78" i="131" s="1"/>
  <c r="A79" i="131" s="1"/>
  <c r="A80" i="131" s="1"/>
  <c r="A81" i="131" s="1"/>
  <c r="A82" i="131" s="1"/>
  <c r="A83" i="131" s="1"/>
  <c r="A84" i="131" s="1"/>
  <c r="A85" i="131" s="1"/>
  <c r="A86" i="131" s="1"/>
  <c r="A87" i="131" s="1"/>
  <c r="A88" i="131" s="1"/>
  <c r="A89" i="131" s="1"/>
  <c r="A90" i="131" s="1"/>
  <c r="A91" i="131" s="1"/>
  <c r="A92" i="131" s="1"/>
  <c r="A93" i="131" s="1"/>
  <c r="A94" i="131" s="1"/>
  <c r="A95" i="131" s="1"/>
  <c r="A96" i="131" s="1"/>
  <c r="A97" i="131" s="1"/>
  <c r="A98" i="131" s="1"/>
  <c r="A99" i="131" s="1"/>
  <c r="A100" i="131" s="1"/>
  <c r="A101" i="131" s="1"/>
  <c r="A102" i="131" s="1"/>
  <c r="A40" i="131"/>
  <c r="A41" i="131" s="1"/>
  <c r="A42" i="131" s="1"/>
  <c r="A43" i="131" s="1"/>
  <c r="A44" i="131" s="1"/>
  <c r="A45" i="131" s="1"/>
  <c r="A46" i="131" s="1"/>
  <c r="A47" i="131" s="1"/>
  <c r="A48" i="131" s="1"/>
  <c r="A49" i="131" s="1"/>
  <c r="A50" i="131" s="1"/>
  <c r="A51" i="131" s="1"/>
  <c r="A52" i="131" s="1"/>
  <c r="A53" i="131" s="1"/>
  <c r="A54" i="131" s="1"/>
  <c r="A55" i="131" s="1"/>
  <c r="A56" i="131" s="1"/>
  <c r="A57" i="131" s="1"/>
  <c r="A58" i="131" s="1"/>
  <c r="A59" i="131" s="1"/>
  <c r="A60" i="131" s="1"/>
  <c r="A61" i="131" s="1"/>
  <c r="A62" i="131" s="1"/>
  <c r="A63" i="131" s="1"/>
  <c r="A64" i="131" s="1"/>
  <c r="A65" i="131" s="1"/>
  <c r="A66" i="131" s="1"/>
  <c r="A67" i="131" s="1"/>
  <c r="A68" i="131" s="1"/>
  <c r="H5" i="140"/>
  <c r="X5" i="113"/>
  <c r="E34" i="160"/>
  <c r="G34" i="160" s="1"/>
  <c r="M41" i="140" l="1"/>
  <c r="M42" i="140" s="1"/>
  <c r="M43" i="140" s="1"/>
  <c r="M44" i="140" s="1"/>
  <c r="M45" i="140" s="1"/>
  <c r="M46" i="140" s="1"/>
  <c r="M47" i="140" s="1"/>
  <c r="M48" i="140" s="1"/>
  <c r="M49" i="140" s="1"/>
  <c r="M50" i="140" s="1"/>
  <c r="M51" i="140" s="1"/>
  <c r="M52" i="140" s="1"/>
  <c r="M53" i="140" s="1"/>
  <c r="M54" i="140" s="1"/>
  <c r="M55" i="140" s="1"/>
  <c r="M56" i="140" s="1"/>
  <c r="M57" i="140" s="1"/>
  <c r="M58" i="140" s="1"/>
  <c r="M59" i="140" s="1"/>
  <c r="M60" i="140" s="1"/>
  <c r="M61" i="140" s="1"/>
  <c r="M62" i="140" s="1"/>
  <c r="M63" i="140" s="1"/>
  <c r="M64" i="140" s="1"/>
  <c r="M65" i="140" s="1"/>
  <c r="M66" i="140" s="1"/>
  <c r="M67" i="140" s="1"/>
  <c r="M68" i="140" s="1"/>
  <c r="M69" i="140" s="1"/>
  <c r="M70" i="140" s="1"/>
  <c r="I75" i="140"/>
  <c r="G43" i="141"/>
  <c r="G44" i="141" s="1"/>
  <c r="G45" i="141" s="1"/>
  <c r="G78" i="141"/>
  <c r="G79" i="141" s="1"/>
  <c r="G80" i="141" s="1"/>
  <c r="N6" i="61"/>
  <c r="O6" i="61" s="1"/>
  <c r="M6" i="61"/>
  <c r="I40" i="140"/>
  <c r="R7" i="113"/>
  <c r="R8" i="113" s="1"/>
  <c r="R9" i="113" s="1"/>
  <c r="R10" i="113" s="1"/>
  <c r="R11" i="113" s="1"/>
  <c r="R12" i="113" s="1"/>
  <c r="P7" i="113"/>
  <c r="C78" i="141"/>
  <c r="H76" i="140"/>
  <c r="F40" i="131"/>
  <c r="F41" i="131" s="1"/>
  <c r="F42" i="131" s="1"/>
  <c r="F76" i="131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4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4" i="20"/>
  <c r="E40" i="83"/>
  <c r="E43" i="83" s="1"/>
  <c r="E29" i="83"/>
  <c r="F18" i="83"/>
  <c r="E18" i="83"/>
  <c r="F14" i="83"/>
  <c r="E14" i="83"/>
  <c r="D9" i="83"/>
  <c r="F6" i="83"/>
  <c r="E6" i="83"/>
  <c r="F50" i="83"/>
  <c r="E50" i="83"/>
  <c r="F48" i="83"/>
  <c r="F40" i="83"/>
  <c r="F43" i="83" s="1"/>
  <c r="D40" i="83"/>
  <c r="F29" i="83"/>
  <c r="F21" i="83"/>
  <c r="E21" i="83"/>
  <c r="P8" i="113" l="1"/>
  <c r="O7" i="113"/>
  <c r="Q7" i="113"/>
  <c r="Q8" i="113" s="1"/>
  <c r="Q9" i="113" s="1"/>
  <c r="Q10" i="113" s="1"/>
  <c r="Q11" i="113" s="1"/>
  <c r="Q12" i="113" s="1"/>
  <c r="E53" i="83"/>
  <c r="E54" i="83" s="1"/>
  <c r="E55" i="83" s="1"/>
  <c r="E26" i="83"/>
  <c r="E28" i="83" s="1"/>
  <c r="F53" i="83"/>
  <c r="F54" i="83" s="1"/>
  <c r="F55" i="83" s="1"/>
  <c r="P17" i="20"/>
  <c r="K17" i="21" s="1"/>
  <c r="S17" i="20"/>
  <c r="P28" i="20"/>
  <c r="K28" i="21" s="1"/>
  <c r="S28" i="20"/>
  <c r="Q23" i="20"/>
  <c r="M23" i="21" s="1"/>
  <c r="T23" i="20"/>
  <c r="Q11" i="20"/>
  <c r="M11" i="21" s="1"/>
  <c r="T11" i="20"/>
  <c r="O20" i="20"/>
  <c r="R20" i="20"/>
  <c r="O8" i="20"/>
  <c r="R8" i="20"/>
  <c r="P27" i="20"/>
  <c r="K27" i="21" s="1"/>
  <c r="S27" i="20"/>
  <c r="P15" i="20"/>
  <c r="K15" i="21" s="1"/>
  <c r="S15" i="20"/>
  <c r="K34" i="20"/>
  <c r="F34" i="21" s="1"/>
  <c r="Q34" i="20"/>
  <c r="M34" i="21" s="1"/>
  <c r="T34" i="20"/>
  <c r="Q22" i="20"/>
  <c r="M22" i="21" s="1"/>
  <c r="T22" i="20"/>
  <c r="Q10" i="20"/>
  <c r="M10" i="21" s="1"/>
  <c r="T10" i="20"/>
  <c r="O19" i="20"/>
  <c r="R19" i="20"/>
  <c r="P26" i="20"/>
  <c r="K26" i="21" s="1"/>
  <c r="S26" i="20"/>
  <c r="Q33" i="20"/>
  <c r="M33" i="21" s="1"/>
  <c r="T33" i="20"/>
  <c r="Q9" i="20"/>
  <c r="M9" i="21" s="1"/>
  <c r="T9" i="20"/>
  <c r="O22" i="20"/>
  <c r="R22" i="20"/>
  <c r="O21" i="20"/>
  <c r="R21" i="20"/>
  <c r="O7" i="20"/>
  <c r="R7" i="20"/>
  <c r="Q21" i="20"/>
  <c r="M21" i="21" s="1"/>
  <c r="T21" i="20"/>
  <c r="O30" i="20"/>
  <c r="R30" i="20"/>
  <c r="O18" i="20"/>
  <c r="R18" i="20"/>
  <c r="P25" i="20"/>
  <c r="K25" i="21" s="1"/>
  <c r="S25" i="20"/>
  <c r="P13" i="20"/>
  <c r="K13" i="21" s="1"/>
  <c r="S13" i="20"/>
  <c r="Q32" i="20"/>
  <c r="M32" i="21" s="1"/>
  <c r="T32" i="20"/>
  <c r="Q20" i="20"/>
  <c r="M20" i="21" s="1"/>
  <c r="T20" i="20"/>
  <c r="Q8" i="20"/>
  <c r="M8" i="21" s="1"/>
  <c r="T8" i="20"/>
  <c r="O9" i="20"/>
  <c r="R9" i="20"/>
  <c r="P14" i="20"/>
  <c r="K14" i="21" s="1"/>
  <c r="S14" i="20"/>
  <c r="O29" i="20"/>
  <c r="R29" i="20"/>
  <c r="O17" i="20"/>
  <c r="R17" i="20"/>
  <c r="P24" i="20"/>
  <c r="K24" i="21" s="1"/>
  <c r="S24" i="20"/>
  <c r="P12" i="20"/>
  <c r="K12" i="21" s="1"/>
  <c r="S12" i="20"/>
  <c r="Q31" i="20"/>
  <c r="M31" i="21" s="1"/>
  <c r="T31" i="20"/>
  <c r="Q19" i="20"/>
  <c r="M19" i="21" s="1"/>
  <c r="T19" i="20"/>
  <c r="Q7" i="20"/>
  <c r="M7" i="21" s="1"/>
  <c r="T7" i="20"/>
  <c r="O10" i="20"/>
  <c r="R10" i="20"/>
  <c r="R28" i="20"/>
  <c r="O28" i="20"/>
  <c r="R16" i="20"/>
  <c r="O16" i="20"/>
  <c r="S23" i="20"/>
  <c r="P23" i="20"/>
  <c r="K23" i="21" s="1"/>
  <c r="P11" i="20"/>
  <c r="K11" i="21" s="1"/>
  <c r="S11" i="20"/>
  <c r="T30" i="20"/>
  <c r="Q30" i="20"/>
  <c r="M30" i="21" s="1"/>
  <c r="Q18" i="20"/>
  <c r="M18" i="21" s="1"/>
  <c r="T18" i="20"/>
  <c r="O32" i="20"/>
  <c r="R32" i="20"/>
  <c r="R27" i="20"/>
  <c r="O27" i="20"/>
  <c r="R15" i="20"/>
  <c r="O15" i="20"/>
  <c r="J34" i="20"/>
  <c r="D34" i="21" s="1"/>
  <c r="D34" i="61" s="1"/>
  <c r="S34" i="20"/>
  <c r="P34" i="20"/>
  <c r="K34" i="21" s="1"/>
  <c r="S22" i="20"/>
  <c r="P22" i="20"/>
  <c r="K22" i="21" s="1"/>
  <c r="S10" i="20"/>
  <c r="P10" i="20"/>
  <c r="K10" i="21" s="1"/>
  <c r="T29" i="20"/>
  <c r="Q29" i="20"/>
  <c r="M29" i="21" s="1"/>
  <c r="T17" i="20"/>
  <c r="Q17" i="20"/>
  <c r="M17" i="21" s="1"/>
  <c r="I34" i="20"/>
  <c r="O34" i="20"/>
  <c r="R34" i="20"/>
  <c r="O33" i="20"/>
  <c r="R33" i="20"/>
  <c r="R26" i="20"/>
  <c r="O26" i="20"/>
  <c r="R14" i="20"/>
  <c r="O14" i="20"/>
  <c r="S33" i="20"/>
  <c r="P33" i="20"/>
  <c r="K33" i="21" s="1"/>
  <c r="S21" i="20"/>
  <c r="P21" i="20"/>
  <c r="K21" i="21" s="1"/>
  <c r="S9" i="20"/>
  <c r="P9" i="20"/>
  <c r="K9" i="21" s="1"/>
  <c r="T28" i="20"/>
  <c r="Q28" i="20"/>
  <c r="M28" i="21" s="1"/>
  <c r="T16" i="20"/>
  <c r="Q16" i="20"/>
  <c r="M16" i="21" s="1"/>
  <c r="Q24" i="20"/>
  <c r="M24" i="21" s="1"/>
  <c r="T24" i="20"/>
  <c r="P16" i="20"/>
  <c r="K16" i="21" s="1"/>
  <c r="S16" i="20"/>
  <c r="O31" i="20"/>
  <c r="R31" i="20"/>
  <c r="R25" i="20"/>
  <c r="O25" i="20"/>
  <c r="R13" i="20"/>
  <c r="O13" i="20"/>
  <c r="S32" i="20"/>
  <c r="P32" i="20"/>
  <c r="K32" i="21" s="1"/>
  <c r="S20" i="20"/>
  <c r="P20" i="20"/>
  <c r="K20" i="21" s="1"/>
  <c r="S8" i="20"/>
  <c r="P8" i="20"/>
  <c r="K8" i="21" s="1"/>
  <c r="T27" i="20"/>
  <c r="Q27" i="20"/>
  <c r="M27" i="21" s="1"/>
  <c r="T15" i="20"/>
  <c r="Q15" i="20"/>
  <c r="M15" i="21" s="1"/>
  <c r="Q12" i="20"/>
  <c r="M12" i="21" s="1"/>
  <c r="T12" i="20"/>
  <c r="O24" i="20"/>
  <c r="R24" i="20"/>
  <c r="R12" i="20"/>
  <c r="O12" i="20"/>
  <c r="P31" i="20"/>
  <c r="K31" i="21" s="1"/>
  <c r="S31" i="20"/>
  <c r="S19" i="20"/>
  <c r="P19" i="20"/>
  <c r="K19" i="21" s="1"/>
  <c r="S7" i="20"/>
  <c r="P7" i="20"/>
  <c r="K7" i="21" s="1"/>
  <c r="Q26" i="20"/>
  <c r="M26" i="21" s="1"/>
  <c r="T26" i="20"/>
  <c r="T14" i="20"/>
  <c r="Q14" i="20"/>
  <c r="M14" i="21" s="1"/>
  <c r="P29" i="20"/>
  <c r="K29" i="21" s="1"/>
  <c r="S29" i="20"/>
  <c r="O23" i="20"/>
  <c r="R23" i="20"/>
  <c r="O11" i="20"/>
  <c r="R11" i="20"/>
  <c r="P30" i="20"/>
  <c r="K30" i="21" s="1"/>
  <c r="S30" i="20"/>
  <c r="P18" i="20"/>
  <c r="K18" i="21" s="1"/>
  <c r="S18" i="20"/>
  <c r="Q25" i="20"/>
  <c r="M25" i="21" s="1"/>
  <c r="T25" i="20"/>
  <c r="Q13" i="20"/>
  <c r="M13" i="21" s="1"/>
  <c r="T13" i="20"/>
  <c r="C79" i="141"/>
  <c r="I76" i="140"/>
  <c r="H77" i="140"/>
  <c r="I41" i="140"/>
  <c r="H42" i="140"/>
  <c r="F77" i="131"/>
  <c r="F43" i="131"/>
  <c r="B34" i="21" l="1"/>
  <c r="B34" i="61" s="1"/>
  <c r="L34" i="21"/>
  <c r="T17" i="113"/>
  <c r="P17" i="113" s="1"/>
  <c r="L16" i="21"/>
  <c r="T18" i="113"/>
  <c r="P18" i="113" s="1"/>
  <c r="T22" i="113"/>
  <c r="P22" i="113" s="1"/>
  <c r="T30" i="113"/>
  <c r="P30" i="113" s="1"/>
  <c r="U26" i="113"/>
  <c r="R26" i="113" s="1"/>
  <c r="T13" i="113"/>
  <c r="P13" i="113" s="1"/>
  <c r="U24" i="113"/>
  <c r="R24" i="113" s="1"/>
  <c r="L18" i="21"/>
  <c r="P9" i="113"/>
  <c r="P10" i="113" s="1"/>
  <c r="P11" i="113" s="1"/>
  <c r="P12" i="113" s="1"/>
  <c r="O8" i="113"/>
  <c r="T15" i="113"/>
  <c r="P15" i="113" s="1"/>
  <c r="U18" i="113"/>
  <c r="R18" i="113" s="1"/>
  <c r="N8" i="21"/>
  <c r="T25" i="113"/>
  <c r="P25" i="113" s="1"/>
  <c r="U33" i="113"/>
  <c r="R33" i="113" s="1"/>
  <c r="N13" i="21"/>
  <c r="N24" i="21"/>
  <c r="F26" i="83"/>
  <c r="F28" i="83" s="1"/>
  <c r="N34" i="21"/>
  <c r="N32" i="21"/>
  <c r="N12" i="21"/>
  <c r="L26" i="21"/>
  <c r="L19" i="21"/>
  <c r="L14" i="21"/>
  <c r="L29" i="21"/>
  <c r="L31" i="21"/>
  <c r="N27" i="21"/>
  <c r="U23" i="113"/>
  <c r="R23" i="113" s="1"/>
  <c r="L21" i="21"/>
  <c r="U16" i="113"/>
  <c r="R16" i="113" s="1"/>
  <c r="T33" i="113"/>
  <c r="P33" i="113" s="1"/>
  <c r="L23" i="21"/>
  <c r="T20" i="113"/>
  <c r="P20" i="113" s="1"/>
  <c r="L8" i="21"/>
  <c r="N16" i="21"/>
  <c r="U28" i="113"/>
  <c r="R28" i="113" s="1"/>
  <c r="T32" i="113"/>
  <c r="P32" i="113" s="1"/>
  <c r="N22" i="21"/>
  <c r="T28" i="113"/>
  <c r="P28" i="113" s="1"/>
  <c r="N25" i="21"/>
  <c r="U14" i="113"/>
  <c r="R14" i="113" s="1"/>
  <c r="L11" i="21"/>
  <c r="L24" i="21"/>
  <c r="L33" i="21"/>
  <c r="U30" i="113"/>
  <c r="R30" i="113" s="1"/>
  <c r="L10" i="21"/>
  <c r="N10" i="21"/>
  <c r="U21" i="113"/>
  <c r="R21" i="113" s="1"/>
  <c r="D34" i="54"/>
  <c r="I22" i="21"/>
  <c r="I20" i="21"/>
  <c r="I31" i="21"/>
  <c r="U29" i="113"/>
  <c r="R29" i="113" s="1"/>
  <c r="I10" i="21"/>
  <c r="I15" i="21"/>
  <c r="I18" i="21"/>
  <c r="N11" i="21"/>
  <c r="N18" i="21"/>
  <c r="N17" i="21"/>
  <c r="I17" i="21"/>
  <c r="U19" i="113"/>
  <c r="R19" i="113" s="1"/>
  <c r="N9" i="21"/>
  <c r="U22" i="113"/>
  <c r="R22" i="113" s="1"/>
  <c r="L20" i="21"/>
  <c r="I14" i="21"/>
  <c r="I27" i="21"/>
  <c r="N20" i="21"/>
  <c r="I30" i="21"/>
  <c r="U32" i="113"/>
  <c r="R32" i="113" s="1"/>
  <c r="N23" i="21"/>
  <c r="I11" i="21"/>
  <c r="T19" i="113"/>
  <c r="P19" i="113" s="1"/>
  <c r="N30" i="21"/>
  <c r="N29" i="21"/>
  <c r="N19" i="21"/>
  <c r="I29" i="21"/>
  <c r="U31" i="113"/>
  <c r="R31" i="113" s="1"/>
  <c r="U20" i="113"/>
  <c r="R20" i="113" s="1"/>
  <c r="N33" i="21"/>
  <c r="T14" i="113"/>
  <c r="P14" i="113" s="1"/>
  <c r="I12" i="21"/>
  <c r="N21" i="21"/>
  <c r="L15" i="21"/>
  <c r="I23" i="21"/>
  <c r="U13" i="113"/>
  <c r="R13" i="113" s="1"/>
  <c r="Q13" i="113" s="1"/>
  <c r="I24" i="21"/>
  <c r="T31" i="113"/>
  <c r="P31" i="113" s="1"/>
  <c r="U15" i="113"/>
  <c r="R15" i="113" s="1"/>
  <c r="I32" i="21"/>
  <c r="N31" i="21"/>
  <c r="T26" i="113"/>
  <c r="P26" i="113" s="1"/>
  <c r="T27" i="113"/>
  <c r="P27" i="113" s="1"/>
  <c r="L32" i="21"/>
  <c r="T29" i="113"/>
  <c r="P29" i="113" s="1"/>
  <c r="U25" i="113"/>
  <c r="R25" i="113" s="1"/>
  <c r="I13" i="21"/>
  <c r="N28" i="21"/>
  <c r="I16" i="21"/>
  <c r="L13" i="21"/>
  <c r="X7" i="20"/>
  <c r="I7" i="21"/>
  <c r="L27" i="21"/>
  <c r="L28" i="21"/>
  <c r="N14" i="21"/>
  <c r="L30" i="21"/>
  <c r="N26" i="21"/>
  <c r="U27" i="113"/>
  <c r="R27" i="113" s="1"/>
  <c r="I33" i="21"/>
  <c r="L22" i="21"/>
  <c r="L12" i="21"/>
  <c r="I9" i="21"/>
  <c r="T24" i="113"/>
  <c r="P24" i="113" s="1"/>
  <c r="I19" i="21"/>
  <c r="T16" i="113"/>
  <c r="P16" i="113" s="1"/>
  <c r="I34" i="21"/>
  <c r="I26" i="21"/>
  <c r="N15" i="21"/>
  <c r="I25" i="21"/>
  <c r="L9" i="21"/>
  <c r="T21" i="113"/>
  <c r="P21" i="113" s="1"/>
  <c r="U17" i="113"/>
  <c r="R17" i="113" s="1"/>
  <c r="I28" i="21"/>
  <c r="T23" i="113"/>
  <c r="P23" i="113" s="1"/>
  <c r="L25" i="21"/>
  <c r="I21" i="21"/>
  <c r="I8" i="21"/>
  <c r="L17" i="21"/>
  <c r="C80" i="141"/>
  <c r="H78" i="140"/>
  <c r="I77" i="140"/>
  <c r="H43" i="140"/>
  <c r="I42" i="140"/>
  <c r="F78" i="131"/>
  <c r="F44" i="131"/>
  <c r="E51" i="83"/>
  <c r="H34" i="21" l="1"/>
  <c r="O9" i="113"/>
  <c r="O10" i="113" s="1"/>
  <c r="O11" i="113" s="1"/>
  <c r="O12" i="113" s="1"/>
  <c r="O13" i="113" s="1"/>
  <c r="O14" i="113" s="1"/>
  <c r="O15" i="113" s="1"/>
  <c r="O16" i="113" s="1"/>
  <c r="O17" i="113" s="1"/>
  <c r="O18" i="113" s="1"/>
  <c r="O19" i="113" s="1"/>
  <c r="O20" i="113" s="1"/>
  <c r="O21" i="113" s="1"/>
  <c r="O22" i="113" s="1"/>
  <c r="O23" i="113" s="1"/>
  <c r="O24" i="113" s="1"/>
  <c r="O25" i="113" s="1"/>
  <c r="O26" i="113" s="1"/>
  <c r="O27" i="113" s="1"/>
  <c r="O28" i="113" s="1"/>
  <c r="O29" i="113" s="1"/>
  <c r="O30" i="113" s="1"/>
  <c r="O31" i="113" s="1"/>
  <c r="O32" i="113" s="1"/>
  <c r="O33" i="113" s="1"/>
  <c r="Q14" i="113"/>
  <c r="Q15" i="113" s="1"/>
  <c r="Q16" i="113" s="1"/>
  <c r="Q17" i="113" s="1"/>
  <c r="Q18" i="113" s="1"/>
  <c r="Q19" i="113" s="1"/>
  <c r="Q20" i="113" s="1"/>
  <c r="Q21" i="113" s="1"/>
  <c r="Q22" i="113" s="1"/>
  <c r="Q23" i="113" s="1"/>
  <c r="Q24" i="113" s="1"/>
  <c r="Q25" i="113" s="1"/>
  <c r="Q26" i="113" s="1"/>
  <c r="Q27" i="113" s="1"/>
  <c r="Q28" i="113" s="1"/>
  <c r="Q29" i="113" s="1"/>
  <c r="Q30" i="113" s="1"/>
  <c r="Q31" i="113" s="1"/>
  <c r="Q32" i="113" s="1"/>
  <c r="Q33" i="113" s="1"/>
  <c r="F51" i="83"/>
  <c r="E56" i="83"/>
  <c r="E52" i="83"/>
  <c r="Y5" i="19"/>
  <c r="Y4" i="19"/>
  <c r="W5" i="19"/>
  <c r="W4" i="19"/>
  <c r="H14" i="54"/>
  <c r="J14" i="21"/>
  <c r="Q14" i="21"/>
  <c r="J14" i="61"/>
  <c r="Q18" i="21"/>
  <c r="J18" i="61"/>
  <c r="J18" i="21"/>
  <c r="H18" i="54"/>
  <c r="H20" i="54"/>
  <c r="Q20" i="21"/>
  <c r="J20" i="21"/>
  <c r="J20" i="61"/>
  <c r="H22" i="54"/>
  <c r="Q22" i="21"/>
  <c r="J22" i="21"/>
  <c r="J22" i="61"/>
  <c r="H17" i="54"/>
  <c r="J17" i="21"/>
  <c r="Q17" i="21"/>
  <c r="J17" i="61"/>
  <c r="H32" i="54"/>
  <c r="Q32" i="21"/>
  <c r="J32" i="21"/>
  <c r="J32" i="61"/>
  <c r="H26" i="54"/>
  <c r="J26" i="21"/>
  <c r="Q26" i="21"/>
  <c r="J26" i="61"/>
  <c r="H19" i="54"/>
  <c r="Q19" i="21"/>
  <c r="J19" i="21"/>
  <c r="J19" i="61"/>
  <c r="H33" i="54"/>
  <c r="J33" i="21"/>
  <c r="Q33" i="21"/>
  <c r="J33" i="61"/>
  <c r="H21" i="54"/>
  <c r="J21" i="21"/>
  <c r="Q21" i="21"/>
  <c r="J21" i="61"/>
  <c r="J28" i="21"/>
  <c r="H28" i="54"/>
  <c r="Q28" i="21"/>
  <c r="J28" i="61"/>
  <c r="H7" i="54"/>
  <c r="J7" i="61"/>
  <c r="Q7" i="21"/>
  <c r="H29" i="54"/>
  <c r="J29" i="21"/>
  <c r="Q29" i="21"/>
  <c r="J29" i="61"/>
  <c r="J30" i="61"/>
  <c r="Q30" i="21"/>
  <c r="H30" i="54"/>
  <c r="J30" i="21"/>
  <c r="H10" i="54"/>
  <c r="Q10" i="21"/>
  <c r="J10" i="61"/>
  <c r="J10" i="21"/>
  <c r="H23" i="54"/>
  <c r="J23" i="21"/>
  <c r="Q23" i="21"/>
  <c r="J23" i="61"/>
  <c r="J16" i="21"/>
  <c r="H16" i="54"/>
  <c r="Q16" i="21"/>
  <c r="J16" i="61"/>
  <c r="H15" i="54"/>
  <c r="J15" i="21"/>
  <c r="J15" i="61"/>
  <c r="Q15" i="21"/>
  <c r="H27" i="54"/>
  <c r="J27" i="21"/>
  <c r="Q27" i="21"/>
  <c r="J27" i="61"/>
  <c r="H34" i="54"/>
  <c r="J34" i="21"/>
  <c r="Q34" i="21"/>
  <c r="J34" i="61"/>
  <c r="H9" i="54"/>
  <c r="J9" i="21"/>
  <c r="J9" i="61"/>
  <c r="H13" i="54"/>
  <c r="J13" i="21"/>
  <c r="J13" i="61"/>
  <c r="Q13" i="21"/>
  <c r="H24" i="54"/>
  <c r="Q24" i="21"/>
  <c r="J24" i="61"/>
  <c r="J24" i="21"/>
  <c r="O34" i="113"/>
  <c r="H11" i="54"/>
  <c r="J11" i="21"/>
  <c r="J11" i="61"/>
  <c r="Q11" i="21"/>
  <c r="H8" i="54"/>
  <c r="Q8" i="21"/>
  <c r="J8" i="21"/>
  <c r="J8" i="61"/>
  <c r="H25" i="54"/>
  <c r="Q25" i="21"/>
  <c r="J25" i="61"/>
  <c r="J25" i="21"/>
  <c r="H31" i="54"/>
  <c r="Q31" i="21"/>
  <c r="J31" i="21"/>
  <c r="J31" i="61"/>
  <c r="Q34" i="113"/>
  <c r="H12" i="54"/>
  <c r="J12" i="61"/>
  <c r="J12" i="21"/>
  <c r="Q12" i="21"/>
  <c r="C81" i="141"/>
  <c r="H79" i="140"/>
  <c r="I78" i="140"/>
  <c r="H44" i="140"/>
  <c r="I43" i="140"/>
  <c r="F79" i="131"/>
  <c r="F45" i="131"/>
  <c r="D22" i="83"/>
  <c r="F56" i="83" l="1"/>
  <c r="F52" i="83"/>
  <c r="C82" i="141"/>
  <c r="I79" i="140"/>
  <c r="H80" i="140"/>
  <c r="I44" i="140"/>
  <c r="H45" i="140"/>
  <c r="F80" i="131"/>
  <c r="F46" i="131"/>
  <c r="J5" i="64"/>
  <c r="O58" i="154"/>
  <c r="H20" i="154"/>
  <c r="H58" i="154" s="1"/>
  <c r="I20" i="154"/>
  <c r="J20" i="154"/>
  <c r="J58" i="154" s="1"/>
  <c r="K20" i="154"/>
  <c r="K58" i="154" s="1"/>
  <c r="L20" i="154"/>
  <c r="L58" i="154" s="1"/>
  <c r="M20" i="154"/>
  <c r="N20" i="154"/>
  <c r="N58" i="154" s="1"/>
  <c r="O20" i="154"/>
  <c r="P20" i="154"/>
  <c r="P58" i="154" s="1"/>
  <c r="Q20" i="154"/>
  <c r="R20" i="154"/>
  <c r="R58" i="154" s="1"/>
  <c r="S20" i="154"/>
  <c r="S58" i="154" s="1"/>
  <c r="T20" i="154"/>
  <c r="T58" i="154" s="1"/>
  <c r="U20" i="154"/>
  <c r="V20" i="154"/>
  <c r="V58" i="154" s="1"/>
  <c r="W20" i="154"/>
  <c r="W58" i="154" s="1"/>
  <c r="X20" i="154"/>
  <c r="X58" i="154" s="1"/>
  <c r="Y20" i="154"/>
  <c r="Z20" i="154"/>
  <c r="Z58" i="154" s="1"/>
  <c r="AA20" i="154"/>
  <c r="AA58" i="154" s="1"/>
  <c r="AB20" i="154"/>
  <c r="AB58" i="154" s="1"/>
  <c r="AC20" i="154"/>
  <c r="AD20" i="154"/>
  <c r="AD58" i="154" s="1"/>
  <c r="AE20" i="154"/>
  <c r="AE58" i="154" s="1"/>
  <c r="M5" i="113"/>
  <c r="E4" i="160"/>
  <c r="G4" i="160" s="1"/>
  <c r="B5" i="98"/>
  <c r="B5" i="148"/>
  <c r="B5" i="128"/>
  <c r="B6" i="100"/>
  <c r="B7" i="100"/>
  <c r="B8" i="100"/>
  <c r="B9" i="100"/>
  <c r="B10" i="100"/>
  <c r="B11" i="100"/>
  <c r="B12" i="100"/>
  <c r="B13" i="100"/>
  <c r="B14" i="100"/>
  <c r="B15" i="100"/>
  <c r="B16" i="100"/>
  <c r="B17" i="100"/>
  <c r="B18" i="100"/>
  <c r="B19" i="100"/>
  <c r="B20" i="100"/>
  <c r="B21" i="100"/>
  <c r="B22" i="100"/>
  <c r="B23" i="100"/>
  <c r="B24" i="100"/>
  <c r="B25" i="100"/>
  <c r="B26" i="100"/>
  <c r="B27" i="100"/>
  <c r="B28" i="100"/>
  <c r="B29" i="100"/>
  <c r="B30" i="100"/>
  <c r="B31" i="100"/>
  <c r="B32" i="100"/>
  <c r="B33" i="100"/>
  <c r="B34" i="100"/>
  <c r="B5" i="100"/>
  <c r="B5" i="99"/>
  <c r="E57" i="58"/>
  <c r="F57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Y57" i="58"/>
  <c r="Z57" i="58"/>
  <c r="AA57" i="58"/>
  <c r="AB57" i="58"/>
  <c r="AC57" i="58"/>
  <c r="AD57" i="58"/>
  <c r="AE57" i="58"/>
  <c r="AF57" i="58"/>
  <c r="AG57" i="58"/>
  <c r="AH57" i="58"/>
  <c r="AI57" i="58"/>
  <c r="AJ57" i="58"/>
  <c r="AK57" i="58"/>
  <c r="AL57" i="58"/>
  <c r="D57" i="58"/>
  <c r="J32" i="58"/>
  <c r="K32" i="58"/>
  <c r="L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AA32" i="58"/>
  <c r="AB32" i="58"/>
  <c r="AC32" i="58"/>
  <c r="AD32" i="58"/>
  <c r="AE32" i="58"/>
  <c r="AF32" i="58"/>
  <c r="AG32" i="58"/>
  <c r="H32" i="58"/>
  <c r="I32" i="58"/>
  <c r="D32" i="58"/>
  <c r="C49" i="154"/>
  <c r="D49" i="154"/>
  <c r="E49" i="154"/>
  <c r="F49" i="154"/>
  <c r="G49" i="154"/>
  <c r="H49" i="154"/>
  <c r="I49" i="154"/>
  <c r="J49" i="154"/>
  <c r="K49" i="154"/>
  <c r="L49" i="154"/>
  <c r="M49" i="154"/>
  <c r="N49" i="154"/>
  <c r="O49" i="154"/>
  <c r="P49" i="154"/>
  <c r="Q49" i="154"/>
  <c r="R49" i="154"/>
  <c r="S49" i="154"/>
  <c r="T49" i="154"/>
  <c r="U49" i="154"/>
  <c r="V49" i="154"/>
  <c r="W49" i="154"/>
  <c r="X49" i="154"/>
  <c r="Y49" i="154"/>
  <c r="Z49" i="154"/>
  <c r="AA49" i="154"/>
  <c r="AB49" i="154"/>
  <c r="AC49" i="154"/>
  <c r="AD49" i="154"/>
  <c r="AE49" i="154"/>
  <c r="B49" i="154"/>
  <c r="C48" i="154"/>
  <c r="D48" i="154"/>
  <c r="E48" i="154"/>
  <c r="F48" i="154"/>
  <c r="G48" i="154"/>
  <c r="H48" i="154"/>
  <c r="I48" i="154"/>
  <c r="J48" i="154"/>
  <c r="K48" i="154"/>
  <c r="L48" i="154"/>
  <c r="M48" i="154"/>
  <c r="N48" i="154"/>
  <c r="O48" i="154"/>
  <c r="P48" i="154"/>
  <c r="Q48" i="154"/>
  <c r="R48" i="154"/>
  <c r="S48" i="154"/>
  <c r="T48" i="154"/>
  <c r="U48" i="154"/>
  <c r="V48" i="154"/>
  <c r="W48" i="154"/>
  <c r="X48" i="154"/>
  <c r="Y48" i="154"/>
  <c r="Z48" i="154"/>
  <c r="AA48" i="154"/>
  <c r="AB48" i="154"/>
  <c r="AC48" i="154"/>
  <c r="AD48" i="154"/>
  <c r="AE48" i="154"/>
  <c r="B48" i="154"/>
  <c r="C47" i="154"/>
  <c r="D47" i="154"/>
  <c r="E47" i="154"/>
  <c r="F47" i="154"/>
  <c r="G47" i="154"/>
  <c r="H47" i="154"/>
  <c r="I47" i="154"/>
  <c r="I58" i="154" s="1"/>
  <c r="J47" i="154"/>
  <c r="K47" i="154"/>
  <c r="L47" i="154"/>
  <c r="M47" i="154"/>
  <c r="N47" i="154"/>
  <c r="O47" i="154"/>
  <c r="P47" i="154"/>
  <c r="Q47" i="154"/>
  <c r="Q58" i="154" s="1"/>
  <c r="R47" i="154"/>
  <c r="S47" i="154"/>
  <c r="T47" i="154"/>
  <c r="U47" i="154"/>
  <c r="U58" i="154" s="1"/>
  <c r="V47" i="154"/>
  <c r="W47" i="154"/>
  <c r="X47" i="154"/>
  <c r="Y47" i="154"/>
  <c r="Z47" i="154"/>
  <c r="AA47" i="154"/>
  <c r="AB47" i="154"/>
  <c r="AC47" i="154"/>
  <c r="AC58" i="154" s="1"/>
  <c r="AD47" i="154"/>
  <c r="AE47" i="154"/>
  <c r="B47" i="154"/>
  <c r="E72" i="154"/>
  <c r="G45" i="154" s="1"/>
  <c r="A21" i="154"/>
  <c r="D41" i="83"/>
  <c r="C57" i="58" l="1"/>
  <c r="N44" i="154"/>
  <c r="U45" i="154"/>
  <c r="E45" i="154"/>
  <c r="K44" i="154"/>
  <c r="AB44" i="154"/>
  <c r="J44" i="154"/>
  <c r="T45" i="154"/>
  <c r="R45" i="154"/>
  <c r="L44" i="154"/>
  <c r="G44" i="154"/>
  <c r="Z44" i="154"/>
  <c r="F44" i="154"/>
  <c r="Q45" i="154"/>
  <c r="Y45" i="154"/>
  <c r="W44" i="154"/>
  <c r="D44" i="154"/>
  <c r="P45" i="154"/>
  <c r="AD44" i="154"/>
  <c r="V44" i="154"/>
  <c r="C44" i="154"/>
  <c r="M45" i="154"/>
  <c r="X45" i="154"/>
  <c r="T44" i="154"/>
  <c r="B44" i="154"/>
  <c r="L45" i="154"/>
  <c r="AE44" i="154"/>
  <c r="AA44" i="154"/>
  <c r="S44" i="154"/>
  <c r="AC45" i="154"/>
  <c r="J45" i="154"/>
  <c r="R44" i="154"/>
  <c r="AB45" i="154"/>
  <c r="I45" i="154"/>
  <c r="D45" i="154"/>
  <c r="O44" i="154"/>
  <c r="Z45" i="154"/>
  <c r="H45" i="154"/>
  <c r="Y58" i="154"/>
  <c r="M58" i="154"/>
  <c r="X44" i="154"/>
  <c r="P44" i="154"/>
  <c r="H44" i="154"/>
  <c r="AD45" i="154"/>
  <c r="V45" i="154"/>
  <c r="N45" i="154"/>
  <c r="F45" i="154"/>
  <c r="B45" i="154"/>
  <c r="AC44" i="154"/>
  <c r="U44" i="154"/>
  <c r="M44" i="154"/>
  <c r="E44" i="154"/>
  <c r="AA45" i="154"/>
  <c r="S45" i="154"/>
  <c r="K45" i="154"/>
  <c r="C45" i="154"/>
  <c r="Y44" i="154"/>
  <c r="Q44" i="154"/>
  <c r="I44" i="154"/>
  <c r="AE45" i="154"/>
  <c r="W45" i="154"/>
  <c r="O45" i="154"/>
  <c r="V5" i="113"/>
  <c r="U5" i="19"/>
  <c r="C83" i="141"/>
  <c r="I80" i="140"/>
  <c r="H81" i="140"/>
  <c r="H46" i="140"/>
  <c r="I45" i="140"/>
  <c r="F81" i="131"/>
  <c r="F47" i="131"/>
  <c r="J6" i="64"/>
  <c r="J7" i="64" s="1"/>
  <c r="J8" i="64" s="1"/>
  <c r="J9" i="64" s="1"/>
  <c r="J10" i="64" s="1"/>
  <c r="J11" i="64" s="1"/>
  <c r="J12" i="64" s="1"/>
  <c r="J13" i="64" s="1"/>
  <c r="J14" i="64" s="1"/>
  <c r="J15" i="64" s="1"/>
  <c r="J16" i="64" s="1"/>
  <c r="J17" i="64" s="1"/>
  <c r="J18" i="64" s="1"/>
  <c r="J19" i="64" s="1"/>
  <c r="J20" i="64" s="1"/>
  <c r="J21" i="64" s="1"/>
  <c r="J22" i="64" s="1"/>
  <c r="J23" i="64" s="1"/>
  <c r="J24" i="64" s="1"/>
  <c r="J25" i="64" s="1"/>
  <c r="J26" i="64" s="1"/>
  <c r="J27" i="64" s="1"/>
  <c r="J28" i="64" s="1"/>
  <c r="J29" i="64" s="1"/>
  <c r="J30" i="64" s="1"/>
  <c r="J31" i="64" s="1"/>
  <c r="J32" i="64" s="1"/>
  <c r="J33" i="64" s="1"/>
  <c r="C24" i="59" l="1" a="1"/>
  <c r="C84" i="141"/>
  <c r="I81" i="140"/>
  <c r="H82" i="140"/>
  <c r="I46" i="140"/>
  <c r="H47" i="140"/>
  <c r="F82" i="131"/>
  <c r="F48" i="131"/>
  <c r="J34" i="64"/>
  <c r="AF24" i="59" l="1"/>
  <c r="I24" i="59"/>
  <c r="E24" i="59"/>
  <c r="H24" i="59"/>
  <c r="V24" i="59"/>
  <c r="Q24" i="59"/>
  <c r="W24" i="59"/>
  <c r="AC24" i="59"/>
  <c r="N24" i="59"/>
  <c r="R24" i="59"/>
  <c r="Z24" i="59"/>
  <c r="AD24" i="59"/>
  <c r="X24" i="59"/>
  <c r="G24" i="59"/>
  <c r="J24" i="59"/>
  <c r="AA24" i="59"/>
  <c r="S24" i="59"/>
  <c r="K24" i="59"/>
  <c r="AE24" i="59"/>
  <c r="L24" i="59"/>
  <c r="P24" i="59"/>
  <c r="AB24" i="59"/>
  <c r="C24" i="59"/>
  <c r="F24" i="59"/>
  <c r="O24" i="59"/>
  <c r="U24" i="59"/>
  <c r="D24" i="59"/>
  <c r="M24" i="59"/>
  <c r="T24" i="59"/>
  <c r="Y24" i="59"/>
  <c r="C85" i="141"/>
  <c r="I82" i="140"/>
  <c r="H83" i="140"/>
  <c r="I47" i="140"/>
  <c r="H48" i="140"/>
  <c r="F83" i="131"/>
  <c r="F49" i="131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W34" i="20" s="1"/>
  <c r="X34" i="20" s="1"/>
  <c r="R5" i="54"/>
  <c r="E5" i="160"/>
  <c r="G5" i="160" s="1"/>
  <c r="E6" i="160"/>
  <c r="G6" i="160" s="1"/>
  <c r="E7" i="160"/>
  <c r="G7" i="160" s="1"/>
  <c r="E8" i="160"/>
  <c r="G8" i="160" s="1"/>
  <c r="E9" i="160"/>
  <c r="G9" i="160" s="1"/>
  <c r="E10" i="160"/>
  <c r="G10" i="160" s="1"/>
  <c r="E11" i="160"/>
  <c r="G11" i="160" s="1"/>
  <c r="E12" i="160"/>
  <c r="G12" i="160" s="1"/>
  <c r="E13" i="160"/>
  <c r="G13" i="160" s="1"/>
  <c r="E14" i="160"/>
  <c r="G14" i="160" s="1"/>
  <c r="E15" i="160"/>
  <c r="G15" i="160" s="1"/>
  <c r="E16" i="160"/>
  <c r="G16" i="160" s="1"/>
  <c r="E17" i="160"/>
  <c r="G17" i="160" s="1"/>
  <c r="E18" i="160"/>
  <c r="G18" i="160" s="1"/>
  <c r="E19" i="160"/>
  <c r="G19" i="160" s="1"/>
  <c r="E20" i="160"/>
  <c r="G20" i="160" s="1"/>
  <c r="E21" i="160"/>
  <c r="G21" i="160" s="1"/>
  <c r="E22" i="160"/>
  <c r="G22" i="160" s="1"/>
  <c r="E23" i="160"/>
  <c r="G23" i="160" s="1"/>
  <c r="E24" i="160"/>
  <c r="G24" i="160" s="1"/>
  <c r="E25" i="160"/>
  <c r="G25" i="160" s="1"/>
  <c r="E26" i="160"/>
  <c r="G26" i="160" s="1"/>
  <c r="E27" i="160"/>
  <c r="G27" i="160" s="1"/>
  <c r="E28" i="160"/>
  <c r="G28" i="160" s="1"/>
  <c r="E29" i="160"/>
  <c r="G29" i="160" s="1"/>
  <c r="E30" i="160"/>
  <c r="G30" i="160" s="1"/>
  <c r="E31" i="160"/>
  <c r="G31" i="160" s="1"/>
  <c r="E32" i="160"/>
  <c r="G32" i="160" s="1"/>
  <c r="E33" i="160"/>
  <c r="G33" i="160" s="1"/>
  <c r="C86" i="141" l="1"/>
  <c r="I83" i="140"/>
  <c r="H84" i="140"/>
  <c r="I48" i="140"/>
  <c r="H49" i="140"/>
  <c r="F84" i="131"/>
  <c r="F50" i="131"/>
  <c r="C87" i="141" l="1"/>
  <c r="I84" i="140"/>
  <c r="H85" i="140"/>
  <c r="I49" i="140"/>
  <c r="H50" i="140"/>
  <c r="F85" i="131"/>
  <c r="F51" i="131"/>
  <c r="D28" i="83"/>
  <c r="D67" i="83" s="1"/>
  <c r="C88" i="141" l="1"/>
  <c r="I85" i="140"/>
  <c r="H86" i="140"/>
  <c r="H51" i="140"/>
  <c r="I50" i="140"/>
  <c r="F86" i="131"/>
  <c r="F52" i="131"/>
  <c r="E67" i="83"/>
  <c r="N6" i="113"/>
  <c r="F67" i="83" l="1"/>
  <c r="C89" i="141"/>
  <c r="I86" i="140"/>
  <c r="H87" i="140"/>
  <c r="I51" i="140"/>
  <c r="H52" i="140"/>
  <c r="F87" i="131"/>
  <c r="F53" i="131"/>
  <c r="N7" i="113"/>
  <c r="W7" i="113" s="1"/>
  <c r="D45" i="83"/>
  <c r="V6" i="113" l="1"/>
  <c r="V7" i="113" s="1"/>
  <c r="N8" i="113"/>
  <c r="W8" i="113" s="1"/>
  <c r="C90" i="141"/>
  <c r="I87" i="140"/>
  <c r="H88" i="140"/>
  <c r="I52" i="140"/>
  <c r="H53" i="140"/>
  <c r="F88" i="131"/>
  <c r="F54" i="131"/>
  <c r="D43" i="83"/>
  <c r="D44" i="83"/>
  <c r="V8" i="113" l="1"/>
  <c r="T10" i="113"/>
  <c r="S16" i="113"/>
  <c r="N16" i="113" s="1"/>
  <c r="W16" i="113" s="1"/>
  <c r="T9" i="113"/>
  <c r="S33" i="113"/>
  <c r="N33" i="113" s="1"/>
  <c r="W33" i="113" s="1"/>
  <c r="S19" i="113"/>
  <c r="N19" i="113" s="1"/>
  <c r="W19" i="113" s="1"/>
  <c r="S32" i="113"/>
  <c r="N32" i="113" s="1"/>
  <c r="W32" i="113" s="1"/>
  <c r="S7" i="113"/>
  <c r="U11" i="113"/>
  <c r="T7" i="113"/>
  <c r="S20" i="113"/>
  <c r="N20" i="113" s="1"/>
  <c r="W20" i="113" s="1"/>
  <c r="S10" i="113"/>
  <c r="U9" i="113"/>
  <c r="S29" i="113"/>
  <c r="N29" i="113" s="1"/>
  <c r="W29" i="113" s="1"/>
  <c r="S31" i="113"/>
  <c r="N31" i="113" s="1"/>
  <c r="W31" i="113" s="1"/>
  <c r="T8" i="113"/>
  <c r="S22" i="113"/>
  <c r="N22" i="113" s="1"/>
  <c r="W22" i="113" s="1"/>
  <c r="S11" i="113"/>
  <c r="S18" i="113"/>
  <c r="N18" i="113" s="1"/>
  <c r="W18" i="113" s="1"/>
  <c r="S12" i="113"/>
  <c r="S27" i="113"/>
  <c r="N27" i="113" s="1"/>
  <c r="W27" i="113" s="1"/>
  <c r="S14" i="113"/>
  <c r="N14" i="113" s="1"/>
  <c r="W14" i="113" s="1"/>
  <c r="S28" i="113"/>
  <c r="N28" i="113" s="1"/>
  <c r="W28" i="113" s="1"/>
  <c r="S26" i="113"/>
  <c r="N26" i="113" s="1"/>
  <c r="W26" i="113" s="1"/>
  <c r="T11" i="113"/>
  <c r="S23" i="113"/>
  <c r="N23" i="113" s="1"/>
  <c r="W23" i="113" s="1"/>
  <c r="U10" i="113"/>
  <c r="S9" i="113"/>
  <c r="U8" i="113"/>
  <c r="S21" i="113"/>
  <c r="N21" i="113" s="1"/>
  <c r="W21" i="113" s="1"/>
  <c r="U12" i="113"/>
  <c r="S30" i="113"/>
  <c r="N30" i="113" s="1"/>
  <c r="W30" i="113" s="1"/>
  <c r="U7" i="113"/>
  <c r="S13" i="113"/>
  <c r="N13" i="113" s="1"/>
  <c r="W13" i="113" s="1"/>
  <c r="S25" i="113"/>
  <c r="N25" i="113" s="1"/>
  <c r="W25" i="113" s="1"/>
  <c r="S17" i="113"/>
  <c r="N17" i="113" s="1"/>
  <c r="W17" i="113" s="1"/>
  <c r="S24" i="113"/>
  <c r="N24" i="113" s="1"/>
  <c r="W24" i="113" s="1"/>
  <c r="S15" i="113"/>
  <c r="N15" i="113" s="1"/>
  <c r="W15" i="113" s="1"/>
  <c r="T12" i="113"/>
  <c r="S8" i="113"/>
  <c r="N9" i="113"/>
  <c r="W9" i="113" s="1"/>
  <c r="C91" i="141"/>
  <c r="I88" i="140"/>
  <c r="H89" i="140"/>
  <c r="I53" i="140"/>
  <c r="H54" i="140"/>
  <c r="F89" i="131"/>
  <c r="F55" i="131"/>
  <c r="V9" i="113" l="1"/>
  <c r="N10" i="113"/>
  <c r="W10" i="113" s="1"/>
  <c r="C92" i="141"/>
  <c r="H90" i="140"/>
  <c r="I89" i="140"/>
  <c r="H55" i="140"/>
  <c r="I54" i="140"/>
  <c r="F90" i="131"/>
  <c r="F56" i="131"/>
  <c r="V10" i="113" l="1"/>
  <c r="N11" i="113"/>
  <c r="W11" i="113" s="1"/>
  <c r="C93" i="141"/>
  <c r="H91" i="140"/>
  <c r="I90" i="140"/>
  <c r="H56" i="140"/>
  <c r="I55" i="140"/>
  <c r="F91" i="131"/>
  <c r="F57" i="131"/>
  <c r="R3" i="54"/>
  <c r="E38" i="154"/>
  <c r="E19" i="154" s="1"/>
  <c r="D38" i="154"/>
  <c r="D19" i="154" s="1"/>
  <c r="AI48" i="153"/>
  <c r="AJ48" i="153" s="1"/>
  <c r="AK48" i="153" s="1"/>
  <c r="AL48" i="153" s="1"/>
  <c r="AM48" i="153" s="1"/>
  <c r="B33" i="154"/>
  <c r="F25" i="153"/>
  <c r="G25" i="153" s="1"/>
  <c r="H25" i="153" s="1"/>
  <c r="E27" i="153"/>
  <c r="D53" i="83"/>
  <c r="D52" i="83"/>
  <c r="V11" i="113" l="1"/>
  <c r="F38" i="154"/>
  <c r="F19" i="154" s="1"/>
  <c r="G38" i="154"/>
  <c r="G19" i="154" s="1"/>
  <c r="N12" i="113"/>
  <c r="W12" i="113" s="1"/>
  <c r="W34" i="113" s="1"/>
  <c r="C94" i="141"/>
  <c r="I91" i="140"/>
  <c r="H92" i="140"/>
  <c r="I56" i="140"/>
  <c r="H57" i="140"/>
  <c r="F92" i="131"/>
  <c r="F58" i="131"/>
  <c r="I25" i="153"/>
  <c r="E35" i="118" l="1" a="1"/>
  <c r="V12" i="113"/>
  <c r="V13" i="113" s="1"/>
  <c r="V14" i="113" s="1"/>
  <c r="V15" i="113" s="1"/>
  <c r="V16" i="113" s="1"/>
  <c r="V17" i="113" s="1"/>
  <c r="V18" i="113" s="1"/>
  <c r="V19" i="113" s="1"/>
  <c r="V20" i="113" s="1"/>
  <c r="V21" i="113" s="1"/>
  <c r="V22" i="113" s="1"/>
  <c r="V23" i="113" s="1"/>
  <c r="V24" i="113" s="1"/>
  <c r="V25" i="113" s="1"/>
  <c r="V26" i="113" s="1"/>
  <c r="V27" i="113" s="1"/>
  <c r="V28" i="113" s="1"/>
  <c r="V29" i="113" s="1"/>
  <c r="V30" i="113" s="1"/>
  <c r="V31" i="113" s="1"/>
  <c r="V32" i="113" s="1"/>
  <c r="V33" i="113" s="1"/>
  <c r="I38" i="154"/>
  <c r="I19" i="154" s="1"/>
  <c r="H38" i="154"/>
  <c r="H19" i="154" s="1"/>
  <c r="C95" i="141"/>
  <c r="I92" i="140"/>
  <c r="H93" i="140"/>
  <c r="I57" i="140"/>
  <c r="H58" i="140"/>
  <c r="F93" i="131"/>
  <c r="F59" i="131"/>
  <c r="J25" i="153"/>
  <c r="E35" i="118" l="1"/>
  <c r="Z35" i="118"/>
  <c r="AA35" i="118"/>
  <c r="W35" i="118"/>
  <c r="N35" i="118"/>
  <c r="M44" i="58" s="1"/>
  <c r="S35" i="118"/>
  <c r="R44" i="58" s="1"/>
  <c r="G35" i="118"/>
  <c r="F44" i="58" s="1"/>
  <c r="O35" i="118"/>
  <c r="N44" i="58" s="1"/>
  <c r="H35" i="118"/>
  <c r="G44" i="58" s="1"/>
  <c r="AD35" i="118"/>
  <c r="AC44" i="58" s="1"/>
  <c r="R35" i="118"/>
  <c r="Q44" i="58" s="1"/>
  <c r="F35" i="118"/>
  <c r="Q35" i="118"/>
  <c r="I35" i="118"/>
  <c r="AE35" i="118"/>
  <c r="Y35" i="118"/>
  <c r="X44" i="58" s="1"/>
  <c r="M35" i="118"/>
  <c r="L44" i="58" s="1"/>
  <c r="L35" i="118"/>
  <c r="K44" i="58" s="1"/>
  <c r="T35" i="118"/>
  <c r="S44" i="58" s="1"/>
  <c r="U35" i="118"/>
  <c r="T44" i="58" s="1"/>
  <c r="X35" i="118"/>
  <c r="W44" i="58" s="1"/>
  <c r="V35" i="118"/>
  <c r="U44" i="58" s="1"/>
  <c r="AF35" i="118"/>
  <c r="AE44" i="58" s="1"/>
  <c r="J35" i="118"/>
  <c r="I44" i="58" s="1"/>
  <c r="AG35" i="118"/>
  <c r="AB35" i="118"/>
  <c r="AA44" i="58" s="1"/>
  <c r="P35" i="118"/>
  <c r="AH35" i="118"/>
  <c r="AG44" i="58" s="1"/>
  <c r="K35" i="118"/>
  <c r="J44" i="58" s="1"/>
  <c r="AC35" i="118"/>
  <c r="AB44" i="58" s="1"/>
  <c r="J38" i="154"/>
  <c r="J19" i="154" s="1"/>
  <c r="K38" i="154"/>
  <c r="K19" i="154" s="1"/>
  <c r="AF44" i="58"/>
  <c r="Z44" i="58"/>
  <c r="AD44" i="58"/>
  <c r="Y44" i="58"/>
  <c r="H44" i="58"/>
  <c r="V44" i="58"/>
  <c r="O44" i="58"/>
  <c r="P44" i="58"/>
  <c r="C96" i="141"/>
  <c r="I93" i="140"/>
  <c r="H94" i="140"/>
  <c r="I58" i="140"/>
  <c r="H59" i="140"/>
  <c r="F94" i="131"/>
  <c r="F60" i="131"/>
  <c r="K25" i="153"/>
  <c r="M38" i="154" l="1"/>
  <c r="M19" i="154" s="1"/>
  <c r="L38" i="154"/>
  <c r="L19" i="154" s="1"/>
  <c r="C97" i="141"/>
  <c r="I94" i="140"/>
  <c r="H95" i="140"/>
  <c r="I59" i="140"/>
  <c r="H60" i="140"/>
  <c r="F95" i="131"/>
  <c r="F61" i="131"/>
  <c r="L25" i="153"/>
  <c r="N38" i="154" l="1"/>
  <c r="N19" i="154" s="1"/>
  <c r="O38" i="154"/>
  <c r="O19" i="154" s="1"/>
  <c r="C98" i="141"/>
  <c r="I95" i="140"/>
  <c r="H96" i="140"/>
  <c r="I60" i="140"/>
  <c r="H61" i="140"/>
  <c r="F96" i="131"/>
  <c r="F62" i="131"/>
  <c r="M25" i="153"/>
  <c r="H5" i="20"/>
  <c r="Q38" i="154" l="1"/>
  <c r="Q19" i="154" s="1"/>
  <c r="P38" i="154"/>
  <c r="P19" i="154" s="1"/>
  <c r="C99" i="141"/>
  <c r="K5" i="20"/>
  <c r="F5" i="21" s="1"/>
  <c r="I5" i="20"/>
  <c r="W5" i="20" s="1"/>
  <c r="J5" i="20"/>
  <c r="D5" i="21" s="1"/>
  <c r="I96" i="140"/>
  <c r="H97" i="140"/>
  <c r="I61" i="140"/>
  <c r="H62" i="140"/>
  <c r="F97" i="131"/>
  <c r="F63" i="131"/>
  <c r="N25" i="153"/>
  <c r="H28" i="20"/>
  <c r="H24" i="20"/>
  <c r="H20" i="20"/>
  <c r="H16" i="20"/>
  <c r="H12" i="20"/>
  <c r="H8" i="20"/>
  <c r="K8" i="20" s="1"/>
  <c r="H31" i="20"/>
  <c r="H27" i="20"/>
  <c r="H23" i="20"/>
  <c r="H19" i="20"/>
  <c r="H15" i="20"/>
  <c r="H11" i="20"/>
  <c r="H7" i="20"/>
  <c r="H10" i="20"/>
  <c r="H32" i="20"/>
  <c r="H4" i="20"/>
  <c r="K4" i="20" s="1"/>
  <c r="H30" i="20"/>
  <c r="H26" i="20"/>
  <c r="H22" i="20"/>
  <c r="H18" i="20"/>
  <c r="H14" i="20"/>
  <c r="H6" i="20"/>
  <c r="H33" i="20"/>
  <c r="H29" i="20"/>
  <c r="H25" i="20"/>
  <c r="H21" i="20"/>
  <c r="H17" i="20"/>
  <c r="H13" i="20"/>
  <c r="H9" i="20"/>
  <c r="D54" i="83"/>
  <c r="D55" i="83" s="1"/>
  <c r="D56" i="83" s="1"/>
  <c r="E5" i="21" l="1"/>
  <c r="D5" i="61"/>
  <c r="B5" i="21"/>
  <c r="H5" i="21" s="1"/>
  <c r="G5" i="21"/>
  <c r="R38" i="154"/>
  <c r="R19" i="154" s="1"/>
  <c r="S38" i="154"/>
  <c r="S19" i="154" s="1"/>
  <c r="C100" i="141"/>
  <c r="I4" i="20"/>
  <c r="W4" i="20" s="1"/>
  <c r="J4" i="20"/>
  <c r="J10" i="20"/>
  <c r="D10" i="21" s="1"/>
  <c r="D10" i="61" s="1"/>
  <c r="K10" i="20"/>
  <c r="F10" i="21" s="1"/>
  <c r="I10" i="20"/>
  <c r="W10" i="20" s="1"/>
  <c r="X10" i="20" s="1"/>
  <c r="I11" i="20"/>
  <c r="W11" i="20" s="1"/>
  <c r="X11" i="20" s="1"/>
  <c r="K11" i="20"/>
  <c r="F11" i="21" s="1"/>
  <c r="J11" i="20"/>
  <c r="D11" i="21" s="1"/>
  <c r="D11" i="61" s="1"/>
  <c r="I16" i="20"/>
  <c r="W16" i="20" s="1"/>
  <c r="X16" i="20" s="1"/>
  <c r="K16" i="20"/>
  <c r="F16" i="21" s="1"/>
  <c r="J16" i="20"/>
  <c r="D16" i="21" s="1"/>
  <c r="D16" i="61" s="1"/>
  <c r="J32" i="20"/>
  <c r="D32" i="21" s="1"/>
  <c r="D32" i="61" s="1"/>
  <c r="I32" i="20"/>
  <c r="W32" i="20" s="1"/>
  <c r="X32" i="20" s="1"/>
  <c r="K32" i="20"/>
  <c r="F32" i="21" s="1"/>
  <c r="J21" i="20"/>
  <c r="D21" i="21" s="1"/>
  <c r="D21" i="61" s="1"/>
  <c r="I21" i="20"/>
  <c r="W21" i="20" s="1"/>
  <c r="X21" i="20" s="1"/>
  <c r="K21" i="20"/>
  <c r="F21" i="21" s="1"/>
  <c r="I25" i="20"/>
  <c r="W25" i="20" s="1"/>
  <c r="X25" i="20" s="1"/>
  <c r="K25" i="20"/>
  <c r="F25" i="21" s="1"/>
  <c r="J25" i="20"/>
  <c r="D25" i="21" s="1"/>
  <c r="D25" i="61" s="1"/>
  <c r="J15" i="20"/>
  <c r="D15" i="21" s="1"/>
  <c r="D15" i="61" s="1"/>
  <c r="I15" i="20"/>
  <c r="W15" i="20" s="1"/>
  <c r="X15" i="20" s="1"/>
  <c r="K15" i="20"/>
  <c r="F15" i="21" s="1"/>
  <c r="I17" i="20"/>
  <c r="W17" i="20" s="1"/>
  <c r="X17" i="20" s="1"/>
  <c r="J17" i="20"/>
  <c r="D17" i="21" s="1"/>
  <c r="D17" i="61" s="1"/>
  <c r="K17" i="20"/>
  <c r="F17" i="21" s="1"/>
  <c r="J20" i="20"/>
  <c r="D20" i="21" s="1"/>
  <c r="D20" i="61" s="1"/>
  <c r="I20" i="20"/>
  <c r="W20" i="20" s="1"/>
  <c r="X20" i="20" s="1"/>
  <c r="K20" i="20"/>
  <c r="F20" i="21" s="1"/>
  <c r="K28" i="20"/>
  <c r="F28" i="21" s="1"/>
  <c r="J28" i="20"/>
  <c r="D28" i="21" s="1"/>
  <c r="D28" i="61" s="1"/>
  <c r="I28" i="20"/>
  <c r="W28" i="20" s="1"/>
  <c r="X28" i="20" s="1"/>
  <c r="I6" i="20"/>
  <c r="J6" i="20"/>
  <c r="D6" i="21" s="1"/>
  <c r="D6" i="61" s="1"/>
  <c r="K6" i="20"/>
  <c r="F6" i="21" s="1"/>
  <c r="K23" i="20"/>
  <c r="F23" i="21" s="1"/>
  <c r="J23" i="20"/>
  <c r="D23" i="21" s="1"/>
  <c r="D23" i="61" s="1"/>
  <c r="I23" i="20"/>
  <c r="W23" i="20" s="1"/>
  <c r="X23" i="20" s="1"/>
  <c r="K31" i="20"/>
  <c r="F31" i="21" s="1"/>
  <c r="J31" i="20"/>
  <c r="D31" i="21" s="1"/>
  <c r="D31" i="61" s="1"/>
  <c r="I31" i="20"/>
  <c r="W31" i="20" s="1"/>
  <c r="X31" i="20" s="1"/>
  <c r="I24" i="20"/>
  <c r="W24" i="20" s="1"/>
  <c r="X24" i="20" s="1"/>
  <c r="J24" i="20"/>
  <c r="D24" i="21" s="1"/>
  <c r="D24" i="61" s="1"/>
  <c r="K24" i="20"/>
  <c r="F24" i="21" s="1"/>
  <c r="I7" i="20"/>
  <c r="W7" i="20" s="1"/>
  <c r="K7" i="20"/>
  <c r="F7" i="21" s="1"/>
  <c r="J7" i="20"/>
  <c r="D7" i="21" s="1"/>
  <c r="D7" i="61" s="1"/>
  <c r="I29" i="20"/>
  <c r="W29" i="20" s="1"/>
  <c r="X29" i="20" s="1"/>
  <c r="J29" i="20"/>
  <c r="D29" i="21" s="1"/>
  <c r="D29" i="61" s="1"/>
  <c r="K29" i="20"/>
  <c r="F29" i="21" s="1"/>
  <c r="K33" i="20"/>
  <c r="F33" i="21" s="1"/>
  <c r="J33" i="20"/>
  <c r="D33" i="21" s="1"/>
  <c r="D33" i="61" s="1"/>
  <c r="I33" i="20"/>
  <c r="W33" i="20" s="1"/>
  <c r="X33" i="20" s="1"/>
  <c r="I19" i="20"/>
  <c r="W19" i="20" s="1"/>
  <c r="X19" i="20" s="1"/>
  <c r="J19" i="20"/>
  <c r="D19" i="21" s="1"/>
  <c r="D19" i="61" s="1"/>
  <c r="K19" i="20"/>
  <c r="F19" i="21" s="1"/>
  <c r="K14" i="20"/>
  <c r="F14" i="21" s="1"/>
  <c r="I14" i="20"/>
  <c r="W14" i="20" s="1"/>
  <c r="X14" i="20" s="1"/>
  <c r="J14" i="20"/>
  <c r="D14" i="21" s="1"/>
  <c r="D14" i="61" s="1"/>
  <c r="K22" i="20"/>
  <c r="F22" i="21" s="1"/>
  <c r="I22" i="20"/>
  <c r="W22" i="20" s="1"/>
  <c r="X22" i="20" s="1"/>
  <c r="J22" i="20"/>
  <c r="D22" i="21" s="1"/>
  <c r="D22" i="61" s="1"/>
  <c r="J26" i="20"/>
  <c r="D26" i="21" s="1"/>
  <c r="D26" i="61" s="1"/>
  <c r="I26" i="20"/>
  <c r="W26" i="20" s="1"/>
  <c r="X26" i="20" s="1"/>
  <c r="K26" i="20"/>
  <c r="F26" i="21" s="1"/>
  <c r="J8" i="20"/>
  <c r="D8" i="21" s="1"/>
  <c r="D8" i="61" s="1"/>
  <c r="I8" i="20"/>
  <c r="W8" i="20" s="1"/>
  <c r="X8" i="20" s="1"/>
  <c r="I13" i="20"/>
  <c r="W13" i="20" s="1"/>
  <c r="X13" i="20" s="1"/>
  <c r="K13" i="20"/>
  <c r="F13" i="21" s="1"/>
  <c r="J13" i="20"/>
  <c r="D13" i="21" s="1"/>
  <c r="D13" i="61" s="1"/>
  <c r="K18" i="20"/>
  <c r="F18" i="21" s="1"/>
  <c r="I18" i="20"/>
  <c r="W18" i="20" s="1"/>
  <c r="X18" i="20" s="1"/>
  <c r="J18" i="20"/>
  <c r="D18" i="21" s="1"/>
  <c r="D18" i="61" s="1"/>
  <c r="J27" i="20"/>
  <c r="D27" i="21" s="1"/>
  <c r="D27" i="61" s="1"/>
  <c r="I27" i="20"/>
  <c r="W27" i="20" s="1"/>
  <c r="X27" i="20" s="1"/>
  <c r="K27" i="20"/>
  <c r="F27" i="21" s="1"/>
  <c r="J9" i="20"/>
  <c r="D9" i="21" s="1"/>
  <c r="D9" i="61" s="1"/>
  <c r="I9" i="20"/>
  <c r="W9" i="20" s="1"/>
  <c r="X9" i="20" s="1"/>
  <c r="K9" i="20"/>
  <c r="F9" i="21" s="1"/>
  <c r="I30" i="20"/>
  <c r="W30" i="20" s="1"/>
  <c r="X30" i="20" s="1"/>
  <c r="J30" i="20"/>
  <c r="D30" i="21" s="1"/>
  <c r="D30" i="61" s="1"/>
  <c r="K30" i="20"/>
  <c r="F30" i="21" s="1"/>
  <c r="K12" i="20"/>
  <c r="F12" i="21" s="1"/>
  <c r="J12" i="20"/>
  <c r="D12" i="21" s="1"/>
  <c r="D12" i="61" s="1"/>
  <c r="I12" i="20"/>
  <c r="W12" i="20" s="1"/>
  <c r="X12" i="20" s="1"/>
  <c r="I97" i="140"/>
  <c r="H98" i="140"/>
  <c r="I62" i="140"/>
  <c r="H63" i="140"/>
  <c r="F98" i="131"/>
  <c r="F64" i="131"/>
  <c r="O25" i="153"/>
  <c r="I108" i="159"/>
  <c r="J108" i="159"/>
  <c r="K108" i="159"/>
  <c r="L108" i="159"/>
  <c r="M108" i="159"/>
  <c r="N108" i="159"/>
  <c r="O108" i="159"/>
  <c r="P108" i="159"/>
  <c r="Q108" i="159"/>
  <c r="R108" i="159"/>
  <c r="C27" i="159"/>
  <c r="F34" i="159"/>
  <c r="E34" i="159"/>
  <c r="D34" i="159"/>
  <c r="C34" i="159"/>
  <c r="F33" i="159"/>
  <c r="E33" i="159"/>
  <c r="D33" i="159"/>
  <c r="C33" i="159"/>
  <c r="F32" i="159"/>
  <c r="E32" i="159"/>
  <c r="D32" i="159"/>
  <c r="C32" i="159"/>
  <c r="F31" i="159"/>
  <c r="E31" i="159"/>
  <c r="D31" i="159"/>
  <c r="C31" i="159"/>
  <c r="F30" i="159"/>
  <c r="E30" i="159"/>
  <c r="D30" i="159"/>
  <c r="C30" i="159"/>
  <c r="F29" i="159"/>
  <c r="E29" i="159"/>
  <c r="D29" i="159"/>
  <c r="C29" i="159"/>
  <c r="F28" i="159"/>
  <c r="C17" i="159"/>
  <c r="D17" i="159"/>
  <c r="E17" i="159"/>
  <c r="F17" i="159"/>
  <c r="C18" i="159"/>
  <c r="D18" i="159"/>
  <c r="E18" i="159"/>
  <c r="F18" i="159"/>
  <c r="C19" i="159"/>
  <c r="D19" i="159"/>
  <c r="E19" i="159"/>
  <c r="F19" i="159"/>
  <c r="C20" i="159"/>
  <c r="D20" i="159"/>
  <c r="E20" i="159"/>
  <c r="F20" i="159"/>
  <c r="C21" i="159"/>
  <c r="D21" i="159"/>
  <c r="E21" i="159"/>
  <c r="F21" i="159"/>
  <c r="C22" i="159"/>
  <c r="D22" i="159"/>
  <c r="E22" i="159"/>
  <c r="F22" i="159"/>
  <c r="C23" i="159"/>
  <c r="D23" i="159"/>
  <c r="E23" i="159"/>
  <c r="F23" i="159"/>
  <c r="C24" i="159"/>
  <c r="D24" i="159"/>
  <c r="E24" i="159"/>
  <c r="F24" i="159"/>
  <c r="C25" i="159"/>
  <c r="D25" i="159"/>
  <c r="E25" i="159"/>
  <c r="F25" i="159"/>
  <c r="C26" i="159"/>
  <c r="D26" i="159"/>
  <c r="E26" i="159"/>
  <c r="F26" i="159"/>
  <c r="D27" i="159"/>
  <c r="E27" i="159"/>
  <c r="F27" i="159"/>
  <c r="C28" i="159"/>
  <c r="D28" i="159"/>
  <c r="E28" i="159"/>
  <c r="D13" i="159"/>
  <c r="E9" i="159" s="1"/>
  <c r="C13" i="159"/>
  <c r="F133" i="158"/>
  <c r="F132" i="158"/>
  <c r="F131" i="158"/>
  <c r="E136" i="158"/>
  <c r="F134" i="158" s="1"/>
  <c r="F128" i="158"/>
  <c r="G125" i="158" s="1"/>
  <c r="E128" i="158"/>
  <c r="AP110" i="158"/>
  <c r="AO110" i="158"/>
  <c r="AL110" i="158"/>
  <c r="AK110" i="158"/>
  <c r="AH110" i="158"/>
  <c r="AG110" i="158"/>
  <c r="AD110" i="158"/>
  <c r="AC110" i="158"/>
  <c r="Z110" i="158"/>
  <c r="Y110" i="158"/>
  <c r="V110" i="158"/>
  <c r="U110" i="158"/>
  <c r="Q110" i="158"/>
  <c r="R110" i="158"/>
  <c r="M110" i="158"/>
  <c r="I110" i="158"/>
  <c r="N110" i="158"/>
  <c r="J110" i="158"/>
  <c r="B6" i="21" l="1"/>
  <c r="B6" i="61" s="1"/>
  <c r="W6" i="20"/>
  <c r="B26" i="21"/>
  <c r="B26" i="61" s="1"/>
  <c r="B20" i="21"/>
  <c r="B20" i="61" s="1"/>
  <c r="B21" i="21"/>
  <c r="B21" i="61" s="1"/>
  <c r="B23" i="21"/>
  <c r="B23" i="61" s="1"/>
  <c r="B17" i="21"/>
  <c r="B17" i="61" s="1"/>
  <c r="B14" i="21"/>
  <c r="B14" i="61" s="1"/>
  <c r="B15" i="21"/>
  <c r="B15" i="61" s="1"/>
  <c r="B12" i="21"/>
  <c r="B12" i="61" s="1"/>
  <c r="B32" i="21"/>
  <c r="B32" i="61" s="1"/>
  <c r="B7" i="21"/>
  <c r="B7" i="61" s="1"/>
  <c r="B16" i="21"/>
  <c r="B16" i="61" s="1"/>
  <c r="B30" i="21"/>
  <c r="B30" i="61" s="1"/>
  <c r="B13" i="21"/>
  <c r="B13" i="61" s="1"/>
  <c r="B28" i="21"/>
  <c r="B28" i="61" s="1"/>
  <c r="B22" i="21"/>
  <c r="B22" i="61" s="1"/>
  <c r="B8" i="21"/>
  <c r="B8" i="61" s="1"/>
  <c r="B9" i="21"/>
  <c r="B9" i="61" s="1"/>
  <c r="B19" i="21"/>
  <c r="B19" i="61" s="1"/>
  <c r="C20" i="61" s="1"/>
  <c r="B24" i="21"/>
  <c r="B24" i="61" s="1"/>
  <c r="B25" i="21"/>
  <c r="B25" i="61" s="1"/>
  <c r="C26" i="61" s="1"/>
  <c r="B11" i="21"/>
  <c r="B11" i="61" s="1"/>
  <c r="B27" i="21"/>
  <c r="B27" i="61" s="1"/>
  <c r="C27" i="61" s="1"/>
  <c r="B18" i="21"/>
  <c r="B18" i="61" s="1"/>
  <c r="B29" i="21"/>
  <c r="B29" i="61" s="1"/>
  <c r="B33" i="21"/>
  <c r="B33" i="61" s="1"/>
  <c r="C34" i="61" s="1"/>
  <c r="B31" i="21"/>
  <c r="B31" i="61" s="1"/>
  <c r="B10" i="21"/>
  <c r="B10" i="61" s="1"/>
  <c r="D5" i="54"/>
  <c r="B5" i="61"/>
  <c r="E9" i="21"/>
  <c r="G27" i="21"/>
  <c r="G24" i="21"/>
  <c r="E27" i="21"/>
  <c r="E24" i="21"/>
  <c r="G6" i="21"/>
  <c r="E6" i="21"/>
  <c r="E11" i="21"/>
  <c r="E19" i="21"/>
  <c r="E22" i="21"/>
  <c r="E7" i="21"/>
  <c r="U38" i="154"/>
  <c r="U19" i="154" s="1"/>
  <c r="G19" i="21"/>
  <c r="G11" i="21"/>
  <c r="T38" i="154"/>
  <c r="T19" i="154" s="1"/>
  <c r="G7" i="21"/>
  <c r="E15" i="21"/>
  <c r="E28" i="21"/>
  <c r="G25" i="21"/>
  <c r="E8" i="21"/>
  <c r="G28" i="21"/>
  <c r="G20" i="21"/>
  <c r="G21" i="21"/>
  <c r="E31" i="21"/>
  <c r="G31" i="21"/>
  <c r="G17" i="21"/>
  <c r="G32" i="21"/>
  <c r="E12" i="21"/>
  <c r="E23" i="21"/>
  <c r="G14" i="21"/>
  <c r="H13" i="21"/>
  <c r="H7" i="21"/>
  <c r="D6" i="54"/>
  <c r="H6" i="21"/>
  <c r="D16" i="54"/>
  <c r="E25" i="21"/>
  <c r="D26" i="54"/>
  <c r="H26" i="21"/>
  <c r="E33" i="21"/>
  <c r="E34" i="21"/>
  <c r="D20" i="54"/>
  <c r="H20" i="21"/>
  <c r="D21" i="54"/>
  <c r="H21" i="21"/>
  <c r="G10" i="21"/>
  <c r="G26" i="21"/>
  <c r="D10" i="54"/>
  <c r="E26" i="21"/>
  <c r="G33" i="21"/>
  <c r="G34" i="21"/>
  <c r="E20" i="21"/>
  <c r="E21" i="21"/>
  <c r="E10" i="21"/>
  <c r="D24" i="54"/>
  <c r="H24" i="21"/>
  <c r="H12" i="21"/>
  <c r="D12" i="54"/>
  <c r="G29" i="21"/>
  <c r="H23" i="21"/>
  <c r="D23" i="54"/>
  <c r="E30" i="21"/>
  <c r="E29" i="21"/>
  <c r="E18" i="21"/>
  <c r="E17" i="21"/>
  <c r="G12" i="21"/>
  <c r="G18" i="21"/>
  <c r="G22" i="21"/>
  <c r="G23" i="21"/>
  <c r="H17" i="21"/>
  <c r="E32" i="21"/>
  <c r="G30" i="21"/>
  <c r="E13" i="21"/>
  <c r="E14" i="21"/>
  <c r="G15" i="21"/>
  <c r="E16" i="21"/>
  <c r="F8" i="21"/>
  <c r="H33" i="21"/>
  <c r="G13" i="21"/>
  <c r="D15" i="54"/>
  <c r="H15" i="21"/>
  <c r="G16" i="21"/>
  <c r="C101" i="141"/>
  <c r="I98" i="140"/>
  <c r="H99" i="140"/>
  <c r="I63" i="140"/>
  <c r="H64" i="140"/>
  <c r="F99" i="131"/>
  <c r="F65" i="131"/>
  <c r="H6" i="140"/>
  <c r="H7" i="140" s="1"/>
  <c r="H8" i="140" s="1"/>
  <c r="H9" i="140" s="1"/>
  <c r="H10" i="140" s="1"/>
  <c r="H11" i="140" s="1"/>
  <c r="H12" i="140" s="1"/>
  <c r="H13" i="140" s="1"/>
  <c r="H14" i="140" s="1"/>
  <c r="H15" i="140" s="1"/>
  <c r="H16" i="140" s="1"/>
  <c r="H17" i="140" s="1"/>
  <c r="H18" i="140" s="1"/>
  <c r="H19" i="140" s="1"/>
  <c r="H20" i="140" s="1"/>
  <c r="H21" i="140" s="1"/>
  <c r="H22" i="140" s="1"/>
  <c r="H23" i="140" s="1"/>
  <c r="H24" i="140" s="1"/>
  <c r="H25" i="140" s="1"/>
  <c r="H26" i="140" s="1"/>
  <c r="H27" i="140" s="1"/>
  <c r="H28" i="140" s="1"/>
  <c r="H29" i="140" s="1"/>
  <c r="H30" i="140" s="1"/>
  <c r="H31" i="140" s="1"/>
  <c r="H32" i="140" s="1"/>
  <c r="H33" i="140" s="1"/>
  <c r="H34" i="140" s="1"/>
  <c r="H35" i="140" s="1"/>
  <c r="P25" i="153"/>
  <c r="G118" i="158"/>
  <c r="G122" i="158"/>
  <c r="G126" i="158"/>
  <c r="G119" i="158"/>
  <c r="G123" i="158"/>
  <c r="G127" i="158"/>
  <c r="D35" i="159"/>
  <c r="G120" i="158"/>
  <c r="G124" i="158"/>
  <c r="G121" i="158"/>
  <c r="F35" i="159"/>
  <c r="E35" i="159"/>
  <c r="C35" i="159"/>
  <c r="E6" i="159"/>
  <c r="E4" i="159"/>
  <c r="E10" i="159"/>
  <c r="E8" i="159"/>
  <c r="E12" i="159"/>
  <c r="E3" i="159"/>
  <c r="E7" i="159"/>
  <c r="E11" i="159"/>
  <c r="E5" i="159"/>
  <c r="C18" i="61" l="1"/>
  <c r="C15" i="61"/>
  <c r="C21" i="61"/>
  <c r="D13" i="54"/>
  <c r="C16" i="61"/>
  <c r="C23" i="61"/>
  <c r="H32" i="21"/>
  <c r="C8" i="61"/>
  <c r="D11" i="54"/>
  <c r="D32" i="54"/>
  <c r="C22" i="61"/>
  <c r="H18" i="21"/>
  <c r="H14" i="21"/>
  <c r="C9" i="61"/>
  <c r="D22" i="54"/>
  <c r="D33" i="54"/>
  <c r="D28" i="54"/>
  <c r="C29" i="61"/>
  <c r="C13" i="61"/>
  <c r="D27" i="54"/>
  <c r="D9" i="54"/>
  <c r="C30" i="61"/>
  <c r="C24" i="61"/>
  <c r="H27" i="21"/>
  <c r="C31" i="61"/>
  <c r="D25" i="54"/>
  <c r="H9" i="21"/>
  <c r="H31" i="21"/>
  <c r="C10" i="61"/>
  <c r="H25" i="21"/>
  <c r="C33" i="61"/>
  <c r="C17" i="61"/>
  <c r="H28" i="21"/>
  <c r="H11" i="21"/>
  <c r="H22" i="21"/>
  <c r="D14" i="54"/>
  <c r="H29" i="21"/>
  <c r="C11" i="61"/>
  <c r="D30" i="54"/>
  <c r="H10" i="21"/>
  <c r="C32" i="61"/>
  <c r="D31" i="54"/>
  <c r="D7" i="54"/>
  <c r="H19" i="21"/>
  <c r="D17" i="54"/>
  <c r="H30" i="21"/>
  <c r="C25" i="61"/>
  <c r="C19" i="61"/>
  <c r="D19" i="54"/>
  <c r="D29" i="54"/>
  <c r="C14" i="61"/>
  <c r="C12" i="61"/>
  <c r="C28" i="61"/>
  <c r="D18" i="54"/>
  <c r="H16" i="21"/>
  <c r="C6" i="61"/>
  <c r="G8" i="21"/>
  <c r="V38" i="154"/>
  <c r="V19" i="154" s="1"/>
  <c r="W38" i="154"/>
  <c r="W19" i="154" s="1"/>
  <c r="E35" i="21"/>
  <c r="H8" i="21"/>
  <c r="D8" i="54"/>
  <c r="G9" i="21"/>
  <c r="C102" i="141"/>
  <c r="I99" i="140"/>
  <c r="H100" i="140"/>
  <c r="I64" i="140"/>
  <c r="H65" i="140"/>
  <c r="F100" i="131"/>
  <c r="F66" i="131"/>
  <c r="Q25" i="153"/>
  <c r="G128" i="158"/>
  <c r="E13" i="159"/>
  <c r="AV4" i="158"/>
  <c r="G35" i="21" l="1"/>
  <c r="Y38" i="154"/>
  <c r="Y19" i="154" s="1"/>
  <c r="X38" i="154"/>
  <c r="X19" i="154" s="1"/>
  <c r="C103" i="141"/>
  <c r="I100" i="140"/>
  <c r="H101" i="140"/>
  <c r="I65" i="140"/>
  <c r="H66" i="140"/>
  <c r="F101" i="131"/>
  <c r="F67" i="131"/>
  <c r="R25" i="153"/>
  <c r="E14" i="58" l="1"/>
  <c r="F14" i="58"/>
  <c r="AA38" i="154"/>
  <c r="AA19" i="154" s="1"/>
  <c r="Z38" i="154"/>
  <c r="Z19" i="154" s="1"/>
  <c r="H102" i="140"/>
  <c r="I101" i="140"/>
  <c r="H67" i="140"/>
  <c r="I66" i="140"/>
  <c r="F102" i="131"/>
  <c r="F68" i="131"/>
  <c r="S25" i="153"/>
  <c r="AB38" i="154" l="1"/>
  <c r="AB19" i="154" s="1"/>
  <c r="AC38" i="154"/>
  <c r="AC19" i="154" s="1"/>
  <c r="H103" i="140"/>
  <c r="I102" i="140"/>
  <c r="H68" i="140"/>
  <c r="I67" i="140"/>
  <c r="T25" i="153"/>
  <c r="AD38" i="154" l="1"/>
  <c r="AD19" i="154" s="1"/>
  <c r="AE38" i="154"/>
  <c r="AE19" i="154" s="1"/>
  <c r="I103" i="140"/>
  <c r="H104" i="140"/>
  <c r="I68" i="140"/>
  <c r="H69" i="140"/>
  <c r="U25" i="153"/>
  <c r="I104" i="140" l="1"/>
  <c r="H105" i="140"/>
  <c r="I105" i="140" s="1"/>
  <c r="I69" i="140"/>
  <c r="H70" i="140"/>
  <c r="I70" i="140" s="1"/>
  <c r="V25" i="153"/>
  <c r="M4" i="20"/>
  <c r="E73" i="154"/>
  <c r="E74" i="154"/>
  <c r="E71" i="154"/>
  <c r="O41" i="145"/>
  <c r="P41" i="145" s="1"/>
  <c r="O40" i="145"/>
  <c r="P40" i="145" s="1"/>
  <c r="O39" i="145"/>
  <c r="P39" i="145" s="1"/>
  <c r="O35" i="145"/>
  <c r="P35" i="145" s="1"/>
  <c r="O33" i="145"/>
  <c r="P33" i="145" s="1"/>
  <c r="O32" i="145"/>
  <c r="P32" i="145" s="1"/>
  <c r="O31" i="145"/>
  <c r="P31" i="145" s="1"/>
  <c r="O27" i="145"/>
  <c r="P27" i="145" s="1"/>
  <c r="O24" i="145"/>
  <c r="P24" i="145" s="1"/>
  <c r="O23" i="145"/>
  <c r="P23" i="145" s="1"/>
  <c r="O20" i="145"/>
  <c r="P20" i="145" s="1"/>
  <c r="B28" i="125" s="1"/>
  <c r="O3" i="145"/>
  <c r="P3" i="145" s="1"/>
  <c r="B14" i="125" s="1"/>
  <c r="O6" i="145"/>
  <c r="P6" i="145" s="1"/>
  <c r="B16" i="125" s="1"/>
  <c r="O7" i="145"/>
  <c r="P7" i="145" s="1"/>
  <c r="B17" i="125" s="1"/>
  <c r="O11" i="145"/>
  <c r="P11" i="145" s="1"/>
  <c r="B20" i="125" s="1"/>
  <c r="O14" i="145"/>
  <c r="P14" i="145" s="1"/>
  <c r="O2" i="145"/>
  <c r="P2" i="145" s="1"/>
  <c r="B39" i="125" l="1"/>
  <c r="B38" i="125"/>
  <c r="B13" i="125"/>
  <c r="E46" i="154"/>
  <c r="E57" i="154" s="1"/>
  <c r="M46" i="154"/>
  <c r="M57" i="154" s="1"/>
  <c r="U46" i="154"/>
  <c r="U57" i="154" s="1"/>
  <c r="AC46" i="154"/>
  <c r="AC57" i="154" s="1"/>
  <c r="N46" i="154"/>
  <c r="N57" i="154" s="1"/>
  <c r="AD46" i="154"/>
  <c r="AD57" i="154" s="1"/>
  <c r="G46" i="154"/>
  <c r="G57" i="154" s="1"/>
  <c r="O46" i="154"/>
  <c r="O57" i="154" s="1"/>
  <c r="W46" i="154"/>
  <c r="W57" i="154" s="1"/>
  <c r="AE46" i="154"/>
  <c r="AE57" i="154" s="1"/>
  <c r="H46" i="154"/>
  <c r="H57" i="154" s="1"/>
  <c r="P46" i="154"/>
  <c r="P57" i="154" s="1"/>
  <c r="X46" i="154"/>
  <c r="X57" i="154" s="1"/>
  <c r="B46" i="154"/>
  <c r="B57" i="154" s="1"/>
  <c r="I46" i="154"/>
  <c r="I57" i="154" s="1"/>
  <c r="Q46" i="154"/>
  <c r="Q57" i="154" s="1"/>
  <c r="Y46" i="154"/>
  <c r="Y57" i="154" s="1"/>
  <c r="R46" i="154"/>
  <c r="R57" i="154" s="1"/>
  <c r="J46" i="154"/>
  <c r="J57" i="154" s="1"/>
  <c r="Z46" i="154"/>
  <c r="Z57" i="154" s="1"/>
  <c r="V46" i="154"/>
  <c r="V57" i="154" s="1"/>
  <c r="C46" i="154"/>
  <c r="C57" i="154" s="1"/>
  <c r="K46" i="154"/>
  <c r="K57" i="154" s="1"/>
  <c r="S46" i="154"/>
  <c r="S57" i="154" s="1"/>
  <c r="AA46" i="154"/>
  <c r="AA57" i="154" s="1"/>
  <c r="F46" i="154"/>
  <c r="F57" i="154" s="1"/>
  <c r="D46" i="154"/>
  <c r="D57" i="154" s="1"/>
  <c r="L46" i="154"/>
  <c r="L57" i="154" s="1"/>
  <c r="T46" i="154"/>
  <c r="T57" i="154" s="1"/>
  <c r="AB46" i="154"/>
  <c r="AB57" i="154" s="1"/>
  <c r="O4" i="20"/>
  <c r="Q4" i="20"/>
  <c r="T4" i="20"/>
  <c r="P4" i="20"/>
  <c r="S4" i="20"/>
  <c r="R4" i="20"/>
  <c r="H4" i="160"/>
  <c r="O5" i="21" s="1"/>
  <c r="M5" i="20"/>
  <c r="W25" i="153"/>
  <c r="AQ4" i="158"/>
  <c r="AR4" i="158"/>
  <c r="AS4" i="158"/>
  <c r="AT4" i="158"/>
  <c r="AW4" i="158"/>
  <c r="AQ5" i="158"/>
  <c r="AR5" i="158"/>
  <c r="AS5" i="158"/>
  <c r="AT5" i="158"/>
  <c r="AV5" i="158"/>
  <c r="AW5" i="158"/>
  <c r="AQ6" i="158"/>
  <c r="AR6" i="158"/>
  <c r="AS6" i="158"/>
  <c r="AT6" i="158"/>
  <c r="AV6" i="158"/>
  <c r="AW6" i="158"/>
  <c r="AQ7" i="158"/>
  <c r="AR7" i="158"/>
  <c r="AS7" i="158"/>
  <c r="AT7" i="158"/>
  <c r="AV7" i="158"/>
  <c r="AW7" i="158"/>
  <c r="AQ8" i="158"/>
  <c r="AR8" i="158"/>
  <c r="AS8" i="158"/>
  <c r="AT8" i="158"/>
  <c r="AV8" i="158"/>
  <c r="AW8" i="158"/>
  <c r="AQ9" i="158"/>
  <c r="AR9" i="158"/>
  <c r="AS9" i="158"/>
  <c r="AT9" i="158"/>
  <c r="AV9" i="158"/>
  <c r="AW9" i="158"/>
  <c r="AQ10" i="158"/>
  <c r="AR10" i="158"/>
  <c r="AS10" i="158"/>
  <c r="AT10" i="158"/>
  <c r="AV10" i="158"/>
  <c r="AW10" i="158"/>
  <c r="AQ11" i="158"/>
  <c r="AR11" i="158"/>
  <c r="AS11" i="158"/>
  <c r="AT11" i="158"/>
  <c r="AV11" i="158"/>
  <c r="AW11" i="158"/>
  <c r="AQ12" i="158"/>
  <c r="AR12" i="158"/>
  <c r="AS12" i="158"/>
  <c r="AT12" i="158"/>
  <c r="AV12" i="158"/>
  <c r="AW12" i="158"/>
  <c r="AQ13" i="158"/>
  <c r="AR13" i="158"/>
  <c r="AS13" i="158"/>
  <c r="AT13" i="158"/>
  <c r="AV13" i="158"/>
  <c r="AW13" i="158"/>
  <c r="AQ14" i="158"/>
  <c r="AR14" i="158"/>
  <c r="AS14" i="158"/>
  <c r="AT14" i="158"/>
  <c r="AV14" i="158"/>
  <c r="AW14" i="158"/>
  <c r="AQ15" i="158"/>
  <c r="AR15" i="158"/>
  <c r="AS15" i="158"/>
  <c r="AT15" i="158"/>
  <c r="AV15" i="158"/>
  <c r="AW15" i="158"/>
  <c r="AQ16" i="158"/>
  <c r="AR16" i="158"/>
  <c r="AS16" i="158"/>
  <c r="AT16" i="158"/>
  <c r="AV16" i="158"/>
  <c r="AW16" i="158"/>
  <c r="AQ17" i="158"/>
  <c r="AR17" i="158"/>
  <c r="AS17" i="158"/>
  <c r="AT17" i="158"/>
  <c r="AV17" i="158"/>
  <c r="AW17" i="158"/>
  <c r="AQ18" i="158"/>
  <c r="AR18" i="158"/>
  <c r="AS18" i="158"/>
  <c r="AT18" i="158"/>
  <c r="AV18" i="158"/>
  <c r="AW18" i="158"/>
  <c r="AQ19" i="158"/>
  <c r="AR19" i="158"/>
  <c r="AS19" i="158"/>
  <c r="AT19" i="158"/>
  <c r="AV19" i="158"/>
  <c r="AW19" i="158"/>
  <c r="AQ20" i="158"/>
  <c r="AR20" i="158"/>
  <c r="AS20" i="158"/>
  <c r="AT20" i="158"/>
  <c r="AV20" i="158"/>
  <c r="AW20" i="158"/>
  <c r="AQ21" i="158"/>
  <c r="AR21" i="158"/>
  <c r="AS21" i="158"/>
  <c r="AT21" i="158"/>
  <c r="AV21" i="158"/>
  <c r="AW21" i="158"/>
  <c r="AQ22" i="158"/>
  <c r="AR22" i="158"/>
  <c r="AS22" i="158"/>
  <c r="AT22" i="158"/>
  <c r="AV22" i="158"/>
  <c r="AW22" i="158"/>
  <c r="AQ23" i="158"/>
  <c r="AR23" i="158"/>
  <c r="AS23" i="158"/>
  <c r="AT23" i="158"/>
  <c r="AV23" i="158"/>
  <c r="AW23" i="158"/>
  <c r="AQ24" i="158"/>
  <c r="AR24" i="158"/>
  <c r="AS24" i="158"/>
  <c r="AT24" i="158"/>
  <c r="AV24" i="158"/>
  <c r="AW24" i="158"/>
  <c r="AQ25" i="158"/>
  <c r="AR25" i="158"/>
  <c r="AS25" i="158"/>
  <c r="AT25" i="158"/>
  <c r="AV25" i="158"/>
  <c r="AW25" i="158"/>
  <c r="AQ26" i="158"/>
  <c r="AR26" i="158"/>
  <c r="AS26" i="158"/>
  <c r="AT26" i="158"/>
  <c r="AV26" i="158"/>
  <c r="AW26" i="158"/>
  <c r="AQ27" i="158"/>
  <c r="AR27" i="158"/>
  <c r="AS27" i="158"/>
  <c r="AT27" i="158"/>
  <c r="AV27" i="158"/>
  <c r="AW27" i="158"/>
  <c r="AQ28" i="158"/>
  <c r="AR28" i="158"/>
  <c r="AS28" i="158"/>
  <c r="AT28" i="158"/>
  <c r="AV28" i="158"/>
  <c r="AW28" i="158"/>
  <c r="AQ29" i="158"/>
  <c r="AR29" i="158"/>
  <c r="AS29" i="158"/>
  <c r="AT29" i="158"/>
  <c r="AV29" i="158"/>
  <c r="AW29" i="158"/>
  <c r="AQ30" i="158"/>
  <c r="AR30" i="158"/>
  <c r="AS30" i="158"/>
  <c r="AT30" i="158"/>
  <c r="AV30" i="158"/>
  <c r="AW30" i="158"/>
  <c r="AQ31" i="158"/>
  <c r="AR31" i="158"/>
  <c r="AS31" i="158"/>
  <c r="AT31" i="158"/>
  <c r="AV31" i="158"/>
  <c r="AW31" i="158"/>
  <c r="AQ32" i="158"/>
  <c r="AR32" i="158"/>
  <c r="AS32" i="158"/>
  <c r="AT32" i="158"/>
  <c r="AV32" i="158"/>
  <c r="AW32" i="158"/>
  <c r="AQ33" i="158"/>
  <c r="AR33" i="158"/>
  <c r="AS33" i="158"/>
  <c r="AT33" i="158"/>
  <c r="AV33" i="158"/>
  <c r="AW33" i="158"/>
  <c r="AQ34" i="158"/>
  <c r="AR34" i="158"/>
  <c r="AS34" i="158"/>
  <c r="AT34" i="158"/>
  <c r="AV34" i="158"/>
  <c r="AW34" i="158"/>
  <c r="AQ35" i="158"/>
  <c r="AR35" i="158"/>
  <c r="AS35" i="158"/>
  <c r="AT35" i="158"/>
  <c r="AV35" i="158"/>
  <c r="AW35" i="158"/>
  <c r="AQ36" i="158"/>
  <c r="AR36" i="158"/>
  <c r="AS36" i="158"/>
  <c r="AT36" i="158"/>
  <c r="AV36" i="158"/>
  <c r="AW36" i="158"/>
  <c r="AQ37" i="158"/>
  <c r="AR37" i="158"/>
  <c r="AS37" i="158"/>
  <c r="AT37" i="158"/>
  <c r="AV37" i="158"/>
  <c r="AW37" i="158"/>
  <c r="AQ38" i="158"/>
  <c r="AR38" i="158"/>
  <c r="AS38" i="158"/>
  <c r="AT38" i="158"/>
  <c r="AV38" i="158"/>
  <c r="AW38" i="158"/>
  <c r="AQ39" i="158"/>
  <c r="AR39" i="158"/>
  <c r="AS39" i="158"/>
  <c r="AT39" i="158"/>
  <c r="AV39" i="158"/>
  <c r="AW39" i="158"/>
  <c r="AQ40" i="158"/>
  <c r="AR40" i="158"/>
  <c r="AS40" i="158"/>
  <c r="AT40" i="158"/>
  <c r="AV40" i="158"/>
  <c r="AW40" i="158"/>
  <c r="AQ41" i="158"/>
  <c r="AR41" i="158"/>
  <c r="AS41" i="158"/>
  <c r="AT41" i="158"/>
  <c r="AV41" i="158"/>
  <c r="AW41" i="158"/>
  <c r="AQ42" i="158"/>
  <c r="AR42" i="158"/>
  <c r="AS42" i="158"/>
  <c r="AT42" i="158"/>
  <c r="AV42" i="158"/>
  <c r="AW42" i="158"/>
  <c r="AQ43" i="158"/>
  <c r="AR43" i="158"/>
  <c r="AS43" i="158"/>
  <c r="AT43" i="158"/>
  <c r="AV43" i="158"/>
  <c r="AW43" i="158"/>
  <c r="AQ44" i="158"/>
  <c r="AR44" i="158"/>
  <c r="AS44" i="158"/>
  <c r="AT44" i="158"/>
  <c r="AV44" i="158"/>
  <c r="AW44" i="158"/>
  <c r="AQ45" i="158"/>
  <c r="AR45" i="158"/>
  <c r="AS45" i="158"/>
  <c r="AT45" i="158"/>
  <c r="AV45" i="158"/>
  <c r="AW45" i="158"/>
  <c r="AQ46" i="158"/>
  <c r="AR46" i="158"/>
  <c r="AS46" i="158"/>
  <c r="AT46" i="158"/>
  <c r="AV46" i="158"/>
  <c r="AW46" i="158"/>
  <c r="AQ47" i="158"/>
  <c r="AR47" i="158"/>
  <c r="AS47" i="158"/>
  <c r="AT47" i="158"/>
  <c r="AV47" i="158"/>
  <c r="AW47" i="158"/>
  <c r="AQ48" i="158"/>
  <c r="AR48" i="158"/>
  <c r="AS48" i="158"/>
  <c r="AT48" i="158"/>
  <c r="AV48" i="158"/>
  <c r="AW48" i="158"/>
  <c r="AQ49" i="158"/>
  <c r="AR49" i="158"/>
  <c r="AS49" i="158"/>
  <c r="AT49" i="158"/>
  <c r="AV49" i="158"/>
  <c r="AW49" i="158"/>
  <c r="AQ50" i="158"/>
  <c r="AR50" i="158"/>
  <c r="AS50" i="158"/>
  <c r="AT50" i="158"/>
  <c r="AV50" i="158"/>
  <c r="AW50" i="158"/>
  <c r="AQ51" i="158"/>
  <c r="AR51" i="158"/>
  <c r="AS51" i="158"/>
  <c r="AT51" i="158"/>
  <c r="AV51" i="158"/>
  <c r="AW51" i="158"/>
  <c r="AQ52" i="158"/>
  <c r="AR52" i="158"/>
  <c r="AS52" i="158"/>
  <c r="AT52" i="158"/>
  <c r="AV52" i="158"/>
  <c r="AW52" i="158"/>
  <c r="AQ53" i="158"/>
  <c r="AR53" i="158"/>
  <c r="AS53" i="158"/>
  <c r="AT53" i="158"/>
  <c r="AV53" i="158"/>
  <c r="AW53" i="158"/>
  <c r="AQ54" i="158"/>
  <c r="AR54" i="158"/>
  <c r="AS54" i="158"/>
  <c r="AT54" i="158"/>
  <c r="AV54" i="158"/>
  <c r="AW54" i="158"/>
  <c r="AQ55" i="158"/>
  <c r="AR55" i="158"/>
  <c r="AS55" i="158"/>
  <c r="AT55" i="158"/>
  <c r="AV55" i="158"/>
  <c r="AW55" i="158"/>
  <c r="AQ56" i="158"/>
  <c r="AR56" i="158"/>
  <c r="AS56" i="158"/>
  <c r="AT56" i="158"/>
  <c r="AV56" i="158"/>
  <c r="AW56" i="158"/>
  <c r="AQ57" i="158"/>
  <c r="AR57" i="158"/>
  <c r="AS57" i="158"/>
  <c r="AT57" i="158"/>
  <c r="AV57" i="158"/>
  <c r="AW57" i="158"/>
  <c r="AQ58" i="158"/>
  <c r="AR58" i="158"/>
  <c r="AS58" i="158"/>
  <c r="AT58" i="158"/>
  <c r="AV58" i="158"/>
  <c r="AW58" i="158"/>
  <c r="AQ59" i="158"/>
  <c r="AR59" i="158"/>
  <c r="AS59" i="158"/>
  <c r="AT59" i="158"/>
  <c r="AV59" i="158"/>
  <c r="AW59" i="158"/>
  <c r="AQ60" i="158"/>
  <c r="AR60" i="158"/>
  <c r="AS60" i="158"/>
  <c r="AT60" i="158"/>
  <c r="AV60" i="158"/>
  <c r="AW60" i="158"/>
  <c r="AQ61" i="158"/>
  <c r="AR61" i="158"/>
  <c r="AS61" i="158"/>
  <c r="AT61" i="158"/>
  <c r="AV61" i="158"/>
  <c r="AW61" i="158"/>
  <c r="AQ62" i="158"/>
  <c r="AR62" i="158"/>
  <c r="AS62" i="158"/>
  <c r="AT62" i="158"/>
  <c r="AV62" i="158"/>
  <c r="AW62" i="158"/>
  <c r="AQ63" i="158"/>
  <c r="AR63" i="158"/>
  <c r="AS63" i="158"/>
  <c r="AT63" i="158"/>
  <c r="AV63" i="158"/>
  <c r="AW63" i="158"/>
  <c r="AQ64" i="158"/>
  <c r="AR64" i="158"/>
  <c r="AS64" i="158"/>
  <c r="AT64" i="158"/>
  <c r="AV64" i="158"/>
  <c r="AW64" i="158"/>
  <c r="AQ65" i="158"/>
  <c r="AR65" i="158"/>
  <c r="AS65" i="158"/>
  <c r="AT65" i="158"/>
  <c r="AV65" i="158"/>
  <c r="AW65" i="158"/>
  <c r="AQ66" i="158"/>
  <c r="AR66" i="158"/>
  <c r="AS66" i="158"/>
  <c r="AT66" i="158"/>
  <c r="AV66" i="158"/>
  <c r="AW66" i="158"/>
  <c r="AQ67" i="158"/>
  <c r="AR67" i="158"/>
  <c r="AS67" i="158"/>
  <c r="AT67" i="158"/>
  <c r="AV67" i="158"/>
  <c r="AW67" i="158"/>
  <c r="AQ68" i="158"/>
  <c r="AR68" i="158"/>
  <c r="AS68" i="158"/>
  <c r="AT68" i="158"/>
  <c r="AV68" i="158"/>
  <c r="AW68" i="158"/>
  <c r="AQ69" i="158"/>
  <c r="AR69" i="158"/>
  <c r="AS69" i="158"/>
  <c r="AT69" i="158"/>
  <c r="AV69" i="158"/>
  <c r="AW69" i="158"/>
  <c r="AQ70" i="158"/>
  <c r="AR70" i="158"/>
  <c r="AS70" i="158"/>
  <c r="AT70" i="158"/>
  <c r="AV70" i="158"/>
  <c r="AW70" i="158"/>
  <c r="AQ71" i="158"/>
  <c r="AR71" i="158"/>
  <c r="AS71" i="158"/>
  <c r="AT71" i="158"/>
  <c r="AV71" i="158"/>
  <c r="AW71" i="158"/>
  <c r="AQ72" i="158"/>
  <c r="AR72" i="158"/>
  <c r="AS72" i="158"/>
  <c r="AT72" i="158"/>
  <c r="AV72" i="158"/>
  <c r="AW72" i="158"/>
  <c r="AQ73" i="158"/>
  <c r="AR73" i="158"/>
  <c r="AS73" i="158"/>
  <c r="AT73" i="158"/>
  <c r="AV73" i="158"/>
  <c r="AW73" i="158"/>
  <c r="AQ74" i="158"/>
  <c r="AR74" i="158"/>
  <c r="AS74" i="158"/>
  <c r="AT74" i="158"/>
  <c r="AV74" i="158"/>
  <c r="AW74" i="158"/>
  <c r="AQ75" i="158"/>
  <c r="AR75" i="158"/>
  <c r="AS75" i="158"/>
  <c r="AT75" i="158"/>
  <c r="AV75" i="158"/>
  <c r="AW75" i="158"/>
  <c r="AQ76" i="158"/>
  <c r="AR76" i="158"/>
  <c r="AS76" i="158"/>
  <c r="AT76" i="158"/>
  <c r="AV76" i="158"/>
  <c r="AW76" i="158"/>
  <c r="AQ77" i="158"/>
  <c r="AR77" i="158"/>
  <c r="AS77" i="158"/>
  <c r="AT77" i="158"/>
  <c r="AV77" i="158"/>
  <c r="AW77" i="158"/>
  <c r="AQ78" i="158"/>
  <c r="AR78" i="158"/>
  <c r="AS78" i="158"/>
  <c r="AT78" i="158"/>
  <c r="AV78" i="158"/>
  <c r="AW78" i="158"/>
  <c r="AQ79" i="158"/>
  <c r="AR79" i="158"/>
  <c r="AS79" i="158"/>
  <c r="AT79" i="158"/>
  <c r="AV79" i="158"/>
  <c r="AW79" i="158"/>
  <c r="AQ80" i="158"/>
  <c r="AR80" i="158"/>
  <c r="AS80" i="158"/>
  <c r="AT80" i="158"/>
  <c r="AV80" i="158"/>
  <c r="AW80" i="158"/>
  <c r="AQ81" i="158"/>
  <c r="AR81" i="158"/>
  <c r="AS81" i="158"/>
  <c r="AT81" i="158"/>
  <c r="AV81" i="158"/>
  <c r="AW81" i="158"/>
  <c r="AQ82" i="158"/>
  <c r="AR82" i="158"/>
  <c r="AS82" i="158"/>
  <c r="AT82" i="158"/>
  <c r="AV82" i="158"/>
  <c r="AW82" i="158"/>
  <c r="AQ83" i="158"/>
  <c r="AR83" i="158"/>
  <c r="AS83" i="158"/>
  <c r="AT83" i="158"/>
  <c r="AV83" i="158"/>
  <c r="AW83" i="158"/>
  <c r="AQ84" i="158"/>
  <c r="AR84" i="158"/>
  <c r="AS84" i="158"/>
  <c r="AT84" i="158"/>
  <c r="AV84" i="158"/>
  <c r="AW84" i="158"/>
  <c r="AQ85" i="158"/>
  <c r="AR85" i="158"/>
  <c r="AS85" i="158"/>
  <c r="AT85" i="158"/>
  <c r="AV85" i="158"/>
  <c r="AW85" i="158"/>
  <c r="AQ86" i="158"/>
  <c r="AR86" i="158"/>
  <c r="AS86" i="158"/>
  <c r="AT86" i="158"/>
  <c r="AV86" i="158"/>
  <c r="AW86" i="158"/>
  <c r="AQ87" i="158"/>
  <c r="AR87" i="158"/>
  <c r="AS87" i="158"/>
  <c r="AT87" i="158"/>
  <c r="AV87" i="158"/>
  <c r="AW87" i="158"/>
  <c r="AQ88" i="158"/>
  <c r="AR88" i="158"/>
  <c r="AS88" i="158"/>
  <c r="AT88" i="158"/>
  <c r="AV88" i="158"/>
  <c r="AW88" i="158"/>
  <c r="AQ89" i="158"/>
  <c r="AR89" i="158"/>
  <c r="AS89" i="158"/>
  <c r="AT89" i="158"/>
  <c r="AV89" i="158"/>
  <c r="AW89" i="158"/>
  <c r="AQ90" i="158"/>
  <c r="AR90" i="158"/>
  <c r="AS90" i="158"/>
  <c r="AT90" i="158"/>
  <c r="AV90" i="158"/>
  <c r="AW90" i="158"/>
  <c r="AQ91" i="158"/>
  <c r="AR91" i="158"/>
  <c r="AS91" i="158"/>
  <c r="AT91" i="158"/>
  <c r="AV91" i="158"/>
  <c r="AW91" i="158"/>
  <c r="AQ92" i="158"/>
  <c r="AR92" i="158"/>
  <c r="AS92" i="158"/>
  <c r="AT92" i="158"/>
  <c r="AV92" i="158"/>
  <c r="AW92" i="158"/>
  <c r="AQ93" i="158"/>
  <c r="AR93" i="158"/>
  <c r="AS93" i="158"/>
  <c r="AT93" i="158"/>
  <c r="AV93" i="158"/>
  <c r="AW93" i="158"/>
  <c r="AQ94" i="158"/>
  <c r="AR94" i="158"/>
  <c r="AS94" i="158"/>
  <c r="AT94" i="158"/>
  <c r="AV94" i="158"/>
  <c r="AW94" i="158"/>
  <c r="AQ95" i="158"/>
  <c r="AR95" i="158"/>
  <c r="AS95" i="158"/>
  <c r="AT95" i="158"/>
  <c r="AV95" i="158"/>
  <c r="AW95" i="158"/>
  <c r="AQ96" i="158"/>
  <c r="AR96" i="158"/>
  <c r="AS96" i="158"/>
  <c r="AT96" i="158"/>
  <c r="AV96" i="158"/>
  <c r="AW96" i="158"/>
  <c r="AQ97" i="158"/>
  <c r="AR97" i="158"/>
  <c r="AS97" i="158"/>
  <c r="AT97" i="158"/>
  <c r="AV97" i="158"/>
  <c r="AW97" i="158"/>
  <c r="AQ98" i="158"/>
  <c r="AR98" i="158"/>
  <c r="AS98" i="158"/>
  <c r="AT98" i="158"/>
  <c r="AV98" i="158"/>
  <c r="AW98" i="158"/>
  <c r="AQ99" i="158"/>
  <c r="AR99" i="158"/>
  <c r="AS99" i="158"/>
  <c r="AT99" i="158"/>
  <c r="AV99" i="158"/>
  <c r="AW99" i="158"/>
  <c r="AQ100" i="158"/>
  <c r="AR100" i="158"/>
  <c r="AS100" i="158"/>
  <c r="AT100" i="158"/>
  <c r="AV100" i="158"/>
  <c r="AW100" i="158"/>
  <c r="AQ101" i="158"/>
  <c r="AR101" i="158"/>
  <c r="AS101" i="158"/>
  <c r="AT101" i="158"/>
  <c r="AV101" i="158"/>
  <c r="AW101" i="158"/>
  <c r="AQ102" i="158"/>
  <c r="AR102" i="158"/>
  <c r="AS102" i="158"/>
  <c r="AT102" i="158"/>
  <c r="AV102" i="158"/>
  <c r="AW102" i="158"/>
  <c r="AQ103" i="158"/>
  <c r="AR103" i="158"/>
  <c r="AS103" i="158"/>
  <c r="AT103" i="158"/>
  <c r="AV103" i="158"/>
  <c r="AW103" i="158"/>
  <c r="AQ104" i="158"/>
  <c r="AR104" i="158"/>
  <c r="AS104" i="158"/>
  <c r="AT104" i="158"/>
  <c r="AV104" i="158"/>
  <c r="AW104" i="158"/>
  <c r="AQ105" i="158"/>
  <c r="AR105" i="158"/>
  <c r="AS105" i="158"/>
  <c r="AT105" i="158"/>
  <c r="AV105" i="158"/>
  <c r="AW105" i="158"/>
  <c r="AQ106" i="158"/>
  <c r="AR106" i="158"/>
  <c r="AS106" i="158"/>
  <c r="AT106" i="158"/>
  <c r="AV106" i="158"/>
  <c r="AW106" i="158"/>
  <c r="AQ107" i="158"/>
  <c r="AR107" i="158"/>
  <c r="AS107" i="158"/>
  <c r="AT107" i="158"/>
  <c r="AV107" i="158"/>
  <c r="AW107" i="158"/>
  <c r="AQ108" i="158"/>
  <c r="AR108" i="158"/>
  <c r="AS108" i="158"/>
  <c r="AT108" i="158"/>
  <c r="AV108" i="158"/>
  <c r="AW108" i="158"/>
  <c r="AQ109" i="158"/>
  <c r="AR109" i="158"/>
  <c r="AS109" i="158"/>
  <c r="AT109" i="158"/>
  <c r="AV109" i="158"/>
  <c r="AW109" i="158"/>
  <c r="D110" i="158"/>
  <c r="E110" i="158"/>
  <c r="J115" i="158" s="1"/>
  <c r="AW113" i="158"/>
  <c r="AX113" i="158"/>
  <c r="X4" i="20" l="1"/>
  <c r="P5" i="20"/>
  <c r="K5" i="21" s="1"/>
  <c r="L5" i="21" s="1"/>
  <c r="S5" i="20"/>
  <c r="T5" i="20"/>
  <c r="R5" i="20"/>
  <c r="O5" i="20"/>
  <c r="Q5" i="20"/>
  <c r="M5" i="21" s="1"/>
  <c r="N5" i="21" s="1"/>
  <c r="AW110" i="158"/>
  <c r="M6" i="20"/>
  <c r="I4" i="160"/>
  <c r="AV110" i="158"/>
  <c r="AW112" i="158" s="1"/>
  <c r="AW114" i="158" s="1"/>
  <c r="X25" i="153"/>
  <c r="E112" i="158"/>
  <c r="G112" i="158" s="1"/>
  <c r="E114" i="158" s="1"/>
  <c r="D37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R37" i="58"/>
  <c r="S37" i="58"/>
  <c r="T37" i="58"/>
  <c r="U37" i="58"/>
  <c r="V37" i="58"/>
  <c r="W37" i="58"/>
  <c r="X37" i="58"/>
  <c r="Y37" i="58"/>
  <c r="Z37" i="58"/>
  <c r="AA37" i="58"/>
  <c r="AB37" i="58"/>
  <c r="AC37" i="58"/>
  <c r="AD37" i="58"/>
  <c r="AE37" i="58"/>
  <c r="AF37" i="58"/>
  <c r="AG37" i="58"/>
  <c r="E38" i="58"/>
  <c r="F38" i="58"/>
  <c r="G38" i="58"/>
  <c r="H38" i="58"/>
  <c r="I38" i="58"/>
  <c r="J38" i="58"/>
  <c r="K38" i="58"/>
  <c r="L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AA38" i="58"/>
  <c r="AB38" i="58"/>
  <c r="AC38" i="58"/>
  <c r="AD38" i="58"/>
  <c r="AE38" i="58"/>
  <c r="AF38" i="58"/>
  <c r="AG38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E40" i="58"/>
  <c r="F40" i="58"/>
  <c r="G40" i="58"/>
  <c r="H40" i="58"/>
  <c r="I40" i="58"/>
  <c r="J40" i="58"/>
  <c r="K40" i="58"/>
  <c r="L40" i="58"/>
  <c r="M40" i="58"/>
  <c r="N40" i="58"/>
  <c r="O40" i="58"/>
  <c r="P40" i="58"/>
  <c r="Q40" i="58"/>
  <c r="R40" i="58"/>
  <c r="S40" i="58"/>
  <c r="T40" i="58"/>
  <c r="U40" i="58"/>
  <c r="V40" i="58"/>
  <c r="W40" i="58"/>
  <c r="X40" i="58"/>
  <c r="Y40" i="58"/>
  <c r="Z40" i="58"/>
  <c r="AA40" i="58"/>
  <c r="AB40" i="58"/>
  <c r="AC40" i="58"/>
  <c r="AD40" i="58"/>
  <c r="AE40" i="58"/>
  <c r="AF40" i="58"/>
  <c r="AG40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AA36" i="58"/>
  <c r="AB36" i="58"/>
  <c r="AC36" i="58"/>
  <c r="AD36" i="58"/>
  <c r="AE36" i="58"/>
  <c r="AF36" i="58"/>
  <c r="AG36" i="58"/>
  <c r="AH36" i="58"/>
  <c r="AI36" i="58"/>
  <c r="AJ36" i="58"/>
  <c r="AK36" i="58"/>
  <c r="AL36" i="58"/>
  <c r="D13" i="118"/>
  <c r="D14" i="118"/>
  <c r="D16" i="118"/>
  <c r="D46" i="118"/>
  <c r="D47" i="118"/>
  <c r="D48" i="118"/>
  <c r="D49" i="118"/>
  <c r="D45" i="118"/>
  <c r="D32" i="118"/>
  <c r="D33" i="118"/>
  <c r="D36" i="118"/>
  <c r="D31" i="118"/>
  <c r="D25" i="118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C38" i="58" l="1"/>
  <c r="C40" i="58"/>
  <c r="C37" i="58"/>
  <c r="C39" i="58"/>
  <c r="I5" i="21"/>
  <c r="X5" i="20"/>
  <c r="T6" i="20"/>
  <c r="U6" i="113" s="1"/>
  <c r="O6" i="20"/>
  <c r="R6" i="20"/>
  <c r="P6" i="20"/>
  <c r="K6" i="21" s="1"/>
  <c r="Q6" i="20"/>
  <c r="M6" i="21" s="1"/>
  <c r="S6" i="20"/>
  <c r="T6" i="113" s="1"/>
  <c r="Y25" i="153"/>
  <c r="S6" i="113" l="1"/>
  <c r="M6" i="113" s="1"/>
  <c r="I6" i="21"/>
  <c r="X6" i="20"/>
  <c r="T34" i="113"/>
  <c r="S34" i="113"/>
  <c r="N6" i="21"/>
  <c r="N7" i="21"/>
  <c r="H5" i="54"/>
  <c r="Q5" i="21"/>
  <c r="L6" i="21"/>
  <c r="L7" i="21"/>
  <c r="Z25" i="153"/>
  <c r="H6" i="54" l="1"/>
  <c r="J6" i="21"/>
  <c r="Q6" i="21"/>
  <c r="J7" i="21"/>
  <c r="L35" i="21"/>
  <c r="N35" i="21"/>
  <c r="M7" i="113"/>
  <c r="AA25" i="153"/>
  <c r="M8" i="113" l="1"/>
  <c r="M9" i="113" s="1"/>
  <c r="Y7" i="19"/>
  <c r="W7" i="19"/>
  <c r="U7" i="19"/>
  <c r="AB25" i="153"/>
  <c r="P22" i="58"/>
  <c r="AE22" i="58"/>
  <c r="V22" i="58"/>
  <c r="AF22" i="58"/>
  <c r="O22" i="58"/>
  <c r="U22" i="58"/>
  <c r="G22" i="58"/>
  <c r="S22" i="58"/>
  <c r="X22" i="58"/>
  <c r="J22" i="58"/>
  <c r="Y22" i="58"/>
  <c r="I22" i="58"/>
  <c r="T22" i="58"/>
  <c r="W22" i="58"/>
  <c r="F22" i="58"/>
  <c r="AD22" i="58"/>
  <c r="N22" i="58"/>
  <c r="AC22" i="58"/>
  <c r="M22" i="58"/>
  <c r="L22" i="58"/>
  <c r="Z22" i="58"/>
  <c r="AB22" i="58"/>
  <c r="AA22" i="58"/>
  <c r="K22" i="58"/>
  <c r="H22" i="58"/>
  <c r="R22" i="58"/>
  <c r="AG22" i="58"/>
  <c r="Q22" i="58"/>
  <c r="L17" i="146"/>
  <c r="H33" i="146"/>
  <c r="C22" i="58" l="1"/>
  <c r="U9" i="19"/>
  <c r="U8" i="19"/>
  <c r="Y8" i="19"/>
  <c r="W8" i="19"/>
  <c r="M10" i="113"/>
  <c r="M11" i="113" s="1"/>
  <c r="M12" i="113" s="1"/>
  <c r="M13" i="113" s="1"/>
  <c r="AC25" i="153"/>
  <c r="AF26" i="60"/>
  <c r="AE26" i="60"/>
  <c r="AD26" i="60"/>
  <c r="AC26" i="60"/>
  <c r="AB26" i="60"/>
  <c r="AA26" i="60"/>
  <c r="Z26" i="60"/>
  <c r="Y26" i="60"/>
  <c r="X26" i="60"/>
  <c r="W26" i="60"/>
  <c r="V26" i="60"/>
  <c r="U26" i="60"/>
  <c r="T26" i="60"/>
  <c r="S26" i="60"/>
  <c r="R26" i="60"/>
  <c r="Q26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C24" i="60"/>
  <c r="C7" i="141"/>
  <c r="B14" i="58"/>
  <c r="AH15" i="58"/>
  <c r="AI15" i="58"/>
  <c r="J4" i="61"/>
  <c r="J5" i="61" s="1"/>
  <c r="I4" i="21"/>
  <c r="Q4" i="21" s="1"/>
  <c r="C55" i="58"/>
  <c r="AH47" i="58"/>
  <c r="AI47" i="58"/>
  <c r="AJ47" i="58"/>
  <c r="AK47" i="58"/>
  <c r="AL47" i="58"/>
  <c r="P5" i="61" l="1"/>
  <c r="J5" i="21"/>
  <c r="U10" i="19"/>
  <c r="W9" i="19"/>
  <c r="Y9" i="19"/>
  <c r="H4" i="57"/>
  <c r="AD25" i="153"/>
  <c r="J6" i="61"/>
  <c r="B26" i="60"/>
  <c r="E47" i="58"/>
  <c r="AH31" i="58"/>
  <c r="AI31" i="58"/>
  <c r="AJ31" i="58"/>
  <c r="AK31" i="58"/>
  <c r="AL31" i="58"/>
  <c r="AH21" i="58"/>
  <c r="AI21" i="58"/>
  <c r="AJ21" i="58"/>
  <c r="AK21" i="58"/>
  <c r="AL21" i="58"/>
  <c r="M4" i="113"/>
  <c r="AH16" i="58"/>
  <c r="AI16" i="58"/>
  <c r="AJ16" i="58"/>
  <c r="AK16" i="58"/>
  <c r="AL16" i="58"/>
  <c r="D112" i="156"/>
  <c r="D111" i="156"/>
  <c r="D101" i="156"/>
  <c r="D99" i="156"/>
  <c r="D35" i="156"/>
  <c r="D34" i="156"/>
  <c r="Q16" i="157" s="1"/>
  <c r="D33" i="156"/>
  <c r="Q19" i="157" s="1"/>
  <c r="D32" i="156"/>
  <c r="Q27" i="157" s="1"/>
  <c r="D31" i="156"/>
  <c r="Q23" i="157" s="1"/>
  <c r="D30" i="156"/>
  <c r="Q34" i="157" s="1"/>
  <c r="D15" i="156"/>
  <c r="D21" i="156" s="1"/>
  <c r="G13" i="156"/>
  <c r="G12" i="156"/>
  <c r="G11" i="156"/>
  <c r="H6" i="156"/>
  <c r="H15" i="156" s="1"/>
  <c r="G6" i="156"/>
  <c r="G15" i="156" s="1"/>
  <c r="H4" i="156"/>
  <c r="H17" i="156" s="1"/>
  <c r="D17" i="156" s="1"/>
  <c r="P6" i="61" l="1"/>
  <c r="Q35" i="157"/>
  <c r="V34" i="157"/>
  <c r="U34" i="157"/>
  <c r="W34" i="157"/>
  <c r="Q24" i="157"/>
  <c r="V23" i="157"/>
  <c r="W23" i="157"/>
  <c r="U23" i="157"/>
  <c r="Q20" i="157"/>
  <c r="V19" i="157"/>
  <c r="U19" i="157"/>
  <c r="W19" i="157"/>
  <c r="Q17" i="157"/>
  <c r="U16" i="157"/>
  <c r="W16" i="157"/>
  <c r="V16" i="157"/>
  <c r="Q8" i="157"/>
  <c r="Q14" i="157"/>
  <c r="Q7" i="157"/>
  <c r="Q28" i="157"/>
  <c r="U27" i="157"/>
  <c r="W27" i="157"/>
  <c r="V27" i="157"/>
  <c r="L45" i="58"/>
  <c r="X45" i="58"/>
  <c r="M45" i="58"/>
  <c r="Y45" i="58"/>
  <c r="N45" i="58"/>
  <c r="Z45" i="58"/>
  <c r="V45" i="58"/>
  <c r="O45" i="58"/>
  <c r="AA45" i="58"/>
  <c r="P45" i="58"/>
  <c r="AB45" i="58"/>
  <c r="Q45" i="58"/>
  <c r="AC45" i="58"/>
  <c r="R45" i="58"/>
  <c r="AD45" i="58"/>
  <c r="S45" i="58"/>
  <c r="AE45" i="58"/>
  <c r="T45" i="58"/>
  <c r="AF45" i="58"/>
  <c r="U45" i="58"/>
  <c r="AG45" i="58"/>
  <c r="W45" i="58"/>
  <c r="V4" i="113"/>
  <c r="U11" i="19"/>
  <c r="Y10" i="19"/>
  <c r="W10" i="19"/>
  <c r="H5" i="57"/>
  <c r="U4" i="19"/>
  <c r="AE25" i="153"/>
  <c r="H12" i="156"/>
  <c r="B48" i="59"/>
  <c r="AK17" i="58"/>
  <c r="D45" i="58"/>
  <c r="E45" i="58"/>
  <c r="AJ17" i="58"/>
  <c r="AI17" i="58"/>
  <c r="D47" i="58"/>
  <c r="AL17" i="58"/>
  <c r="AH17" i="58"/>
  <c r="H7" i="156"/>
  <c r="D7" i="156" s="1"/>
  <c r="H9" i="156"/>
  <c r="H11" i="156"/>
  <c r="H13" i="156"/>
  <c r="H16" i="156"/>
  <c r="D16" i="156" s="1"/>
  <c r="H18" i="156"/>
  <c r="D18" i="156" s="1"/>
  <c r="Q12" i="157" s="1"/>
  <c r="H8" i="156"/>
  <c r="D8" i="156" s="1"/>
  <c r="H10" i="156"/>
  <c r="D10" i="156" s="1"/>
  <c r="X19" i="157" l="1"/>
  <c r="X27" i="157"/>
  <c r="Q21" i="157"/>
  <c r="U20" i="157"/>
  <c r="W20" i="157"/>
  <c r="V20" i="157"/>
  <c r="Q29" i="157"/>
  <c r="V28" i="157"/>
  <c r="W28" i="157"/>
  <c r="U28" i="157"/>
  <c r="X23" i="157"/>
  <c r="V12" i="157"/>
  <c r="U12" i="157"/>
  <c r="W12" i="157"/>
  <c r="V14" i="157"/>
  <c r="W14" i="157"/>
  <c r="U14" i="157"/>
  <c r="W8" i="157"/>
  <c r="U8" i="157"/>
  <c r="V8" i="157"/>
  <c r="Q25" i="157"/>
  <c r="U24" i="157"/>
  <c r="W24" i="157"/>
  <c r="V24" i="157"/>
  <c r="X34" i="157"/>
  <c r="Q9" i="157"/>
  <c r="Q10" i="157"/>
  <c r="X16" i="157"/>
  <c r="W7" i="157"/>
  <c r="V7" i="157"/>
  <c r="U7" i="157"/>
  <c r="Q18" i="157"/>
  <c r="U17" i="157"/>
  <c r="V17" i="157"/>
  <c r="W17" i="157"/>
  <c r="W35" i="157"/>
  <c r="V35" i="157"/>
  <c r="U35" i="157"/>
  <c r="U12" i="19"/>
  <c r="W11" i="19"/>
  <c r="Y11" i="19"/>
  <c r="AF25" i="153"/>
  <c r="D9" i="156"/>
  <c r="C45" i="58"/>
  <c r="AK19" i="58"/>
  <c r="AL19" i="58"/>
  <c r="AH19" i="58"/>
  <c r="AI19" i="58"/>
  <c r="AJ19" i="58"/>
  <c r="AH20" i="58"/>
  <c r="AL20" i="58"/>
  <c r="AI20" i="58"/>
  <c r="AJ20" i="58"/>
  <c r="AK20" i="58"/>
  <c r="AL22" i="58"/>
  <c r="F26" i="146"/>
  <c r="K5" i="146" s="1"/>
  <c r="G26" i="146"/>
  <c r="K6" i="146" s="1"/>
  <c r="H26" i="146"/>
  <c r="K7" i="146" s="1"/>
  <c r="E26" i="146"/>
  <c r="K4" i="146" s="1"/>
  <c r="X12" i="157" l="1"/>
  <c r="X13" i="157" s="1"/>
  <c r="X28" i="157"/>
  <c r="X7" i="157"/>
  <c r="X17" i="157"/>
  <c r="Q26" i="157"/>
  <c r="U25" i="157"/>
  <c r="W25" i="157"/>
  <c r="V25" i="157"/>
  <c r="U18" i="157"/>
  <c r="W18" i="157"/>
  <c r="V18" i="157"/>
  <c r="X8" i="157"/>
  <c r="Q30" i="157"/>
  <c r="U29" i="157"/>
  <c r="W29" i="157"/>
  <c r="V29" i="157"/>
  <c r="X24" i="157"/>
  <c r="X14" i="157"/>
  <c r="X15" i="157" s="1"/>
  <c r="X20" i="157"/>
  <c r="U10" i="157"/>
  <c r="V10" i="157"/>
  <c r="W10" i="157"/>
  <c r="Q22" i="157"/>
  <c r="U21" i="157"/>
  <c r="V21" i="157"/>
  <c r="W21" i="157"/>
  <c r="X35" i="157"/>
  <c r="W9" i="157"/>
  <c r="V9" i="157"/>
  <c r="U9" i="157"/>
  <c r="Y12" i="19"/>
  <c r="W12" i="19"/>
  <c r="AG25" i="153"/>
  <c r="C47" i="58"/>
  <c r="D38" i="118"/>
  <c r="AI22" i="58"/>
  <c r="AH22" i="58"/>
  <c r="AJ22" i="58"/>
  <c r="AK22" i="58"/>
  <c r="M5" i="140"/>
  <c r="F17" i="153"/>
  <c r="G17" i="153"/>
  <c r="H17" i="153"/>
  <c r="I17" i="153"/>
  <c r="J17" i="153"/>
  <c r="K17" i="153"/>
  <c r="L17" i="153"/>
  <c r="M17" i="153"/>
  <c r="N17" i="153"/>
  <c r="O17" i="153"/>
  <c r="P17" i="153"/>
  <c r="Q17" i="153"/>
  <c r="R17" i="153"/>
  <c r="S17" i="153"/>
  <c r="T17" i="153"/>
  <c r="U17" i="153"/>
  <c r="V17" i="153"/>
  <c r="W17" i="153"/>
  <c r="X17" i="153"/>
  <c r="Y17" i="153"/>
  <c r="Z17" i="153"/>
  <c r="AA17" i="153"/>
  <c r="AB17" i="153"/>
  <c r="AC17" i="153"/>
  <c r="AD17" i="153"/>
  <c r="AE17" i="153"/>
  <c r="AF17" i="153"/>
  <c r="AG17" i="153"/>
  <c r="AH17" i="153"/>
  <c r="AI17" i="153"/>
  <c r="AJ17" i="153"/>
  <c r="AK17" i="153"/>
  <c r="AL17" i="153"/>
  <c r="AM17" i="153"/>
  <c r="E17" i="153"/>
  <c r="A39" i="125"/>
  <c r="A40" i="125"/>
  <c r="B40" i="125" s="1"/>
  <c r="A41" i="125"/>
  <c r="B41" i="125" s="1"/>
  <c r="A42" i="125"/>
  <c r="A43" i="125"/>
  <c r="A44" i="125"/>
  <c r="B44" i="125" s="1"/>
  <c r="A45" i="125"/>
  <c r="A46" i="125"/>
  <c r="A47" i="125"/>
  <c r="A48" i="125"/>
  <c r="B48" i="125" s="1"/>
  <c r="A49" i="125"/>
  <c r="B49" i="125" s="1"/>
  <c r="A32" i="125"/>
  <c r="A33" i="125"/>
  <c r="A34" i="125"/>
  <c r="B34" i="125" s="1"/>
  <c r="A35" i="125"/>
  <c r="A31" i="125"/>
  <c r="B31" i="125" s="1"/>
  <c r="A38" i="125"/>
  <c r="C12" i="125"/>
  <c r="A12" i="125"/>
  <c r="F7" i="153"/>
  <c r="G7" i="153"/>
  <c r="J7" i="153"/>
  <c r="K7" i="153"/>
  <c r="N7" i="153"/>
  <c r="O7" i="153"/>
  <c r="R7" i="153"/>
  <c r="S7" i="153"/>
  <c r="V7" i="153"/>
  <c r="W7" i="153"/>
  <c r="Z7" i="153"/>
  <c r="AA7" i="153"/>
  <c r="AD7" i="153"/>
  <c r="AE7" i="153"/>
  <c r="AH7" i="153"/>
  <c r="AI7" i="153"/>
  <c r="AL7" i="153"/>
  <c r="AM7" i="153"/>
  <c r="H7" i="153"/>
  <c r="I7" i="153"/>
  <c r="L7" i="153"/>
  <c r="M7" i="153"/>
  <c r="P7" i="153"/>
  <c r="Q7" i="153"/>
  <c r="T7" i="153"/>
  <c r="U7" i="153"/>
  <c r="X7" i="153"/>
  <c r="Y7" i="153"/>
  <c r="AB7" i="153"/>
  <c r="AC7" i="153"/>
  <c r="AF7" i="153"/>
  <c r="AG7" i="153"/>
  <c r="AJ7" i="153"/>
  <c r="AK7" i="153"/>
  <c r="E7" i="153"/>
  <c r="A54" i="154"/>
  <c r="A52" i="154"/>
  <c r="A33" i="154"/>
  <c r="A22" i="154"/>
  <c r="A60" i="154" s="1"/>
  <c r="A59" i="154"/>
  <c r="A20" i="154"/>
  <c r="A58" i="154" s="1"/>
  <c r="A19" i="154"/>
  <c r="A57" i="154" s="1"/>
  <c r="A18" i="154"/>
  <c r="A56" i="154" s="1"/>
  <c r="A15" i="154"/>
  <c r="AM44" i="153"/>
  <c r="AL44" i="153"/>
  <c r="AK44" i="153"/>
  <c r="AJ44" i="153"/>
  <c r="AI44" i="153"/>
  <c r="AG44" i="153"/>
  <c r="AF44" i="153"/>
  <c r="AE44" i="153"/>
  <c r="AD44" i="153"/>
  <c r="AC44" i="153"/>
  <c r="AB44" i="153"/>
  <c r="AA44" i="153"/>
  <c r="Z44" i="153"/>
  <c r="Y44" i="153"/>
  <c r="X44" i="153"/>
  <c r="W44" i="153"/>
  <c r="V44" i="153"/>
  <c r="U44" i="153"/>
  <c r="T44" i="153"/>
  <c r="S44" i="153"/>
  <c r="R44" i="153"/>
  <c r="Q44" i="153"/>
  <c r="P44" i="153"/>
  <c r="O44" i="153"/>
  <c r="N44" i="153"/>
  <c r="M44" i="153"/>
  <c r="L44" i="153"/>
  <c r="K44" i="153"/>
  <c r="J44" i="153"/>
  <c r="I44" i="153"/>
  <c r="H44" i="153"/>
  <c r="G44" i="153"/>
  <c r="F44" i="153"/>
  <c r="E44" i="153"/>
  <c r="M6" i="140" l="1"/>
  <c r="X9" i="157"/>
  <c r="X29" i="157"/>
  <c r="X21" i="157"/>
  <c r="W22" i="157"/>
  <c r="V22" i="157"/>
  <c r="U22" i="157"/>
  <c r="X10" i="157"/>
  <c r="X11" i="157" s="1"/>
  <c r="X18" i="157"/>
  <c r="Q31" i="157"/>
  <c r="W30" i="157"/>
  <c r="U30" i="157"/>
  <c r="V30" i="157"/>
  <c r="X25" i="157"/>
  <c r="Q32" i="157"/>
  <c r="W26" i="157"/>
  <c r="U26" i="157"/>
  <c r="V26" i="157"/>
  <c r="W13" i="19"/>
  <c r="Y13" i="19"/>
  <c r="AH25" i="153"/>
  <c r="K33" i="154"/>
  <c r="K32" i="154" s="1"/>
  <c r="S33" i="154"/>
  <c r="S32" i="154" s="1"/>
  <c r="AA33" i="154"/>
  <c r="AA32" i="154" s="1"/>
  <c r="T33" i="154"/>
  <c r="D33" i="154"/>
  <c r="E33" i="154"/>
  <c r="E32" i="154" s="1"/>
  <c r="I33" i="154"/>
  <c r="I32" i="154" s="1"/>
  <c r="Q33" i="154"/>
  <c r="Q32" i="154" s="1"/>
  <c r="U33" i="154"/>
  <c r="U32" i="154" s="1"/>
  <c r="M33" i="154"/>
  <c r="W33" i="154"/>
  <c r="W32" i="154" s="1"/>
  <c r="AL40" i="58"/>
  <c r="AK40" i="58"/>
  <c r="AJ40" i="58"/>
  <c r="AH40" i="58"/>
  <c r="AI40" i="58"/>
  <c r="H12" i="125"/>
  <c r="L12" i="125"/>
  <c r="P12" i="125"/>
  <c r="T12" i="125"/>
  <c r="X12" i="125"/>
  <c r="AB12" i="125"/>
  <c r="AF12" i="125"/>
  <c r="F12" i="125"/>
  <c r="N12" i="125"/>
  <c r="V12" i="125"/>
  <c r="AD12" i="125"/>
  <c r="E12" i="125"/>
  <c r="I12" i="125"/>
  <c r="M12" i="125"/>
  <c r="Q12" i="125"/>
  <c r="U12" i="125"/>
  <c r="AC12" i="125"/>
  <c r="AG12" i="125"/>
  <c r="J12" i="125"/>
  <c r="R12" i="125"/>
  <c r="Z12" i="125"/>
  <c r="G12" i="125"/>
  <c r="K12" i="125"/>
  <c r="O12" i="125"/>
  <c r="S12" i="125"/>
  <c r="W12" i="125"/>
  <c r="AA12" i="125"/>
  <c r="AE12" i="125"/>
  <c r="D12" i="125"/>
  <c r="Y12" i="125"/>
  <c r="M7" i="140"/>
  <c r="M8" i="140" s="1"/>
  <c r="M9" i="140" s="1"/>
  <c r="M10" i="140" s="1"/>
  <c r="M11" i="140" s="1"/>
  <c r="M12" i="140" s="1"/>
  <c r="M13" i="140" s="1"/>
  <c r="M14" i="140" s="1"/>
  <c r="M15" i="140" s="1"/>
  <c r="M16" i="140" s="1"/>
  <c r="M17" i="140" s="1"/>
  <c r="M18" i="140" s="1"/>
  <c r="M19" i="140" s="1"/>
  <c r="M20" i="140" s="1"/>
  <c r="M21" i="140" s="1"/>
  <c r="M22" i="140" s="1"/>
  <c r="M23" i="140" s="1"/>
  <c r="M24" i="140" s="1"/>
  <c r="M25" i="140" s="1"/>
  <c r="M26" i="140" s="1"/>
  <c r="M27" i="140" s="1"/>
  <c r="M28" i="140" s="1"/>
  <c r="M29" i="140" s="1"/>
  <c r="A53" i="154"/>
  <c r="A36" i="154"/>
  <c r="Z11" i="157" l="1"/>
  <c r="D18" i="58"/>
  <c r="X22" i="157"/>
  <c r="Q33" i="157"/>
  <c r="U32" i="157"/>
  <c r="W32" i="157"/>
  <c r="V32" i="157"/>
  <c r="X30" i="157"/>
  <c r="X26" i="157"/>
  <c r="Q38" i="157"/>
  <c r="V31" i="157"/>
  <c r="U31" i="157"/>
  <c r="W31" i="157"/>
  <c r="M30" i="140"/>
  <c r="Y14" i="19"/>
  <c r="W14" i="19"/>
  <c r="R34" i="113"/>
  <c r="AH44" i="153"/>
  <c r="A17" i="154"/>
  <c r="A55" i="154" s="1"/>
  <c r="C33" i="154"/>
  <c r="C32" i="154" s="1"/>
  <c r="L33" i="154"/>
  <c r="L32" i="154" s="1"/>
  <c r="AK39" i="58"/>
  <c r="T32" i="154"/>
  <c r="AL39" i="58"/>
  <c r="AJ39" i="58"/>
  <c r="AH39" i="58"/>
  <c r="AI39" i="58"/>
  <c r="V33" i="154"/>
  <c r="J33" i="154"/>
  <c r="H33" i="154"/>
  <c r="F33" i="154"/>
  <c r="AB33" i="154"/>
  <c r="AD33" i="154"/>
  <c r="R33" i="154"/>
  <c r="Z33" i="154"/>
  <c r="N33" i="154"/>
  <c r="X33" i="154"/>
  <c r="P33" i="154"/>
  <c r="Y33" i="154"/>
  <c r="O33" i="154"/>
  <c r="G33" i="154"/>
  <c r="AC33" i="154"/>
  <c r="AC32" i="154" s="1"/>
  <c r="M32" i="154"/>
  <c r="D32" i="154"/>
  <c r="Q39" i="157" l="1"/>
  <c r="U38" i="157"/>
  <c r="V38" i="157"/>
  <c r="W38" i="157"/>
  <c r="X32" i="157"/>
  <c r="X31" i="157"/>
  <c r="W33" i="157"/>
  <c r="U33" i="157"/>
  <c r="Q37" i="157"/>
  <c r="Q36" i="157"/>
  <c r="V33" i="157"/>
  <c r="M34" i="140"/>
  <c r="W15" i="19"/>
  <c r="Y15" i="19"/>
  <c r="J35" i="21"/>
  <c r="AE33" i="154"/>
  <c r="AE32" i="154" s="1"/>
  <c r="P32" i="154"/>
  <c r="Z32" i="154"/>
  <c r="AD32" i="154"/>
  <c r="F32" i="154"/>
  <c r="H32" i="154"/>
  <c r="J32" i="154"/>
  <c r="G24" i="60"/>
  <c r="H24" i="60"/>
  <c r="L24" i="60"/>
  <c r="M24" i="60"/>
  <c r="I24" i="60"/>
  <c r="K24" i="60"/>
  <c r="E24" i="60"/>
  <c r="D24" i="60"/>
  <c r="J24" i="60"/>
  <c r="F24" i="60"/>
  <c r="G32" i="154"/>
  <c r="Y32" i="154"/>
  <c r="AJ18" i="58"/>
  <c r="AK18" i="58"/>
  <c r="AL18" i="58"/>
  <c r="AH18" i="58"/>
  <c r="AI18" i="58"/>
  <c r="X32" i="154"/>
  <c r="N32" i="154"/>
  <c r="R32" i="154"/>
  <c r="AB32" i="154"/>
  <c r="V32" i="154"/>
  <c r="O32" i="154"/>
  <c r="B32" i="154"/>
  <c r="M35" i="140" l="1"/>
  <c r="E39" i="118" a="1"/>
  <c r="V37" i="157"/>
  <c r="U37" i="157"/>
  <c r="W37" i="157"/>
  <c r="X33" i="157"/>
  <c r="X38" i="157"/>
  <c r="W36" i="157"/>
  <c r="V36" i="157"/>
  <c r="U36" i="157"/>
  <c r="Q40" i="157"/>
  <c r="V39" i="157"/>
  <c r="U39" i="157"/>
  <c r="W39" i="157"/>
  <c r="Y16" i="19"/>
  <c r="W16" i="19"/>
  <c r="B24" i="60"/>
  <c r="E57" i="153" a="1"/>
  <c r="J57" i="153" s="1"/>
  <c r="AH39" i="118" l="1"/>
  <c r="AG48" i="58" s="1"/>
  <c r="W39" i="118"/>
  <c r="V48" i="58" s="1"/>
  <c r="L39" i="118"/>
  <c r="K48" i="58" s="1"/>
  <c r="K39" i="118"/>
  <c r="J48" i="58" s="1"/>
  <c r="Q39" i="118"/>
  <c r="P48" i="58" s="1"/>
  <c r="S39" i="118"/>
  <c r="R48" i="58" s="1"/>
  <c r="M39" i="118"/>
  <c r="L48" i="58" s="1"/>
  <c r="Z39" i="118"/>
  <c r="Y48" i="58" s="1"/>
  <c r="N39" i="118"/>
  <c r="M48" i="58" s="1"/>
  <c r="AE39" i="118"/>
  <c r="AD48" i="58" s="1"/>
  <c r="AA39" i="118"/>
  <c r="Z48" i="58" s="1"/>
  <c r="F39" i="118"/>
  <c r="E48" i="58" s="1"/>
  <c r="AC39" i="118"/>
  <c r="AB48" i="58" s="1"/>
  <c r="AF39" i="118"/>
  <c r="AE48" i="58" s="1"/>
  <c r="R39" i="118"/>
  <c r="Q48" i="58" s="1"/>
  <c r="U39" i="118"/>
  <c r="T48" i="58" s="1"/>
  <c r="X39" i="118"/>
  <c r="W48" i="58" s="1"/>
  <c r="H39" i="118"/>
  <c r="G48" i="58" s="1"/>
  <c r="J39" i="118"/>
  <c r="I48" i="58" s="1"/>
  <c r="V39" i="118"/>
  <c r="U48" i="58" s="1"/>
  <c r="Y39" i="118"/>
  <c r="X48" i="58" s="1"/>
  <c r="E39" i="118"/>
  <c r="D48" i="58" s="1"/>
  <c r="T39" i="118"/>
  <c r="S48" i="58" s="1"/>
  <c r="O39" i="118"/>
  <c r="N48" i="58" s="1"/>
  <c r="I39" i="118"/>
  <c r="H48" i="58" s="1"/>
  <c r="P39" i="118"/>
  <c r="O48" i="58" s="1"/>
  <c r="AB39" i="118"/>
  <c r="AA48" i="58" s="1"/>
  <c r="G39" i="118"/>
  <c r="F48" i="58" s="1"/>
  <c r="AG39" i="118"/>
  <c r="AF48" i="58" s="1"/>
  <c r="AD39" i="118"/>
  <c r="AC48" i="58" s="1"/>
  <c r="X36" i="157"/>
  <c r="X37" i="157"/>
  <c r="X39" i="157"/>
  <c r="Q41" i="157"/>
  <c r="U40" i="157"/>
  <c r="W40" i="157"/>
  <c r="V40" i="157"/>
  <c r="F36" i="154"/>
  <c r="AE36" i="154"/>
  <c r="B36" i="154"/>
  <c r="H36" i="154"/>
  <c r="L36" i="154"/>
  <c r="N36" i="154"/>
  <c r="T36" i="154"/>
  <c r="AA36" i="154"/>
  <c r="AC36" i="154"/>
  <c r="U36" i="154"/>
  <c r="K36" i="154"/>
  <c r="E36" i="154"/>
  <c r="W36" i="154"/>
  <c r="Y36" i="154"/>
  <c r="AI55" i="153"/>
  <c r="AJ55" i="153"/>
  <c r="AL55" i="153"/>
  <c r="AM55" i="153"/>
  <c r="AK55" i="153"/>
  <c r="W17" i="19"/>
  <c r="Y17" i="19"/>
  <c r="X36" i="154"/>
  <c r="AB36" i="154"/>
  <c r="V36" i="154"/>
  <c r="D36" i="154"/>
  <c r="M36" i="154"/>
  <c r="AD36" i="154"/>
  <c r="Q36" i="154"/>
  <c r="J36" i="154"/>
  <c r="C36" i="154"/>
  <c r="R36" i="154"/>
  <c r="O36" i="154"/>
  <c r="I36" i="154"/>
  <c r="G36" i="154"/>
  <c r="S36" i="154"/>
  <c r="P36" i="154"/>
  <c r="Z36" i="154"/>
  <c r="AI56" i="153"/>
  <c r="AM56" i="153"/>
  <c r="AK56" i="153"/>
  <c r="AE57" i="153"/>
  <c r="S57" i="153"/>
  <c r="N57" i="153"/>
  <c r="G57" i="153"/>
  <c r="U57" i="153"/>
  <c r="P57" i="153"/>
  <c r="I57" i="153"/>
  <c r="AL57" i="153"/>
  <c r="AI57" i="153"/>
  <c r="AD57" i="153"/>
  <c r="AA57" i="153"/>
  <c r="Z57" i="153"/>
  <c r="W57" i="153"/>
  <c r="AH57" i="153"/>
  <c r="K57" i="153"/>
  <c r="AK57" i="153"/>
  <c r="AF57" i="153"/>
  <c r="Y57" i="153"/>
  <c r="T57" i="153"/>
  <c r="Q57" i="153"/>
  <c r="L57" i="153"/>
  <c r="M57" i="153"/>
  <c r="H57" i="153"/>
  <c r="AM57" i="153"/>
  <c r="R57" i="153"/>
  <c r="O57" i="153"/>
  <c r="F57" i="153"/>
  <c r="AJ57" i="153"/>
  <c r="AG57" i="153"/>
  <c r="AB57" i="153"/>
  <c r="AC57" i="153"/>
  <c r="X57" i="153"/>
  <c r="E57" i="153"/>
  <c r="V57" i="153"/>
  <c r="AL56" i="153"/>
  <c r="AJ56" i="153"/>
  <c r="AL48" i="58"/>
  <c r="AJ48" i="58"/>
  <c r="AI48" i="58"/>
  <c r="AK48" i="58"/>
  <c r="B36" i="58"/>
  <c r="B37" i="58"/>
  <c r="X40" i="157" l="1"/>
  <c r="Q42" i="157"/>
  <c r="V41" i="157"/>
  <c r="W41" i="157"/>
  <c r="U41" i="157"/>
  <c r="Y18" i="19"/>
  <c r="W18" i="19"/>
  <c r="C48" i="58"/>
  <c r="D39" i="118"/>
  <c r="X41" i="157" l="1"/>
  <c r="Q43" i="157"/>
  <c r="U42" i="157"/>
  <c r="W42" i="157"/>
  <c r="V42" i="157"/>
  <c r="W19" i="19"/>
  <c r="Y19" i="19"/>
  <c r="X42" i="157" l="1"/>
  <c r="V43" i="157"/>
  <c r="U43" i="157"/>
  <c r="W43" i="157"/>
  <c r="Y20" i="19"/>
  <c r="W20" i="19"/>
  <c r="B26" i="58"/>
  <c r="B27" i="58"/>
  <c r="B28" i="58"/>
  <c r="B29" i="58"/>
  <c r="B30" i="58"/>
  <c r="B31" i="58"/>
  <c r="B32" i="58"/>
  <c r="B25" i="58"/>
  <c r="B15" i="58"/>
  <c r="B16" i="58"/>
  <c r="B17" i="58"/>
  <c r="X43" i="157" l="1"/>
  <c r="X96" i="157" s="1"/>
  <c r="W21" i="19"/>
  <c r="Y21" i="19"/>
  <c r="C5" i="148"/>
  <c r="A6" i="148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D21" i="58" l="1"/>
  <c r="X126" i="157"/>
  <c r="D15" i="118"/>
  <c r="Y22" i="19"/>
  <c r="W22" i="19"/>
  <c r="C6" i="148"/>
  <c r="C21" i="58" l="1"/>
  <c r="Y23" i="19"/>
  <c r="W23" i="19"/>
  <c r="C7" i="148"/>
  <c r="B6" i="148"/>
  <c r="W24" i="19" l="1"/>
  <c r="Y24" i="19"/>
  <c r="B7" i="148"/>
  <c r="C8" i="148"/>
  <c r="Y25" i="19" l="1"/>
  <c r="W25" i="19"/>
  <c r="C9" i="148"/>
  <c r="B8" i="148"/>
  <c r="Y26" i="19" l="1"/>
  <c r="W26" i="19"/>
  <c r="C10" i="148"/>
  <c r="B9" i="148"/>
  <c r="C95" i="145"/>
  <c r="C96" i="145" s="1"/>
  <c r="D35" i="19"/>
  <c r="D36" i="19"/>
  <c r="B4" i="19"/>
  <c r="R4" i="19" l="1"/>
  <c r="J4" i="48" s="1"/>
  <c r="K4" i="48" s="1"/>
  <c r="D4" i="19"/>
  <c r="Y27" i="19"/>
  <c r="W27" i="19"/>
  <c r="S4" i="19"/>
  <c r="L4" i="48" s="1"/>
  <c r="T4" i="19"/>
  <c r="N4" i="48" s="1"/>
  <c r="F4" i="19"/>
  <c r="H4" i="19"/>
  <c r="B5" i="19"/>
  <c r="B6" i="19" s="1"/>
  <c r="C11" i="148"/>
  <c r="B10" i="148"/>
  <c r="E4" i="19" l="1"/>
  <c r="K4" i="19" s="1"/>
  <c r="M4" i="48"/>
  <c r="P4" i="48"/>
  <c r="W28" i="19"/>
  <c r="Y28" i="19"/>
  <c r="X4" i="19"/>
  <c r="Z4" i="19"/>
  <c r="T6" i="19"/>
  <c r="S6" i="19"/>
  <c r="R6" i="19"/>
  <c r="R5" i="19"/>
  <c r="T5" i="19"/>
  <c r="S5" i="19"/>
  <c r="D6" i="19"/>
  <c r="H6" i="19"/>
  <c r="P6" i="19" s="1"/>
  <c r="F6" i="19"/>
  <c r="N6" i="19" s="1"/>
  <c r="D5" i="19"/>
  <c r="F5" i="19"/>
  <c r="N5" i="19" s="1"/>
  <c r="H5" i="19"/>
  <c r="P5" i="19" s="1"/>
  <c r="I4" i="19"/>
  <c r="O4" i="19" s="1"/>
  <c r="AI4" i="19" s="1"/>
  <c r="G4" i="19"/>
  <c r="M4" i="19" s="1"/>
  <c r="AF4" i="19" s="1"/>
  <c r="K4" i="42"/>
  <c r="V4" i="19"/>
  <c r="L4" i="42"/>
  <c r="B7" i="19"/>
  <c r="H7" i="19" s="1"/>
  <c r="K9" i="146"/>
  <c r="L4" i="146" s="1"/>
  <c r="B11" i="148"/>
  <c r="C12" i="148"/>
  <c r="O4" i="48" l="1"/>
  <c r="Q4" i="48" s="1"/>
  <c r="H6" i="42"/>
  <c r="I6" i="42" s="1"/>
  <c r="J6" i="42" s="1"/>
  <c r="F6" i="48"/>
  <c r="G6" i="48" s="1"/>
  <c r="AJ6" i="19"/>
  <c r="L5" i="48"/>
  <c r="H5" i="42"/>
  <c r="I5" i="42" s="1"/>
  <c r="J5" i="42" s="1"/>
  <c r="F5" i="48"/>
  <c r="AJ5" i="19"/>
  <c r="L6" i="48"/>
  <c r="M6" i="48" s="1"/>
  <c r="O6" i="48" s="1"/>
  <c r="N6" i="42"/>
  <c r="B41" i="141" s="1"/>
  <c r="E41" i="141" s="1"/>
  <c r="O6" i="42"/>
  <c r="P6" i="42"/>
  <c r="J5" i="48"/>
  <c r="M5" i="42"/>
  <c r="L5" i="42"/>
  <c r="D5" i="48"/>
  <c r="AG5" i="19"/>
  <c r="N5" i="48"/>
  <c r="J6" i="48"/>
  <c r="M6" i="42"/>
  <c r="L6" i="42"/>
  <c r="N6" i="48"/>
  <c r="R6" i="42"/>
  <c r="S6" i="42"/>
  <c r="Q6" i="42"/>
  <c r="B76" i="141" s="1"/>
  <c r="E76" i="141" s="1"/>
  <c r="D6" i="48"/>
  <c r="E6" i="48" s="1"/>
  <c r="AG6" i="19"/>
  <c r="B4" i="141"/>
  <c r="E4" i="141" s="1"/>
  <c r="Y29" i="19"/>
  <c r="W29" i="19"/>
  <c r="R4" i="42"/>
  <c r="S4" i="42"/>
  <c r="Q4" i="42"/>
  <c r="B74" i="141" s="1"/>
  <c r="E74" i="141" s="1"/>
  <c r="O4" i="42"/>
  <c r="P4" i="42"/>
  <c r="N4" i="42"/>
  <c r="B39" i="141" s="1"/>
  <c r="E39" i="141" s="1"/>
  <c r="E5" i="42"/>
  <c r="F5" i="42" s="1"/>
  <c r="G5" i="42" s="1"/>
  <c r="K5" i="42"/>
  <c r="X5" i="19"/>
  <c r="Z5" i="19"/>
  <c r="E6" i="42"/>
  <c r="F6" i="42" s="1"/>
  <c r="G6" i="42" s="1"/>
  <c r="K6" i="42"/>
  <c r="I6" i="19"/>
  <c r="G6" i="19"/>
  <c r="T7" i="19"/>
  <c r="S7" i="19"/>
  <c r="R7" i="19"/>
  <c r="F7" i="19"/>
  <c r="N7" i="19" s="1"/>
  <c r="P7" i="19"/>
  <c r="D7" i="19"/>
  <c r="B75" i="131"/>
  <c r="B78" i="140"/>
  <c r="I5" i="19"/>
  <c r="G5" i="19"/>
  <c r="V5" i="19"/>
  <c r="B8" i="19"/>
  <c r="L6" i="146"/>
  <c r="L5" i="146"/>
  <c r="L7" i="146"/>
  <c r="C13" i="148"/>
  <c r="B12" i="148"/>
  <c r="B74" i="131" l="1"/>
  <c r="B77" i="140"/>
  <c r="B42" i="140"/>
  <c r="B40" i="131"/>
  <c r="G5" i="48"/>
  <c r="E5" i="48"/>
  <c r="H7" i="42"/>
  <c r="I7" i="42" s="1"/>
  <c r="J7" i="42" s="1"/>
  <c r="F7" i="48"/>
  <c r="G7" i="48" s="1"/>
  <c r="AJ7" i="19"/>
  <c r="D7" i="48"/>
  <c r="E7" i="48" s="1"/>
  <c r="AG7" i="19"/>
  <c r="M5" i="48"/>
  <c r="P6" i="48"/>
  <c r="K6" i="48"/>
  <c r="Q6" i="48" s="1"/>
  <c r="J7" i="48"/>
  <c r="L7" i="42"/>
  <c r="M7" i="42"/>
  <c r="L7" i="48"/>
  <c r="M7" i="48" s="1"/>
  <c r="O7" i="48" s="1"/>
  <c r="O7" i="42"/>
  <c r="N7" i="42"/>
  <c r="B42" i="141" s="1"/>
  <c r="E42" i="141" s="1"/>
  <c r="P7" i="42"/>
  <c r="Z7" i="19"/>
  <c r="N7" i="48"/>
  <c r="R7" i="42"/>
  <c r="Q7" i="42"/>
  <c r="B77" i="141" s="1"/>
  <c r="E77" i="141" s="1"/>
  <c r="S7" i="42"/>
  <c r="K5" i="48"/>
  <c r="P5" i="48"/>
  <c r="D5" i="127"/>
  <c r="Y30" i="19"/>
  <c r="D5" i="101"/>
  <c r="D5" i="126"/>
  <c r="B6" i="141"/>
  <c r="E6" i="141" s="1"/>
  <c r="D7" i="127"/>
  <c r="D7" i="126"/>
  <c r="D7" i="101"/>
  <c r="W30" i="19"/>
  <c r="B5" i="141"/>
  <c r="S5" i="42"/>
  <c r="R5" i="42"/>
  <c r="Q5" i="42"/>
  <c r="B75" i="141" s="1"/>
  <c r="E75" i="141" s="1"/>
  <c r="P5" i="42"/>
  <c r="N5" i="42"/>
  <c r="B40" i="141" s="1"/>
  <c r="E40" i="141" s="1"/>
  <c r="O5" i="42"/>
  <c r="E7" i="42"/>
  <c r="F7" i="42" s="1"/>
  <c r="G7" i="42" s="1"/>
  <c r="B41" i="131"/>
  <c r="V7" i="19"/>
  <c r="B43" i="140"/>
  <c r="K7" i="42"/>
  <c r="X7" i="19"/>
  <c r="T8" i="19"/>
  <c r="S8" i="19"/>
  <c r="R8" i="19"/>
  <c r="F77" i="140"/>
  <c r="C74" i="131"/>
  <c r="D74" i="131" s="1"/>
  <c r="E77" i="140"/>
  <c r="K77" i="140" s="1"/>
  <c r="E42" i="140"/>
  <c r="K42" i="140" s="1"/>
  <c r="F42" i="140"/>
  <c r="C40" i="131"/>
  <c r="D40" i="131" s="1"/>
  <c r="F78" i="140"/>
  <c r="E78" i="140"/>
  <c r="K78" i="140" s="1"/>
  <c r="C75" i="131"/>
  <c r="D75" i="131" s="1"/>
  <c r="F43" i="140"/>
  <c r="E43" i="140"/>
  <c r="K43" i="140" s="1"/>
  <c r="C41" i="131"/>
  <c r="D41" i="131" s="1"/>
  <c r="F8" i="19"/>
  <c r="N8" i="19" s="1"/>
  <c r="D8" i="19"/>
  <c r="H8" i="19"/>
  <c r="P8" i="19" s="1"/>
  <c r="I7" i="19"/>
  <c r="G7" i="19"/>
  <c r="B9" i="19"/>
  <c r="L9" i="146"/>
  <c r="C14" i="148"/>
  <c r="B13" i="148"/>
  <c r="G8" i="19" l="1"/>
  <c r="I8" i="19"/>
  <c r="O5" i="48"/>
  <c r="J8" i="48"/>
  <c r="M8" i="42"/>
  <c r="L8" i="42"/>
  <c r="L8" i="48"/>
  <c r="N8" i="42"/>
  <c r="B43" i="141" s="1"/>
  <c r="E43" i="141" s="1"/>
  <c r="O8" i="42"/>
  <c r="P8" i="42"/>
  <c r="B44" i="140"/>
  <c r="B42" i="131"/>
  <c r="Z8" i="19"/>
  <c r="N8" i="48"/>
  <c r="R8" i="42"/>
  <c r="S8" i="42"/>
  <c r="Q8" i="42"/>
  <c r="B78" i="141" s="1"/>
  <c r="E78" i="141" s="1"/>
  <c r="B79" i="140"/>
  <c r="H8" i="42"/>
  <c r="I8" i="42" s="1"/>
  <c r="J8" i="42" s="1"/>
  <c r="F8" i="48"/>
  <c r="G8" i="48" s="1"/>
  <c r="AJ8" i="19"/>
  <c r="K7" i="48"/>
  <c r="Q7" i="48" s="1"/>
  <c r="P7" i="48"/>
  <c r="Q5" i="48"/>
  <c r="B76" i="131"/>
  <c r="D8" i="48"/>
  <c r="E8" i="48" s="1"/>
  <c r="AG8" i="19"/>
  <c r="D6" i="101"/>
  <c r="D6" i="127"/>
  <c r="D6" i="126"/>
  <c r="Y31" i="19"/>
  <c r="B7" i="141"/>
  <c r="E7" i="141" s="1"/>
  <c r="D8" i="127"/>
  <c r="D8" i="126"/>
  <c r="D8" i="101"/>
  <c r="W31" i="19"/>
  <c r="X8" i="19"/>
  <c r="E8" i="42"/>
  <c r="F8" i="42" s="1"/>
  <c r="G8" i="42" s="1"/>
  <c r="V8" i="19"/>
  <c r="T9" i="19"/>
  <c r="R9" i="19"/>
  <c r="S9" i="19"/>
  <c r="I40" i="131"/>
  <c r="E40" i="131"/>
  <c r="G40" i="131" s="1"/>
  <c r="D9" i="19"/>
  <c r="L9" i="19" s="1"/>
  <c r="F9" i="19"/>
  <c r="N9" i="19" s="1"/>
  <c r="H9" i="19"/>
  <c r="P9" i="19" s="1"/>
  <c r="C42" i="131"/>
  <c r="D42" i="131" s="1"/>
  <c r="E44" i="140"/>
  <c r="K44" i="140" s="1"/>
  <c r="F44" i="140"/>
  <c r="E79" i="140"/>
  <c r="K79" i="140" s="1"/>
  <c r="F79" i="140"/>
  <c r="C76" i="131"/>
  <c r="D76" i="131" s="1"/>
  <c r="E41" i="131"/>
  <c r="G41" i="131" s="1"/>
  <c r="I41" i="131"/>
  <c r="K8" i="42"/>
  <c r="E74" i="131"/>
  <c r="G74" i="131" s="1"/>
  <c r="I74" i="131"/>
  <c r="E75" i="131"/>
  <c r="G75" i="131" s="1"/>
  <c r="I75" i="131"/>
  <c r="B10" i="19"/>
  <c r="B14" i="148"/>
  <c r="C15" i="148"/>
  <c r="C26" i="58"/>
  <c r="C25" i="58"/>
  <c r="AH32" i="58"/>
  <c r="AI32" i="58"/>
  <c r="AJ32" i="58"/>
  <c r="AK32" i="58"/>
  <c r="AL32" i="58"/>
  <c r="B80" i="140" l="1"/>
  <c r="B77" i="131"/>
  <c r="B45" i="140"/>
  <c r="D9" i="48"/>
  <c r="E9" i="48" s="1"/>
  <c r="AG9" i="19"/>
  <c r="B43" i="131"/>
  <c r="M8" i="48"/>
  <c r="L9" i="48"/>
  <c r="M9" i="48" s="1"/>
  <c r="O9" i="48" s="1"/>
  <c r="P9" i="42"/>
  <c r="N9" i="42"/>
  <c r="B44" i="141" s="1"/>
  <c r="E44" i="141" s="1"/>
  <c r="O9" i="42"/>
  <c r="P8" i="48"/>
  <c r="K8" i="48"/>
  <c r="H9" i="42"/>
  <c r="I9" i="42" s="1"/>
  <c r="J9" i="42" s="1"/>
  <c r="F9" i="48"/>
  <c r="G9" i="48" s="1"/>
  <c r="AJ9" i="19"/>
  <c r="J9" i="48"/>
  <c r="L9" i="42"/>
  <c r="M9" i="42"/>
  <c r="Z9" i="19"/>
  <c r="N9" i="48"/>
  <c r="R9" i="42"/>
  <c r="Q9" i="42"/>
  <c r="B79" i="141" s="1"/>
  <c r="E79" i="141" s="1"/>
  <c r="S9" i="42"/>
  <c r="Y32" i="19"/>
  <c r="W32" i="19"/>
  <c r="B8" i="141"/>
  <c r="D9" i="101"/>
  <c r="D9" i="127"/>
  <c r="D9" i="126"/>
  <c r="X9" i="19"/>
  <c r="K9" i="42"/>
  <c r="E9" i="42"/>
  <c r="V9" i="19"/>
  <c r="T10" i="19"/>
  <c r="R10" i="19"/>
  <c r="V10" i="19" s="1"/>
  <c r="S10" i="19"/>
  <c r="D10" i="19"/>
  <c r="H10" i="19"/>
  <c r="P10" i="19" s="1"/>
  <c r="F10" i="19"/>
  <c r="N10" i="19" s="1"/>
  <c r="E76" i="131"/>
  <c r="G76" i="131" s="1"/>
  <c r="I76" i="131"/>
  <c r="C77" i="131"/>
  <c r="D77" i="131" s="1"/>
  <c r="E80" i="140"/>
  <c r="K80" i="140" s="1"/>
  <c r="F80" i="140"/>
  <c r="E42" i="131"/>
  <c r="G42" i="131" s="1"/>
  <c r="I42" i="131"/>
  <c r="F45" i="140"/>
  <c r="E45" i="140"/>
  <c r="K45" i="140" s="1"/>
  <c r="C43" i="131"/>
  <c r="D43" i="131" s="1"/>
  <c r="I9" i="19"/>
  <c r="G9" i="19"/>
  <c r="B11" i="19"/>
  <c r="C16" i="148"/>
  <c r="B15" i="148"/>
  <c r="AI46" i="58"/>
  <c r="AL46" i="58"/>
  <c r="AH46" i="58"/>
  <c r="AH42" i="58" s="1"/>
  <c r="AK46" i="58"/>
  <c r="AJ46" i="58"/>
  <c r="W33" i="19" l="1"/>
  <c r="Y33" i="19"/>
  <c r="Y34" i="19" s="1"/>
  <c r="B46" i="140"/>
  <c r="F9" i="42"/>
  <c r="G9" i="42" s="1"/>
  <c r="Z10" i="19"/>
  <c r="N10" i="48"/>
  <c r="R10" i="42"/>
  <c r="S10" i="42"/>
  <c r="Q10" i="42"/>
  <c r="B80" i="141" s="1"/>
  <c r="E80" i="141" s="1"/>
  <c r="O8" i="48"/>
  <c r="Q8" i="48" s="1"/>
  <c r="D10" i="48"/>
  <c r="AG10" i="19"/>
  <c r="P9" i="48"/>
  <c r="K9" i="48"/>
  <c r="H10" i="42"/>
  <c r="I10" i="42" s="1"/>
  <c r="J10" i="42" s="1"/>
  <c r="F10" i="48"/>
  <c r="G10" i="48" s="1"/>
  <c r="AJ10" i="19"/>
  <c r="B78" i="131"/>
  <c r="L10" i="48"/>
  <c r="O10" i="42"/>
  <c r="P10" i="42"/>
  <c r="N10" i="42"/>
  <c r="B45" i="141" s="1"/>
  <c r="E45" i="141" s="1"/>
  <c r="B81" i="140"/>
  <c r="J10" i="48"/>
  <c r="L10" i="42"/>
  <c r="M10" i="42"/>
  <c r="B9" i="141"/>
  <c r="D10" i="101"/>
  <c r="D10" i="127"/>
  <c r="D10" i="126"/>
  <c r="W34" i="19"/>
  <c r="I10" i="19"/>
  <c r="X10" i="19"/>
  <c r="B44" i="131"/>
  <c r="E10" i="42"/>
  <c r="K10" i="42"/>
  <c r="R11" i="19"/>
  <c r="T11" i="19"/>
  <c r="S11" i="19"/>
  <c r="G10" i="19"/>
  <c r="I77" i="131"/>
  <c r="E77" i="131"/>
  <c r="G77" i="131" s="1"/>
  <c r="F81" i="140"/>
  <c r="C78" i="131"/>
  <c r="D78" i="131" s="1"/>
  <c r="E81" i="140"/>
  <c r="K81" i="140" s="1"/>
  <c r="E43" i="131"/>
  <c r="G43" i="131" s="1"/>
  <c r="I43" i="131"/>
  <c r="D11" i="19"/>
  <c r="H11" i="19"/>
  <c r="P11" i="19" s="1"/>
  <c r="F11" i="19"/>
  <c r="N11" i="19" s="1"/>
  <c r="B12" i="19"/>
  <c r="D37" i="118"/>
  <c r="AK7" i="58"/>
  <c r="AI7" i="58"/>
  <c r="AJ7" i="58"/>
  <c r="AL7" i="58"/>
  <c r="B16" i="148"/>
  <c r="C17" i="148"/>
  <c r="C44" i="131" l="1"/>
  <c r="D44" i="131" s="1"/>
  <c r="J11" i="48"/>
  <c r="M11" i="42"/>
  <c r="L11" i="42"/>
  <c r="B82" i="140"/>
  <c r="K10" i="48"/>
  <c r="P10" i="48"/>
  <c r="Z11" i="19"/>
  <c r="N11" i="48"/>
  <c r="R11" i="42"/>
  <c r="S11" i="42"/>
  <c r="Q11" i="42"/>
  <c r="B81" i="141" s="1"/>
  <c r="E81" i="141" s="1"/>
  <c r="E10" i="48"/>
  <c r="B47" i="140"/>
  <c r="F10" i="42"/>
  <c r="G10" i="42" s="1"/>
  <c r="F47" i="140" s="1"/>
  <c r="B79" i="131"/>
  <c r="D11" i="48"/>
  <c r="E11" i="48" s="1"/>
  <c r="AG11" i="19"/>
  <c r="Q9" i="48"/>
  <c r="H11" i="42"/>
  <c r="I11" i="42" s="1"/>
  <c r="J11" i="42" s="1"/>
  <c r="F11" i="48"/>
  <c r="G11" i="48" s="1"/>
  <c r="AJ11" i="19"/>
  <c r="L11" i="48"/>
  <c r="M11" i="48" s="1"/>
  <c r="O11" i="48" s="1"/>
  <c r="N11" i="42"/>
  <c r="B46" i="141" s="1"/>
  <c r="E46" i="141" s="1"/>
  <c r="P11" i="42"/>
  <c r="O11" i="42"/>
  <c r="M10" i="48"/>
  <c r="B10" i="141"/>
  <c r="D11" i="101"/>
  <c r="D11" i="127"/>
  <c r="D11" i="126"/>
  <c r="B45" i="131"/>
  <c r="K11" i="42"/>
  <c r="F46" i="140"/>
  <c r="E11" i="42"/>
  <c r="F11" i="42" s="1"/>
  <c r="G11" i="42" s="1"/>
  <c r="E46" i="140"/>
  <c r="K46" i="140" s="1"/>
  <c r="V11" i="19"/>
  <c r="X11" i="19"/>
  <c r="R12" i="19"/>
  <c r="T12" i="19"/>
  <c r="S12" i="19"/>
  <c r="F82" i="140"/>
  <c r="E82" i="140"/>
  <c r="K82" i="140" s="1"/>
  <c r="C79" i="131"/>
  <c r="D79" i="131" s="1"/>
  <c r="E44" i="131"/>
  <c r="G44" i="131" s="1"/>
  <c r="I44" i="131"/>
  <c r="H12" i="19"/>
  <c r="P12" i="19" s="1"/>
  <c r="F12" i="19"/>
  <c r="N12" i="19" s="1"/>
  <c r="D12" i="19"/>
  <c r="E78" i="131"/>
  <c r="G78" i="131" s="1"/>
  <c r="I78" i="131"/>
  <c r="I11" i="19"/>
  <c r="G11" i="19"/>
  <c r="B13" i="19"/>
  <c r="C46" i="58"/>
  <c r="C18" i="148"/>
  <c r="B17" i="148"/>
  <c r="D30" i="58"/>
  <c r="D19" i="118"/>
  <c r="D18" i="118"/>
  <c r="E29" i="58"/>
  <c r="B4" i="21"/>
  <c r="H2" i="145"/>
  <c r="K2" i="145" s="1"/>
  <c r="D5" i="107"/>
  <c r="C5" i="128"/>
  <c r="C5" i="100"/>
  <c r="C5" i="101"/>
  <c r="C5" i="127"/>
  <c r="E5" i="129"/>
  <c r="C45" i="131" l="1"/>
  <c r="D45" i="131" s="1"/>
  <c r="B80" i="131"/>
  <c r="H4" i="21"/>
  <c r="C5" i="21"/>
  <c r="B83" i="140"/>
  <c r="D12" i="48"/>
  <c r="E12" i="48" s="1"/>
  <c r="AG12" i="19"/>
  <c r="B48" i="140"/>
  <c r="L12" i="48"/>
  <c r="N12" i="42"/>
  <c r="B47" i="141" s="1"/>
  <c r="E47" i="141" s="1"/>
  <c r="P12" i="42"/>
  <c r="O12" i="42"/>
  <c r="O10" i="48"/>
  <c r="Q10" i="48" s="1"/>
  <c r="E47" i="140"/>
  <c r="K47" i="140" s="1"/>
  <c r="J12" i="48"/>
  <c r="L12" i="42"/>
  <c r="M12" i="42"/>
  <c r="B46" i="131"/>
  <c r="Z12" i="19"/>
  <c r="N12" i="48"/>
  <c r="S12" i="42"/>
  <c r="Q12" i="42"/>
  <c r="B82" i="141" s="1"/>
  <c r="E82" i="141" s="1"/>
  <c r="R12" i="42"/>
  <c r="K11" i="48"/>
  <c r="Q11" i="48" s="1"/>
  <c r="P11" i="48"/>
  <c r="H12" i="42"/>
  <c r="I12" i="42" s="1"/>
  <c r="J12" i="42" s="1"/>
  <c r="F12" i="48"/>
  <c r="G12" i="48" s="1"/>
  <c r="AJ12" i="19"/>
  <c r="B11" i="141"/>
  <c r="D12" i="101"/>
  <c r="D12" i="127"/>
  <c r="D12" i="126"/>
  <c r="X12" i="19"/>
  <c r="E12" i="42"/>
  <c r="F12" i="42" s="1"/>
  <c r="G12" i="42" s="1"/>
  <c r="V12" i="19"/>
  <c r="G12" i="19"/>
  <c r="R13" i="19"/>
  <c r="T13" i="19"/>
  <c r="S13" i="19"/>
  <c r="I12" i="19"/>
  <c r="I79" i="131"/>
  <c r="E79" i="131"/>
  <c r="G79" i="131" s="1"/>
  <c r="F48" i="140"/>
  <c r="C46" i="131"/>
  <c r="D46" i="131" s="1"/>
  <c r="E48" i="140"/>
  <c r="K48" i="140" s="1"/>
  <c r="D13" i="19"/>
  <c r="F13" i="19"/>
  <c r="N13" i="19" s="1"/>
  <c r="H13" i="19"/>
  <c r="P13" i="19" s="1"/>
  <c r="E45" i="131"/>
  <c r="G45" i="131" s="1"/>
  <c r="I45" i="131"/>
  <c r="E83" i="140"/>
  <c r="K83" i="140" s="1"/>
  <c r="C80" i="131"/>
  <c r="D80" i="131" s="1"/>
  <c r="F83" i="140"/>
  <c r="K12" i="42"/>
  <c r="B14" i="19"/>
  <c r="B18" i="148"/>
  <c r="C19" i="148"/>
  <c r="AE30" i="58"/>
  <c r="S30" i="58"/>
  <c r="G30" i="58"/>
  <c r="AL30" i="58"/>
  <c r="Z30" i="58"/>
  <c r="V30" i="58"/>
  <c r="R30" i="58"/>
  <c r="N30" i="58"/>
  <c r="J30" i="58"/>
  <c r="F30" i="58"/>
  <c r="AI30" i="58"/>
  <c r="W30" i="58"/>
  <c r="K30" i="58"/>
  <c r="AK30" i="58"/>
  <c r="AG30" i="58"/>
  <c r="AC30" i="58"/>
  <c r="Y30" i="58"/>
  <c r="U30" i="58"/>
  <c r="Q30" i="58"/>
  <c r="M30" i="58"/>
  <c r="I30" i="58"/>
  <c r="E30" i="58"/>
  <c r="AA30" i="58"/>
  <c r="O30" i="58"/>
  <c r="AJ30" i="58"/>
  <c r="AF30" i="58"/>
  <c r="AB30" i="58"/>
  <c r="X30" i="58"/>
  <c r="T30" i="58"/>
  <c r="P30" i="58"/>
  <c r="L30" i="58"/>
  <c r="H30" i="58"/>
  <c r="AL29" i="58"/>
  <c r="AD29" i="58"/>
  <c r="Z29" i="58"/>
  <c r="V29" i="58"/>
  <c r="R29" i="58"/>
  <c r="N29" i="58"/>
  <c r="J29" i="58"/>
  <c r="AJ29" i="58"/>
  <c r="AF29" i="58"/>
  <c r="AB29" i="58"/>
  <c r="X29" i="58"/>
  <c r="P29" i="58"/>
  <c r="L29" i="58"/>
  <c r="H29" i="58"/>
  <c r="AI29" i="58"/>
  <c r="AE29" i="58"/>
  <c r="W29" i="58"/>
  <c r="S29" i="58"/>
  <c r="O29" i="58"/>
  <c r="K29" i="58"/>
  <c r="G29" i="58"/>
  <c r="AK29" i="58"/>
  <c r="AG29" i="58"/>
  <c r="AC29" i="58"/>
  <c r="Y29" i="58"/>
  <c r="U29" i="58"/>
  <c r="Q29" i="58"/>
  <c r="I29" i="58"/>
  <c r="G3" i="145"/>
  <c r="G4" i="145"/>
  <c r="G5" i="145"/>
  <c r="G6" i="145"/>
  <c r="G7" i="145"/>
  <c r="G8" i="145"/>
  <c r="G9" i="145"/>
  <c r="G10" i="145"/>
  <c r="G11" i="145"/>
  <c r="G12" i="145"/>
  <c r="G13" i="145"/>
  <c r="G14" i="145"/>
  <c r="G15" i="145"/>
  <c r="G16" i="145"/>
  <c r="G17" i="145"/>
  <c r="G18" i="145"/>
  <c r="G19" i="145"/>
  <c r="G20" i="145"/>
  <c r="G21" i="145"/>
  <c r="G22" i="145"/>
  <c r="G23" i="145"/>
  <c r="G24" i="145"/>
  <c r="G25" i="145"/>
  <c r="G26" i="145"/>
  <c r="G27" i="145"/>
  <c r="G28" i="145"/>
  <c r="G29" i="145"/>
  <c r="G30" i="145"/>
  <c r="G31" i="145"/>
  <c r="G32" i="145"/>
  <c r="G33" i="145"/>
  <c r="G34" i="145"/>
  <c r="G35" i="145"/>
  <c r="G36" i="145"/>
  <c r="G37" i="145"/>
  <c r="G38" i="145"/>
  <c r="G39" i="145"/>
  <c r="G40" i="145"/>
  <c r="G2" i="145"/>
  <c r="I2" i="145" s="1"/>
  <c r="H19" i="145"/>
  <c r="K19" i="145" s="1"/>
  <c r="H3" i="145"/>
  <c r="K3" i="145" s="1"/>
  <c r="H4" i="145"/>
  <c r="K4" i="145" s="1"/>
  <c r="H5" i="145"/>
  <c r="K5" i="145" s="1"/>
  <c r="H6" i="145"/>
  <c r="K6" i="145" s="1"/>
  <c r="H7" i="145"/>
  <c r="K7" i="145" s="1"/>
  <c r="H8" i="145"/>
  <c r="K8" i="145" s="1"/>
  <c r="H9" i="145"/>
  <c r="K9" i="145" s="1"/>
  <c r="H10" i="145"/>
  <c r="K10" i="145" s="1"/>
  <c r="H11" i="145"/>
  <c r="K11" i="145" s="1"/>
  <c r="H12" i="145"/>
  <c r="K12" i="145" s="1"/>
  <c r="H13" i="145"/>
  <c r="K13" i="145" s="1"/>
  <c r="H14" i="145"/>
  <c r="K14" i="145" s="1"/>
  <c r="H15" i="145"/>
  <c r="K15" i="145" s="1"/>
  <c r="H16" i="145"/>
  <c r="K16" i="145" s="1"/>
  <c r="H17" i="145"/>
  <c r="K17" i="145" s="1"/>
  <c r="H18" i="145"/>
  <c r="K18" i="145" s="1"/>
  <c r="H20" i="145"/>
  <c r="K20" i="145" s="1"/>
  <c r="H21" i="145"/>
  <c r="K21" i="145" s="1"/>
  <c r="H22" i="145"/>
  <c r="K22" i="145" s="1"/>
  <c r="H23" i="145"/>
  <c r="K23" i="145" s="1"/>
  <c r="H24" i="145"/>
  <c r="K24" i="145" s="1"/>
  <c r="H25" i="145"/>
  <c r="K25" i="145" s="1"/>
  <c r="H26" i="145"/>
  <c r="K26" i="145" s="1"/>
  <c r="H27" i="145"/>
  <c r="K27" i="145" s="1"/>
  <c r="H28" i="145"/>
  <c r="K28" i="145" s="1"/>
  <c r="H29" i="145"/>
  <c r="K29" i="145" s="1"/>
  <c r="H30" i="145"/>
  <c r="K30" i="145" s="1"/>
  <c r="H31" i="145"/>
  <c r="K31" i="145" s="1"/>
  <c r="H32" i="145"/>
  <c r="K32" i="145" s="1"/>
  <c r="H33" i="145"/>
  <c r="K33" i="145" s="1"/>
  <c r="H34" i="145"/>
  <c r="K34" i="145" s="1"/>
  <c r="H35" i="145"/>
  <c r="K35" i="145" s="1"/>
  <c r="H36" i="145"/>
  <c r="K36" i="145" s="1"/>
  <c r="H37" i="145"/>
  <c r="K37" i="145" s="1"/>
  <c r="H38" i="145"/>
  <c r="K38" i="145" s="1"/>
  <c r="H39" i="145"/>
  <c r="K39" i="145" s="1"/>
  <c r="H40" i="145"/>
  <c r="K40" i="145" s="1"/>
  <c r="F3" i="145"/>
  <c r="J3" i="145" s="1"/>
  <c r="F4" i="145"/>
  <c r="J4" i="145" s="1"/>
  <c r="F5" i="145"/>
  <c r="J5" i="145" s="1"/>
  <c r="F6" i="145"/>
  <c r="J6" i="145" s="1"/>
  <c r="F7" i="145"/>
  <c r="J7" i="145" s="1"/>
  <c r="F8" i="145"/>
  <c r="J8" i="145" s="1"/>
  <c r="F9" i="145"/>
  <c r="J9" i="145" s="1"/>
  <c r="F10" i="145"/>
  <c r="J10" i="145" s="1"/>
  <c r="F11" i="145"/>
  <c r="J11" i="145" s="1"/>
  <c r="F12" i="145"/>
  <c r="J12" i="145" s="1"/>
  <c r="F13" i="145"/>
  <c r="J13" i="145" s="1"/>
  <c r="F14" i="145"/>
  <c r="J14" i="145" s="1"/>
  <c r="F15" i="145"/>
  <c r="J15" i="145" s="1"/>
  <c r="F16" i="145"/>
  <c r="J16" i="145" s="1"/>
  <c r="F17" i="145"/>
  <c r="J17" i="145" s="1"/>
  <c r="F18" i="145"/>
  <c r="J18" i="145" s="1"/>
  <c r="F19" i="145"/>
  <c r="J19" i="145" s="1"/>
  <c r="F20" i="145"/>
  <c r="J20" i="145" s="1"/>
  <c r="F21" i="145"/>
  <c r="J21" i="145" s="1"/>
  <c r="F22" i="145"/>
  <c r="J22" i="145" s="1"/>
  <c r="F23" i="145"/>
  <c r="J23" i="145" s="1"/>
  <c r="F24" i="145"/>
  <c r="J24" i="145" s="1"/>
  <c r="F25" i="145"/>
  <c r="J25" i="145" s="1"/>
  <c r="F26" i="145"/>
  <c r="J26" i="145" s="1"/>
  <c r="F27" i="145"/>
  <c r="J27" i="145" s="1"/>
  <c r="F28" i="145"/>
  <c r="J28" i="145" s="1"/>
  <c r="F29" i="145"/>
  <c r="J29" i="145" s="1"/>
  <c r="F30" i="145"/>
  <c r="J30" i="145" s="1"/>
  <c r="F31" i="145"/>
  <c r="J31" i="145" s="1"/>
  <c r="F32" i="145"/>
  <c r="J32" i="145" s="1"/>
  <c r="F33" i="145"/>
  <c r="J33" i="145" s="1"/>
  <c r="F34" i="145"/>
  <c r="J34" i="145" s="1"/>
  <c r="F35" i="145"/>
  <c r="J35" i="145" s="1"/>
  <c r="F36" i="145"/>
  <c r="J36" i="145" s="1"/>
  <c r="F37" i="145"/>
  <c r="J37" i="145" s="1"/>
  <c r="F38" i="145"/>
  <c r="J38" i="145" s="1"/>
  <c r="F39" i="145"/>
  <c r="J39" i="145" s="1"/>
  <c r="F40" i="145"/>
  <c r="J40" i="145" s="1"/>
  <c r="F2" i="145"/>
  <c r="J2" i="145" s="1"/>
  <c r="B81" i="131" l="1"/>
  <c r="B84" i="140"/>
  <c r="B49" i="140"/>
  <c r="H13" i="42"/>
  <c r="I13" i="42" s="1"/>
  <c r="J13" i="42" s="1"/>
  <c r="F13" i="48"/>
  <c r="G13" i="48" s="1"/>
  <c r="AJ13" i="19"/>
  <c r="Z13" i="19"/>
  <c r="N13" i="48"/>
  <c r="R13" i="42"/>
  <c r="S13" i="42"/>
  <c r="Q13" i="42"/>
  <c r="B83" i="141" s="1"/>
  <c r="E83" i="141" s="1"/>
  <c r="D13" i="48"/>
  <c r="E13" i="48" s="1"/>
  <c r="AG13" i="19"/>
  <c r="J13" i="48"/>
  <c r="M12" i="48"/>
  <c r="B47" i="131"/>
  <c r="K12" i="48"/>
  <c r="P12" i="48"/>
  <c r="L13" i="48"/>
  <c r="M13" i="48" s="1"/>
  <c r="O13" i="48" s="1"/>
  <c r="N13" i="42"/>
  <c r="B48" i="141" s="1"/>
  <c r="E48" i="141" s="1"/>
  <c r="P13" i="42"/>
  <c r="O13" i="42"/>
  <c r="B12" i="141"/>
  <c r="D13" i="101"/>
  <c r="D13" i="127"/>
  <c r="D13" i="126"/>
  <c r="X13" i="19"/>
  <c r="E13" i="42"/>
  <c r="F13" i="42" s="1"/>
  <c r="G13" i="42" s="1"/>
  <c r="R14" i="19"/>
  <c r="T14" i="19"/>
  <c r="S14" i="19"/>
  <c r="E49" i="140"/>
  <c r="K49" i="140" s="1"/>
  <c r="C47" i="131"/>
  <c r="D47" i="131" s="1"/>
  <c r="F49" i="140"/>
  <c r="F84" i="140"/>
  <c r="C81" i="131"/>
  <c r="D81" i="131" s="1"/>
  <c r="E84" i="140"/>
  <c r="K84" i="140" s="1"/>
  <c r="F14" i="19"/>
  <c r="N14" i="19" s="1"/>
  <c r="D14" i="19"/>
  <c r="H14" i="19"/>
  <c r="P14" i="19" s="1"/>
  <c r="I80" i="131"/>
  <c r="E80" i="131"/>
  <c r="G80" i="131" s="1"/>
  <c r="E46" i="131"/>
  <c r="G46" i="131" s="1"/>
  <c r="I46" i="131"/>
  <c r="I13" i="19"/>
  <c r="G13" i="19"/>
  <c r="B15" i="19"/>
  <c r="D23" i="118"/>
  <c r="D29" i="58"/>
  <c r="C29" i="58" s="1"/>
  <c r="D22" i="118"/>
  <c r="I36" i="145"/>
  <c r="I28" i="145"/>
  <c r="I20" i="145"/>
  <c r="I31" i="145"/>
  <c r="I40" i="145"/>
  <c r="I32" i="145"/>
  <c r="I24" i="145"/>
  <c r="I27" i="145"/>
  <c r="I39" i="145"/>
  <c r="I35" i="145"/>
  <c r="I23" i="145"/>
  <c r="P5" i="54"/>
  <c r="C20" i="148"/>
  <c r="B19" i="148"/>
  <c r="I37" i="145"/>
  <c r="I16" i="145"/>
  <c r="I8" i="145"/>
  <c r="I4" i="145"/>
  <c r="O12" i="145" s="1"/>
  <c r="P12" i="145" s="1"/>
  <c r="B21" i="125" s="1"/>
  <c r="I29" i="145"/>
  <c r="I18" i="145"/>
  <c r="I14" i="145"/>
  <c r="I6" i="145"/>
  <c r="I38" i="145"/>
  <c r="O28" i="145" s="1"/>
  <c r="P28" i="145" s="1"/>
  <c r="B35" i="125" s="1"/>
  <c r="I34" i="145"/>
  <c r="O10" i="145" s="1"/>
  <c r="P10" i="145" s="1"/>
  <c r="B19" i="125" s="1"/>
  <c r="I30" i="145"/>
  <c r="I26" i="145"/>
  <c r="I22" i="145"/>
  <c r="I21" i="145"/>
  <c r="I12" i="145"/>
  <c r="I25" i="145"/>
  <c r="I15" i="145"/>
  <c r="I11" i="145"/>
  <c r="I7" i="145"/>
  <c r="I3" i="145"/>
  <c r="I33" i="145"/>
  <c r="N38" i="145" s="1"/>
  <c r="O38" i="145" s="1"/>
  <c r="P38" i="145" s="1"/>
  <c r="B47" i="125" s="1"/>
  <c r="I17" i="145"/>
  <c r="I13" i="145"/>
  <c r="I9" i="145"/>
  <c r="I5" i="145"/>
  <c r="O8" i="145"/>
  <c r="P8" i="145" s="1"/>
  <c r="O9" i="145"/>
  <c r="P9" i="145" s="1"/>
  <c r="G5" i="140"/>
  <c r="I5" i="140" s="1"/>
  <c r="I19" i="145"/>
  <c r="B85" i="140" l="1"/>
  <c r="B43" i="125"/>
  <c r="B42" i="125"/>
  <c r="C42" i="125" s="1"/>
  <c r="B18" i="125"/>
  <c r="Q5" i="54"/>
  <c r="B82" i="131"/>
  <c r="B50" i="140"/>
  <c r="B48" i="131"/>
  <c r="K13" i="48"/>
  <c r="Q13" i="48" s="1"/>
  <c r="P13" i="48"/>
  <c r="J14" i="48"/>
  <c r="H14" i="42"/>
  <c r="I14" i="42" s="1"/>
  <c r="J14" i="42" s="1"/>
  <c r="F14" i="48"/>
  <c r="G14" i="48" s="1"/>
  <c r="AJ14" i="19"/>
  <c r="L14" i="48"/>
  <c r="M14" i="48" s="1"/>
  <c r="O14" i="48" s="1"/>
  <c r="P14" i="42"/>
  <c r="N14" i="42"/>
  <c r="B49" i="141" s="1"/>
  <c r="E49" i="141" s="1"/>
  <c r="O14" i="42"/>
  <c r="O12" i="48"/>
  <c r="Q12" i="48" s="1"/>
  <c r="D14" i="48"/>
  <c r="E14" i="48" s="1"/>
  <c r="AG14" i="19"/>
  <c r="Z14" i="19"/>
  <c r="N14" i="48"/>
  <c r="S14" i="42"/>
  <c r="Q14" i="42"/>
  <c r="B84" i="141" s="1"/>
  <c r="E84" i="141" s="1"/>
  <c r="R14" i="42"/>
  <c r="X14" i="19"/>
  <c r="E14" i="42"/>
  <c r="S15" i="19"/>
  <c r="R15" i="19"/>
  <c r="T15" i="19"/>
  <c r="G14" i="19"/>
  <c r="C48" i="131"/>
  <c r="D48" i="131" s="1"/>
  <c r="F50" i="140"/>
  <c r="E50" i="140"/>
  <c r="K50" i="140" s="1"/>
  <c r="I47" i="131"/>
  <c r="E47" i="131"/>
  <c r="G47" i="131" s="1"/>
  <c r="D15" i="19"/>
  <c r="H15" i="19"/>
  <c r="P15" i="19" s="1"/>
  <c r="F15" i="19"/>
  <c r="N15" i="19" s="1"/>
  <c r="E81" i="131"/>
  <c r="G81" i="131" s="1"/>
  <c r="I81" i="131"/>
  <c r="F85" i="140"/>
  <c r="C82" i="131"/>
  <c r="D82" i="131" s="1"/>
  <c r="E85" i="140"/>
  <c r="K85" i="140" s="1"/>
  <c r="I14" i="19"/>
  <c r="B16" i="19"/>
  <c r="J5" i="19"/>
  <c r="N15" i="145"/>
  <c r="O15" i="145" s="1"/>
  <c r="P15" i="145" s="1"/>
  <c r="B23" i="125" s="1"/>
  <c r="O18" i="145"/>
  <c r="P18" i="145" s="1"/>
  <c r="B26" i="125" s="1"/>
  <c r="O13" i="145"/>
  <c r="P13" i="145" s="1"/>
  <c r="B22" i="125" s="1"/>
  <c r="C43" i="125"/>
  <c r="B20" i="148"/>
  <c r="C21" i="148"/>
  <c r="N26" i="145"/>
  <c r="O26" i="145" s="1"/>
  <c r="P26" i="145" s="1"/>
  <c r="B33" i="125" s="1"/>
  <c r="N37" i="145"/>
  <c r="O37" i="145" s="1"/>
  <c r="P37" i="145" s="1"/>
  <c r="B46" i="125" s="1"/>
  <c r="O19" i="145"/>
  <c r="P19" i="145" s="1"/>
  <c r="B27" i="125" s="1"/>
  <c r="N4" i="145"/>
  <c r="O4" i="145" s="1"/>
  <c r="P4" i="145" s="1"/>
  <c r="B15" i="125" s="1"/>
  <c r="C15" i="125" s="1"/>
  <c r="N25" i="145"/>
  <c r="O25" i="145" s="1"/>
  <c r="P25" i="145" s="1"/>
  <c r="B32" i="125" s="1"/>
  <c r="N5" i="145"/>
  <c r="O5" i="145" s="1"/>
  <c r="P5" i="145" s="1"/>
  <c r="N34" i="145"/>
  <c r="O34" i="145" s="1"/>
  <c r="P34" i="145" s="1"/>
  <c r="N36" i="145"/>
  <c r="O36" i="145" s="1"/>
  <c r="P36" i="145" s="1"/>
  <c r="B45" i="125" s="1"/>
  <c r="C13" i="125"/>
  <c r="H15" i="42" l="1"/>
  <c r="I15" i="42" s="1"/>
  <c r="J15" i="42" s="1"/>
  <c r="F15" i="48"/>
  <c r="G15" i="48" s="1"/>
  <c r="AJ15" i="19"/>
  <c r="D15" i="48"/>
  <c r="E15" i="48" s="1"/>
  <c r="AG15" i="19"/>
  <c r="J15" i="48"/>
  <c r="K14" i="48"/>
  <c r="Q14" i="48" s="1"/>
  <c r="P14" i="48"/>
  <c r="L15" i="48"/>
  <c r="M15" i="48" s="1"/>
  <c r="P15" i="42"/>
  <c r="N15" i="42"/>
  <c r="B50" i="141" s="1"/>
  <c r="E50" i="141" s="1"/>
  <c r="O15" i="42"/>
  <c r="B86" i="140"/>
  <c r="Z15" i="19"/>
  <c r="N15" i="48"/>
  <c r="Q15" i="42"/>
  <c r="B85" i="141" s="1"/>
  <c r="E85" i="141" s="1"/>
  <c r="S15" i="42"/>
  <c r="R15" i="42"/>
  <c r="B49" i="131"/>
  <c r="F14" i="42"/>
  <c r="G14" i="42" s="1"/>
  <c r="B83" i="131"/>
  <c r="G15" i="19"/>
  <c r="E15" i="42"/>
  <c r="F15" i="42" s="1"/>
  <c r="G15" i="42" s="1"/>
  <c r="X15" i="19"/>
  <c r="M5" i="19"/>
  <c r="AF5" i="19" s="1"/>
  <c r="O5" i="19"/>
  <c r="AI5" i="19" s="1"/>
  <c r="B51" i="140"/>
  <c r="S16" i="19"/>
  <c r="R16" i="19"/>
  <c r="T16" i="19"/>
  <c r="I15" i="19"/>
  <c r="B87" i="140"/>
  <c r="B84" i="131"/>
  <c r="C83" i="131"/>
  <c r="D83" i="131" s="1"/>
  <c r="F86" i="140"/>
  <c r="E86" i="140"/>
  <c r="K86" i="140" s="1"/>
  <c r="F16" i="19"/>
  <c r="N16" i="19" s="1"/>
  <c r="H16" i="19"/>
  <c r="P16" i="19" s="1"/>
  <c r="D16" i="19"/>
  <c r="E82" i="131"/>
  <c r="G82" i="131" s="1"/>
  <c r="I82" i="131"/>
  <c r="I48" i="131"/>
  <c r="E48" i="131"/>
  <c r="G48" i="131" s="1"/>
  <c r="B17" i="19"/>
  <c r="J6" i="19"/>
  <c r="C39" i="125"/>
  <c r="C38" i="125"/>
  <c r="AE42" i="125"/>
  <c r="O42" i="125"/>
  <c r="L42" i="125"/>
  <c r="Z42" i="125"/>
  <c r="W42" i="125"/>
  <c r="AF42" i="125"/>
  <c r="S42" i="125"/>
  <c r="AB42" i="125"/>
  <c r="AA42" i="125"/>
  <c r="K42" i="125"/>
  <c r="D42" i="125"/>
  <c r="G42" i="125"/>
  <c r="N42" i="125"/>
  <c r="E42" i="125"/>
  <c r="I42" i="125"/>
  <c r="Q42" i="125"/>
  <c r="T42" i="125"/>
  <c r="F42" i="125"/>
  <c r="H42" i="125"/>
  <c r="U42" i="125"/>
  <c r="M42" i="125"/>
  <c r="AG42" i="125"/>
  <c r="X42" i="125"/>
  <c r="V42" i="125"/>
  <c r="AD42" i="125"/>
  <c r="P42" i="125"/>
  <c r="R42" i="125"/>
  <c r="Y42" i="125"/>
  <c r="AC42" i="125"/>
  <c r="J42" i="125"/>
  <c r="AG43" i="125"/>
  <c r="H43" i="125"/>
  <c r="AD43" i="125"/>
  <c r="F43" i="125"/>
  <c r="W43" i="125"/>
  <c r="AF43" i="125"/>
  <c r="M43" i="125"/>
  <c r="P43" i="125"/>
  <c r="D43" i="125"/>
  <c r="L43" i="125"/>
  <c r="S43" i="125"/>
  <c r="N43" i="125"/>
  <c r="E43" i="125"/>
  <c r="U43" i="125"/>
  <c r="X43" i="125"/>
  <c r="K43" i="125"/>
  <c r="J43" i="125"/>
  <c r="O43" i="125"/>
  <c r="AA43" i="125"/>
  <c r="R43" i="125"/>
  <c r="G43" i="125"/>
  <c r="I43" i="125"/>
  <c r="Y43" i="125"/>
  <c r="AB43" i="125"/>
  <c r="AC43" i="125"/>
  <c r="V43" i="125"/>
  <c r="Z43" i="125"/>
  <c r="AE43" i="125"/>
  <c r="Q43" i="125"/>
  <c r="T43" i="125"/>
  <c r="C22" i="148"/>
  <c r="B21" i="148"/>
  <c r="A5" i="141"/>
  <c r="A6" i="141" s="1"/>
  <c r="A7" i="141" s="1"/>
  <c r="A8" i="141" s="1"/>
  <c r="A9" i="141" s="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G6" i="140"/>
  <c r="G7" i="140" s="1"/>
  <c r="G8" i="140" s="1"/>
  <c r="C15" i="140"/>
  <c r="C16" i="140"/>
  <c r="C17" i="140"/>
  <c r="C18" i="140"/>
  <c r="C19" i="140"/>
  <c r="C20" i="140"/>
  <c r="C21" i="140"/>
  <c r="C22" i="140"/>
  <c r="C23" i="140"/>
  <c r="C24" i="140"/>
  <c r="C25" i="140"/>
  <c r="C26" i="140"/>
  <c r="C27" i="140"/>
  <c r="C28" i="140"/>
  <c r="C29" i="140"/>
  <c r="C30" i="140"/>
  <c r="C31" i="140"/>
  <c r="C32" i="140"/>
  <c r="C33" i="140"/>
  <c r="C34" i="140"/>
  <c r="C35" i="140"/>
  <c r="E51" i="140" l="1"/>
  <c r="K51" i="140" s="1"/>
  <c r="C49" i="131"/>
  <c r="D49" i="131" s="1"/>
  <c r="E49" i="131" s="1"/>
  <c r="G49" i="131" s="1"/>
  <c r="K15" i="48"/>
  <c r="P15" i="48"/>
  <c r="O15" i="48"/>
  <c r="Z16" i="19"/>
  <c r="N16" i="48"/>
  <c r="S16" i="42"/>
  <c r="R16" i="42"/>
  <c r="Q16" i="42"/>
  <c r="B86" i="141" s="1"/>
  <c r="E86" i="141" s="1"/>
  <c r="H16" i="42"/>
  <c r="I16" i="42" s="1"/>
  <c r="J16" i="42" s="1"/>
  <c r="F16" i="48"/>
  <c r="G16" i="48" s="1"/>
  <c r="AJ16" i="19"/>
  <c r="J16" i="48"/>
  <c r="D16" i="48"/>
  <c r="E16" i="48" s="1"/>
  <c r="AG16" i="19"/>
  <c r="L16" i="48"/>
  <c r="M16" i="48" s="1"/>
  <c r="O16" i="48" s="1"/>
  <c r="O16" i="42"/>
  <c r="N16" i="42"/>
  <c r="B51" i="141" s="1"/>
  <c r="E51" i="141" s="1"/>
  <c r="P16" i="42"/>
  <c r="B52" i="140"/>
  <c r="B50" i="131"/>
  <c r="F51" i="140"/>
  <c r="E16" i="42"/>
  <c r="B53" i="140" s="1"/>
  <c r="M6" i="19"/>
  <c r="AF6" i="19" s="1"/>
  <c r="O6" i="19"/>
  <c r="AI6" i="19" s="1"/>
  <c r="X16" i="19"/>
  <c r="S17" i="19"/>
  <c r="R17" i="19"/>
  <c r="T17" i="19"/>
  <c r="I16" i="19"/>
  <c r="D17" i="19"/>
  <c r="H17" i="19"/>
  <c r="P17" i="19" s="1"/>
  <c r="F17" i="19"/>
  <c r="N17" i="19" s="1"/>
  <c r="E83" i="131"/>
  <c r="G83" i="131" s="1"/>
  <c r="I83" i="131"/>
  <c r="G16" i="19"/>
  <c r="C50" i="131"/>
  <c r="D50" i="131" s="1"/>
  <c r="F52" i="140"/>
  <c r="E52" i="140"/>
  <c r="K52" i="140" s="1"/>
  <c r="E87" i="140"/>
  <c r="K87" i="140" s="1"/>
  <c r="C84" i="131"/>
  <c r="D84" i="131" s="1"/>
  <c r="F87" i="140"/>
  <c r="H34" i="160"/>
  <c r="B18" i="19"/>
  <c r="J7" i="19"/>
  <c r="M38" i="125"/>
  <c r="E38" i="125"/>
  <c r="G38" i="125"/>
  <c r="Z38" i="125"/>
  <c r="AC38" i="125"/>
  <c r="R38" i="125"/>
  <c r="I38" i="125"/>
  <c r="S38" i="125"/>
  <c r="U38" i="125"/>
  <c r="AB38" i="125"/>
  <c r="AA38" i="125"/>
  <c r="X38" i="125"/>
  <c r="AG38" i="125"/>
  <c r="O38" i="125"/>
  <c r="K38" i="125"/>
  <c r="N38" i="125"/>
  <c r="H38" i="125"/>
  <c r="J38" i="125"/>
  <c r="T38" i="125"/>
  <c r="AE38" i="125"/>
  <c r="AD38" i="125"/>
  <c r="L38" i="125"/>
  <c r="D38" i="125"/>
  <c r="Q38" i="125"/>
  <c r="W38" i="125"/>
  <c r="P38" i="125"/>
  <c r="F38" i="125"/>
  <c r="AF38" i="125"/>
  <c r="V38" i="125"/>
  <c r="Y38" i="125"/>
  <c r="W39" i="125"/>
  <c r="AD39" i="125"/>
  <c r="S39" i="125"/>
  <c r="R39" i="125"/>
  <c r="M39" i="125"/>
  <c r="X39" i="125"/>
  <c r="AC39" i="125"/>
  <c r="Q39" i="125"/>
  <c r="U39" i="125"/>
  <c r="Z39" i="125"/>
  <c r="T39" i="125"/>
  <c r="AB39" i="125"/>
  <c r="N39" i="125"/>
  <c r="V39" i="125"/>
  <c r="Y39" i="125"/>
  <c r="AE39" i="125"/>
  <c r="H39" i="125"/>
  <c r="P39" i="125"/>
  <c r="O39" i="125"/>
  <c r="AA39" i="125"/>
  <c r="AG39" i="125"/>
  <c r="F39" i="125"/>
  <c r="L39" i="125"/>
  <c r="K39" i="125"/>
  <c r="D39" i="125"/>
  <c r="AF39" i="125"/>
  <c r="I39" i="125"/>
  <c r="G39" i="125"/>
  <c r="J39" i="125"/>
  <c r="E39" i="125"/>
  <c r="C23" i="148"/>
  <c r="B22" i="148"/>
  <c r="I6" i="140"/>
  <c r="G9" i="140"/>
  <c r="I7" i="140"/>
  <c r="A7" i="140"/>
  <c r="A8" i="140" s="1"/>
  <c r="A9" i="140" s="1"/>
  <c r="A10" i="140" s="1"/>
  <c r="A11" i="140" s="1"/>
  <c r="A12" i="140" s="1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B88" i="140" l="1"/>
  <c r="B85" i="131"/>
  <c r="I49" i="131"/>
  <c r="D17" i="48"/>
  <c r="E17" i="48" s="1"/>
  <c r="AG17" i="19"/>
  <c r="Z17" i="19"/>
  <c r="N17" i="48"/>
  <c r="Q17" i="42"/>
  <c r="B87" i="141" s="1"/>
  <c r="E87" i="141" s="1"/>
  <c r="S17" i="42"/>
  <c r="R17" i="42"/>
  <c r="Q15" i="48"/>
  <c r="H17" i="42"/>
  <c r="I17" i="42" s="1"/>
  <c r="J17" i="42" s="1"/>
  <c r="F17" i="48"/>
  <c r="G17" i="48" s="1"/>
  <c r="AJ17" i="19"/>
  <c r="J17" i="48"/>
  <c r="L17" i="48"/>
  <c r="M17" i="48" s="1"/>
  <c r="O17" i="48" s="1"/>
  <c r="P17" i="42"/>
  <c r="O17" i="42"/>
  <c r="N17" i="42"/>
  <c r="B52" i="141" s="1"/>
  <c r="E52" i="141" s="1"/>
  <c r="B51" i="131"/>
  <c r="F16" i="42"/>
  <c r="G16" i="42" s="1"/>
  <c r="F53" i="140" s="1"/>
  <c r="P16" i="48"/>
  <c r="K16" i="48"/>
  <c r="Q16" i="48" s="1"/>
  <c r="M7" i="19"/>
  <c r="AF7" i="19" s="1"/>
  <c r="O7" i="19"/>
  <c r="AI7" i="19" s="1"/>
  <c r="E17" i="42"/>
  <c r="B52" i="131" s="1"/>
  <c r="X17" i="19"/>
  <c r="T18" i="19"/>
  <c r="S18" i="19"/>
  <c r="R18" i="19"/>
  <c r="C85" i="131"/>
  <c r="D85" i="131" s="1"/>
  <c r="E88" i="140"/>
  <c r="K88" i="140" s="1"/>
  <c r="F88" i="140"/>
  <c r="D18" i="19"/>
  <c r="F18" i="19"/>
  <c r="N18" i="19" s="1"/>
  <c r="H18" i="19"/>
  <c r="P18" i="19" s="1"/>
  <c r="I17" i="19"/>
  <c r="E84" i="131"/>
  <c r="G84" i="131" s="1"/>
  <c r="I84" i="131"/>
  <c r="E50" i="131"/>
  <c r="G50" i="131" s="1"/>
  <c r="I50" i="131"/>
  <c r="G17" i="19"/>
  <c r="I34" i="160"/>
  <c r="B19" i="19"/>
  <c r="J8" i="19"/>
  <c r="B23" i="148"/>
  <c r="C24" i="148"/>
  <c r="C5" i="141"/>
  <c r="E5" i="141" s="1"/>
  <c r="G10" i="140"/>
  <c r="I8" i="140"/>
  <c r="B86" i="131" l="1"/>
  <c r="C51" i="131"/>
  <c r="D51" i="131" s="1"/>
  <c r="I51" i="131" s="1"/>
  <c r="E53" i="140"/>
  <c r="K53" i="140" s="1"/>
  <c r="J18" i="48"/>
  <c r="L18" i="48"/>
  <c r="M18" i="48" s="1"/>
  <c r="O18" i="48" s="1"/>
  <c r="N18" i="42"/>
  <c r="B53" i="141" s="1"/>
  <c r="E53" i="141" s="1"/>
  <c r="P18" i="42"/>
  <c r="O18" i="42"/>
  <c r="Z18" i="19"/>
  <c r="N18" i="48"/>
  <c r="Q18" i="42"/>
  <c r="B88" i="141" s="1"/>
  <c r="E88" i="141" s="1"/>
  <c r="S18" i="42"/>
  <c r="R18" i="42"/>
  <c r="D18" i="48"/>
  <c r="E18" i="48" s="1"/>
  <c r="AG18" i="19"/>
  <c r="B54" i="140"/>
  <c r="F17" i="42"/>
  <c r="G17" i="42" s="1"/>
  <c r="F54" i="140" s="1"/>
  <c r="H18" i="42"/>
  <c r="I18" i="42" s="1"/>
  <c r="J18" i="42" s="1"/>
  <c r="F18" i="48"/>
  <c r="G18" i="48" s="1"/>
  <c r="AJ18" i="19"/>
  <c r="B89" i="140"/>
  <c r="K17" i="48"/>
  <c r="Q17" i="48" s="1"/>
  <c r="P17" i="48"/>
  <c r="M8" i="19"/>
  <c r="AF8" i="19" s="1"/>
  <c r="O8" i="19"/>
  <c r="AI8" i="19" s="1"/>
  <c r="X18" i="19"/>
  <c r="E18" i="42"/>
  <c r="F18" i="42" s="1"/>
  <c r="G18" i="42" s="1"/>
  <c r="T19" i="19"/>
  <c r="S19" i="19"/>
  <c r="R19" i="19"/>
  <c r="I18" i="19"/>
  <c r="G18" i="19"/>
  <c r="F89" i="140"/>
  <c r="C86" i="131"/>
  <c r="D86" i="131" s="1"/>
  <c r="E89" i="140"/>
  <c r="K89" i="140" s="1"/>
  <c r="E85" i="131"/>
  <c r="G85" i="131" s="1"/>
  <c r="I85" i="131"/>
  <c r="H19" i="19"/>
  <c r="P19" i="19" s="1"/>
  <c r="F19" i="19"/>
  <c r="N19" i="19" s="1"/>
  <c r="D19" i="19"/>
  <c r="B20" i="19"/>
  <c r="J9" i="19"/>
  <c r="B24" i="148"/>
  <c r="C25" i="148"/>
  <c r="G11" i="140"/>
  <c r="G12" i="140" s="1"/>
  <c r="E51" i="131" l="1"/>
  <c r="G51" i="131" s="1"/>
  <c r="D19" i="48"/>
  <c r="E19" i="48" s="1"/>
  <c r="AG19" i="19"/>
  <c r="H19" i="42"/>
  <c r="I19" i="42" s="1"/>
  <c r="J19" i="42" s="1"/>
  <c r="F19" i="48"/>
  <c r="G19" i="48" s="1"/>
  <c r="AJ19" i="19"/>
  <c r="K18" i="48"/>
  <c r="Q18" i="48" s="1"/>
  <c r="P18" i="48"/>
  <c r="Z19" i="19"/>
  <c r="N19" i="48"/>
  <c r="S19" i="42"/>
  <c r="R19" i="42"/>
  <c r="Q19" i="42"/>
  <c r="B89" i="141" s="1"/>
  <c r="E89" i="141" s="1"/>
  <c r="B90" i="140"/>
  <c r="J19" i="48"/>
  <c r="L19" i="48"/>
  <c r="M19" i="48" s="1"/>
  <c r="O19" i="48" s="1"/>
  <c r="N19" i="42"/>
  <c r="B54" i="141" s="1"/>
  <c r="E54" i="141" s="1"/>
  <c r="O19" i="42"/>
  <c r="P19" i="42"/>
  <c r="B87" i="131"/>
  <c r="E54" i="140"/>
  <c r="K54" i="140" s="1"/>
  <c r="C52" i="131"/>
  <c r="D52" i="131" s="1"/>
  <c r="I52" i="131" s="1"/>
  <c r="X19" i="19"/>
  <c r="O9" i="19"/>
  <c r="AI9" i="19" s="1"/>
  <c r="M9" i="19"/>
  <c r="AF9" i="19" s="1"/>
  <c r="E19" i="42"/>
  <c r="B54" i="131" s="1"/>
  <c r="B55" i="140"/>
  <c r="B53" i="131"/>
  <c r="T20" i="19"/>
  <c r="S20" i="19"/>
  <c r="R20" i="19"/>
  <c r="I19" i="19"/>
  <c r="G19" i="19"/>
  <c r="H20" i="19"/>
  <c r="P20" i="19" s="1"/>
  <c r="F20" i="19"/>
  <c r="N20" i="19" s="1"/>
  <c r="D20" i="19"/>
  <c r="F90" i="140"/>
  <c r="E90" i="140"/>
  <c r="K90" i="140" s="1"/>
  <c r="C87" i="131"/>
  <c r="D87" i="131" s="1"/>
  <c r="F55" i="140"/>
  <c r="E55" i="140"/>
  <c r="K55" i="140" s="1"/>
  <c r="C53" i="131"/>
  <c r="D53" i="131" s="1"/>
  <c r="I86" i="131"/>
  <c r="E86" i="131"/>
  <c r="G86" i="131" s="1"/>
  <c r="B21" i="19"/>
  <c r="J10" i="19"/>
  <c r="C26" i="148"/>
  <c r="B25" i="148"/>
  <c r="C8" i="141"/>
  <c r="E8" i="141" s="1"/>
  <c r="I9" i="140"/>
  <c r="I10" i="140"/>
  <c r="B88" i="131" l="1"/>
  <c r="B91" i="140"/>
  <c r="E52" i="131"/>
  <c r="G52" i="131" s="1"/>
  <c r="L20" i="48"/>
  <c r="M20" i="48" s="1"/>
  <c r="O20" i="48" s="1"/>
  <c r="N20" i="42"/>
  <c r="B55" i="141" s="1"/>
  <c r="E55" i="141" s="1"/>
  <c r="P20" i="42"/>
  <c r="O20" i="42"/>
  <c r="Z20" i="19"/>
  <c r="N20" i="48"/>
  <c r="R20" i="42"/>
  <c r="S20" i="42"/>
  <c r="Q20" i="42"/>
  <c r="B90" i="141" s="1"/>
  <c r="E90" i="141" s="1"/>
  <c r="J20" i="48"/>
  <c r="K19" i="48"/>
  <c r="Q19" i="48" s="1"/>
  <c r="P19" i="48"/>
  <c r="B56" i="140"/>
  <c r="F19" i="42"/>
  <c r="G19" i="42" s="1"/>
  <c r="F56" i="140" s="1"/>
  <c r="D20" i="48"/>
  <c r="E20" i="48" s="1"/>
  <c r="AG20" i="19"/>
  <c r="H20" i="42"/>
  <c r="I20" i="42" s="1"/>
  <c r="J20" i="42" s="1"/>
  <c r="F20" i="48"/>
  <c r="G20" i="48" s="1"/>
  <c r="AJ20" i="19"/>
  <c r="X20" i="19"/>
  <c r="O10" i="19"/>
  <c r="AI10" i="19" s="1"/>
  <c r="M10" i="19"/>
  <c r="AF10" i="19" s="1"/>
  <c r="E20" i="42"/>
  <c r="F20" i="42" s="1"/>
  <c r="G20" i="42" s="1"/>
  <c r="T21" i="19"/>
  <c r="S21" i="19"/>
  <c r="R21" i="19"/>
  <c r="I20" i="19"/>
  <c r="G20" i="19"/>
  <c r="F21" i="19"/>
  <c r="N21" i="19" s="1"/>
  <c r="D21" i="19"/>
  <c r="H21" i="19"/>
  <c r="P21" i="19" s="1"/>
  <c r="E91" i="140"/>
  <c r="K91" i="140" s="1"/>
  <c r="C88" i="131"/>
  <c r="D88" i="131" s="1"/>
  <c r="F91" i="140"/>
  <c r="E53" i="131"/>
  <c r="G53" i="131" s="1"/>
  <c r="I53" i="131"/>
  <c r="E87" i="131"/>
  <c r="G87" i="131" s="1"/>
  <c r="I87" i="131"/>
  <c r="B22" i="19"/>
  <c r="J11" i="19"/>
  <c r="B26" i="148"/>
  <c r="C27" i="148"/>
  <c r="C9" i="141"/>
  <c r="E9" i="141" s="1"/>
  <c r="G13" i="140"/>
  <c r="B55" i="131" l="1"/>
  <c r="B89" i="131"/>
  <c r="B92" i="140"/>
  <c r="H21" i="42"/>
  <c r="I21" i="42" s="1"/>
  <c r="J21" i="42" s="1"/>
  <c r="F21" i="48"/>
  <c r="G21" i="48" s="1"/>
  <c r="AJ21" i="19"/>
  <c r="J21" i="48"/>
  <c r="K20" i="48"/>
  <c r="Q20" i="48" s="1"/>
  <c r="P20" i="48"/>
  <c r="D21" i="48"/>
  <c r="E21" i="48" s="1"/>
  <c r="AG21" i="19"/>
  <c r="L21" i="48"/>
  <c r="M21" i="48" s="1"/>
  <c r="O21" i="48" s="1"/>
  <c r="O21" i="42"/>
  <c r="N21" i="42"/>
  <c r="B56" i="141" s="1"/>
  <c r="E56" i="141" s="1"/>
  <c r="P21" i="42"/>
  <c r="Z21" i="19"/>
  <c r="N21" i="48"/>
  <c r="R21" i="42"/>
  <c r="S21" i="42"/>
  <c r="Q21" i="42"/>
  <c r="B91" i="141" s="1"/>
  <c r="E91" i="141" s="1"/>
  <c r="C54" i="131"/>
  <c r="D54" i="131" s="1"/>
  <c r="I54" i="131" s="1"/>
  <c r="E56" i="140"/>
  <c r="K56" i="140" s="1"/>
  <c r="O11" i="19"/>
  <c r="AI11" i="19" s="1"/>
  <c r="M11" i="19"/>
  <c r="AF11" i="19" s="1"/>
  <c r="X21" i="19"/>
  <c r="E21" i="42"/>
  <c r="B57" i="140"/>
  <c r="T22" i="19"/>
  <c r="R22" i="19"/>
  <c r="S22" i="19"/>
  <c r="I21" i="19"/>
  <c r="G21" i="19"/>
  <c r="D22" i="19"/>
  <c r="F22" i="19"/>
  <c r="N22" i="19" s="1"/>
  <c r="H22" i="19"/>
  <c r="P22" i="19" s="1"/>
  <c r="I88" i="131"/>
  <c r="E88" i="131"/>
  <c r="G88" i="131" s="1"/>
  <c r="E57" i="140"/>
  <c r="K57" i="140" s="1"/>
  <c r="F57" i="140"/>
  <c r="C55" i="131"/>
  <c r="D55" i="131" s="1"/>
  <c r="C89" i="131"/>
  <c r="D89" i="131" s="1"/>
  <c r="F92" i="140"/>
  <c r="E92" i="140"/>
  <c r="K92" i="140" s="1"/>
  <c r="B23" i="19"/>
  <c r="C10" i="141"/>
  <c r="E10" i="141" s="1"/>
  <c r="J12" i="19"/>
  <c r="C28" i="148"/>
  <c r="B27" i="148"/>
  <c r="I11" i="140"/>
  <c r="G14" i="140"/>
  <c r="B93" i="140" l="1"/>
  <c r="B90" i="131"/>
  <c r="E54" i="131"/>
  <c r="G54" i="131" s="1"/>
  <c r="J22" i="48"/>
  <c r="K21" i="48"/>
  <c r="Q21" i="48" s="1"/>
  <c r="P21" i="48"/>
  <c r="L22" i="48"/>
  <c r="M22" i="48" s="1"/>
  <c r="O22" i="48" s="1"/>
  <c r="O22" i="42"/>
  <c r="P22" i="42"/>
  <c r="N22" i="42"/>
  <c r="B57" i="141" s="1"/>
  <c r="E57" i="141" s="1"/>
  <c r="Z22" i="19"/>
  <c r="N22" i="48"/>
  <c r="R22" i="42"/>
  <c r="S22" i="42"/>
  <c r="Q22" i="42"/>
  <c r="B92" i="141" s="1"/>
  <c r="E92" i="141" s="1"/>
  <c r="B56" i="131"/>
  <c r="F21" i="42"/>
  <c r="G21" i="42" s="1"/>
  <c r="F58" i="140" s="1"/>
  <c r="H22" i="42"/>
  <c r="I22" i="42" s="1"/>
  <c r="J22" i="42" s="1"/>
  <c r="F22" i="48"/>
  <c r="G22" i="48" s="1"/>
  <c r="AJ22" i="19"/>
  <c r="D22" i="48"/>
  <c r="E22" i="48" s="1"/>
  <c r="AG22" i="19"/>
  <c r="B58" i="140"/>
  <c r="E22" i="42"/>
  <c r="F22" i="42" s="1"/>
  <c r="G22" i="42" s="1"/>
  <c r="M12" i="19"/>
  <c r="AF12" i="19" s="1"/>
  <c r="O12" i="19"/>
  <c r="AI12" i="19" s="1"/>
  <c r="X22" i="19"/>
  <c r="R23" i="19"/>
  <c r="T23" i="19"/>
  <c r="S23" i="19"/>
  <c r="I22" i="19"/>
  <c r="G22" i="19"/>
  <c r="E55" i="131"/>
  <c r="G55" i="131" s="1"/>
  <c r="I55" i="131"/>
  <c r="E93" i="140"/>
  <c r="K93" i="140" s="1"/>
  <c r="C90" i="131"/>
  <c r="D90" i="131" s="1"/>
  <c r="F93" i="140"/>
  <c r="D23" i="19"/>
  <c r="F23" i="19"/>
  <c r="N23" i="19" s="1"/>
  <c r="H23" i="19"/>
  <c r="P23" i="19" s="1"/>
  <c r="I89" i="131"/>
  <c r="E89" i="131"/>
  <c r="G89" i="131" s="1"/>
  <c r="B24" i="19"/>
  <c r="C11" i="141"/>
  <c r="E11" i="141" s="1"/>
  <c r="J13" i="19"/>
  <c r="B28" i="148"/>
  <c r="C29" i="148"/>
  <c r="I12" i="140"/>
  <c r="G15" i="140"/>
  <c r="B57" i="131" l="1"/>
  <c r="Z23" i="19"/>
  <c r="N23" i="48"/>
  <c r="R23" i="42"/>
  <c r="Q23" i="42"/>
  <c r="B93" i="141" s="1"/>
  <c r="E93" i="141" s="1"/>
  <c r="S23" i="42"/>
  <c r="H23" i="42"/>
  <c r="I23" i="42" s="1"/>
  <c r="J23" i="42" s="1"/>
  <c r="F23" i="48"/>
  <c r="G23" i="48" s="1"/>
  <c r="AJ23" i="19"/>
  <c r="J23" i="48"/>
  <c r="D23" i="48"/>
  <c r="E23" i="48" s="1"/>
  <c r="AG23" i="19"/>
  <c r="L23" i="48"/>
  <c r="M23" i="48" s="1"/>
  <c r="O23" i="48" s="1"/>
  <c r="O23" i="42"/>
  <c r="N23" i="42"/>
  <c r="B58" i="141" s="1"/>
  <c r="E58" i="141" s="1"/>
  <c r="P23" i="42"/>
  <c r="C56" i="131"/>
  <c r="D56" i="131" s="1"/>
  <c r="I56" i="131" s="1"/>
  <c r="P22" i="48"/>
  <c r="K22" i="48"/>
  <c r="Q22" i="48" s="1"/>
  <c r="B94" i="140"/>
  <c r="E58" i="140"/>
  <c r="K58" i="140" s="1"/>
  <c r="B91" i="131"/>
  <c r="B59" i="140"/>
  <c r="E23" i="42"/>
  <c r="F23" i="42" s="1"/>
  <c r="G23" i="42" s="1"/>
  <c r="O13" i="19"/>
  <c r="AI13" i="19" s="1"/>
  <c r="M13" i="19"/>
  <c r="AF13" i="19" s="1"/>
  <c r="X23" i="19"/>
  <c r="R24" i="19"/>
  <c r="T24" i="19"/>
  <c r="S24" i="19"/>
  <c r="G23" i="19"/>
  <c r="E94" i="140"/>
  <c r="K94" i="140" s="1"/>
  <c r="F94" i="140"/>
  <c r="C91" i="131"/>
  <c r="D91" i="131" s="1"/>
  <c r="E90" i="131"/>
  <c r="G90" i="131" s="1"/>
  <c r="I90" i="131"/>
  <c r="D24" i="19"/>
  <c r="H24" i="19"/>
  <c r="P24" i="19" s="1"/>
  <c r="F24" i="19"/>
  <c r="N24" i="19" s="1"/>
  <c r="I23" i="19"/>
  <c r="C57" i="131"/>
  <c r="D57" i="131" s="1"/>
  <c r="E59" i="140"/>
  <c r="K59" i="140" s="1"/>
  <c r="F59" i="140"/>
  <c r="B25" i="19"/>
  <c r="C12" i="141"/>
  <c r="J14" i="19"/>
  <c r="C30" i="148"/>
  <c r="B29" i="148"/>
  <c r="I13" i="140"/>
  <c r="G16" i="140"/>
  <c r="E56" i="131" l="1"/>
  <c r="G56" i="131" s="1"/>
  <c r="B92" i="131"/>
  <c r="B58" i="131"/>
  <c r="B60" i="140"/>
  <c r="H24" i="42"/>
  <c r="I24" i="42" s="1"/>
  <c r="J24" i="42" s="1"/>
  <c r="F24" i="48"/>
  <c r="G24" i="48" s="1"/>
  <c r="AJ24" i="19"/>
  <c r="K23" i="48"/>
  <c r="Q23" i="48" s="1"/>
  <c r="P23" i="48"/>
  <c r="L24" i="48"/>
  <c r="M24" i="48" s="1"/>
  <c r="O24" i="48" s="1"/>
  <c r="O24" i="42"/>
  <c r="N24" i="42"/>
  <c r="B59" i="141" s="1"/>
  <c r="E59" i="141" s="1"/>
  <c r="P24" i="42"/>
  <c r="Z24" i="19"/>
  <c r="N24" i="48"/>
  <c r="Q24" i="42"/>
  <c r="B94" i="141" s="1"/>
  <c r="E94" i="141" s="1"/>
  <c r="S24" i="42"/>
  <c r="R24" i="42"/>
  <c r="J24" i="48"/>
  <c r="D24" i="48"/>
  <c r="E24" i="48" s="1"/>
  <c r="AG24" i="19"/>
  <c r="B95" i="140"/>
  <c r="O14" i="19"/>
  <c r="AI14" i="19" s="1"/>
  <c r="M14" i="19"/>
  <c r="AF14" i="19" s="1"/>
  <c r="X24" i="19"/>
  <c r="E24" i="42"/>
  <c r="F24" i="42" s="1"/>
  <c r="G24" i="42" s="1"/>
  <c r="R25" i="19"/>
  <c r="T25" i="19"/>
  <c r="S25" i="19"/>
  <c r="G24" i="19"/>
  <c r="I24" i="19"/>
  <c r="E57" i="131"/>
  <c r="G57" i="131" s="1"/>
  <c r="I57" i="131"/>
  <c r="E95" i="140"/>
  <c r="K95" i="140" s="1"/>
  <c r="C92" i="131"/>
  <c r="D92" i="131" s="1"/>
  <c r="F95" i="140"/>
  <c r="C58" i="131"/>
  <c r="D58" i="131" s="1"/>
  <c r="E60" i="140"/>
  <c r="K60" i="140" s="1"/>
  <c r="F60" i="140"/>
  <c r="E91" i="131"/>
  <c r="G91" i="131" s="1"/>
  <c r="I91" i="131"/>
  <c r="H25" i="19"/>
  <c r="P25" i="19" s="1"/>
  <c r="D25" i="19"/>
  <c r="F25" i="19"/>
  <c r="N25" i="19" s="1"/>
  <c r="C13" i="141"/>
  <c r="E12" i="141"/>
  <c r="B26" i="19"/>
  <c r="J15" i="19"/>
  <c r="B30" i="148"/>
  <c r="C31" i="148"/>
  <c r="I14" i="140"/>
  <c r="G17" i="140"/>
  <c r="B96" i="140" l="1"/>
  <c r="B93" i="131"/>
  <c r="B61" i="140"/>
  <c r="C14" i="141"/>
  <c r="C15" i="141" s="1"/>
  <c r="H25" i="42"/>
  <c r="I25" i="42" s="1"/>
  <c r="J25" i="42" s="1"/>
  <c r="F25" i="48"/>
  <c r="G25" i="48" s="1"/>
  <c r="AJ25" i="19"/>
  <c r="K24" i="48"/>
  <c r="Q24" i="48" s="1"/>
  <c r="P24" i="48"/>
  <c r="D25" i="48"/>
  <c r="E25" i="48" s="1"/>
  <c r="AG25" i="19"/>
  <c r="L25" i="48"/>
  <c r="M25" i="48" s="1"/>
  <c r="O25" i="48" s="1"/>
  <c r="O25" i="42"/>
  <c r="N25" i="42"/>
  <c r="B60" i="141" s="1"/>
  <c r="E60" i="141" s="1"/>
  <c r="P25" i="42"/>
  <c r="Z25" i="19"/>
  <c r="N25" i="48"/>
  <c r="R25" i="42"/>
  <c r="Q25" i="42"/>
  <c r="B95" i="141" s="1"/>
  <c r="E95" i="141" s="1"/>
  <c r="S25" i="42"/>
  <c r="J25" i="48"/>
  <c r="E25" i="42"/>
  <c r="F25" i="42" s="1"/>
  <c r="G25" i="42" s="1"/>
  <c r="M15" i="19"/>
  <c r="AF15" i="19" s="1"/>
  <c r="O15" i="19"/>
  <c r="AI15" i="19" s="1"/>
  <c r="X25" i="19"/>
  <c r="B59" i="131"/>
  <c r="S26" i="19"/>
  <c r="R26" i="19"/>
  <c r="T26" i="19"/>
  <c r="G25" i="19"/>
  <c r="I25" i="19"/>
  <c r="F61" i="140"/>
  <c r="C59" i="131"/>
  <c r="D59" i="131" s="1"/>
  <c r="E61" i="140"/>
  <c r="K61" i="140" s="1"/>
  <c r="E96" i="140"/>
  <c r="K96" i="140" s="1"/>
  <c r="C93" i="131"/>
  <c r="D93" i="131" s="1"/>
  <c r="F96" i="140"/>
  <c r="I92" i="131"/>
  <c r="E92" i="131"/>
  <c r="G92" i="131" s="1"/>
  <c r="E58" i="131"/>
  <c r="G58" i="131" s="1"/>
  <c r="I58" i="131"/>
  <c r="F26" i="19"/>
  <c r="N26" i="19" s="1"/>
  <c r="H26" i="19"/>
  <c r="P26" i="19" s="1"/>
  <c r="D26" i="19"/>
  <c r="B27" i="19"/>
  <c r="J16" i="19"/>
  <c r="C32" i="148"/>
  <c r="B31" i="148"/>
  <c r="I15" i="140"/>
  <c r="G18" i="140"/>
  <c r="B97" i="140" l="1"/>
  <c r="B94" i="131"/>
  <c r="D26" i="48"/>
  <c r="E26" i="48" s="1"/>
  <c r="AG26" i="19"/>
  <c r="K25" i="48"/>
  <c r="Q25" i="48" s="1"/>
  <c r="P25" i="48"/>
  <c r="H26" i="42"/>
  <c r="I26" i="42" s="1"/>
  <c r="J26" i="42" s="1"/>
  <c r="F26" i="48"/>
  <c r="G26" i="48" s="1"/>
  <c r="AJ26" i="19"/>
  <c r="B62" i="140"/>
  <c r="Z26" i="19"/>
  <c r="N26" i="48"/>
  <c r="Q26" i="42"/>
  <c r="B96" i="141" s="1"/>
  <c r="E96" i="141" s="1"/>
  <c r="S26" i="42"/>
  <c r="R26" i="42"/>
  <c r="J26" i="48"/>
  <c r="L26" i="48"/>
  <c r="M26" i="48" s="1"/>
  <c r="O26" i="48" s="1"/>
  <c r="O26" i="42"/>
  <c r="N26" i="42"/>
  <c r="B61" i="141" s="1"/>
  <c r="E61" i="141" s="1"/>
  <c r="P26" i="42"/>
  <c r="B60" i="131"/>
  <c r="O16" i="19"/>
  <c r="AI16" i="19" s="1"/>
  <c r="M16" i="19"/>
  <c r="AF16" i="19" s="1"/>
  <c r="E26" i="42"/>
  <c r="X26" i="19"/>
  <c r="S27" i="19"/>
  <c r="R27" i="19"/>
  <c r="T27" i="19"/>
  <c r="G26" i="19"/>
  <c r="I26" i="19"/>
  <c r="H27" i="19"/>
  <c r="P27" i="19" s="1"/>
  <c r="F27" i="19"/>
  <c r="N27" i="19" s="1"/>
  <c r="D27" i="19"/>
  <c r="E97" i="140"/>
  <c r="K97" i="140" s="1"/>
  <c r="C94" i="131"/>
  <c r="D94" i="131" s="1"/>
  <c r="F97" i="140"/>
  <c r="E93" i="131"/>
  <c r="G93" i="131" s="1"/>
  <c r="I93" i="131"/>
  <c r="E59" i="131"/>
  <c r="G59" i="131" s="1"/>
  <c r="I59" i="131"/>
  <c r="C60" i="131"/>
  <c r="D60" i="131" s="1"/>
  <c r="E62" i="140"/>
  <c r="K62" i="140" s="1"/>
  <c r="F62" i="140"/>
  <c r="B28" i="19"/>
  <c r="J17" i="19"/>
  <c r="B32" i="148"/>
  <c r="C33" i="148"/>
  <c r="C16" i="141"/>
  <c r="I16" i="140"/>
  <c r="G19" i="140"/>
  <c r="H27" i="42" l="1"/>
  <c r="I27" i="42" s="1"/>
  <c r="J27" i="42" s="1"/>
  <c r="F27" i="48"/>
  <c r="G27" i="48" s="1"/>
  <c r="AJ27" i="19"/>
  <c r="K26" i="48"/>
  <c r="Q26" i="48" s="1"/>
  <c r="P26" i="48"/>
  <c r="Z27" i="19"/>
  <c r="N27" i="48"/>
  <c r="Q27" i="42"/>
  <c r="B97" i="141" s="1"/>
  <c r="E97" i="141" s="1"/>
  <c r="S27" i="42"/>
  <c r="R27" i="42"/>
  <c r="D27" i="48"/>
  <c r="E27" i="48" s="1"/>
  <c r="AG27" i="19"/>
  <c r="B95" i="131"/>
  <c r="B61" i="131"/>
  <c r="F26" i="42"/>
  <c r="G26" i="42" s="1"/>
  <c r="F63" i="140" s="1"/>
  <c r="J27" i="48"/>
  <c r="L27" i="48"/>
  <c r="M27" i="48" s="1"/>
  <c r="O27" i="48" s="1"/>
  <c r="P27" i="42"/>
  <c r="O27" i="42"/>
  <c r="N27" i="42"/>
  <c r="B62" i="141" s="1"/>
  <c r="E62" i="141" s="1"/>
  <c r="B98" i="140"/>
  <c r="B63" i="140"/>
  <c r="X27" i="19"/>
  <c r="E27" i="42"/>
  <c r="F27" i="42" s="1"/>
  <c r="G27" i="42" s="1"/>
  <c r="M17" i="19"/>
  <c r="AF17" i="19" s="1"/>
  <c r="O17" i="19"/>
  <c r="AI17" i="19" s="1"/>
  <c r="S28" i="19"/>
  <c r="R28" i="19"/>
  <c r="T28" i="19"/>
  <c r="I27" i="19"/>
  <c r="G27" i="19"/>
  <c r="H28" i="19"/>
  <c r="P28" i="19" s="1"/>
  <c r="D28" i="19"/>
  <c r="F28" i="19"/>
  <c r="N28" i="19" s="1"/>
  <c r="E94" i="131"/>
  <c r="G94" i="131" s="1"/>
  <c r="I94" i="131"/>
  <c r="C95" i="131"/>
  <c r="D95" i="131" s="1"/>
  <c r="E98" i="140"/>
  <c r="K98" i="140" s="1"/>
  <c r="F98" i="140"/>
  <c r="E60" i="131"/>
  <c r="G60" i="131" s="1"/>
  <c r="I60" i="131"/>
  <c r="B99" i="140"/>
  <c r="B96" i="131"/>
  <c r="B29" i="19"/>
  <c r="J18" i="19"/>
  <c r="C34" i="148"/>
  <c r="B33" i="148"/>
  <c r="C17" i="141"/>
  <c r="I17" i="140"/>
  <c r="G20" i="140"/>
  <c r="C61" i="131" l="1"/>
  <c r="D61" i="131" s="1"/>
  <c r="I61" i="131" s="1"/>
  <c r="B64" i="140"/>
  <c r="B62" i="131"/>
  <c r="Z28" i="19"/>
  <c r="N28" i="48"/>
  <c r="S28" i="42"/>
  <c r="R28" i="42"/>
  <c r="Q28" i="42"/>
  <c r="B98" i="141" s="1"/>
  <c r="E98" i="141" s="1"/>
  <c r="J28" i="48"/>
  <c r="H28" i="42"/>
  <c r="I28" i="42" s="1"/>
  <c r="J28" i="42" s="1"/>
  <c r="F28" i="48"/>
  <c r="G28" i="48" s="1"/>
  <c r="AJ28" i="19"/>
  <c r="L28" i="48"/>
  <c r="M28" i="48" s="1"/>
  <c r="O28" i="48" s="1"/>
  <c r="N28" i="42"/>
  <c r="B63" i="141" s="1"/>
  <c r="E63" i="141" s="1"/>
  <c r="P28" i="42"/>
  <c r="O28" i="42"/>
  <c r="K27" i="48"/>
  <c r="Q27" i="48" s="1"/>
  <c r="P27" i="48"/>
  <c r="D28" i="48"/>
  <c r="E28" i="48" s="1"/>
  <c r="AG28" i="19"/>
  <c r="E63" i="140"/>
  <c r="K63" i="140" s="1"/>
  <c r="X28" i="19"/>
  <c r="O18" i="19"/>
  <c r="AI18" i="19" s="1"/>
  <c r="M18" i="19"/>
  <c r="AF18" i="19" s="1"/>
  <c r="E28" i="42"/>
  <c r="B65" i="140" s="1"/>
  <c r="S29" i="19"/>
  <c r="R29" i="19"/>
  <c r="T29" i="19"/>
  <c r="G28" i="19"/>
  <c r="I28" i="19"/>
  <c r="H29" i="19"/>
  <c r="P29" i="19" s="1"/>
  <c r="D29" i="19"/>
  <c r="F29" i="19"/>
  <c r="N29" i="19" s="1"/>
  <c r="C62" i="131"/>
  <c r="D62" i="131" s="1"/>
  <c r="F64" i="140"/>
  <c r="E64" i="140"/>
  <c r="K64" i="140" s="1"/>
  <c r="C96" i="131"/>
  <c r="D96" i="131" s="1"/>
  <c r="E99" i="140"/>
  <c r="K99" i="140" s="1"/>
  <c r="F99" i="140"/>
  <c r="E95" i="131"/>
  <c r="G95" i="131" s="1"/>
  <c r="I95" i="131"/>
  <c r="E61" i="131"/>
  <c r="G61" i="131" s="1"/>
  <c r="B30" i="19"/>
  <c r="J19" i="19"/>
  <c r="B34" i="148"/>
  <c r="C18" i="141"/>
  <c r="I18" i="140"/>
  <c r="G21" i="140"/>
  <c r="B97" i="131" l="1"/>
  <c r="D29" i="48"/>
  <c r="E29" i="48" s="1"/>
  <c r="AG29" i="19"/>
  <c r="L29" i="48"/>
  <c r="M29" i="48" s="1"/>
  <c r="O29" i="48" s="1"/>
  <c r="N29" i="42"/>
  <c r="B64" i="141" s="1"/>
  <c r="E64" i="141" s="1"/>
  <c r="O29" i="42"/>
  <c r="P29" i="42"/>
  <c r="B100" i="140"/>
  <c r="B63" i="131"/>
  <c r="F28" i="42"/>
  <c r="G28" i="42" s="1"/>
  <c r="F65" i="140" s="1"/>
  <c r="H29" i="42"/>
  <c r="I29" i="42" s="1"/>
  <c r="J29" i="42" s="1"/>
  <c r="F29" i="48"/>
  <c r="G29" i="48" s="1"/>
  <c r="AJ29" i="19"/>
  <c r="K28" i="48"/>
  <c r="Q28" i="48" s="1"/>
  <c r="P28" i="48"/>
  <c r="Z29" i="19"/>
  <c r="N29" i="48"/>
  <c r="Q29" i="42"/>
  <c r="B99" i="141" s="1"/>
  <c r="E99" i="141" s="1"/>
  <c r="R29" i="42"/>
  <c r="S29" i="42"/>
  <c r="J29" i="48"/>
  <c r="X29" i="19"/>
  <c r="O19" i="19"/>
  <c r="AI19" i="19" s="1"/>
  <c r="M19" i="19"/>
  <c r="AF19" i="19" s="1"/>
  <c r="E29" i="42"/>
  <c r="F29" i="42" s="1"/>
  <c r="G29" i="42" s="1"/>
  <c r="I29" i="19"/>
  <c r="S30" i="19"/>
  <c r="R30" i="19"/>
  <c r="T30" i="19"/>
  <c r="G29" i="19"/>
  <c r="E96" i="131"/>
  <c r="G96" i="131" s="1"/>
  <c r="I96" i="131"/>
  <c r="C97" i="131"/>
  <c r="D97" i="131" s="1"/>
  <c r="E100" i="140"/>
  <c r="K100" i="140" s="1"/>
  <c r="F100" i="140"/>
  <c r="D30" i="19"/>
  <c r="F30" i="19"/>
  <c r="N30" i="19" s="1"/>
  <c r="H30" i="19"/>
  <c r="P30" i="19" s="1"/>
  <c r="I62" i="131"/>
  <c r="E62" i="131"/>
  <c r="G62" i="131" s="1"/>
  <c r="B31" i="19"/>
  <c r="J20" i="19"/>
  <c r="C19" i="141"/>
  <c r="I19" i="140"/>
  <c r="G22" i="140"/>
  <c r="B98" i="131" l="1"/>
  <c r="B101" i="140"/>
  <c r="H30" i="42"/>
  <c r="I30" i="42" s="1"/>
  <c r="J30" i="42" s="1"/>
  <c r="F30" i="48"/>
  <c r="G30" i="48" s="1"/>
  <c r="AJ30" i="19"/>
  <c r="K29" i="48"/>
  <c r="Q29" i="48" s="1"/>
  <c r="P29" i="48"/>
  <c r="Z30" i="19"/>
  <c r="N30" i="48"/>
  <c r="R30" i="42"/>
  <c r="S30" i="42"/>
  <c r="Q30" i="42"/>
  <c r="B100" i="141" s="1"/>
  <c r="E100" i="141" s="1"/>
  <c r="J30" i="48"/>
  <c r="L30" i="48"/>
  <c r="M30" i="48" s="1"/>
  <c r="O30" i="48" s="1"/>
  <c r="P30" i="42"/>
  <c r="N30" i="42"/>
  <c r="B65" i="141" s="1"/>
  <c r="E65" i="141" s="1"/>
  <c r="O30" i="42"/>
  <c r="D30" i="48"/>
  <c r="E30" i="48" s="1"/>
  <c r="AG30" i="19"/>
  <c r="C63" i="131"/>
  <c r="D63" i="131" s="1"/>
  <c r="I63" i="131" s="1"/>
  <c r="E65" i="140"/>
  <c r="K65" i="140" s="1"/>
  <c r="B66" i="140"/>
  <c r="B64" i="131"/>
  <c r="M20" i="19"/>
  <c r="AF20" i="19" s="1"/>
  <c r="O20" i="19"/>
  <c r="AI20" i="19" s="1"/>
  <c r="E30" i="42"/>
  <c r="X30" i="19"/>
  <c r="T31" i="19"/>
  <c r="S31" i="19"/>
  <c r="R31" i="19"/>
  <c r="I30" i="19"/>
  <c r="G30" i="19"/>
  <c r="C98" i="131"/>
  <c r="D98" i="131" s="1"/>
  <c r="F101" i="140"/>
  <c r="E101" i="140"/>
  <c r="K101" i="140" s="1"/>
  <c r="F66" i="140"/>
  <c r="E66" i="140"/>
  <c r="K66" i="140" s="1"/>
  <c r="C64" i="131"/>
  <c r="D64" i="131" s="1"/>
  <c r="E97" i="131"/>
  <c r="G97" i="131" s="1"/>
  <c r="I97" i="131"/>
  <c r="D31" i="19"/>
  <c r="H31" i="19"/>
  <c r="P31" i="19" s="1"/>
  <c r="F31" i="19"/>
  <c r="N31" i="19" s="1"/>
  <c r="B32" i="19"/>
  <c r="J21" i="19"/>
  <c r="C20" i="141"/>
  <c r="I20" i="140"/>
  <c r="G23" i="140"/>
  <c r="B99" i="131" l="1"/>
  <c r="B102" i="140"/>
  <c r="D31" i="48"/>
  <c r="E31" i="48" s="1"/>
  <c r="AG31" i="19"/>
  <c r="H31" i="42"/>
  <c r="I31" i="42" s="1"/>
  <c r="J31" i="42" s="1"/>
  <c r="F31" i="48"/>
  <c r="G31" i="48" s="1"/>
  <c r="AJ31" i="19"/>
  <c r="L31" i="48"/>
  <c r="M31" i="48" s="1"/>
  <c r="O31" i="48" s="1"/>
  <c r="N31" i="42"/>
  <c r="B66" i="141" s="1"/>
  <c r="E66" i="141" s="1"/>
  <c r="P31" i="42"/>
  <c r="O31" i="42"/>
  <c r="P30" i="48"/>
  <c r="K30" i="48"/>
  <c r="Q30" i="48" s="1"/>
  <c r="J31" i="48"/>
  <c r="E63" i="131"/>
  <c r="G63" i="131" s="1"/>
  <c r="Z31" i="19"/>
  <c r="N31" i="48"/>
  <c r="R31" i="42"/>
  <c r="S31" i="42"/>
  <c r="Q31" i="42"/>
  <c r="B101" i="141" s="1"/>
  <c r="E101" i="141" s="1"/>
  <c r="B67" i="140"/>
  <c r="F30" i="42"/>
  <c r="G30" i="42" s="1"/>
  <c r="F67" i="140" s="1"/>
  <c r="B65" i="131"/>
  <c r="O21" i="19"/>
  <c r="AI21" i="19" s="1"/>
  <c r="M21" i="19"/>
  <c r="AF21" i="19" s="1"/>
  <c r="E31" i="42"/>
  <c r="X31" i="19"/>
  <c r="T32" i="19"/>
  <c r="S32" i="19"/>
  <c r="R32" i="19"/>
  <c r="I31" i="19"/>
  <c r="G31" i="19"/>
  <c r="E64" i="131"/>
  <c r="G64" i="131" s="1"/>
  <c r="I64" i="131"/>
  <c r="D32" i="19"/>
  <c r="H32" i="19"/>
  <c r="P32" i="19" s="1"/>
  <c r="F32" i="19"/>
  <c r="N32" i="19" s="1"/>
  <c r="C99" i="131"/>
  <c r="D99" i="131" s="1"/>
  <c r="F102" i="140"/>
  <c r="E102" i="140"/>
  <c r="K102" i="140" s="1"/>
  <c r="E98" i="131"/>
  <c r="G98" i="131" s="1"/>
  <c r="I98" i="131"/>
  <c r="B33" i="19"/>
  <c r="J22" i="19"/>
  <c r="C21" i="141"/>
  <c r="I21" i="140"/>
  <c r="G24" i="140"/>
  <c r="B103" i="140" l="1"/>
  <c r="B100" i="131"/>
  <c r="Z32" i="19"/>
  <c r="N32" i="48"/>
  <c r="R32" i="42"/>
  <c r="Q32" i="42"/>
  <c r="B102" i="141" s="1"/>
  <c r="E102" i="141" s="1"/>
  <c r="S32" i="42"/>
  <c r="E67" i="140"/>
  <c r="K67" i="140" s="1"/>
  <c r="B68" i="140"/>
  <c r="F31" i="42"/>
  <c r="G31" i="42" s="1"/>
  <c r="F68" i="140" s="1"/>
  <c r="J32" i="48"/>
  <c r="L32" i="48"/>
  <c r="M32" i="48" s="1"/>
  <c r="O32" i="48" s="1"/>
  <c r="O32" i="42"/>
  <c r="N32" i="42"/>
  <c r="B67" i="141" s="1"/>
  <c r="E67" i="141" s="1"/>
  <c r="P32" i="42"/>
  <c r="K31" i="48"/>
  <c r="Q31" i="48" s="1"/>
  <c r="P31" i="48"/>
  <c r="C65" i="131"/>
  <c r="D65" i="131" s="1"/>
  <c r="E65" i="131" s="1"/>
  <c r="G65" i="131" s="1"/>
  <c r="D32" i="48"/>
  <c r="E32" i="48" s="1"/>
  <c r="AG32" i="19"/>
  <c r="H32" i="42"/>
  <c r="I32" i="42" s="1"/>
  <c r="J32" i="42" s="1"/>
  <c r="F32" i="48"/>
  <c r="G32" i="48" s="1"/>
  <c r="AJ32" i="19"/>
  <c r="X32" i="19"/>
  <c r="E32" i="42"/>
  <c r="B66" i="131"/>
  <c r="O22" i="19"/>
  <c r="AI22" i="19" s="1"/>
  <c r="M22" i="19"/>
  <c r="AF22" i="19" s="1"/>
  <c r="T33" i="19"/>
  <c r="R33" i="19"/>
  <c r="S33" i="19"/>
  <c r="I32" i="19"/>
  <c r="G32" i="19"/>
  <c r="F103" i="140"/>
  <c r="E103" i="140"/>
  <c r="K103" i="140" s="1"/>
  <c r="C100" i="131"/>
  <c r="D100" i="131" s="1"/>
  <c r="D33" i="19"/>
  <c r="F33" i="19"/>
  <c r="N33" i="19" s="1"/>
  <c r="H33" i="19"/>
  <c r="P33" i="19" s="1"/>
  <c r="E99" i="131"/>
  <c r="G99" i="131" s="1"/>
  <c r="I99" i="131"/>
  <c r="J23" i="19"/>
  <c r="C22" i="141"/>
  <c r="I22" i="140"/>
  <c r="G25" i="140"/>
  <c r="P32" i="48" l="1"/>
  <c r="K32" i="48"/>
  <c r="Q32" i="48" s="1"/>
  <c r="L33" i="48"/>
  <c r="S34" i="19"/>
  <c r="O33" i="42"/>
  <c r="P33" i="42"/>
  <c r="N33" i="42"/>
  <c r="B68" i="141" s="1"/>
  <c r="E68" i="141" s="1"/>
  <c r="B104" i="140"/>
  <c r="H33" i="42"/>
  <c r="I33" i="42" s="1"/>
  <c r="J33" i="42" s="1"/>
  <c r="F33" i="48"/>
  <c r="AJ33" i="19"/>
  <c r="D33" i="48"/>
  <c r="AG33" i="19"/>
  <c r="J33" i="48"/>
  <c r="R34" i="19"/>
  <c r="Z33" i="19"/>
  <c r="Z34" i="19" s="1"/>
  <c r="N33" i="48"/>
  <c r="N34" i="48" s="1"/>
  <c r="S33" i="42"/>
  <c r="R33" i="42"/>
  <c r="Q33" i="42"/>
  <c r="B103" i="141" s="1"/>
  <c r="E103" i="141" s="1"/>
  <c r="T34" i="19"/>
  <c r="I65" i="131"/>
  <c r="B101" i="131"/>
  <c r="B69" i="140"/>
  <c r="F32" i="42"/>
  <c r="G32" i="42" s="1"/>
  <c r="F69" i="140" s="1"/>
  <c r="C66" i="131"/>
  <c r="D66" i="131" s="1"/>
  <c r="E66" i="131" s="1"/>
  <c r="G66" i="131" s="1"/>
  <c r="E68" i="140"/>
  <c r="K68" i="140" s="1"/>
  <c r="B67" i="131"/>
  <c r="E33" i="42"/>
  <c r="M23" i="19"/>
  <c r="AF23" i="19" s="1"/>
  <c r="O23" i="19"/>
  <c r="AI23" i="19" s="1"/>
  <c r="X33" i="19"/>
  <c r="X34" i="19" s="1"/>
  <c r="E100" i="131"/>
  <c r="G100" i="131" s="1"/>
  <c r="I100" i="131"/>
  <c r="E104" i="140"/>
  <c r="K104" i="140" s="1"/>
  <c r="F104" i="140"/>
  <c r="C101" i="131"/>
  <c r="D101" i="131" s="1"/>
  <c r="I33" i="19"/>
  <c r="H34" i="19"/>
  <c r="G33" i="19"/>
  <c r="F34" i="19"/>
  <c r="J24" i="19"/>
  <c r="C23" i="141"/>
  <c r="I23" i="140"/>
  <c r="G26" i="140"/>
  <c r="C67" i="131" l="1"/>
  <c r="D67" i="131" s="1"/>
  <c r="E69" i="140"/>
  <c r="K69" i="140" s="1"/>
  <c r="G33" i="48"/>
  <c r="B102" i="131"/>
  <c r="B105" i="140"/>
  <c r="P33" i="48"/>
  <c r="K33" i="48"/>
  <c r="J34" i="48"/>
  <c r="M33" i="48"/>
  <c r="L34" i="48"/>
  <c r="B68" i="131"/>
  <c r="F33" i="42"/>
  <c r="G33" i="42" s="1"/>
  <c r="I66" i="131"/>
  <c r="E33" i="48"/>
  <c r="B70" i="140"/>
  <c r="M24" i="19"/>
  <c r="AF24" i="19" s="1"/>
  <c r="O24" i="19"/>
  <c r="AI24" i="19" s="1"/>
  <c r="E67" i="131"/>
  <c r="G67" i="131" s="1"/>
  <c r="I67" i="131"/>
  <c r="E105" i="140"/>
  <c r="K105" i="140" s="1"/>
  <c r="F105" i="140"/>
  <c r="C102" i="131"/>
  <c r="D102" i="131" s="1"/>
  <c r="E101" i="131"/>
  <c r="G101" i="131" s="1"/>
  <c r="I101" i="131"/>
  <c r="I34" i="19"/>
  <c r="G34" i="19"/>
  <c r="J25" i="19"/>
  <c r="C24" i="141"/>
  <c r="I24" i="140"/>
  <c r="G27" i="140"/>
  <c r="C68" i="131" l="1"/>
  <c r="D68" i="131" s="1"/>
  <c r="P34" i="48"/>
  <c r="O33" i="48"/>
  <c r="O34" i="48" s="1"/>
  <c r="M34" i="48"/>
  <c r="K34" i="48"/>
  <c r="E70" i="140"/>
  <c r="K70" i="140" s="1"/>
  <c r="O25" i="19"/>
  <c r="AI25" i="19" s="1"/>
  <c r="M25" i="19"/>
  <c r="AF25" i="19" s="1"/>
  <c r="F70" i="140"/>
  <c r="E102" i="131"/>
  <c r="G102" i="131" s="1"/>
  <c r="I102" i="131"/>
  <c r="E68" i="131"/>
  <c r="G68" i="131" s="1"/>
  <c r="I68" i="131"/>
  <c r="J26" i="19"/>
  <c r="C25" i="141"/>
  <c r="I25" i="140"/>
  <c r="G28" i="140"/>
  <c r="Q33" i="48" l="1"/>
  <c r="M26" i="19"/>
  <c r="AF26" i="19" s="1"/>
  <c r="O26" i="19"/>
  <c r="AI26" i="19" s="1"/>
  <c r="J27" i="19"/>
  <c r="C26" i="141"/>
  <c r="I26" i="140"/>
  <c r="G29" i="140"/>
  <c r="O27" i="19" l="1"/>
  <c r="AI27" i="19" s="1"/>
  <c r="M27" i="19"/>
  <c r="AF27" i="19" s="1"/>
  <c r="J28" i="19"/>
  <c r="C27" i="141"/>
  <c r="I27" i="140"/>
  <c r="G30" i="140"/>
  <c r="M28" i="19" l="1"/>
  <c r="AF28" i="19" s="1"/>
  <c r="O28" i="19"/>
  <c r="AI28" i="19" s="1"/>
  <c r="J29" i="19"/>
  <c r="C28" i="141"/>
  <c r="I28" i="140"/>
  <c r="G31" i="140"/>
  <c r="O29" i="19" l="1"/>
  <c r="AI29" i="19" s="1"/>
  <c r="M29" i="19"/>
  <c r="AF29" i="19" s="1"/>
  <c r="J30" i="19"/>
  <c r="C29" i="141"/>
  <c r="I29" i="140"/>
  <c r="G32" i="140"/>
  <c r="O30" i="19" l="1"/>
  <c r="AI30" i="19" s="1"/>
  <c r="M30" i="19"/>
  <c r="AF30" i="19" s="1"/>
  <c r="J31" i="19"/>
  <c r="C30" i="141"/>
  <c r="I30" i="140"/>
  <c r="G33" i="140"/>
  <c r="M31" i="19" l="1"/>
  <c r="AF31" i="19" s="1"/>
  <c r="O31" i="19"/>
  <c r="AI31" i="19" s="1"/>
  <c r="J32" i="19"/>
  <c r="C31" i="141"/>
  <c r="I31" i="140"/>
  <c r="G34" i="140"/>
  <c r="O32" i="19" l="1"/>
  <c r="AI32" i="19" s="1"/>
  <c r="M32" i="19"/>
  <c r="AF32" i="19" s="1"/>
  <c r="J33" i="19"/>
  <c r="C32" i="141"/>
  <c r="I32" i="140"/>
  <c r="G35" i="140"/>
  <c r="O33" i="19" l="1"/>
  <c r="AI33" i="19" s="1"/>
  <c r="M33" i="19"/>
  <c r="C33" i="141"/>
  <c r="I33" i="140"/>
  <c r="M34" i="19" l="1"/>
  <c r="AF33" i="19"/>
  <c r="O34" i="19"/>
  <c r="I34" i="140"/>
  <c r="I35" i="140" l="1"/>
  <c r="F5" i="55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4" i="55"/>
  <c r="F5" i="131"/>
  <c r="F6" i="131" s="1"/>
  <c r="F7" i="131" s="1"/>
  <c r="F8" i="131" s="1"/>
  <c r="F9" i="131" s="1"/>
  <c r="F10" i="131" s="1"/>
  <c r="F11" i="131" s="1"/>
  <c r="F12" i="131" s="1"/>
  <c r="F13" i="131" s="1"/>
  <c r="F14" i="131" s="1"/>
  <c r="F15" i="131" s="1"/>
  <c r="F16" i="131" s="1"/>
  <c r="F17" i="131" s="1"/>
  <c r="F18" i="131" s="1"/>
  <c r="F19" i="131" s="1"/>
  <c r="F20" i="131" s="1"/>
  <c r="F21" i="131" s="1"/>
  <c r="F22" i="131" s="1"/>
  <c r="F23" i="131" s="1"/>
  <c r="F24" i="131" s="1"/>
  <c r="F25" i="131" s="1"/>
  <c r="F26" i="131" s="1"/>
  <c r="F27" i="131" s="1"/>
  <c r="F28" i="131" s="1"/>
  <c r="F29" i="131" s="1"/>
  <c r="F30" i="131" s="1"/>
  <c r="F31" i="131" s="1"/>
  <c r="F32" i="131" s="1"/>
  <c r="F33" i="131" s="1"/>
  <c r="F34" i="131" s="1"/>
  <c r="F34" i="55" l="1"/>
  <c r="C5" i="99" l="1"/>
  <c r="C5" i="98" l="1"/>
  <c r="C5" i="126"/>
  <c r="A4" i="111" l="1"/>
  <c r="D88" i="111"/>
  <c r="E88" i="111"/>
  <c r="F88" i="111"/>
  <c r="G88" i="111"/>
  <c r="H88" i="111"/>
  <c r="I88" i="111"/>
  <c r="J88" i="111"/>
  <c r="K88" i="111"/>
  <c r="M88" i="111"/>
  <c r="N88" i="111"/>
  <c r="O88" i="111"/>
  <c r="P88" i="111"/>
  <c r="Q88" i="111"/>
  <c r="R88" i="111"/>
  <c r="S88" i="111"/>
  <c r="T88" i="111"/>
  <c r="U88" i="111"/>
  <c r="W88" i="111"/>
  <c r="X88" i="111"/>
  <c r="Y88" i="111"/>
  <c r="Z88" i="111"/>
  <c r="AA88" i="111"/>
  <c r="AB88" i="111"/>
  <c r="AC88" i="111"/>
  <c r="AD88" i="111"/>
  <c r="AE88" i="111"/>
  <c r="AF88" i="111"/>
  <c r="C32" i="58" l="1"/>
  <c r="C30" i="58"/>
  <c r="D24" i="118"/>
  <c r="L88" i="111"/>
  <c r="V88" i="111" l="1"/>
  <c r="C31" i="58"/>
  <c r="A6" i="131"/>
  <c r="A7" i="131" s="1"/>
  <c r="A8" i="131" s="1"/>
  <c r="A9" i="131" s="1"/>
  <c r="A10" i="131" s="1"/>
  <c r="A11" i="131" s="1"/>
  <c r="A12" i="131" s="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E56" i="58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AD56" i="58"/>
  <c r="AE56" i="58"/>
  <c r="AF56" i="58"/>
  <c r="AG56" i="58"/>
  <c r="D56" i="58"/>
  <c r="D4" i="64"/>
  <c r="B88" i="111" l="1"/>
  <c r="C56" i="58"/>
  <c r="D44" i="118"/>
  <c r="D28" i="118"/>
  <c r="C35" i="112"/>
  <c r="D5" i="129"/>
  <c r="D34" i="129"/>
  <c r="C34" i="112" s="1"/>
  <c r="D33" i="129"/>
  <c r="C33" i="112" s="1"/>
  <c r="D32" i="129"/>
  <c r="C32" i="112" s="1"/>
  <c r="D31" i="129"/>
  <c r="C31" i="112" s="1"/>
  <c r="D30" i="129"/>
  <c r="C30" i="112" s="1"/>
  <c r="D29" i="129"/>
  <c r="C29" i="112" s="1"/>
  <c r="D28" i="129"/>
  <c r="C28" i="112" s="1"/>
  <c r="D27" i="129"/>
  <c r="C27" i="112" s="1"/>
  <c r="D26" i="129"/>
  <c r="C26" i="112" s="1"/>
  <c r="D25" i="129"/>
  <c r="C25" i="112" s="1"/>
  <c r="D24" i="129"/>
  <c r="C24" i="112" s="1"/>
  <c r="D23" i="129"/>
  <c r="C23" i="112" s="1"/>
  <c r="D22" i="129"/>
  <c r="C22" i="112" s="1"/>
  <c r="D21" i="129"/>
  <c r="C21" i="112" s="1"/>
  <c r="D20" i="129"/>
  <c r="C20" i="112" s="1"/>
  <c r="D19" i="129"/>
  <c r="C19" i="112" s="1"/>
  <c r="D18" i="129"/>
  <c r="C18" i="112" s="1"/>
  <c r="D17" i="129"/>
  <c r="C17" i="112" s="1"/>
  <c r="D16" i="129"/>
  <c r="C16" i="112" s="1"/>
  <c r="D15" i="129"/>
  <c r="C15" i="112" s="1"/>
  <c r="D14" i="129"/>
  <c r="C14" i="112" s="1"/>
  <c r="D13" i="129"/>
  <c r="C13" i="112" s="1"/>
  <c r="D12" i="129"/>
  <c r="C12" i="112" s="1"/>
  <c r="D11" i="129"/>
  <c r="C11" i="112" s="1"/>
  <c r="D10" i="129"/>
  <c r="C10" i="112" s="1"/>
  <c r="D9" i="129"/>
  <c r="C9" i="112" s="1"/>
  <c r="D8" i="129"/>
  <c r="C8" i="112" s="1"/>
  <c r="D7" i="129"/>
  <c r="C7" i="112" s="1"/>
  <c r="D6" i="129"/>
  <c r="C6" i="112" s="1"/>
  <c r="B6" i="129"/>
  <c r="A6" i="129"/>
  <c r="A7" i="129" s="1"/>
  <c r="A8" i="129" s="1"/>
  <c r="A9" i="129" s="1"/>
  <c r="A10" i="129" s="1"/>
  <c r="A11" i="129" s="1"/>
  <c r="A12" i="129" s="1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E6" i="129"/>
  <c r="A6" i="128"/>
  <c r="A7" i="128" s="1"/>
  <c r="A8" i="128" s="1"/>
  <c r="A9" i="128" s="1"/>
  <c r="A10" i="128" s="1"/>
  <c r="A11" i="128" s="1"/>
  <c r="A12" i="128" s="1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6" i="127"/>
  <c r="A7" i="127" s="1"/>
  <c r="A8" i="127" s="1"/>
  <c r="A9" i="127" s="1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C6" i="127"/>
  <c r="A6" i="126"/>
  <c r="A7" i="126" s="1"/>
  <c r="A8" i="126" s="1"/>
  <c r="A9" i="126" s="1"/>
  <c r="A10" i="126" s="1"/>
  <c r="A11" i="126" s="1"/>
  <c r="A12" i="126" s="1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C6" i="126"/>
  <c r="B7" i="129" l="1"/>
  <c r="F7" i="129" s="1"/>
  <c r="F6" i="129"/>
  <c r="F5" i="129"/>
  <c r="C5" i="112"/>
  <c r="B8" i="129"/>
  <c r="F8" i="129" s="1"/>
  <c r="E7" i="129"/>
  <c r="C6" i="128"/>
  <c r="C7" i="127"/>
  <c r="C7" i="126"/>
  <c r="E8" i="129" l="1"/>
  <c r="B9" i="129"/>
  <c r="F9" i="129" s="1"/>
  <c r="C7" i="128"/>
  <c r="C8" i="127"/>
  <c r="C8" i="126"/>
  <c r="C40" i="125"/>
  <c r="C41" i="125"/>
  <c r="C44" i="125"/>
  <c r="C45" i="125"/>
  <c r="C46" i="125"/>
  <c r="C47" i="125"/>
  <c r="C48" i="125"/>
  <c r="C49" i="125"/>
  <c r="C32" i="125"/>
  <c r="C33" i="125"/>
  <c r="C34" i="125"/>
  <c r="C35" i="125"/>
  <c r="C31" i="125"/>
  <c r="C27" i="125"/>
  <c r="C28" i="125"/>
  <c r="C26" i="125"/>
  <c r="C14" i="125"/>
  <c r="C16" i="125"/>
  <c r="C17" i="125"/>
  <c r="C18" i="125"/>
  <c r="C19" i="125"/>
  <c r="C20" i="125"/>
  <c r="C21" i="125"/>
  <c r="C22" i="125"/>
  <c r="C23" i="125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F33" i="125" l="1"/>
  <c r="J33" i="125"/>
  <c r="N33" i="125"/>
  <c r="R33" i="125"/>
  <c r="V33" i="125"/>
  <c r="G33" i="125"/>
  <c r="K33" i="125"/>
  <c r="O33" i="125"/>
  <c r="S33" i="125"/>
  <c r="W33" i="125"/>
  <c r="D33" i="125"/>
  <c r="H33" i="125"/>
  <c r="L33" i="125"/>
  <c r="P33" i="125"/>
  <c r="T33" i="125"/>
  <c r="X33" i="125"/>
  <c r="M33" i="125"/>
  <c r="Y33" i="125"/>
  <c r="AC33" i="125"/>
  <c r="AG33" i="125"/>
  <c r="Q33" i="125"/>
  <c r="Z33" i="125"/>
  <c r="AD33" i="125"/>
  <c r="E33" i="125"/>
  <c r="U33" i="125"/>
  <c r="AA33" i="125"/>
  <c r="AE33" i="125"/>
  <c r="I33" i="125"/>
  <c r="AF33" i="125"/>
  <c r="AB33" i="125"/>
  <c r="D44" i="125"/>
  <c r="M44" i="125"/>
  <c r="Q44" i="125"/>
  <c r="U44" i="125"/>
  <c r="Y44" i="125"/>
  <c r="AC44" i="125"/>
  <c r="AG44" i="125"/>
  <c r="E44" i="125"/>
  <c r="I44" i="125"/>
  <c r="N44" i="125"/>
  <c r="R44" i="125"/>
  <c r="V44" i="125"/>
  <c r="Z44" i="125"/>
  <c r="AD44" i="125"/>
  <c r="K44" i="125"/>
  <c r="O44" i="125"/>
  <c r="S44" i="125"/>
  <c r="W44" i="125"/>
  <c r="AA44" i="125"/>
  <c r="AE44" i="125"/>
  <c r="G44" i="125"/>
  <c r="T44" i="125"/>
  <c r="J44" i="125"/>
  <c r="H44" i="125"/>
  <c r="X44" i="125"/>
  <c r="AF44" i="125"/>
  <c r="L44" i="125"/>
  <c r="AB44" i="125"/>
  <c r="F44" i="125"/>
  <c r="P44" i="125"/>
  <c r="F14" i="125"/>
  <c r="J14" i="125"/>
  <c r="N14" i="125"/>
  <c r="R14" i="125"/>
  <c r="V14" i="125"/>
  <c r="Z14" i="125"/>
  <c r="AD14" i="125"/>
  <c r="G14" i="125"/>
  <c r="K14" i="125"/>
  <c r="O14" i="125"/>
  <c r="S14" i="125"/>
  <c r="W14" i="125"/>
  <c r="AA14" i="125"/>
  <c r="AE14" i="125"/>
  <c r="E14" i="125"/>
  <c r="M14" i="125"/>
  <c r="U14" i="125"/>
  <c r="AC14" i="125"/>
  <c r="H14" i="125"/>
  <c r="P14" i="125"/>
  <c r="X14" i="125"/>
  <c r="AF14" i="125"/>
  <c r="I14" i="125"/>
  <c r="Q14" i="125"/>
  <c r="Y14" i="125"/>
  <c r="AG14" i="125"/>
  <c r="L14" i="125"/>
  <c r="T14" i="125"/>
  <c r="AB14" i="125"/>
  <c r="F31" i="125"/>
  <c r="J31" i="125"/>
  <c r="N31" i="125"/>
  <c r="R31" i="125"/>
  <c r="V31" i="125"/>
  <c r="D31" i="125"/>
  <c r="AB31" i="125"/>
  <c r="AF31" i="125"/>
  <c r="G31" i="125"/>
  <c r="K31" i="125"/>
  <c r="O31" i="125"/>
  <c r="S31" i="125"/>
  <c r="W31" i="125"/>
  <c r="Y31" i="125"/>
  <c r="AC31" i="125"/>
  <c r="H31" i="125"/>
  <c r="L31" i="125"/>
  <c r="P31" i="125"/>
  <c r="T31" i="125"/>
  <c r="X31" i="125"/>
  <c r="Z31" i="125"/>
  <c r="AD31" i="125"/>
  <c r="I31" i="125"/>
  <c r="AE31" i="125"/>
  <c r="M31" i="125"/>
  <c r="AG31" i="125"/>
  <c r="Q31" i="125"/>
  <c r="E31" i="125"/>
  <c r="AA31" i="125"/>
  <c r="U31" i="125"/>
  <c r="M41" i="125"/>
  <c r="Q41" i="125"/>
  <c r="U41" i="125"/>
  <c r="Y41" i="125"/>
  <c r="AC41" i="125"/>
  <c r="AG41" i="125"/>
  <c r="E41" i="125"/>
  <c r="I41" i="125"/>
  <c r="N41" i="125"/>
  <c r="R41" i="125"/>
  <c r="V41" i="125"/>
  <c r="Z41" i="125"/>
  <c r="AD41" i="125"/>
  <c r="K41" i="125"/>
  <c r="O41" i="125"/>
  <c r="S41" i="125"/>
  <c r="W41" i="125"/>
  <c r="AA41" i="125"/>
  <c r="AE41" i="125"/>
  <c r="G41" i="125"/>
  <c r="L41" i="125"/>
  <c r="AB41" i="125"/>
  <c r="F41" i="125"/>
  <c r="X41" i="125"/>
  <c r="P41" i="125"/>
  <c r="AF41" i="125"/>
  <c r="H41" i="125"/>
  <c r="T41" i="125"/>
  <c r="J41" i="125"/>
  <c r="L40" i="125"/>
  <c r="F40" i="125"/>
  <c r="K40" i="125"/>
  <c r="V40" i="125"/>
  <c r="H40" i="125"/>
  <c r="J40" i="125"/>
  <c r="X40" i="125"/>
  <c r="M40" i="125"/>
  <c r="Q40" i="125"/>
  <c r="E40" i="125"/>
  <c r="AB40" i="125"/>
  <c r="AF40" i="125"/>
  <c r="AE40" i="125"/>
  <c r="AC40" i="125"/>
  <c r="AG40" i="125"/>
  <c r="U40" i="125"/>
  <c r="I40" i="125"/>
  <c r="S40" i="125"/>
  <c r="W40" i="125"/>
  <c r="Y40" i="125"/>
  <c r="Z40" i="125"/>
  <c r="AD40" i="125"/>
  <c r="O40" i="125"/>
  <c r="P40" i="125"/>
  <c r="N40" i="125"/>
  <c r="R40" i="125"/>
  <c r="G40" i="125"/>
  <c r="T40" i="125"/>
  <c r="AA40" i="125"/>
  <c r="H13" i="125"/>
  <c r="L13" i="125"/>
  <c r="P13" i="125"/>
  <c r="T13" i="125"/>
  <c r="X13" i="125"/>
  <c r="AB13" i="125"/>
  <c r="AF13" i="125"/>
  <c r="E13" i="125"/>
  <c r="I13" i="125"/>
  <c r="M13" i="125"/>
  <c r="Q13" i="125"/>
  <c r="U13" i="125"/>
  <c r="Y13" i="125"/>
  <c r="AC13" i="125"/>
  <c r="AG13" i="125"/>
  <c r="G13" i="125"/>
  <c r="O13" i="125"/>
  <c r="W13" i="125"/>
  <c r="AE13" i="125"/>
  <c r="J13" i="125"/>
  <c r="R13" i="125"/>
  <c r="Z13" i="125"/>
  <c r="K13" i="125"/>
  <c r="S13" i="125"/>
  <c r="AA13" i="125"/>
  <c r="N13" i="125"/>
  <c r="V13" i="125"/>
  <c r="AD13" i="125"/>
  <c r="F13" i="125"/>
  <c r="H15" i="125"/>
  <c r="L15" i="125"/>
  <c r="P15" i="125"/>
  <c r="T15" i="125"/>
  <c r="X15" i="125"/>
  <c r="AB15" i="125"/>
  <c r="AF15" i="125"/>
  <c r="E15" i="125"/>
  <c r="I15" i="125"/>
  <c r="M15" i="125"/>
  <c r="Q15" i="125"/>
  <c r="U15" i="125"/>
  <c r="Y15" i="125"/>
  <c r="AC15" i="125"/>
  <c r="AG15" i="125"/>
  <c r="K15" i="125"/>
  <c r="S15" i="125"/>
  <c r="AA15" i="125"/>
  <c r="F15" i="125"/>
  <c r="N15" i="125"/>
  <c r="V15" i="125"/>
  <c r="AD15" i="125"/>
  <c r="G15" i="125"/>
  <c r="O15" i="125"/>
  <c r="W15" i="125"/>
  <c r="AE15" i="125"/>
  <c r="J15" i="125"/>
  <c r="R15" i="125"/>
  <c r="Z15" i="125"/>
  <c r="F34" i="125"/>
  <c r="J34" i="125"/>
  <c r="N34" i="125"/>
  <c r="R34" i="125"/>
  <c r="V34" i="125"/>
  <c r="D34" i="125"/>
  <c r="G34" i="125"/>
  <c r="K34" i="125"/>
  <c r="O34" i="125"/>
  <c r="S34" i="125"/>
  <c r="W34" i="125"/>
  <c r="H34" i="125"/>
  <c r="L34" i="125"/>
  <c r="P34" i="125"/>
  <c r="T34" i="125"/>
  <c r="X34" i="125"/>
  <c r="I34" i="125"/>
  <c r="AA34" i="125"/>
  <c r="AE34" i="125"/>
  <c r="M34" i="125"/>
  <c r="AB34" i="125"/>
  <c r="AF34" i="125"/>
  <c r="Q34" i="125"/>
  <c r="Y34" i="125"/>
  <c r="AC34" i="125"/>
  <c r="AG34" i="125"/>
  <c r="E34" i="125"/>
  <c r="U34" i="125"/>
  <c r="Z34" i="125"/>
  <c r="AD34" i="125"/>
  <c r="M45" i="125"/>
  <c r="Q45" i="125"/>
  <c r="U45" i="125"/>
  <c r="Y45" i="125"/>
  <c r="AC45" i="125"/>
  <c r="AG45" i="125"/>
  <c r="G45" i="125"/>
  <c r="N45" i="125"/>
  <c r="R45" i="125"/>
  <c r="V45" i="125"/>
  <c r="Z45" i="125"/>
  <c r="AD45" i="125"/>
  <c r="K45" i="125"/>
  <c r="O45" i="125"/>
  <c r="S45" i="125"/>
  <c r="W45" i="125"/>
  <c r="AA45" i="125"/>
  <c r="AE45" i="125"/>
  <c r="E45" i="125"/>
  <c r="I45" i="125"/>
  <c r="X45" i="125"/>
  <c r="T45" i="125"/>
  <c r="L45" i="125"/>
  <c r="AB45" i="125"/>
  <c r="F45" i="125"/>
  <c r="P45" i="125"/>
  <c r="AF45" i="125"/>
  <c r="H45" i="125"/>
  <c r="J45" i="125"/>
  <c r="D41" i="125"/>
  <c r="D40" i="125"/>
  <c r="D45" i="125"/>
  <c r="D13" i="125"/>
  <c r="D15" i="125"/>
  <c r="D14" i="125"/>
  <c r="C4" i="61"/>
  <c r="E9" i="129"/>
  <c r="B10" i="129"/>
  <c r="F10" i="129" s="1"/>
  <c r="C8" i="128"/>
  <c r="C9" i="127"/>
  <c r="C9" i="126"/>
  <c r="B11" i="129" l="1"/>
  <c r="F11" i="129" s="1"/>
  <c r="E10" i="129"/>
  <c r="C9" i="128"/>
  <c r="C10" i="127"/>
  <c r="C10" i="126"/>
  <c r="B6" i="128" l="1"/>
  <c r="B7" i="128" s="1"/>
  <c r="B8" i="128" s="1"/>
  <c r="B9" i="128" s="1"/>
  <c r="B6" i="98"/>
  <c r="B7" i="98" s="1"/>
  <c r="B8" i="98" s="1"/>
  <c r="B9" i="98" s="1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23" i="98" s="1"/>
  <c r="B24" i="98" s="1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E11" i="129"/>
  <c r="B12" i="129"/>
  <c r="F12" i="129" s="1"/>
  <c r="C10" i="128"/>
  <c r="C11" i="127"/>
  <c r="C11" i="126"/>
  <c r="C5" i="140" l="1"/>
  <c r="E12" i="129"/>
  <c r="B13" i="129"/>
  <c r="F13" i="129" s="1"/>
  <c r="C11" i="128"/>
  <c r="B10" i="128"/>
  <c r="C12" i="127"/>
  <c r="C12" i="126"/>
  <c r="B5" i="107" l="1"/>
  <c r="B6" i="107" s="1"/>
  <c r="B7" i="107" s="1"/>
  <c r="B8" i="107" s="1"/>
  <c r="B9" i="107" s="1"/>
  <c r="B10" i="107" s="1"/>
  <c r="B11" i="107" s="1"/>
  <c r="B12" i="107" s="1"/>
  <c r="B13" i="107" s="1"/>
  <c r="B14" i="107" s="1"/>
  <c r="B15" i="107" s="1"/>
  <c r="B16" i="107" s="1"/>
  <c r="B17" i="107" s="1"/>
  <c r="B18" i="107" s="1"/>
  <c r="B19" i="107" s="1"/>
  <c r="B20" i="107" s="1"/>
  <c r="B21" i="107" s="1"/>
  <c r="B22" i="107" s="1"/>
  <c r="B23" i="107" s="1"/>
  <c r="B24" i="107" s="1"/>
  <c r="B25" i="107" s="1"/>
  <c r="B26" i="107" s="1"/>
  <c r="B27" i="107" s="1"/>
  <c r="B28" i="107" s="1"/>
  <c r="B29" i="107" s="1"/>
  <c r="B30" i="107" s="1"/>
  <c r="B31" i="107" s="1"/>
  <c r="B32" i="107" s="1"/>
  <c r="B33" i="107" s="1"/>
  <c r="B34" i="107" s="1"/>
  <c r="B14" i="129"/>
  <c r="F14" i="129" s="1"/>
  <c r="E13" i="129"/>
  <c r="C12" i="128"/>
  <c r="B11" i="128"/>
  <c r="C13" i="127"/>
  <c r="C13" i="126"/>
  <c r="E14" i="129" l="1"/>
  <c r="B15" i="129"/>
  <c r="F15" i="129" s="1"/>
  <c r="B12" i="128"/>
  <c r="C13" i="128"/>
  <c r="C14" i="127"/>
  <c r="C14" i="126"/>
  <c r="B16" i="129" l="1"/>
  <c r="F16" i="129" s="1"/>
  <c r="E15" i="129"/>
  <c r="C14" i="128"/>
  <c r="B13" i="128"/>
  <c r="C15" i="127"/>
  <c r="C15" i="126"/>
  <c r="E16" i="129" l="1"/>
  <c r="B17" i="129"/>
  <c r="F17" i="129" s="1"/>
  <c r="B14" i="128"/>
  <c r="C15" i="128"/>
  <c r="C16" i="127"/>
  <c r="C16" i="126"/>
  <c r="B18" i="129" l="1"/>
  <c r="F18" i="129" s="1"/>
  <c r="E17" i="129"/>
  <c r="C16" i="128"/>
  <c r="B15" i="128"/>
  <c r="C17" i="127"/>
  <c r="C17" i="126"/>
  <c r="D36" i="58" l="1"/>
  <c r="K7" i="61"/>
  <c r="K6" i="61"/>
  <c r="E18" i="129"/>
  <c r="B19" i="129"/>
  <c r="F19" i="129" s="1"/>
  <c r="B16" i="128"/>
  <c r="C17" i="128"/>
  <c r="C18" i="127"/>
  <c r="C18" i="126"/>
  <c r="C36" i="58" l="1"/>
  <c r="Q6" i="61"/>
  <c r="K8" i="61"/>
  <c r="B20" i="129"/>
  <c r="F20" i="129" s="1"/>
  <c r="E19" i="129"/>
  <c r="C18" i="128"/>
  <c r="B17" i="128"/>
  <c r="C19" i="127"/>
  <c r="C19" i="126"/>
  <c r="K9" i="61" l="1"/>
  <c r="B21" i="129"/>
  <c r="F21" i="129" s="1"/>
  <c r="E20" i="129"/>
  <c r="B18" i="128"/>
  <c r="C19" i="128"/>
  <c r="C20" i="127"/>
  <c r="C20" i="126"/>
  <c r="K10" i="61" l="1"/>
  <c r="E21" i="129"/>
  <c r="B22" i="129"/>
  <c r="F22" i="129" s="1"/>
  <c r="C20" i="128"/>
  <c r="B19" i="128"/>
  <c r="C21" i="127"/>
  <c r="C21" i="126"/>
  <c r="K11" i="61" l="1"/>
  <c r="B23" i="129"/>
  <c r="F23" i="129" s="1"/>
  <c r="E22" i="129"/>
  <c r="B20" i="128"/>
  <c r="C21" i="128"/>
  <c r="C22" i="127"/>
  <c r="C22" i="126"/>
  <c r="K12" i="61" l="1"/>
  <c r="E23" i="129"/>
  <c r="B24" i="129"/>
  <c r="F24" i="129" s="1"/>
  <c r="C22" i="128"/>
  <c r="B21" i="128"/>
  <c r="C23" i="127"/>
  <c r="C23" i="126"/>
  <c r="K13" i="61" l="1"/>
  <c r="B25" i="129"/>
  <c r="F25" i="129" s="1"/>
  <c r="E24" i="129"/>
  <c r="B22" i="128"/>
  <c r="C23" i="128"/>
  <c r="C24" i="127"/>
  <c r="C24" i="126"/>
  <c r="K14" i="61" l="1"/>
  <c r="E25" i="129"/>
  <c r="B26" i="129"/>
  <c r="F26" i="129" s="1"/>
  <c r="C24" i="128"/>
  <c r="B23" i="128"/>
  <c r="C25" i="127"/>
  <c r="C25" i="126"/>
  <c r="K15" i="61" l="1"/>
  <c r="B27" i="129"/>
  <c r="F27" i="129" s="1"/>
  <c r="E26" i="129"/>
  <c r="B24" i="128"/>
  <c r="C25" i="128"/>
  <c r="C26" i="127"/>
  <c r="C26" i="126"/>
  <c r="K16" i="61" l="1"/>
  <c r="E27" i="129"/>
  <c r="B28" i="129"/>
  <c r="F28" i="129" s="1"/>
  <c r="C26" i="128"/>
  <c r="B25" i="128"/>
  <c r="C27" i="127"/>
  <c r="C27" i="126"/>
  <c r="K17" i="61" l="1"/>
  <c r="B29" i="129"/>
  <c r="F29" i="129" s="1"/>
  <c r="E28" i="129"/>
  <c r="B26" i="128"/>
  <c r="C27" i="128"/>
  <c r="C28" i="127"/>
  <c r="C28" i="126"/>
  <c r="K18" i="61" l="1"/>
  <c r="E29" i="129"/>
  <c r="B30" i="129"/>
  <c r="F30" i="129" s="1"/>
  <c r="C28" i="128"/>
  <c r="B27" i="128"/>
  <c r="C29" i="127"/>
  <c r="C29" i="126"/>
  <c r="K19" i="61" l="1"/>
  <c r="B31" i="129"/>
  <c r="F31" i="129" s="1"/>
  <c r="E30" i="129"/>
  <c r="B28" i="128"/>
  <c r="C29" i="128"/>
  <c r="C30" i="127"/>
  <c r="C30" i="126"/>
  <c r="K20" i="61" l="1"/>
  <c r="E31" i="129"/>
  <c r="B32" i="129"/>
  <c r="F32" i="129" s="1"/>
  <c r="C30" i="128"/>
  <c r="B29" i="128"/>
  <c r="C31" i="127"/>
  <c r="C31" i="126"/>
  <c r="K21" i="61" l="1"/>
  <c r="B33" i="129"/>
  <c r="F33" i="129" s="1"/>
  <c r="E32" i="129"/>
  <c r="B30" i="128"/>
  <c r="C31" i="128"/>
  <c r="C32" i="127"/>
  <c r="C32" i="126"/>
  <c r="K22" i="61" l="1"/>
  <c r="E33" i="129"/>
  <c r="B34" i="129"/>
  <c r="F34" i="129" s="1"/>
  <c r="C32" i="128"/>
  <c r="B31" i="128"/>
  <c r="C33" i="127"/>
  <c r="C33" i="126"/>
  <c r="K23" i="61" l="1"/>
  <c r="E34" i="129"/>
  <c r="B32" i="128"/>
  <c r="C33" i="128"/>
  <c r="C34" i="127"/>
  <c r="C34" i="126"/>
  <c r="K24" i="61" l="1"/>
  <c r="C34" i="128"/>
  <c r="B33" i="128"/>
  <c r="K25" i="61" l="1"/>
  <c r="B34" i="128"/>
  <c r="K26" i="61" l="1"/>
  <c r="K27" i="61" l="1"/>
  <c r="K28" i="61" l="1"/>
  <c r="K29" i="61" l="1"/>
  <c r="K30" i="61" l="1"/>
  <c r="K31" i="61" l="1"/>
  <c r="K32" i="61" l="1"/>
  <c r="E6" i="112"/>
  <c r="C15" i="113"/>
  <c r="C17" i="113"/>
  <c r="C18" i="113"/>
  <c r="C22" i="113"/>
  <c r="C23" i="113"/>
  <c r="C30" i="113"/>
  <c r="D87" i="111"/>
  <c r="E87" i="111"/>
  <c r="F87" i="111"/>
  <c r="G87" i="111"/>
  <c r="H87" i="111"/>
  <c r="I87" i="111"/>
  <c r="J87" i="111"/>
  <c r="K87" i="111"/>
  <c r="L87" i="111"/>
  <c r="M87" i="111"/>
  <c r="N87" i="111"/>
  <c r="O87" i="111"/>
  <c r="P87" i="111"/>
  <c r="Q87" i="111"/>
  <c r="R87" i="111"/>
  <c r="S87" i="111"/>
  <c r="T87" i="111"/>
  <c r="U87" i="111"/>
  <c r="V87" i="111"/>
  <c r="W87" i="111"/>
  <c r="X87" i="111"/>
  <c r="Y87" i="111"/>
  <c r="Z87" i="111"/>
  <c r="AA87" i="111"/>
  <c r="AB87" i="111"/>
  <c r="AC87" i="111"/>
  <c r="AD87" i="111"/>
  <c r="AE87" i="111"/>
  <c r="AF87" i="111"/>
  <c r="E3" i="58"/>
  <c r="F3" i="58" s="1"/>
  <c r="G3" i="58" s="1"/>
  <c r="H3" i="58" s="1"/>
  <c r="I3" i="58" s="1"/>
  <c r="J3" i="58" s="1"/>
  <c r="K3" i="58" s="1"/>
  <c r="L3" i="58" s="1"/>
  <c r="M3" i="58" s="1"/>
  <c r="N3" i="58" s="1"/>
  <c r="O3" i="58" s="1"/>
  <c r="P3" i="58" s="1"/>
  <c r="Q3" i="58" s="1"/>
  <c r="R3" i="58" s="1"/>
  <c r="S3" i="58" s="1"/>
  <c r="T3" i="58" s="1"/>
  <c r="U3" i="58" s="1"/>
  <c r="V3" i="58" s="1"/>
  <c r="W3" i="58" s="1"/>
  <c r="X3" i="58" s="1"/>
  <c r="Y3" i="58" s="1"/>
  <c r="Z3" i="58" s="1"/>
  <c r="AA3" i="58" s="1"/>
  <c r="AB3" i="58" s="1"/>
  <c r="AC3" i="58" s="1"/>
  <c r="AD3" i="58" s="1"/>
  <c r="AE3" i="58" s="1"/>
  <c r="AF3" i="58" s="1"/>
  <c r="AG3" i="58" s="1"/>
  <c r="AH3" i="58" s="1"/>
  <c r="AI3" i="58" s="1"/>
  <c r="AJ3" i="58" s="1"/>
  <c r="AK3" i="58" s="1"/>
  <c r="AL3" i="58" s="1"/>
  <c r="C6" i="98"/>
  <c r="C6" i="99"/>
  <c r="C6" i="100"/>
  <c r="C6" i="101"/>
  <c r="Q4" i="19"/>
  <c r="L4" i="19" s="1"/>
  <c r="D3" i="111"/>
  <c r="E3" i="111" s="1"/>
  <c r="F3" i="111" s="1"/>
  <c r="G3" i="111" s="1"/>
  <c r="H3" i="111" s="1"/>
  <c r="I3" i="111" s="1"/>
  <c r="J3" i="111" s="1"/>
  <c r="K3" i="111" s="1"/>
  <c r="L3" i="111" s="1"/>
  <c r="M3" i="111" s="1"/>
  <c r="N3" i="111" s="1"/>
  <c r="O3" i="111" s="1"/>
  <c r="P3" i="111" s="1"/>
  <c r="Q3" i="111" s="1"/>
  <c r="R3" i="111" s="1"/>
  <c r="S3" i="111" s="1"/>
  <c r="T3" i="111" s="1"/>
  <c r="U3" i="111" s="1"/>
  <c r="V3" i="111" s="1"/>
  <c r="W3" i="111" s="1"/>
  <c r="X3" i="111" s="1"/>
  <c r="Y3" i="111" s="1"/>
  <c r="Z3" i="111" s="1"/>
  <c r="AA3" i="111" s="1"/>
  <c r="AB3" i="111" s="1"/>
  <c r="AC3" i="111" s="1"/>
  <c r="AD3" i="111" s="1"/>
  <c r="AE3" i="111" s="1"/>
  <c r="AF3" i="111" s="1"/>
  <c r="A6" i="111"/>
  <c r="A5" i="111"/>
  <c r="C86" i="111"/>
  <c r="A112" i="111"/>
  <c r="A113" i="111" s="1"/>
  <c r="A114" i="111" s="1"/>
  <c r="A115" i="111" s="1"/>
  <c r="A116" i="111" s="1"/>
  <c r="A117" i="111" s="1"/>
  <c r="A118" i="111" s="1"/>
  <c r="A119" i="111" s="1"/>
  <c r="C90" i="111"/>
  <c r="C52" i="111"/>
  <c r="C48" i="111"/>
  <c r="A5" i="113"/>
  <c r="A6" i="112"/>
  <c r="A7" i="112" s="1"/>
  <c r="A8" i="112" s="1"/>
  <c r="A9" i="112" s="1"/>
  <c r="A10" i="112" s="1"/>
  <c r="A11" i="112" s="1"/>
  <c r="A12" i="112" s="1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C14" i="111"/>
  <c r="A17" i="11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D9" i="111"/>
  <c r="A5" i="57"/>
  <c r="A6" i="57" s="1"/>
  <c r="A7" i="57" s="1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A5" i="64"/>
  <c r="A6" i="64" s="1"/>
  <c r="A7" i="64" s="1"/>
  <c r="A8" i="64" s="1"/>
  <c r="A9" i="64" s="1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C34" i="64"/>
  <c r="B34" i="64"/>
  <c r="A5" i="56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5" i="55"/>
  <c r="A6" i="55" s="1"/>
  <c r="A7" i="55" s="1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6" i="54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6" i="105"/>
  <c r="A7" i="105" s="1"/>
  <c r="A8" i="105" s="1"/>
  <c r="A9" i="105" s="1"/>
  <c r="A10" i="105" s="1"/>
  <c r="A11" i="105" s="1"/>
  <c r="A12" i="105" s="1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6" i="107"/>
  <c r="A7" i="107" s="1"/>
  <c r="A8" i="107" s="1"/>
  <c r="A9" i="107" s="1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6" i="101"/>
  <c r="A7" i="101" s="1"/>
  <c r="A8" i="101" s="1"/>
  <c r="A9" i="101" s="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6" i="100"/>
  <c r="A7" i="100" s="1"/>
  <c r="A8" i="100" s="1"/>
  <c r="A9" i="100" s="1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6" i="99"/>
  <c r="A7" i="99" s="1"/>
  <c r="A8" i="99" s="1"/>
  <c r="A9" i="99" s="1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6" i="98"/>
  <c r="A7" i="98" s="1"/>
  <c r="A8" i="98" s="1"/>
  <c r="A9" i="98" s="1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5" i="48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6" i="61"/>
  <c r="A7" i="61" s="1"/>
  <c r="A8" i="61" s="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5" i="42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B5" i="20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M97" i="111" l="1"/>
  <c r="K97" i="111"/>
  <c r="R97" i="111"/>
  <c r="L97" i="111"/>
  <c r="J97" i="111"/>
  <c r="N97" i="111"/>
  <c r="Q97" i="111"/>
  <c r="I97" i="111"/>
  <c r="P97" i="111"/>
  <c r="O97" i="111"/>
  <c r="AB107" i="111"/>
  <c r="AA107" i="111"/>
  <c r="S107" i="111"/>
  <c r="X107" i="111"/>
  <c r="Z107" i="111"/>
  <c r="U107" i="111"/>
  <c r="Y107" i="111"/>
  <c r="T107" i="111"/>
  <c r="W107" i="111"/>
  <c r="V107" i="111"/>
  <c r="M98" i="111"/>
  <c r="L98" i="111"/>
  <c r="R98" i="111"/>
  <c r="J98" i="111"/>
  <c r="S98" i="111"/>
  <c r="K98" i="111"/>
  <c r="Q98" i="111"/>
  <c r="P98" i="111"/>
  <c r="O98" i="111"/>
  <c r="N98" i="111"/>
  <c r="R104" i="111"/>
  <c r="P104" i="111"/>
  <c r="T104" i="111"/>
  <c r="Y104" i="111"/>
  <c r="Q104" i="111"/>
  <c r="X104" i="111"/>
  <c r="W104" i="111"/>
  <c r="V104" i="111"/>
  <c r="U104" i="111"/>
  <c r="S104" i="111"/>
  <c r="H96" i="111"/>
  <c r="N96" i="111"/>
  <c r="K96" i="111"/>
  <c r="M96" i="111"/>
  <c r="L96" i="111"/>
  <c r="O96" i="111"/>
  <c r="J96" i="111"/>
  <c r="Q96" i="111"/>
  <c r="I96" i="111"/>
  <c r="P96" i="111"/>
  <c r="Z106" i="111"/>
  <c r="X106" i="111"/>
  <c r="V106" i="111"/>
  <c r="W106" i="111"/>
  <c r="Y106" i="111"/>
  <c r="U106" i="111"/>
  <c r="T106" i="111"/>
  <c r="AA106" i="111"/>
  <c r="S106" i="111"/>
  <c r="R106" i="111"/>
  <c r="X103" i="111"/>
  <c r="W103" i="111"/>
  <c r="O103" i="111"/>
  <c r="U103" i="111"/>
  <c r="V103" i="111"/>
  <c r="T103" i="111"/>
  <c r="Q103" i="111"/>
  <c r="P103" i="111"/>
  <c r="S103" i="111"/>
  <c r="R103" i="111"/>
  <c r="O95" i="111"/>
  <c r="G95" i="111"/>
  <c r="M95" i="111"/>
  <c r="H95" i="111"/>
  <c r="N95" i="111"/>
  <c r="L95" i="111"/>
  <c r="K95" i="111"/>
  <c r="J95" i="111"/>
  <c r="I95" i="111"/>
  <c r="P95" i="111"/>
  <c r="V102" i="111"/>
  <c r="T102" i="111"/>
  <c r="Q102" i="111"/>
  <c r="S102" i="111"/>
  <c r="R102" i="111"/>
  <c r="U102" i="111"/>
  <c r="P102" i="111"/>
  <c r="W102" i="111"/>
  <c r="O102" i="111"/>
  <c r="N102" i="111"/>
  <c r="H94" i="111"/>
  <c r="N94" i="111"/>
  <c r="F94" i="111"/>
  <c r="M94" i="111"/>
  <c r="O94" i="111"/>
  <c r="G94" i="111"/>
  <c r="I94" i="111"/>
  <c r="L94" i="111"/>
  <c r="K94" i="111"/>
  <c r="J94" i="111"/>
  <c r="U105" i="111"/>
  <c r="Z105" i="111"/>
  <c r="V105" i="111"/>
  <c r="T105" i="111"/>
  <c r="S105" i="111"/>
  <c r="R105" i="111"/>
  <c r="W105" i="111"/>
  <c r="Y105" i="111"/>
  <c r="Q105" i="111"/>
  <c r="X105" i="111"/>
  <c r="R101" i="111"/>
  <c r="Q101" i="111"/>
  <c r="V101" i="111"/>
  <c r="P101" i="111"/>
  <c r="O101" i="111"/>
  <c r="N101" i="111"/>
  <c r="S101" i="111"/>
  <c r="U101" i="111"/>
  <c r="M101" i="111"/>
  <c r="T101" i="111"/>
  <c r="J93" i="111"/>
  <c r="I93" i="111"/>
  <c r="G93" i="111"/>
  <c r="F93" i="111"/>
  <c r="H93" i="111"/>
  <c r="N93" i="111"/>
  <c r="M93" i="111"/>
  <c r="E93" i="111"/>
  <c r="L93" i="111"/>
  <c r="K93" i="111"/>
  <c r="S99" i="111"/>
  <c r="K99" i="111"/>
  <c r="P99" i="111"/>
  <c r="L99" i="111"/>
  <c r="R99" i="111"/>
  <c r="Q99" i="111"/>
  <c r="O99" i="111"/>
  <c r="N99" i="111"/>
  <c r="M99" i="111"/>
  <c r="T99" i="111"/>
  <c r="N100" i="111"/>
  <c r="S100" i="111"/>
  <c r="U100" i="111"/>
  <c r="M100" i="111"/>
  <c r="T100" i="111"/>
  <c r="L100" i="111"/>
  <c r="P100" i="111"/>
  <c r="O100" i="111"/>
  <c r="R100" i="111"/>
  <c r="Q100" i="111"/>
  <c r="L92" i="111"/>
  <c r="J92" i="111"/>
  <c r="I92" i="111"/>
  <c r="H92" i="111"/>
  <c r="K92" i="111"/>
  <c r="G92" i="111"/>
  <c r="F92" i="111"/>
  <c r="M92" i="111"/>
  <c r="E92" i="111"/>
  <c r="D92" i="111"/>
  <c r="Z114" i="111"/>
  <c r="AF114" i="111"/>
  <c r="AE114" i="111"/>
  <c r="AD114" i="111"/>
  <c r="AB114" i="111"/>
  <c r="AC114" i="111"/>
  <c r="AA114" i="111"/>
  <c r="Y113" i="111"/>
  <c r="AF113" i="111"/>
  <c r="AA113" i="111"/>
  <c r="AE113" i="111"/>
  <c r="Z113" i="111"/>
  <c r="AD113" i="111"/>
  <c r="AC113" i="111"/>
  <c r="AB113" i="111"/>
  <c r="AF112" i="111"/>
  <c r="X112" i="111"/>
  <c r="Y112" i="111"/>
  <c r="AE112" i="111"/>
  <c r="AD112" i="111"/>
  <c r="AC112" i="111"/>
  <c r="AB112" i="111"/>
  <c r="AA112" i="111"/>
  <c r="Z112" i="111"/>
  <c r="AE119" i="111"/>
  <c r="B119" i="111" s="1"/>
  <c r="AF119" i="111"/>
  <c r="AD111" i="111"/>
  <c r="AC111" i="111"/>
  <c r="W111" i="111"/>
  <c r="AB111" i="111"/>
  <c r="AF111" i="111"/>
  <c r="AA111" i="111"/>
  <c r="Z111" i="111"/>
  <c r="X111" i="111"/>
  <c r="Y111" i="111"/>
  <c r="AE111" i="111"/>
  <c r="AE118" i="111"/>
  <c r="AF118" i="111"/>
  <c r="AD118" i="111"/>
  <c r="B118" i="111" s="1"/>
  <c r="AA110" i="111"/>
  <c r="AC110" i="111"/>
  <c r="Z110" i="111"/>
  <c r="Y110" i="111"/>
  <c r="AB110" i="111"/>
  <c r="X110" i="111"/>
  <c r="AE110" i="111"/>
  <c r="W110" i="111"/>
  <c r="AD110" i="111"/>
  <c r="V110" i="111"/>
  <c r="AC117" i="111"/>
  <c r="AD117" i="111"/>
  <c r="AE117" i="111"/>
  <c r="AF117" i="111"/>
  <c r="X109" i="111"/>
  <c r="W109" i="111"/>
  <c r="Z109" i="111"/>
  <c r="AD109" i="111"/>
  <c r="V109" i="111"/>
  <c r="AC109" i="111"/>
  <c r="U109" i="111"/>
  <c r="AB109" i="111"/>
  <c r="Y109" i="111"/>
  <c r="AA109" i="111"/>
  <c r="AA115" i="111"/>
  <c r="AF115" i="111"/>
  <c r="AE115" i="111"/>
  <c r="AD115" i="111"/>
  <c r="AC115" i="111"/>
  <c r="AB115" i="111"/>
  <c r="AE116" i="111"/>
  <c r="AD116" i="111"/>
  <c r="AC116" i="111"/>
  <c r="AC121" i="111" s="1"/>
  <c r="AB116" i="111"/>
  <c r="AF116" i="111"/>
  <c r="AC108" i="111"/>
  <c r="U108" i="111"/>
  <c r="AB108" i="111"/>
  <c r="T108" i="111"/>
  <c r="AA108" i="111"/>
  <c r="Z108" i="111"/>
  <c r="V108" i="111"/>
  <c r="Y108" i="111"/>
  <c r="X108" i="111"/>
  <c r="W108" i="111"/>
  <c r="D52" i="111"/>
  <c r="A6" i="113"/>
  <c r="A7" i="113" s="1"/>
  <c r="A8" i="113" s="1"/>
  <c r="A9" i="113" s="1"/>
  <c r="A10" i="113" s="1"/>
  <c r="A11" i="113" s="1"/>
  <c r="A12" i="113" s="1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D4" i="19"/>
  <c r="C76" i="140"/>
  <c r="C41" i="140"/>
  <c r="P4" i="19"/>
  <c r="N4" i="19"/>
  <c r="C25" i="113"/>
  <c r="C31" i="113"/>
  <c r="C26" i="113"/>
  <c r="C14" i="113"/>
  <c r="C28" i="113"/>
  <c r="C20" i="113"/>
  <c r="C33" i="113"/>
  <c r="C32" i="113"/>
  <c r="C24" i="113"/>
  <c r="C16" i="113"/>
  <c r="C29" i="113"/>
  <c r="C21" i="113"/>
  <c r="C27" i="113"/>
  <c r="C19" i="113"/>
  <c r="C6" i="21"/>
  <c r="C18" i="21"/>
  <c r="E23" i="19"/>
  <c r="K33" i="61"/>
  <c r="D34" i="64"/>
  <c r="E7" i="112"/>
  <c r="E8" i="112" s="1"/>
  <c r="E9" i="112" s="1"/>
  <c r="E10" i="112" s="1"/>
  <c r="E11" i="112" s="1"/>
  <c r="E12" i="112" s="1"/>
  <c r="E13" i="112" s="1"/>
  <c r="E14" i="112" s="1"/>
  <c r="E15" i="112" s="1"/>
  <c r="E16" i="112" s="1"/>
  <c r="E17" i="112" s="1"/>
  <c r="E18" i="112" s="1"/>
  <c r="E19" i="112" s="1"/>
  <c r="E20" i="112" s="1"/>
  <c r="E21" i="112" s="1"/>
  <c r="E22" i="112" s="1"/>
  <c r="E23" i="112" s="1"/>
  <c r="E24" i="112" s="1"/>
  <c r="E25" i="112" s="1"/>
  <c r="E26" i="112" s="1"/>
  <c r="E27" i="112" s="1"/>
  <c r="E28" i="112" s="1"/>
  <c r="E29" i="112" s="1"/>
  <c r="E30" i="112" s="1"/>
  <c r="E31" i="112" s="1"/>
  <c r="E32" i="112" s="1"/>
  <c r="E33" i="112" s="1"/>
  <c r="E34" i="112" s="1"/>
  <c r="P6" i="54"/>
  <c r="C6" i="140"/>
  <c r="G9" i="129"/>
  <c r="D14" i="111"/>
  <c r="D86" i="111"/>
  <c r="D48" i="111"/>
  <c r="E9" i="111"/>
  <c r="D90" i="111"/>
  <c r="D6" i="107"/>
  <c r="D7" i="107" s="1"/>
  <c r="D8" i="107" s="1"/>
  <c r="D9" i="107" s="1"/>
  <c r="D10" i="107" s="1"/>
  <c r="D11" i="107" s="1"/>
  <c r="D12" i="107" s="1"/>
  <c r="D13" i="107" s="1"/>
  <c r="D14" i="107" s="1"/>
  <c r="D15" i="107" s="1"/>
  <c r="D16" i="107" s="1"/>
  <c r="D17" i="107" s="1"/>
  <c r="D18" i="107" s="1"/>
  <c r="A120" i="111"/>
  <c r="AF120" i="111" s="1"/>
  <c r="B120" i="111" s="1"/>
  <c r="C7" i="99"/>
  <c r="C7" i="100"/>
  <c r="C7" i="98"/>
  <c r="C7" i="101"/>
  <c r="T121" i="111" l="1"/>
  <c r="M121" i="111"/>
  <c r="V121" i="111"/>
  <c r="V6" i="111" s="1"/>
  <c r="U121" i="111"/>
  <c r="S121" i="111"/>
  <c r="S6" i="111" s="1"/>
  <c r="B117" i="111"/>
  <c r="B114" i="111"/>
  <c r="AD121" i="111"/>
  <c r="AD6" i="111" s="1"/>
  <c r="W121" i="111"/>
  <c r="W6" i="111" s="1"/>
  <c r="AE121" i="111"/>
  <c r="Z121" i="111"/>
  <c r="Z6" i="111" s="1"/>
  <c r="AA121" i="111"/>
  <c r="AA6" i="111" s="1"/>
  <c r="P121" i="111"/>
  <c r="P6" i="111" s="1"/>
  <c r="AF121" i="111"/>
  <c r="AF6" i="111" s="1"/>
  <c r="AB121" i="111"/>
  <c r="AB6" i="111" s="1"/>
  <c r="X121" i="111"/>
  <c r="X6" i="111" s="1"/>
  <c r="N121" i="111"/>
  <c r="N6" i="111" s="1"/>
  <c r="R121" i="111"/>
  <c r="R6" i="111" s="1"/>
  <c r="B116" i="111"/>
  <c r="B113" i="111"/>
  <c r="O121" i="111"/>
  <c r="O6" i="111" s="1"/>
  <c r="Q121" i="111"/>
  <c r="Q6" i="111" s="1"/>
  <c r="B115" i="111"/>
  <c r="Y121" i="111"/>
  <c r="Y6" i="111" s="1"/>
  <c r="B112" i="111"/>
  <c r="E48" i="111"/>
  <c r="D4" i="48"/>
  <c r="AG4" i="19"/>
  <c r="F4" i="48"/>
  <c r="AJ4" i="19"/>
  <c r="B4" i="48"/>
  <c r="E4" i="42"/>
  <c r="F4" i="42" s="1"/>
  <c r="G4" i="42" s="1"/>
  <c r="N34" i="19"/>
  <c r="H4" i="42"/>
  <c r="I4" i="42" s="1"/>
  <c r="J4" i="42" s="1"/>
  <c r="P34" i="19"/>
  <c r="C23" i="21"/>
  <c r="C31" i="21"/>
  <c r="C19" i="21"/>
  <c r="C27" i="21"/>
  <c r="C25" i="21"/>
  <c r="C29" i="21"/>
  <c r="C21" i="21"/>
  <c r="C15" i="21"/>
  <c r="C33" i="21"/>
  <c r="C34" i="21"/>
  <c r="C22" i="21"/>
  <c r="C16" i="21"/>
  <c r="C9" i="21"/>
  <c r="C11" i="21"/>
  <c r="C13" i="21"/>
  <c r="C12" i="21"/>
  <c r="C10" i="21"/>
  <c r="C14" i="21"/>
  <c r="C20" i="21"/>
  <c r="C7" i="21"/>
  <c r="C26" i="21"/>
  <c r="C30" i="21"/>
  <c r="C32" i="21"/>
  <c r="C24" i="21"/>
  <c r="C28" i="21"/>
  <c r="C17" i="21"/>
  <c r="H6" i="160"/>
  <c r="O7" i="21" s="1"/>
  <c r="C8" i="21"/>
  <c r="D34" i="19"/>
  <c r="H33" i="160"/>
  <c r="H29" i="160"/>
  <c r="H13" i="160"/>
  <c r="H17" i="160"/>
  <c r="H31" i="160"/>
  <c r="H10" i="160"/>
  <c r="H8" i="160"/>
  <c r="H25" i="160"/>
  <c r="H16" i="160"/>
  <c r="H18" i="160"/>
  <c r="H26" i="160"/>
  <c r="H19" i="160"/>
  <c r="H30" i="160"/>
  <c r="H20" i="160"/>
  <c r="H14" i="160"/>
  <c r="H11" i="160"/>
  <c r="H7" i="160"/>
  <c r="H9" i="160"/>
  <c r="H5" i="160"/>
  <c r="O6" i="21" s="1"/>
  <c r="H23" i="160"/>
  <c r="H32" i="160"/>
  <c r="H12" i="160"/>
  <c r="H22" i="160"/>
  <c r="H27" i="160"/>
  <c r="H15" i="160"/>
  <c r="H21" i="160"/>
  <c r="H28" i="160"/>
  <c r="H24" i="160"/>
  <c r="Q6" i="54"/>
  <c r="P7" i="54"/>
  <c r="B4" i="42"/>
  <c r="E10" i="153" a="1"/>
  <c r="E8" i="153" a="1"/>
  <c r="E9" i="153" a="1"/>
  <c r="E90" i="111"/>
  <c r="E14" i="111"/>
  <c r="E52" i="111"/>
  <c r="E86" i="111"/>
  <c r="F9" i="111"/>
  <c r="B93" i="111"/>
  <c r="B100" i="111"/>
  <c r="B101" i="111"/>
  <c r="B105" i="111"/>
  <c r="B91" i="111"/>
  <c r="B110" i="111"/>
  <c r="B103" i="111"/>
  <c r="B111" i="111"/>
  <c r="B109" i="111"/>
  <c r="B102" i="111"/>
  <c r="B97" i="111"/>
  <c r="B108" i="111"/>
  <c r="B107" i="111"/>
  <c r="B99" i="111"/>
  <c r="B98" i="111"/>
  <c r="B95" i="111"/>
  <c r="B92" i="111"/>
  <c r="B106" i="111"/>
  <c r="B104" i="111"/>
  <c r="B96" i="111"/>
  <c r="B94" i="111"/>
  <c r="K34" i="61"/>
  <c r="E16" i="19"/>
  <c r="L16" i="19"/>
  <c r="E10" i="19"/>
  <c r="E11" i="19"/>
  <c r="E8" i="19"/>
  <c r="E12" i="19"/>
  <c r="E7" i="19"/>
  <c r="L23" i="19"/>
  <c r="E15" i="19"/>
  <c r="L31" i="19"/>
  <c r="L20" i="19"/>
  <c r="L25" i="19"/>
  <c r="E6" i="19"/>
  <c r="E29" i="19"/>
  <c r="L18" i="19"/>
  <c r="E27" i="19"/>
  <c r="L19" i="19"/>
  <c r="E25" i="19"/>
  <c r="E31" i="19"/>
  <c r="G16" i="129"/>
  <c r="G29" i="129"/>
  <c r="G8" i="129"/>
  <c r="G30" i="129"/>
  <c r="G34" i="129"/>
  <c r="G21" i="129"/>
  <c r="E19" i="19"/>
  <c r="G7" i="129"/>
  <c r="L29" i="19"/>
  <c r="B29" i="48" s="1"/>
  <c r="H29" i="48" s="1"/>
  <c r="S29" i="48" s="1"/>
  <c r="L27" i="19"/>
  <c r="B27" i="48" s="1"/>
  <c r="H27" i="48" s="1"/>
  <c r="S27" i="48" s="1"/>
  <c r="G24" i="129"/>
  <c r="G32" i="129"/>
  <c r="E18" i="19"/>
  <c r="G18" i="129"/>
  <c r="E20" i="19"/>
  <c r="G17" i="129"/>
  <c r="G15" i="129"/>
  <c r="G25" i="129"/>
  <c r="L15" i="19"/>
  <c r="B15" i="48" s="1"/>
  <c r="H15" i="48" s="1"/>
  <c r="S15" i="48" s="1"/>
  <c r="G19" i="129"/>
  <c r="G28" i="129"/>
  <c r="G27" i="129"/>
  <c r="G22" i="129"/>
  <c r="G13" i="129"/>
  <c r="G20" i="129"/>
  <c r="G31" i="129"/>
  <c r="G10" i="129"/>
  <c r="G11" i="129"/>
  <c r="G12" i="129"/>
  <c r="G26" i="129"/>
  <c r="G14" i="129"/>
  <c r="G23" i="129"/>
  <c r="G33" i="129"/>
  <c r="G6" i="129"/>
  <c r="G5" i="129"/>
  <c r="U6" i="111"/>
  <c r="T6" i="111"/>
  <c r="AC6" i="111"/>
  <c r="AE6" i="111"/>
  <c r="L24" i="19"/>
  <c r="B24" i="48" s="1"/>
  <c r="H24" i="48" s="1"/>
  <c r="S24" i="48" s="1"/>
  <c r="E24" i="19"/>
  <c r="L17" i="19"/>
  <c r="B17" i="48" s="1"/>
  <c r="H17" i="48" s="1"/>
  <c r="S17" i="48" s="1"/>
  <c r="E17" i="19"/>
  <c r="E5" i="19"/>
  <c r="L28" i="19"/>
  <c r="B28" i="48" s="1"/>
  <c r="H28" i="48" s="1"/>
  <c r="S28" i="48" s="1"/>
  <c r="E28" i="19"/>
  <c r="L33" i="19"/>
  <c r="B33" i="48" s="1"/>
  <c r="H33" i="48" s="1"/>
  <c r="S33" i="48" s="1"/>
  <c r="E33" i="19"/>
  <c r="C8" i="101"/>
  <c r="C8" i="100"/>
  <c r="L14" i="19"/>
  <c r="B14" i="48" s="1"/>
  <c r="H14" i="48" s="1"/>
  <c r="S14" i="48" s="1"/>
  <c r="E14" i="19"/>
  <c r="L32" i="19"/>
  <c r="B32" i="48" s="1"/>
  <c r="H32" i="48" s="1"/>
  <c r="S32" i="48" s="1"/>
  <c r="E32" i="19"/>
  <c r="L26" i="19"/>
  <c r="B26" i="48" s="1"/>
  <c r="H26" i="48" s="1"/>
  <c r="S26" i="48" s="1"/>
  <c r="E26" i="19"/>
  <c r="D19" i="107"/>
  <c r="L22" i="19"/>
  <c r="B22" i="48" s="1"/>
  <c r="H22" i="48" s="1"/>
  <c r="S22" i="48" s="1"/>
  <c r="E22" i="19"/>
  <c r="E9" i="19"/>
  <c r="K9" i="19" s="1"/>
  <c r="C121" i="111"/>
  <c r="C6" i="111" s="1"/>
  <c r="C8" i="99"/>
  <c r="L30" i="19"/>
  <c r="B30" i="48" s="1"/>
  <c r="H30" i="48" s="1"/>
  <c r="S30" i="48" s="1"/>
  <c r="E30" i="19"/>
  <c r="L13" i="19"/>
  <c r="B13" i="48" s="1"/>
  <c r="H13" i="48" s="1"/>
  <c r="S13" i="48" s="1"/>
  <c r="E13" i="19"/>
  <c r="L21" i="19"/>
  <c r="B21" i="48" s="1"/>
  <c r="H21" i="48" s="1"/>
  <c r="S21" i="48" s="1"/>
  <c r="E21" i="19"/>
  <c r="C8" i="98"/>
  <c r="H4" i="48" l="1"/>
  <c r="S4" i="48" s="1"/>
  <c r="Q7" i="54"/>
  <c r="B87" i="111"/>
  <c r="G9" i="111"/>
  <c r="G52" i="111" s="1"/>
  <c r="G4" i="48"/>
  <c r="G34" i="48" s="1"/>
  <c r="F34" i="48"/>
  <c r="C5" i="54"/>
  <c r="E5" i="54" s="1"/>
  <c r="AC4" i="19"/>
  <c r="E4" i="48"/>
  <c r="E34" i="48" s="1"/>
  <c r="D34" i="48"/>
  <c r="AE4" i="19"/>
  <c r="B76" i="140"/>
  <c r="B75" i="140" s="1"/>
  <c r="B73" i="131"/>
  <c r="B39" i="131"/>
  <c r="B41" i="140"/>
  <c r="B40" i="140" s="1"/>
  <c r="D41" i="140"/>
  <c r="D40" i="140" s="1"/>
  <c r="D76" i="140"/>
  <c r="D75" i="140" s="1"/>
  <c r="E34" i="19"/>
  <c r="B20" i="42"/>
  <c r="C20" i="42" s="1"/>
  <c r="B20" i="48"/>
  <c r="H20" i="48" s="1"/>
  <c r="S20" i="48" s="1"/>
  <c r="AD31" i="19"/>
  <c r="AE31" i="19" s="1"/>
  <c r="B31" i="48"/>
  <c r="H31" i="48" s="1"/>
  <c r="S31" i="48" s="1"/>
  <c r="B19" i="42"/>
  <c r="C19" i="42" s="1"/>
  <c r="B19" i="48"/>
  <c r="H19" i="48" s="1"/>
  <c r="S19" i="48" s="1"/>
  <c r="AD16" i="19"/>
  <c r="AE16" i="19" s="1"/>
  <c r="B16" i="48"/>
  <c r="H16" i="48" s="1"/>
  <c r="S16" i="48" s="1"/>
  <c r="B23" i="42"/>
  <c r="C23" i="42" s="1"/>
  <c r="B23" i="48"/>
  <c r="H23" i="48" s="1"/>
  <c r="S23" i="48" s="1"/>
  <c r="AD18" i="19"/>
  <c r="AE18" i="19" s="1"/>
  <c r="B18" i="48"/>
  <c r="H18" i="48" s="1"/>
  <c r="S18" i="48" s="1"/>
  <c r="AD25" i="19"/>
  <c r="AE25" i="19" s="1"/>
  <c r="B25" i="48"/>
  <c r="H25" i="48" s="1"/>
  <c r="S25" i="48" s="1"/>
  <c r="C35" i="21"/>
  <c r="P7" i="21"/>
  <c r="I8" i="160"/>
  <c r="I13" i="160"/>
  <c r="I21" i="160"/>
  <c r="I12" i="160"/>
  <c r="I9" i="160"/>
  <c r="I20" i="160"/>
  <c r="I29" i="160"/>
  <c r="I15" i="160"/>
  <c r="I32" i="160"/>
  <c r="I7" i="160"/>
  <c r="I30" i="160"/>
  <c r="I18" i="160"/>
  <c r="I10" i="160"/>
  <c r="I16" i="160"/>
  <c r="I31" i="160"/>
  <c r="I24" i="160"/>
  <c r="I27" i="160"/>
  <c r="I23" i="160"/>
  <c r="I11" i="160"/>
  <c r="I19" i="160"/>
  <c r="I25" i="160"/>
  <c r="I17" i="160"/>
  <c r="I33" i="160"/>
  <c r="I28" i="160"/>
  <c r="I22" i="160"/>
  <c r="I5" i="160"/>
  <c r="I14" i="160"/>
  <c r="I26" i="160"/>
  <c r="I6" i="160"/>
  <c r="P8" i="54"/>
  <c r="F48" i="111"/>
  <c r="E10" i="153"/>
  <c r="AF10" i="153"/>
  <c r="P10" i="153"/>
  <c r="AI10" i="153"/>
  <c r="S10" i="153"/>
  <c r="AL10" i="153"/>
  <c r="V10" i="153"/>
  <c r="F10" i="153"/>
  <c r="Y10" i="153"/>
  <c r="I10" i="153"/>
  <c r="AJ10" i="153"/>
  <c r="T10" i="153"/>
  <c r="AM10" i="153"/>
  <c r="W10" i="153"/>
  <c r="G10" i="153"/>
  <c r="Z10" i="153"/>
  <c r="J10" i="153"/>
  <c r="AC10" i="153"/>
  <c r="M10" i="153"/>
  <c r="X10" i="153"/>
  <c r="H10" i="153"/>
  <c r="AA10" i="153"/>
  <c r="K10" i="153"/>
  <c r="AD10" i="153"/>
  <c r="N10" i="153"/>
  <c r="AG10" i="153"/>
  <c r="Q10" i="153"/>
  <c r="AB10" i="153"/>
  <c r="L10" i="153"/>
  <c r="AE10" i="153"/>
  <c r="O10" i="153"/>
  <c r="AH10" i="153"/>
  <c r="R10" i="153"/>
  <c r="AK10" i="153"/>
  <c r="U10" i="153"/>
  <c r="E8" i="153"/>
  <c r="AB8" i="153"/>
  <c r="AI8" i="153"/>
  <c r="S8" i="153"/>
  <c r="P8" i="153"/>
  <c r="Z8" i="153"/>
  <c r="J8" i="153"/>
  <c r="L8" i="153"/>
  <c r="Y8" i="153"/>
  <c r="I8" i="153"/>
  <c r="AJ8" i="153"/>
  <c r="AM8" i="153"/>
  <c r="W8" i="153"/>
  <c r="G8" i="153"/>
  <c r="AD8" i="153"/>
  <c r="N8" i="153"/>
  <c r="X8" i="153"/>
  <c r="AC8" i="153"/>
  <c r="M8" i="153"/>
  <c r="H8" i="153"/>
  <c r="AA8" i="153"/>
  <c r="K8" i="153"/>
  <c r="AH8" i="153"/>
  <c r="R8" i="153"/>
  <c r="AF8" i="153"/>
  <c r="AG8" i="153"/>
  <c r="Q8" i="153"/>
  <c r="T8" i="153"/>
  <c r="AE8" i="153"/>
  <c r="O8" i="153"/>
  <c r="AL8" i="153"/>
  <c r="V8" i="153"/>
  <c r="F8" i="153"/>
  <c r="AK8" i="153"/>
  <c r="U8" i="153"/>
  <c r="F9" i="153"/>
  <c r="AA9" i="153"/>
  <c r="K9" i="153"/>
  <c r="AC9" i="153"/>
  <c r="M9" i="153"/>
  <c r="AF9" i="153"/>
  <c r="P9" i="153"/>
  <c r="AH9" i="153"/>
  <c r="R9" i="153"/>
  <c r="AE9" i="153"/>
  <c r="O9" i="153"/>
  <c r="AG9" i="153"/>
  <c r="Q9" i="153"/>
  <c r="AJ9" i="153"/>
  <c r="T9" i="153"/>
  <c r="AL9" i="153"/>
  <c r="V9" i="153"/>
  <c r="AI9" i="153"/>
  <c r="S9" i="153"/>
  <c r="AK9" i="153"/>
  <c r="U9" i="153"/>
  <c r="E9" i="153"/>
  <c r="X9" i="153"/>
  <c r="H9" i="153"/>
  <c r="Z9" i="153"/>
  <c r="J9" i="153"/>
  <c r="AM9" i="153"/>
  <c r="W9" i="153"/>
  <c r="G9" i="153"/>
  <c r="Y9" i="153"/>
  <c r="I9" i="153"/>
  <c r="AB9" i="153"/>
  <c r="L9" i="153"/>
  <c r="AD9" i="153"/>
  <c r="N9" i="153"/>
  <c r="E3" i="153" a="1"/>
  <c r="E4" i="153" a="1"/>
  <c r="E29" i="153" a="1"/>
  <c r="E5" i="153" a="1"/>
  <c r="F90" i="111"/>
  <c r="D6" i="140"/>
  <c r="D5" i="140" s="1"/>
  <c r="AD23" i="19"/>
  <c r="AE23" i="19" s="1"/>
  <c r="E35" i="153" a="1"/>
  <c r="E34" i="153" a="1"/>
  <c r="E62" i="153" a="1"/>
  <c r="F14" i="111"/>
  <c r="F86" i="111"/>
  <c r="F52" i="111"/>
  <c r="B16" i="42"/>
  <c r="AD20" i="19"/>
  <c r="AE20" i="19" s="1"/>
  <c r="G35" i="129"/>
  <c r="F35" i="129"/>
  <c r="AD19" i="19"/>
  <c r="AE19" i="19" s="1"/>
  <c r="B25" i="42"/>
  <c r="B31" i="42"/>
  <c r="B18" i="42"/>
  <c r="B6" i="140"/>
  <c r="B5" i="140" s="1"/>
  <c r="AD27" i="19"/>
  <c r="AE27" i="19" s="1"/>
  <c r="B27" i="42"/>
  <c r="AD29" i="19"/>
  <c r="AE29" i="19" s="1"/>
  <c r="B29" i="42"/>
  <c r="AD15" i="19"/>
  <c r="AE15" i="19" s="1"/>
  <c r="B15" i="42"/>
  <c r="AD17" i="19"/>
  <c r="AE17" i="19" s="1"/>
  <c r="AD14" i="19"/>
  <c r="AE14" i="19" s="1"/>
  <c r="AD13" i="19"/>
  <c r="AE13" i="19" s="1"/>
  <c r="AD26" i="19"/>
  <c r="AE26" i="19" s="1"/>
  <c r="AD28" i="19"/>
  <c r="AE28" i="19" s="1"/>
  <c r="AD32" i="19"/>
  <c r="AE32" i="19" s="1"/>
  <c r="AD33" i="19"/>
  <c r="AE33" i="19" s="1"/>
  <c r="AD30" i="19"/>
  <c r="AE30" i="19" s="1"/>
  <c r="AD24" i="19"/>
  <c r="AE24" i="19" s="1"/>
  <c r="AD21" i="19"/>
  <c r="AE21" i="19" s="1"/>
  <c r="AD22" i="19"/>
  <c r="AE22" i="19" s="1"/>
  <c r="D121" i="111"/>
  <c r="H121" i="111"/>
  <c r="L121" i="111"/>
  <c r="E121" i="111"/>
  <c r="J121" i="111"/>
  <c r="F121" i="111"/>
  <c r="I121" i="111"/>
  <c r="K121" i="111"/>
  <c r="G121" i="111"/>
  <c r="B21" i="42"/>
  <c r="B28" i="42"/>
  <c r="B13" i="42"/>
  <c r="B32" i="42"/>
  <c r="B22" i="42"/>
  <c r="B33" i="42"/>
  <c r="B24" i="42"/>
  <c r="B30" i="42"/>
  <c r="B26" i="42"/>
  <c r="B14" i="42"/>
  <c r="B17" i="42"/>
  <c r="C9" i="98"/>
  <c r="C9" i="99"/>
  <c r="G90" i="111"/>
  <c r="H9" i="111"/>
  <c r="G86" i="111"/>
  <c r="G14" i="111"/>
  <c r="C9" i="101"/>
  <c r="D20" i="107"/>
  <c r="C9" i="100"/>
  <c r="F5" i="54" l="1"/>
  <c r="I5" i="54"/>
  <c r="L5" i="54" s="1"/>
  <c r="G48" i="111"/>
  <c r="G6" i="111"/>
  <c r="K6" i="111"/>
  <c r="F6" i="111"/>
  <c r="M6" i="111"/>
  <c r="J6" i="111"/>
  <c r="H6" i="111"/>
  <c r="I6" i="111"/>
  <c r="L6" i="111"/>
  <c r="E6" i="111"/>
  <c r="D20" i="98"/>
  <c r="D20" i="148"/>
  <c r="E20" i="148" s="1"/>
  <c r="C20" i="107"/>
  <c r="E20" i="107" s="1"/>
  <c r="D20" i="100"/>
  <c r="D20" i="128"/>
  <c r="E20" i="128" s="1"/>
  <c r="D24" i="128"/>
  <c r="E24" i="128" s="1"/>
  <c r="D24" i="98"/>
  <c r="D24" i="148"/>
  <c r="E24" i="148" s="1"/>
  <c r="C24" i="107"/>
  <c r="E24" i="107" s="1"/>
  <c r="D24" i="100"/>
  <c r="D21" i="148"/>
  <c r="E21" i="148" s="1"/>
  <c r="C21" i="107"/>
  <c r="E21" i="107" s="1"/>
  <c r="D21" i="100"/>
  <c r="D21" i="128"/>
  <c r="E21" i="128" s="1"/>
  <c r="D21" i="98"/>
  <c r="B4" i="113"/>
  <c r="C4" i="113" s="1"/>
  <c r="B22" i="140"/>
  <c r="B21" i="131"/>
  <c r="E76" i="140"/>
  <c r="F76" i="140"/>
  <c r="F75" i="140" s="1"/>
  <c r="C73" i="131"/>
  <c r="D73" i="131" s="1"/>
  <c r="E41" i="140"/>
  <c r="C39" i="131"/>
  <c r="D39" i="131" s="1"/>
  <c r="F41" i="140"/>
  <c r="F40" i="140" s="1"/>
  <c r="D88" i="140"/>
  <c r="D53" i="140"/>
  <c r="D50" i="140"/>
  <c r="D85" i="140"/>
  <c r="D86" i="140"/>
  <c r="D51" i="140"/>
  <c r="D99" i="140"/>
  <c r="D64" i="140"/>
  <c r="D89" i="140"/>
  <c r="D54" i="140"/>
  <c r="D22" i="140"/>
  <c r="D57" i="140"/>
  <c r="D92" i="140"/>
  <c r="D96" i="140"/>
  <c r="D61" i="140"/>
  <c r="D102" i="140"/>
  <c r="D67" i="140"/>
  <c r="D66" i="140"/>
  <c r="D101" i="140"/>
  <c r="D33" i="140"/>
  <c r="D68" i="140"/>
  <c r="D103" i="140"/>
  <c r="D70" i="140"/>
  <c r="D105" i="140"/>
  <c r="D69" i="140"/>
  <c r="D104" i="140"/>
  <c r="D87" i="140"/>
  <c r="D52" i="140"/>
  <c r="D100" i="140"/>
  <c r="D65" i="140"/>
  <c r="D21" i="140"/>
  <c r="D91" i="140"/>
  <c r="D56" i="140"/>
  <c r="D98" i="140"/>
  <c r="D63" i="140"/>
  <c r="D27" i="140"/>
  <c r="D62" i="140"/>
  <c r="D97" i="140"/>
  <c r="D20" i="140"/>
  <c r="D90" i="140"/>
  <c r="D55" i="140"/>
  <c r="D94" i="140"/>
  <c r="D59" i="140"/>
  <c r="D25" i="140"/>
  <c r="D95" i="140"/>
  <c r="D60" i="140"/>
  <c r="D58" i="140"/>
  <c r="D93" i="140"/>
  <c r="B20" i="131"/>
  <c r="B25" i="140"/>
  <c r="B24" i="131"/>
  <c r="B21" i="140"/>
  <c r="D18" i="140"/>
  <c r="P20" i="21"/>
  <c r="P25" i="21"/>
  <c r="P19" i="21"/>
  <c r="P16" i="21"/>
  <c r="P13" i="21"/>
  <c r="P15" i="21"/>
  <c r="P34" i="21"/>
  <c r="P12" i="21"/>
  <c r="P32" i="21"/>
  <c r="P31" i="21"/>
  <c r="P30" i="21"/>
  <c r="P22" i="21"/>
  <c r="P18" i="21"/>
  <c r="P24" i="21"/>
  <c r="P17" i="21"/>
  <c r="P21" i="21"/>
  <c r="P14" i="21"/>
  <c r="P6" i="21"/>
  <c r="P23" i="21"/>
  <c r="P26" i="21"/>
  <c r="P28" i="21"/>
  <c r="P11" i="21"/>
  <c r="P33" i="21"/>
  <c r="P10" i="21"/>
  <c r="P9" i="21"/>
  <c r="P27" i="21"/>
  <c r="P29" i="21"/>
  <c r="P8" i="21"/>
  <c r="P9" i="54"/>
  <c r="Q8" i="54"/>
  <c r="E5" i="153"/>
  <c r="AM5" i="153"/>
  <c r="AM60" i="153" s="1"/>
  <c r="W5" i="153"/>
  <c r="V47" i="125" s="1"/>
  <c r="G5" i="153"/>
  <c r="F47" i="125" s="1"/>
  <c r="AL5" i="153"/>
  <c r="AL60" i="153" s="1"/>
  <c r="V5" i="153"/>
  <c r="U47" i="125" s="1"/>
  <c r="F5" i="153"/>
  <c r="AG5" i="153"/>
  <c r="AF47" i="125" s="1"/>
  <c r="Q5" i="153"/>
  <c r="P47" i="125" s="1"/>
  <c r="H5" i="153"/>
  <c r="G47" i="125" s="1"/>
  <c r="AA5" i="153"/>
  <c r="Z47" i="125" s="1"/>
  <c r="K5" i="153"/>
  <c r="J47" i="125" s="1"/>
  <c r="P5" i="153"/>
  <c r="O47" i="125" s="1"/>
  <c r="Z5" i="153"/>
  <c r="Y47" i="125" s="1"/>
  <c r="J5" i="153"/>
  <c r="I47" i="125" s="1"/>
  <c r="AK5" i="153"/>
  <c r="AK60" i="153" s="1"/>
  <c r="U5" i="153"/>
  <c r="T47" i="125" s="1"/>
  <c r="T5" i="153"/>
  <c r="S47" i="125" s="1"/>
  <c r="AE5" i="153"/>
  <c r="AD47" i="125" s="1"/>
  <c r="O5" i="153"/>
  <c r="N47" i="125" s="1"/>
  <c r="X5" i="153"/>
  <c r="W47" i="125" s="1"/>
  <c r="AD5" i="153"/>
  <c r="AC47" i="125" s="1"/>
  <c r="N5" i="153"/>
  <c r="M47" i="125" s="1"/>
  <c r="L5" i="153"/>
  <c r="K47" i="125" s="1"/>
  <c r="Y5" i="153"/>
  <c r="X47" i="125" s="1"/>
  <c r="I5" i="153"/>
  <c r="H47" i="125" s="1"/>
  <c r="AF5" i="153"/>
  <c r="AE47" i="125" s="1"/>
  <c r="AI5" i="153"/>
  <c r="AI60" i="153" s="1"/>
  <c r="S5" i="153"/>
  <c r="R47" i="125" s="1"/>
  <c r="AJ5" i="153"/>
  <c r="AJ60" i="153" s="1"/>
  <c r="AH5" i="153"/>
  <c r="AG47" i="125" s="1"/>
  <c r="R5" i="153"/>
  <c r="Q47" i="125" s="1"/>
  <c r="AB5" i="153"/>
  <c r="AA47" i="125" s="1"/>
  <c r="AC5" i="153"/>
  <c r="AB47" i="125" s="1"/>
  <c r="M5" i="153"/>
  <c r="L47" i="125" s="1"/>
  <c r="D18" i="125"/>
  <c r="J18" i="125"/>
  <c r="AA18" i="125"/>
  <c r="K18" i="125"/>
  <c r="AC18" i="125"/>
  <c r="M18" i="125"/>
  <c r="AF18" i="125"/>
  <c r="P18" i="125"/>
  <c r="AD18" i="125"/>
  <c r="N18" i="125"/>
  <c r="AE18" i="125"/>
  <c r="O18" i="125"/>
  <c r="AG18" i="125"/>
  <c r="Q18" i="125"/>
  <c r="T18" i="125"/>
  <c r="R18" i="125"/>
  <c r="S18" i="125"/>
  <c r="U18" i="125"/>
  <c r="E18" i="125"/>
  <c r="X18" i="125"/>
  <c r="H18" i="125"/>
  <c r="V18" i="125"/>
  <c r="F18" i="125"/>
  <c r="W18" i="125"/>
  <c r="G18" i="125"/>
  <c r="Y18" i="125"/>
  <c r="I18" i="125"/>
  <c r="AB18" i="125"/>
  <c r="L18" i="125"/>
  <c r="E4" i="153"/>
  <c r="E39" i="153" s="1"/>
  <c r="E40" i="153" s="1"/>
  <c r="X4" i="153"/>
  <c r="W4" i="153"/>
  <c r="AH4" i="153"/>
  <c r="R4" i="153"/>
  <c r="AJ4" i="153"/>
  <c r="AJ39" i="153" s="1"/>
  <c r="AM4" i="153"/>
  <c r="AM39" i="153" s="1"/>
  <c r="K4" i="153"/>
  <c r="J26" i="125" s="1"/>
  <c r="Y4" i="153"/>
  <c r="I4" i="153"/>
  <c r="H26" i="125" s="1"/>
  <c r="AF4" i="153"/>
  <c r="AE4" i="153"/>
  <c r="AL4" i="153"/>
  <c r="AL39" i="153" s="1"/>
  <c r="V4" i="153"/>
  <c r="F4" i="153"/>
  <c r="F39" i="153" s="1"/>
  <c r="L4" i="153"/>
  <c r="K26" i="125" s="1"/>
  <c r="S4" i="153"/>
  <c r="AC4" i="153"/>
  <c r="M4" i="153"/>
  <c r="L26" i="125" s="1"/>
  <c r="H4" i="153"/>
  <c r="G26" i="125" s="1"/>
  <c r="G4" i="153"/>
  <c r="F26" i="125" s="1"/>
  <c r="Z4" i="153"/>
  <c r="J4" i="153"/>
  <c r="I26" i="125" s="1"/>
  <c r="T4" i="153"/>
  <c r="AA4" i="153"/>
  <c r="AG4" i="153"/>
  <c r="Q4" i="153"/>
  <c r="P4" i="153"/>
  <c r="O4" i="153"/>
  <c r="AD4" i="153"/>
  <c r="N4" i="153"/>
  <c r="M26" i="125" s="1"/>
  <c r="AB4" i="153"/>
  <c r="AI4" i="153"/>
  <c r="AI39" i="153" s="1"/>
  <c r="AK4" i="153"/>
  <c r="AK39" i="153" s="1"/>
  <c r="U4" i="153"/>
  <c r="D17" i="125"/>
  <c r="S17" i="125"/>
  <c r="AD17" i="125"/>
  <c r="N17" i="125"/>
  <c r="K17" i="125"/>
  <c r="Y17" i="125"/>
  <c r="I17" i="125"/>
  <c r="O17" i="125"/>
  <c r="X17" i="125"/>
  <c r="H17" i="125"/>
  <c r="AE17" i="125"/>
  <c r="R17" i="125"/>
  <c r="W17" i="125"/>
  <c r="AC17" i="125"/>
  <c r="M17" i="125"/>
  <c r="AA17" i="125"/>
  <c r="AB17" i="125"/>
  <c r="L17" i="125"/>
  <c r="V17" i="125"/>
  <c r="F17" i="125"/>
  <c r="AG17" i="125"/>
  <c r="Q17" i="125"/>
  <c r="AF17" i="125"/>
  <c r="P17" i="125"/>
  <c r="G17" i="125"/>
  <c r="Z17" i="125"/>
  <c r="J17" i="125"/>
  <c r="U17" i="125"/>
  <c r="E17" i="125"/>
  <c r="T17" i="125"/>
  <c r="D20" i="125"/>
  <c r="S20" i="125"/>
  <c r="AD20" i="125"/>
  <c r="N20" i="125"/>
  <c r="O20" i="125"/>
  <c r="Y20" i="125"/>
  <c r="I20" i="125"/>
  <c r="K20" i="125"/>
  <c r="X20" i="125"/>
  <c r="H20" i="125"/>
  <c r="AA20" i="125"/>
  <c r="R20" i="125"/>
  <c r="AC20" i="125"/>
  <c r="M20" i="125"/>
  <c r="W20" i="125"/>
  <c r="AB20" i="125"/>
  <c r="L20" i="125"/>
  <c r="V20" i="125"/>
  <c r="F20" i="125"/>
  <c r="AG20" i="125"/>
  <c r="Q20" i="125"/>
  <c r="AE20" i="125"/>
  <c r="AF20" i="125"/>
  <c r="P20" i="125"/>
  <c r="G20" i="125"/>
  <c r="Z20" i="125"/>
  <c r="J20" i="125"/>
  <c r="U20" i="125"/>
  <c r="E20" i="125"/>
  <c r="T20" i="125"/>
  <c r="E29" i="153"/>
  <c r="D16" i="125" s="1"/>
  <c r="AM29" i="153"/>
  <c r="W29" i="153"/>
  <c r="V16" i="125" s="1"/>
  <c r="G29" i="153"/>
  <c r="F16" i="125" s="1"/>
  <c r="AL29" i="153"/>
  <c r="V29" i="153"/>
  <c r="U16" i="125" s="1"/>
  <c r="F29" i="153"/>
  <c r="E16" i="125" s="1"/>
  <c r="AG29" i="153"/>
  <c r="AF16" i="125" s="1"/>
  <c r="Q29" i="153"/>
  <c r="P16" i="125" s="1"/>
  <c r="H29" i="153"/>
  <c r="G16" i="125" s="1"/>
  <c r="AA29" i="153"/>
  <c r="Z16" i="125" s="1"/>
  <c r="K29" i="153"/>
  <c r="J16" i="125" s="1"/>
  <c r="L29" i="153"/>
  <c r="K16" i="125" s="1"/>
  <c r="Z29" i="153"/>
  <c r="Y16" i="125" s="1"/>
  <c r="J29" i="153"/>
  <c r="I16" i="125" s="1"/>
  <c r="AK29" i="153"/>
  <c r="U29" i="153"/>
  <c r="T16" i="125" s="1"/>
  <c r="T29" i="153"/>
  <c r="S16" i="125" s="1"/>
  <c r="AE29" i="153"/>
  <c r="AD16" i="125" s="1"/>
  <c r="O29" i="153"/>
  <c r="N16" i="125" s="1"/>
  <c r="X29" i="153"/>
  <c r="W16" i="125" s="1"/>
  <c r="AD29" i="153"/>
  <c r="AC16" i="125" s="1"/>
  <c r="N29" i="153"/>
  <c r="M16" i="125" s="1"/>
  <c r="P29" i="153"/>
  <c r="O16" i="125" s="1"/>
  <c r="Y29" i="153"/>
  <c r="X16" i="125" s="1"/>
  <c r="I29" i="153"/>
  <c r="H16" i="125" s="1"/>
  <c r="AF29" i="153"/>
  <c r="AE16" i="125" s="1"/>
  <c r="AI29" i="153"/>
  <c r="S29" i="153"/>
  <c r="R16" i="125" s="1"/>
  <c r="AJ29" i="153"/>
  <c r="AH29" i="153"/>
  <c r="AG16" i="125" s="1"/>
  <c r="R29" i="153"/>
  <c r="Q16" i="125" s="1"/>
  <c r="AB29" i="153"/>
  <c r="AA16" i="125" s="1"/>
  <c r="AC29" i="153"/>
  <c r="AB16" i="125" s="1"/>
  <c r="M29" i="153"/>
  <c r="L16" i="125" s="1"/>
  <c r="E3" i="153"/>
  <c r="AM3" i="153"/>
  <c r="W3" i="153"/>
  <c r="G3" i="153"/>
  <c r="AH3" i="153"/>
  <c r="R3" i="153"/>
  <c r="AJ3" i="153"/>
  <c r="AG3" i="153"/>
  <c r="Q3" i="153"/>
  <c r="H3" i="153"/>
  <c r="AA3" i="153"/>
  <c r="K3" i="153"/>
  <c r="AL3" i="153"/>
  <c r="V3" i="153"/>
  <c r="F3" i="153"/>
  <c r="AK3" i="153"/>
  <c r="U3" i="153"/>
  <c r="T3" i="153"/>
  <c r="AE3" i="153"/>
  <c r="O3" i="153"/>
  <c r="P3" i="153"/>
  <c r="Z3" i="153"/>
  <c r="J3" i="153"/>
  <c r="L3" i="153"/>
  <c r="Y3" i="153"/>
  <c r="I3" i="153"/>
  <c r="AB3" i="153"/>
  <c r="AI3" i="153"/>
  <c r="S3" i="153"/>
  <c r="AF3" i="153"/>
  <c r="AD3" i="153"/>
  <c r="N3" i="153"/>
  <c r="X3" i="153"/>
  <c r="AC3" i="153"/>
  <c r="M3" i="153"/>
  <c r="B16" i="140"/>
  <c r="B30" i="140"/>
  <c r="B27" i="140"/>
  <c r="B28" i="140"/>
  <c r="B24" i="140"/>
  <c r="B23" i="140"/>
  <c r="B31" i="140"/>
  <c r="B29" i="140"/>
  <c r="B18" i="140"/>
  <c r="B35" i="140"/>
  <c r="B34" i="140"/>
  <c r="B20" i="140"/>
  <c r="B32" i="140"/>
  <c r="B17" i="140"/>
  <c r="B19" i="140"/>
  <c r="B26" i="140"/>
  <c r="B15" i="140"/>
  <c r="B33" i="140"/>
  <c r="Z18" i="125"/>
  <c r="E34" i="153"/>
  <c r="D21" i="125" s="1"/>
  <c r="X34" i="153"/>
  <c r="W21" i="125" s="1"/>
  <c r="AI34" i="153"/>
  <c r="S34" i="153"/>
  <c r="R21" i="125" s="1"/>
  <c r="AF34" i="153"/>
  <c r="AE21" i="125" s="1"/>
  <c r="AL34" i="153"/>
  <c r="V34" i="153"/>
  <c r="U21" i="125" s="1"/>
  <c r="F34" i="153"/>
  <c r="E21" i="125" s="1"/>
  <c r="Y34" i="153"/>
  <c r="X21" i="125" s="1"/>
  <c r="I34" i="153"/>
  <c r="H21" i="125" s="1"/>
  <c r="P34" i="153"/>
  <c r="O21" i="125" s="1"/>
  <c r="AE34" i="153"/>
  <c r="AD21" i="125" s="1"/>
  <c r="O34" i="153"/>
  <c r="N21" i="125" s="1"/>
  <c r="AB34" i="153"/>
  <c r="AA21" i="125" s="1"/>
  <c r="AH34" i="153"/>
  <c r="AG21" i="125" s="1"/>
  <c r="R34" i="153"/>
  <c r="Q21" i="125" s="1"/>
  <c r="AK34" i="153"/>
  <c r="U34" i="153"/>
  <c r="T21" i="125" s="1"/>
  <c r="AA34" i="153"/>
  <c r="Z21" i="125" s="1"/>
  <c r="T34" i="153"/>
  <c r="S21" i="125" s="1"/>
  <c r="N34" i="153"/>
  <c r="M21" i="125" s="1"/>
  <c r="Q34" i="153"/>
  <c r="P21" i="125" s="1"/>
  <c r="H34" i="153"/>
  <c r="G21" i="125" s="1"/>
  <c r="AD34" i="153"/>
  <c r="AC21" i="125" s="1"/>
  <c r="AG34" i="153"/>
  <c r="AF21" i="125" s="1"/>
  <c r="AM34" i="153"/>
  <c r="Z34" i="153"/>
  <c r="Y21" i="125" s="1"/>
  <c r="AJ34" i="153"/>
  <c r="W34" i="153"/>
  <c r="V21" i="125" s="1"/>
  <c r="L34" i="153"/>
  <c r="K21" i="125" s="1"/>
  <c r="J34" i="153"/>
  <c r="I21" i="125" s="1"/>
  <c r="M34" i="153"/>
  <c r="L21" i="125" s="1"/>
  <c r="K34" i="153"/>
  <c r="J21" i="125" s="1"/>
  <c r="G34" i="153"/>
  <c r="F21" i="125" s="1"/>
  <c r="AC34" i="153"/>
  <c r="AB21" i="125" s="1"/>
  <c r="D23" i="125"/>
  <c r="V23" i="125"/>
  <c r="F23" i="125"/>
  <c r="AC23" i="125"/>
  <c r="M23" i="125"/>
  <c r="AA23" i="125"/>
  <c r="AF23" i="125"/>
  <c r="P23" i="125"/>
  <c r="AE23" i="125"/>
  <c r="R23" i="125"/>
  <c r="K23" i="125"/>
  <c r="Y23" i="125"/>
  <c r="I23" i="125"/>
  <c r="S23" i="125"/>
  <c r="AB23" i="125"/>
  <c r="L23" i="125"/>
  <c r="AD23" i="125"/>
  <c r="E23" i="125"/>
  <c r="X23" i="125"/>
  <c r="N23" i="125"/>
  <c r="O23" i="125"/>
  <c r="G23" i="125"/>
  <c r="Z23" i="125"/>
  <c r="AG23" i="125"/>
  <c r="T23" i="125"/>
  <c r="W23" i="125"/>
  <c r="U23" i="125"/>
  <c r="H23" i="125"/>
  <c r="J23" i="125"/>
  <c r="Q23" i="125"/>
  <c r="E35" i="153"/>
  <c r="D22" i="125" s="1"/>
  <c r="X35" i="153"/>
  <c r="W22" i="125" s="1"/>
  <c r="H35" i="153"/>
  <c r="G22" i="125" s="1"/>
  <c r="AA35" i="153"/>
  <c r="Z22" i="125" s="1"/>
  <c r="K35" i="153"/>
  <c r="J22" i="125" s="1"/>
  <c r="AD35" i="153"/>
  <c r="AC22" i="125" s="1"/>
  <c r="J35" i="153"/>
  <c r="I22" i="125" s="1"/>
  <c r="AG35" i="153"/>
  <c r="AF22" i="125" s="1"/>
  <c r="Q35" i="153"/>
  <c r="P22" i="125" s="1"/>
  <c r="AJ35" i="153"/>
  <c r="T35" i="153"/>
  <c r="S22" i="125" s="1"/>
  <c r="AM35" i="153"/>
  <c r="W35" i="153"/>
  <c r="V22" i="125" s="1"/>
  <c r="G35" i="153"/>
  <c r="F22" i="125" s="1"/>
  <c r="Z35" i="153"/>
  <c r="Y22" i="125" s="1"/>
  <c r="F35" i="153"/>
  <c r="E22" i="125" s="1"/>
  <c r="AC35" i="153"/>
  <c r="AB22" i="125" s="1"/>
  <c r="M35" i="153"/>
  <c r="L22" i="125" s="1"/>
  <c r="AF35" i="153"/>
  <c r="AE22" i="125" s="1"/>
  <c r="AI35" i="153"/>
  <c r="AL35" i="153"/>
  <c r="V35" i="153"/>
  <c r="U22" i="125" s="1"/>
  <c r="I35" i="153"/>
  <c r="H22" i="125" s="1"/>
  <c r="P35" i="153"/>
  <c r="O22" i="125" s="1"/>
  <c r="R35" i="153"/>
  <c r="Q22" i="125" s="1"/>
  <c r="L35" i="153"/>
  <c r="K22" i="125" s="1"/>
  <c r="N35" i="153"/>
  <c r="M22" i="125" s="1"/>
  <c r="AB35" i="153"/>
  <c r="AA22" i="125" s="1"/>
  <c r="AE35" i="153"/>
  <c r="AD22" i="125" s="1"/>
  <c r="AH35" i="153"/>
  <c r="AG22" i="125" s="1"/>
  <c r="AK35" i="153"/>
  <c r="S35" i="153"/>
  <c r="R22" i="125" s="1"/>
  <c r="Y35" i="153"/>
  <c r="X22" i="125" s="1"/>
  <c r="O35" i="153"/>
  <c r="N22" i="125" s="1"/>
  <c r="U35" i="153"/>
  <c r="T22" i="125" s="1"/>
  <c r="E62" i="153"/>
  <c r="D49" i="125" s="1"/>
  <c r="AM62" i="153"/>
  <c r="W62" i="153"/>
  <c r="V49" i="125" s="1"/>
  <c r="G62" i="153"/>
  <c r="F49" i="125" s="1"/>
  <c r="AD62" i="153"/>
  <c r="AC49" i="125" s="1"/>
  <c r="N62" i="153"/>
  <c r="M49" i="125" s="1"/>
  <c r="AF62" i="153"/>
  <c r="AE49" i="125" s="1"/>
  <c r="L62" i="153"/>
  <c r="K49" i="125" s="1"/>
  <c r="Y62" i="153"/>
  <c r="X49" i="125" s="1"/>
  <c r="I62" i="153"/>
  <c r="H49" i="125" s="1"/>
  <c r="AI62" i="153"/>
  <c r="S62" i="153"/>
  <c r="R49" i="125" s="1"/>
  <c r="H62" i="153"/>
  <c r="G49" i="125" s="1"/>
  <c r="Z62" i="153"/>
  <c r="Y49" i="125" s="1"/>
  <c r="J62" i="153"/>
  <c r="I49" i="125" s="1"/>
  <c r="AB62" i="153"/>
  <c r="AA49" i="125" s="1"/>
  <c r="AK62" i="153"/>
  <c r="U62" i="153"/>
  <c r="T49" i="125" s="1"/>
  <c r="AA62" i="153"/>
  <c r="Z49" i="125" s="1"/>
  <c r="AH62" i="153"/>
  <c r="AG49" i="125" s="1"/>
  <c r="AJ62" i="153"/>
  <c r="AC62" i="153"/>
  <c r="AB49" i="125" s="1"/>
  <c r="K62" i="153"/>
  <c r="J49" i="125" s="1"/>
  <c r="T62" i="153"/>
  <c r="S49" i="125" s="1"/>
  <c r="AE62" i="153"/>
  <c r="AD49" i="125" s="1"/>
  <c r="AG62" i="153"/>
  <c r="AF49" i="125" s="1"/>
  <c r="O62" i="153"/>
  <c r="N49" i="125" s="1"/>
  <c r="V62" i="153"/>
  <c r="U49" i="125" s="1"/>
  <c r="X62" i="153"/>
  <c r="W49" i="125" s="1"/>
  <c r="Q62" i="153"/>
  <c r="P49" i="125" s="1"/>
  <c r="P62" i="153"/>
  <c r="O49" i="125" s="1"/>
  <c r="R62" i="153"/>
  <c r="Q49" i="125" s="1"/>
  <c r="M62" i="153"/>
  <c r="L49" i="125" s="1"/>
  <c r="AL62" i="153"/>
  <c r="F62" i="153"/>
  <c r="E49" i="125" s="1"/>
  <c r="AG35" i="125"/>
  <c r="I35" i="125"/>
  <c r="L35" i="125"/>
  <c r="O35" i="125"/>
  <c r="H35" i="125"/>
  <c r="M35" i="125"/>
  <c r="K35" i="125"/>
  <c r="J35" i="125"/>
  <c r="P35" i="125"/>
  <c r="D47" i="125"/>
  <c r="E47" i="125"/>
  <c r="E21" i="140"/>
  <c r="K21" i="140" s="1"/>
  <c r="AI43" i="58"/>
  <c r="AI42" i="58" s="1"/>
  <c r="AJ43" i="58"/>
  <c r="AJ42" i="58" s="1"/>
  <c r="AL43" i="58"/>
  <c r="AL42" i="58" s="1"/>
  <c r="AK43" i="58"/>
  <c r="AK42" i="58" s="1"/>
  <c r="B17" i="131"/>
  <c r="C16" i="42"/>
  <c r="C25" i="42"/>
  <c r="C20" i="48"/>
  <c r="I20" i="48" s="1"/>
  <c r="T20" i="48" s="1"/>
  <c r="B32" i="131"/>
  <c r="B26" i="131"/>
  <c r="C31" i="42"/>
  <c r="B19" i="131"/>
  <c r="C18" i="42"/>
  <c r="D20" i="42"/>
  <c r="F22" i="140" s="1"/>
  <c r="D17" i="140"/>
  <c r="D23" i="140"/>
  <c r="C21" i="131"/>
  <c r="D21" i="131" s="1"/>
  <c r="E22" i="140"/>
  <c r="K22" i="140" s="1"/>
  <c r="D32" i="140"/>
  <c r="D28" i="140"/>
  <c r="D24" i="140"/>
  <c r="D35" i="140"/>
  <c r="D15" i="140"/>
  <c r="D34" i="140"/>
  <c r="D16" i="140"/>
  <c r="D26" i="140"/>
  <c r="D30" i="140"/>
  <c r="D19" i="140"/>
  <c r="D29" i="140"/>
  <c r="E25" i="140"/>
  <c r="K25" i="140" s="1"/>
  <c r="D31" i="140"/>
  <c r="C30" i="42"/>
  <c r="B31" i="131"/>
  <c r="C32" i="42"/>
  <c r="B33" i="131"/>
  <c r="C4" i="42"/>
  <c r="B5" i="131"/>
  <c r="C24" i="131"/>
  <c r="D24" i="131" s="1"/>
  <c r="C17" i="42"/>
  <c r="B18" i="131"/>
  <c r="C24" i="42"/>
  <c r="B25" i="131"/>
  <c r="C14" i="42"/>
  <c r="B15" i="131"/>
  <c r="C33" i="42"/>
  <c r="B34" i="131"/>
  <c r="C28" i="42"/>
  <c r="B29" i="131"/>
  <c r="C29" i="42"/>
  <c r="B30" i="131"/>
  <c r="C13" i="42"/>
  <c r="B14" i="131"/>
  <c r="C26" i="42"/>
  <c r="B27" i="131"/>
  <c r="C22" i="42"/>
  <c r="B23" i="131"/>
  <c r="C21" i="42"/>
  <c r="B22" i="131"/>
  <c r="C15" i="42"/>
  <c r="B16" i="131"/>
  <c r="D23" i="42"/>
  <c r="F25" i="140" s="1"/>
  <c r="C27" i="42"/>
  <c r="B28" i="131"/>
  <c r="C23" i="48"/>
  <c r="I23" i="48" s="1"/>
  <c r="T23" i="48" s="1"/>
  <c r="C20" i="131"/>
  <c r="D20" i="131" s="1"/>
  <c r="C19" i="48"/>
  <c r="I19" i="48" s="1"/>
  <c r="T19" i="48" s="1"/>
  <c r="D19" i="42"/>
  <c r="F21" i="140" s="1"/>
  <c r="B5" i="113"/>
  <c r="C35" i="61"/>
  <c r="D6" i="111"/>
  <c r="D21" i="107"/>
  <c r="C10" i="99"/>
  <c r="C10" i="98"/>
  <c r="C10" i="101"/>
  <c r="H90" i="111"/>
  <c r="I9" i="111"/>
  <c r="H86" i="111"/>
  <c r="H14" i="111"/>
  <c r="H52" i="111"/>
  <c r="H48" i="111"/>
  <c r="C10" i="100"/>
  <c r="B24" i="112" l="1"/>
  <c r="B21" i="112"/>
  <c r="E26" i="125"/>
  <c r="F40" i="153"/>
  <c r="E27" i="125" s="1"/>
  <c r="D5" i="148"/>
  <c r="D5" i="100"/>
  <c r="E5" i="100" s="1"/>
  <c r="D5" i="98"/>
  <c r="C5" i="107"/>
  <c r="E5" i="107" s="1"/>
  <c r="D5" i="128"/>
  <c r="D5" i="99"/>
  <c r="H4" i="113"/>
  <c r="D31" i="148"/>
  <c r="E31" i="148" s="1"/>
  <c r="C31" i="107"/>
  <c r="E31" i="107" s="1"/>
  <c r="D31" i="100"/>
  <c r="D31" i="128"/>
  <c r="E31" i="128" s="1"/>
  <c r="D31" i="98"/>
  <c r="D27" i="128"/>
  <c r="E27" i="128" s="1"/>
  <c r="D27" i="98"/>
  <c r="D27" i="148"/>
  <c r="E27" i="148" s="1"/>
  <c r="C27" i="107"/>
  <c r="E27" i="107" s="1"/>
  <c r="D27" i="100"/>
  <c r="D25" i="128"/>
  <c r="E25" i="128" s="1"/>
  <c r="D25" i="98"/>
  <c r="D25" i="148"/>
  <c r="E25" i="148" s="1"/>
  <c r="C25" i="107"/>
  <c r="E25" i="107" s="1"/>
  <c r="D25" i="100"/>
  <c r="D32" i="98"/>
  <c r="D32" i="148"/>
  <c r="E32" i="148" s="1"/>
  <c r="C32" i="107"/>
  <c r="E32" i="107" s="1"/>
  <c r="D32" i="100"/>
  <c r="D32" i="128"/>
  <c r="E32" i="128" s="1"/>
  <c r="D28" i="128"/>
  <c r="E28" i="128" s="1"/>
  <c r="D28" i="98"/>
  <c r="D28" i="148"/>
  <c r="E28" i="148" s="1"/>
  <c r="C28" i="107"/>
  <c r="E28" i="107" s="1"/>
  <c r="D28" i="100"/>
  <c r="D14" i="148"/>
  <c r="E14" i="148" s="1"/>
  <c r="D14" i="128"/>
  <c r="E14" i="128" s="1"/>
  <c r="D14" i="98"/>
  <c r="C14" i="107"/>
  <c r="E14" i="107" s="1"/>
  <c r="F14" i="107" s="1"/>
  <c r="D14" i="100"/>
  <c r="D18" i="148"/>
  <c r="E18" i="148" s="1"/>
  <c r="C18" i="107"/>
  <c r="E18" i="107" s="1"/>
  <c r="F18" i="107" s="1"/>
  <c r="D18" i="100"/>
  <c r="D18" i="128"/>
  <c r="E18" i="128" s="1"/>
  <c r="D18" i="98"/>
  <c r="C26" i="107"/>
  <c r="E26" i="107" s="1"/>
  <c r="D26" i="128"/>
  <c r="E26" i="128" s="1"/>
  <c r="D26" i="98"/>
  <c r="D26" i="148"/>
  <c r="E26" i="148" s="1"/>
  <c r="D26" i="100"/>
  <c r="D23" i="128"/>
  <c r="E23" i="128" s="1"/>
  <c r="D23" i="98"/>
  <c r="D23" i="148"/>
  <c r="E23" i="148" s="1"/>
  <c r="C23" i="107"/>
  <c r="E23" i="107" s="1"/>
  <c r="D23" i="100"/>
  <c r="D17" i="148"/>
  <c r="E17" i="148" s="1"/>
  <c r="C17" i="107"/>
  <c r="E17" i="107" s="1"/>
  <c r="D17" i="100"/>
  <c r="D17" i="128"/>
  <c r="E17" i="128" s="1"/>
  <c r="D17" i="98"/>
  <c r="D15" i="128"/>
  <c r="E15" i="128" s="1"/>
  <c r="D15" i="98"/>
  <c r="D15" i="148"/>
  <c r="E15" i="148" s="1"/>
  <c r="C15" i="107"/>
  <c r="E15" i="107" s="1"/>
  <c r="F15" i="107" s="1"/>
  <c r="D15" i="100"/>
  <c r="D30" i="148"/>
  <c r="E30" i="148" s="1"/>
  <c r="C30" i="107"/>
  <c r="E30" i="107" s="1"/>
  <c r="D30" i="100"/>
  <c r="D30" i="128"/>
  <c r="E30" i="128" s="1"/>
  <c r="D30" i="98"/>
  <c r="D16" i="128"/>
  <c r="E16" i="128" s="1"/>
  <c r="D16" i="98"/>
  <c r="D16" i="148"/>
  <c r="E16" i="148" s="1"/>
  <c r="C16" i="107"/>
  <c r="E16" i="107" s="1"/>
  <c r="D16" i="100"/>
  <c r="D29" i="148"/>
  <c r="E29" i="148" s="1"/>
  <c r="C29" i="107"/>
  <c r="E29" i="107" s="1"/>
  <c r="D29" i="100"/>
  <c r="D29" i="128"/>
  <c r="E29" i="128" s="1"/>
  <c r="D29" i="98"/>
  <c r="D19" i="148"/>
  <c r="E19" i="148" s="1"/>
  <c r="C19" i="107"/>
  <c r="E19" i="107" s="1"/>
  <c r="D19" i="100"/>
  <c r="D19" i="128"/>
  <c r="E19" i="128" s="1"/>
  <c r="D19" i="98"/>
  <c r="D22" i="148"/>
  <c r="E22" i="148" s="1"/>
  <c r="C22" i="107"/>
  <c r="E22" i="107" s="1"/>
  <c r="D22" i="100"/>
  <c r="D22" i="128"/>
  <c r="E22" i="128" s="1"/>
  <c r="D22" i="98"/>
  <c r="D34" i="148"/>
  <c r="E34" i="148" s="1"/>
  <c r="C34" i="107"/>
  <c r="E34" i="107" s="1"/>
  <c r="D34" i="100"/>
  <c r="D34" i="128"/>
  <c r="E34" i="128" s="1"/>
  <c r="D34" i="98"/>
  <c r="D33" i="148"/>
  <c r="E33" i="148" s="1"/>
  <c r="C33" i="107"/>
  <c r="E33" i="107" s="1"/>
  <c r="D33" i="100"/>
  <c r="D33" i="128"/>
  <c r="E33" i="128" s="1"/>
  <c r="D33" i="98"/>
  <c r="C5" i="113"/>
  <c r="E39" i="131"/>
  <c r="G39" i="131" s="1"/>
  <c r="I39" i="131"/>
  <c r="E40" i="140"/>
  <c r="K40" i="140" s="1"/>
  <c r="K41" i="140"/>
  <c r="E73" i="131"/>
  <c r="G73" i="131" s="1"/>
  <c r="I73" i="131"/>
  <c r="K76" i="140"/>
  <c r="E75" i="140"/>
  <c r="K75" i="140" s="1"/>
  <c r="B6" i="113"/>
  <c r="P35" i="21"/>
  <c r="E63" i="153" a="1"/>
  <c r="D26" i="125"/>
  <c r="E41" i="153"/>
  <c r="D28" i="125" s="1"/>
  <c r="P10" i="54"/>
  <c r="Q9" i="54"/>
  <c r="T26" i="125"/>
  <c r="P26" i="125"/>
  <c r="AE26" i="125"/>
  <c r="V26" i="125"/>
  <c r="AC26" i="125"/>
  <c r="AF26" i="125"/>
  <c r="Y26" i="125"/>
  <c r="AB26" i="125"/>
  <c r="U26" i="125"/>
  <c r="W26" i="125"/>
  <c r="N26" i="125"/>
  <c r="O41" i="153"/>
  <c r="N28" i="125" s="1"/>
  <c r="Z26" i="125"/>
  <c r="R26" i="125"/>
  <c r="X26" i="125"/>
  <c r="Q26" i="125"/>
  <c r="AA26" i="125"/>
  <c r="O26" i="125"/>
  <c r="S26" i="125"/>
  <c r="AD26" i="125"/>
  <c r="AG26" i="125"/>
  <c r="AA46" i="125"/>
  <c r="I46" i="125"/>
  <c r="E46" i="125"/>
  <c r="Q46" i="125"/>
  <c r="R46" i="125"/>
  <c r="X46" i="125"/>
  <c r="T46" i="125"/>
  <c r="G37" i="154"/>
  <c r="J37" i="154" s="1"/>
  <c r="M37" i="154" s="1"/>
  <c r="P37" i="154" s="1"/>
  <c r="S37" i="154" s="1"/>
  <c r="V37" i="154" s="1"/>
  <c r="Y37" i="154" s="1"/>
  <c r="AB37" i="154" s="1"/>
  <c r="AE37" i="154" s="1"/>
  <c r="H37" i="154"/>
  <c r="K37" i="154" s="1"/>
  <c r="N37" i="154" s="1"/>
  <c r="Q37" i="154" s="1"/>
  <c r="T37" i="154" s="1"/>
  <c r="W37" i="154" s="1"/>
  <c r="Z37" i="154" s="1"/>
  <c r="AC37" i="154" s="1"/>
  <c r="E37" i="154"/>
  <c r="C26" i="48"/>
  <c r="I26" i="48" s="1"/>
  <c r="T26" i="48" s="1"/>
  <c r="C30" i="48"/>
  <c r="I30" i="48" s="1"/>
  <c r="T30" i="48" s="1"/>
  <c r="F37" i="154"/>
  <c r="I37" i="154" s="1"/>
  <c r="L37" i="154" s="1"/>
  <c r="O37" i="154" s="1"/>
  <c r="R37" i="154" s="1"/>
  <c r="U37" i="154" s="1"/>
  <c r="X37" i="154" s="1"/>
  <c r="AA37" i="154" s="1"/>
  <c r="AD37" i="154" s="1"/>
  <c r="C37" i="154"/>
  <c r="B37" i="154"/>
  <c r="B18" i="154" s="1"/>
  <c r="B56" i="154" s="1"/>
  <c r="T35" i="125"/>
  <c r="AB35" i="125"/>
  <c r="Y35" i="125"/>
  <c r="Q35" i="125"/>
  <c r="X35" i="125"/>
  <c r="AF35" i="125"/>
  <c r="R35" i="125"/>
  <c r="Z35" i="125"/>
  <c r="AA35" i="125"/>
  <c r="S35" i="125"/>
  <c r="V35" i="125"/>
  <c r="AD35" i="125"/>
  <c r="W35" i="125"/>
  <c r="AE35" i="125"/>
  <c r="AC35" i="125"/>
  <c r="U35" i="125"/>
  <c r="AK6" i="153"/>
  <c r="AK11" i="153"/>
  <c r="AK12" i="153" s="1"/>
  <c r="AK32" i="153" s="1"/>
  <c r="N6" i="153"/>
  <c r="N11" i="153"/>
  <c r="E6" i="153"/>
  <c r="E11" i="153"/>
  <c r="E12" i="153" s="1"/>
  <c r="S6" i="153"/>
  <c r="S11" i="153"/>
  <c r="S12" i="153" s="1"/>
  <c r="S32" i="153" s="1"/>
  <c r="AH6" i="153"/>
  <c r="AH11" i="153"/>
  <c r="AH12" i="153" s="1"/>
  <c r="AH32" i="153" s="1"/>
  <c r="AG19" i="125" s="1"/>
  <c r="AL6" i="153"/>
  <c r="AL11" i="153"/>
  <c r="AL12" i="153" s="1"/>
  <c r="AL32" i="153" s="1"/>
  <c r="J6" i="153"/>
  <c r="J11" i="153"/>
  <c r="J12" i="153" s="1"/>
  <c r="J32" i="153" s="1"/>
  <c r="I19" i="125" s="1"/>
  <c r="AM6" i="153"/>
  <c r="AM11" i="153"/>
  <c r="AD6" i="153"/>
  <c r="AD11" i="153"/>
  <c r="X6" i="153"/>
  <c r="X11" i="153"/>
  <c r="X12" i="153" s="1"/>
  <c r="X32" i="153" s="1"/>
  <c r="W19" i="125" s="1"/>
  <c r="L6" i="153"/>
  <c r="L11" i="153"/>
  <c r="L12" i="153" s="1"/>
  <c r="L32" i="153" s="1"/>
  <c r="K19" i="125" s="1"/>
  <c r="V6" i="153"/>
  <c r="V11" i="153"/>
  <c r="V12" i="153" s="1"/>
  <c r="V32" i="153" s="1"/>
  <c r="U19" i="125" s="1"/>
  <c r="F6" i="153"/>
  <c r="F11" i="153"/>
  <c r="F12" i="153" s="1"/>
  <c r="W6" i="153"/>
  <c r="W11" i="153"/>
  <c r="W12" i="153" s="1"/>
  <c r="W32" i="153" s="1"/>
  <c r="V19" i="125" s="1"/>
  <c r="AB6" i="153"/>
  <c r="AB11" i="153"/>
  <c r="O6" i="153"/>
  <c r="O11" i="153"/>
  <c r="U6" i="153"/>
  <c r="U11" i="153"/>
  <c r="AE6" i="153"/>
  <c r="AE11" i="153"/>
  <c r="AI6" i="153"/>
  <c r="AI11" i="153"/>
  <c r="Z6" i="153"/>
  <c r="Z11" i="153"/>
  <c r="Q6" i="153"/>
  <c r="Q11" i="153"/>
  <c r="K6" i="153"/>
  <c r="K11" i="153"/>
  <c r="K12" i="153" s="1"/>
  <c r="K32" i="153" s="1"/>
  <c r="J19" i="125" s="1"/>
  <c r="H6" i="153"/>
  <c r="H11" i="153"/>
  <c r="AJ6" i="153"/>
  <c r="AJ11" i="153"/>
  <c r="AC6" i="153"/>
  <c r="AC11" i="153"/>
  <c r="Y6" i="153"/>
  <c r="Y11" i="153"/>
  <c r="Y12" i="153" s="1"/>
  <c r="Y32" i="153" s="1"/>
  <c r="X19" i="125" s="1"/>
  <c r="R6" i="153"/>
  <c r="R11" i="153"/>
  <c r="R12" i="153" s="1"/>
  <c r="R32" i="153" s="1"/>
  <c r="Q19" i="125" s="1"/>
  <c r="I6" i="153"/>
  <c r="I11" i="153"/>
  <c r="M6" i="153"/>
  <c r="M11" i="153"/>
  <c r="G6" i="153"/>
  <c r="G11" i="153"/>
  <c r="AG6" i="153"/>
  <c r="AG11" i="153"/>
  <c r="AA6" i="153"/>
  <c r="AA11" i="153"/>
  <c r="AA12" i="153" s="1"/>
  <c r="AA32" i="153" s="1"/>
  <c r="Z19" i="125" s="1"/>
  <c r="P6" i="153"/>
  <c r="P11" i="153"/>
  <c r="P12" i="153" s="1"/>
  <c r="P32" i="153" s="1"/>
  <c r="O19" i="125" s="1"/>
  <c r="T6" i="153"/>
  <c r="T11" i="153"/>
  <c r="T12" i="153" s="1"/>
  <c r="T32" i="153" s="1"/>
  <c r="S19" i="125" s="1"/>
  <c r="AF6" i="153"/>
  <c r="AF11" i="153"/>
  <c r="AF12" i="153" s="1"/>
  <c r="AF32" i="153" s="1"/>
  <c r="AE19" i="125" s="1"/>
  <c r="P27" i="125"/>
  <c r="P28" i="125"/>
  <c r="L27" i="125"/>
  <c r="M41" i="153"/>
  <c r="L28" i="125" s="1"/>
  <c r="V27" i="125"/>
  <c r="V28" i="125"/>
  <c r="T27" i="125"/>
  <c r="T28" i="125"/>
  <c r="N27" i="125"/>
  <c r="X27" i="125"/>
  <c r="X28" i="125"/>
  <c r="AA27" i="125"/>
  <c r="AA28" i="125"/>
  <c r="D27" i="125"/>
  <c r="G41" i="153"/>
  <c r="F28" i="125" s="1"/>
  <c r="F27" i="125"/>
  <c r="AI40" i="153"/>
  <c r="AI41" i="153"/>
  <c r="J41" i="153"/>
  <c r="I28" i="125" s="1"/>
  <c r="I27" i="125"/>
  <c r="J27" i="125"/>
  <c r="K41" i="153"/>
  <c r="J28" i="125" s="1"/>
  <c r="AB27" i="125"/>
  <c r="AB28" i="125"/>
  <c r="AC28" i="125"/>
  <c r="AC27" i="125"/>
  <c r="Q28" i="125"/>
  <c r="Q27" i="125"/>
  <c r="O27" i="125"/>
  <c r="O28" i="125"/>
  <c r="U28" i="125"/>
  <c r="U27" i="125"/>
  <c r="AE27" i="125"/>
  <c r="AE28" i="125"/>
  <c r="W27" i="125"/>
  <c r="W28" i="125"/>
  <c r="R27" i="125"/>
  <c r="R28" i="125"/>
  <c r="N41" i="153"/>
  <c r="M28" i="125" s="1"/>
  <c r="M27" i="125"/>
  <c r="AF28" i="125"/>
  <c r="AF27" i="125"/>
  <c r="AK40" i="153"/>
  <c r="AK41" i="153"/>
  <c r="AD27" i="125"/>
  <c r="AD28" i="125"/>
  <c r="F41" i="153"/>
  <c r="E28" i="125" s="1"/>
  <c r="K27" i="125"/>
  <c r="L41" i="153"/>
  <c r="K28" i="125" s="1"/>
  <c r="AM40" i="153"/>
  <c r="AM41" i="153"/>
  <c r="AJ40" i="153"/>
  <c r="AJ41" i="153"/>
  <c r="Y28" i="125"/>
  <c r="Y27" i="125"/>
  <c r="Z27" i="125"/>
  <c r="Z28" i="125"/>
  <c r="AG28" i="125"/>
  <c r="AG27" i="125"/>
  <c r="I41" i="153"/>
  <c r="H28" i="125" s="1"/>
  <c r="H27" i="125"/>
  <c r="AL41" i="153"/>
  <c r="AL40" i="153"/>
  <c r="S27" i="125"/>
  <c r="S28" i="125"/>
  <c r="H41" i="153"/>
  <c r="G28" i="125" s="1"/>
  <c r="G27" i="125"/>
  <c r="AK27" i="58"/>
  <c r="AJ27" i="58"/>
  <c r="AI27" i="58"/>
  <c r="AL27" i="58"/>
  <c r="D33" i="42"/>
  <c r="F35" i="140" s="1"/>
  <c r="E27" i="140"/>
  <c r="K27" i="140" s="1"/>
  <c r="D22" i="42"/>
  <c r="F24" i="140" s="1"/>
  <c r="E6" i="140"/>
  <c r="K6" i="140" s="1"/>
  <c r="E20" i="140"/>
  <c r="K20" i="140" s="1"/>
  <c r="C17" i="131"/>
  <c r="D17" i="131" s="1"/>
  <c r="E17" i="131" s="1"/>
  <c r="G17" i="131" s="1"/>
  <c r="D29" i="118"/>
  <c r="C25" i="48"/>
  <c r="I25" i="48" s="1"/>
  <c r="T25" i="48" s="1"/>
  <c r="C19" i="131"/>
  <c r="D19" i="131" s="1"/>
  <c r="I19" i="131" s="1"/>
  <c r="F21" i="107"/>
  <c r="D25" i="42"/>
  <c r="F27" i="140" s="1"/>
  <c r="C26" i="131"/>
  <c r="D26" i="131" s="1"/>
  <c r="E26" i="131" s="1"/>
  <c r="G26" i="131" s="1"/>
  <c r="D16" i="42"/>
  <c r="F18" i="140" s="1"/>
  <c r="C16" i="48"/>
  <c r="I16" i="48" s="1"/>
  <c r="T16" i="48" s="1"/>
  <c r="E18" i="140"/>
  <c r="K18" i="140" s="1"/>
  <c r="D21" i="42"/>
  <c r="F23" i="140" s="1"/>
  <c r="C32" i="131"/>
  <c r="D32" i="131" s="1"/>
  <c r="I32" i="131" s="1"/>
  <c r="D18" i="42"/>
  <c r="F20" i="140" s="1"/>
  <c r="C18" i="48"/>
  <c r="I18" i="48" s="1"/>
  <c r="T18" i="48" s="1"/>
  <c r="D14" i="42"/>
  <c r="F16" i="140" s="1"/>
  <c r="D31" i="42"/>
  <c r="F33" i="140" s="1"/>
  <c r="E33" i="140"/>
  <c r="K33" i="140" s="1"/>
  <c r="D26" i="42"/>
  <c r="F28" i="140" s="1"/>
  <c r="C21" i="48"/>
  <c r="I21" i="48" s="1"/>
  <c r="T21" i="48" s="1"/>
  <c r="C31" i="48"/>
  <c r="I31" i="48" s="1"/>
  <c r="T31" i="48" s="1"/>
  <c r="D28" i="42"/>
  <c r="F30" i="140" s="1"/>
  <c r="C28" i="48"/>
  <c r="I28" i="48" s="1"/>
  <c r="T28" i="48" s="1"/>
  <c r="D30" i="42"/>
  <c r="F32" i="140" s="1"/>
  <c r="C14" i="48"/>
  <c r="I14" i="48" s="1"/>
  <c r="T14" i="48" s="1"/>
  <c r="C22" i="131"/>
  <c r="D22" i="131" s="1"/>
  <c r="E23" i="140"/>
  <c r="K23" i="140" s="1"/>
  <c r="C27" i="131"/>
  <c r="D27" i="131" s="1"/>
  <c r="E28" i="140"/>
  <c r="K28" i="140" s="1"/>
  <c r="C29" i="131"/>
  <c r="D29" i="131" s="1"/>
  <c r="E30" i="140"/>
  <c r="K30" i="140" s="1"/>
  <c r="C15" i="131"/>
  <c r="D15" i="131" s="1"/>
  <c r="E16" i="140"/>
  <c r="K16" i="140" s="1"/>
  <c r="C31" i="131"/>
  <c r="D31" i="131" s="1"/>
  <c r="E32" i="140"/>
  <c r="K32" i="140" s="1"/>
  <c r="C14" i="131"/>
  <c r="D14" i="131" s="1"/>
  <c r="I14" i="131" s="1"/>
  <c r="E15" i="140"/>
  <c r="K15" i="140" s="1"/>
  <c r="C18" i="131"/>
  <c r="D18" i="131" s="1"/>
  <c r="E19" i="140"/>
  <c r="K19" i="140" s="1"/>
  <c r="D17" i="42"/>
  <c r="F19" i="140" s="1"/>
  <c r="C25" i="131"/>
  <c r="D25" i="131" s="1"/>
  <c r="E25" i="131" s="1"/>
  <c r="G25" i="131" s="1"/>
  <c r="E26" i="140"/>
  <c r="K26" i="140" s="1"/>
  <c r="C28" i="131"/>
  <c r="D28" i="131" s="1"/>
  <c r="I28" i="131" s="1"/>
  <c r="E29" i="140"/>
  <c r="K29" i="140" s="1"/>
  <c r="C16" i="131"/>
  <c r="D16" i="131" s="1"/>
  <c r="E16" i="131" s="1"/>
  <c r="G16" i="131" s="1"/>
  <c r="E17" i="140"/>
  <c r="K17" i="140" s="1"/>
  <c r="C23" i="131"/>
  <c r="D23" i="131" s="1"/>
  <c r="E23" i="131" s="1"/>
  <c r="G23" i="131" s="1"/>
  <c r="E24" i="140"/>
  <c r="K24" i="140" s="1"/>
  <c r="C30" i="131"/>
  <c r="D30" i="131" s="1"/>
  <c r="E30" i="131" s="1"/>
  <c r="G30" i="131" s="1"/>
  <c r="E31" i="140"/>
  <c r="K31" i="140" s="1"/>
  <c r="C34" i="131"/>
  <c r="D34" i="131" s="1"/>
  <c r="I34" i="131" s="1"/>
  <c r="E35" i="140"/>
  <c r="K35" i="140" s="1"/>
  <c r="C33" i="131"/>
  <c r="D33" i="131" s="1"/>
  <c r="I33" i="131" s="1"/>
  <c r="E34" i="140"/>
  <c r="K34" i="140" s="1"/>
  <c r="E21" i="131"/>
  <c r="G21" i="131" s="1"/>
  <c r="I21" i="131"/>
  <c r="D29" i="42"/>
  <c r="F31" i="140" s="1"/>
  <c r="C33" i="48"/>
  <c r="I33" i="48" s="1"/>
  <c r="T33" i="48" s="1"/>
  <c r="D32" i="42"/>
  <c r="F34" i="140" s="1"/>
  <c r="C22" i="48"/>
  <c r="I22" i="48" s="1"/>
  <c r="T22" i="48" s="1"/>
  <c r="C32" i="48"/>
  <c r="I32" i="48" s="1"/>
  <c r="T32" i="48" s="1"/>
  <c r="D27" i="42"/>
  <c r="F29" i="140" s="1"/>
  <c r="D15" i="42"/>
  <c r="F17" i="140" s="1"/>
  <c r="D13" i="42"/>
  <c r="F15" i="140" s="1"/>
  <c r="C13" i="48"/>
  <c r="I13" i="48" s="1"/>
  <c r="T13" i="48" s="1"/>
  <c r="C17" i="48"/>
  <c r="I17" i="48" s="1"/>
  <c r="T17" i="48" s="1"/>
  <c r="I24" i="131"/>
  <c r="E24" i="131"/>
  <c r="G24" i="131" s="1"/>
  <c r="D24" i="42"/>
  <c r="F26" i="140" s="1"/>
  <c r="E20" i="131"/>
  <c r="G20" i="131" s="1"/>
  <c r="I20" i="131"/>
  <c r="C24" i="48"/>
  <c r="I24" i="48" s="1"/>
  <c r="T24" i="48" s="1"/>
  <c r="C29" i="48"/>
  <c r="I29" i="48" s="1"/>
  <c r="T29" i="48" s="1"/>
  <c r="C27" i="48"/>
  <c r="I27" i="48" s="1"/>
  <c r="T27" i="48" s="1"/>
  <c r="C15" i="48"/>
  <c r="I15" i="48" s="1"/>
  <c r="T15" i="48" s="1"/>
  <c r="B20" i="112"/>
  <c r="F20" i="107"/>
  <c r="C5" i="131"/>
  <c r="D5" i="131" s="1"/>
  <c r="D4" i="42"/>
  <c r="F6" i="140" s="1"/>
  <c r="F5" i="140" s="1"/>
  <c r="J35" i="61"/>
  <c r="B121" i="111"/>
  <c r="I86" i="111"/>
  <c r="I14" i="111"/>
  <c r="I52" i="111"/>
  <c r="I48" i="111"/>
  <c r="I90" i="111"/>
  <c r="J9" i="111"/>
  <c r="C11" i="100"/>
  <c r="C11" i="99"/>
  <c r="C11" i="98"/>
  <c r="D22" i="107"/>
  <c r="C11" i="101"/>
  <c r="B31" i="112" l="1"/>
  <c r="B28" i="112"/>
  <c r="B19" i="112"/>
  <c r="B26" i="112"/>
  <c r="B30" i="112"/>
  <c r="B17" i="112"/>
  <c r="B29" i="112"/>
  <c r="B34" i="112"/>
  <c r="B6" i="111"/>
  <c r="B32" i="112"/>
  <c r="B23" i="112"/>
  <c r="B16" i="112"/>
  <c r="B27" i="112"/>
  <c r="H5" i="113"/>
  <c r="C4" i="55"/>
  <c r="B7" i="113"/>
  <c r="C6" i="113"/>
  <c r="AH63" i="153"/>
  <c r="Q63" i="153"/>
  <c r="R63" i="153"/>
  <c r="W63" i="153"/>
  <c r="I63" i="153"/>
  <c r="N63" i="153"/>
  <c r="S63" i="153"/>
  <c r="T63" i="153"/>
  <c r="X63" i="153"/>
  <c r="F63" i="153"/>
  <c r="K63" i="153"/>
  <c r="AB63" i="153"/>
  <c r="O63" i="153"/>
  <c r="J63" i="153"/>
  <c r="Z63" i="153"/>
  <c r="AG63" i="153"/>
  <c r="AE63" i="153"/>
  <c r="P63" i="153"/>
  <c r="AF63" i="153"/>
  <c r="V63" i="153"/>
  <c r="G63" i="153"/>
  <c r="H63" i="153"/>
  <c r="U63" i="153"/>
  <c r="AC63" i="153"/>
  <c r="AA63" i="153"/>
  <c r="L63" i="153"/>
  <c r="M63" i="153"/>
  <c r="AD63" i="153"/>
  <c r="E63" i="153"/>
  <c r="Y63" i="153"/>
  <c r="P11" i="54"/>
  <c r="Q10" i="54"/>
  <c r="E19" i="125"/>
  <c r="E11" i="125" s="1"/>
  <c r="E4" i="125" s="1"/>
  <c r="B4" i="55"/>
  <c r="AL50" i="153"/>
  <c r="AL21" i="153" s="1"/>
  <c r="AC46" i="125"/>
  <c r="M46" i="125"/>
  <c r="AE46" i="125"/>
  <c r="AD46" i="125"/>
  <c r="Z46" i="125"/>
  <c r="AF46" i="125"/>
  <c r="H46" i="125"/>
  <c r="G46" i="125"/>
  <c r="S46" i="125"/>
  <c r="O46" i="125"/>
  <c r="AB46" i="125"/>
  <c r="U46" i="125"/>
  <c r="F46" i="125"/>
  <c r="Y46" i="125"/>
  <c r="L46" i="125"/>
  <c r="S24" i="153"/>
  <c r="P27" i="154" s="1"/>
  <c r="R19" i="125"/>
  <c r="R11" i="125" s="1"/>
  <c r="R4" i="125" s="1"/>
  <c r="W46" i="125"/>
  <c r="K46" i="125"/>
  <c r="AG46" i="125"/>
  <c r="D46" i="125"/>
  <c r="V46" i="125"/>
  <c r="J46" i="125"/>
  <c r="N46" i="125"/>
  <c r="P46" i="125"/>
  <c r="W18" i="154"/>
  <c r="W56" i="154" s="1"/>
  <c r="V18" i="154"/>
  <c r="V56" i="154" s="1"/>
  <c r="AC12" i="153"/>
  <c r="AC32" i="153" s="1"/>
  <c r="AB19" i="125" s="1"/>
  <c r="AE12" i="153"/>
  <c r="AE32" i="153" s="1"/>
  <c r="AD19" i="125" s="1"/>
  <c r="AJ12" i="153"/>
  <c r="AJ32" i="153" s="1"/>
  <c r="O12" i="153"/>
  <c r="O32" i="153" s="1"/>
  <c r="N19" i="125" s="1"/>
  <c r="G12" i="153"/>
  <c r="G32" i="153" s="1"/>
  <c r="F19" i="125" s="1"/>
  <c r="AB12" i="153"/>
  <c r="AB32" i="153" s="1"/>
  <c r="AA19" i="125" s="1"/>
  <c r="H12" i="153"/>
  <c r="H32" i="153" s="1"/>
  <c r="G19" i="125" s="1"/>
  <c r="Q12" i="153"/>
  <c r="Q32" i="153" s="1"/>
  <c r="P19" i="125" s="1"/>
  <c r="M12" i="153"/>
  <c r="M32" i="153" s="1"/>
  <c r="L19" i="125" s="1"/>
  <c r="I12" i="153"/>
  <c r="I32" i="153" s="1"/>
  <c r="H19" i="125" s="1"/>
  <c r="N12" i="153"/>
  <c r="N32" i="153" s="1"/>
  <c r="M19" i="125" s="1"/>
  <c r="U12" i="153"/>
  <c r="U32" i="153" s="1"/>
  <c r="T19" i="125" s="1"/>
  <c r="AM12" i="153"/>
  <c r="AM32" i="153" s="1"/>
  <c r="AD12" i="153"/>
  <c r="AD32" i="153" s="1"/>
  <c r="AC19" i="125" s="1"/>
  <c r="AI12" i="153"/>
  <c r="AI32" i="153" s="1"/>
  <c r="Z12" i="153"/>
  <c r="Z32" i="153" s="1"/>
  <c r="Y19" i="125" s="1"/>
  <c r="AG12" i="153"/>
  <c r="AG32" i="153" s="1"/>
  <c r="AF19" i="125" s="1"/>
  <c r="R18" i="154"/>
  <c r="R56" i="154" s="1"/>
  <c r="V38" i="153"/>
  <c r="V19" i="153" s="1"/>
  <c r="G38" i="153"/>
  <c r="D30" i="154" s="1"/>
  <c r="W38" i="153"/>
  <c r="W19" i="153" s="1"/>
  <c r="X38" i="153"/>
  <c r="X19" i="153" s="1"/>
  <c r="AB38" i="153"/>
  <c r="Y30" i="154" s="1"/>
  <c r="K38" i="153"/>
  <c r="H30" i="154" s="1"/>
  <c r="Y38" i="153"/>
  <c r="V30" i="154" s="1"/>
  <c r="M38" i="153"/>
  <c r="M19" i="153" s="1"/>
  <c r="I38" i="153"/>
  <c r="F30" i="154" s="1"/>
  <c r="E38" i="153"/>
  <c r="E19" i="153" s="1"/>
  <c r="S38" i="153"/>
  <c r="P30" i="154" s="1"/>
  <c r="R38" i="153"/>
  <c r="R19" i="153" s="1"/>
  <c r="AC38" i="153"/>
  <c r="AC19" i="153" s="1"/>
  <c r="Z38" i="153"/>
  <c r="Z19" i="153" s="1"/>
  <c r="L38" i="153"/>
  <c r="I30" i="154" s="1"/>
  <c r="AF38" i="153"/>
  <c r="AF19" i="153" s="1"/>
  <c r="Z18" i="154"/>
  <c r="Z56" i="154" s="1"/>
  <c r="AA38" i="153"/>
  <c r="X30" i="154" s="1"/>
  <c r="H38" i="153"/>
  <c r="H19" i="153" s="1"/>
  <c r="F18" i="154"/>
  <c r="F56" i="154" s="1"/>
  <c r="AI38" i="153"/>
  <c r="AG38" i="153"/>
  <c r="AG19" i="153" s="1"/>
  <c r="N38" i="153"/>
  <c r="K30" i="154" s="1"/>
  <c r="AH38" i="153"/>
  <c r="AE30" i="154" s="1"/>
  <c r="J38" i="153"/>
  <c r="G30" i="154" s="1"/>
  <c r="AE38" i="153"/>
  <c r="AB30" i="154" s="1"/>
  <c r="U38" i="153"/>
  <c r="U19" i="153" s="1"/>
  <c r="Q38" i="153"/>
  <c r="Q19" i="153" s="1"/>
  <c r="M18" i="154"/>
  <c r="M56" i="154" s="1"/>
  <c r="T38" i="153"/>
  <c r="T19" i="153" s="1"/>
  <c r="AM38" i="153"/>
  <c r="AM19" i="153" s="1"/>
  <c r="F38" i="153"/>
  <c r="C30" i="154" s="1"/>
  <c r="K18" i="154"/>
  <c r="K56" i="154" s="1"/>
  <c r="O38" i="153"/>
  <c r="L30" i="154" s="1"/>
  <c r="AD18" i="154"/>
  <c r="AD56" i="154" s="1"/>
  <c r="AL38" i="153"/>
  <c r="AJ38" i="153"/>
  <c r="AJ19" i="153" s="1"/>
  <c r="J18" i="154"/>
  <c r="J56" i="154" s="1"/>
  <c r="AA18" i="154"/>
  <c r="AA56" i="154" s="1"/>
  <c r="N18" i="154"/>
  <c r="N56" i="154" s="1"/>
  <c r="V24" i="153"/>
  <c r="U11" i="125"/>
  <c r="U4" i="125" s="1"/>
  <c r="L24" i="153"/>
  <c r="K11" i="125"/>
  <c r="K4" i="125" s="1"/>
  <c r="P24" i="153"/>
  <c r="O11" i="125"/>
  <c r="O4" i="125" s="1"/>
  <c r="P38" i="153"/>
  <c r="T24" i="153"/>
  <c r="S11" i="125"/>
  <c r="S4" i="125" s="1"/>
  <c r="R24" i="153"/>
  <c r="Q11" i="125"/>
  <c r="Q4" i="125" s="1"/>
  <c r="J24" i="153"/>
  <c r="I11" i="125"/>
  <c r="I4" i="125" s="1"/>
  <c r="S18" i="154"/>
  <c r="S56" i="154" s="1"/>
  <c r="AF24" i="153"/>
  <c r="AE11" i="125"/>
  <c r="AE4" i="125" s="1"/>
  <c r="AL24" i="153"/>
  <c r="F24" i="153"/>
  <c r="AD38" i="153"/>
  <c r="AA24" i="153"/>
  <c r="Z11" i="125"/>
  <c r="Z4" i="125" s="1"/>
  <c r="AH24" i="153"/>
  <c r="AG11" i="125"/>
  <c r="AG4" i="125" s="1"/>
  <c r="AK24" i="153"/>
  <c r="Y24" i="153"/>
  <c r="X11" i="125"/>
  <c r="X4" i="125" s="1"/>
  <c r="X24" i="153"/>
  <c r="W11" i="125"/>
  <c r="W4" i="125" s="1"/>
  <c r="AK38" i="153"/>
  <c r="E24" i="153"/>
  <c r="E18" i="153" s="1"/>
  <c r="D19" i="125"/>
  <c r="D11" i="125" s="1"/>
  <c r="W24" i="153"/>
  <c r="V11" i="125"/>
  <c r="V4" i="125" s="1"/>
  <c r="K24" i="153"/>
  <c r="J11" i="125"/>
  <c r="J4" i="125" s="1"/>
  <c r="B33" i="112"/>
  <c r="F16" i="107"/>
  <c r="E5" i="140"/>
  <c r="K5" i="140" s="1"/>
  <c r="B25" i="112"/>
  <c r="I17" i="131"/>
  <c r="E5" i="148"/>
  <c r="E19" i="131"/>
  <c r="G19" i="131" s="1"/>
  <c r="I26" i="131"/>
  <c r="B18" i="112"/>
  <c r="I18" i="131"/>
  <c r="E18" i="131"/>
  <c r="G18" i="131" s="1"/>
  <c r="E34" i="131"/>
  <c r="G34" i="131" s="1"/>
  <c r="F17" i="107"/>
  <c r="I23" i="131"/>
  <c r="E28" i="131"/>
  <c r="G28" i="131" s="1"/>
  <c r="E32" i="131"/>
  <c r="G32" i="131" s="1"/>
  <c r="F19" i="107"/>
  <c r="B22" i="112"/>
  <c r="E5" i="98"/>
  <c r="E5" i="128"/>
  <c r="B15" i="112"/>
  <c r="I25" i="131"/>
  <c r="B14" i="112"/>
  <c r="I16" i="131"/>
  <c r="I30" i="131"/>
  <c r="E14" i="131"/>
  <c r="G14" i="131" s="1"/>
  <c r="E33" i="131"/>
  <c r="G33" i="131" s="1"/>
  <c r="E29" i="131"/>
  <c r="G29" i="131" s="1"/>
  <c r="I29" i="131"/>
  <c r="I31" i="131"/>
  <c r="E31" i="131"/>
  <c r="G31" i="131" s="1"/>
  <c r="I15" i="131"/>
  <c r="E15" i="131"/>
  <c r="G15" i="131" s="1"/>
  <c r="I27" i="131"/>
  <c r="E27" i="131"/>
  <c r="G27" i="131" s="1"/>
  <c r="E22" i="131"/>
  <c r="G22" i="131" s="1"/>
  <c r="I22" i="131"/>
  <c r="C4" i="48"/>
  <c r="I4" i="48" s="1"/>
  <c r="T4" i="48" s="1"/>
  <c r="B5" i="112"/>
  <c r="E5" i="131"/>
  <c r="G5" i="131" s="1"/>
  <c r="I5" i="131"/>
  <c r="C12" i="100"/>
  <c r="D23" i="107"/>
  <c r="F22" i="107"/>
  <c r="C12" i="99"/>
  <c r="J52" i="111"/>
  <c r="J90" i="111"/>
  <c r="K9" i="111"/>
  <c r="J86" i="111"/>
  <c r="J14" i="111"/>
  <c r="J48" i="111"/>
  <c r="C12" i="101"/>
  <c r="C12" i="98"/>
  <c r="D1" i="111" l="1"/>
  <c r="D4" i="125"/>
  <c r="N5" i="54"/>
  <c r="F4" i="64" s="1"/>
  <c r="H6" i="113"/>
  <c r="B8" i="113"/>
  <c r="C7" i="113"/>
  <c r="P12" i="54"/>
  <c r="Q11" i="54"/>
  <c r="D4" i="55"/>
  <c r="P26" i="154"/>
  <c r="S18" i="153"/>
  <c r="AI50" i="153"/>
  <c r="AI21" i="153" s="1"/>
  <c r="AM50" i="153"/>
  <c r="AM21" i="153" s="1"/>
  <c r="S30" i="154"/>
  <c r="S29" i="154" s="1"/>
  <c r="O18" i="154"/>
  <c r="O56" i="154" s="1"/>
  <c r="P18" i="154"/>
  <c r="P56" i="154" s="1"/>
  <c r="Y18" i="154"/>
  <c r="Y56" i="154" s="1"/>
  <c r="G18" i="154"/>
  <c r="G56" i="154" s="1"/>
  <c r="C18" i="154"/>
  <c r="C56" i="154" s="1"/>
  <c r="AA19" i="153"/>
  <c r="Q30" i="154"/>
  <c r="Q29" i="154" s="1"/>
  <c r="O30" i="154"/>
  <c r="O17" i="154" s="1"/>
  <c r="O55" i="154" s="1"/>
  <c r="AD24" i="153"/>
  <c r="AA26" i="154" s="1"/>
  <c r="AC11" i="125"/>
  <c r="AC4" i="125" s="1"/>
  <c r="AE24" i="153"/>
  <c r="AE18" i="153" s="1"/>
  <c r="AD11" i="125"/>
  <c r="AD4" i="125" s="1"/>
  <c r="AG24" i="153"/>
  <c r="AF11" i="125"/>
  <c r="AF4" i="125" s="1"/>
  <c r="M24" i="153"/>
  <c r="J27" i="154" s="1"/>
  <c r="L11" i="125"/>
  <c r="L4" i="125" s="1"/>
  <c r="AC24" i="153"/>
  <c r="Z27" i="154" s="1"/>
  <c r="AB11" i="125"/>
  <c r="AB4" i="125" s="1"/>
  <c r="Y11" i="125"/>
  <c r="Y4" i="125" s="1"/>
  <c r="Z24" i="153"/>
  <c r="W27" i="154" s="1"/>
  <c r="U24" i="153"/>
  <c r="T11" i="125"/>
  <c r="T4" i="125" s="1"/>
  <c r="Q24" i="153"/>
  <c r="Q18" i="153" s="1"/>
  <c r="P11" i="125"/>
  <c r="P4" i="125" s="1"/>
  <c r="O24" i="153"/>
  <c r="L26" i="154" s="1"/>
  <c r="N11" i="125"/>
  <c r="N4" i="125" s="1"/>
  <c r="I24" i="153"/>
  <c r="F26" i="154" s="1"/>
  <c r="H11" i="125"/>
  <c r="H4" i="125" s="1"/>
  <c r="AA11" i="125"/>
  <c r="AA4" i="125" s="1"/>
  <c r="AB24" i="153"/>
  <c r="Y27" i="154" s="1"/>
  <c r="AM24" i="153"/>
  <c r="G24" i="153"/>
  <c r="G18" i="153" s="1"/>
  <c r="F11" i="125"/>
  <c r="F4" i="125" s="1"/>
  <c r="AI24" i="153"/>
  <c r="AI18" i="153" s="1"/>
  <c r="N24" i="153"/>
  <c r="N18" i="153" s="1"/>
  <c r="M11" i="125"/>
  <c r="M4" i="125" s="1"/>
  <c r="H24" i="153"/>
  <c r="E27" i="154" s="1"/>
  <c r="G11" i="125"/>
  <c r="G4" i="125" s="1"/>
  <c r="AJ24" i="153"/>
  <c r="AJ18" i="153" s="1"/>
  <c r="K19" i="153"/>
  <c r="I19" i="153"/>
  <c r="G19" i="153"/>
  <c r="T30" i="154"/>
  <c r="T17" i="154" s="1"/>
  <c r="T55" i="154" s="1"/>
  <c r="U30" i="154"/>
  <c r="U29" i="154" s="1"/>
  <c r="AI19" i="153"/>
  <c r="Z25" i="125"/>
  <c r="Z5" i="125" s="1"/>
  <c r="W30" i="154"/>
  <c r="W17" i="154" s="1"/>
  <c r="W55" i="154" s="1"/>
  <c r="AB19" i="153"/>
  <c r="J19" i="153"/>
  <c r="R30" i="154"/>
  <c r="R29" i="154" s="1"/>
  <c r="L19" i="153"/>
  <c r="N19" i="153"/>
  <c r="W25" i="125"/>
  <c r="W5" i="125" s="1"/>
  <c r="J30" i="154"/>
  <c r="J29" i="154" s="1"/>
  <c r="S19" i="153"/>
  <c r="Y19" i="153"/>
  <c r="B30" i="154"/>
  <c r="O19" i="153"/>
  <c r="AL19" i="153"/>
  <c r="X25" i="125"/>
  <c r="X5" i="125" s="1"/>
  <c r="AB25" i="125"/>
  <c r="AB5" i="125" s="1"/>
  <c r="R25" i="125"/>
  <c r="R5" i="125" s="1"/>
  <c r="E25" i="125"/>
  <c r="E5" i="125" s="1"/>
  <c r="N25" i="125"/>
  <c r="N5" i="125" s="1"/>
  <c r="AD25" i="125"/>
  <c r="AD5" i="125" s="1"/>
  <c r="AC25" i="125"/>
  <c r="AC5" i="125" s="1"/>
  <c r="O25" i="125"/>
  <c r="O5" i="125" s="1"/>
  <c r="P25" i="125"/>
  <c r="P5" i="125" s="1"/>
  <c r="V25" i="125"/>
  <c r="V5" i="125" s="1"/>
  <c r="Z30" i="154"/>
  <c r="Z29" i="154" s="1"/>
  <c r="AC30" i="154"/>
  <c r="AC29" i="154" s="1"/>
  <c r="U25" i="125"/>
  <c r="U5" i="125" s="1"/>
  <c r="I25" i="125"/>
  <c r="I5" i="125" s="1"/>
  <c r="AJ50" i="153"/>
  <c r="AJ21" i="153" s="1"/>
  <c r="AD30" i="154"/>
  <c r="AD17" i="154" s="1"/>
  <c r="AD55" i="154" s="1"/>
  <c r="AH19" i="153"/>
  <c r="H25" i="125"/>
  <c r="H5" i="125" s="1"/>
  <c r="J25" i="125"/>
  <c r="J5" i="125" s="1"/>
  <c r="K25" i="125"/>
  <c r="K5" i="125" s="1"/>
  <c r="L25" i="125"/>
  <c r="L5" i="125" s="1"/>
  <c r="T25" i="125"/>
  <c r="T5" i="125" s="1"/>
  <c r="E30" i="154"/>
  <c r="E29" i="154" s="1"/>
  <c r="F19" i="153"/>
  <c r="Q25" i="125"/>
  <c r="Q5" i="125" s="1"/>
  <c r="G25" i="125"/>
  <c r="G5" i="125" s="1"/>
  <c r="M25" i="125"/>
  <c r="M5" i="125" s="1"/>
  <c r="Y25" i="125"/>
  <c r="Y5" i="125" s="1"/>
  <c r="AE25" i="125"/>
  <c r="AE5" i="125" s="1"/>
  <c r="AA25" i="125"/>
  <c r="AA5" i="125" s="1"/>
  <c r="N30" i="154"/>
  <c r="N17" i="154" s="1"/>
  <c r="N55" i="154" s="1"/>
  <c r="AK50" i="153"/>
  <c r="AK21" i="153" s="1"/>
  <c r="AE19" i="153"/>
  <c r="AG25" i="125"/>
  <c r="AG5" i="125" s="1"/>
  <c r="F25" i="125"/>
  <c r="F5" i="125" s="1"/>
  <c r="AF25" i="125"/>
  <c r="AF5" i="125" s="1"/>
  <c r="D25" i="125"/>
  <c r="D5" i="125" s="1"/>
  <c r="S25" i="125"/>
  <c r="S5" i="125" s="1"/>
  <c r="L29" i="154"/>
  <c r="L17" i="154"/>
  <c r="L55" i="154" s="1"/>
  <c r="AE18" i="154"/>
  <c r="AE56" i="154" s="1"/>
  <c r="D29" i="154"/>
  <c r="D17" i="154"/>
  <c r="D55" i="154" s="1"/>
  <c r="X18" i="154"/>
  <c r="X56" i="154" s="1"/>
  <c r="U26" i="154"/>
  <c r="X18" i="153"/>
  <c r="U27" i="154"/>
  <c r="V27" i="154"/>
  <c r="Y18" i="153"/>
  <c r="V26" i="154"/>
  <c r="L18" i="154"/>
  <c r="L56" i="154" s="1"/>
  <c r="E18" i="154"/>
  <c r="E56" i="154" s="1"/>
  <c r="X26" i="154"/>
  <c r="X27" i="154"/>
  <c r="AA18" i="153"/>
  <c r="I18" i="154"/>
  <c r="I56" i="154" s="1"/>
  <c r="H18" i="154"/>
  <c r="H56" i="154" s="1"/>
  <c r="I29" i="154"/>
  <c r="I17" i="154"/>
  <c r="I55" i="154" s="1"/>
  <c r="M30" i="154"/>
  <c r="P19" i="153"/>
  <c r="V18" i="153"/>
  <c r="S26" i="154"/>
  <c r="S27" i="154"/>
  <c r="X29" i="154"/>
  <c r="X17" i="154"/>
  <c r="X55" i="154" s="1"/>
  <c r="AE29" i="154"/>
  <c r="AE17" i="154"/>
  <c r="AE55" i="154" s="1"/>
  <c r="H27" i="154"/>
  <c r="K18" i="153"/>
  <c r="H26" i="154"/>
  <c r="B27" i="154"/>
  <c r="B26" i="154"/>
  <c r="AE26" i="154"/>
  <c r="AE27" i="154"/>
  <c r="AH18" i="153"/>
  <c r="G27" i="154"/>
  <c r="J18" i="153"/>
  <c r="G26" i="154"/>
  <c r="K29" i="154"/>
  <c r="K17" i="154"/>
  <c r="K55" i="154" s="1"/>
  <c r="AK19" i="153"/>
  <c r="D18" i="154"/>
  <c r="D56" i="154" s="1"/>
  <c r="AB18" i="154"/>
  <c r="AB56" i="154" s="1"/>
  <c r="AC18" i="154"/>
  <c r="AC56" i="154" s="1"/>
  <c r="T18" i="154"/>
  <c r="T56" i="154" s="1"/>
  <c r="AA30" i="154"/>
  <c r="AD19" i="153"/>
  <c r="F18" i="153"/>
  <c r="C26" i="154"/>
  <c r="C27" i="154"/>
  <c r="AL18" i="153"/>
  <c r="F29" i="154"/>
  <c r="F17" i="154"/>
  <c r="F55" i="154" s="1"/>
  <c r="Y29" i="154"/>
  <c r="Y17" i="154"/>
  <c r="Y55" i="154" s="1"/>
  <c r="Q26" i="154"/>
  <c r="T18" i="153"/>
  <c r="Q27" i="154"/>
  <c r="V29" i="154"/>
  <c r="V17" i="154"/>
  <c r="V55" i="154" s="1"/>
  <c r="P29" i="154"/>
  <c r="P17" i="154"/>
  <c r="P55" i="154" s="1"/>
  <c r="Q18" i="154"/>
  <c r="Q56" i="154" s="1"/>
  <c r="AC26" i="154"/>
  <c r="AF18" i="153"/>
  <c r="AC27" i="154"/>
  <c r="H29" i="154"/>
  <c r="H17" i="154"/>
  <c r="H55" i="154" s="1"/>
  <c r="L18" i="153"/>
  <c r="I27" i="154"/>
  <c r="I26" i="154"/>
  <c r="W18" i="153"/>
  <c r="T26" i="154"/>
  <c r="T27" i="154"/>
  <c r="AK18" i="153"/>
  <c r="U18" i="154"/>
  <c r="U56" i="154" s="1"/>
  <c r="R18" i="153"/>
  <c r="O27" i="154"/>
  <c r="O26" i="154"/>
  <c r="M27" i="154"/>
  <c r="M26" i="154"/>
  <c r="P18" i="153"/>
  <c r="AB29" i="154"/>
  <c r="AB17" i="154"/>
  <c r="AB55" i="154" s="1"/>
  <c r="G29" i="154"/>
  <c r="G17" i="154"/>
  <c r="G55" i="154" s="1"/>
  <c r="C29" i="154"/>
  <c r="C17" i="154"/>
  <c r="C55" i="154" s="1"/>
  <c r="E35" i="112"/>
  <c r="F5" i="107"/>
  <c r="K86" i="111"/>
  <c r="K14" i="111"/>
  <c r="K48" i="111"/>
  <c r="K52" i="111"/>
  <c r="L9" i="111"/>
  <c r="K90" i="111"/>
  <c r="C13" i="100"/>
  <c r="C13" i="98"/>
  <c r="C13" i="101"/>
  <c r="C13" i="99"/>
  <c r="D24" i="107"/>
  <c r="F23" i="107"/>
  <c r="K4" i="57" l="1" a="1"/>
  <c r="G4" i="55"/>
  <c r="B15" i="154"/>
  <c r="B53" i="154" s="1"/>
  <c r="V15" i="154"/>
  <c r="V53" i="154" s="1"/>
  <c r="U15" i="154"/>
  <c r="U53" i="154" s="1"/>
  <c r="H7" i="113"/>
  <c r="M15" i="154"/>
  <c r="M53" i="154" s="1"/>
  <c r="G15" i="154"/>
  <c r="G53" i="154" s="1"/>
  <c r="H15" i="154"/>
  <c r="H53" i="154" s="1"/>
  <c r="Q15" i="154"/>
  <c r="Q53" i="154" s="1"/>
  <c r="AC15" i="154"/>
  <c r="AC53" i="154" s="1"/>
  <c r="X15" i="154"/>
  <c r="X53" i="154" s="1"/>
  <c r="I15" i="154"/>
  <c r="I53" i="154" s="1"/>
  <c r="AE15" i="154"/>
  <c r="AE53" i="154" s="1"/>
  <c r="C15" i="154"/>
  <c r="C53" i="154" s="1"/>
  <c r="S15" i="154"/>
  <c r="S53" i="154" s="1"/>
  <c r="B29" i="154"/>
  <c r="B17" i="154"/>
  <c r="O15" i="154"/>
  <c r="O53" i="154" s="1"/>
  <c r="T15" i="154"/>
  <c r="T53" i="154" s="1"/>
  <c r="P25" i="154"/>
  <c r="P15" i="154"/>
  <c r="P53" i="154" s="1"/>
  <c r="P52" i="154" s="1"/>
  <c r="B9" i="113"/>
  <c r="C8" i="113"/>
  <c r="P13" i="54"/>
  <c r="Q12" i="54"/>
  <c r="O18" i="153"/>
  <c r="O29" i="154"/>
  <c r="S17" i="154"/>
  <c r="S55" i="154" s="1"/>
  <c r="AB18" i="153"/>
  <c r="Y26" i="154"/>
  <c r="Y15" i="154" s="1"/>
  <c r="Y53" i="154" s="1"/>
  <c r="D27" i="154"/>
  <c r="Z26" i="154"/>
  <c r="Z15" i="154" s="1"/>
  <c r="Z53" i="154" s="1"/>
  <c r="K27" i="154"/>
  <c r="AD18" i="153"/>
  <c r="Q17" i="154"/>
  <c r="Q55" i="154" s="1"/>
  <c r="D26" i="154"/>
  <c r="K26" i="154"/>
  <c r="I18" i="153"/>
  <c r="J26" i="154"/>
  <c r="J15" i="154" s="1"/>
  <c r="J53" i="154" s="1"/>
  <c r="H18" i="153"/>
  <c r="L27" i="154"/>
  <c r="L15" i="154" s="1"/>
  <c r="L53" i="154" s="1"/>
  <c r="AC18" i="153"/>
  <c r="AA27" i="154"/>
  <c r="AA15" i="154" s="1"/>
  <c r="AA53" i="154" s="1"/>
  <c r="AB27" i="154"/>
  <c r="N27" i="154"/>
  <c r="F27" i="154"/>
  <c r="F15" i="154" s="1"/>
  <c r="F53" i="154" s="1"/>
  <c r="M18" i="153"/>
  <c r="E26" i="154"/>
  <c r="AB26" i="154"/>
  <c r="AM18" i="153"/>
  <c r="AM22" i="153" s="1"/>
  <c r="N26" i="154"/>
  <c r="W26" i="154"/>
  <c r="W15" i="154" s="1"/>
  <c r="W53" i="154" s="1"/>
  <c r="Z18" i="153"/>
  <c r="B4" i="125"/>
  <c r="R27" i="154"/>
  <c r="U18" i="153"/>
  <c r="R26" i="154"/>
  <c r="AG18" i="153"/>
  <c r="AD26" i="154"/>
  <c r="AD27" i="154"/>
  <c r="R17" i="154"/>
  <c r="R55" i="154" s="1"/>
  <c r="T29" i="154"/>
  <c r="AI22" i="153"/>
  <c r="U17" i="154"/>
  <c r="U55" i="154" s="1"/>
  <c r="W29" i="154"/>
  <c r="AL22" i="153"/>
  <c r="Z17" i="154"/>
  <c r="Z55" i="154" s="1"/>
  <c r="J17" i="154"/>
  <c r="J55" i="154" s="1"/>
  <c r="AD29" i="154"/>
  <c r="AC17" i="154"/>
  <c r="AC55" i="154" s="1"/>
  <c r="AJ22" i="153"/>
  <c r="E17" i="154"/>
  <c r="E55" i="154" s="1"/>
  <c r="B5" i="125"/>
  <c r="N29" i="154"/>
  <c r="AK22" i="153"/>
  <c r="J22" i="154"/>
  <c r="J60" i="154" s="1"/>
  <c r="B25" i="154"/>
  <c r="M29" i="154"/>
  <c r="M17" i="154"/>
  <c r="M55" i="154" s="1"/>
  <c r="H22" i="154"/>
  <c r="H60" i="154" s="1"/>
  <c r="O22" i="154"/>
  <c r="O60" i="154" s="1"/>
  <c r="T22" i="154"/>
  <c r="T60" i="154" s="1"/>
  <c r="X22" i="154"/>
  <c r="X60" i="154" s="1"/>
  <c r="Y22" i="154"/>
  <c r="Y60" i="154" s="1"/>
  <c r="AA22" i="154"/>
  <c r="AA60" i="154" s="1"/>
  <c r="V22" i="154"/>
  <c r="V60" i="154" s="1"/>
  <c r="K22" i="154"/>
  <c r="K60" i="154" s="1"/>
  <c r="P22" i="154"/>
  <c r="P60" i="154" s="1"/>
  <c r="R22" i="154"/>
  <c r="R60" i="154" s="1"/>
  <c r="AD22" i="154"/>
  <c r="AD60" i="154" s="1"/>
  <c r="I22" i="154"/>
  <c r="I60" i="154" s="1"/>
  <c r="M25" i="154"/>
  <c r="O25" i="154"/>
  <c r="T25" i="154"/>
  <c r="Q25" i="154"/>
  <c r="AA29" i="154"/>
  <c r="AA17" i="154"/>
  <c r="AA55" i="154" s="1"/>
  <c r="G25" i="154"/>
  <c r="AE25" i="154"/>
  <c r="X25" i="154"/>
  <c r="V25" i="154"/>
  <c r="U22" i="154"/>
  <c r="U60" i="154" s="1"/>
  <c r="W22" i="154"/>
  <c r="W60" i="154" s="1"/>
  <c r="AC22" i="154"/>
  <c r="AC60" i="154" s="1"/>
  <c r="H25" i="154"/>
  <c r="S25" i="154"/>
  <c r="L22" i="154"/>
  <c r="L60" i="154" s="1"/>
  <c r="M22" i="154"/>
  <c r="M60" i="154" s="1"/>
  <c r="Z22" i="154"/>
  <c r="Z60" i="154" s="1"/>
  <c r="AB22" i="154"/>
  <c r="AB60" i="154" s="1"/>
  <c r="Q22" i="154"/>
  <c r="Q60" i="154" s="1"/>
  <c r="S22" i="154"/>
  <c r="S60" i="154" s="1"/>
  <c r="AE22" i="154"/>
  <c r="AE60" i="154" s="1"/>
  <c r="N22" i="154"/>
  <c r="N60" i="154" s="1"/>
  <c r="I25" i="154"/>
  <c r="AC25" i="154"/>
  <c r="C25" i="154"/>
  <c r="U25" i="154"/>
  <c r="E5" i="101"/>
  <c r="E5" i="126"/>
  <c r="E5" i="127"/>
  <c r="M4" i="42"/>
  <c r="C14" i="99"/>
  <c r="D25" i="107"/>
  <c r="F24" i="107"/>
  <c r="C14" i="100"/>
  <c r="C14" i="101"/>
  <c r="C14" i="98"/>
  <c r="L48" i="111"/>
  <c r="L90" i="111"/>
  <c r="M9" i="111"/>
  <c r="L86" i="111"/>
  <c r="L14" i="111"/>
  <c r="L52" i="111"/>
  <c r="K4" i="57" l="1"/>
  <c r="K27" i="57"/>
  <c r="K9" i="57"/>
  <c r="K17" i="57"/>
  <c r="K32" i="57"/>
  <c r="K5" i="57"/>
  <c r="K26" i="57"/>
  <c r="K20" i="57"/>
  <c r="K28" i="57"/>
  <c r="K14" i="57"/>
  <c r="K8" i="57"/>
  <c r="K16" i="57"/>
  <c r="K31" i="57"/>
  <c r="K25" i="57"/>
  <c r="K22" i="57"/>
  <c r="K13" i="57"/>
  <c r="K24" i="57"/>
  <c r="K19" i="57"/>
  <c r="K33" i="57"/>
  <c r="K12" i="57"/>
  <c r="K7" i="57"/>
  <c r="K23" i="57"/>
  <c r="K30" i="57"/>
  <c r="K6" i="57"/>
  <c r="K10" i="57"/>
  <c r="K18" i="57"/>
  <c r="K11" i="57"/>
  <c r="K21" i="57"/>
  <c r="K29" i="57"/>
  <c r="K15" i="57"/>
  <c r="H4" i="64"/>
  <c r="H8" i="113"/>
  <c r="B55" i="154"/>
  <c r="P14" i="154"/>
  <c r="R15" i="154"/>
  <c r="R53" i="154" s="1"/>
  <c r="K15" i="154"/>
  <c r="K53" i="154" s="1"/>
  <c r="AD15" i="154"/>
  <c r="AD53" i="154" s="1"/>
  <c r="N15" i="154"/>
  <c r="N53" i="154" s="1"/>
  <c r="N52" i="154" s="1"/>
  <c r="D15" i="154"/>
  <c r="D53" i="154" s="1"/>
  <c r="D52" i="154" s="1"/>
  <c r="AB15" i="154"/>
  <c r="AB53" i="154" s="1"/>
  <c r="AB52" i="154" s="1"/>
  <c r="E25" i="154"/>
  <c r="E15" i="154"/>
  <c r="E53" i="154" s="1"/>
  <c r="B10" i="113"/>
  <c r="C9" i="113"/>
  <c r="P14" i="54"/>
  <c r="Q13" i="54"/>
  <c r="N25" i="154"/>
  <c r="Z25" i="154"/>
  <c r="Y25" i="154"/>
  <c r="J25" i="154"/>
  <c r="AA25" i="154"/>
  <c r="D25" i="154"/>
  <c r="K25" i="154"/>
  <c r="W25" i="154"/>
  <c r="F25" i="154"/>
  <c r="L25" i="154"/>
  <c r="AB25" i="154"/>
  <c r="R25" i="154"/>
  <c r="AD25" i="154"/>
  <c r="C52" i="154"/>
  <c r="C14" i="154"/>
  <c r="X52" i="154"/>
  <c r="X14" i="154"/>
  <c r="M52" i="154"/>
  <c r="M14" i="154"/>
  <c r="U14" i="154"/>
  <c r="U52" i="154"/>
  <c r="I14" i="154"/>
  <c r="I52" i="154"/>
  <c r="G52" i="154"/>
  <c r="G14" i="154"/>
  <c r="Z52" i="154"/>
  <c r="Z14" i="154"/>
  <c r="B14" i="154"/>
  <c r="B52" i="154"/>
  <c r="AA52" i="154"/>
  <c r="AA14" i="154"/>
  <c r="W52" i="154"/>
  <c r="W14" i="154"/>
  <c r="Y14" i="154"/>
  <c r="Y52" i="154"/>
  <c r="V14" i="154"/>
  <c r="V52" i="154"/>
  <c r="AE14" i="154"/>
  <c r="AE52" i="154"/>
  <c r="T14" i="154"/>
  <c r="T52" i="154"/>
  <c r="O14" i="154"/>
  <c r="O52" i="154"/>
  <c r="L52" i="154"/>
  <c r="L14" i="154"/>
  <c r="F52" i="154"/>
  <c r="F14" i="154"/>
  <c r="AC14" i="154"/>
  <c r="AC52" i="154"/>
  <c r="J14" i="154"/>
  <c r="J52" i="154"/>
  <c r="S52" i="154"/>
  <c r="S14" i="154"/>
  <c r="H14" i="154"/>
  <c r="H52" i="154"/>
  <c r="Q14" i="154"/>
  <c r="Q52" i="154"/>
  <c r="M4" i="57"/>
  <c r="O4" i="57"/>
  <c r="E4" i="56"/>
  <c r="C5" i="105"/>
  <c r="E14" i="100"/>
  <c r="C15" i="100"/>
  <c r="C15" i="99"/>
  <c r="D26" i="107"/>
  <c r="F25" i="107"/>
  <c r="M86" i="111"/>
  <c r="M14" i="111"/>
  <c r="M48" i="111"/>
  <c r="M52" i="111"/>
  <c r="M90" i="111"/>
  <c r="N9" i="111"/>
  <c r="C15" i="98"/>
  <c r="E14" i="98"/>
  <c r="C15" i="101"/>
  <c r="P4" i="57" l="1"/>
  <c r="C29" i="59" a="1"/>
  <c r="AB14" i="154"/>
  <c r="H9" i="113"/>
  <c r="K14" i="154"/>
  <c r="D14" i="154"/>
  <c r="E14" i="154"/>
  <c r="B11" i="113"/>
  <c r="C10" i="113"/>
  <c r="P15" i="54"/>
  <c r="Q14" i="54"/>
  <c r="K34" i="57"/>
  <c r="E52" i="154"/>
  <c r="N14" i="154"/>
  <c r="K52" i="154"/>
  <c r="AD52" i="154"/>
  <c r="AD14" i="154"/>
  <c r="R14" i="154"/>
  <c r="R52" i="154"/>
  <c r="D4" i="56"/>
  <c r="E6" i="127"/>
  <c r="E6" i="101"/>
  <c r="E6" i="126"/>
  <c r="E7" i="127"/>
  <c r="E7" i="101"/>
  <c r="E7" i="126"/>
  <c r="C16" i="101"/>
  <c r="N48" i="111"/>
  <c r="N52" i="111"/>
  <c r="N90" i="111"/>
  <c r="O9" i="111"/>
  <c r="N86" i="111"/>
  <c r="N14" i="111"/>
  <c r="D27" i="107"/>
  <c r="F26" i="107"/>
  <c r="C16" i="100"/>
  <c r="E15" i="100"/>
  <c r="C16" i="99"/>
  <c r="E15" i="98"/>
  <c r="C16" i="98"/>
  <c r="C29" i="59" l="1"/>
  <c r="AD29" i="59"/>
  <c r="W29" i="59"/>
  <c r="F29" i="59"/>
  <c r="AE29" i="59"/>
  <c r="R29" i="59"/>
  <c r="Z29" i="59"/>
  <c r="H29" i="59"/>
  <c r="Q29" i="59"/>
  <c r="Y29" i="59"/>
  <c r="V29" i="59"/>
  <c r="U29" i="59"/>
  <c r="AB29" i="59"/>
  <c r="N29" i="59"/>
  <c r="P29" i="59"/>
  <c r="AF29" i="59"/>
  <c r="AA29" i="59"/>
  <c r="AC29" i="59"/>
  <c r="I29" i="59"/>
  <c r="E29" i="59"/>
  <c r="S29" i="59"/>
  <c r="X29" i="59"/>
  <c r="M29" i="59"/>
  <c r="G29" i="59"/>
  <c r="L29" i="59"/>
  <c r="O29" i="59"/>
  <c r="T29" i="59"/>
  <c r="J29" i="59"/>
  <c r="D29" i="59"/>
  <c r="K29" i="59"/>
  <c r="H10" i="113"/>
  <c r="B12" i="113"/>
  <c r="C11" i="113"/>
  <c r="P16" i="54"/>
  <c r="P17" i="54" s="1"/>
  <c r="P18" i="54" s="1"/>
  <c r="P19" i="54" s="1"/>
  <c r="P20" i="54" s="1"/>
  <c r="P21" i="54" s="1"/>
  <c r="P22" i="54" s="1"/>
  <c r="P23" i="54" s="1"/>
  <c r="P24" i="54" s="1"/>
  <c r="P25" i="54" s="1"/>
  <c r="P26" i="54" s="1"/>
  <c r="P27" i="54" s="1"/>
  <c r="P28" i="54" s="1"/>
  <c r="P29" i="54" s="1"/>
  <c r="P30" i="54" s="1"/>
  <c r="P31" i="54" s="1"/>
  <c r="P32" i="54" s="1"/>
  <c r="P33" i="54" s="1"/>
  <c r="P34" i="54" s="1"/>
  <c r="Q15" i="54"/>
  <c r="F4" i="56"/>
  <c r="H5" i="56" s="1"/>
  <c r="C6" i="105"/>
  <c r="C4" i="57"/>
  <c r="C7" i="105"/>
  <c r="E8" i="101"/>
  <c r="E8" i="127"/>
  <c r="E8" i="126"/>
  <c r="C17" i="101"/>
  <c r="C17" i="99"/>
  <c r="C17" i="98"/>
  <c r="E16" i="98"/>
  <c r="E16" i="100"/>
  <c r="C17" i="100"/>
  <c r="O48" i="111"/>
  <c r="O52" i="111"/>
  <c r="O90" i="111"/>
  <c r="P9" i="111"/>
  <c r="O86" i="111"/>
  <c r="O14" i="111"/>
  <c r="D28" i="107"/>
  <c r="F27" i="107"/>
  <c r="H11" i="113" l="1"/>
  <c r="B13" i="113"/>
  <c r="C12" i="113"/>
  <c r="B29" i="59"/>
  <c r="I4" i="56"/>
  <c r="E9" i="127"/>
  <c r="E9" i="126"/>
  <c r="E9" i="101"/>
  <c r="C8" i="105"/>
  <c r="D29" i="107"/>
  <c r="F28" i="107"/>
  <c r="C18" i="99"/>
  <c r="P90" i="111"/>
  <c r="Q9" i="111"/>
  <c r="P86" i="111"/>
  <c r="P14" i="111"/>
  <c r="P52" i="111"/>
  <c r="P48" i="111"/>
  <c r="E17" i="98"/>
  <c r="C18" i="98"/>
  <c r="C18" i="100"/>
  <c r="E17" i="100"/>
  <c r="C18" i="101"/>
  <c r="H12" i="113" l="1"/>
  <c r="B14" i="113"/>
  <c r="C13" i="113"/>
  <c r="L34" i="57"/>
  <c r="C9" i="105"/>
  <c r="E10" i="127"/>
  <c r="E10" i="101"/>
  <c r="E10" i="126"/>
  <c r="Q16" i="54"/>
  <c r="C19" i="101"/>
  <c r="E18" i="100"/>
  <c r="C19" i="100"/>
  <c r="C19" i="98"/>
  <c r="E18" i="98"/>
  <c r="C19" i="99"/>
  <c r="Q48" i="111"/>
  <c r="Q52" i="111"/>
  <c r="Q90" i="111"/>
  <c r="R9" i="111"/>
  <c r="Q14" i="111"/>
  <c r="Q86" i="111"/>
  <c r="D30" i="107"/>
  <c r="F29" i="107"/>
  <c r="H13" i="113" l="1"/>
  <c r="C34" i="113"/>
  <c r="B15" i="113"/>
  <c r="H14" i="113"/>
  <c r="E11" i="101"/>
  <c r="E11" i="127"/>
  <c r="C10" i="105"/>
  <c r="Q17" i="54"/>
  <c r="D31" i="107"/>
  <c r="F30" i="107"/>
  <c r="E19" i="98"/>
  <c r="C20" i="98"/>
  <c r="C20" i="101"/>
  <c r="R90" i="111"/>
  <c r="S9" i="111"/>
  <c r="R86" i="111"/>
  <c r="R14" i="111"/>
  <c r="R48" i="111"/>
  <c r="R52" i="111"/>
  <c r="C20" i="99"/>
  <c r="C20" i="100"/>
  <c r="E19" i="100"/>
  <c r="B16" i="113" l="1"/>
  <c r="H15" i="113"/>
  <c r="B30" i="59"/>
  <c r="E11" i="126"/>
  <c r="C11" i="105" s="1"/>
  <c r="E12" i="127"/>
  <c r="E12" i="126"/>
  <c r="E12" i="101"/>
  <c r="Q18" i="54"/>
  <c r="S48" i="111"/>
  <c r="S52" i="111"/>
  <c r="S90" i="111"/>
  <c r="T9" i="111"/>
  <c r="S86" i="111"/>
  <c r="S14" i="111"/>
  <c r="E20" i="100"/>
  <c r="C21" i="100"/>
  <c r="C21" i="99"/>
  <c r="C21" i="98"/>
  <c r="E20" i="98"/>
  <c r="D32" i="107"/>
  <c r="F31" i="107"/>
  <c r="C21" i="101"/>
  <c r="B17" i="113" l="1"/>
  <c r="H16" i="113"/>
  <c r="C12" i="105"/>
  <c r="E13" i="126"/>
  <c r="E13" i="127"/>
  <c r="E13" i="101"/>
  <c r="Q19" i="54"/>
  <c r="D33" i="107"/>
  <c r="F32" i="107"/>
  <c r="C22" i="100"/>
  <c r="E21" i="100"/>
  <c r="E21" i="98"/>
  <c r="C22" i="98"/>
  <c r="C22" i="101"/>
  <c r="C22" i="99"/>
  <c r="T90" i="111"/>
  <c r="U9" i="111"/>
  <c r="T86" i="111"/>
  <c r="T14" i="111"/>
  <c r="T52" i="111"/>
  <c r="T48" i="111"/>
  <c r="B18" i="113" l="1"/>
  <c r="H17" i="113"/>
  <c r="C13" i="105"/>
  <c r="Q20" i="54"/>
  <c r="C23" i="99"/>
  <c r="D34" i="107"/>
  <c r="F33" i="107"/>
  <c r="C23" i="101"/>
  <c r="C23" i="98"/>
  <c r="E22" i="98"/>
  <c r="U86" i="111"/>
  <c r="U14" i="111"/>
  <c r="U52" i="111"/>
  <c r="U48" i="111"/>
  <c r="U90" i="111"/>
  <c r="V9" i="111"/>
  <c r="E22" i="100"/>
  <c r="C23" i="100"/>
  <c r="B19" i="113" l="1"/>
  <c r="H18" i="113"/>
  <c r="Q21" i="54"/>
  <c r="E23" i="98"/>
  <c r="C24" i="98"/>
  <c r="C24" i="101"/>
  <c r="C24" i="100"/>
  <c r="E23" i="100"/>
  <c r="C24" i="99"/>
  <c r="V52" i="111"/>
  <c r="V90" i="111"/>
  <c r="W9" i="111"/>
  <c r="V86" i="111"/>
  <c r="V14" i="111"/>
  <c r="V48" i="111"/>
  <c r="F34" i="107"/>
  <c r="B20" i="113" l="1"/>
  <c r="H19" i="113"/>
  <c r="C13" i="57"/>
  <c r="Q22" i="54"/>
  <c r="W86" i="111"/>
  <c r="W14" i="111"/>
  <c r="W48" i="111"/>
  <c r="W52" i="111"/>
  <c r="W90" i="111"/>
  <c r="X9" i="111"/>
  <c r="E24" i="100"/>
  <c r="C25" i="100"/>
  <c r="C25" i="101"/>
  <c r="C25" i="99"/>
  <c r="C25" i="98"/>
  <c r="E24" i="98"/>
  <c r="B21" i="113" l="1"/>
  <c r="H20" i="113"/>
  <c r="C14" i="57"/>
  <c r="C15" i="57"/>
  <c r="Q23" i="54"/>
  <c r="C26" i="99"/>
  <c r="C26" i="101"/>
  <c r="E25" i="98"/>
  <c r="C26" i="98"/>
  <c r="X48" i="111"/>
  <c r="X90" i="111"/>
  <c r="Y9" i="111"/>
  <c r="X86" i="111"/>
  <c r="X14" i="111"/>
  <c r="X52" i="111"/>
  <c r="C26" i="100"/>
  <c r="E25" i="100"/>
  <c r="B22" i="113" l="1"/>
  <c r="H21" i="113"/>
  <c r="Q24" i="54"/>
  <c r="C27" i="101"/>
  <c r="C27" i="99"/>
  <c r="E26" i="100"/>
  <c r="C27" i="100"/>
  <c r="Y86" i="111"/>
  <c r="Y14" i="111"/>
  <c r="Y52" i="111"/>
  <c r="Y48" i="111"/>
  <c r="Y90" i="111"/>
  <c r="Z9" i="111"/>
  <c r="C27" i="98"/>
  <c r="E26" i="98"/>
  <c r="B23" i="113" l="1"/>
  <c r="H22" i="113"/>
  <c r="C17" i="57"/>
  <c r="Q25" i="54"/>
  <c r="Z52" i="111"/>
  <c r="Z90" i="111"/>
  <c r="AA9" i="111"/>
  <c r="Z86" i="111"/>
  <c r="Z14" i="111"/>
  <c r="Z48" i="111"/>
  <c r="C28" i="99"/>
  <c r="E27" i="100"/>
  <c r="C28" i="100"/>
  <c r="C28" i="101"/>
  <c r="E27" i="98"/>
  <c r="C28" i="98"/>
  <c r="B24" i="113" l="1"/>
  <c r="H23" i="113"/>
  <c r="C16" i="57"/>
  <c r="C18" i="57"/>
  <c r="Q26" i="54"/>
  <c r="E28" i="98"/>
  <c r="C29" i="98"/>
  <c r="C29" i="100"/>
  <c r="E28" i="100"/>
  <c r="C29" i="99"/>
  <c r="C29" i="101"/>
  <c r="AA52" i="111"/>
  <c r="AA90" i="111"/>
  <c r="AB9" i="111"/>
  <c r="AA86" i="111"/>
  <c r="AA14" i="111"/>
  <c r="AA48" i="111"/>
  <c r="B25" i="113" l="1"/>
  <c r="H24" i="113"/>
  <c r="C19" i="57"/>
  <c r="Q27" i="54"/>
  <c r="C30" i="98"/>
  <c r="E29" i="98"/>
  <c r="C30" i="101"/>
  <c r="E29" i="100"/>
  <c r="C30" i="100"/>
  <c r="AB86" i="111"/>
  <c r="AB52" i="111"/>
  <c r="AB48" i="111"/>
  <c r="AC9" i="111"/>
  <c r="AB14" i="111"/>
  <c r="AB90" i="111"/>
  <c r="C30" i="99"/>
  <c r="B26" i="113" l="1"/>
  <c r="H25" i="113"/>
  <c r="C20" i="57"/>
  <c r="Q28" i="54"/>
  <c r="C31" i="101"/>
  <c r="C31" i="99"/>
  <c r="C31" i="100"/>
  <c r="E30" i="100"/>
  <c r="AC90" i="111"/>
  <c r="AD9" i="111"/>
  <c r="AC86" i="111"/>
  <c r="AC14" i="111"/>
  <c r="AC52" i="111"/>
  <c r="AC48" i="111"/>
  <c r="E30" i="98"/>
  <c r="C31" i="98"/>
  <c r="B27" i="113" l="1"/>
  <c r="H26" i="113"/>
  <c r="C21" i="57"/>
  <c r="Q29" i="54"/>
  <c r="C32" i="98"/>
  <c r="E31" i="98"/>
  <c r="AD48" i="111"/>
  <c r="AD52" i="111"/>
  <c r="AD90" i="111"/>
  <c r="AE9" i="111"/>
  <c r="AD86" i="111"/>
  <c r="AD14" i="111"/>
  <c r="E31" i="100"/>
  <c r="C32" i="100"/>
  <c r="C32" i="99"/>
  <c r="C32" i="101"/>
  <c r="B28" i="113" l="1"/>
  <c r="H27" i="113"/>
  <c r="Q30" i="54"/>
  <c r="C33" i="100"/>
  <c r="E32" i="100"/>
  <c r="AE90" i="111"/>
  <c r="AE86" i="111"/>
  <c r="AF9" i="111"/>
  <c r="AE48" i="111"/>
  <c r="AE14" i="111"/>
  <c r="AE52" i="111"/>
  <c r="E32" i="98"/>
  <c r="C33" i="98"/>
  <c r="C33" i="101"/>
  <c r="C33" i="99"/>
  <c r="B29" i="113" l="1"/>
  <c r="H28" i="113"/>
  <c r="C22" i="57"/>
  <c r="Q31" i="54"/>
  <c r="C34" i="101"/>
  <c r="C34" i="99"/>
  <c r="C34" i="98"/>
  <c r="E33" i="98"/>
  <c r="AF86" i="111"/>
  <c r="AF14" i="111"/>
  <c r="AF52" i="111"/>
  <c r="AF48" i="111"/>
  <c r="AF90" i="111"/>
  <c r="E33" i="100"/>
  <c r="C34" i="100"/>
  <c r="B30" i="113" l="1"/>
  <c r="H29" i="113"/>
  <c r="C23" i="57"/>
  <c r="C24" i="57"/>
  <c r="Q32" i="54"/>
  <c r="E34" i="98"/>
  <c r="E34" i="100"/>
  <c r="B31" i="113" l="1"/>
  <c r="H30" i="113"/>
  <c r="Q33" i="54"/>
  <c r="B32" i="113" l="1"/>
  <c r="H31" i="113"/>
  <c r="Q34" i="54"/>
  <c r="B33" i="113" l="1"/>
  <c r="H32" i="113"/>
  <c r="C26" i="57"/>
  <c r="C27" i="57"/>
  <c r="C25" i="57"/>
  <c r="H33" i="113" l="1"/>
  <c r="H34" i="113" l="1"/>
  <c r="C29" i="57"/>
  <c r="C28" i="57" l="1"/>
  <c r="C31" i="57" l="1"/>
  <c r="C30" i="57"/>
  <c r="C32" i="57" l="1"/>
  <c r="C33" i="57" l="1"/>
  <c r="AK37" i="58" l="1"/>
  <c r="AK35" i="58" s="1"/>
  <c r="AL37" i="58"/>
  <c r="AL35" i="58" s="1"/>
  <c r="AH37" i="58"/>
  <c r="AH35" i="58" s="1"/>
  <c r="AI37" i="58"/>
  <c r="AI35" i="58" s="1"/>
  <c r="AJ37" i="58"/>
  <c r="AJ35" i="58" s="1"/>
  <c r="D30" i="118"/>
  <c r="AL24" i="58"/>
  <c r="AK24" i="58"/>
  <c r="AJ24" i="58"/>
  <c r="AI24" i="58"/>
  <c r="AL34" i="58" l="1"/>
  <c r="AL6" i="58" s="1"/>
  <c r="AK34" i="58"/>
  <c r="AK6" i="58" s="1"/>
  <c r="AJ34" i="58"/>
  <c r="AJ6" i="58" s="1"/>
  <c r="AI4" i="58" l="1"/>
  <c r="AJ4" i="58"/>
  <c r="AH4" i="58"/>
  <c r="AL4" i="58"/>
  <c r="AK4" i="58" l="1"/>
  <c r="Q34" i="48"/>
  <c r="D29" i="112" l="1"/>
  <c r="F29" i="112" s="1"/>
  <c r="E28" i="57" s="1"/>
  <c r="D26" i="112"/>
  <c r="F26" i="112" s="1"/>
  <c r="E25" i="57" s="1"/>
  <c r="D23" i="112"/>
  <c r="F23" i="112" s="1"/>
  <c r="E22" i="57" s="1"/>
  <c r="D24" i="112"/>
  <c r="F24" i="112" s="1"/>
  <c r="E23" i="57" s="1"/>
  <c r="D32" i="112"/>
  <c r="F32" i="112" s="1"/>
  <c r="E31" i="57" s="1"/>
  <c r="D17" i="112"/>
  <c r="F17" i="112" s="1"/>
  <c r="E16" i="57" s="1"/>
  <c r="D33" i="112"/>
  <c r="F33" i="112" s="1"/>
  <c r="E32" i="57" s="1"/>
  <c r="D14" i="112"/>
  <c r="F14" i="112" s="1"/>
  <c r="E13" i="57" s="1"/>
  <c r="D30" i="112"/>
  <c r="F30" i="112" s="1"/>
  <c r="E29" i="57" s="1"/>
  <c r="D27" i="112"/>
  <c r="F27" i="112" s="1"/>
  <c r="E26" i="57" s="1"/>
  <c r="D20" i="112"/>
  <c r="F20" i="112" s="1"/>
  <c r="E19" i="57" s="1"/>
  <c r="D21" i="112"/>
  <c r="F21" i="112" s="1"/>
  <c r="E20" i="57" s="1"/>
  <c r="D18" i="112"/>
  <c r="F18" i="112" s="1"/>
  <c r="E17" i="57" s="1"/>
  <c r="D34" i="112"/>
  <c r="F34" i="112" s="1"/>
  <c r="E33" i="57" s="1"/>
  <c r="D15" i="112"/>
  <c r="F15" i="112" s="1"/>
  <c r="E14" i="57" s="1"/>
  <c r="D31" i="112"/>
  <c r="F31" i="112" s="1"/>
  <c r="E30" i="57" s="1"/>
  <c r="D28" i="112"/>
  <c r="F28" i="112" s="1"/>
  <c r="E27" i="57" s="1"/>
  <c r="D25" i="112"/>
  <c r="F25" i="112" s="1"/>
  <c r="E24" i="57" s="1"/>
  <c r="D22" i="112"/>
  <c r="F22" i="112" s="1"/>
  <c r="E21" i="57" s="1"/>
  <c r="D19" i="112"/>
  <c r="F19" i="112" s="1"/>
  <c r="E18" i="57" s="1"/>
  <c r="D16" i="112"/>
  <c r="F16" i="112" s="1"/>
  <c r="E15" i="57" s="1"/>
  <c r="D5" i="112" l="1"/>
  <c r="F5" i="112" s="1"/>
  <c r="E4" i="57" l="1"/>
  <c r="B6" i="99" l="1"/>
  <c r="B7" i="99" l="1"/>
  <c r="E5" i="99" l="1"/>
  <c r="B8" i="99"/>
  <c r="B5" i="105" l="1"/>
  <c r="D5" i="105" s="1"/>
  <c r="B9" i="99"/>
  <c r="B10" i="99" l="1"/>
  <c r="B11" i="99" l="1"/>
  <c r="D4" i="57"/>
  <c r="B12" i="99" l="1"/>
  <c r="B13" i="99" l="1"/>
  <c r="B14" i="99" l="1"/>
  <c r="D14" i="99" s="1"/>
  <c r="E14" i="99" l="1"/>
  <c r="B14" i="105" s="1"/>
  <c r="B15" i="99"/>
  <c r="D15" i="99" s="1"/>
  <c r="B16" i="99" l="1"/>
  <c r="D16" i="99" s="1"/>
  <c r="E15" i="99"/>
  <c r="B15" i="105" l="1"/>
  <c r="E16" i="99"/>
  <c r="B16" i="105" s="1"/>
  <c r="B17" i="99"/>
  <c r="D17" i="99" s="1"/>
  <c r="B18" i="99" l="1"/>
  <c r="D18" i="99" s="1"/>
  <c r="E17" i="99"/>
  <c r="B17" i="105" l="1"/>
  <c r="B19" i="99"/>
  <c r="D19" i="99" s="1"/>
  <c r="E18" i="99"/>
  <c r="B18" i="105" l="1"/>
  <c r="B20" i="99"/>
  <c r="D20" i="99" s="1"/>
  <c r="E19" i="99"/>
  <c r="B19" i="105" l="1"/>
  <c r="E20" i="99"/>
  <c r="B21" i="99"/>
  <c r="D21" i="99" s="1"/>
  <c r="B20" i="105" l="1"/>
  <c r="E21" i="99"/>
  <c r="B22" i="99"/>
  <c r="D22" i="99" s="1"/>
  <c r="B21" i="105" l="1"/>
  <c r="E22" i="99"/>
  <c r="B23" i="99"/>
  <c r="D23" i="99" s="1"/>
  <c r="B22" i="105" l="1"/>
  <c r="E23" i="99"/>
  <c r="B24" i="99"/>
  <c r="D24" i="99" s="1"/>
  <c r="B23" i="105" l="1"/>
  <c r="E24" i="99"/>
  <c r="B25" i="99"/>
  <c r="D25" i="99" s="1"/>
  <c r="B24" i="105" l="1"/>
  <c r="E25" i="99"/>
  <c r="B26" i="99"/>
  <c r="D26" i="99" s="1"/>
  <c r="B25" i="105" l="1"/>
  <c r="E26" i="99"/>
  <c r="B27" i="99"/>
  <c r="D27" i="99" s="1"/>
  <c r="B26" i="105" l="1"/>
  <c r="E27" i="99"/>
  <c r="B28" i="99"/>
  <c r="D28" i="99" s="1"/>
  <c r="B27" i="105" l="1"/>
  <c r="E28" i="99"/>
  <c r="B29" i="99"/>
  <c r="D29" i="99" s="1"/>
  <c r="B28" i="105" l="1"/>
  <c r="B30" i="99"/>
  <c r="D30" i="99" s="1"/>
  <c r="E29" i="99"/>
  <c r="B29" i="105" l="1"/>
  <c r="B31" i="99"/>
  <c r="D31" i="99" s="1"/>
  <c r="E30" i="99"/>
  <c r="B30" i="105" l="1"/>
  <c r="E31" i="99"/>
  <c r="B32" i="99"/>
  <c r="D32" i="99" s="1"/>
  <c r="B31" i="105" l="1"/>
  <c r="B33" i="99"/>
  <c r="D33" i="99" s="1"/>
  <c r="E32" i="99"/>
  <c r="B32" i="105" l="1"/>
  <c r="E33" i="99"/>
  <c r="B34" i="99"/>
  <c r="D34" i="99" s="1"/>
  <c r="B33" i="105" l="1"/>
  <c r="E34" i="99"/>
  <c r="B34" i="105" l="1"/>
  <c r="K23" i="19" l="1"/>
  <c r="C24" i="54" s="1"/>
  <c r="K29" i="19"/>
  <c r="C30" i="54" s="1"/>
  <c r="K26" i="19"/>
  <c r="C27" i="54" s="1"/>
  <c r="K13" i="19"/>
  <c r="C14" i="54" s="1"/>
  <c r="K16" i="19"/>
  <c r="C17" i="54" s="1"/>
  <c r="K22" i="19"/>
  <c r="C23" i="54" s="1"/>
  <c r="K28" i="19"/>
  <c r="C29" i="54" s="1"/>
  <c r="K21" i="19"/>
  <c r="C22" i="54" s="1"/>
  <c r="K18" i="19"/>
  <c r="C19" i="54" s="1"/>
  <c r="K32" i="19"/>
  <c r="C33" i="54" s="1"/>
  <c r="K24" i="19"/>
  <c r="C25" i="54" s="1"/>
  <c r="K27" i="19"/>
  <c r="C28" i="54" s="1"/>
  <c r="K33" i="19"/>
  <c r="C34" i="54" s="1"/>
  <c r="K14" i="19"/>
  <c r="C15" i="54" s="1"/>
  <c r="K25" i="19"/>
  <c r="C26" i="54" s="1"/>
  <c r="K31" i="19"/>
  <c r="C32" i="54" s="1"/>
  <c r="K30" i="19"/>
  <c r="C31" i="54" s="1"/>
  <c r="K20" i="19"/>
  <c r="C21" i="54" s="1"/>
  <c r="K19" i="19"/>
  <c r="C20" i="54" s="1"/>
  <c r="K15" i="19"/>
  <c r="C16" i="54" s="1"/>
  <c r="K17" i="19"/>
  <c r="C18" i="54" s="1"/>
  <c r="E21" i="54" l="1"/>
  <c r="E26" i="54"/>
  <c r="E17" i="54"/>
  <c r="E30" i="54"/>
  <c r="E31" i="54"/>
  <c r="E20" i="54"/>
  <c r="E32" i="54"/>
  <c r="E27" i="54"/>
  <c r="E18" i="54"/>
  <c r="E25" i="54"/>
  <c r="E16" i="54"/>
  <c r="E15" i="54"/>
  <c r="E14" i="54"/>
  <c r="K5" i="19"/>
  <c r="C6" i="54" s="1"/>
  <c r="K6" i="19"/>
  <c r="C7" i="54" s="1"/>
  <c r="AC14" i="19"/>
  <c r="AC18" i="19"/>
  <c r="E19" i="54"/>
  <c r="AC17" i="19"/>
  <c r="AC21" i="19"/>
  <c r="E22" i="54"/>
  <c r="AC15" i="19"/>
  <c r="AC19" i="19"/>
  <c r="AC20" i="19"/>
  <c r="AC30" i="19"/>
  <c r="AC31" i="19"/>
  <c r="AC25" i="19"/>
  <c r="AC33" i="19"/>
  <c r="E34" i="54"/>
  <c r="AC27" i="19"/>
  <c r="E28" i="54"/>
  <c r="AC32" i="19"/>
  <c r="E33" i="54"/>
  <c r="AC28" i="19"/>
  <c r="E29" i="54"/>
  <c r="AC22" i="19"/>
  <c r="E23" i="54"/>
  <c r="AC16" i="19"/>
  <c r="AC23" i="19"/>
  <c r="E24" i="54"/>
  <c r="AC24" i="19"/>
  <c r="AC13" i="19"/>
  <c r="AC26" i="19"/>
  <c r="AC29" i="19"/>
  <c r="I27" i="54" l="1"/>
  <c r="L27" i="54" s="1"/>
  <c r="F27" i="54"/>
  <c r="B26" i="55" s="1"/>
  <c r="F22" i="54"/>
  <c r="B21" i="55" s="1"/>
  <c r="F32" i="54"/>
  <c r="B31" i="55" s="1"/>
  <c r="F20" i="54"/>
  <c r="B19" i="55" s="1"/>
  <c r="F14" i="54"/>
  <c r="B13" i="55" s="1"/>
  <c r="I31" i="54"/>
  <c r="L31" i="54" s="1"/>
  <c r="F31" i="54"/>
  <c r="B30" i="55" s="1"/>
  <c r="F24" i="54"/>
  <c r="F19" i="54"/>
  <c r="B18" i="55" s="1"/>
  <c r="I15" i="54"/>
  <c r="L15" i="54" s="1"/>
  <c r="F15" i="54"/>
  <c r="B14" i="55" s="1"/>
  <c r="F30" i="54"/>
  <c r="B29" i="55" s="1"/>
  <c r="F28" i="54"/>
  <c r="F16" i="54"/>
  <c r="B15" i="55" s="1"/>
  <c r="F17" i="54"/>
  <c r="B16" i="55" s="1"/>
  <c r="F25" i="54"/>
  <c r="B24" i="55" s="1"/>
  <c r="I26" i="54"/>
  <c r="L26" i="54" s="1"/>
  <c r="C25" i="55" s="1"/>
  <c r="F26" i="54"/>
  <c r="B25" i="55" s="1"/>
  <c r="F29" i="54"/>
  <c r="F33" i="54"/>
  <c r="F23" i="54"/>
  <c r="B22" i="55" s="1"/>
  <c r="F18" i="54"/>
  <c r="B17" i="55" s="1"/>
  <c r="F21" i="54"/>
  <c r="B20" i="55" s="1"/>
  <c r="F34" i="54"/>
  <c r="B33" i="55" s="1"/>
  <c r="I21" i="54"/>
  <c r="L21" i="54" s="1"/>
  <c r="C20" i="55" s="1"/>
  <c r="I17" i="54"/>
  <c r="I32" i="54"/>
  <c r="L32" i="54" s="1"/>
  <c r="C31" i="55" s="1"/>
  <c r="I30" i="54"/>
  <c r="L30" i="54" s="1"/>
  <c r="I25" i="54"/>
  <c r="L25" i="54" s="1"/>
  <c r="C24" i="55" s="1"/>
  <c r="I16" i="54"/>
  <c r="L16" i="54" s="1"/>
  <c r="C15" i="55" s="1"/>
  <c r="I20" i="54"/>
  <c r="L20" i="54" s="1"/>
  <c r="C19" i="55" s="1"/>
  <c r="I14" i="54"/>
  <c r="L14" i="54" s="1"/>
  <c r="I18" i="54"/>
  <c r="L18" i="54" s="1"/>
  <c r="C17" i="55" s="1"/>
  <c r="I34" i="54"/>
  <c r="I33" i="54"/>
  <c r="I19" i="54"/>
  <c r="I23" i="54"/>
  <c r="I29" i="54"/>
  <c r="I24" i="54"/>
  <c r="I22" i="54"/>
  <c r="I28" i="54"/>
  <c r="E6" i="54"/>
  <c r="AC5" i="19"/>
  <c r="AC6" i="19"/>
  <c r="E7" i="54"/>
  <c r="K7" i="19"/>
  <c r="C8" i="54" s="1"/>
  <c r="F7" i="54" l="1"/>
  <c r="I7" i="54"/>
  <c r="L7" i="54" s="1"/>
  <c r="F6" i="54"/>
  <c r="AC7" i="19"/>
  <c r="N14" i="54"/>
  <c r="F13" i="64" s="1"/>
  <c r="L17" i="54"/>
  <c r="C16" i="55" s="1"/>
  <c r="N30" i="54"/>
  <c r="F29" i="64" s="1"/>
  <c r="N27" i="54"/>
  <c r="F26" i="64" s="1"/>
  <c r="N15" i="54"/>
  <c r="F14" i="64" s="1"/>
  <c r="N31" i="54"/>
  <c r="F30" i="64" s="1"/>
  <c r="N16" i="54"/>
  <c r="F15" i="64" s="1"/>
  <c r="N21" i="54"/>
  <c r="F20" i="64" s="1"/>
  <c r="N18" i="54"/>
  <c r="F17" i="64" s="1"/>
  <c r="N32" i="54"/>
  <c r="F31" i="64" s="1"/>
  <c r="C14" i="55"/>
  <c r="C13" i="55"/>
  <c r="C29" i="55"/>
  <c r="C30" i="55"/>
  <c r="C26" i="55"/>
  <c r="N20" i="54"/>
  <c r="F19" i="64" s="1"/>
  <c r="N25" i="54"/>
  <c r="F24" i="64" s="1"/>
  <c r="L33" i="54"/>
  <c r="C32" i="55" s="1"/>
  <c r="N26" i="54"/>
  <c r="F25" i="64" s="1"/>
  <c r="L24" i="54"/>
  <c r="C23" i="55" s="1"/>
  <c r="L22" i="54"/>
  <c r="C21" i="55" s="1"/>
  <c r="L19" i="54"/>
  <c r="N19" i="54" s="1"/>
  <c r="F18" i="64" s="1"/>
  <c r="L34" i="54"/>
  <c r="C33" i="55" s="1"/>
  <c r="L28" i="54"/>
  <c r="C27" i="55" s="1"/>
  <c r="L23" i="54"/>
  <c r="N23" i="54" s="1"/>
  <c r="F22" i="64" s="1"/>
  <c r="L29" i="54"/>
  <c r="C28" i="55" s="1"/>
  <c r="I6" i="54"/>
  <c r="B27" i="55"/>
  <c r="B28" i="55"/>
  <c r="B32" i="55"/>
  <c r="B23" i="55"/>
  <c r="E8" i="54"/>
  <c r="K8" i="19"/>
  <c r="C9" i="54" s="1"/>
  <c r="F8" i="54" l="1"/>
  <c r="N17" i="54"/>
  <c r="F16" i="64" s="1"/>
  <c r="N33" i="54"/>
  <c r="F32" i="64" s="1"/>
  <c r="C22" i="55"/>
  <c r="C18" i="55"/>
  <c r="D18" i="55" s="1"/>
  <c r="N22" i="54"/>
  <c r="F21" i="64" s="1"/>
  <c r="N24" i="54"/>
  <c r="F23" i="64" s="1"/>
  <c r="N28" i="54"/>
  <c r="F27" i="64" s="1"/>
  <c r="N34" i="54"/>
  <c r="F33" i="64" s="1"/>
  <c r="L6" i="54"/>
  <c r="N29" i="54"/>
  <c r="F28" i="64" s="1"/>
  <c r="I8" i="54"/>
  <c r="L8" i="54" s="1"/>
  <c r="B5" i="55"/>
  <c r="B6" i="55"/>
  <c r="D15" i="55"/>
  <c r="D30" i="55"/>
  <c r="D31" i="55"/>
  <c r="D17" i="55"/>
  <c r="D29" i="55"/>
  <c r="D13" i="55"/>
  <c r="D24" i="55"/>
  <c r="D20" i="55"/>
  <c r="D14" i="55"/>
  <c r="D16" i="55"/>
  <c r="D26" i="55"/>
  <c r="D33" i="55"/>
  <c r="D25" i="55"/>
  <c r="C10" i="54"/>
  <c r="D32" i="55"/>
  <c r="D28" i="55"/>
  <c r="D27" i="55"/>
  <c r="AC8" i="19"/>
  <c r="E9" i="54"/>
  <c r="D19" i="55"/>
  <c r="G27" i="55" l="1"/>
  <c r="H27" i="64" s="1"/>
  <c r="G30" i="55"/>
  <c r="H30" i="64" s="1"/>
  <c r="G14" i="55"/>
  <c r="H14" i="64" s="1"/>
  <c r="G29" i="55"/>
  <c r="H29" i="64" s="1"/>
  <c r="G15" i="55"/>
  <c r="H15" i="64" s="1"/>
  <c r="G28" i="55"/>
  <c r="H28" i="64" s="1"/>
  <c r="G32" i="55"/>
  <c r="H32" i="64" s="1"/>
  <c r="G18" i="55"/>
  <c r="H18" i="64" s="1"/>
  <c r="G13" i="55"/>
  <c r="H13" i="64" s="1"/>
  <c r="G19" i="55"/>
  <c r="H19" i="64" s="1"/>
  <c r="G17" i="55"/>
  <c r="H17" i="64" s="1"/>
  <c r="G16" i="55"/>
  <c r="H16" i="64" s="1"/>
  <c r="G20" i="55"/>
  <c r="H20" i="64" s="1"/>
  <c r="G24" i="55"/>
  <c r="H24" i="64" s="1"/>
  <c r="G25" i="55"/>
  <c r="H25" i="64" s="1"/>
  <c r="G33" i="55"/>
  <c r="H33" i="64" s="1"/>
  <c r="G26" i="55"/>
  <c r="H26" i="64" s="1"/>
  <c r="G31" i="55"/>
  <c r="H31" i="64" s="1"/>
  <c r="F9" i="54"/>
  <c r="C5" i="55"/>
  <c r="N6" i="54"/>
  <c r="F5" i="64" s="1"/>
  <c r="C7" i="55"/>
  <c r="N7" i="54"/>
  <c r="F6" i="64" s="1"/>
  <c r="I9" i="54"/>
  <c r="B7" i="55"/>
  <c r="D22" i="55"/>
  <c r="D21" i="55"/>
  <c r="D23" i="55"/>
  <c r="AC9" i="19"/>
  <c r="E10" i="54"/>
  <c r="K10" i="19"/>
  <c r="C11" i="54" s="1"/>
  <c r="G23" i="55" l="1"/>
  <c r="H23" i="64" s="1"/>
  <c r="G21" i="55"/>
  <c r="H21" i="64" s="1"/>
  <c r="G22" i="55"/>
  <c r="H22" i="64" s="1"/>
  <c r="F10" i="54"/>
  <c r="B9" i="55" s="1"/>
  <c r="E13" i="56"/>
  <c r="O30" i="57"/>
  <c r="O29" i="57"/>
  <c r="D16" i="56"/>
  <c r="F16" i="56" s="1"/>
  <c r="O26" i="57"/>
  <c r="M27" i="57"/>
  <c r="O17" i="57"/>
  <c r="O31" i="57"/>
  <c r="O13" i="57"/>
  <c r="M13" i="57"/>
  <c r="C6" i="55"/>
  <c r="D6" i="55" s="1"/>
  <c r="N8" i="54"/>
  <c r="F7" i="64" s="1"/>
  <c r="L9" i="54"/>
  <c r="N9" i="54" s="1"/>
  <c r="F8" i="64" s="1"/>
  <c r="I10" i="54"/>
  <c r="B8" i="55"/>
  <c r="D5" i="55"/>
  <c r="AC10" i="19"/>
  <c r="E11" i="54"/>
  <c r="O15" i="57"/>
  <c r="M15" i="57"/>
  <c r="K12" i="19"/>
  <c r="C13" i="54" s="1"/>
  <c r="K11" i="19"/>
  <c r="C12" i="54" s="1"/>
  <c r="M29" i="57"/>
  <c r="D7" i="55"/>
  <c r="P13" i="57" l="1"/>
  <c r="G7" i="55"/>
  <c r="G6" i="55"/>
  <c r="G5" i="55"/>
  <c r="I11" i="54"/>
  <c r="F11" i="54"/>
  <c r="D13" i="56"/>
  <c r="F13" i="56" s="1"/>
  <c r="H14" i="56" s="1"/>
  <c r="E30" i="56"/>
  <c r="M30" i="57"/>
  <c r="P30" i="57" s="1"/>
  <c r="O27" i="57"/>
  <c r="P27" i="57" s="1"/>
  <c r="M16" i="57"/>
  <c r="E16" i="56"/>
  <c r="O16" i="57"/>
  <c r="M28" i="57"/>
  <c r="O28" i="57"/>
  <c r="E27" i="56"/>
  <c r="D31" i="56"/>
  <c r="F31" i="56" s="1"/>
  <c r="H32" i="56" s="1"/>
  <c r="M21" i="57"/>
  <c r="M31" i="57"/>
  <c r="P31" i="57" s="1"/>
  <c r="M17" i="57"/>
  <c r="P17" i="57" s="1"/>
  <c r="O23" i="57"/>
  <c r="D17" i="56"/>
  <c r="F17" i="56" s="1"/>
  <c r="C8" i="55"/>
  <c r="L10" i="54"/>
  <c r="N10" i="54" s="1"/>
  <c r="F9" i="64" s="1"/>
  <c r="K34" i="19"/>
  <c r="M26" i="57"/>
  <c r="P26" i="57" s="1"/>
  <c r="D26" i="56"/>
  <c r="F26" i="56" s="1"/>
  <c r="O19" i="57"/>
  <c r="M19" i="57"/>
  <c r="P29" i="57"/>
  <c r="O20" i="57"/>
  <c r="M20" i="57"/>
  <c r="M14" i="57"/>
  <c r="O14" i="57"/>
  <c r="AC11" i="19"/>
  <c r="E12" i="54"/>
  <c r="I12" i="54" s="1"/>
  <c r="M25" i="57"/>
  <c r="O25" i="57"/>
  <c r="O32" i="57"/>
  <c r="M32" i="57"/>
  <c r="AC12" i="19"/>
  <c r="E13" i="54"/>
  <c r="P15" i="57"/>
  <c r="M24" i="57"/>
  <c r="O24" i="57"/>
  <c r="H17" i="56"/>
  <c r="O18" i="57"/>
  <c r="M18" i="57"/>
  <c r="M33" i="57"/>
  <c r="O33" i="57"/>
  <c r="E29" i="56"/>
  <c r="D29" i="56"/>
  <c r="F29" i="56" s="1"/>
  <c r="E15" i="56"/>
  <c r="D15" i="56"/>
  <c r="F15" i="56" s="1"/>
  <c r="D28" i="56"/>
  <c r="F28" i="56" s="1"/>
  <c r="E28" i="56"/>
  <c r="H5" i="64" l="1"/>
  <c r="M5" i="57"/>
  <c r="H6" i="64"/>
  <c r="M6" i="57"/>
  <c r="H7" i="64"/>
  <c r="M7" i="57"/>
  <c r="F13" i="54"/>
  <c r="B12" i="55" s="1"/>
  <c r="D30" i="56"/>
  <c r="F30" i="56" s="1"/>
  <c r="H31" i="56" s="1"/>
  <c r="I31" i="56" s="1"/>
  <c r="F12" i="54"/>
  <c r="P16" i="57"/>
  <c r="D27" i="56"/>
  <c r="F27" i="56" s="1"/>
  <c r="H28" i="56" s="1"/>
  <c r="I28" i="56" s="1"/>
  <c r="P28" i="57"/>
  <c r="O22" i="57"/>
  <c r="M23" i="57"/>
  <c r="P23" i="57" s="1"/>
  <c r="M22" i="57"/>
  <c r="E17" i="56"/>
  <c r="E31" i="56"/>
  <c r="E23" i="56"/>
  <c r="E21" i="56"/>
  <c r="O21" i="57"/>
  <c r="P21" i="57" s="1"/>
  <c r="O5" i="57"/>
  <c r="C9" i="55"/>
  <c r="D9" i="55" s="1"/>
  <c r="L11" i="54"/>
  <c r="N11" i="54" s="1"/>
  <c r="F10" i="64" s="1"/>
  <c r="I13" i="54"/>
  <c r="B10" i="55"/>
  <c r="E26" i="56"/>
  <c r="E33" i="56"/>
  <c r="D33" i="56"/>
  <c r="F33" i="56" s="1"/>
  <c r="E22" i="56"/>
  <c r="D22" i="56"/>
  <c r="F22" i="56" s="1"/>
  <c r="E32" i="56"/>
  <c r="D32" i="56"/>
  <c r="F32" i="56" s="1"/>
  <c r="P20" i="57"/>
  <c r="E19" i="56"/>
  <c r="D19" i="56"/>
  <c r="F19" i="56" s="1"/>
  <c r="P24" i="57"/>
  <c r="P32" i="57"/>
  <c r="H18" i="56"/>
  <c r="I17" i="56"/>
  <c r="P25" i="57"/>
  <c r="E14" i="56"/>
  <c r="D14" i="56"/>
  <c r="F14" i="56" s="1"/>
  <c r="H29" i="56"/>
  <c r="I29" i="56" s="1"/>
  <c r="D8" i="55"/>
  <c r="H30" i="56"/>
  <c r="E18" i="56"/>
  <c r="D18" i="56"/>
  <c r="F18" i="56" s="1"/>
  <c r="E24" i="56"/>
  <c r="D24" i="56"/>
  <c r="F24" i="56" s="1"/>
  <c r="H27" i="56"/>
  <c r="E20" i="56"/>
  <c r="D20" i="56"/>
  <c r="F20" i="56" s="1"/>
  <c r="P19" i="57"/>
  <c r="H16" i="56"/>
  <c r="I16" i="56" s="1"/>
  <c r="P33" i="57"/>
  <c r="P18" i="57"/>
  <c r="C35" i="54"/>
  <c r="E25" i="56"/>
  <c r="D25" i="56"/>
  <c r="F25" i="56" s="1"/>
  <c r="P14" i="57"/>
  <c r="G9" i="55" l="1"/>
  <c r="H9" i="64" s="1"/>
  <c r="G8" i="55"/>
  <c r="M8" i="57" s="1"/>
  <c r="P22" i="57"/>
  <c r="I27" i="56"/>
  <c r="I30" i="56"/>
  <c r="D21" i="56"/>
  <c r="F21" i="56" s="1"/>
  <c r="H22" i="56" s="1"/>
  <c r="I22" i="56" s="1"/>
  <c r="D23" i="56"/>
  <c r="F23" i="56" s="1"/>
  <c r="H24" i="56" s="1"/>
  <c r="I24" i="56" s="1"/>
  <c r="E7" i="56"/>
  <c r="O7" i="57"/>
  <c r="P7" i="57" s="1"/>
  <c r="P5" i="57"/>
  <c r="D5" i="56"/>
  <c r="F5" i="56" s="1"/>
  <c r="H6" i="56" s="1"/>
  <c r="E5" i="56"/>
  <c r="C10" i="55"/>
  <c r="D10" i="55" s="1"/>
  <c r="L13" i="54"/>
  <c r="C12" i="55" s="1"/>
  <c r="L12" i="54"/>
  <c r="C11" i="55" s="1"/>
  <c r="K35" i="54"/>
  <c r="B11" i="55"/>
  <c r="F35" i="54"/>
  <c r="I35" i="54"/>
  <c r="H20" i="56"/>
  <c r="I20" i="56" s="1"/>
  <c r="H33" i="56"/>
  <c r="I33" i="56" s="1"/>
  <c r="I32" i="56"/>
  <c r="H25" i="56"/>
  <c r="I25" i="56" s="1"/>
  <c r="H19" i="56"/>
  <c r="I19" i="56" s="1"/>
  <c r="I18" i="56"/>
  <c r="H23" i="56"/>
  <c r="H26" i="56"/>
  <c r="I26" i="56" s="1"/>
  <c r="H21" i="56"/>
  <c r="H15" i="56"/>
  <c r="I15" i="56" s="1"/>
  <c r="I14" i="56"/>
  <c r="O6" i="57"/>
  <c r="G10" i="55" l="1"/>
  <c r="H10" i="64" s="1"/>
  <c r="H8" i="64"/>
  <c r="I21" i="56"/>
  <c r="I23" i="56"/>
  <c r="D7" i="56"/>
  <c r="F7" i="56" s="1"/>
  <c r="H8" i="56" s="1"/>
  <c r="I5" i="56"/>
  <c r="N13" i="54"/>
  <c r="F12" i="64" s="1"/>
  <c r="C34" i="55"/>
  <c r="L35" i="54"/>
  <c r="N12" i="54"/>
  <c r="F11" i="64" s="1"/>
  <c r="P6" i="57"/>
  <c r="E6" i="56"/>
  <c r="D6" i="56"/>
  <c r="O8" i="57"/>
  <c r="C34" i="59" l="1" a="1"/>
  <c r="C34" i="59" s="1"/>
  <c r="N35" i="54"/>
  <c r="F34" i="64" s="1"/>
  <c r="D12" i="55"/>
  <c r="D8" i="56"/>
  <c r="F8" i="56" s="1"/>
  <c r="E8" i="56"/>
  <c r="D11" i="55"/>
  <c r="B34" i="55"/>
  <c r="P8" i="57"/>
  <c r="O9" i="57"/>
  <c r="M9" i="57"/>
  <c r="F6" i="56"/>
  <c r="H7" i="56" s="1"/>
  <c r="O10" i="57"/>
  <c r="M10" i="57"/>
  <c r="C5" i="59" l="1" a="1"/>
  <c r="C50" i="59" a="1"/>
  <c r="G11" i="55"/>
  <c r="H11" i="64" s="1"/>
  <c r="G12" i="55"/>
  <c r="D34" i="55"/>
  <c r="G34" i="55" s="1"/>
  <c r="I6" i="56"/>
  <c r="P9" i="57"/>
  <c r="E9" i="56"/>
  <c r="D9" i="56"/>
  <c r="I8" i="56"/>
  <c r="H9" i="56"/>
  <c r="E10" i="56"/>
  <c r="D10" i="56"/>
  <c r="F10" i="56" s="1"/>
  <c r="P10" i="57"/>
  <c r="D5" i="59" l="1"/>
  <c r="D6" i="60" s="1"/>
  <c r="Z5" i="59"/>
  <c r="G5" i="59"/>
  <c r="G6" i="60" s="1"/>
  <c r="P5" i="59"/>
  <c r="P6" i="60" s="1"/>
  <c r="M5" i="59"/>
  <c r="M6" i="60" s="1"/>
  <c r="X5" i="59"/>
  <c r="X6" i="60" s="1"/>
  <c r="W5" i="59"/>
  <c r="W6" i="60" s="1"/>
  <c r="O5" i="59"/>
  <c r="O6" i="60" s="1"/>
  <c r="AF5" i="59"/>
  <c r="AF6" i="60" s="1"/>
  <c r="V5" i="59"/>
  <c r="V6" i="60" s="1"/>
  <c r="L5" i="59"/>
  <c r="L6" i="60" s="1"/>
  <c r="H5" i="59"/>
  <c r="H6" i="60" s="1"/>
  <c r="E5" i="59"/>
  <c r="E6" i="60" s="1"/>
  <c r="J5" i="59"/>
  <c r="J6" i="60" s="1"/>
  <c r="AD5" i="59"/>
  <c r="AD6" i="60" s="1"/>
  <c r="U5" i="59"/>
  <c r="U6" i="60" s="1"/>
  <c r="Q5" i="59"/>
  <c r="Q6" i="60" s="1"/>
  <c r="N5" i="59"/>
  <c r="N6" i="60" s="1"/>
  <c r="AB5" i="59"/>
  <c r="AB6" i="60" s="1"/>
  <c r="C5" i="59"/>
  <c r="C6" i="60" s="1"/>
  <c r="R5" i="59"/>
  <c r="R6" i="60" s="1"/>
  <c r="Y5" i="59"/>
  <c r="Y6" i="60" s="1"/>
  <c r="I5" i="59"/>
  <c r="I6" i="60" s="1"/>
  <c r="F5" i="59"/>
  <c r="F6" i="60" s="1"/>
  <c r="AA5" i="59"/>
  <c r="AA6" i="60" s="1"/>
  <c r="S5" i="59"/>
  <c r="S6" i="60" s="1"/>
  <c r="AE5" i="59"/>
  <c r="AE6" i="60" s="1"/>
  <c r="T5" i="59"/>
  <c r="T6" i="60" s="1"/>
  <c r="AC5" i="59"/>
  <c r="AC6" i="60" s="1"/>
  <c r="K5" i="59"/>
  <c r="K6" i="60" s="1"/>
  <c r="D50" i="59"/>
  <c r="AA50" i="59"/>
  <c r="H50" i="59"/>
  <c r="E50" i="59"/>
  <c r="Z50" i="59"/>
  <c r="L50" i="59"/>
  <c r="AE50" i="59"/>
  <c r="C50" i="59"/>
  <c r="P50" i="59"/>
  <c r="AF50" i="59"/>
  <c r="W50" i="59"/>
  <c r="S50" i="59"/>
  <c r="Y50" i="59"/>
  <c r="K50" i="59"/>
  <c r="G50" i="59"/>
  <c r="AB50" i="59"/>
  <c r="O50" i="59"/>
  <c r="X50" i="59"/>
  <c r="M50" i="59"/>
  <c r="AD50" i="59"/>
  <c r="T50" i="59"/>
  <c r="V50" i="59"/>
  <c r="R50" i="59"/>
  <c r="N50" i="59"/>
  <c r="U50" i="59"/>
  <c r="F50" i="59"/>
  <c r="I50" i="59"/>
  <c r="J50" i="59"/>
  <c r="AC50" i="59"/>
  <c r="Q50" i="59"/>
  <c r="C6" i="59" a="1"/>
  <c r="H12" i="64"/>
  <c r="E12" i="56"/>
  <c r="Z6" i="60"/>
  <c r="O12" i="57"/>
  <c r="M12" i="57"/>
  <c r="I34" i="55"/>
  <c r="H11" i="56"/>
  <c r="F9" i="56"/>
  <c r="I7" i="56"/>
  <c r="B50" i="59" l="1"/>
  <c r="K14" i="60"/>
  <c r="O14" i="60"/>
  <c r="L14" i="60"/>
  <c r="H14" i="60"/>
  <c r="T14" i="60"/>
  <c r="W14" i="60"/>
  <c r="R14" i="60"/>
  <c r="Y14" i="60"/>
  <c r="N14" i="60"/>
  <c r="AE14" i="60"/>
  <c r="AA14" i="60"/>
  <c r="AD14" i="60"/>
  <c r="AB14" i="60"/>
  <c r="V14" i="60"/>
  <c r="U14" i="60"/>
  <c r="F14" i="60"/>
  <c r="D14" i="60"/>
  <c r="P14" i="60"/>
  <c r="S14" i="60"/>
  <c r="G14" i="60"/>
  <c r="AF14" i="60"/>
  <c r="X14" i="60"/>
  <c r="I14" i="60"/>
  <c r="E14" i="60"/>
  <c r="J14" i="60"/>
  <c r="Z14" i="60"/>
  <c r="M14" i="60"/>
  <c r="C14" i="60"/>
  <c r="AC14" i="60"/>
  <c r="Q14" i="60"/>
  <c r="C6" i="59"/>
  <c r="AF6" i="59"/>
  <c r="X6" i="59"/>
  <c r="L6" i="59"/>
  <c r="AC6" i="59"/>
  <c r="E6" i="59"/>
  <c r="AB6" i="59"/>
  <c r="H6" i="59"/>
  <c r="O6" i="59"/>
  <c r="D6" i="59"/>
  <c r="M6" i="59"/>
  <c r="Z6" i="59"/>
  <c r="AD6" i="59"/>
  <c r="P6" i="59"/>
  <c r="AA6" i="59"/>
  <c r="Q6" i="59"/>
  <c r="R6" i="59"/>
  <c r="N6" i="59"/>
  <c r="AE6" i="59"/>
  <c r="S6" i="59"/>
  <c r="J6" i="59"/>
  <c r="U6" i="59"/>
  <c r="W6" i="59"/>
  <c r="K6" i="59"/>
  <c r="Y6" i="59"/>
  <c r="V6" i="59"/>
  <c r="I6" i="59"/>
  <c r="T6" i="59"/>
  <c r="F6" i="59"/>
  <c r="G6" i="59"/>
  <c r="H34" i="64"/>
  <c r="D12" i="56"/>
  <c r="F12" i="56" s="1"/>
  <c r="H13" i="56" s="1"/>
  <c r="I13" i="56" s="1"/>
  <c r="B34" i="56"/>
  <c r="B5" i="59"/>
  <c r="B6" i="60"/>
  <c r="P12" i="57"/>
  <c r="M11" i="57"/>
  <c r="M34" i="57" s="1"/>
  <c r="C31" i="59" s="1" a="1"/>
  <c r="D11" i="56"/>
  <c r="O11" i="57"/>
  <c r="O34" i="57" s="1"/>
  <c r="C32" i="59" s="1" a="1"/>
  <c r="H10" i="56"/>
  <c r="I9" i="56"/>
  <c r="C32" i="59" l="1"/>
  <c r="I32" i="59"/>
  <c r="E32" i="59"/>
  <c r="AF32" i="59"/>
  <c r="AB32" i="59"/>
  <c r="Z32" i="59"/>
  <c r="P32" i="59"/>
  <c r="T32" i="59"/>
  <c r="N32" i="59"/>
  <c r="H32" i="59"/>
  <c r="D32" i="59"/>
  <c r="U32" i="59"/>
  <c r="AC32" i="59"/>
  <c r="Y32" i="59"/>
  <c r="AE32" i="59"/>
  <c r="Q32" i="59"/>
  <c r="R32" i="59"/>
  <c r="M32" i="59"/>
  <c r="S32" i="59"/>
  <c r="AA32" i="59"/>
  <c r="X32" i="59"/>
  <c r="G32" i="59"/>
  <c r="O32" i="59"/>
  <c r="F32" i="59"/>
  <c r="L32" i="59"/>
  <c r="V32" i="59"/>
  <c r="W32" i="59"/>
  <c r="AD32" i="59"/>
  <c r="K32" i="59"/>
  <c r="J32" i="59"/>
  <c r="AF31" i="59"/>
  <c r="U31" i="59"/>
  <c r="J31" i="59"/>
  <c r="T31" i="59"/>
  <c r="W31" i="59"/>
  <c r="N31" i="59"/>
  <c r="Z31" i="59"/>
  <c r="AB31" i="59"/>
  <c r="V31" i="59"/>
  <c r="O31" i="59"/>
  <c r="AE31" i="59"/>
  <c r="H31" i="59"/>
  <c r="K31" i="59"/>
  <c r="AA31" i="59"/>
  <c r="E31" i="59"/>
  <c r="L31" i="59"/>
  <c r="P31" i="59"/>
  <c r="AC31" i="59"/>
  <c r="X31" i="59"/>
  <c r="F31" i="59"/>
  <c r="Y31" i="59"/>
  <c r="C31" i="59"/>
  <c r="D31" i="59"/>
  <c r="Q31" i="59"/>
  <c r="R31" i="59"/>
  <c r="S31" i="59"/>
  <c r="AD31" i="59"/>
  <c r="M31" i="59"/>
  <c r="G31" i="59"/>
  <c r="I31" i="59"/>
  <c r="B14" i="60"/>
  <c r="B34" i="59"/>
  <c r="B6" i="59"/>
  <c r="E11" i="56"/>
  <c r="E34" i="56" s="1"/>
  <c r="P11" i="57"/>
  <c r="P34" i="57" s="1"/>
  <c r="D11" i="59"/>
  <c r="D7" i="60"/>
  <c r="D5" i="60" s="1"/>
  <c r="D4" i="60" s="1"/>
  <c r="D4" i="59"/>
  <c r="K7" i="60"/>
  <c r="K5" i="60" s="1"/>
  <c r="K4" i="60" s="1"/>
  <c r="K4" i="59"/>
  <c r="K11" i="59"/>
  <c r="E7" i="60"/>
  <c r="E5" i="60" s="1"/>
  <c r="E4" i="60" s="1"/>
  <c r="E11" i="59"/>
  <c r="E4" i="59"/>
  <c r="AF11" i="59"/>
  <c r="AF7" i="60"/>
  <c r="AF5" i="60" s="1"/>
  <c r="AF4" i="60" s="1"/>
  <c r="AF4" i="59"/>
  <c r="S7" i="60"/>
  <c r="S5" i="60" s="1"/>
  <c r="S4" i="60" s="1"/>
  <c r="S11" i="59"/>
  <c r="S4" i="59"/>
  <c r="AE7" i="60"/>
  <c r="AE5" i="60" s="1"/>
  <c r="AE4" i="60" s="1"/>
  <c r="AE11" i="59"/>
  <c r="AE4" i="59"/>
  <c r="T11" i="59"/>
  <c r="T7" i="60"/>
  <c r="T5" i="60" s="1"/>
  <c r="T4" i="60" s="1"/>
  <c r="T4" i="59"/>
  <c r="AB7" i="60"/>
  <c r="AB5" i="60" s="1"/>
  <c r="AB4" i="60" s="1"/>
  <c r="AB11" i="59"/>
  <c r="AB4" i="59"/>
  <c r="O7" i="60"/>
  <c r="O5" i="60" s="1"/>
  <c r="O4" i="60" s="1"/>
  <c r="O11" i="59"/>
  <c r="O4" i="59"/>
  <c r="H11" i="59"/>
  <c r="H7" i="60"/>
  <c r="H5" i="60" s="1"/>
  <c r="H4" i="60" s="1"/>
  <c r="H4" i="59"/>
  <c r="F7" i="60"/>
  <c r="F5" i="60" s="1"/>
  <c r="F4" i="60" s="1"/>
  <c r="F11" i="59"/>
  <c r="F4" i="59"/>
  <c r="M11" i="59"/>
  <c r="M7" i="60"/>
  <c r="M5" i="60" s="1"/>
  <c r="M4" i="60" s="1"/>
  <c r="M4" i="59"/>
  <c r="V7" i="60"/>
  <c r="V5" i="60" s="1"/>
  <c r="V4" i="60" s="1"/>
  <c r="V11" i="59"/>
  <c r="V4" i="59"/>
  <c r="P11" i="59"/>
  <c r="P7" i="60"/>
  <c r="P5" i="60" s="1"/>
  <c r="P4" i="60" s="1"/>
  <c r="P4" i="59"/>
  <c r="Z7" i="60"/>
  <c r="Z5" i="60" s="1"/>
  <c r="Z4" i="60" s="1"/>
  <c r="Z11" i="59"/>
  <c r="Z4" i="59"/>
  <c r="AC7" i="60"/>
  <c r="AC5" i="60" s="1"/>
  <c r="AC4" i="60" s="1"/>
  <c r="AC11" i="59"/>
  <c r="AC4" i="59"/>
  <c r="L7" i="60"/>
  <c r="L5" i="60" s="1"/>
  <c r="L4" i="60" s="1"/>
  <c r="L11" i="59"/>
  <c r="L4" i="59"/>
  <c r="C11" i="59"/>
  <c r="C7" i="60"/>
  <c r="C4" i="59"/>
  <c r="J11" i="59"/>
  <c r="J4" i="59"/>
  <c r="J7" i="60"/>
  <c r="G7" i="60"/>
  <c r="G5" i="60" s="1"/>
  <c r="G4" i="60" s="1"/>
  <c r="G11" i="59"/>
  <c r="G4" i="59"/>
  <c r="Q11" i="59"/>
  <c r="Q7" i="60"/>
  <c r="Q5" i="60" s="1"/>
  <c r="Q4" i="60" s="1"/>
  <c r="Q4" i="59"/>
  <c r="R7" i="60"/>
  <c r="R5" i="60" s="1"/>
  <c r="R4" i="60" s="1"/>
  <c r="R11" i="59"/>
  <c r="R4" i="59"/>
  <c r="U7" i="60"/>
  <c r="U5" i="60" s="1"/>
  <c r="U4" i="60" s="1"/>
  <c r="U11" i="59"/>
  <c r="U4" i="59"/>
  <c r="AA11" i="59"/>
  <c r="AA7" i="60"/>
  <c r="AA5" i="60" s="1"/>
  <c r="AA4" i="60" s="1"/>
  <c r="AA4" i="59"/>
  <c r="X7" i="60"/>
  <c r="X5" i="60" s="1"/>
  <c r="X4" i="60" s="1"/>
  <c r="X11" i="59"/>
  <c r="X4" i="59"/>
  <c r="N11" i="59"/>
  <c r="N7" i="60"/>
  <c r="N5" i="60" s="1"/>
  <c r="N4" i="60" s="1"/>
  <c r="N4" i="59"/>
  <c r="I11" i="59"/>
  <c r="I7" i="60"/>
  <c r="I5" i="60" s="1"/>
  <c r="I4" i="60" s="1"/>
  <c r="I4" i="59"/>
  <c r="W11" i="59"/>
  <c r="W7" i="60"/>
  <c r="W5" i="60" s="1"/>
  <c r="W4" i="60" s="1"/>
  <c r="W4" i="59"/>
  <c r="Y7" i="60"/>
  <c r="Y5" i="60" s="1"/>
  <c r="Y4" i="60" s="1"/>
  <c r="Y11" i="59"/>
  <c r="Y4" i="59"/>
  <c r="AD11" i="59"/>
  <c r="AD7" i="60"/>
  <c r="AD5" i="60" s="1"/>
  <c r="AD4" i="60" s="1"/>
  <c r="AD4" i="59"/>
  <c r="F11" i="56"/>
  <c r="D34" i="56"/>
  <c r="I10" i="56"/>
  <c r="B4" i="59" l="1"/>
  <c r="B11" i="59"/>
  <c r="C5" i="60"/>
  <c r="B7" i="60"/>
  <c r="X9" i="59"/>
  <c r="X10" i="59"/>
  <c r="AC10" i="59"/>
  <c r="AC9" i="59"/>
  <c r="AD10" i="59"/>
  <c r="AD9" i="59"/>
  <c r="W9" i="59"/>
  <c r="W10" i="59"/>
  <c r="N10" i="59"/>
  <c r="N9" i="59"/>
  <c r="R10" i="59"/>
  <c r="R9" i="59"/>
  <c r="L9" i="59"/>
  <c r="L10" i="59"/>
  <c r="V9" i="59"/>
  <c r="V10" i="59"/>
  <c r="AB10" i="59"/>
  <c r="AB9" i="59"/>
  <c r="S10" i="59"/>
  <c r="S9" i="59"/>
  <c r="D9" i="59"/>
  <c r="D10" i="59"/>
  <c r="Q10" i="59"/>
  <c r="Q9" i="59"/>
  <c r="U9" i="59"/>
  <c r="U10" i="59"/>
  <c r="J5" i="60"/>
  <c r="C9" i="59"/>
  <c r="C10" i="59"/>
  <c r="C4" i="60"/>
  <c r="P9" i="59"/>
  <c r="P10" i="59"/>
  <c r="H10" i="59"/>
  <c r="H9" i="59"/>
  <c r="O10" i="59"/>
  <c r="O9" i="59"/>
  <c r="AE9" i="59"/>
  <c r="AE10" i="59"/>
  <c r="Y10" i="59"/>
  <c r="Y9" i="59"/>
  <c r="I10" i="59"/>
  <c r="I9" i="59"/>
  <c r="AA10" i="59"/>
  <c r="AA9" i="59"/>
  <c r="G10" i="59"/>
  <c r="G9" i="59"/>
  <c r="J9" i="59"/>
  <c r="J10" i="59"/>
  <c r="Z10" i="59"/>
  <c r="Z9" i="59"/>
  <c r="F10" i="59"/>
  <c r="F9" i="59"/>
  <c r="T10" i="59"/>
  <c r="T9" i="59"/>
  <c r="E9" i="59"/>
  <c r="E10" i="59"/>
  <c r="K10" i="59"/>
  <c r="K9" i="59"/>
  <c r="M10" i="59"/>
  <c r="M9" i="59"/>
  <c r="AF9" i="59"/>
  <c r="AF10" i="59"/>
  <c r="H12" i="56"/>
  <c r="I11" i="56"/>
  <c r="F34" i="56"/>
  <c r="AA28" i="59" l="1"/>
  <c r="AA12" i="60" s="1"/>
  <c r="M28" i="59"/>
  <c r="M12" i="60" s="1"/>
  <c r="AF28" i="59"/>
  <c r="AF12" i="60" s="1"/>
  <c r="Z28" i="59"/>
  <c r="Z12" i="60" s="1"/>
  <c r="Y28" i="59"/>
  <c r="Y12" i="60" s="1"/>
  <c r="F28" i="59"/>
  <c r="F12" i="60" s="1"/>
  <c r="AD28" i="59"/>
  <c r="AD12" i="60" s="1"/>
  <c r="B31" i="59"/>
  <c r="B9" i="59"/>
  <c r="B10" i="59"/>
  <c r="B32" i="59"/>
  <c r="J28" i="59"/>
  <c r="J12" i="60" s="1"/>
  <c r="G28" i="59"/>
  <c r="G12" i="60" s="1"/>
  <c r="U28" i="59"/>
  <c r="U12" i="60" s="1"/>
  <c r="K28" i="59"/>
  <c r="K12" i="60" s="1"/>
  <c r="E28" i="59"/>
  <c r="E12" i="60" s="1"/>
  <c r="R28" i="59"/>
  <c r="R12" i="60" s="1"/>
  <c r="O28" i="59"/>
  <c r="O12" i="60" s="1"/>
  <c r="AB28" i="59"/>
  <c r="AB12" i="60" s="1"/>
  <c r="I28" i="59"/>
  <c r="I12" i="60" s="1"/>
  <c r="S28" i="59"/>
  <c r="S12" i="60" s="1"/>
  <c r="T28" i="59"/>
  <c r="T12" i="60" s="1"/>
  <c r="AE28" i="59"/>
  <c r="AE12" i="60" s="1"/>
  <c r="V28" i="59"/>
  <c r="V12" i="60" s="1"/>
  <c r="P28" i="59"/>
  <c r="P12" i="60" s="1"/>
  <c r="X28" i="59"/>
  <c r="X12" i="60" s="1"/>
  <c r="Q28" i="59"/>
  <c r="Q12" i="60" s="1"/>
  <c r="N28" i="59"/>
  <c r="N12" i="60" s="1"/>
  <c r="L28" i="59"/>
  <c r="L12" i="60" s="1"/>
  <c r="W28" i="59"/>
  <c r="W12" i="60" s="1"/>
  <c r="AC28" i="59"/>
  <c r="AC12" i="60" s="1"/>
  <c r="H28" i="59"/>
  <c r="H12" i="60" s="1"/>
  <c r="C28" i="59"/>
  <c r="D28" i="59"/>
  <c r="D12" i="60" s="1"/>
  <c r="J4" i="60"/>
  <c r="B5" i="60"/>
  <c r="I12" i="56"/>
  <c r="C12" i="59" s="1" a="1"/>
  <c r="H34" i="56"/>
  <c r="C12" i="59" l="1"/>
  <c r="L12" i="59"/>
  <c r="L8" i="59" s="1"/>
  <c r="E12" i="59"/>
  <c r="E8" i="59" s="1"/>
  <c r="V12" i="59"/>
  <c r="V8" i="59" s="1"/>
  <c r="Z12" i="59"/>
  <c r="Z8" i="59" s="1"/>
  <c r="AE12" i="59"/>
  <c r="AE8" i="59" s="1"/>
  <c r="W12" i="59"/>
  <c r="W8" i="59" s="1"/>
  <c r="AC12" i="59"/>
  <c r="AC8" i="59" s="1"/>
  <c r="M12" i="59"/>
  <c r="M8" i="59" s="1"/>
  <c r="S12" i="59"/>
  <c r="S8" i="59" s="1"/>
  <c r="AB12" i="59"/>
  <c r="AB8" i="59" s="1"/>
  <c r="T12" i="59"/>
  <c r="T8" i="59" s="1"/>
  <c r="X12" i="59"/>
  <c r="X8" i="59" s="1"/>
  <c r="G12" i="59"/>
  <c r="G8" i="59" s="1"/>
  <c r="P12" i="59"/>
  <c r="P8" i="59" s="1"/>
  <c r="AA12" i="59"/>
  <c r="AA8" i="59" s="1"/>
  <c r="Q12" i="59"/>
  <c r="Q8" i="59" s="1"/>
  <c r="N12" i="59"/>
  <c r="N8" i="59" s="1"/>
  <c r="Y12" i="59"/>
  <c r="Y8" i="59" s="1"/>
  <c r="D12" i="59"/>
  <c r="D8" i="59" s="1"/>
  <c r="AD12" i="59"/>
  <c r="AD8" i="59" s="1"/>
  <c r="I12" i="59"/>
  <c r="I8" i="59" s="1"/>
  <c r="K12" i="59"/>
  <c r="J12" i="59"/>
  <c r="J8" i="59" s="1"/>
  <c r="U12" i="59"/>
  <c r="U8" i="59" s="1"/>
  <c r="R12" i="59"/>
  <c r="R8" i="59" s="1"/>
  <c r="O12" i="59"/>
  <c r="O8" i="59" s="1"/>
  <c r="F12" i="59"/>
  <c r="F8" i="59" s="1"/>
  <c r="H12" i="59"/>
  <c r="H8" i="59" s="1"/>
  <c r="AF12" i="59"/>
  <c r="AF8" i="59" s="1"/>
  <c r="B4" i="60"/>
  <c r="B28" i="59"/>
  <c r="C12" i="60"/>
  <c r="B12" i="60" s="1"/>
  <c r="I34" i="56"/>
  <c r="C8" i="59" l="1"/>
  <c r="C14" i="59" s="1"/>
  <c r="B12" i="59"/>
  <c r="L14" i="59"/>
  <c r="L13" i="60"/>
  <c r="G13" i="60"/>
  <c r="G14" i="59"/>
  <c r="R13" i="60"/>
  <c r="R14" i="59"/>
  <c r="Q13" i="60"/>
  <c r="Q14" i="59"/>
  <c r="V13" i="60"/>
  <c r="V14" i="59"/>
  <c r="Y13" i="60"/>
  <c r="Y14" i="59"/>
  <c r="AA13" i="60"/>
  <c r="AA14" i="59"/>
  <c r="O13" i="60"/>
  <c r="O14" i="59"/>
  <c r="H13" i="60"/>
  <c r="H14" i="59"/>
  <c r="AE13" i="60"/>
  <c r="AE14" i="59"/>
  <c r="U13" i="60"/>
  <c r="U14" i="59"/>
  <c r="X13" i="60"/>
  <c r="X14" i="59"/>
  <c r="S13" i="60"/>
  <c r="S14" i="59"/>
  <c r="Z13" i="60"/>
  <c r="Z14" i="59"/>
  <c r="AC13" i="60"/>
  <c r="AC14" i="59"/>
  <c r="J13" i="60"/>
  <c r="J14" i="59"/>
  <c r="W13" i="60"/>
  <c r="W14" i="59"/>
  <c r="T13" i="60"/>
  <c r="T14" i="59"/>
  <c r="AB13" i="60"/>
  <c r="AB14" i="59"/>
  <c r="F13" i="60"/>
  <c r="F14" i="59"/>
  <c r="M13" i="60"/>
  <c r="M14" i="59"/>
  <c r="D13" i="60"/>
  <c r="D14" i="59"/>
  <c r="P13" i="60"/>
  <c r="P14" i="59"/>
  <c r="I14" i="59"/>
  <c r="I13" i="60"/>
  <c r="E14" i="59"/>
  <c r="E13" i="60"/>
  <c r="AF13" i="60"/>
  <c r="AF14" i="59"/>
  <c r="N13" i="60"/>
  <c r="N14" i="59"/>
  <c r="AD13" i="60"/>
  <c r="AD14" i="59"/>
  <c r="K8" i="59"/>
  <c r="B8" i="59" l="1"/>
  <c r="C13" i="60"/>
  <c r="K13" i="60"/>
  <c r="K14" i="59"/>
  <c r="B13" i="60" l="1"/>
  <c r="B24" i="59"/>
  <c r="B14" i="59"/>
  <c r="C8" i="140" l="1"/>
  <c r="L6" i="19"/>
  <c r="AD6" i="19" l="1"/>
  <c r="AE6" i="19" s="1"/>
  <c r="B6" i="48"/>
  <c r="H6" i="48" s="1"/>
  <c r="S6" i="48" s="1"/>
  <c r="B6" i="42"/>
  <c r="C6" i="42" s="1"/>
  <c r="D8" i="140"/>
  <c r="D7" i="148" l="1"/>
  <c r="E7" i="148" s="1"/>
  <c r="C7" i="107"/>
  <c r="E7" i="107" s="1"/>
  <c r="D7" i="100"/>
  <c r="E7" i="100" s="1"/>
  <c r="D7" i="99"/>
  <c r="E7" i="99" s="1"/>
  <c r="D7" i="128"/>
  <c r="E7" i="128" s="1"/>
  <c r="D7" i="98"/>
  <c r="E7" i="98" s="1"/>
  <c r="D78" i="140"/>
  <c r="D43" i="140"/>
  <c r="B7" i="131"/>
  <c r="C6" i="48"/>
  <c r="B8" i="140"/>
  <c r="E8" i="140"/>
  <c r="K8" i="140" s="1"/>
  <c r="C7" i="131"/>
  <c r="D7" i="131" s="1"/>
  <c r="D6" i="42"/>
  <c r="F8" i="140" s="1"/>
  <c r="C7" i="140"/>
  <c r="L5" i="19"/>
  <c r="B5" i="48" s="1"/>
  <c r="H5" i="48" s="1"/>
  <c r="S5" i="48" s="1"/>
  <c r="C9" i="140"/>
  <c r="L7" i="19"/>
  <c r="B7" i="48" s="1"/>
  <c r="H7" i="48" s="1"/>
  <c r="S7" i="48" s="1"/>
  <c r="I6" i="48" l="1"/>
  <c r="T6" i="48" s="1"/>
  <c r="C6" i="57" s="1"/>
  <c r="AD7" i="19"/>
  <c r="AE7" i="19" s="1"/>
  <c r="B7" i="42"/>
  <c r="B7" i="112"/>
  <c r="D7" i="112" s="1"/>
  <c r="F7" i="112" s="1"/>
  <c r="E6" i="57" s="1"/>
  <c r="F7" i="107"/>
  <c r="B7" i="105" s="1"/>
  <c r="D7" i="105" s="1"/>
  <c r="D6" i="57" s="1"/>
  <c r="AD5" i="19"/>
  <c r="AE5" i="19" s="1"/>
  <c r="B5" i="42"/>
  <c r="C10" i="140"/>
  <c r="L8" i="19"/>
  <c r="B8" i="48" s="1"/>
  <c r="H8" i="48" s="1"/>
  <c r="S8" i="48" s="1"/>
  <c r="I7" i="131"/>
  <c r="E7" i="131"/>
  <c r="G7" i="131" s="1"/>
  <c r="D42" i="140" l="1"/>
  <c r="D77" i="140"/>
  <c r="D44" i="140"/>
  <c r="D79" i="140"/>
  <c r="AD8" i="19"/>
  <c r="AE8" i="19" s="1"/>
  <c r="B8" i="42"/>
  <c r="B9" i="140"/>
  <c r="C7" i="42"/>
  <c r="B8" i="131"/>
  <c r="B6" i="131"/>
  <c r="C5" i="42"/>
  <c r="B7" i="140"/>
  <c r="B9" i="48"/>
  <c r="H9" i="48" s="1"/>
  <c r="S9" i="48" s="1"/>
  <c r="C11" i="140"/>
  <c r="D7" i="140"/>
  <c r="D9" i="140"/>
  <c r="D8" i="148" l="1"/>
  <c r="E8" i="148" s="1"/>
  <c r="C8" i="107"/>
  <c r="E8" i="107" s="1"/>
  <c r="D8" i="100"/>
  <c r="E8" i="100" s="1"/>
  <c r="D8" i="99"/>
  <c r="E8" i="99" s="1"/>
  <c r="D8" i="128"/>
  <c r="E8" i="128" s="1"/>
  <c r="D8" i="98"/>
  <c r="E8" i="98" s="1"/>
  <c r="D6" i="148"/>
  <c r="C6" i="107"/>
  <c r="E6" i="107" s="1"/>
  <c r="D6" i="100"/>
  <c r="D6" i="99"/>
  <c r="D6" i="128"/>
  <c r="D6" i="98"/>
  <c r="D45" i="140"/>
  <c r="D80" i="140"/>
  <c r="C6" i="131"/>
  <c r="D6" i="131" s="1"/>
  <c r="D5" i="42"/>
  <c r="F7" i="140" s="1"/>
  <c r="E7" i="140"/>
  <c r="K7" i="140" s="1"/>
  <c r="AD9" i="19"/>
  <c r="AE9" i="19" s="1"/>
  <c r="B9" i="42"/>
  <c r="C8" i="131"/>
  <c r="D8" i="131" s="1"/>
  <c r="E9" i="140"/>
  <c r="K9" i="140" s="1"/>
  <c r="D7" i="42"/>
  <c r="F9" i="140" s="1"/>
  <c r="D10" i="140"/>
  <c r="C5" i="48"/>
  <c r="I5" i="48" s="1"/>
  <c r="T5" i="48" s="1"/>
  <c r="C12" i="140"/>
  <c r="L10" i="19"/>
  <c r="B10" i="48" s="1"/>
  <c r="H10" i="48" s="1"/>
  <c r="S10" i="48" s="1"/>
  <c r="C7" i="48"/>
  <c r="B10" i="140"/>
  <c r="B9" i="131"/>
  <c r="C8" i="42"/>
  <c r="D9" i="148" l="1"/>
  <c r="E9" i="148" s="1"/>
  <c r="C9" i="107"/>
  <c r="E9" i="107" s="1"/>
  <c r="D9" i="100"/>
  <c r="E9" i="100" s="1"/>
  <c r="D9" i="99"/>
  <c r="E9" i="99" s="1"/>
  <c r="D9" i="128"/>
  <c r="E9" i="128" s="1"/>
  <c r="D9" i="98"/>
  <c r="E9" i="98" s="1"/>
  <c r="I7" i="48"/>
  <c r="T7" i="48" s="1"/>
  <c r="C7" i="57" s="1"/>
  <c r="D46" i="140"/>
  <c r="D81" i="140"/>
  <c r="C13" i="140"/>
  <c r="L11" i="19"/>
  <c r="B11" i="48" s="1"/>
  <c r="H11" i="48" s="1"/>
  <c r="S11" i="48" s="1"/>
  <c r="E6" i="148"/>
  <c r="AD10" i="19"/>
  <c r="AE10" i="19" s="1"/>
  <c r="B10" i="42"/>
  <c r="E6" i="99"/>
  <c r="E6" i="131"/>
  <c r="G6" i="131" s="1"/>
  <c r="I6" i="131"/>
  <c r="D11" i="140"/>
  <c r="E6" i="98"/>
  <c r="D8" i="42"/>
  <c r="F10" i="140" s="1"/>
  <c r="E10" i="140"/>
  <c r="K10" i="140" s="1"/>
  <c r="C9" i="131"/>
  <c r="D9" i="131" s="1"/>
  <c r="B8" i="112"/>
  <c r="D8" i="112" s="1"/>
  <c r="F8" i="112" s="1"/>
  <c r="E7" i="57" s="1"/>
  <c r="F8" i="107"/>
  <c r="B8" i="105" s="1"/>
  <c r="D8" i="105" s="1"/>
  <c r="D7" i="57" s="1"/>
  <c r="E8" i="131"/>
  <c r="G8" i="131" s="1"/>
  <c r="I8" i="131"/>
  <c r="E6" i="100"/>
  <c r="C8" i="48"/>
  <c r="B10" i="131"/>
  <c r="B11" i="140"/>
  <c r="C9" i="42"/>
  <c r="B6" i="112"/>
  <c r="E6" i="128"/>
  <c r="D10" i="148" l="1"/>
  <c r="C10" i="107"/>
  <c r="E10" i="107" s="1"/>
  <c r="D10" i="100"/>
  <c r="D10" i="99"/>
  <c r="E10" i="99" s="1"/>
  <c r="D10" i="128"/>
  <c r="E10" i="128" s="1"/>
  <c r="D10" i="98"/>
  <c r="E10" i="98" s="1"/>
  <c r="I8" i="48"/>
  <c r="T8" i="48" s="1"/>
  <c r="C8" i="57" s="1"/>
  <c r="D47" i="140"/>
  <c r="D82" i="140"/>
  <c r="C5" i="57"/>
  <c r="C10" i="42"/>
  <c r="B12" i="140"/>
  <c r="B11" i="131"/>
  <c r="C14" i="140"/>
  <c r="L12" i="19"/>
  <c r="F6" i="107"/>
  <c r="B6" i="105" s="1"/>
  <c r="D12" i="140"/>
  <c r="B11" i="42"/>
  <c r="AD11" i="19"/>
  <c r="AE11" i="19" s="1"/>
  <c r="C9" i="48"/>
  <c r="I9" i="48" s="1"/>
  <c r="T9" i="48" s="1"/>
  <c r="D9" i="42"/>
  <c r="F11" i="140" s="1"/>
  <c r="C10" i="131"/>
  <c r="D10" i="131" s="1"/>
  <c r="E11" i="140"/>
  <c r="K11" i="140" s="1"/>
  <c r="E10" i="148"/>
  <c r="D6" i="112"/>
  <c r="F6" i="112" s="1"/>
  <c r="E9" i="131"/>
  <c r="G9" i="131" s="1"/>
  <c r="I9" i="131"/>
  <c r="F9" i="107"/>
  <c r="B9" i="105" s="1"/>
  <c r="D9" i="105" s="1"/>
  <c r="D8" i="57" s="1"/>
  <c r="B9" i="112"/>
  <c r="D9" i="112" s="1"/>
  <c r="F9" i="112" s="1"/>
  <c r="E8" i="57" s="1"/>
  <c r="D11" i="128" l="1"/>
  <c r="D11" i="98"/>
  <c r="D11" i="148"/>
  <c r="E11" i="148" s="1"/>
  <c r="C11" i="107"/>
  <c r="E11" i="107" s="1"/>
  <c r="D11" i="100"/>
  <c r="E11" i="100" s="1"/>
  <c r="D11" i="99"/>
  <c r="E11" i="99" s="1"/>
  <c r="D83" i="140"/>
  <c r="D48" i="140"/>
  <c r="L34" i="19"/>
  <c r="B12" i="48"/>
  <c r="H12" i="48" s="1"/>
  <c r="AD12" i="19"/>
  <c r="AE12" i="19" s="1"/>
  <c r="B12" i="42"/>
  <c r="E10" i="100"/>
  <c r="D13" i="140"/>
  <c r="D10" i="42"/>
  <c r="F12" i="140" s="1"/>
  <c r="E12" i="140"/>
  <c r="K12" i="140" s="1"/>
  <c r="E11" i="128"/>
  <c r="C11" i="131"/>
  <c r="D11" i="131" s="1"/>
  <c r="E5" i="57"/>
  <c r="B10" i="112"/>
  <c r="E10" i="131"/>
  <c r="G10" i="131" s="1"/>
  <c r="I10" i="131"/>
  <c r="B12" i="131"/>
  <c r="B13" i="140"/>
  <c r="C11" i="42"/>
  <c r="C10" i="48"/>
  <c r="D6" i="105"/>
  <c r="H34" i="48" l="1"/>
  <c r="S12" i="48"/>
  <c r="D12" i="128"/>
  <c r="E12" i="128" s="1"/>
  <c r="D12" i="98"/>
  <c r="E12" i="98" s="1"/>
  <c r="D12" i="148"/>
  <c r="E12" i="148" s="1"/>
  <c r="C12" i="107"/>
  <c r="E12" i="107" s="1"/>
  <c r="D12" i="100"/>
  <c r="E12" i="100" s="1"/>
  <c r="D12" i="99"/>
  <c r="E12" i="99" s="1"/>
  <c r="I10" i="48"/>
  <c r="T10" i="48" s="1"/>
  <c r="C10" i="57" s="1"/>
  <c r="D84" i="140"/>
  <c r="D49" i="140"/>
  <c r="D10" i="112"/>
  <c r="F10" i="112" s="1"/>
  <c r="E11" i="131"/>
  <c r="G11" i="131" s="1"/>
  <c r="I11" i="131"/>
  <c r="B11" i="112"/>
  <c r="D11" i="112" s="1"/>
  <c r="F11" i="112" s="1"/>
  <c r="E10" i="57" s="1"/>
  <c r="F11" i="107"/>
  <c r="B14" i="140"/>
  <c r="C12" i="42"/>
  <c r="B13" i="131"/>
  <c r="B34" i="48"/>
  <c r="F10" i="107"/>
  <c r="C9" i="57"/>
  <c r="D14" i="140"/>
  <c r="D5" i="57"/>
  <c r="E11" i="98"/>
  <c r="C11" i="48"/>
  <c r="D11" i="42"/>
  <c r="F13" i="140" s="1"/>
  <c r="E13" i="140"/>
  <c r="K13" i="140" s="1"/>
  <c r="C12" i="131"/>
  <c r="D12" i="131" s="1"/>
  <c r="D13" i="128" l="1"/>
  <c r="D13" i="98"/>
  <c r="E13" i="98" s="1"/>
  <c r="E35" i="98" s="1"/>
  <c r="D13" i="148"/>
  <c r="E13" i="148" s="1"/>
  <c r="E35" i="148" s="1"/>
  <c r="C13" i="107"/>
  <c r="E13" i="107" s="1"/>
  <c r="D13" i="100"/>
  <c r="E13" i="100" s="1"/>
  <c r="E35" i="100" s="1"/>
  <c r="D13" i="99"/>
  <c r="E13" i="99" s="1"/>
  <c r="E35" i="99" s="1"/>
  <c r="I11" i="48"/>
  <c r="T11" i="48" s="1"/>
  <c r="C11" i="57" s="1"/>
  <c r="E9" i="57"/>
  <c r="B12" i="112"/>
  <c r="E14" i="140"/>
  <c r="K14" i="140" s="1"/>
  <c r="D12" i="42"/>
  <c r="F14" i="140" s="1"/>
  <c r="C13" i="131"/>
  <c r="D13" i="131" s="1"/>
  <c r="B11" i="105"/>
  <c r="D11" i="105" s="1"/>
  <c r="D10" i="57" s="1"/>
  <c r="B10" i="105"/>
  <c r="E12" i="131"/>
  <c r="G12" i="131" s="1"/>
  <c r="I12" i="131"/>
  <c r="S34" i="48"/>
  <c r="C12" i="48"/>
  <c r="I12" i="48" l="1"/>
  <c r="D35" i="148"/>
  <c r="D35" i="100"/>
  <c r="D35" i="99"/>
  <c r="F12" i="107"/>
  <c r="E13" i="128"/>
  <c r="E35" i="128" s="1"/>
  <c r="D35" i="128"/>
  <c r="D12" i="112"/>
  <c r="F12" i="112" s="1"/>
  <c r="D10" i="105"/>
  <c r="E13" i="131"/>
  <c r="G13" i="131" s="1"/>
  <c r="I13" i="131"/>
  <c r="C34" i="48"/>
  <c r="F13" i="107"/>
  <c r="B13" i="112"/>
  <c r="D13" i="112" s="1"/>
  <c r="F13" i="112" s="1"/>
  <c r="E12" i="57" s="1"/>
  <c r="D35" i="98"/>
  <c r="I34" i="48" l="1"/>
  <c r="T12" i="48"/>
  <c r="B35" i="112"/>
  <c r="E11" i="57"/>
  <c r="C20" i="59" s="1" a="1"/>
  <c r="F35" i="112"/>
  <c r="E35" i="107"/>
  <c r="D9" i="57"/>
  <c r="B13" i="105"/>
  <c r="D13" i="105" s="1"/>
  <c r="D12" i="57" s="1"/>
  <c r="F35" i="107"/>
  <c r="B12" i="105"/>
  <c r="C20" i="59" l="1"/>
  <c r="I20" i="59"/>
  <c r="R20" i="59"/>
  <c r="W20" i="59"/>
  <c r="N20" i="59"/>
  <c r="AF20" i="59"/>
  <c r="AC20" i="59"/>
  <c r="T20" i="59"/>
  <c r="Q20" i="59"/>
  <c r="G20" i="59"/>
  <c r="AD20" i="59"/>
  <c r="F20" i="59"/>
  <c r="H20" i="59"/>
  <c r="E20" i="59"/>
  <c r="Z20" i="59"/>
  <c r="AB20" i="59"/>
  <c r="K20" i="59"/>
  <c r="L20" i="59"/>
  <c r="P20" i="59"/>
  <c r="U20" i="59"/>
  <c r="M20" i="59"/>
  <c r="V20" i="59"/>
  <c r="AE20" i="59"/>
  <c r="D20" i="59"/>
  <c r="Y20" i="59"/>
  <c r="AA20" i="59"/>
  <c r="J20" i="59"/>
  <c r="S20" i="59"/>
  <c r="X20" i="59"/>
  <c r="O20" i="59"/>
  <c r="C12" i="57"/>
  <c r="C18" i="59" s="1" a="1"/>
  <c r="T34" i="48"/>
  <c r="E34" i="57"/>
  <c r="D12" i="105"/>
  <c r="B35" i="105"/>
  <c r="C18" i="59" l="1"/>
  <c r="U18" i="59"/>
  <c r="Z18" i="59"/>
  <c r="AF18" i="59"/>
  <c r="Q18" i="59"/>
  <c r="T18" i="59"/>
  <c r="E18" i="59"/>
  <c r="H18" i="59"/>
  <c r="AB18" i="59"/>
  <c r="J18" i="59"/>
  <c r="W18" i="59"/>
  <c r="I18" i="59"/>
  <c r="Y18" i="59"/>
  <c r="AE18" i="59"/>
  <c r="P18" i="59"/>
  <c r="R18" i="59"/>
  <c r="M18" i="59"/>
  <c r="S18" i="59"/>
  <c r="D18" i="59"/>
  <c r="N18" i="59"/>
  <c r="G18" i="59"/>
  <c r="X18" i="59"/>
  <c r="AC18" i="59"/>
  <c r="K18" i="59"/>
  <c r="L18" i="59"/>
  <c r="AA18" i="59"/>
  <c r="V18" i="59"/>
  <c r="AD18" i="59"/>
  <c r="O18" i="59"/>
  <c r="F18" i="59"/>
  <c r="C34" i="57"/>
  <c r="B20" i="59"/>
  <c r="D11" i="57"/>
  <c r="B18" i="59" l="1"/>
  <c r="F17" i="61" l="1"/>
  <c r="F29" i="61"/>
  <c r="N28" i="61"/>
  <c r="N15" i="61"/>
  <c r="F32" i="61"/>
  <c r="F30" i="61"/>
  <c r="E16" i="61"/>
  <c r="F28" i="61"/>
  <c r="F16" i="61"/>
  <c r="L28" i="61"/>
  <c r="L26" i="61"/>
  <c r="F8" i="61"/>
  <c r="F14" i="61"/>
  <c r="F20" i="61"/>
  <c r="F26" i="61"/>
  <c r="N9" i="61"/>
  <c r="F12" i="61"/>
  <c r="L23" i="61"/>
  <c r="E15" i="61"/>
  <c r="F27" i="61"/>
  <c r="F15" i="61"/>
  <c r="L22" i="61"/>
  <c r="L32" i="61"/>
  <c r="L24" i="61"/>
  <c r="N30" i="61"/>
  <c r="N33" i="61"/>
  <c r="F18" i="61"/>
  <c r="E33" i="61"/>
  <c r="F9" i="61"/>
  <c r="F21" i="61"/>
  <c r="F33" i="61"/>
  <c r="N14" i="61"/>
  <c r="N21" i="61"/>
  <c r="F31" i="61"/>
  <c r="N25" i="61"/>
  <c r="E28" i="61"/>
  <c r="L21" i="61"/>
  <c r="L12" i="61"/>
  <c r="E12" i="61"/>
  <c r="F25" i="61"/>
  <c r="F13" i="61"/>
  <c r="G13" i="61" s="1"/>
  <c r="L11" i="61"/>
  <c r="L13" i="61"/>
  <c r="N34" i="61"/>
  <c r="N18" i="61"/>
  <c r="N31" i="61"/>
  <c r="N26" i="61"/>
  <c r="F24" i="61"/>
  <c r="L25" i="61"/>
  <c r="L10" i="61"/>
  <c r="L31" i="61"/>
  <c r="F10" i="61"/>
  <c r="F22" i="61"/>
  <c r="F34" i="61"/>
  <c r="N13" i="61"/>
  <c r="E6" i="61"/>
  <c r="N22" i="61"/>
  <c r="F6" i="61"/>
  <c r="G5" i="57" s="1"/>
  <c r="E31" i="61"/>
  <c r="L16" i="61"/>
  <c r="G15" i="57" s="1"/>
  <c r="E14" i="61"/>
  <c r="F23" i="61"/>
  <c r="F11" i="61"/>
  <c r="N24" i="61"/>
  <c r="N16" i="61"/>
  <c r="L34" i="61"/>
  <c r="L9" i="61"/>
  <c r="L27" i="61"/>
  <c r="L14" i="61"/>
  <c r="N12" i="61"/>
  <c r="N17" i="61"/>
  <c r="L7" i="61"/>
  <c r="N8" i="61"/>
  <c r="E21" i="61"/>
  <c r="E34" i="61"/>
  <c r="L15" i="61"/>
  <c r="L20" i="61"/>
  <c r="L33" i="61"/>
  <c r="F5" i="61"/>
  <c r="N10" i="61"/>
  <c r="N11" i="61"/>
  <c r="N23" i="61"/>
  <c r="N32" i="61"/>
  <c r="N27" i="61"/>
  <c r="F7" i="61"/>
  <c r="F19" i="61"/>
  <c r="L8" i="61"/>
  <c r="N29" i="61"/>
  <c r="O29" i="61" s="1"/>
  <c r="N20" i="61"/>
  <c r="N19" i="61"/>
  <c r="F15" i="83"/>
  <c r="N7" i="61"/>
  <c r="L19" i="61"/>
  <c r="L30" i="61"/>
  <c r="G29" i="57" s="1"/>
  <c r="L29" i="61"/>
  <c r="L18" i="61"/>
  <c r="E15" i="83"/>
  <c r="E4" i="61" s="1"/>
  <c r="L17" i="61"/>
  <c r="G7" i="57" l="1"/>
  <c r="P8" i="61"/>
  <c r="G23" i="61"/>
  <c r="G21" i="57"/>
  <c r="G13" i="57"/>
  <c r="G28" i="57"/>
  <c r="G32" i="57"/>
  <c r="G19" i="57"/>
  <c r="G17" i="57"/>
  <c r="G26" i="57"/>
  <c r="G30" i="57"/>
  <c r="G12" i="57"/>
  <c r="G16" i="57"/>
  <c r="G27" i="57"/>
  <c r="G14" i="57"/>
  <c r="G8" i="57"/>
  <c r="G23" i="57"/>
  <c r="H5" i="61"/>
  <c r="G4" i="57"/>
  <c r="G31" i="57"/>
  <c r="G11" i="57"/>
  <c r="G18" i="57"/>
  <c r="G20" i="57"/>
  <c r="G25" i="57"/>
  <c r="G33" i="57"/>
  <c r="G9" i="57"/>
  <c r="G10" i="57"/>
  <c r="G22" i="57"/>
  <c r="O16" i="61"/>
  <c r="G24" i="57"/>
  <c r="G6" i="57"/>
  <c r="AK6" i="19"/>
  <c r="G7" i="61"/>
  <c r="AH23" i="19"/>
  <c r="E24" i="61"/>
  <c r="AH21" i="19"/>
  <c r="E22" i="61"/>
  <c r="AK18" i="19"/>
  <c r="G19" i="61"/>
  <c r="AK9" i="19"/>
  <c r="G10" i="61"/>
  <c r="AH6" i="19"/>
  <c r="E7" i="61"/>
  <c r="AH24" i="19"/>
  <c r="E25" i="61"/>
  <c r="AK26" i="19"/>
  <c r="G27" i="61"/>
  <c r="AH10" i="19"/>
  <c r="E11" i="61"/>
  <c r="AK27" i="19"/>
  <c r="G28" i="61"/>
  <c r="AK25" i="19"/>
  <c r="G26" i="61"/>
  <c r="AK29" i="19"/>
  <c r="G30" i="61"/>
  <c r="AK31" i="19"/>
  <c r="G32" i="61"/>
  <c r="E8" i="61"/>
  <c r="AK23" i="19"/>
  <c r="G24" i="61"/>
  <c r="AK8" i="19"/>
  <c r="G9" i="61"/>
  <c r="E9" i="61"/>
  <c r="AH19" i="19"/>
  <c r="E20" i="61"/>
  <c r="E23" i="61"/>
  <c r="AH16" i="19"/>
  <c r="E17" i="61"/>
  <c r="AK10" i="19"/>
  <c r="G11" i="61"/>
  <c r="AH29" i="19"/>
  <c r="E30" i="61"/>
  <c r="AK20" i="19"/>
  <c r="G21" i="61"/>
  <c r="AK13" i="19"/>
  <c r="G14" i="61"/>
  <c r="AK7" i="19"/>
  <c r="G8" i="61"/>
  <c r="E10" i="61"/>
  <c r="E13" i="61"/>
  <c r="AK11" i="19"/>
  <c r="G12" i="61"/>
  <c r="AK28" i="19"/>
  <c r="G29" i="61"/>
  <c r="AK5" i="19"/>
  <c r="G6" i="61"/>
  <c r="AK32" i="19"/>
  <c r="G33" i="61"/>
  <c r="AK19" i="19"/>
  <c r="G20" i="61"/>
  <c r="AH17" i="19"/>
  <c r="E18" i="61"/>
  <c r="E26" i="61"/>
  <c r="E19" i="61"/>
  <c r="E27" i="61"/>
  <c r="E29" i="61"/>
  <c r="G22" i="61"/>
  <c r="E32" i="61"/>
  <c r="AK24" i="19"/>
  <c r="G25" i="61"/>
  <c r="AK30" i="19"/>
  <c r="G31" i="61"/>
  <c r="AK17" i="19"/>
  <c r="G18" i="61"/>
  <c r="AK14" i="19"/>
  <c r="G15" i="61"/>
  <c r="AK15" i="19"/>
  <c r="G16" i="61"/>
  <c r="G17" i="61"/>
  <c r="AK33" i="19"/>
  <c r="G34" i="61"/>
  <c r="H8" i="61"/>
  <c r="O26" i="61"/>
  <c r="O11" i="61"/>
  <c r="AK4" i="19"/>
  <c r="O19" i="61"/>
  <c r="P27" i="61"/>
  <c r="O34" i="61"/>
  <c r="P18" i="61"/>
  <c r="H32" i="61"/>
  <c r="AF45" i="153" s="1"/>
  <c r="AF43" i="153" s="1"/>
  <c r="AF20" i="153" s="1"/>
  <c r="P14" i="61"/>
  <c r="P33" i="61"/>
  <c r="H33" i="57"/>
  <c r="O33" i="61"/>
  <c r="AH7" i="19"/>
  <c r="P28" i="61"/>
  <c r="P17" i="61"/>
  <c r="O23" i="61"/>
  <c r="O25" i="61"/>
  <c r="H23" i="61"/>
  <c r="W45" i="153" s="1"/>
  <c r="P10" i="61"/>
  <c r="H16" i="61"/>
  <c r="P45" i="153" s="1"/>
  <c r="O31" i="61"/>
  <c r="H28" i="61"/>
  <c r="AB45" i="153" s="1"/>
  <c r="AB43" i="153" s="1"/>
  <c r="AB20" i="153" s="1"/>
  <c r="P29" i="61"/>
  <c r="P20" i="61"/>
  <c r="H15" i="61"/>
  <c r="O45" i="153" s="1"/>
  <c r="M8" i="61"/>
  <c r="P19" i="61"/>
  <c r="AK22" i="19"/>
  <c r="O27" i="61"/>
  <c r="H21" i="61"/>
  <c r="U45" i="153" s="1"/>
  <c r="H24" i="57"/>
  <c r="AH31" i="19"/>
  <c r="H6" i="57"/>
  <c r="O32" i="61"/>
  <c r="H25" i="61"/>
  <c r="Y45" i="153" s="1"/>
  <c r="H20" i="61"/>
  <c r="T45" i="153" s="1"/>
  <c r="O15" i="61"/>
  <c r="O20" i="61"/>
  <c r="P34" i="61"/>
  <c r="P26" i="61"/>
  <c r="O17" i="61"/>
  <c r="AH20" i="19"/>
  <c r="O22" i="61"/>
  <c r="H30" i="61"/>
  <c r="AD45" i="153" s="1"/>
  <c r="AD43" i="153" s="1"/>
  <c r="AD20" i="153" s="1"/>
  <c r="H20" i="57"/>
  <c r="E5" i="61"/>
  <c r="O10" i="61"/>
  <c r="O12" i="61"/>
  <c r="P25" i="61"/>
  <c r="P31" i="61"/>
  <c r="H33" i="61"/>
  <c r="AG45" i="153" s="1"/>
  <c r="AG43" i="153" s="1"/>
  <c r="AG20" i="153" s="1"/>
  <c r="M13" i="61"/>
  <c r="M15" i="61"/>
  <c r="H14" i="57"/>
  <c r="O8" i="61"/>
  <c r="H26" i="61"/>
  <c r="Z45" i="153" s="1"/>
  <c r="AH25" i="19"/>
  <c r="M12" i="61"/>
  <c r="O30" i="61"/>
  <c r="H10" i="57"/>
  <c r="M11" i="61"/>
  <c r="P11" i="61"/>
  <c r="P24" i="61"/>
  <c r="M30" i="61"/>
  <c r="H29" i="57"/>
  <c r="AH18" i="19"/>
  <c r="H19" i="61"/>
  <c r="S45" i="153" s="1"/>
  <c r="H6" i="61"/>
  <c r="F45" i="153" s="1"/>
  <c r="AH5" i="19"/>
  <c r="AK12" i="19"/>
  <c r="P32" i="61"/>
  <c r="O9" i="61"/>
  <c r="H18" i="57"/>
  <c r="M19" i="61"/>
  <c r="H7" i="57"/>
  <c r="H9" i="61"/>
  <c r="AH8" i="19"/>
  <c r="O14" i="61"/>
  <c r="O13" i="61"/>
  <c r="P22" i="61"/>
  <c r="H10" i="61"/>
  <c r="AH9" i="19"/>
  <c r="H13" i="61"/>
  <c r="M45" i="153" s="1"/>
  <c r="O7" i="61"/>
  <c r="AH33" i="19"/>
  <c r="H34" i="61"/>
  <c r="AH45" i="153" s="1"/>
  <c r="AH43" i="153" s="1"/>
  <c r="AH20" i="153" s="1"/>
  <c r="AH13" i="19"/>
  <c r="H14" i="61"/>
  <c r="N45" i="153" s="1"/>
  <c r="H32" i="57"/>
  <c r="M33" i="61"/>
  <c r="H13" i="57"/>
  <c r="M14" i="61"/>
  <c r="M16" i="61"/>
  <c r="O18" i="61"/>
  <c r="AH11" i="19"/>
  <c r="H12" i="61"/>
  <c r="L45" i="153" s="1"/>
  <c r="H27" i="61"/>
  <c r="AA45" i="153" s="1"/>
  <c r="AA43" i="153" s="1"/>
  <c r="AA20" i="153" s="1"/>
  <c r="AH26" i="19"/>
  <c r="G4" i="61"/>
  <c r="G5" i="61" s="1"/>
  <c r="F41" i="83"/>
  <c r="F44" i="83" s="1"/>
  <c r="M9" i="61"/>
  <c r="AH28" i="19"/>
  <c r="H29" i="61"/>
  <c r="AC45" i="153" s="1"/>
  <c r="AC43" i="153" s="1"/>
  <c r="AC20" i="153" s="1"/>
  <c r="P16" i="61"/>
  <c r="H15" i="57"/>
  <c r="O21" i="61"/>
  <c r="P7" i="61"/>
  <c r="M7" i="61"/>
  <c r="P9" i="61"/>
  <c r="H8" i="57"/>
  <c r="AK21" i="19"/>
  <c r="H22" i="61"/>
  <c r="V45" i="153" s="1"/>
  <c r="M29" i="61"/>
  <c r="Q29" i="61" s="1"/>
  <c r="H28" i="57"/>
  <c r="AH4" i="19"/>
  <c r="M20" i="61"/>
  <c r="H19" i="57"/>
  <c r="M27" i="61"/>
  <c r="H26" i="57"/>
  <c r="M34" i="61"/>
  <c r="AH30" i="19"/>
  <c r="H31" i="61"/>
  <c r="AE45" i="153" s="1"/>
  <c r="AE43" i="153" s="1"/>
  <c r="AE20" i="153" s="1"/>
  <c r="M17" i="61"/>
  <c r="H16" i="57"/>
  <c r="E41" i="83"/>
  <c r="E44" i="83" s="1"/>
  <c r="H17" i="57"/>
  <c r="M18" i="61"/>
  <c r="P30" i="61"/>
  <c r="P15" i="61"/>
  <c r="O24" i="61"/>
  <c r="H24" i="61"/>
  <c r="X45" i="153" s="1"/>
  <c r="AH15" i="19"/>
  <c r="AK16" i="19"/>
  <c r="M26" i="61"/>
  <c r="M21" i="61"/>
  <c r="M32" i="61"/>
  <c r="O28" i="61"/>
  <c r="M23" i="61"/>
  <c r="H23" i="57"/>
  <c r="M25" i="61"/>
  <c r="H11" i="61"/>
  <c r="H17" i="61"/>
  <c r="Q45" i="153" s="1"/>
  <c r="M22" i="61"/>
  <c r="H21" i="57"/>
  <c r="M31" i="61"/>
  <c r="H31" i="57"/>
  <c r="H9" i="57"/>
  <c r="P23" i="61"/>
  <c r="H22" i="57"/>
  <c r="P21" i="61"/>
  <c r="AH22" i="19"/>
  <c r="AH32" i="19"/>
  <c r="H25" i="57"/>
  <c r="M10" i="61"/>
  <c r="H27" i="57"/>
  <c r="AH12" i="19"/>
  <c r="AH14" i="19"/>
  <c r="AH27" i="19"/>
  <c r="M24" i="61"/>
  <c r="P12" i="61"/>
  <c r="H18" i="61"/>
  <c r="P13" i="61"/>
  <c r="H7" i="61"/>
  <c r="G45" i="153" s="1"/>
  <c r="M28" i="61"/>
  <c r="H30" i="57"/>
  <c r="H12" i="57"/>
  <c r="H11" i="57"/>
  <c r="C22" i="59" l="1" a="1"/>
  <c r="C23" i="59" a="1"/>
  <c r="Q11" i="61"/>
  <c r="D14" i="58"/>
  <c r="E10" i="118" a="1"/>
  <c r="E9" i="118" a="1"/>
  <c r="Q16" i="61"/>
  <c r="Q27" i="61"/>
  <c r="Q26" i="61"/>
  <c r="E20" i="118" a="1"/>
  <c r="E20" i="118" s="1"/>
  <c r="D27" i="58" s="1"/>
  <c r="AG32" i="125"/>
  <c r="AG30" i="125" s="1"/>
  <c r="AG6" i="125" s="1"/>
  <c r="Z43" i="153"/>
  <c r="Z20" i="153" s="1"/>
  <c r="L32" i="125"/>
  <c r="L30" i="125" s="1"/>
  <c r="L6" i="125" s="1"/>
  <c r="M43" i="153"/>
  <c r="M20" i="153" s="1"/>
  <c r="AD32" i="125"/>
  <c r="AD30" i="125" s="1"/>
  <c r="AD6" i="125" s="1"/>
  <c r="V32" i="125"/>
  <c r="V30" i="125" s="1"/>
  <c r="V6" i="125" s="1"/>
  <c r="W43" i="153"/>
  <c r="W20" i="153" s="1"/>
  <c r="E45" i="153"/>
  <c r="AI45" i="153"/>
  <c r="AI43" i="153" s="1"/>
  <c r="AI20" i="153" s="1"/>
  <c r="AJ45" i="153"/>
  <c r="AJ43" i="153" s="1"/>
  <c r="AJ20" i="153" s="1"/>
  <c r="AK45" i="153"/>
  <c r="AK43" i="153" s="1"/>
  <c r="AK20" i="153" s="1"/>
  <c r="AL45" i="153"/>
  <c r="AL43" i="153" s="1"/>
  <c r="AL20" i="153" s="1"/>
  <c r="AM45" i="153"/>
  <c r="AM43" i="153" s="1"/>
  <c r="AM20" i="153" s="1"/>
  <c r="K32" i="125"/>
  <c r="K30" i="125" s="1"/>
  <c r="K6" i="125" s="1"/>
  <c r="L43" i="153"/>
  <c r="L20" i="153" s="1"/>
  <c r="E32" i="125"/>
  <c r="N32" i="125"/>
  <c r="F48" i="153"/>
  <c r="E35" i="125" s="1"/>
  <c r="I45" i="153"/>
  <c r="F32" i="125"/>
  <c r="G48" i="153"/>
  <c r="F35" i="125" s="1"/>
  <c r="J45" i="153"/>
  <c r="Z32" i="125"/>
  <c r="Z30" i="125" s="1"/>
  <c r="Z6" i="125" s="1"/>
  <c r="R32" i="125"/>
  <c r="R30" i="125" s="1"/>
  <c r="R6" i="125" s="1"/>
  <c r="S43" i="153"/>
  <c r="S20" i="153" s="1"/>
  <c r="W32" i="125"/>
  <c r="W30" i="125" s="1"/>
  <c r="W6" i="125" s="1"/>
  <c r="X43" i="153"/>
  <c r="X20" i="153" s="1"/>
  <c r="AE32" i="125"/>
  <c r="AE30" i="125" s="1"/>
  <c r="AE6" i="125" s="1"/>
  <c r="M32" i="125"/>
  <c r="M30" i="125" s="1"/>
  <c r="M6" i="125" s="1"/>
  <c r="N43" i="153"/>
  <c r="N20" i="153" s="1"/>
  <c r="P32" i="125"/>
  <c r="P30" i="125" s="1"/>
  <c r="P6" i="125" s="1"/>
  <c r="Q43" i="153"/>
  <c r="Q20" i="153" s="1"/>
  <c r="AA32" i="125"/>
  <c r="AA30" i="125" s="1"/>
  <c r="AA6" i="125" s="1"/>
  <c r="T43" i="153"/>
  <c r="T20" i="153" s="1"/>
  <c r="S32" i="125"/>
  <c r="S30" i="125" s="1"/>
  <c r="S6" i="125" s="1"/>
  <c r="U43" i="153"/>
  <c r="U20" i="153" s="1"/>
  <c r="T32" i="125"/>
  <c r="T30" i="125" s="1"/>
  <c r="T6" i="125" s="1"/>
  <c r="AB32" i="125"/>
  <c r="AB30" i="125" s="1"/>
  <c r="AB6" i="125" s="1"/>
  <c r="R45" i="153"/>
  <c r="O48" i="153"/>
  <c r="N35" i="125" s="1"/>
  <c r="Q10" i="61"/>
  <c r="H48" i="153"/>
  <c r="G35" i="125" s="1"/>
  <c r="K45" i="153"/>
  <c r="AC32" i="125"/>
  <c r="AC30" i="125" s="1"/>
  <c r="AC6" i="125" s="1"/>
  <c r="U32" i="125"/>
  <c r="U30" i="125" s="1"/>
  <c r="U6" i="125" s="1"/>
  <c r="V43" i="153"/>
  <c r="V20" i="153" s="1"/>
  <c r="AF32" i="125"/>
  <c r="AF30" i="125" s="1"/>
  <c r="AF6" i="125" s="1"/>
  <c r="X32" i="125"/>
  <c r="X30" i="125" s="1"/>
  <c r="X6" i="125" s="1"/>
  <c r="Y43" i="153"/>
  <c r="Y20" i="153" s="1"/>
  <c r="O32" i="125"/>
  <c r="O30" i="125" s="1"/>
  <c r="O6" i="125" s="1"/>
  <c r="P43" i="153"/>
  <c r="P20" i="153" s="1"/>
  <c r="E48" i="153"/>
  <c r="D35" i="125" s="1"/>
  <c r="H45" i="153"/>
  <c r="Q12" i="61"/>
  <c r="Q20" i="61"/>
  <c r="Q34" i="61"/>
  <c r="Q13" i="61"/>
  <c r="Q19" i="61"/>
  <c r="Q23" i="61"/>
  <c r="D4" i="113"/>
  <c r="Q14" i="61"/>
  <c r="Q33" i="61"/>
  <c r="Q8" i="61"/>
  <c r="Q24" i="61"/>
  <c r="Q25" i="61"/>
  <c r="Q31" i="61"/>
  <c r="Q32" i="61"/>
  <c r="Q28" i="61"/>
  <c r="Q15" i="61"/>
  <c r="Q22" i="61"/>
  <c r="Q21" i="61"/>
  <c r="Q9" i="61"/>
  <c r="Q17" i="61"/>
  <c r="N35" i="61"/>
  <c r="H34" i="57"/>
  <c r="L35" i="61"/>
  <c r="Q7" i="61"/>
  <c r="Q30" i="61"/>
  <c r="G34" i="57"/>
  <c r="G35" i="61"/>
  <c r="F4" i="113"/>
  <c r="I6" i="61"/>
  <c r="I5" i="61"/>
  <c r="Q18" i="61"/>
  <c r="AC23" i="59" l="1"/>
  <c r="W23" i="59"/>
  <c r="AE23" i="59"/>
  <c r="S23" i="59"/>
  <c r="N23" i="59"/>
  <c r="J23" i="59"/>
  <c r="Z23" i="59"/>
  <c r="R23" i="59"/>
  <c r="V23" i="59"/>
  <c r="D23" i="59"/>
  <c r="G23" i="59"/>
  <c r="AD23" i="59"/>
  <c r="F23" i="59"/>
  <c r="C23" i="59"/>
  <c r="H23" i="59"/>
  <c r="L23" i="59"/>
  <c r="P23" i="59"/>
  <c r="T23" i="59"/>
  <c r="X23" i="59"/>
  <c r="AB23" i="59"/>
  <c r="K23" i="59"/>
  <c r="AF23" i="59"/>
  <c r="M23" i="59"/>
  <c r="E23" i="59"/>
  <c r="I23" i="59"/>
  <c r="Y23" i="59"/>
  <c r="Q23" i="59"/>
  <c r="AA23" i="59"/>
  <c r="U23" i="59"/>
  <c r="O23" i="59"/>
  <c r="C22" i="59"/>
  <c r="V22" i="59"/>
  <c r="AD22" i="59"/>
  <c r="AA22" i="59"/>
  <c r="N22" i="59"/>
  <c r="F22" i="59"/>
  <c r="U22" i="59"/>
  <c r="AC22" i="59"/>
  <c r="I22" i="59"/>
  <c r="Q22" i="59"/>
  <c r="D22" i="59"/>
  <c r="G22" i="59"/>
  <c r="J22" i="59"/>
  <c r="R22" i="59"/>
  <c r="AF22" i="59"/>
  <c r="E22" i="59"/>
  <c r="O22" i="59"/>
  <c r="T22" i="59"/>
  <c r="Z22" i="59"/>
  <c r="H22" i="59"/>
  <c r="L22" i="59"/>
  <c r="W22" i="59"/>
  <c r="M22" i="59"/>
  <c r="AB22" i="59"/>
  <c r="S22" i="59"/>
  <c r="K22" i="59"/>
  <c r="AE22" i="59"/>
  <c r="P22" i="59"/>
  <c r="Y22" i="59"/>
  <c r="X22" i="59"/>
  <c r="E34" i="118" a="1"/>
  <c r="E9" i="118"/>
  <c r="D15" i="58" s="1"/>
  <c r="AG9" i="118"/>
  <c r="AF15" i="58" s="1"/>
  <c r="N9" i="118"/>
  <c r="M15" i="58" s="1"/>
  <c r="AF9" i="118"/>
  <c r="AE15" i="58" s="1"/>
  <c r="S9" i="118"/>
  <c r="R15" i="58" s="1"/>
  <c r="W9" i="118"/>
  <c r="V15" i="58" s="1"/>
  <c r="J9" i="118"/>
  <c r="I15" i="58" s="1"/>
  <c r="R9" i="118"/>
  <c r="Q15" i="58" s="1"/>
  <c r="V9" i="118"/>
  <c r="U15" i="58" s="1"/>
  <c r="I9" i="118"/>
  <c r="H15" i="58" s="1"/>
  <c r="Q9" i="118"/>
  <c r="P15" i="58" s="1"/>
  <c r="F9" i="118"/>
  <c r="E15" i="58" s="1"/>
  <c r="P9" i="118"/>
  <c r="O15" i="58" s="1"/>
  <c r="H9" i="118"/>
  <c r="G15" i="58" s="1"/>
  <c r="AH9" i="118"/>
  <c r="AG15" i="58" s="1"/>
  <c r="G9" i="118"/>
  <c r="F15" i="58" s="1"/>
  <c r="AB9" i="118"/>
  <c r="AA15" i="58" s="1"/>
  <c r="X9" i="118"/>
  <c r="W15" i="58" s="1"/>
  <c r="T9" i="118"/>
  <c r="S15" i="58" s="1"/>
  <c r="AE9" i="118"/>
  <c r="AD15" i="58" s="1"/>
  <c r="L9" i="118"/>
  <c r="K15" i="58" s="1"/>
  <c r="O9" i="118"/>
  <c r="N15" i="58" s="1"/>
  <c r="AA9" i="118"/>
  <c r="Z15" i="58" s="1"/>
  <c r="AC9" i="118"/>
  <c r="AB15" i="58" s="1"/>
  <c r="K9" i="118"/>
  <c r="J15" i="58" s="1"/>
  <c r="U9" i="118"/>
  <c r="T15" i="58" s="1"/>
  <c r="Z9" i="118"/>
  <c r="Y15" i="58" s="1"/>
  <c r="AD9" i="118"/>
  <c r="AC15" i="58" s="1"/>
  <c r="Y9" i="118"/>
  <c r="X15" i="58" s="1"/>
  <c r="M9" i="118"/>
  <c r="L15" i="58" s="1"/>
  <c r="E10" i="118"/>
  <c r="D16" i="58" s="1"/>
  <c r="X10" i="118"/>
  <c r="W16" i="58" s="1"/>
  <c r="R10" i="118"/>
  <c r="Q16" i="58" s="1"/>
  <c r="N10" i="118"/>
  <c r="M16" i="58" s="1"/>
  <c r="U10" i="118"/>
  <c r="T16" i="58" s="1"/>
  <c r="Q10" i="118"/>
  <c r="P16" i="58" s="1"/>
  <c r="AF10" i="118"/>
  <c r="AE16" i="58" s="1"/>
  <c r="AE10" i="118"/>
  <c r="AD16" i="58" s="1"/>
  <c r="Y10" i="118"/>
  <c r="X16" i="58" s="1"/>
  <c r="K10" i="118"/>
  <c r="J16" i="58" s="1"/>
  <c r="V10" i="118"/>
  <c r="U16" i="58" s="1"/>
  <c r="AC10" i="118"/>
  <c r="AB16" i="58" s="1"/>
  <c r="H10" i="118"/>
  <c r="G16" i="58" s="1"/>
  <c r="AG10" i="118"/>
  <c r="AF16" i="58" s="1"/>
  <c r="F10" i="118"/>
  <c r="E16" i="58" s="1"/>
  <c r="M10" i="118"/>
  <c r="L16" i="58" s="1"/>
  <c r="P10" i="118"/>
  <c r="O16" i="58" s="1"/>
  <c r="W10" i="118"/>
  <c r="V16" i="58" s="1"/>
  <c r="AH10" i="118"/>
  <c r="AG16" i="58" s="1"/>
  <c r="G10" i="118"/>
  <c r="F16" i="58" s="1"/>
  <c r="AB10" i="118"/>
  <c r="AA16" i="58" s="1"/>
  <c r="I10" i="118"/>
  <c r="H16" i="58" s="1"/>
  <c r="Z10" i="118"/>
  <c r="Y16" i="58" s="1"/>
  <c r="T10" i="118"/>
  <c r="S16" i="58" s="1"/>
  <c r="L10" i="118"/>
  <c r="K16" i="58" s="1"/>
  <c r="AA10" i="118"/>
  <c r="Z16" i="58" s="1"/>
  <c r="J10" i="118"/>
  <c r="I16" i="58" s="1"/>
  <c r="S10" i="118"/>
  <c r="R16" i="58" s="1"/>
  <c r="AD10" i="118"/>
  <c r="AC16" i="58" s="1"/>
  <c r="O10" i="118"/>
  <c r="N16" i="58" s="1"/>
  <c r="AG20" i="118"/>
  <c r="AF27" i="58" s="1"/>
  <c r="U20" i="118"/>
  <c r="T27" i="58" s="1"/>
  <c r="V20" i="118"/>
  <c r="U27" i="58" s="1"/>
  <c r="AE20" i="118"/>
  <c r="AD27" i="58" s="1"/>
  <c r="H20" i="118"/>
  <c r="G27" i="58" s="1"/>
  <c r="O20" i="118"/>
  <c r="N27" i="58" s="1"/>
  <c r="F20" i="118"/>
  <c r="E27" i="58" s="1"/>
  <c r="AC20" i="118"/>
  <c r="AB27" i="58" s="1"/>
  <c r="K20" i="118"/>
  <c r="J27" i="58" s="1"/>
  <c r="P20" i="118"/>
  <c r="O27" i="58" s="1"/>
  <c r="AF20" i="118"/>
  <c r="AE27" i="58" s="1"/>
  <c r="X20" i="118"/>
  <c r="W27" i="58" s="1"/>
  <c r="M20" i="118"/>
  <c r="L27" i="58" s="1"/>
  <c r="L20" i="118"/>
  <c r="K27" i="58" s="1"/>
  <c r="J20" i="118"/>
  <c r="I27" i="58" s="1"/>
  <c r="O40" i="154"/>
  <c r="O21" i="154" s="1"/>
  <c r="N20" i="118"/>
  <c r="M27" i="58" s="1"/>
  <c r="Y20" i="118"/>
  <c r="X27" i="58" s="1"/>
  <c r="AA20" i="118"/>
  <c r="Z27" i="58" s="1"/>
  <c r="AD40" i="154"/>
  <c r="AD35" i="154" s="1"/>
  <c r="Z20" i="118"/>
  <c r="Y27" i="58" s="1"/>
  <c r="Q20" i="118"/>
  <c r="P27" i="58" s="1"/>
  <c r="I20" i="118"/>
  <c r="H27" i="58" s="1"/>
  <c r="AH20" i="118"/>
  <c r="AG27" i="58" s="1"/>
  <c r="AB20" i="118"/>
  <c r="AA27" i="58" s="1"/>
  <c r="T20" i="118"/>
  <c r="S27" i="58" s="1"/>
  <c r="G20" i="118"/>
  <c r="F27" i="58" s="1"/>
  <c r="AD20" i="118"/>
  <c r="AC27" i="58" s="1"/>
  <c r="W20" i="118"/>
  <c r="V27" i="58" s="1"/>
  <c r="R20" i="118"/>
  <c r="Q27" i="58" s="1"/>
  <c r="S20" i="118"/>
  <c r="R27" i="58" s="1"/>
  <c r="AB40" i="154"/>
  <c r="AB21" i="154" s="1"/>
  <c r="AE40" i="154"/>
  <c r="AE21" i="154" s="1"/>
  <c r="R40" i="154"/>
  <c r="R21" i="154" s="1"/>
  <c r="K40" i="154"/>
  <c r="K35" i="154" s="1"/>
  <c r="E40" i="154"/>
  <c r="E21" i="154" s="1"/>
  <c r="E59" i="154" s="1"/>
  <c r="J40" i="154"/>
  <c r="J21" i="154" s="1"/>
  <c r="N40" i="154"/>
  <c r="N21" i="154" s="1"/>
  <c r="Q40" i="154"/>
  <c r="Q21" i="154" s="1"/>
  <c r="I40" i="154"/>
  <c r="I35" i="154" s="1"/>
  <c r="F30" i="125"/>
  <c r="F6" i="125" s="1"/>
  <c r="S40" i="154"/>
  <c r="S21" i="154" s="1"/>
  <c r="G32" i="125"/>
  <c r="G30" i="125" s="1"/>
  <c r="G6" i="125" s="1"/>
  <c r="H43" i="153"/>
  <c r="H20" i="153" s="1"/>
  <c r="E30" i="125"/>
  <c r="E6" i="125" s="1"/>
  <c r="D32" i="125"/>
  <c r="D30" i="125" s="1"/>
  <c r="D6" i="125" s="1"/>
  <c r="E43" i="153"/>
  <c r="E20" i="153" s="1"/>
  <c r="G43" i="153"/>
  <c r="G20" i="153" s="1"/>
  <c r="J32" i="125"/>
  <c r="J30" i="125" s="1"/>
  <c r="J6" i="125" s="1"/>
  <c r="K43" i="153"/>
  <c r="K20" i="153" s="1"/>
  <c r="Q35" i="61"/>
  <c r="H32" i="125"/>
  <c r="H30" i="125" s="1"/>
  <c r="H6" i="125" s="1"/>
  <c r="I43" i="153"/>
  <c r="I20" i="153" s="1"/>
  <c r="O43" i="153"/>
  <c r="O20" i="153" s="1"/>
  <c r="V40" i="154"/>
  <c r="V21" i="154" s="1"/>
  <c r="R43" i="153"/>
  <c r="R20" i="153" s="1"/>
  <c r="Q32" i="125"/>
  <c r="Q30" i="125" s="1"/>
  <c r="Q6" i="125" s="1"/>
  <c r="Y32" i="125"/>
  <c r="Y30" i="125" s="1"/>
  <c r="Y6" i="125" s="1"/>
  <c r="N30" i="125"/>
  <c r="N6" i="125" s="1"/>
  <c r="I32" i="125"/>
  <c r="I30" i="125" s="1"/>
  <c r="I6" i="125" s="1"/>
  <c r="J43" i="153"/>
  <c r="J20" i="153" s="1"/>
  <c r="F43" i="153"/>
  <c r="F20" i="153" s="1"/>
  <c r="F40" i="154"/>
  <c r="F21" i="154" s="1"/>
  <c r="F59" i="154" s="1"/>
  <c r="P40" i="154"/>
  <c r="L40" i="154"/>
  <c r="B40" i="154"/>
  <c r="B21" i="154" s="1"/>
  <c r="B59" i="154" s="1"/>
  <c r="C40" i="154"/>
  <c r="C21" i="154" s="1"/>
  <c r="C59" i="154" s="1"/>
  <c r="G40" i="154"/>
  <c r="G21" i="154" s="1"/>
  <c r="G59" i="154" s="1"/>
  <c r="U61" i="153"/>
  <c r="Y61" i="153"/>
  <c r="I61" i="153"/>
  <c r="F39" i="154"/>
  <c r="R61" i="153"/>
  <c r="U40" i="154"/>
  <c r="H40" i="154"/>
  <c r="AD61" i="153"/>
  <c r="P61" i="153"/>
  <c r="Z61" i="153"/>
  <c r="AC61" i="153"/>
  <c r="AH61" i="153"/>
  <c r="N61" i="153"/>
  <c r="E39" i="154"/>
  <c r="H61" i="153"/>
  <c r="S61" i="153"/>
  <c r="O61" i="153"/>
  <c r="Z40" i="154"/>
  <c r="AA40" i="154"/>
  <c r="Y40" i="154"/>
  <c r="W61" i="153"/>
  <c r="AG61" i="153"/>
  <c r="D39" i="154"/>
  <c r="G61" i="153"/>
  <c r="M61" i="153"/>
  <c r="B39" i="154"/>
  <c r="E61" i="153"/>
  <c r="L61" i="153"/>
  <c r="T40" i="154"/>
  <c r="W40" i="154"/>
  <c r="AB61" i="153"/>
  <c r="Q61" i="153"/>
  <c r="V61" i="153"/>
  <c r="X61" i="153"/>
  <c r="AA61" i="153"/>
  <c r="F61" i="153"/>
  <c r="C39" i="154"/>
  <c r="T61" i="153"/>
  <c r="AF61" i="153"/>
  <c r="J61" i="153"/>
  <c r="G39" i="154"/>
  <c r="AE61" i="153"/>
  <c r="K61" i="153"/>
  <c r="AC40" i="154"/>
  <c r="D40" i="154"/>
  <c r="D21" i="154" s="1"/>
  <c r="D59" i="154" s="1"/>
  <c r="M40" i="154"/>
  <c r="X40" i="154"/>
  <c r="I7" i="61"/>
  <c r="E4" i="113"/>
  <c r="D5" i="113"/>
  <c r="E5" i="113" s="1"/>
  <c r="K4" i="113"/>
  <c r="I8" i="61"/>
  <c r="AB14" i="58"/>
  <c r="V14" i="58"/>
  <c r="I14" i="58"/>
  <c r="AE14" i="58"/>
  <c r="AC14" i="58"/>
  <c r="H14" i="58"/>
  <c r="W14" i="58"/>
  <c r="U14" i="58"/>
  <c r="AD14" i="58"/>
  <c r="N14" i="58"/>
  <c r="R14" i="58"/>
  <c r="L14" i="58"/>
  <c r="Z14" i="58"/>
  <c r="K14" i="58"/>
  <c r="J14" i="58"/>
  <c r="M14" i="58"/>
  <c r="T14" i="58"/>
  <c r="X14" i="58"/>
  <c r="Q14" i="58"/>
  <c r="O14" i="58"/>
  <c r="Y14" i="58"/>
  <c r="AA14" i="58"/>
  <c r="S14" i="58"/>
  <c r="AG14" i="58"/>
  <c r="P14" i="58"/>
  <c r="AF14" i="58"/>
  <c r="G4" i="113"/>
  <c r="J4" i="113" s="1"/>
  <c r="F5" i="113"/>
  <c r="AD21" i="154" l="1"/>
  <c r="C16" i="58"/>
  <c r="AE35" i="154"/>
  <c r="C15" i="58"/>
  <c r="E34" i="118"/>
  <c r="V34" i="118"/>
  <c r="U43" i="58" s="1"/>
  <c r="S34" i="118"/>
  <c r="R43" i="58" s="1"/>
  <c r="G34" i="118"/>
  <c r="F43" i="58" s="1"/>
  <c r="J34" i="118"/>
  <c r="I43" i="58" s="1"/>
  <c r="AD34" i="118"/>
  <c r="AC43" i="58" s="1"/>
  <c r="Y34" i="118"/>
  <c r="X43" i="58" s="1"/>
  <c r="Q34" i="118"/>
  <c r="P43" i="58" s="1"/>
  <c r="AH34" i="118"/>
  <c r="AG43" i="58" s="1"/>
  <c r="P34" i="118"/>
  <c r="O43" i="58" s="1"/>
  <c r="R34" i="118"/>
  <c r="Q43" i="58" s="1"/>
  <c r="M34" i="118"/>
  <c r="L43" i="58" s="1"/>
  <c r="T34" i="118"/>
  <c r="S43" i="58" s="1"/>
  <c r="AB34" i="118"/>
  <c r="AA43" i="58" s="1"/>
  <c r="N34" i="118"/>
  <c r="M43" i="58" s="1"/>
  <c r="F34" i="118"/>
  <c r="E43" i="58" s="1"/>
  <c r="U34" i="118"/>
  <c r="T43" i="58" s="1"/>
  <c r="AA34" i="118"/>
  <c r="Z43" i="58" s="1"/>
  <c r="AG34" i="118"/>
  <c r="AF43" i="58" s="1"/>
  <c r="AE34" i="118"/>
  <c r="AD43" i="58" s="1"/>
  <c r="O34" i="118"/>
  <c r="N43" i="58" s="1"/>
  <c r="L34" i="118"/>
  <c r="K43" i="58" s="1"/>
  <c r="H34" i="118"/>
  <c r="G43" i="58" s="1"/>
  <c r="X34" i="118"/>
  <c r="W43" i="58" s="1"/>
  <c r="I34" i="118"/>
  <c r="H43" i="58" s="1"/>
  <c r="AC34" i="118"/>
  <c r="AB43" i="58" s="1"/>
  <c r="W34" i="118"/>
  <c r="V43" i="58" s="1"/>
  <c r="K34" i="118"/>
  <c r="J43" i="58" s="1"/>
  <c r="AF34" i="118"/>
  <c r="AE43" i="58" s="1"/>
  <c r="Z34" i="118"/>
  <c r="Y43" i="58" s="1"/>
  <c r="O35" i="154"/>
  <c r="S35" i="154"/>
  <c r="R35" i="154"/>
  <c r="Q35" i="154"/>
  <c r="I21" i="154"/>
  <c r="I59" i="154" s="1"/>
  <c r="I54" i="154" s="1"/>
  <c r="I61" i="154" s="1"/>
  <c r="AB35" i="154"/>
  <c r="V35" i="154"/>
  <c r="N35" i="154"/>
  <c r="K21" i="154"/>
  <c r="K59" i="154" s="1"/>
  <c r="K54" i="154" s="1"/>
  <c r="K61" i="154" s="1"/>
  <c r="J35" i="154"/>
  <c r="B6" i="125"/>
  <c r="L4" i="113"/>
  <c r="M21" i="154"/>
  <c r="M35" i="154"/>
  <c r="AE48" i="125"/>
  <c r="AE37" i="125" s="1"/>
  <c r="AE7" i="125" s="1"/>
  <c r="AE8" i="125" s="1"/>
  <c r="AE9" i="125" s="1"/>
  <c r="AF50" i="153"/>
  <c r="AF21" i="153" s="1"/>
  <c r="AF22" i="153" s="1"/>
  <c r="W48" i="125"/>
  <c r="W37" i="125" s="1"/>
  <c r="W7" i="125" s="1"/>
  <c r="W8" i="125" s="1"/>
  <c r="W9" i="125" s="1"/>
  <c r="X50" i="153"/>
  <c r="X21" i="153" s="1"/>
  <c r="X22" i="153" s="1"/>
  <c r="R59" i="154"/>
  <c r="R54" i="154" s="1"/>
  <c r="R61" i="154" s="1"/>
  <c r="R16" i="154"/>
  <c r="R23" i="154" s="1"/>
  <c r="M48" i="125"/>
  <c r="M37" i="125" s="1"/>
  <c r="M7" i="125" s="1"/>
  <c r="M8" i="125" s="1"/>
  <c r="M9" i="125" s="1"/>
  <c r="N50" i="153"/>
  <c r="N21" i="153" s="1"/>
  <c r="N22" i="153" s="1"/>
  <c r="Q48" i="125"/>
  <c r="Q37" i="125" s="1"/>
  <c r="Q7" i="125" s="1"/>
  <c r="Q8" i="125" s="1"/>
  <c r="Q9" i="125" s="1"/>
  <c r="R50" i="153"/>
  <c r="R21" i="153" s="1"/>
  <c r="R22" i="153" s="1"/>
  <c r="AD48" i="125"/>
  <c r="AD37" i="125" s="1"/>
  <c r="AD7" i="125" s="1"/>
  <c r="AD8" i="125" s="1"/>
  <c r="AD9" i="125" s="1"/>
  <c r="AE50" i="153"/>
  <c r="AE21" i="153" s="1"/>
  <c r="AE22" i="153" s="1"/>
  <c r="AB50" i="153"/>
  <c r="AB21" i="153" s="1"/>
  <c r="AB22" i="153" s="1"/>
  <c r="AA48" i="125"/>
  <c r="AA37" i="125" s="1"/>
  <c r="AA7" i="125" s="1"/>
  <c r="AA8" i="125" s="1"/>
  <c r="AA9" i="125" s="1"/>
  <c r="AD59" i="154"/>
  <c r="AD54" i="154" s="1"/>
  <c r="AD61" i="154" s="1"/>
  <c r="AD16" i="154"/>
  <c r="AD23" i="154" s="1"/>
  <c r="AF48" i="125"/>
  <c r="AF37" i="125" s="1"/>
  <c r="AF7" i="125" s="1"/>
  <c r="AF8" i="125" s="1"/>
  <c r="AF9" i="125" s="1"/>
  <c r="AG50" i="153"/>
  <c r="AG21" i="153" s="1"/>
  <c r="AG22" i="153" s="1"/>
  <c r="Y21" i="154"/>
  <c r="Y35" i="154"/>
  <c r="R48" i="125"/>
  <c r="R37" i="125" s="1"/>
  <c r="R7" i="125" s="1"/>
  <c r="R8" i="125" s="1"/>
  <c r="R9" i="125" s="1"/>
  <c r="S50" i="153"/>
  <c r="S21" i="153" s="1"/>
  <c r="S22" i="153" s="1"/>
  <c r="Z50" i="153"/>
  <c r="Z21" i="153" s="1"/>
  <c r="Z22" i="153" s="1"/>
  <c r="Y48" i="125"/>
  <c r="Y37" i="125" s="1"/>
  <c r="Y7" i="125" s="1"/>
  <c r="Y8" i="125" s="1"/>
  <c r="Y9" i="125" s="1"/>
  <c r="T48" i="125"/>
  <c r="T37" i="125" s="1"/>
  <c r="T7" i="125" s="1"/>
  <c r="T8" i="125" s="1"/>
  <c r="T9" i="125" s="1"/>
  <c r="U50" i="153"/>
  <c r="U21" i="153" s="1"/>
  <c r="U22" i="153" s="1"/>
  <c r="AC21" i="154"/>
  <c r="AC35" i="154"/>
  <c r="K48" i="125"/>
  <c r="K37" i="125" s="1"/>
  <c r="K7" i="125" s="1"/>
  <c r="K8" i="125" s="1"/>
  <c r="K9" i="125" s="1"/>
  <c r="L50" i="153"/>
  <c r="L21" i="153" s="1"/>
  <c r="L22" i="153" s="1"/>
  <c r="L48" i="125"/>
  <c r="L37" i="125" s="1"/>
  <c r="L7" i="125" s="1"/>
  <c r="L8" i="125" s="1"/>
  <c r="L9" i="125" s="1"/>
  <c r="M50" i="153"/>
  <c r="M21" i="153" s="1"/>
  <c r="M22" i="153" s="1"/>
  <c r="O59" i="154"/>
  <c r="O54" i="154" s="1"/>
  <c r="O61" i="154" s="1"/>
  <c r="O16" i="154"/>
  <c r="O23" i="154" s="1"/>
  <c r="AB59" i="154"/>
  <c r="AB54" i="154" s="1"/>
  <c r="AB61" i="154" s="1"/>
  <c r="AB16" i="154"/>
  <c r="AB23" i="154" s="1"/>
  <c r="S48" i="125"/>
  <c r="S37" i="125" s="1"/>
  <c r="S7" i="125" s="1"/>
  <c r="S8" i="125" s="1"/>
  <c r="S9" i="125" s="1"/>
  <c r="T50" i="153"/>
  <c r="T21" i="153" s="1"/>
  <c r="T22" i="153" s="1"/>
  <c r="U48" i="125"/>
  <c r="U37" i="125" s="1"/>
  <c r="U7" i="125" s="1"/>
  <c r="U8" i="125" s="1"/>
  <c r="U9" i="125" s="1"/>
  <c r="V50" i="153"/>
  <c r="V21" i="153" s="1"/>
  <c r="V22" i="153" s="1"/>
  <c r="V59" i="154"/>
  <c r="V54" i="154" s="1"/>
  <c r="V61" i="154" s="1"/>
  <c r="V16" i="154"/>
  <c r="V23" i="154" s="1"/>
  <c r="AG48" i="125"/>
  <c r="AG37" i="125" s="1"/>
  <c r="AG7" i="125" s="1"/>
  <c r="AG8" i="125" s="1"/>
  <c r="AG9" i="125" s="1"/>
  <c r="AH50" i="153"/>
  <c r="AH21" i="153" s="1"/>
  <c r="AH22" i="153" s="1"/>
  <c r="F41" i="154"/>
  <c r="F22" i="154" s="1"/>
  <c r="F60" i="154" s="1"/>
  <c r="F20" i="154"/>
  <c r="G41" i="154"/>
  <c r="G22" i="154" s="1"/>
  <c r="G60" i="154" s="1"/>
  <c r="G20" i="154"/>
  <c r="Q59" i="154"/>
  <c r="Q54" i="154" s="1"/>
  <c r="Q61" i="154" s="1"/>
  <c r="Q16" i="154"/>
  <c r="Q23" i="154" s="1"/>
  <c r="W21" i="154"/>
  <c r="W35" i="154"/>
  <c r="AA21" i="154"/>
  <c r="AA35" i="154"/>
  <c r="G48" i="125"/>
  <c r="G37" i="125" s="1"/>
  <c r="G7" i="125" s="1"/>
  <c r="G8" i="125" s="1"/>
  <c r="G9" i="125" s="1"/>
  <c r="H50" i="153"/>
  <c r="H21" i="153" s="1"/>
  <c r="H22" i="153" s="1"/>
  <c r="N59" i="154"/>
  <c r="N54" i="154" s="1"/>
  <c r="N61" i="154" s="1"/>
  <c r="N16" i="154"/>
  <c r="N23" i="154" s="1"/>
  <c r="O48" i="125"/>
  <c r="O37" i="125" s="1"/>
  <c r="O7" i="125" s="1"/>
  <c r="O8" i="125" s="1"/>
  <c r="O9" i="125" s="1"/>
  <c r="P50" i="153"/>
  <c r="P21" i="153" s="1"/>
  <c r="P22" i="153" s="1"/>
  <c r="H21" i="154"/>
  <c r="H35" i="154"/>
  <c r="I50" i="153"/>
  <c r="I21" i="153" s="1"/>
  <c r="I22" i="153" s="1"/>
  <c r="H48" i="125"/>
  <c r="H37" i="125" s="1"/>
  <c r="H7" i="125" s="1"/>
  <c r="H8" i="125" s="1"/>
  <c r="H9" i="125" s="1"/>
  <c r="J50" i="153"/>
  <c r="J21" i="153" s="1"/>
  <c r="J22" i="153" s="1"/>
  <c r="I48" i="125"/>
  <c r="I37" i="125" s="1"/>
  <c r="I7" i="125" s="1"/>
  <c r="I8" i="125" s="1"/>
  <c r="I9" i="125" s="1"/>
  <c r="Z48" i="125"/>
  <c r="Z37" i="125" s="1"/>
  <c r="Z7" i="125" s="1"/>
  <c r="Z8" i="125" s="1"/>
  <c r="Z9" i="125" s="1"/>
  <c r="AA50" i="153"/>
  <c r="AA21" i="153" s="1"/>
  <c r="AA22" i="153" s="1"/>
  <c r="T21" i="154"/>
  <c r="T35" i="154"/>
  <c r="E50" i="153"/>
  <c r="E21" i="153" s="1"/>
  <c r="E22" i="153" s="1"/>
  <c r="D48" i="125"/>
  <c r="D37" i="125" s="1"/>
  <c r="D7" i="125" s="1"/>
  <c r="D8" i="125" s="1"/>
  <c r="F48" i="125"/>
  <c r="F37" i="125" s="1"/>
  <c r="F7" i="125" s="1"/>
  <c r="F8" i="125" s="1"/>
  <c r="F9" i="125" s="1"/>
  <c r="G50" i="153"/>
  <c r="G21" i="153" s="1"/>
  <c r="G22" i="153" s="1"/>
  <c r="Z21" i="154"/>
  <c r="Z35" i="154"/>
  <c r="E41" i="154"/>
  <c r="E22" i="154" s="1"/>
  <c r="E60" i="154" s="1"/>
  <c r="E20" i="154"/>
  <c r="U21" i="154"/>
  <c r="U35" i="154"/>
  <c r="J59" i="154"/>
  <c r="J54" i="154" s="1"/>
  <c r="J61" i="154" s="1"/>
  <c r="J16" i="154"/>
  <c r="J23" i="154" s="1"/>
  <c r="L21" i="154"/>
  <c r="L35" i="154"/>
  <c r="J48" i="125"/>
  <c r="J37" i="125" s="1"/>
  <c r="J7" i="125" s="1"/>
  <c r="J8" i="125" s="1"/>
  <c r="J9" i="125" s="1"/>
  <c r="K50" i="153"/>
  <c r="K21" i="153" s="1"/>
  <c r="K22" i="153" s="1"/>
  <c r="C41" i="154"/>
  <c r="C22" i="154" s="1"/>
  <c r="C60" i="154" s="1"/>
  <c r="C20" i="154"/>
  <c r="P48" i="125"/>
  <c r="P37" i="125" s="1"/>
  <c r="P7" i="125" s="1"/>
  <c r="P8" i="125" s="1"/>
  <c r="P9" i="125" s="1"/>
  <c r="Q50" i="153"/>
  <c r="Q21" i="153" s="1"/>
  <c r="Q22" i="153" s="1"/>
  <c r="B20" i="154"/>
  <c r="B16" i="154" s="1"/>
  <c r="B23" i="154" s="1"/>
  <c r="B41" i="154"/>
  <c r="B22" i="154" s="1"/>
  <c r="B60" i="154" s="1"/>
  <c r="D41" i="154"/>
  <c r="D22" i="154" s="1"/>
  <c r="D60" i="154" s="1"/>
  <c r="D20" i="154"/>
  <c r="V48" i="125"/>
  <c r="V37" i="125" s="1"/>
  <c r="V7" i="125" s="1"/>
  <c r="V8" i="125" s="1"/>
  <c r="V9" i="125" s="1"/>
  <c r="W50" i="153"/>
  <c r="W21" i="153" s="1"/>
  <c r="W22" i="153" s="1"/>
  <c r="N48" i="125"/>
  <c r="N37" i="125" s="1"/>
  <c r="N7" i="125" s="1"/>
  <c r="N8" i="125" s="1"/>
  <c r="N9" i="125" s="1"/>
  <c r="O50" i="153"/>
  <c r="O21" i="153" s="1"/>
  <c r="O22" i="153" s="1"/>
  <c r="AB48" i="125"/>
  <c r="AB37" i="125" s="1"/>
  <c r="AB7" i="125" s="1"/>
  <c r="AB8" i="125" s="1"/>
  <c r="AB9" i="125" s="1"/>
  <c r="AC50" i="153"/>
  <c r="AC21" i="153" s="1"/>
  <c r="AC22" i="153" s="1"/>
  <c r="X48" i="125"/>
  <c r="X37" i="125" s="1"/>
  <c r="X7" i="125" s="1"/>
  <c r="X8" i="125" s="1"/>
  <c r="X9" i="125" s="1"/>
  <c r="Y50" i="153"/>
  <c r="Y21" i="153" s="1"/>
  <c r="Y22" i="153" s="1"/>
  <c r="P21" i="154"/>
  <c r="P35" i="154"/>
  <c r="X21" i="154"/>
  <c r="X35" i="154"/>
  <c r="E48" i="125"/>
  <c r="E37" i="125" s="1"/>
  <c r="E7" i="125" s="1"/>
  <c r="E8" i="125" s="1"/>
  <c r="E9" i="125" s="1"/>
  <c r="F50" i="153"/>
  <c r="F21" i="153" s="1"/>
  <c r="F22" i="153" s="1"/>
  <c r="AE59" i="154"/>
  <c r="AE54" i="154" s="1"/>
  <c r="AE61" i="154" s="1"/>
  <c r="AE16" i="154"/>
  <c r="AE23" i="154" s="1"/>
  <c r="AC48" i="125"/>
  <c r="AC37" i="125" s="1"/>
  <c r="AC7" i="125" s="1"/>
  <c r="AC8" i="125" s="1"/>
  <c r="AC9" i="125" s="1"/>
  <c r="AD50" i="153"/>
  <c r="AD21" i="153" s="1"/>
  <c r="AD22" i="153" s="1"/>
  <c r="S59" i="154"/>
  <c r="S54" i="154" s="1"/>
  <c r="S61" i="154" s="1"/>
  <c r="S16" i="154"/>
  <c r="S23" i="154" s="1"/>
  <c r="D6" i="113"/>
  <c r="E6" i="113" s="1"/>
  <c r="I4" i="113"/>
  <c r="B23" i="59"/>
  <c r="L50" i="111"/>
  <c r="H50" i="111"/>
  <c r="AE50" i="111"/>
  <c r="AB50" i="111"/>
  <c r="AD50" i="111"/>
  <c r="K50" i="111"/>
  <c r="U50" i="111"/>
  <c r="G50" i="111"/>
  <c r="I50" i="111"/>
  <c r="J50" i="111"/>
  <c r="M50" i="111"/>
  <c r="O50" i="111"/>
  <c r="AF50" i="111"/>
  <c r="Y50" i="111"/>
  <c r="Q50" i="111"/>
  <c r="P50" i="111"/>
  <c r="AC50" i="111"/>
  <c r="R50" i="111"/>
  <c r="W50" i="111"/>
  <c r="T50" i="111"/>
  <c r="I9" i="61"/>
  <c r="G5" i="113"/>
  <c r="J5" i="113" s="1"/>
  <c r="F6" i="113"/>
  <c r="AA50" i="111"/>
  <c r="K5" i="113"/>
  <c r="S50" i="111"/>
  <c r="Z50" i="111"/>
  <c r="X50" i="111"/>
  <c r="N50" i="111"/>
  <c r="G14" i="58"/>
  <c r="C14" i="58" s="1"/>
  <c r="I5" i="113"/>
  <c r="V50" i="111"/>
  <c r="K42" i="58" l="1"/>
  <c r="K41" i="58"/>
  <c r="K35" i="58" s="1"/>
  <c r="I42" i="58"/>
  <c r="I41" i="58"/>
  <c r="I35" i="58" s="1"/>
  <c r="J42" i="58"/>
  <c r="J41" i="58"/>
  <c r="J35" i="58" s="1"/>
  <c r="AD42" i="58"/>
  <c r="AD41" i="58"/>
  <c r="AD35" i="58" s="1"/>
  <c r="L42" i="58"/>
  <c r="L41" i="58"/>
  <c r="L35" i="58" s="1"/>
  <c r="F42" i="58"/>
  <c r="F41" i="58"/>
  <c r="F35" i="58" s="1"/>
  <c r="AC42" i="58"/>
  <c r="AC41" i="58"/>
  <c r="AC35" i="58" s="1"/>
  <c r="AE42" i="58"/>
  <c r="AE41" i="58"/>
  <c r="AE35" i="58" s="1"/>
  <c r="V42" i="58"/>
  <c r="V41" i="58"/>
  <c r="V35" i="58" s="1"/>
  <c r="AF42" i="58"/>
  <c r="AF41" i="58"/>
  <c r="AF35" i="58" s="1"/>
  <c r="Q42" i="58"/>
  <c r="Q41" i="58"/>
  <c r="Q35" i="58" s="1"/>
  <c r="R42" i="58"/>
  <c r="R41" i="58"/>
  <c r="R35" i="58" s="1"/>
  <c r="Y42" i="58"/>
  <c r="Y41" i="58"/>
  <c r="Y35" i="58" s="1"/>
  <c r="S42" i="58"/>
  <c r="S41" i="58"/>
  <c r="S35" i="58" s="1"/>
  <c r="AB42" i="58"/>
  <c r="AB41" i="58"/>
  <c r="AB35" i="58" s="1"/>
  <c r="Z42" i="58"/>
  <c r="Z41" i="58"/>
  <c r="Z35" i="58" s="1"/>
  <c r="O42" i="58"/>
  <c r="O41" i="58"/>
  <c r="O35" i="58" s="1"/>
  <c r="U42" i="58"/>
  <c r="U41" i="58"/>
  <c r="U35" i="58" s="1"/>
  <c r="H42" i="58"/>
  <c r="H41" i="58"/>
  <c r="H35" i="58" s="1"/>
  <c r="T42" i="58"/>
  <c r="T41" i="58"/>
  <c r="T35" i="58" s="1"/>
  <c r="AG42" i="58"/>
  <c r="AG41" i="58"/>
  <c r="AG35" i="58" s="1"/>
  <c r="AA42" i="58"/>
  <c r="AA41" i="58"/>
  <c r="AA35" i="58" s="1"/>
  <c r="N42" i="58"/>
  <c r="N41" i="58"/>
  <c r="N35" i="58" s="1"/>
  <c r="W42" i="58"/>
  <c r="W41" i="58"/>
  <c r="W35" i="58" s="1"/>
  <c r="P42" i="58"/>
  <c r="P41" i="58"/>
  <c r="P35" i="58" s="1"/>
  <c r="G42" i="58"/>
  <c r="G41" i="58"/>
  <c r="G35" i="58" s="1"/>
  <c r="M42" i="58"/>
  <c r="M41" i="58"/>
  <c r="M35" i="58" s="1"/>
  <c r="X42" i="58"/>
  <c r="X41" i="58"/>
  <c r="X35" i="58" s="1"/>
  <c r="D9" i="125"/>
  <c r="B4" i="57" a="1"/>
  <c r="I16" i="154"/>
  <c r="I23" i="154" s="1"/>
  <c r="K16" i="154"/>
  <c r="K23" i="154" s="1"/>
  <c r="F35" i="154"/>
  <c r="E35" i="154"/>
  <c r="I6" i="113"/>
  <c r="B35" i="154"/>
  <c r="L5" i="113"/>
  <c r="D35" i="154"/>
  <c r="C35" i="154"/>
  <c r="U59" i="154"/>
  <c r="U54" i="154" s="1"/>
  <c r="U61" i="154" s="1"/>
  <c r="U16" i="154"/>
  <c r="U23" i="154" s="1"/>
  <c r="Y59" i="154"/>
  <c r="Y54" i="154" s="1"/>
  <c r="Y61" i="154" s="1"/>
  <c r="Y16" i="154"/>
  <c r="Y23" i="154" s="1"/>
  <c r="E58" i="154"/>
  <c r="E54" i="154" s="1"/>
  <c r="E61" i="154" s="1"/>
  <c r="E16" i="154"/>
  <c r="E23" i="154" s="1"/>
  <c r="B7" i="125"/>
  <c r="G35" i="154"/>
  <c r="F58" i="154"/>
  <c r="F54" i="154" s="1"/>
  <c r="F61" i="154" s="1"/>
  <c r="F16" i="154"/>
  <c r="F23" i="154" s="1"/>
  <c r="X59" i="154"/>
  <c r="X54" i="154" s="1"/>
  <c r="X61" i="154" s="1"/>
  <c r="X16" i="154"/>
  <c r="X23" i="154" s="1"/>
  <c r="D58" i="154"/>
  <c r="D54" i="154" s="1"/>
  <c r="D61" i="154" s="1"/>
  <c r="D16" i="154"/>
  <c r="D23" i="154" s="1"/>
  <c r="B58" i="154"/>
  <c r="B54" i="154" s="1"/>
  <c r="B61" i="154" s="1"/>
  <c r="Z59" i="154"/>
  <c r="Z54" i="154" s="1"/>
  <c r="Z61" i="154" s="1"/>
  <c r="Z16" i="154"/>
  <c r="Z23" i="154" s="1"/>
  <c r="T59" i="154"/>
  <c r="T54" i="154" s="1"/>
  <c r="T61" i="154" s="1"/>
  <c r="T16" i="154"/>
  <c r="T23" i="154" s="1"/>
  <c r="H59" i="154"/>
  <c r="H54" i="154" s="1"/>
  <c r="H61" i="154" s="1"/>
  <c r="H16" i="154"/>
  <c r="H23" i="154" s="1"/>
  <c r="AA59" i="154"/>
  <c r="AA54" i="154" s="1"/>
  <c r="AA61" i="154" s="1"/>
  <c r="AA16" i="154"/>
  <c r="AA23" i="154" s="1"/>
  <c r="AC59" i="154"/>
  <c r="AC54" i="154" s="1"/>
  <c r="AC61" i="154" s="1"/>
  <c r="AC16" i="154"/>
  <c r="AC23" i="154" s="1"/>
  <c r="C58" i="154"/>
  <c r="C54" i="154" s="1"/>
  <c r="C61" i="154" s="1"/>
  <c r="C16" i="154"/>
  <c r="C23" i="154" s="1"/>
  <c r="G58" i="154"/>
  <c r="G54" i="154" s="1"/>
  <c r="G61" i="154" s="1"/>
  <c r="G16" i="154"/>
  <c r="G23" i="154" s="1"/>
  <c r="L59" i="154"/>
  <c r="L54" i="154" s="1"/>
  <c r="L61" i="154" s="1"/>
  <c r="L16" i="154"/>
  <c r="L23" i="154" s="1"/>
  <c r="P59" i="154"/>
  <c r="P54" i="154" s="1"/>
  <c r="P61" i="154" s="1"/>
  <c r="P16" i="154"/>
  <c r="P23" i="154" s="1"/>
  <c r="W59" i="154"/>
  <c r="W54" i="154" s="1"/>
  <c r="W61" i="154" s="1"/>
  <c r="W16" i="154"/>
  <c r="W23" i="154" s="1"/>
  <c r="M59" i="154"/>
  <c r="M54" i="154" s="1"/>
  <c r="M61" i="154" s="1"/>
  <c r="M16" i="154"/>
  <c r="M23" i="154" s="1"/>
  <c r="D7" i="113"/>
  <c r="E7" i="113" s="1"/>
  <c r="Z49" i="111"/>
  <c r="AE77" i="111" s="1"/>
  <c r="AA49" i="111"/>
  <c r="AF78" i="111" s="1"/>
  <c r="P49" i="111"/>
  <c r="U67" i="111" s="1"/>
  <c r="U49" i="111"/>
  <c r="Z72" i="111" s="1"/>
  <c r="AB49" i="111"/>
  <c r="AF79" i="111" s="1"/>
  <c r="N49" i="111"/>
  <c r="S65" i="111" s="1"/>
  <c r="Y49" i="111"/>
  <c r="AD76" i="111" s="1"/>
  <c r="W49" i="111"/>
  <c r="AB74" i="111" s="1"/>
  <c r="AF49" i="111"/>
  <c r="O49" i="111"/>
  <c r="T66" i="111" s="1"/>
  <c r="K49" i="111"/>
  <c r="P62" i="111" s="1"/>
  <c r="AE49" i="111"/>
  <c r="R49" i="111"/>
  <c r="W69" i="111" s="1"/>
  <c r="H49" i="111"/>
  <c r="M59" i="111" s="1"/>
  <c r="Q49" i="111"/>
  <c r="V68" i="111" s="1"/>
  <c r="M49" i="111"/>
  <c r="R64" i="111" s="1"/>
  <c r="L49" i="111"/>
  <c r="Q63" i="111" s="1"/>
  <c r="V49" i="111"/>
  <c r="AA73" i="111" s="1"/>
  <c r="AC49" i="111"/>
  <c r="AF80" i="111" s="1"/>
  <c r="J49" i="111"/>
  <c r="O61" i="111" s="1"/>
  <c r="AD49" i="111"/>
  <c r="X49" i="111"/>
  <c r="AC75" i="111" s="1"/>
  <c r="S49" i="111"/>
  <c r="X70" i="111" s="1"/>
  <c r="T49" i="111"/>
  <c r="Y71" i="111" s="1"/>
  <c r="I49" i="111"/>
  <c r="N60" i="111" s="1"/>
  <c r="G49" i="111"/>
  <c r="L58" i="111" s="1"/>
  <c r="D43" i="58"/>
  <c r="D34" i="118"/>
  <c r="I10" i="61"/>
  <c r="F50" i="111"/>
  <c r="D50" i="111"/>
  <c r="D10" i="118"/>
  <c r="E50" i="111"/>
  <c r="D9" i="118"/>
  <c r="G6" i="113"/>
  <c r="L6" i="113" s="1"/>
  <c r="F7" i="113"/>
  <c r="D8" i="118"/>
  <c r="K6" i="113"/>
  <c r="AE81" i="111" l="1"/>
  <c r="AF81" i="111"/>
  <c r="AF82" i="111"/>
  <c r="AF83" i="111" s="1"/>
  <c r="AE80" i="111"/>
  <c r="AD80" i="111"/>
  <c r="I34" i="58"/>
  <c r="K34" i="58"/>
  <c r="B4" i="57"/>
  <c r="B22" i="57"/>
  <c r="B19" i="57"/>
  <c r="B28" i="57"/>
  <c r="B10" i="57"/>
  <c r="B27" i="57"/>
  <c r="B26" i="57"/>
  <c r="B21" i="57"/>
  <c r="B24" i="57"/>
  <c r="B23" i="57"/>
  <c r="B18" i="57"/>
  <c r="B33" i="57"/>
  <c r="B30" i="57"/>
  <c r="B9" i="57"/>
  <c r="B6" i="57"/>
  <c r="B5" i="57"/>
  <c r="B12" i="57"/>
  <c r="B13" i="57"/>
  <c r="B15" i="57"/>
  <c r="B32" i="57"/>
  <c r="B29" i="57"/>
  <c r="B14" i="57"/>
  <c r="B20" i="57"/>
  <c r="B17" i="57"/>
  <c r="B8" i="57"/>
  <c r="B11" i="57"/>
  <c r="B31" i="57"/>
  <c r="B25" i="57"/>
  <c r="B7" i="57"/>
  <c r="B16" i="57"/>
  <c r="C43" i="58"/>
  <c r="I58" i="111"/>
  <c r="L62" i="111"/>
  <c r="Z75" i="111"/>
  <c r="AA77" i="111"/>
  <c r="AB76" i="111"/>
  <c r="AA74" i="111"/>
  <c r="Y73" i="111"/>
  <c r="R65" i="111"/>
  <c r="U71" i="111"/>
  <c r="Y72" i="111"/>
  <c r="L59" i="111"/>
  <c r="N61" i="111"/>
  <c r="T68" i="111"/>
  <c r="T67" i="111"/>
  <c r="AB77" i="111"/>
  <c r="AD77" i="111"/>
  <c r="AC77" i="111"/>
  <c r="O62" i="111"/>
  <c r="AE78" i="111"/>
  <c r="AB78" i="111"/>
  <c r="AE79" i="111"/>
  <c r="M62" i="111"/>
  <c r="AD79" i="111"/>
  <c r="AC79" i="111"/>
  <c r="I7" i="113"/>
  <c r="N62" i="111"/>
  <c r="B8" i="125"/>
  <c r="M63" i="111"/>
  <c r="O63" i="111"/>
  <c r="P63" i="111"/>
  <c r="P66" i="111"/>
  <c r="R66" i="111"/>
  <c r="W73" i="111"/>
  <c r="Q66" i="111"/>
  <c r="S66" i="111"/>
  <c r="K59" i="111"/>
  <c r="N64" i="111"/>
  <c r="P64" i="111"/>
  <c r="Z74" i="111"/>
  <c r="O64" i="111"/>
  <c r="I59" i="111"/>
  <c r="Q64" i="111"/>
  <c r="Z73" i="111"/>
  <c r="X73" i="111"/>
  <c r="N63" i="111"/>
  <c r="AD78" i="111"/>
  <c r="AC78" i="111"/>
  <c r="Q67" i="111"/>
  <c r="S67" i="111"/>
  <c r="O65" i="111"/>
  <c r="J59" i="111"/>
  <c r="R67" i="111"/>
  <c r="AC76" i="111"/>
  <c r="Z76" i="111"/>
  <c r="AA76" i="111"/>
  <c r="X71" i="111"/>
  <c r="W71" i="111"/>
  <c r="V71" i="111"/>
  <c r="Y75" i="111"/>
  <c r="S69" i="111"/>
  <c r="D8" i="113"/>
  <c r="D9" i="113" s="1"/>
  <c r="K7" i="113"/>
  <c r="X72" i="111"/>
  <c r="J58" i="111"/>
  <c r="P65" i="111"/>
  <c r="K61" i="111"/>
  <c r="L61" i="111"/>
  <c r="Q65" i="111"/>
  <c r="V72" i="111"/>
  <c r="M61" i="111"/>
  <c r="AB75" i="111"/>
  <c r="R68" i="111"/>
  <c r="S68" i="111"/>
  <c r="V69" i="111"/>
  <c r="V70" i="111"/>
  <c r="T69" i="111"/>
  <c r="U69" i="111"/>
  <c r="X74" i="111"/>
  <c r="W72" i="111"/>
  <c r="Y74" i="111"/>
  <c r="H58" i="111"/>
  <c r="D49" i="111"/>
  <c r="I55" i="111" s="1"/>
  <c r="J60" i="111"/>
  <c r="B82" i="111"/>
  <c r="K60" i="111"/>
  <c r="W70" i="111"/>
  <c r="K58" i="111"/>
  <c r="AA75" i="111"/>
  <c r="U68" i="111"/>
  <c r="M60" i="111"/>
  <c r="M83" i="111" s="1"/>
  <c r="T70" i="111"/>
  <c r="E49" i="111"/>
  <c r="J56" i="111" s="1"/>
  <c r="L60" i="111"/>
  <c r="F49" i="111"/>
  <c r="K57" i="111" s="1"/>
  <c r="U70" i="111"/>
  <c r="I11" i="61"/>
  <c r="J6" i="113"/>
  <c r="G7" i="113"/>
  <c r="J7" i="113" s="1"/>
  <c r="F8" i="113"/>
  <c r="C50" i="111"/>
  <c r="AE83" i="111" l="1"/>
  <c r="AB83" i="111"/>
  <c r="AB5" i="111" s="1"/>
  <c r="AD83" i="111"/>
  <c r="AD5" i="111" s="1"/>
  <c r="S83" i="111"/>
  <c r="S5" i="111" s="1"/>
  <c r="W83" i="111"/>
  <c r="W5" i="111" s="1"/>
  <c r="V83" i="111"/>
  <c r="V5" i="111" s="1"/>
  <c r="Q83" i="111"/>
  <c r="Q5" i="111" s="1"/>
  <c r="N83" i="111"/>
  <c r="N5" i="111" s="1"/>
  <c r="R83" i="111"/>
  <c r="R5" i="111" s="1"/>
  <c r="AC83" i="111"/>
  <c r="AC5" i="111" s="1"/>
  <c r="O83" i="111"/>
  <c r="O5" i="111" s="1"/>
  <c r="L83" i="111"/>
  <c r="L5" i="111" s="1"/>
  <c r="Y83" i="111"/>
  <c r="Y5" i="111" s="1"/>
  <c r="AA83" i="111"/>
  <c r="AA5" i="111" s="1"/>
  <c r="U83" i="111"/>
  <c r="U5" i="111" s="1"/>
  <c r="X83" i="111"/>
  <c r="X5" i="111" s="1"/>
  <c r="P83" i="111"/>
  <c r="P5" i="111" s="1"/>
  <c r="K83" i="111"/>
  <c r="Z83" i="111"/>
  <c r="Z5" i="111" s="1"/>
  <c r="T83" i="111"/>
  <c r="T5" i="111" s="1"/>
  <c r="AF5" i="111"/>
  <c r="M5" i="111"/>
  <c r="AE5" i="111"/>
  <c r="K6" i="58"/>
  <c r="I6" i="58"/>
  <c r="C17" i="59" a="1"/>
  <c r="B77" i="111"/>
  <c r="G57" i="111"/>
  <c r="G56" i="111"/>
  <c r="B81" i="111"/>
  <c r="E55" i="111"/>
  <c r="E8" i="113"/>
  <c r="I8" i="113" s="1"/>
  <c r="L7" i="113"/>
  <c r="B79" i="111"/>
  <c r="B66" i="111"/>
  <c r="B73" i="111"/>
  <c r="B62" i="111"/>
  <c r="B64" i="111"/>
  <c r="B59" i="111"/>
  <c r="K8" i="113"/>
  <c r="B63" i="111"/>
  <c r="B9" i="125"/>
  <c r="B78" i="111"/>
  <c r="B67" i="111"/>
  <c r="B76" i="111"/>
  <c r="H56" i="111"/>
  <c r="I56" i="111"/>
  <c r="B71" i="111"/>
  <c r="F56" i="111"/>
  <c r="B74" i="111"/>
  <c r="B61" i="111"/>
  <c r="B75" i="111"/>
  <c r="G55" i="111"/>
  <c r="B58" i="111"/>
  <c r="B69" i="111"/>
  <c r="H55" i="111"/>
  <c r="F55" i="111"/>
  <c r="B65" i="111"/>
  <c r="B72" i="111"/>
  <c r="B68" i="111"/>
  <c r="B70" i="111"/>
  <c r="B80" i="111"/>
  <c r="H57" i="111"/>
  <c r="J57" i="111"/>
  <c r="J83" i="111" s="1"/>
  <c r="I57" i="111"/>
  <c r="B60" i="111"/>
  <c r="I12" i="61"/>
  <c r="E9" i="113"/>
  <c r="D10" i="113"/>
  <c r="C49" i="111"/>
  <c r="H54" i="111" s="1"/>
  <c r="B50" i="111"/>
  <c r="G8" i="113"/>
  <c r="J8" i="113" s="1"/>
  <c r="F9" i="113"/>
  <c r="K9" i="113" s="1"/>
  <c r="G53" i="111" l="1"/>
  <c r="D53" i="111"/>
  <c r="F53" i="111"/>
  <c r="E53" i="111"/>
  <c r="C53" i="111"/>
  <c r="B53" i="111" s="1"/>
  <c r="H83" i="111"/>
  <c r="I83" i="111"/>
  <c r="I5" i="111" s="1"/>
  <c r="E17" i="59"/>
  <c r="D17" i="59"/>
  <c r="S17" i="59"/>
  <c r="O17" i="59"/>
  <c r="Z17" i="59"/>
  <c r="Y17" i="59"/>
  <c r="AA17" i="59"/>
  <c r="G17" i="59"/>
  <c r="P17" i="59"/>
  <c r="I17" i="59"/>
  <c r="AC17" i="59"/>
  <c r="W17" i="59"/>
  <c r="C17" i="59"/>
  <c r="K17" i="59"/>
  <c r="R17" i="59"/>
  <c r="J17" i="59"/>
  <c r="H17" i="59"/>
  <c r="AF17" i="59"/>
  <c r="T17" i="59"/>
  <c r="L17" i="59"/>
  <c r="U17" i="59"/>
  <c r="F17" i="59"/>
  <c r="M17" i="59"/>
  <c r="V17" i="59"/>
  <c r="AB17" i="59"/>
  <c r="N17" i="59"/>
  <c r="Q17" i="59"/>
  <c r="AE17" i="59"/>
  <c r="AD17" i="59"/>
  <c r="X17" i="59"/>
  <c r="I5" i="57"/>
  <c r="R5" i="57" s="1"/>
  <c r="T5" i="57" s="1"/>
  <c r="I9" i="57"/>
  <c r="R9" i="57" s="1"/>
  <c r="T9" i="57" s="1"/>
  <c r="I8" i="57"/>
  <c r="I9" i="113"/>
  <c r="I6" i="57"/>
  <c r="R6" i="57" s="1"/>
  <c r="T6" i="57" s="1"/>
  <c r="L8" i="113"/>
  <c r="I11" i="57"/>
  <c r="R11" i="57" s="1"/>
  <c r="T11" i="57" s="1"/>
  <c r="B34" i="57"/>
  <c r="I4" i="57"/>
  <c r="R4" i="57" s="1"/>
  <c r="T4" i="57" s="1"/>
  <c r="I12" i="57"/>
  <c r="R12" i="57" s="1"/>
  <c r="T12" i="57" s="1"/>
  <c r="F34" i="57"/>
  <c r="I7" i="57"/>
  <c r="R7" i="57" s="1"/>
  <c r="T7" i="57" s="1"/>
  <c r="I10" i="57"/>
  <c r="R10" i="57" s="1"/>
  <c r="T10" i="57" s="1"/>
  <c r="J5" i="111"/>
  <c r="B56" i="111"/>
  <c r="B55" i="111"/>
  <c r="B57" i="111"/>
  <c r="K5" i="111"/>
  <c r="E54" i="111"/>
  <c r="E83" i="111" s="1"/>
  <c r="F54" i="111"/>
  <c r="F83" i="111" s="1"/>
  <c r="B49" i="111"/>
  <c r="D54" i="111"/>
  <c r="D83" i="111" s="1"/>
  <c r="C83" i="111"/>
  <c r="C5" i="111" s="1"/>
  <c r="G54" i="111"/>
  <c r="G83" i="111" s="1"/>
  <c r="I13" i="61"/>
  <c r="E10" i="113"/>
  <c r="D11" i="113"/>
  <c r="G9" i="113"/>
  <c r="J9" i="113" s="1"/>
  <c r="F10" i="113"/>
  <c r="K10" i="113" s="1"/>
  <c r="R8" i="57" l="1"/>
  <c r="T8" i="57" s="1"/>
  <c r="L9" i="113"/>
  <c r="H5" i="111"/>
  <c r="F5" i="111"/>
  <c r="E5" i="111"/>
  <c r="G5" i="111"/>
  <c r="I14" i="61"/>
  <c r="G10" i="113"/>
  <c r="J10" i="113" s="1"/>
  <c r="F11" i="113"/>
  <c r="K11" i="113" s="1"/>
  <c r="B54" i="111"/>
  <c r="D5" i="111"/>
  <c r="E11" i="113"/>
  <c r="D12" i="113"/>
  <c r="I10" i="113"/>
  <c r="I11" i="113" l="1"/>
  <c r="L10" i="113"/>
  <c r="B21" i="59"/>
  <c r="B17" i="59"/>
  <c r="E12" i="113"/>
  <c r="D13" i="113"/>
  <c r="B83" i="111"/>
  <c r="G11" i="113"/>
  <c r="L11" i="113" s="1"/>
  <c r="F12" i="113"/>
  <c r="I15" i="61"/>
  <c r="I12" i="113" l="1"/>
  <c r="B5" i="111"/>
  <c r="I16" i="61"/>
  <c r="G12" i="113"/>
  <c r="L12" i="113" s="1"/>
  <c r="F13" i="113"/>
  <c r="K13" i="113" s="1"/>
  <c r="J11" i="113"/>
  <c r="E13" i="113"/>
  <c r="D14" i="113"/>
  <c r="K12" i="113"/>
  <c r="C1" i="111" l="1"/>
  <c r="I13" i="113"/>
  <c r="E14" i="113"/>
  <c r="D15" i="113"/>
  <c r="G13" i="113"/>
  <c r="L13" i="113" s="1"/>
  <c r="F14" i="113"/>
  <c r="J12" i="113"/>
  <c r="I17" i="61"/>
  <c r="J13" i="113" l="1"/>
  <c r="G14" i="113"/>
  <c r="J14" i="113" s="1"/>
  <c r="F15" i="113"/>
  <c r="K15" i="113" s="1"/>
  <c r="E15" i="113"/>
  <c r="D16" i="113"/>
  <c r="K14" i="113"/>
  <c r="I14" i="113"/>
  <c r="I18" i="61"/>
  <c r="L14" i="113" l="1"/>
  <c r="I19" i="61"/>
  <c r="E16" i="113"/>
  <c r="D17" i="113"/>
  <c r="I15" i="113"/>
  <c r="G15" i="113"/>
  <c r="L15" i="113" s="1"/>
  <c r="F16" i="113"/>
  <c r="G16" i="113" l="1"/>
  <c r="L16" i="113" s="1"/>
  <c r="F17" i="113"/>
  <c r="J15" i="113"/>
  <c r="I16" i="113"/>
  <c r="E17" i="113"/>
  <c r="K17" i="113"/>
  <c r="D18" i="113"/>
  <c r="K16" i="113"/>
  <c r="I20" i="61"/>
  <c r="J16" i="113" l="1"/>
  <c r="G17" i="113"/>
  <c r="J17" i="113" s="1"/>
  <c r="F18" i="113"/>
  <c r="K18" i="113" s="1"/>
  <c r="I21" i="61"/>
  <c r="E18" i="113"/>
  <c r="D19" i="113"/>
  <c r="I17" i="113"/>
  <c r="I18" i="113" l="1"/>
  <c r="L17" i="113"/>
  <c r="E19" i="113"/>
  <c r="D20" i="113"/>
  <c r="F19" i="113"/>
  <c r="G18" i="113"/>
  <c r="L18" i="113" s="1"/>
  <c r="I22" i="61"/>
  <c r="I23" i="61" l="1"/>
  <c r="E20" i="113"/>
  <c r="D21" i="113"/>
  <c r="G19" i="113"/>
  <c r="J19" i="113" s="1"/>
  <c r="F20" i="113"/>
  <c r="K20" i="113" s="1"/>
  <c r="J18" i="113"/>
  <c r="K19" i="113"/>
  <c r="I19" i="113"/>
  <c r="I20" i="113" l="1"/>
  <c r="L19" i="113"/>
  <c r="E21" i="113"/>
  <c r="D22" i="113"/>
  <c r="G20" i="113"/>
  <c r="J20" i="113" s="1"/>
  <c r="F21" i="113"/>
  <c r="I24" i="61"/>
  <c r="I21" i="113" l="1"/>
  <c r="L20" i="113"/>
  <c r="E22" i="113"/>
  <c r="D23" i="113"/>
  <c r="I25" i="61"/>
  <c r="G21" i="113"/>
  <c r="J21" i="113" s="1"/>
  <c r="F22" i="113"/>
  <c r="K21" i="113"/>
  <c r="L21" i="113" l="1"/>
  <c r="G22" i="113"/>
  <c r="J22" i="113" s="1"/>
  <c r="F23" i="113"/>
  <c r="K23" i="113" s="1"/>
  <c r="E23" i="113"/>
  <c r="D24" i="113"/>
  <c r="I26" i="61"/>
  <c r="K22" i="113"/>
  <c r="I22" i="113"/>
  <c r="I23" i="113" l="1"/>
  <c r="L22" i="113"/>
  <c r="I27" i="61"/>
  <c r="E24" i="113"/>
  <c r="D25" i="113"/>
  <c r="G23" i="113"/>
  <c r="J23" i="113" s="1"/>
  <c r="F24" i="113"/>
  <c r="K24" i="113" s="1"/>
  <c r="I24" i="113" l="1"/>
  <c r="L23" i="113"/>
  <c r="G24" i="113"/>
  <c r="J24" i="113" s="1"/>
  <c r="F25" i="113"/>
  <c r="K25" i="113" s="1"/>
  <c r="E25" i="113"/>
  <c r="D26" i="113"/>
  <c r="I28" i="61"/>
  <c r="I25" i="113" l="1"/>
  <c r="L24" i="113"/>
  <c r="I29" i="61"/>
  <c r="E26" i="113"/>
  <c r="D27" i="113"/>
  <c r="G25" i="113"/>
  <c r="J25" i="113" s="1"/>
  <c r="F26" i="113"/>
  <c r="K26" i="113" s="1"/>
  <c r="I26" i="113" l="1"/>
  <c r="L25" i="113"/>
  <c r="G26" i="113"/>
  <c r="J26" i="113" s="1"/>
  <c r="F27" i="113"/>
  <c r="K27" i="113" s="1"/>
  <c r="E27" i="113"/>
  <c r="D28" i="113"/>
  <c r="I30" i="61"/>
  <c r="I27" i="113" l="1"/>
  <c r="L26" i="113"/>
  <c r="I31" i="61"/>
  <c r="E28" i="113"/>
  <c r="D29" i="113"/>
  <c r="G27" i="113"/>
  <c r="L27" i="113" s="1"/>
  <c r="F28" i="113"/>
  <c r="I28" i="113" l="1"/>
  <c r="J27" i="113"/>
  <c r="G28" i="113"/>
  <c r="J28" i="113" s="1"/>
  <c r="F29" i="113"/>
  <c r="K29" i="113" s="1"/>
  <c r="E29" i="113"/>
  <c r="D30" i="113"/>
  <c r="K28" i="113"/>
  <c r="I32" i="61"/>
  <c r="L28" i="113" l="1"/>
  <c r="I33" i="61"/>
  <c r="E30" i="113"/>
  <c r="D31" i="113"/>
  <c r="I29" i="113"/>
  <c r="G29" i="113"/>
  <c r="L29" i="113" s="1"/>
  <c r="F30" i="113"/>
  <c r="I30" i="113" l="1"/>
  <c r="J29" i="113"/>
  <c r="G30" i="113"/>
  <c r="J30" i="113" s="1"/>
  <c r="F31" i="113"/>
  <c r="K31" i="113" s="1"/>
  <c r="E31" i="113"/>
  <c r="D32" i="113"/>
  <c r="K30" i="113"/>
  <c r="I34" i="61"/>
  <c r="I35" i="61" s="1"/>
  <c r="E35" i="61"/>
  <c r="L30" i="113" l="1"/>
  <c r="E32" i="113"/>
  <c r="D33" i="113"/>
  <c r="I31" i="113"/>
  <c r="G31" i="113"/>
  <c r="L31" i="113" s="1"/>
  <c r="F32" i="113"/>
  <c r="K32" i="113" s="1"/>
  <c r="J31" i="113" l="1"/>
  <c r="E33" i="113"/>
  <c r="G32" i="113"/>
  <c r="L32" i="113" s="1"/>
  <c r="F33" i="113"/>
  <c r="I32" i="113"/>
  <c r="B22" i="59" l="1"/>
  <c r="I33" i="113"/>
  <c r="K33" i="113"/>
  <c r="E11" i="118" s="1" a="1"/>
  <c r="J32" i="113"/>
  <c r="D20" i="118"/>
  <c r="E34" i="113"/>
  <c r="G33" i="113"/>
  <c r="L33" i="113" s="1"/>
  <c r="AH11" i="118" l="1"/>
  <c r="AG17" i="58" s="1"/>
  <c r="AA11" i="118"/>
  <c r="Z17" i="58" s="1"/>
  <c r="P11" i="118"/>
  <c r="O17" i="58" s="1"/>
  <c r="Q11" i="118"/>
  <c r="P17" i="58" s="1"/>
  <c r="AD11" i="118"/>
  <c r="AC17" i="58" s="1"/>
  <c r="T11" i="118"/>
  <c r="S17" i="58" s="1"/>
  <c r="R11" i="118"/>
  <c r="Q17" i="58" s="1"/>
  <c r="M11" i="118"/>
  <c r="L17" i="58" s="1"/>
  <c r="Z11" i="118"/>
  <c r="Y17" i="58" s="1"/>
  <c r="AB11" i="118"/>
  <c r="AA17" i="58" s="1"/>
  <c r="H11" i="118"/>
  <c r="G17" i="58" s="1"/>
  <c r="I11" i="118"/>
  <c r="H17" i="58" s="1"/>
  <c r="F11" i="118"/>
  <c r="E17" i="58" s="1"/>
  <c r="S11" i="118"/>
  <c r="R17" i="58" s="1"/>
  <c r="X11" i="118"/>
  <c r="W17" i="58" s="1"/>
  <c r="Y11" i="118"/>
  <c r="X17" i="58" s="1"/>
  <c r="O11" i="118"/>
  <c r="N17" i="58" s="1"/>
  <c r="K11" i="118"/>
  <c r="J17" i="58" s="1"/>
  <c r="N11" i="118"/>
  <c r="M17" i="58" s="1"/>
  <c r="V11" i="118"/>
  <c r="U17" i="58" s="1"/>
  <c r="E11" i="118"/>
  <c r="D17" i="58" s="1"/>
  <c r="AF11" i="118"/>
  <c r="AE17" i="58" s="1"/>
  <c r="AG11" i="118"/>
  <c r="AF17" i="58" s="1"/>
  <c r="J11" i="118"/>
  <c r="I17" i="58" s="1"/>
  <c r="AC11" i="118"/>
  <c r="AB17" i="58" s="1"/>
  <c r="L11" i="118"/>
  <c r="K17" i="58" s="1"/>
  <c r="G11" i="118"/>
  <c r="F17" i="58" s="1"/>
  <c r="W11" i="118"/>
  <c r="V17" i="58" s="1"/>
  <c r="AE11" i="118"/>
  <c r="AD17" i="58" s="1"/>
  <c r="U11" i="118"/>
  <c r="T17" i="58" s="1"/>
  <c r="L34" i="113"/>
  <c r="E21" i="118" a="1"/>
  <c r="I34" i="113"/>
  <c r="G34" i="113"/>
  <c r="J33" i="113"/>
  <c r="C27" i="58"/>
  <c r="AH27" i="58"/>
  <c r="AH24" i="58" s="1"/>
  <c r="C17" i="58" l="1"/>
  <c r="E21" i="118"/>
  <c r="D28" i="58" s="1"/>
  <c r="AA21" i="118"/>
  <c r="Z28" i="58" s="1"/>
  <c r="Z24" i="58" s="1"/>
  <c r="G21" i="118"/>
  <c r="F28" i="58" s="1"/>
  <c r="F24" i="58" s="1"/>
  <c r="J21" i="118"/>
  <c r="I28" i="58" s="1"/>
  <c r="I24" i="58" s="1"/>
  <c r="U21" i="118"/>
  <c r="T28" i="58" s="1"/>
  <c r="T24" i="58" s="1"/>
  <c r="R21" i="118"/>
  <c r="Q28" i="58" s="1"/>
  <c r="Q24" i="58" s="1"/>
  <c r="P21" i="118"/>
  <c r="O28" i="58" s="1"/>
  <c r="O24" i="58" s="1"/>
  <c r="Q21" i="118"/>
  <c r="P28" i="58" s="1"/>
  <c r="P24" i="58" s="1"/>
  <c r="T21" i="118"/>
  <c r="S28" i="58" s="1"/>
  <c r="S24" i="58" s="1"/>
  <c r="AE21" i="118"/>
  <c r="AD28" i="58" s="1"/>
  <c r="AD24" i="58" s="1"/>
  <c r="K21" i="118"/>
  <c r="J28" i="58" s="1"/>
  <c r="J24" i="58" s="1"/>
  <c r="AD21" i="118"/>
  <c r="AC28" i="58" s="1"/>
  <c r="AC24" i="58" s="1"/>
  <c r="Y21" i="118"/>
  <c r="X28" i="58" s="1"/>
  <c r="X24" i="58" s="1"/>
  <c r="M21" i="118"/>
  <c r="L28" i="58" s="1"/>
  <c r="L24" i="58" s="1"/>
  <c r="N21" i="118"/>
  <c r="M28" i="58" s="1"/>
  <c r="M24" i="58" s="1"/>
  <c r="AH21" i="118"/>
  <c r="AG28" i="58" s="1"/>
  <c r="AG24" i="58" s="1"/>
  <c r="V21" i="118"/>
  <c r="U28" i="58" s="1"/>
  <c r="U24" i="58" s="1"/>
  <c r="I21" i="118"/>
  <c r="H28" i="58" s="1"/>
  <c r="H24" i="58" s="1"/>
  <c r="AF21" i="118"/>
  <c r="AE28" i="58" s="1"/>
  <c r="AE24" i="58" s="1"/>
  <c r="AG21" i="118"/>
  <c r="AF28" i="58" s="1"/>
  <c r="AF24" i="58" s="1"/>
  <c r="F21" i="118"/>
  <c r="E28" i="58" s="1"/>
  <c r="H21" i="118"/>
  <c r="G28" i="58" s="1"/>
  <c r="G24" i="58" s="1"/>
  <c r="AB21" i="118"/>
  <c r="AA28" i="58" s="1"/>
  <c r="AA24" i="58" s="1"/>
  <c r="X21" i="118"/>
  <c r="W28" i="58" s="1"/>
  <c r="W24" i="58" s="1"/>
  <c r="S21" i="118"/>
  <c r="R28" i="58" s="1"/>
  <c r="R24" i="58" s="1"/>
  <c r="O21" i="118"/>
  <c r="N28" i="58" s="1"/>
  <c r="N24" i="58" s="1"/>
  <c r="L21" i="118"/>
  <c r="K28" i="58" s="1"/>
  <c r="K24" i="58" s="1"/>
  <c r="W21" i="118"/>
  <c r="V28" i="58" s="1"/>
  <c r="V24" i="58" s="1"/>
  <c r="Z21" i="118"/>
  <c r="Y28" i="58" s="1"/>
  <c r="Y24" i="58" s="1"/>
  <c r="AC21" i="118"/>
  <c r="AB28" i="58" s="1"/>
  <c r="AB24" i="58" s="1"/>
  <c r="J34" i="113"/>
  <c r="D11" i="118"/>
  <c r="D24" i="58" l="1"/>
  <c r="D23" i="58"/>
  <c r="E24" i="58"/>
  <c r="E23" i="58"/>
  <c r="D21" i="118"/>
  <c r="C28" i="58" l="1"/>
  <c r="C24" i="58" l="1"/>
  <c r="M34" i="113" l="1"/>
  <c r="AB34" i="58"/>
  <c r="AB6" i="58" l="1"/>
  <c r="D44" i="58"/>
  <c r="D41" i="58" s="1"/>
  <c r="D35" i="58" s="1"/>
  <c r="G34" i="58"/>
  <c r="Y34" i="58"/>
  <c r="O34" i="58"/>
  <c r="T34" i="58"/>
  <c r="W34" i="58"/>
  <c r="P34" i="58"/>
  <c r="S34" i="58"/>
  <c r="L34" i="58"/>
  <c r="Q34" i="58"/>
  <c r="R34" i="58"/>
  <c r="Z34" i="58"/>
  <c r="H34" i="58"/>
  <c r="V34" i="58"/>
  <c r="J34" i="58"/>
  <c r="F34" i="58"/>
  <c r="X34" i="58"/>
  <c r="AA34" i="58"/>
  <c r="AF34" i="58"/>
  <c r="AG34" i="58"/>
  <c r="E44" i="58"/>
  <c r="N34" i="58"/>
  <c r="U34" i="58"/>
  <c r="AC34" i="58"/>
  <c r="AD34" i="58"/>
  <c r="AE34" i="58"/>
  <c r="M14" i="113"/>
  <c r="U13" i="19"/>
  <c r="N6" i="58" l="1"/>
  <c r="W6" i="58"/>
  <c r="Z6" i="58"/>
  <c r="O6" i="58"/>
  <c r="E42" i="58"/>
  <c r="E41" i="58"/>
  <c r="E35" i="58" s="1"/>
  <c r="T6" i="58"/>
  <c r="AF6" i="58"/>
  <c r="R6" i="58"/>
  <c r="Y6" i="58"/>
  <c r="AD6" i="58"/>
  <c r="V6" i="58"/>
  <c r="H6" i="58"/>
  <c r="AG6" i="58"/>
  <c r="AE6" i="58"/>
  <c r="AA6" i="58"/>
  <c r="Q6" i="58"/>
  <c r="G6" i="58"/>
  <c r="X6" i="58"/>
  <c r="L6" i="58"/>
  <c r="AC6" i="58"/>
  <c r="F6" i="58"/>
  <c r="S6" i="58"/>
  <c r="U6" i="58"/>
  <c r="J6" i="58"/>
  <c r="P6" i="58"/>
  <c r="D42" i="58"/>
  <c r="C42" i="58" s="1"/>
  <c r="B137" i="156" s="1"/>
  <c r="M15" i="113"/>
  <c r="U15" i="19" s="1"/>
  <c r="U14" i="19"/>
  <c r="L14" i="42" s="1"/>
  <c r="D35" i="118"/>
  <c r="AA17" i="60"/>
  <c r="L13" i="42"/>
  <c r="V13" i="19"/>
  <c r="K13" i="42"/>
  <c r="M13" i="42"/>
  <c r="E54" i="58" l="1"/>
  <c r="E53" i="58" s="1"/>
  <c r="E52" i="58" s="1"/>
  <c r="E7" i="58" s="1"/>
  <c r="D18" i="60" s="1"/>
  <c r="D54" i="58"/>
  <c r="P54" i="58"/>
  <c r="P53" i="58" s="1"/>
  <c r="P52" i="58" s="1"/>
  <c r="P7" i="58" s="1"/>
  <c r="O18" i="60" s="1"/>
  <c r="X54" i="58"/>
  <c r="X53" i="58" s="1"/>
  <c r="X52" i="58" s="1"/>
  <c r="X7" i="58" s="1"/>
  <c r="W18" i="60" s="1"/>
  <c r="AF54" i="58"/>
  <c r="AF53" i="58" s="1"/>
  <c r="AF52" i="58" s="1"/>
  <c r="AF7" i="58" s="1"/>
  <c r="AE18" i="60" s="1"/>
  <c r="AB54" i="58"/>
  <c r="AB53" i="58" s="1"/>
  <c r="AB52" i="58" s="1"/>
  <c r="AB7" i="58" s="1"/>
  <c r="AA18" i="60" s="1"/>
  <c r="O54" i="58"/>
  <c r="O53" i="58" s="1"/>
  <c r="O52" i="58" s="1"/>
  <c r="O7" i="58" s="1"/>
  <c r="N18" i="60" s="1"/>
  <c r="I54" i="58"/>
  <c r="I53" i="58" s="1"/>
  <c r="I52" i="58" s="1"/>
  <c r="I7" i="58" s="1"/>
  <c r="H18" i="60" s="1"/>
  <c r="Q54" i="58"/>
  <c r="Q53" i="58" s="1"/>
  <c r="Q52" i="58" s="1"/>
  <c r="Q7" i="58" s="1"/>
  <c r="P18" i="60" s="1"/>
  <c r="Y54" i="58"/>
  <c r="Y53" i="58" s="1"/>
  <c r="Y52" i="58" s="1"/>
  <c r="Y7" i="58" s="1"/>
  <c r="X18" i="60" s="1"/>
  <c r="AG54" i="58"/>
  <c r="AG53" i="58" s="1"/>
  <c r="AG52" i="58" s="1"/>
  <c r="AG7" i="58" s="1"/>
  <c r="AF18" i="60" s="1"/>
  <c r="T54" i="58"/>
  <c r="T53" i="58" s="1"/>
  <c r="T52" i="58" s="1"/>
  <c r="T7" i="58" s="1"/>
  <c r="S18" i="60" s="1"/>
  <c r="U54" i="58"/>
  <c r="U53" i="58" s="1"/>
  <c r="U52" i="58" s="1"/>
  <c r="U7" i="58" s="1"/>
  <c r="T18" i="60" s="1"/>
  <c r="W54" i="58"/>
  <c r="W53" i="58" s="1"/>
  <c r="W52" i="58" s="1"/>
  <c r="W7" i="58" s="1"/>
  <c r="V18" i="60" s="1"/>
  <c r="J54" i="58"/>
  <c r="J53" i="58" s="1"/>
  <c r="J52" i="58" s="1"/>
  <c r="J7" i="58" s="1"/>
  <c r="I18" i="60" s="1"/>
  <c r="R54" i="58"/>
  <c r="R53" i="58" s="1"/>
  <c r="R52" i="58" s="1"/>
  <c r="R7" i="58" s="1"/>
  <c r="Q18" i="60" s="1"/>
  <c r="Z54" i="58"/>
  <c r="Z53" i="58" s="1"/>
  <c r="Z52" i="58" s="1"/>
  <c r="Z7" i="58" s="1"/>
  <c r="Y18" i="60" s="1"/>
  <c r="F54" i="58"/>
  <c r="F53" i="58" s="1"/>
  <c r="F52" i="58" s="1"/>
  <c r="F7" i="58" s="1"/>
  <c r="E18" i="60" s="1"/>
  <c r="L54" i="58"/>
  <c r="L53" i="58" s="1"/>
  <c r="L52" i="58" s="1"/>
  <c r="L7" i="58" s="1"/>
  <c r="K18" i="60" s="1"/>
  <c r="AC54" i="58"/>
  <c r="AC53" i="58" s="1"/>
  <c r="AC52" i="58" s="1"/>
  <c r="AC7" i="58" s="1"/>
  <c r="AB18" i="60" s="1"/>
  <c r="AD54" i="58"/>
  <c r="AD53" i="58" s="1"/>
  <c r="AD52" i="58" s="1"/>
  <c r="AD7" i="58" s="1"/>
  <c r="AC18" i="60" s="1"/>
  <c r="AE54" i="58"/>
  <c r="AE53" i="58" s="1"/>
  <c r="AE52" i="58" s="1"/>
  <c r="AE7" i="58" s="1"/>
  <c r="AD18" i="60" s="1"/>
  <c r="K54" i="58"/>
  <c r="K53" i="58" s="1"/>
  <c r="K52" i="58" s="1"/>
  <c r="K7" i="58" s="1"/>
  <c r="J18" i="60" s="1"/>
  <c r="S54" i="58"/>
  <c r="S53" i="58" s="1"/>
  <c r="S52" i="58" s="1"/>
  <c r="S7" i="58" s="1"/>
  <c r="R18" i="60" s="1"/>
  <c r="AA54" i="58"/>
  <c r="AA53" i="58" s="1"/>
  <c r="AA52" i="58" s="1"/>
  <c r="AA7" i="58" s="1"/>
  <c r="Z18" i="60" s="1"/>
  <c r="G54" i="58"/>
  <c r="G53" i="58" s="1"/>
  <c r="G52" i="58" s="1"/>
  <c r="G7" i="58" s="1"/>
  <c r="F18" i="60" s="1"/>
  <c r="H54" i="58"/>
  <c r="H53" i="58" s="1"/>
  <c r="H52" i="58" s="1"/>
  <c r="H7" i="58" s="1"/>
  <c r="G18" i="60" s="1"/>
  <c r="V54" i="58"/>
  <c r="V53" i="58" s="1"/>
  <c r="V52" i="58" s="1"/>
  <c r="V7" i="58" s="1"/>
  <c r="U18" i="60" s="1"/>
  <c r="M54" i="58"/>
  <c r="M53" i="58" s="1"/>
  <c r="M52" i="58" s="1"/>
  <c r="M7" i="58" s="1"/>
  <c r="L18" i="60" s="1"/>
  <c r="N54" i="58"/>
  <c r="N53" i="58" s="1"/>
  <c r="N52" i="58" s="1"/>
  <c r="N7" i="58" s="1"/>
  <c r="M18" i="60" s="1"/>
  <c r="E34" i="58"/>
  <c r="E6" i="58"/>
  <c r="D17" i="60" s="1"/>
  <c r="V14" i="19"/>
  <c r="M14" i="42"/>
  <c r="K14" i="42"/>
  <c r="D15" i="101" s="1"/>
  <c r="E15" i="101" s="1"/>
  <c r="M16" i="113"/>
  <c r="U16" i="19" s="1"/>
  <c r="M34" i="58"/>
  <c r="AD17" i="60"/>
  <c r="AC17" i="60"/>
  <c r="H17" i="60"/>
  <c r="S17" i="60"/>
  <c r="O17" i="60"/>
  <c r="T17" i="60"/>
  <c r="K17" i="60"/>
  <c r="E17" i="60"/>
  <c r="I17" i="60"/>
  <c r="V15" i="19"/>
  <c r="K15" i="42"/>
  <c r="L15" i="42"/>
  <c r="M15" i="42"/>
  <c r="Q17" i="60"/>
  <c r="Z17" i="60"/>
  <c r="W17" i="60"/>
  <c r="M17" i="60"/>
  <c r="U17" i="60"/>
  <c r="AE17" i="60"/>
  <c r="V17" i="60"/>
  <c r="X17" i="60"/>
  <c r="R17" i="60"/>
  <c r="AF17" i="60"/>
  <c r="C44" i="58"/>
  <c r="P17" i="60"/>
  <c r="F17" i="60"/>
  <c r="N17" i="60"/>
  <c r="J17" i="60"/>
  <c r="Y17" i="60"/>
  <c r="G17" i="60"/>
  <c r="AB17" i="60"/>
  <c r="B13" i="141"/>
  <c r="E13" i="141" s="1"/>
  <c r="D14" i="101"/>
  <c r="D14" i="127"/>
  <c r="D14" i="126"/>
  <c r="D53" i="58" l="1"/>
  <c r="C54" i="58"/>
  <c r="M6" i="58"/>
  <c r="D15" i="127"/>
  <c r="E15" i="127" s="1"/>
  <c r="D15" i="126"/>
  <c r="E15" i="126" s="1"/>
  <c r="C15" i="105" s="1"/>
  <c r="D15" i="105" s="1"/>
  <c r="D14" i="57" s="1"/>
  <c r="I14" i="57" s="1"/>
  <c r="R14" i="57" s="1"/>
  <c r="T14" i="57" s="1"/>
  <c r="B14" i="141"/>
  <c r="E14" i="141" s="1"/>
  <c r="M17" i="113"/>
  <c r="U17" i="19" s="1"/>
  <c r="M16" i="42"/>
  <c r="K16" i="42"/>
  <c r="L16" i="42"/>
  <c r="V16" i="19"/>
  <c r="D16" i="127"/>
  <c r="E16" i="127" s="1"/>
  <c r="B15" i="141"/>
  <c r="E15" i="141" s="1"/>
  <c r="D16" i="126"/>
  <c r="E16" i="126" s="1"/>
  <c r="D16" i="101"/>
  <c r="E16" i="101" s="1"/>
  <c r="E14" i="127"/>
  <c r="E14" i="101"/>
  <c r="E14" i="126"/>
  <c r="D52" i="58" l="1"/>
  <c r="C53" i="58"/>
  <c r="L17" i="60"/>
  <c r="M18" i="113"/>
  <c r="M19" i="113"/>
  <c r="U18" i="19"/>
  <c r="M17" i="42"/>
  <c r="V17" i="19"/>
  <c r="K17" i="42"/>
  <c r="L17" i="42"/>
  <c r="D17" i="126"/>
  <c r="E17" i="126" s="1"/>
  <c r="B16" i="141"/>
  <c r="E16" i="141" s="1"/>
  <c r="D17" i="127"/>
  <c r="E17" i="127" s="1"/>
  <c r="D17" i="101"/>
  <c r="E17" i="101" s="1"/>
  <c r="C16" i="105"/>
  <c r="D16" i="105" s="1"/>
  <c r="D15" i="57" s="1"/>
  <c r="I15" i="57" s="1"/>
  <c r="R15" i="57" s="1"/>
  <c r="T15" i="57" s="1"/>
  <c r="C14" i="105"/>
  <c r="D7" i="58" l="1"/>
  <c r="C52" i="58"/>
  <c r="C17" i="105"/>
  <c r="D17" i="105" s="1"/>
  <c r="D16" i="57" s="1"/>
  <c r="I16" i="57" s="1"/>
  <c r="R16" i="57" s="1"/>
  <c r="T16" i="57" s="1"/>
  <c r="D18" i="127"/>
  <c r="E18" i="127" s="1"/>
  <c r="D18" i="126"/>
  <c r="E18" i="126" s="1"/>
  <c r="D18" i="101"/>
  <c r="E18" i="101" s="1"/>
  <c r="B17" i="141"/>
  <c r="E17" i="141" s="1"/>
  <c r="M18" i="42"/>
  <c r="V18" i="19"/>
  <c r="K18" i="42"/>
  <c r="L18" i="42"/>
  <c r="U19" i="19"/>
  <c r="M20" i="113"/>
  <c r="D14" i="105"/>
  <c r="C18" i="60" l="1"/>
  <c r="B18" i="60" s="1"/>
  <c r="C7" i="58"/>
  <c r="V19" i="19"/>
  <c r="M19" i="42"/>
  <c r="K19" i="42"/>
  <c r="L19" i="42"/>
  <c r="U20" i="19"/>
  <c r="M21" i="113"/>
  <c r="C18" i="105"/>
  <c r="D18" i="105" s="1"/>
  <c r="D17" i="57" s="1"/>
  <c r="I17" i="57" s="1"/>
  <c r="R17" i="57" s="1"/>
  <c r="T17" i="57" s="1"/>
  <c r="B18" i="141"/>
  <c r="E18" i="141" s="1"/>
  <c r="D19" i="127"/>
  <c r="E19" i="127" s="1"/>
  <c r="D19" i="101"/>
  <c r="E19" i="101" s="1"/>
  <c r="D19" i="126"/>
  <c r="E19" i="126" s="1"/>
  <c r="D13" i="57"/>
  <c r="C19" i="105" l="1"/>
  <c r="D19" i="105" s="1"/>
  <c r="U21" i="19"/>
  <c r="M22" i="113"/>
  <c r="D20" i="101"/>
  <c r="E20" i="101" s="1"/>
  <c r="D20" i="127"/>
  <c r="E20" i="127" s="1"/>
  <c r="B19" i="141"/>
  <c r="E19" i="141" s="1"/>
  <c r="D20" i="126"/>
  <c r="E20" i="126" s="1"/>
  <c r="K20" i="42"/>
  <c r="M20" i="42"/>
  <c r="L20" i="42"/>
  <c r="V20" i="19"/>
  <c r="I13" i="57"/>
  <c r="C20" i="105" l="1"/>
  <c r="D20" i="105" s="1"/>
  <c r="D19" i="57" s="1"/>
  <c r="I19" i="57" s="1"/>
  <c r="R19" i="57" s="1"/>
  <c r="T19" i="57" s="1"/>
  <c r="D21" i="126"/>
  <c r="E21" i="126" s="1"/>
  <c r="B20" i="141"/>
  <c r="E20" i="141" s="1"/>
  <c r="D21" i="127"/>
  <c r="E21" i="127" s="1"/>
  <c r="D21" i="101"/>
  <c r="E21" i="101" s="1"/>
  <c r="M23" i="113"/>
  <c r="U22" i="19"/>
  <c r="M21" i="42"/>
  <c r="K21" i="42"/>
  <c r="L21" i="42"/>
  <c r="V21" i="19"/>
  <c r="D18" i="57"/>
  <c r="R13" i="57"/>
  <c r="T13" i="57" s="1"/>
  <c r="M22" i="42" l="1"/>
  <c r="V22" i="19"/>
  <c r="K22" i="42"/>
  <c r="L22" i="42"/>
  <c r="U23" i="19"/>
  <c r="M24" i="113"/>
  <c r="B21" i="141"/>
  <c r="E21" i="141" s="1"/>
  <c r="D22" i="126"/>
  <c r="E22" i="126" s="1"/>
  <c r="D22" i="127"/>
  <c r="E22" i="127" s="1"/>
  <c r="D22" i="101"/>
  <c r="E22" i="101" s="1"/>
  <c r="C21" i="105"/>
  <c r="D21" i="105" s="1"/>
  <c r="D20" i="57" s="1"/>
  <c r="I20" i="57" s="1"/>
  <c r="R20" i="57" s="1"/>
  <c r="T20" i="57" s="1"/>
  <c r="I18" i="57"/>
  <c r="C22" i="105" l="1"/>
  <c r="D22" i="105" s="1"/>
  <c r="D21" i="57" s="1"/>
  <c r="L23" i="42"/>
  <c r="M23" i="42"/>
  <c r="K23" i="42"/>
  <c r="V23" i="19"/>
  <c r="U24" i="19"/>
  <c r="M25" i="113"/>
  <c r="B22" i="141"/>
  <c r="E22" i="141" s="1"/>
  <c r="D23" i="126"/>
  <c r="E23" i="126" s="1"/>
  <c r="D23" i="101"/>
  <c r="E23" i="101" s="1"/>
  <c r="D23" i="127"/>
  <c r="E23" i="127" s="1"/>
  <c r="R18" i="57"/>
  <c r="T18" i="57" s="1"/>
  <c r="C23" i="105" l="1"/>
  <c r="D23" i="105" s="1"/>
  <c r="U25" i="19"/>
  <c r="M26" i="113"/>
  <c r="D24" i="101"/>
  <c r="E24" i="101" s="1"/>
  <c r="D24" i="127"/>
  <c r="E24" i="127" s="1"/>
  <c r="D24" i="126"/>
  <c r="E24" i="126" s="1"/>
  <c r="B23" i="141"/>
  <c r="E23" i="141" s="1"/>
  <c r="V24" i="19"/>
  <c r="M24" i="42"/>
  <c r="L24" i="42"/>
  <c r="K24" i="42"/>
  <c r="I21" i="57"/>
  <c r="C24" i="105" l="1"/>
  <c r="D24" i="105" s="1"/>
  <c r="D23" i="57" s="1"/>
  <c r="I23" i="57" s="1"/>
  <c r="R23" i="57" s="1"/>
  <c r="T23" i="57" s="1"/>
  <c r="D25" i="127"/>
  <c r="E25" i="127" s="1"/>
  <c r="D25" i="126"/>
  <c r="E25" i="126" s="1"/>
  <c r="D25" i="101"/>
  <c r="E25" i="101" s="1"/>
  <c r="B24" i="141"/>
  <c r="E24" i="141" s="1"/>
  <c r="M27" i="113"/>
  <c r="U26" i="19"/>
  <c r="M25" i="42"/>
  <c r="L25" i="42"/>
  <c r="V25" i="19"/>
  <c r="K25" i="42"/>
  <c r="R21" i="57"/>
  <c r="T21" i="57" s="1"/>
  <c r="D22" i="57"/>
  <c r="L26" i="42" l="1"/>
  <c r="M26" i="42"/>
  <c r="V26" i="19"/>
  <c r="K26" i="42"/>
  <c r="B25" i="141"/>
  <c r="E25" i="141" s="1"/>
  <c r="D26" i="127"/>
  <c r="E26" i="127" s="1"/>
  <c r="D26" i="101"/>
  <c r="E26" i="101" s="1"/>
  <c r="D26" i="126"/>
  <c r="E26" i="126" s="1"/>
  <c r="C25" i="105"/>
  <c r="D25" i="105" s="1"/>
  <c r="D24" i="57" s="1"/>
  <c r="I24" i="57" s="1"/>
  <c r="R24" i="57" s="1"/>
  <c r="T24" i="57" s="1"/>
  <c r="U27" i="19"/>
  <c r="M28" i="113"/>
  <c r="I22" i="57"/>
  <c r="C26" i="105" l="1"/>
  <c r="D26" i="105" s="1"/>
  <c r="D25" i="57" s="1"/>
  <c r="I25" i="57" s="1"/>
  <c r="R25" i="57" s="1"/>
  <c r="T25" i="57" s="1"/>
  <c r="D27" i="127"/>
  <c r="E27" i="127" s="1"/>
  <c r="D27" i="101"/>
  <c r="E27" i="101" s="1"/>
  <c r="B26" i="141"/>
  <c r="E26" i="141" s="1"/>
  <c r="D27" i="126"/>
  <c r="E27" i="126" s="1"/>
  <c r="K27" i="42"/>
  <c r="L27" i="42"/>
  <c r="V27" i="19"/>
  <c r="M27" i="42"/>
  <c r="U28" i="19"/>
  <c r="M29" i="113"/>
  <c r="R22" i="57"/>
  <c r="T22" i="57" s="1"/>
  <c r="C27" i="105" l="1"/>
  <c r="D27" i="105" s="1"/>
  <c r="D26" i="57" s="1"/>
  <c r="I26" i="57" s="1"/>
  <c r="V28" i="19"/>
  <c r="L28" i="42"/>
  <c r="K28" i="42"/>
  <c r="M28" i="42"/>
  <c r="M30" i="113"/>
  <c r="U29" i="19"/>
  <c r="D28" i="101"/>
  <c r="E28" i="101" s="1"/>
  <c r="D28" i="127"/>
  <c r="E28" i="127" s="1"/>
  <c r="B27" i="141"/>
  <c r="E27" i="141" s="1"/>
  <c r="D28" i="126"/>
  <c r="E28" i="126" s="1"/>
  <c r="C28" i="105" l="1"/>
  <c r="D28" i="105" s="1"/>
  <c r="D27" i="57" s="1"/>
  <c r="I27" i="57" s="1"/>
  <c r="R27" i="57" s="1"/>
  <c r="T27" i="57" s="1"/>
  <c r="D29" i="101"/>
  <c r="E29" i="101" s="1"/>
  <c r="D29" i="127"/>
  <c r="E29" i="127" s="1"/>
  <c r="B28" i="141"/>
  <c r="E28" i="141" s="1"/>
  <c r="D29" i="126"/>
  <c r="E29" i="126" s="1"/>
  <c r="M29" i="42"/>
  <c r="V29" i="19"/>
  <c r="L29" i="42"/>
  <c r="K29" i="42"/>
  <c r="M31" i="113"/>
  <c r="U30" i="19"/>
  <c r="R26" i="57"/>
  <c r="T26" i="57" s="1"/>
  <c r="C29" i="105" l="1"/>
  <c r="D29" i="105" s="1"/>
  <c r="D28" i="57" s="1"/>
  <c r="I28" i="57" s="1"/>
  <c r="R28" i="57" s="1"/>
  <c r="T28" i="57" s="1"/>
  <c r="M32" i="113"/>
  <c r="U31" i="19"/>
  <c r="M30" i="42"/>
  <c r="K30" i="42"/>
  <c r="L30" i="42"/>
  <c r="V30" i="19"/>
  <c r="D30" i="126"/>
  <c r="E30" i="126" s="1"/>
  <c r="B29" i="141"/>
  <c r="E29" i="141" s="1"/>
  <c r="D30" i="101"/>
  <c r="E30" i="101" s="1"/>
  <c r="D30" i="127"/>
  <c r="E30" i="127" s="1"/>
  <c r="C30" i="105" l="1"/>
  <c r="D30" i="105" s="1"/>
  <c r="D29" i="57" s="1"/>
  <c r="I29" i="57" s="1"/>
  <c r="R29" i="57" s="1"/>
  <c r="T29" i="57" s="1"/>
  <c r="M31" i="42"/>
  <c r="K31" i="42"/>
  <c r="V31" i="19"/>
  <c r="L31" i="42"/>
  <c r="D31" i="127"/>
  <c r="E31" i="127" s="1"/>
  <c r="B30" i="141"/>
  <c r="E30" i="141" s="1"/>
  <c r="D31" i="101"/>
  <c r="E31" i="101" s="1"/>
  <c r="D31" i="126"/>
  <c r="E31" i="126" s="1"/>
  <c r="M33" i="113"/>
  <c r="U32" i="19"/>
  <c r="C31" i="105" l="1"/>
  <c r="D31" i="105" s="1"/>
  <c r="D30" i="57" s="1"/>
  <c r="I30" i="57" s="1"/>
  <c r="R30" i="57" s="1"/>
  <c r="T30" i="57" s="1"/>
  <c r="L32" i="42"/>
  <c r="K32" i="42"/>
  <c r="V32" i="19"/>
  <c r="M32" i="42"/>
  <c r="D32" i="127"/>
  <c r="E32" i="127" s="1"/>
  <c r="B31" i="141"/>
  <c r="E31" i="141" s="1"/>
  <c r="D32" i="126"/>
  <c r="E32" i="126" s="1"/>
  <c r="D32" i="101"/>
  <c r="E32" i="101" s="1"/>
  <c r="U33" i="19"/>
  <c r="C32" i="105" l="1"/>
  <c r="D32" i="105" s="1"/>
  <c r="D31" i="57" s="1"/>
  <c r="I31" i="57" s="1"/>
  <c r="R31" i="57" s="1"/>
  <c r="T31" i="57" s="1"/>
  <c r="K33" i="42"/>
  <c r="L33" i="42"/>
  <c r="M33" i="42"/>
  <c r="U34" i="19"/>
  <c r="V33" i="19"/>
  <c r="V34" i="19" s="1"/>
  <c r="D33" i="101"/>
  <c r="E33" i="101" s="1"/>
  <c r="D33" i="127"/>
  <c r="E33" i="127" s="1"/>
  <c r="D33" i="126"/>
  <c r="E33" i="126" s="1"/>
  <c r="B32" i="141"/>
  <c r="E32" i="141" s="1"/>
  <c r="U34" i="113"/>
  <c r="C33" i="105" l="1"/>
  <c r="D33" i="105" s="1"/>
  <c r="D32" i="57" s="1"/>
  <c r="I32" i="57" s="1"/>
  <c r="R32" i="57" s="1"/>
  <c r="T32" i="57" s="1"/>
  <c r="D34" i="127"/>
  <c r="D34" i="101"/>
  <c r="E34" i="101" s="1"/>
  <c r="E35" i="101" s="1"/>
  <c r="B33" i="141"/>
  <c r="E33" i="141" s="1"/>
  <c r="D34" i="126"/>
  <c r="E34" i="126" s="1"/>
  <c r="E34" i="127" l="1"/>
  <c r="E35" i="127" s="1"/>
  <c r="D35" i="127"/>
  <c r="D35" i="126"/>
  <c r="E35" i="126"/>
  <c r="D35" i="101"/>
  <c r="C34" i="105" l="1"/>
  <c r="C35" i="105" l="1"/>
  <c r="D34" i="105"/>
  <c r="D33" i="57" l="1"/>
  <c r="C19" i="59" s="1" a="1"/>
  <c r="D35" i="105"/>
  <c r="C19" i="59" l="1"/>
  <c r="Z19" i="59"/>
  <c r="S19" i="59"/>
  <c r="D19" i="59"/>
  <c r="V19" i="59"/>
  <c r="X19" i="59"/>
  <c r="L19" i="59"/>
  <c r="AD19" i="59"/>
  <c r="AA19" i="59"/>
  <c r="J19" i="59"/>
  <c r="W19" i="59"/>
  <c r="R19" i="59"/>
  <c r="O19" i="59"/>
  <c r="G19" i="59"/>
  <c r="U19" i="59"/>
  <c r="F19" i="59"/>
  <c r="K19" i="59"/>
  <c r="I19" i="59"/>
  <c r="Y19" i="59"/>
  <c r="AE19" i="59"/>
  <c r="M19" i="59"/>
  <c r="AC19" i="59"/>
  <c r="P19" i="59"/>
  <c r="AF19" i="59"/>
  <c r="Q19" i="59"/>
  <c r="AB19" i="59"/>
  <c r="N19" i="59"/>
  <c r="T19" i="59"/>
  <c r="E19" i="59"/>
  <c r="H19" i="59"/>
  <c r="I33" i="57"/>
  <c r="D34" i="57"/>
  <c r="R33" i="57" l="1"/>
  <c r="T33" i="57" s="1"/>
  <c r="T35" i="57" s="1"/>
  <c r="I34" i="57"/>
  <c r="K16" i="59"/>
  <c r="G16" i="59"/>
  <c r="J16" i="59"/>
  <c r="E16" i="59"/>
  <c r="D16" i="59"/>
  <c r="I16" i="59"/>
  <c r="H16" i="59"/>
  <c r="F16" i="59"/>
  <c r="N16" i="59"/>
  <c r="M16" i="59"/>
  <c r="O16" i="59"/>
  <c r="P16" i="59"/>
  <c r="R16" i="59"/>
  <c r="L16" i="59"/>
  <c r="S16" i="59"/>
  <c r="Q16" i="59"/>
  <c r="V16" i="59"/>
  <c r="W16" i="59"/>
  <c r="T16" i="59"/>
  <c r="X16" i="59"/>
  <c r="U16" i="59"/>
  <c r="Z16" i="59"/>
  <c r="Y16" i="59"/>
  <c r="AA16" i="59"/>
  <c r="AC16" i="59"/>
  <c r="AB16" i="59"/>
  <c r="AD16" i="59"/>
  <c r="AE16" i="59"/>
  <c r="AF16" i="59"/>
  <c r="AE11" i="60" l="1"/>
  <c r="AE10" i="60" s="1"/>
  <c r="AE26" i="59"/>
  <c r="AE36" i="59" s="1"/>
  <c r="AA26" i="59"/>
  <c r="AA36" i="59" s="1"/>
  <c r="AA11" i="60"/>
  <c r="AA10" i="60" s="1"/>
  <c r="D26" i="59"/>
  <c r="D36" i="59" s="1"/>
  <c r="D11" i="60"/>
  <c r="D10" i="60" s="1"/>
  <c r="S26" i="59"/>
  <c r="S36" i="59" s="1"/>
  <c r="S11" i="60"/>
  <c r="S10" i="60" s="1"/>
  <c r="R11" i="60"/>
  <c r="R10" i="60" s="1"/>
  <c r="R26" i="59"/>
  <c r="R36" i="59" s="1"/>
  <c r="Y11" i="60"/>
  <c r="Y10" i="60" s="1"/>
  <c r="Y26" i="59"/>
  <c r="Y36" i="59" s="1"/>
  <c r="M26" i="59"/>
  <c r="M36" i="59" s="1"/>
  <c r="M11" i="60"/>
  <c r="M10" i="60" s="1"/>
  <c r="G26" i="59"/>
  <c r="G36" i="59" s="1"/>
  <c r="G11" i="60"/>
  <c r="G10" i="60" s="1"/>
  <c r="Q26" i="59"/>
  <c r="Q36" i="59" s="1"/>
  <c r="Q11" i="60"/>
  <c r="Q10" i="60" s="1"/>
  <c r="AB11" i="60"/>
  <c r="AB10" i="60" s="1"/>
  <c r="AB26" i="59"/>
  <c r="AB36" i="59" s="1"/>
  <c r="P11" i="60"/>
  <c r="P10" i="60" s="1"/>
  <c r="P26" i="59"/>
  <c r="P36" i="59" s="1"/>
  <c r="Z26" i="59"/>
  <c r="Z36" i="59" s="1"/>
  <c r="Z11" i="60"/>
  <c r="Z10" i="60" s="1"/>
  <c r="N11" i="60"/>
  <c r="N10" i="60" s="1"/>
  <c r="N26" i="59"/>
  <c r="N36" i="59" s="1"/>
  <c r="K26" i="59"/>
  <c r="K36" i="59" s="1"/>
  <c r="K11" i="60"/>
  <c r="K10" i="60" s="1"/>
  <c r="H26" i="59"/>
  <c r="H36" i="59" s="1"/>
  <c r="H11" i="60"/>
  <c r="H10" i="60" s="1"/>
  <c r="L26" i="59"/>
  <c r="L36" i="59" s="1"/>
  <c r="L11" i="60"/>
  <c r="L10" i="60" s="1"/>
  <c r="C16" i="59"/>
  <c r="B19" i="59"/>
  <c r="I26" i="59"/>
  <c r="I36" i="59" s="1"/>
  <c r="I11" i="60"/>
  <c r="I10" i="60" s="1"/>
  <c r="E26" i="59"/>
  <c r="E36" i="59" s="1"/>
  <c r="E11" i="60"/>
  <c r="E10" i="60" s="1"/>
  <c r="U26" i="59"/>
  <c r="U36" i="59" s="1"/>
  <c r="U11" i="60"/>
  <c r="U10" i="60" s="1"/>
  <c r="J26" i="59"/>
  <c r="J36" i="59" s="1"/>
  <c r="J11" i="60"/>
  <c r="J10" i="60" s="1"/>
  <c r="X26" i="59"/>
  <c r="X36" i="59" s="1"/>
  <c r="X11" i="60"/>
  <c r="X10" i="60" s="1"/>
  <c r="T11" i="60"/>
  <c r="T10" i="60" s="1"/>
  <c r="T26" i="59"/>
  <c r="T36" i="59" s="1"/>
  <c r="W11" i="60"/>
  <c r="W10" i="60" s="1"/>
  <c r="W26" i="59"/>
  <c r="W36" i="59" s="1"/>
  <c r="F26" i="59"/>
  <c r="F36" i="59" s="1"/>
  <c r="F11" i="60"/>
  <c r="F10" i="60" s="1"/>
  <c r="AD11" i="60"/>
  <c r="AD10" i="60" s="1"/>
  <c r="AD26" i="59"/>
  <c r="AD36" i="59" s="1"/>
  <c r="AC11" i="60"/>
  <c r="AC10" i="60" s="1"/>
  <c r="AC26" i="59"/>
  <c r="AC36" i="59" s="1"/>
  <c r="O11" i="60"/>
  <c r="O10" i="60" s="1"/>
  <c r="O26" i="59"/>
  <c r="O36" i="59" s="1"/>
  <c r="AF26" i="59"/>
  <c r="AF36" i="59" s="1"/>
  <c r="AF11" i="60"/>
  <c r="AF10" i="60" s="1"/>
  <c r="V26" i="59"/>
  <c r="V36" i="59" s="1"/>
  <c r="V11" i="60"/>
  <c r="V10" i="60" s="1"/>
  <c r="C26" i="59" l="1"/>
  <c r="C11" i="60"/>
  <c r="B16" i="59"/>
  <c r="C10" i="60" l="1"/>
  <c r="B11" i="60"/>
  <c r="C36" i="59"/>
  <c r="B26" i="59"/>
  <c r="B36" i="59" l="1"/>
  <c r="B10" i="60"/>
  <c r="D12" i="118" l="1"/>
  <c r="AC18" i="58"/>
  <c r="AC23" i="58" s="1"/>
  <c r="R18" i="58"/>
  <c r="R23" i="58" s="1"/>
  <c r="AD18" i="58"/>
  <c r="AD23" i="58" s="1"/>
  <c r="F18" i="58"/>
  <c r="F23" i="58" s="1"/>
  <c r="K18" i="58"/>
  <c r="K23" i="58" s="1"/>
  <c r="Z18" i="58"/>
  <c r="Z23" i="58" s="1"/>
  <c r="Y18" i="58"/>
  <c r="Y23" i="58" s="1"/>
  <c r="O18" i="58"/>
  <c r="O23" i="58" s="1"/>
  <c r="T18" i="58"/>
  <c r="T23" i="58" s="1"/>
  <c r="AG18" i="58"/>
  <c r="AG23" i="58" s="1"/>
  <c r="P18" i="58"/>
  <c r="P23" i="58" s="1"/>
  <c r="V18" i="58"/>
  <c r="V23" i="58" s="1"/>
  <c r="X18" i="58"/>
  <c r="X23" i="58" s="1"/>
  <c r="S18" i="58"/>
  <c r="S23" i="58" s="1"/>
  <c r="W18" i="58"/>
  <c r="W23" i="58" s="1"/>
  <c r="AB18" i="58"/>
  <c r="AB23" i="58" s="1"/>
  <c r="G18" i="58"/>
  <c r="G23" i="58" s="1"/>
  <c r="AA18" i="58"/>
  <c r="AA23" i="58" s="1"/>
  <c r="AE18" i="58"/>
  <c r="AE23" i="58" s="1"/>
  <c r="U18" i="58"/>
  <c r="U23" i="58" s="1"/>
  <c r="Q18" i="58"/>
  <c r="Q23" i="58" s="1"/>
  <c r="H18" i="58"/>
  <c r="H23" i="58" s="1"/>
  <c r="J18" i="58"/>
  <c r="J23" i="58" s="1"/>
  <c r="L18" i="58"/>
  <c r="L23" i="58" s="1"/>
  <c r="I18" i="58"/>
  <c r="I23" i="58" s="1"/>
  <c r="AF18" i="58"/>
  <c r="AF23" i="58" s="1"/>
  <c r="M18" i="58"/>
  <c r="M23" i="58" s="1"/>
  <c r="N18" i="58"/>
  <c r="N23" i="58" s="1"/>
  <c r="C18" i="58" l="1"/>
  <c r="D13" i="58" l="1"/>
  <c r="D12" i="58" s="1"/>
  <c r="D5" i="58" l="1"/>
  <c r="C16" i="60"/>
  <c r="C15" i="111" l="1"/>
  <c r="C45" i="111" l="1"/>
  <c r="C4" i="111" s="1"/>
  <c r="C7" i="111" s="1"/>
  <c r="B15" i="111"/>
  <c r="C38" i="59" l="1"/>
  <c r="C40" i="59" s="1"/>
  <c r="C44" i="59" l="1"/>
  <c r="C22" i="60" s="1"/>
  <c r="C43" i="59"/>
  <c r="C42" i="59" l="1"/>
  <c r="C52" i="59" s="1"/>
  <c r="C21" i="60"/>
  <c r="C20" i="60" s="1"/>
  <c r="P13" i="58" l="1"/>
  <c r="P12" i="58" s="1"/>
  <c r="L13" i="58"/>
  <c r="L12" i="58" s="1"/>
  <c r="H13" i="58"/>
  <c r="H12" i="58" s="1"/>
  <c r="AC13" i="58"/>
  <c r="AC12" i="58" s="1"/>
  <c r="M13" i="58"/>
  <c r="M12" i="58" s="1"/>
  <c r="W13" i="58"/>
  <c r="W12" i="58" s="1"/>
  <c r="T13" i="58"/>
  <c r="T12" i="58"/>
  <c r="V13" i="58"/>
  <c r="V12" i="58" s="1"/>
  <c r="C23" i="58"/>
  <c r="AA13" i="58"/>
  <c r="AA12" i="58" s="1"/>
  <c r="Q13" i="58"/>
  <c r="Q12" i="58" s="1"/>
  <c r="AE13" i="58"/>
  <c r="AE12" i="58" s="1"/>
  <c r="Z13" i="58"/>
  <c r="Z12" i="58" s="1"/>
  <c r="X13" i="58"/>
  <c r="X12" i="58" s="1"/>
  <c r="I13" i="58"/>
  <c r="I12" i="58" s="1"/>
  <c r="U13" i="58"/>
  <c r="U12" i="58" s="1"/>
  <c r="Y13" i="58"/>
  <c r="Y12" i="58" s="1"/>
  <c r="AD13" i="58"/>
  <c r="AD12" i="58" s="1"/>
  <c r="S13" i="58"/>
  <c r="S12" i="58" s="1"/>
  <c r="K13" i="58"/>
  <c r="K12" i="58" s="1"/>
  <c r="AB13" i="58"/>
  <c r="AB12" i="58" s="1"/>
  <c r="G13" i="58"/>
  <c r="G12" i="58" s="1"/>
  <c r="N13" i="58"/>
  <c r="N12" i="58" s="1"/>
  <c r="J13" i="58"/>
  <c r="J12" i="58" s="1"/>
  <c r="R13" i="58"/>
  <c r="R12" i="58" s="1"/>
  <c r="F13" i="58"/>
  <c r="F12" i="58" s="1"/>
  <c r="O13" i="58"/>
  <c r="O12" i="58" s="1"/>
  <c r="AG13" i="58"/>
  <c r="AG12" i="58" s="1"/>
  <c r="AF13" i="58"/>
  <c r="AF12" i="58" s="1"/>
  <c r="E13" i="58"/>
  <c r="E12" i="58" s="1"/>
  <c r="Q5" i="58" l="1"/>
  <c r="I5" i="58"/>
  <c r="H16" i="60" s="1"/>
  <c r="H15" i="60" s="1"/>
  <c r="N5" i="58"/>
  <c r="V5" i="58"/>
  <c r="Z5" i="58"/>
  <c r="AG5" i="58"/>
  <c r="AG4" i="58" s="1"/>
  <c r="AF44" i="111"/>
  <c r="B44" i="111" s="1"/>
  <c r="AE5" i="58"/>
  <c r="AB5" i="58"/>
  <c r="AA16" i="60" s="1"/>
  <c r="AA15" i="60" s="1"/>
  <c r="S5" i="58"/>
  <c r="Y5" i="58"/>
  <c r="I4" i="58"/>
  <c r="X5" i="58"/>
  <c r="K5" i="58"/>
  <c r="U5" i="58"/>
  <c r="R5" i="58"/>
  <c r="AD5" i="58"/>
  <c r="AF5" i="58"/>
  <c r="U16" i="60"/>
  <c r="U15" i="60" s="1"/>
  <c r="V4" i="58"/>
  <c r="O5" i="58"/>
  <c r="G5" i="58"/>
  <c r="AA5" i="58"/>
  <c r="W5" i="58"/>
  <c r="AC5" i="58"/>
  <c r="AB4" i="58"/>
  <c r="H5" i="58"/>
  <c r="C13" i="58"/>
  <c r="AF16" i="60"/>
  <c r="AF15" i="60" s="1"/>
  <c r="F5" i="58"/>
  <c r="P16" i="60"/>
  <c r="P15" i="60" s="1"/>
  <c r="Q4" i="58"/>
  <c r="C12" i="58"/>
  <c r="J5" i="58"/>
  <c r="E5" i="58"/>
  <c r="L5" i="58"/>
  <c r="P5" i="58"/>
  <c r="T5" i="58"/>
  <c r="M5" i="58"/>
  <c r="AF30" i="111" l="1"/>
  <c r="X30" i="111"/>
  <c r="AE30" i="111"/>
  <c r="W30" i="111"/>
  <c r="AD30" i="111"/>
  <c r="V30" i="111"/>
  <c r="R30" i="111"/>
  <c r="Y30" i="111"/>
  <c r="AC30" i="111"/>
  <c r="U30" i="111"/>
  <c r="AB30" i="111"/>
  <c r="T30" i="111"/>
  <c r="AA30" i="111"/>
  <c r="S30" i="111"/>
  <c r="Z30" i="111"/>
  <c r="AB37" i="111"/>
  <c r="AA37" i="111"/>
  <c r="Z37" i="111"/>
  <c r="Y37" i="111"/>
  <c r="AC37" i="111"/>
  <c r="AF37" i="111"/>
  <c r="AE37" i="111"/>
  <c r="AD37" i="111"/>
  <c r="AE28" i="111"/>
  <c r="W28" i="111"/>
  <c r="X28" i="111"/>
  <c r="AD28" i="111"/>
  <c r="V28" i="111"/>
  <c r="AF28" i="111"/>
  <c r="AC28" i="111"/>
  <c r="U28" i="111"/>
  <c r="AB28" i="111"/>
  <c r="T28" i="111"/>
  <c r="Q28" i="111"/>
  <c r="P28" i="111"/>
  <c r="AA28" i="111"/>
  <c r="S28" i="111"/>
  <c r="Y28" i="111"/>
  <c r="Z28" i="111"/>
  <c r="R28" i="111"/>
  <c r="AA23" i="111"/>
  <c r="S23" i="111"/>
  <c r="K23" i="111"/>
  <c r="L23" i="111"/>
  <c r="Z23" i="111"/>
  <c r="R23" i="111"/>
  <c r="U23" i="111"/>
  <c r="Y23" i="111"/>
  <c r="Q23" i="111"/>
  <c r="M23" i="111"/>
  <c r="AB23" i="111"/>
  <c r="AF23" i="111"/>
  <c r="X23" i="111"/>
  <c r="P23" i="111"/>
  <c r="T23" i="111"/>
  <c r="AE23" i="111"/>
  <c r="W23" i="111"/>
  <c r="O23" i="111"/>
  <c r="AD23" i="111"/>
  <c r="V23" i="111"/>
  <c r="N23" i="111"/>
  <c r="AC23" i="111"/>
  <c r="AB17" i="111"/>
  <c r="T17" i="111"/>
  <c r="L17" i="111"/>
  <c r="AD17" i="111"/>
  <c r="AA17" i="111"/>
  <c r="S17" i="111"/>
  <c r="K17" i="111"/>
  <c r="AC17" i="111"/>
  <c r="Z17" i="111"/>
  <c r="R17" i="111"/>
  <c r="J17" i="111"/>
  <c r="F17" i="111"/>
  <c r="M17" i="111"/>
  <c r="Y17" i="111"/>
  <c r="Q17" i="111"/>
  <c r="I17" i="111"/>
  <c r="N17" i="111"/>
  <c r="AF17" i="111"/>
  <c r="X17" i="111"/>
  <c r="P17" i="111"/>
  <c r="H17" i="111"/>
  <c r="E17" i="111"/>
  <c r="AE17" i="111"/>
  <c r="W17" i="111"/>
  <c r="O17" i="111"/>
  <c r="G17" i="111"/>
  <c r="V17" i="111"/>
  <c r="U17" i="111"/>
  <c r="AF40" i="111"/>
  <c r="AE40" i="111"/>
  <c r="AD40" i="111"/>
  <c r="AC40" i="111"/>
  <c r="AB40" i="111"/>
  <c r="AF43" i="111"/>
  <c r="AE43" i="111"/>
  <c r="AB22" i="111"/>
  <c r="T22" i="111"/>
  <c r="L22" i="111"/>
  <c r="N22" i="111"/>
  <c r="AA22" i="111"/>
  <c r="S22" i="111"/>
  <c r="K22" i="111"/>
  <c r="M22" i="111"/>
  <c r="Z22" i="111"/>
  <c r="R22" i="111"/>
  <c r="J22" i="111"/>
  <c r="Y22" i="111"/>
  <c r="Q22" i="111"/>
  <c r="V22" i="111"/>
  <c r="AF22" i="111"/>
  <c r="X22" i="111"/>
  <c r="P22" i="111"/>
  <c r="AD22" i="111"/>
  <c r="U22" i="111"/>
  <c r="AE22" i="111"/>
  <c r="W22" i="111"/>
  <c r="O22" i="111"/>
  <c r="AC22" i="111"/>
  <c r="AF18" i="111"/>
  <c r="X18" i="111"/>
  <c r="P18" i="111"/>
  <c r="H18" i="111"/>
  <c r="R18" i="111"/>
  <c r="Q18" i="111"/>
  <c r="AE18" i="111"/>
  <c r="W18" i="111"/>
  <c r="O18" i="111"/>
  <c r="G18" i="111"/>
  <c r="J18" i="111"/>
  <c r="AD18" i="111"/>
  <c r="V18" i="111"/>
  <c r="N18" i="111"/>
  <c r="F18" i="111"/>
  <c r="I18" i="111"/>
  <c r="AC18" i="111"/>
  <c r="U18" i="111"/>
  <c r="M18" i="111"/>
  <c r="Y18" i="111"/>
  <c r="AB18" i="111"/>
  <c r="T18" i="111"/>
  <c r="L18" i="111"/>
  <c r="Z18" i="111"/>
  <c r="AA18" i="111"/>
  <c r="S18" i="111"/>
  <c r="K18" i="111"/>
  <c r="AE16" i="111"/>
  <c r="W16" i="111"/>
  <c r="O16" i="111"/>
  <c r="G16" i="111"/>
  <c r="Y16" i="111"/>
  <c r="AD16" i="111"/>
  <c r="V16" i="111"/>
  <c r="N16" i="111"/>
  <c r="F16" i="111"/>
  <c r="AC16" i="111"/>
  <c r="U16" i="111"/>
  <c r="M16" i="111"/>
  <c r="E16" i="111"/>
  <c r="E45" i="111" s="1"/>
  <c r="E4" i="111" s="1"/>
  <c r="E7" i="111" s="1"/>
  <c r="Q16" i="111"/>
  <c r="P16" i="111"/>
  <c r="AB16" i="111"/>
  <c r="T16" i="111"/>
  <c r="L16" i="111"/>
  <c r="D16" i="111"/>
  <c r="X16" i="111"/>
  <c r="AA16" i="111"/>
  <c r="S16" i="111"/>
  <c r="K16" i="111"/>
  <c r="I16" i="111"/>
  <c r="H16" i="111"/>
  <c r="Z16" i="111"/>
  <c r="R16" i="111"/>
  <c r="J16" i="111"/>
  <c r="AF16" i="111"/>
  <c r="Z33" i="111"/>
  <c r="Y33" i="111"/>
  <c r="AF33" i="111"/>
  <c r="X33" i="111"/>
  <c r="AA33" i="111"/>
  <c r="AE33" i="111"/>
  <c r="W33" i="111"/>
  <c r="AD33" i="111"/>
  <c r="V33" i="111"/>
  <c r="AC33" i="111"/>
  <c r="U33" i="111"/>
  <c r="AB33" i="111"/>
  <c r="AB21" i="111"/>
  <c r="T21" i="111"/>
  <c r="L21" i="111"/>
  <c r="AD21" i="111"/>
  <c r="M21" i="111"/>
  <c r="AA21" i="111"/>
  <c r="S21" i="111"/>
  <c r="K21" i="111"/>
  <c r="Z21" i="111"/>
  <c r="R21" i="111"/>
  <c r="J21" i="111"/>
  <c r="N21" i="111"/>
  <c r="U21" i="111"/>
  <c r="Y21" i="111"/>
  <c r="Q21" i="111"/>
  <c r="I21" i="111"/>
  <c r="AC21" i="111"/>
  <c r="AF21" i="111"/>
  <c r="X21" i="111"/>
  <c r="P21" i="111"/>
  <c r="AE21" i="111"/>
  <c r="W21" i="111"/>
  <c r="O21" i="111"/>
  <c r="V21" i="111"/>
  <c r="AC41" i="111"/>
  <c r="AE41" i="111"/>
  <c r="AF41" i="111"/>
  <c r="AD41" i="111"/>
  <c r="Y35" i="111"/>
  <c r="AA35" i="111"/>
  <c r="AF35" i="111"/>
  <c r="X35" i="111"/>
  <c r="AE35" i="111"/>
  <c r="W35" i="111"/>
  <c r="AD35" i="111"/>
  <c r="AC35" i="111"/>
  <c r="Z35" i="111"/>
  <c r="AB35" i="111"/>
  <c r="Z26" i="111"/>
  <c r="R26" i="111"/>
  <c r="AA26" i="111"/>
  <c r="Y26" i="111"/>
  <c r="Q26" i="111"/>
  <c r="T26" i="111"/>
  <c r="AF26" i="111"/>
  <c r="X26" i="111"/>
  <c r="P26" i="111"/>
  <c r="AE26" i="111"/>
  <c r="W26" i="111"/>
  <c r="O26" i="111"/>
  <c r="AD26" i="111"/>
  <c r="V26" i="111"/>
  <c r="N26" i="111"/>
  <c r="AB26" i="111"/>
  <c r="AC26" i="111"/>
  <c r="U26" i="111"/>
  <c r="S26" i="111"/>
  <c r="AC32" i="111"/>
  <c r="U32" i="111"/>
  <c r="AE32" i="111"/>
  <c r="AB32" i="111"/>
  <c r="T32" i="111"/>
  <c r="AD32" i="111"/>
  <c r="AA32" i="111"/>
  <c r="Z32" i="111"/>
  <c r="W32" i="111"/>
  <c r="V32" i="111"/>
  <c r="Y32" i="111"/>
  <c r="AF32" i="111"/>
  <c r="X32" i="111"/>
  <c r="AA39" i="111"/>
  <c r="AC39" i="111"/>
  <c r="AB39" i="111"/>
  <c r="AF39" i="111"/>
  <c r="AE39" i="111"/>
  <c r="AD39" i="111"/>
  <c r="AE31" i="111"/>
  <c r="W31" i="111"/>
  <c r="AF31" i="111"/>
  <c r="AD31" i="111"/>
  <c r="V31" i="111"/>
  <c r="AC31" i="111"/>
  <c r="U31" i="111"/>
  <c r="AB31" i="111"/>
  <c r="T31" i="111"/>
  <c r="AA31" i="111"/>
  <c r="S31" i="111"/>
  <c r="Y31" i="111"/>
  <c r="Z31" i="111"/>
  <c r="X31" i="111"/>
  <c r="AF42" i="111"/>
  <c r="AE42" i="111"/>
  <c r="AD42" i="111"/>
  <c r="AD25" i="111"/>
  <c r="V25" i="111"/>
  <c r="N25" i="111"/>
  <c r="AC25" i="111"/>
  <c r="U25" i="111"/>
  <c r="M25" i="111"/>
  <c r="W25" i="111"/>
  <c r="AB25" i="111"/>
  <c r="T25" i="111"/>
  <c r="P25" i="111"/>
  <c r="AE25" i="111"/>
  <c r="AA25" i="111"/>
  <c r="S25" i="111"/>
  <c r="X25" i="111"/>
  <c r="O25" i="111"/>
  <c r="Z25" i="111"/>
  <c r="R25" i="111"/>
  <c r="Y25" i="111"/>
  <c r="Q25" i="111"/>
  <c r="AF25" i="111"/>
  <c r="AD34" i="111"/>
  <c r="V34" i="111"/>
  <c r="AE34" i="111"/>
  <c r="AC34" i="111"/>
  <c r="AF34" i="111"/>
  <c r="AB34" i="111"/>
  <c r="AA34" i="111"/>
  <c r="Z34" i="111"/>
  <c r="X34" i="111"/>
  <c r="Y34" i="111"/>
  <c r="W34" i="111"/>
  <c r="AB38" i="111"/>
  <c r="AC38" i="111"/>
  <c r="AA38" i="111"/>
  <c r="Z38" i="111"/>
  <c r="AD38" i="111"/>
  <c r="AF38" i="111"/>
  <c r="AE38" i="111"/>
  <c r="AC27" i="111"/>
  <c r="U27" i="111"/>
  <c r="AE27" i="111"/>
  <c r="AB27" i="111"/>
  <c r="T27" i="111"/>
  <c r="AA27" i="111"/>
  <c r="S27" i="111"/>
  <c r="O27" i="111"/>
  <c r="V27" i="111"/>
  <c r="Z27" i="111"/>
  <c r="R27" i="111"/>
  <c r="Y27" i="111"/>
  <c r="Q27" i="111"/>
  <c r="AD27" i="111"/>
  <c r="AF27" i="111"/>
  <c r="X27" i="111"/>
  <c r="P27" i="111"/>
  <c r="W27" i="111"/>
  <c r="AB19" i="111"/>
  <c r="T19" i="111"/>
  <c r="L19" i="111"/>
  <c r="AD19" i="111"/>
  <c r="AA19" i="111"/>
  <c r="S19" i="111"/>
  <c r="K19" i="111"/>
  <c r="Z19" i="111"/>
  <c r="R19" i="111"/>
  <c r="J19" i="111"/>
  <c r="V19" i="111"/>
  <c r="M19" i="111"/>
  <c r="Y19" i="111"/>
  <c r="Q19" i="111"/>
  <c r="I19" i="111"/>
  <c r="AF19" i="111"/>
  <c r="X19" i="111"/>
  <c r="P19" i="111"/>
  <c r="H19" i="111"/>
  <c r="N19" i="111"/>
  <c r="U19" i="111"/>
  <c r="AE19" i="111"/>
  <c r="W19" i="111"/>
  <c r="O19" i="111"/>
  <c r="G19" i="111"/>
  <c r="AC19" i="111"/>
  <c r="AF29" i="111"/>
  <c r="X29" i="111"/>
  <c r="Z29" i="111"/>
  <c r="AE29" i="111"/>
  <c r="W29" i="111"/>
  <c r="R29" i="111"/>
  <c r="AD29" i="111"/>
  <c r="V29" i="111"/>
  <c r="AC29" i="111"/>
  <c r="U29" i="111"/>
  <c r="AB29" i="111"/>
  <c r="T29" i="111"/>
  <c r="Q29" i="111"/>
  <c r="AA29" i="111"/>
  <c r="S29" i="111"/>
  <c r="Y29" i="111"/>
  <c r="AA36" i="111"/>
  <c r="Z36" i="111"/>
  <c r="AB36" i="111"/>
  <c r="Y36" i="111"/>
  <c r="AC36" i="111"/>
  <c r="AF36" i="111"/>
  <c r="X36" i="111"/>
  <c r="AE36" i="111"/>
  <c r="AD36" i="111"/>
  <c r="AA20" i="111"/>
  <c r="S20" i="111"/>
  <c r="K20" i="111"/>
  <c r="Z20" i="111"/>
  <c r="R20" i="111"/>
  <c r="J20" i="111"/>
  <c r="T20" i="111"/>
  <c r="Y20" i="111"/>
  <c r="Q20" i="111"/>
  <c r="I20" i="111"/>
  <c r="U20" i="111"/>
  <c r="AF20" i="111"/>
  <c r="X20" i="111"/>
  <c r="P20" i="111"/>
  <c r="H20" i="111"/>
  <c r="AE20" i="111"/>
  <c r="W20" i="111"/>
  <c r="O20" i="111"/>
  <c r="M20" i="111"/>
  <c r="L20" i="111"/>
  <c r="AD20" i="111"/>
  <c r="V20" i="111"/>
  <c r="N20" i="111"/>
  <c r="AC20" i="111"/>
  <c r="AB20" i="111"/>
  <c r="Y24" i="111"/>
  <c r="Q24" i="111"/>
  <c r="S24" i="111"/>
  <c r="AF24" i="111"/>
  <c r="X24" i="111"/>
  <c r="P24" i="111"/>
  <c r="AE24" i="111"/>
  <c r="W24" i="111"/>
  <c r="O24" i="111"/>
  <c r="AD24" i="111"/>
  <c r="V24" i="111"/>
  <c r="N24" i="111"/>
  <c r="AC24" i="111"/>
  <c r="U24" i="111"/>
  <c r="M24" i="111"/>
  <c r="AA24" i="111"/>
  <c r="R24" i="111"/>
  <c r="AB24" i="111"/>
  <c r="T24" i="111"/>
  <c r="L24" i="111"/>
  <c r="Z24" i="111"/>
  <c r="Y16" i="60"/>
  <c r="Y15" i="60" s="1"/>
  <c r="Z4" i="58"/>
  <c r="M16" i="60"/>
  <c r="M15" i="60" s="1"/>
  <c r="N4" i="58"/>
  <c r="X16" i="60"/>
  <c r="X15" i="60" s="1"/>
  <c r="Y4" i="58"/>
  <c r="R16" i="60"/>
  <c r="R15" i="60" s="1"/>
  <c r="S4" i="58"/>
  <c r="AD16" i="60"/>
  <c r="AD15" i="60" s="1"/>
  <c r="AE4" i="58"/>
  <c r="E4" i="58"/>
  <c r="C5" i="58"/>
  <c r="D16" i="60"/>
  <c r="E16" i="60"/>
  <c r="E15" i="60" s="1"/>
  <c r="F4" i="58"/>
  <c r="T16" i="60"/>
  <c r="T15" i="60" s="1"/>
  <c r="U4" i="58"/>
  <c r="V16" i="60"/>
  <c r="V15" i="60" s="1"/>
  <c r="W4" i="58"/>
  <c r="I16" i="60"/>
  <c r="I15" i="60" s="1"/>
  <c r="J4" i="58"/>
  <c r="AE16" i="60"/>
  <c r="AE15" i="60" s="1"/>
  <c r="AF4" i="58"/>
  <c r="AB16" i="60"/>
  <c r="AB15" i="60" s="1"/>
  <c r="AC4" i="58"/>
  <c r="J16" i="60"/>
  <c r="J15" i="60" s="1"/>
  <c r="K4" i="58"/>
  <c r="Z16" i="60"/>
  <c r="Z15" i="60" s="1"/>
  <c r="AA4" i="58"/>
  <c r="L16" i="60"/>
  <c r="L15" i="60" s="1"/>
  <c r="M4" i="58"/>
  <c r="F16" i="60"/>
  <c r="F15" i="60" s="1"/>
  <c r="G4" i="58"/>
  <c r="K16" i="60"/>
  <c r="K15" i="60" s="1"/>
  <c r="L4" i="58"/>
  <c r="O16" i="60"/>
  <c r="O15" i="60" s="1"/>
  <c r="P4" i="58"/>
  <c r="G16" i="60"/>
  <c r="G15" i="60" s="1"/>
  <c r="H4" i="58"/>
  <c r="AC16" i="60"/>
  <c r="AC15" i="60" s="1"/>
  <c r="AD4" i="58"/>
  <c r="S16" i="60"/>
  <c r="S15" i="60" s="1"/>
  <c r="T4" i="58"/>
  <c r="N16" i="60"/>
  <c r="N15" i="60" s="1"/>
  <c r="O4" i="58"/>
  <c r="Q16" i="60"/>
  <c r="Q15" i="60" s="1"/>
  <c r="R4" i="58"/>
  <c r="W16" i="60"/>
  <c r="W15" i="60" s="1"/>
  <c r="X4" i="58"/>
  <c r="B29" i="111" l="1"/>
  <c r="B19" i="111"/>
  <c r="AA45" i="111"/>
  <c r="AA4" i="111" s="1"/>
  <c r="AA7" i="111" s="1"/>
  <c r="J45" i="111"/>
  <c r="J4" i="111" s="1"/>
  <c r="J7" i="111" s="1"/>
  <c r="B40" i="111"/>
  <c r="M45" i="111"/>
  <c r="M4" i="111" s="1"/>
  <c r="M7" i="111" s="1"/>
  <c r="G45" i="111"/>
  <c r="G4" i="111" s="1"/>
  <c r="G7" i="111" s="1"/>
  <c r="G38" i="59" s="1"/>
  <c r="G40" i="59" s="1"/>
  <c r="G44" i="59" s="1"/>
  <c r="G22" i="60" s="1"/>
  <c r="B18" i="111"/>
  <c r="B30" i="111"/>
  <c r="B20" i="111"/>
  <c r="B35" i="111"/>
  <c r="R45" i="111"/>
  <c r="R4" i="111" s="1"/>
  <c r="R7" i="111" s="1"/>
  <c r="R38" i="59" s="1"/>
  <c r="R40" i="59" s="1"/>
  <c r="B16" i="111"/>
  <c r="D45" i="111"/>
  <c r="D4" i="111" s="1"/>
  <c r="D7" i="111" s="1"/>
  <c r="U45" i="111"/>
  <c r="U4" i="111" s="1"/>
  <c r="U7" i="111" s="1"/>
  <c r="U38" i="59" s="1"/>
  <c r="U40" i="59" s="1"/>
  <c r="O45" i="111"/>
  <c r="O4" i="111" s="1"/>
  <c r="O7" i="111" s="1"/>
  <c r="O38" i="59" s="1"/>
  <c r="O40" i="59" s="1"/>
  <c r="B17" i="111"/>
  <c r="B23" i="111"/>
  <c r="L45" i="111"/>
  <c r="L4" i="111" s="1"/>
  <c r="L7" i="111" s="1"/>
  <c r="L38" i="59" s="1"/>
  <c r="L40" i="59" s="1"/>
  <c r="B27" i="111"/>
  <c r="B41" i="111"/>
  <c r="Z45" i="111"/>
  <c r="Z4" i="111" s="1"/>
  <c r="Z7" i="111" s="1"/>
  <c r="W45" i="111"/>
  <c r="W4" i="111" s="1"/>
  <c r="W7" i="111" s="1"/>
  <c r="W38" i="59" s="1"/>
  <c r="W40" i="59" s="1"/>
  <c r="B38" i="111"/>
  <c r="H45" i="111"/>
  <c r="H4" i="111" s="1"/>
  <c r="H7" i="111" s="1"/>
  <c r="H38" i="59" s="1"/>
  <c r="H40" i="59" s="1"/>
  <c r="T45" i="111"/>
  <c r="T4" i="111" s="1"/>
  <c r="T7" i="111" s="1"/>
  <c r="T38" i="59" s="1"/>
  <c r="T40" i="59" s="1"/>
  <c r="F45" i="111"/>
  <c r="F4" i="111" s="1"/>
  <c r="F7" i="111" s="1"/>
  <c r="F38" i="59" s="1"/>
  <c r="F40" i="59" s="1"/>
  <c r="F43" i="59" s="1"/>
  <c r="AE45" i="111"/>
  <c r="AE4" i="111" s="1"/>
  <c r="AE7" i="111" s="1"/>
  <c r="AE38" i="59" s="1"/>
  <c r="AE40" i="59" s="1"/>
  <c r="B22" i="111"/>
  <c r="AF45" i="111"/>
  <c r="AF4" i="111" s="1"/>
  <c r="AF7" i="111" s="1"/>
  <c r="B42" i="111"/>
  <c r="B26" i="111"/>
  <c r="X45" i="111"/>
  <c r="X4" i="111" s="1"/>
  <c r="X7" i="111" s="1"/>
  <c r="X38" i="59" s="1"/>
  <c r="X40" i="59" s="1"/>
  <c r="B34" i="111"/>
  <c r="AC45" i="111"/>
  <c r="AC4" i="111" s="1"/>
  <c r="AC7" i="111" s="1"/>
  <c r="AC38" i="59" s="1"/>
  <c r="AC40" i="59" s="1"/>
  <c r="B31" i="111"/>
  <c r="B39" i="111"/>
  <c r="B21" i="111"/>
  <c r="I45" i="111"/>
  <c r="I4" i="111" s="1"/>
  <c r="I7" i="111" s="1"/>
  <c r="I38" i="59" s="1"/>
  <c r="I40" i="59" s="1"/>
  <c r="AB45" i="111"/>
  <c r="AB4" i="111" s="1"/>
  <c r="AB7" i="111" s="1"/>
  <c r="AB38" i="59" s="1"/>
  <c r="AB40" i="59" s="1"/>
  <c r="N45" i="111"/>
  <c r="N4" i="111" s="1"/>
  <c r="N7" i="111" s="1"/>
  <c r="N38" i="59" s="1"/>
  <c r="N40" i="59" s="1"/>
  <c r="N43" i="59" s="1"/>
  <c r="B28" i="111"/>
  <c r="Y45" i="111"/>
  <c r="Y4" i="111" s="1"/>
  <c r="Y7" i="111" s="1"/>
  <c r="Y38" i="59" s="1"/>
  <c r="Y40" i="59" s="1"/>
  <c r="B25" i="111"/>
  <c r="B32" i="111"/>
  <c r="B33" i="111"/>
  <c r="K45" i="111"/>
  <c r="K4" i="111" s="1"/>
  <c r="K7" i="111" s="1"/>
  <c r="K38" i="59" s="1"/>
  <c r="K40" i="59" s="1"/>
  <c r="P45" i="111"/>
  <c r="P4" i="111" s="1"/>
  <c r="P7" i="111" s="1"/>
  <c r="P38" i="59" s="1"/>
  <c r="P40" i="59" s="1"/>
  <c r="V45" i="111"/>
  <c r="V4" i="111" s="1"/>
  <c r="V7" i="111" s="1"/>
  <c r="V38" i="59" s="1"/>
  <c r="V40" i="59" s="1"/>
  <c r="B37" i="111"/>
  <c r="B36" i="111"/>
  <c r="B24" i="111"/>
  <c r="S45" i="111"/>
  <c r="S4" i="111" s="1"/>
  <c r="S7" i="111" s="1"/>
  <c r="S38" i="59" s="1"/>
  <c r="S40" i="59" s="1"/>
  <c r="Q45" i="111"/>
  <c r="Q4" i="111" s="1"/>
  <c r="Q7" i="111" s="1"/>
  <c r="Q38" i="59" s="1"/>
  <c r="Q40" i="59" s="1"/>
  <c r="AD45" i="111"/>
  <c r="AD4" i="111" s="1"/>
  <c r="AD7" i="111" s="1"/>
  <c r="AD38" i="59" s="1"/>
  <c r="AD40" i="59" s="1"/>
  <c r="B43" i="111"/>
  <c r="M38" i="59"/>
  <c r="M40" i="59" s="1"/>
  <c r="D15" i="60"/>
  <c r="B16" i="60"/>
  <c r="AA38" i="59"/>
  <c r="AA40" i="59" s="1"/>
  <c r="Z38" i="59"/>
  <c r="Z40" i="59" s="1"/>
  <c r="AF38" i="59"/>
  <c r="AF40" i="59" s="1"/>
  <c r="J38" i="59"/>
  <c r="J40" i="59" s="1"/>
  <c r="B45" i="111" l="1"/>
  <c r="D38" i="59"/>
  <c r="D40" i="59" s="1"/>
  <c r="B7" i="111"/>
  <c r="G43" i="59"/>
  <c r="G42" i="59" s="1"/>
  <c r="G52" i="59" s="1"/>
  <c r="F44" i="59"/>
  <c r="F22" i="60" s="1"/>
  <c r="N44" i="59"/>
  <c r="N22" i="60" s="1"/>
  <c r="W44" i="59"/>
  <c r="W22" i="60" s="1"/>
  <c r="W43" i="59"/>
  <c r="N21" i="60"/>
  <c r="Z43" i="59"/>
  <c r="Z44" i="59"/>
  <c r="Z22" i="60" s="1"/>
  <c r="I44" i="59"/>
  <c r="I22" i="60" s="1"/>
  <c r="I43" i="59"/>
  <c r="L44" i="59"/>
  <c r="L22" i="60" s="1"/>
  <c r="L43" i="59"/>
  <c r="Y43" i="59"/>
  <c r="Y44" i="59"/>
  <c r="Y22" i="60" s="1"/>
  <c r="F21" i="60"/>
  <c r="U43" i="59"/>
  <c r="U44" i="59"/>
  <c r="U22" i="60" s="1"/>
  <c r="AD43" i="59"/>
  <c r="AD44" i="59"/>
  <c r="AD22" i="60" s="1"/>
  <c r="B4" i="111"/>
  <c r="R43" i="59"/>
  <c r="R44" i="59"/>
  <c r="R22" i="60" s="1"/>
  <c r="T44" i="59"/>
  <c r="T22" i="60" s="1"/>
  <c r="T43" i="59"/>
  <c r="AC43" i="59"/>
  <c r="AC44" i="59"/>
  <c r="AC22" i="60" s="1"/>
  <c r="AB43" i="59"/>
  <c r="AB44" i="59"/>
  <c r="AB22" i="60" s="1"/>
  <c r="H43" i="59"/>
  <c r="H44" i="59"/>
  <c r="H22" i="60" s="1"/>
  <c r="M43" i="59"/>
  <c r="M44" i="59"/>
  <c r="M22" i="60" s="1"/>
  <c r="S44" i="59"/>
  <c r="S22" i="60" s="1"/>
  <c r="S43" i="59"/>
  <c r="AF43" i="59"/>
  <c r="AF44" i="59"/>
  <c r="AF22" i="60" s="1"/>
  <c r="AE44" i="59"/>
  <c r="AE22" i="60" s="1"/>
  <c r="AE43" i="59"/>
  <c r="X44" i="59"/>
  <c r="X22" i="60" s="1"/>
  <c r="X43" i="59"/>
  <c r="K43" i="59"/>
  <c r="K44" i="59"/>
  <c r="K22" i="60" s="1"/>
  <c r="O43" i="59"/>
  <c r="O44" i="59"/>
  <c r="O22" i="60" s="1"/>
  <c r="Q44" i="59"/>
  <c r="Q22" i="60" s="1"/>
  <c r="Q43" i="59"/>
  <c r="J44" i="59"/>
  <c r="J22" i="60" s="1"/>
  <c r="J43" i="59"/>
  <c r="V43" i="59"/>
  <c r="V44" i="59"/>
  <c r="V22" i="60" s="1"/>
  <c r="AA43" i="59"/>
  <c r="AA44" i="59"/>
  <c r="AA22" i="60" s="1"/>
  <c r="P43" i="59"/>
  <c r="P44" i="59"/>
  <c r="P22" i="60" s="1"/>
  <c r="E1" i="111" l="1"/>
  <c r="D43" i="59"/>
  <c r="D44" i="59"/>
  <c r="D22" i="60" s="1"/>
  <c r="N20" i="60"/>
  <c r="N9" i="60" s="1"/>
  <c r="N29" i="60" s="1"/>
  <c r="G21" i="60"/>
  <c r="G20" i="60" s="1"/>
  <c r="G9" i="60" s="1"/>
  <c r="G29" i="60" s="1"/>
  <c r="F42" i="59"/>
  <c r="F52" i="59" s="1"/>
  <c r="F20" i="60"/>
  <c r="F9" i="60" s="1"/>
  <c r="F29" i="60" s="1"/>
  <c r="N42" i="59"/>
  <c r="N52" i="59" s="1"/>
  <c r="AE42" i="59"/>
  <c r="AE52" i="59" s="1"/>
  <c r="AE21" i="60"/>
  <c r="AE20" i="60" s="1"/>
  <c r="AE9" i="60" s="1"/>
  <c r="AE29" i="60" s="1"/>
  <c r="K42" i="59"/>
  <c r="K52" i="59" s="1"/>
  <c r="K21" i="60"/>
  <c r="K20" i="60" s="1"/>
  <c r="K9" i="60" s="1"/>
  <c r="K29" i="60" s="1"/>
  <c r="AD42" i="59"/>
  <c r="AD52" i="59" s="1"/>
  <c r="AD21" i="60"/>
  <c r="AD20" i="60" s="1"/>
  <c r="AD9" i="60" s="1"/>
  <c r="AD29" i="60" s="1"/>
  <c r="Y21" i="60"/>
  <c r="Y20" i="60" s="1"/>
  <c r="Y9" i="60" s="1"/>
  <c r="Y29" i="60" s="1"/>
  <c r="Y42" i="59"/>
  <c r="Y52" i="59" s="1"/>
  <c r="V42" i="59"/>
  <c r="V52" i="59" s="1"/>
  <c r="V21" i="60"/>
  <c r="V20" i="60" s="1"/>
  <c r="V9" i="60" s="1"/>
  <c r="V29" i="60" s="1"/>
  <c r="J21" i="60"/>
  <c r="J20" i="60" s="1"/>
  <c r="J9" i="60" s="1"/>
  <c r="J29" i="60" s="1"/>
  <c r="J42" i="59"/>
  <c r="J52" i="59" s="1"/>
  <c r="R21" i="60"/>
  <c r="R20" i="60" s="1"/>
  <c r="R9" i="60" s="1"/>
  <c r="R29" i="60" s="1"/>
  <c r="R42" i="59"/>
  <c r="R52" i="59" s="1"/>
  <c r="Z42" i="59"/>
  <c r="Z52" i="59" s="1"/>
  <c r="Z21" i="60"/>
  <c r="Z20" i="60" s="1"/>
  <c r="Z9" i="60" s="1"/>
  <c r="Z29" i="60" s="1"/>
  <c r="AA21" i="60"/>
  <c r="AA20" i="60" s="1"/>
  <c r="AA9" i="60" s="1"/>
  <c r="AA29" i="60" s="1"/>
  <c r="AA42" i="59"/>
  <c r="AA52" i="59" s="1"/>
  <c r="X42" i="59"/>
  <c r="X52" i="59" s="1"/>
  <c r="X21" i="60"/>
  <c r="X20" i="60" s="1"/>
  <c r="X9" i="60" s="1"/>
  <c r="X29" i="60" s="1"/>
  <c r="AF42" i="59"/>
  <c r="AF52" i="59" s="1"/>
  <c r="AF21" i="60"/>
  <c r="AF20" i="60" s="1"/>
  <c r="AF9" i="60" s="1"/>
  <c r="AF29" i="60" s="1"/>
  <c r="L42" i="59"/>
  <c r="L52" i="59" s="1"/>
  <c r="L21" i="60"/>
  <c r="L20" i="60" s="1"/>
  <c r="L9" i="60" s="1"/>
  <c r="L29" i="60" s="1"/>
  <c r="T42" i="59"/>
  <c r="T52" i="59" s="1"/>
  <c r="T21" i="60"/>
  <c r="T20" i="60" s="1"/>
  <c r="T9" i="60" s="1"/>
  <c r="T29" i="60" s="1"/>
  <c r="Q42" i="59"/>
  <c r="Q52" i="59" s="1"/>
  <c r="Q21" i="60"/>
  <c r="Q20" i="60" s="1"/>
  <c r="Q9" i="60" s="1"/>
  <c r="Q29" i="60" s="1"/>
  <c r="AC21" i="60"/>
  <c r="AC20" i="60" s="1"/>
  <c r="AC9" i="60" s="1"/>
  <c r="AC29" i="60" s="1"/>
  <c r="AC42" i="59"/>
  <c r="AC52" i="59" s="1"/>
  <c r="H42" i="59"/>
  <c r="H52" i="59" s="1"/>
  <c r="H21" i="60"/>
  <c r="H20" i="60" s="1"/>
  <c r="H9" i="60" s="1"/>
  <c r="H29" i="60" s="1"/>
  <c r="S21" i="60"/>
  <c r="S20" i="60" s="1"/>
  <c r="S9" i="60" s="1"/>
  <c r="S29" i="60" s="1"/>
  <c r="S42" i="59"/>
  <c r="S52" i="59" s="1"/>
  <c r="U21" i="60"/>
  <c r="U20" i="60" s="1"/>
  <c r="U9" i="60" s="1"/>
  <c r="U29" i="60" s="1"/>
  <c r="U42" i="59"/>
  <c r="U52" i="59" s="1"/>
  <c r="E38" i="59"/>
  <c r="I42" i="59"/>
  <c r="I52" i="59" s="1"/>
  <c r="I21" i="60"/>
  <c r="I20" i="60" s="1"/>
  <c r="I9" i="60" s="1"/>
  <c r="I29" i="60" s="1"/>
  <c r="W21" i="60"/>
  <c r="W20" i="60" s="1"/>
  <c r="W9" i="60" s="1"/>
  <c r="W29" i="60" s="1"/>
  <c r="W42" i="59"/>
  <c r="W52" i="59" s="1"/>
  <c r="O21" i="60"/>
  <c r="O20" i="60" s="1"/>
  <c r="O9" i="60" s="1"/>
  <c r="O29" i="60" s="1"/>
  <c r="O42" i="59"/>
  <c r="O52" i="59" s="1"/>
  <c r="AB42" i="59"/>
  <c r="AB52" i="59" s="1"/>
  <c r="AB21" i="60"/>
  <c r="AB20" i="60" s="1"/>
  <c r="AB9" i="60" s="1"/>
  <c r="AB29" i="60" s="1"/>
  <c r="P42" i="59"/>
  <c r="P52" i="59" s="1"/>
  <c r="P21" i="60"/>
  <c r="P20" i="60" s="1"/>
  <c r="P9" i="60" s="1"/>
  <c r="P29" i="60" s="1"/>
  <c r="M42" i="59"/>
  <c r="M52" i="59" s="1"/>
  <c r="M21" i="60"/>
  <c r="M20" i="60" s="1"/>
  <c r="M9" i="60" s="1"/>
  <c r="M29" i="60" s="1"/>
  <c r="D21" i="60" l="1"/>
  <c r="D20" i="60" s="1"/>
  <c r="D9" i="60" s="1"/>
  <c r="D29" i="60" s="1"/>
  <c r="D42" i="59"/>
  <c r="D52" i="59" s="1"/>
  <c r="B38" i="59"/>
  <c r="E40" i="59"/>
  <c r="E44" i="59" l="1"/>
  <c r="E43" i="59"/>
  <c r="B40" i="59"/>
  <c r="E21" i="60" l="1"/>
  <c r="E42" i="59"/>
  <c r="B43" i="59"/>
  <c r="B44" i="59"/>
  <c r="E22" i="60"/>
  <c r="B22" i="60" s="1"/>
  <c r="B42" i="59" l="1"/>
  <c r="E52" i="59"/>
  <c r="B52" i="59" s="1"/>
  <c r="E20" i="60"/>
  <c r="B21" i="60"/>
  <c r="B20" i="60" l="1"/>
  <c r="E9" i="60"/>
  <c r="E29" i="60" s="1"/>
  <c r="C41" i="58" l="1"/>
  <c r="C35" i="58"/>
  <c r="D34" i="58"/>
  <c r="C12" i="111" l="1"/>
  <c r="C34" i="58"/>
  <c r="D6" i="58"/>
  <c r="C6" i="58" l="1"/>
  <c r="C17" i="60"/>
  <c r="D4" i="58"/>
  <c r="C4" i="58" s="1"/>
  <c r="C15" i="60" l="1"/>
  <c r="B17" i="60"/>
  <c r="C9" i="60" l="1"/>
  <c r="C29" i="60" s="1"/>
  <c r="B15" i="60"/>
  <c r="B9" i="60" l="1"/>
  <c r="B31" i="60" l="1"/>
  <c r="B29" i="60"/>
  <c r="H70" i="83" l="1"/>
  <c r="C118" i="15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<sst xmlns="http://schemas.openxmlformats.org/spreadsheetml/2006/main" count="2746" uniqueCount="1287">
  <si>
    <t>TOTAL</t>
  </si>
  <si>
    <t>ANO</t>
  </si>
  <si>
    <t>CUSTO DO PRODUTO (R$/kg)</t>
  </si>
  <si>
    <t>VAZÕES E VOLUMES DE ÁGUA E ESGOTO</t>
  </si>
  <si>
    <t>Total</t>
  </si>
  <si>
    <t>COMPOSIÇÃO DO FATURAMENTO 2</t>
  </si>
  <si>
    <t>PERFIL DA ARRECADAÇÃO</t>
  </si>
  <si>
    <t>COMPOSIÇÃO DO CUSTEIO</t>
  </si>
  <si>
    <t>CONTAS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</si>
  <si>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</si>
  <si>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</si>
  <si>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</si>
  <si>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</si>
  <si>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</si>
  <si>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</si>
  <si>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</si>
  <si>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</si>
  <si>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</si>
  <si>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</si>
  <si>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</si>
  <si>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</si>
  <si>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</si>
  <si>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</si>
  <si>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</si>
  <si>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</si>
  <si>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</si>
  <si>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</si>
  <si>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</si>
  <si>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</si>
  <si>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</si>
  <si>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1. RECEITA OPERACIONAL BRUTA</t>
  </si>
  <si>
    <t xml:space="preserve">2. DEDUÇÕES </t>
  </si>
  <si>
    <t>3. RECEITA OPERACIONAL LÍQUIDA</t>
  </si>
  <si>
    <t>4. CUSTO DE EXPLORAÇÃO</t>
  </si>
  <si>
    <t>5. LUCRO BRUTO</t>
  </si>
  <si>
    <t>6. DESPESAS OPERACIONAIS DA SPE</t>
  </si>
  <si>
    <t>1. ENTRADAS</t>
  </si>
  <si>
    <t>2. SAÍDAS</t>
  </si>
  <si>
    <t>CRONOGRAMA FÍSICO-FINANCEIRO DE DESEMBOLSOS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</si>
  <si>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</si>
  <si>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</si>
  <si>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</si>
  <si>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</si>
  <si>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</si>
  <si>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</si>
  <si>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</si>
  <si>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</si>
  <si>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</si>
  <si>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</t>
  </si>
  <si>
    <t>METAS DE REDUÇÃO DE PERDAS (%)</t>
  </si>
  <si>
    <t>TOTAL DE PRODUTOS QUÍMICOS</t>
  </si>
  <si>
    <t>DADOS DE ENTRADA</t>
  </si>
  <si>
    <t>R$/M³</t>
  </si>
  <si>
    <t>NÍVEL DE ATENDIMENTO DE ÁGUA (%)</t>
  </si>
  <si>
    <t>NÍVEL DE ATENDIMENTO DE ESGOTO (%)</t>
  </si>
  <si>
    <t>EVOLUÇÃO DO VOLUME COMPRADO, PRODUZIDO, CONSUMIDO, MICROMEDIDO, FATURADO E ÍNDICE DE PERDAS</t>
  </si>
  <si>
    <t>NÍVEL DE TRATAMENTO DE ESGOTO (%)</t>
  </si>
  <si>
    <t>Coeficiente de Retorno de Esgoto</t>
  </si>
  <si>
    <t>GASTOS TOTAIS ANUAIS COM PRODUTOS QUÍMICOS</t>
  </si>
  <si>
    <t>Q MÉDIO DIÁRIO ÁGUA (l/s)</t>
  </si>
  <si>
    <t>Q dia&gt; CONSUMO ÁGUA (l/s)</t>
  </si>
  <si>
    <t>DOSAGEM MÉDIA (Kg/M³)</t>
  </si>
  <si>
    <t>CONSUMO TOTAL ANUAL (Kg/Ano)</t>
  </si>
  <si>
    <t>GASTO TOTAL ANUAL (R$/Ano)</t>
  </si>
  <si>
    <t>Tarifa Média de Água</t>
  </si>
  <si>
    <t>Unidade</t>
  </si>
  <si>
    <t>Valor</t>
  </si>
  <si>
    <t>Despesa de Regulação (R$/Ano)</t>
  </si>
  <si>
    <t>Total das Obrigações da Concessionária</t>
  </si>
  <si>
    <t>Outorga de Esgoto (R$/Ano)</t>
  </si>
  <si>
    <t>Obrigações Totais com Outorga (R$/Ano)</t>
  </si>
  <si>
    <t>OBRIGAÇÕES DA CONCESSIONÁRIA - OUTORGA E REGULAÇÃO</t>
  </si>
  <si>
    <t>Gestão Comercial</t>
  </si>
  <si>
    <t>Ano 02</t>
  </si>
  <si>
    <t>Ano 01</t>
  </si>
  <si>
    <t>Ano 03</t>
  </si>
  <si>
    <t>Ano 04</t>
  </si>
  <si>
    <t>Ano 05</t>
  </si>
  <si>
    <t>Ano 06</t>
  </si>
  <si>
    <t>Ano 07</t>
  </si>
  <si>
    <t>Ano 08</t>
  </si>
  <si>
    <t>Ano 09</t>
  </si>
  <si>
    <t>Ano 10</t>
  </si>
  <si>
    <t>Ano 11</t>
  </si>
  <si>
    <t>Ano 12</t>
  </si>
  <si>
    <t>Ano 13</t>
  </si>
  <si>
    <t>Ano 14</t>
  </si>
  <si>
    <t>Ano 15</t>
  </si>
  <si>
    <t>Ano 16</t>
  </si>
  <si>
    <t>Ano 17</t>
  </si>
  <si>
    <t>Ano 18</t>
  </si>
  <si>
    <t>Ano 19</t>
  </si>
  <si>
    <t>Ano 20</t>
  </si>
  <si>
    <t>Ano 21</t>
  </si>
  <si>
    <t>Ano 22</t>
  </si>
  <si>
    <t>Ano 23</t>
  </si>
  <si>
    <t>Ano 24</t>
  </si>
  <si>
    <t>Ano 25</t>
  </si>
  <si>
    <t>Ano 26</t>
  </si>
  <si>
    <t>Ano 27</t>
  </si>
  <si>
    <t>Ano 28</t>
  </si>
  <si>
    <t>Ano 29</t>
  </si>
  <si>
    <t>Ano 30</t>
  </si>
  <si>
    <t>2.1. Encargos PIS - PASEP</t>
  </si>
  <si>
    <t>2.2. Encargos COFINS</t>
  </si>
  <si>
    <t>4.1. Pessoal</t>
  </si>
  <si>
    <t>Depreciação Anual Total</t>
  </si>
  <si>
    <t>2.1. SAÍDAS OPERACIONAIS</t>
  </si>
  <si>
    <t>2.1.1. Custos de Exploração</t>
  </si>
  <si>
    <t>2.1.3. Deduções</t>
  </si>
  <si>
    <t>2.1.2. Despesas Operacionais de SPE</t>
  </si>
  <si>
    <t>2.3. DESEMBOLSOS SOBRE O LUCRO</t>
  </si>
  <si>
    <t>2.3.1. Imposto de Renda</t>
  </si>
  <si>
    <t>2.3.2. Contribuição Social sobre Lucro Líquido</t>
  </si>
  <si>
    <t>2.2. INVESTIMENTOS</t>
  </si>
  <si>
    <t>Assistente administrativo</t>
  </si>
  <si>
    <t>Copeira</t>
  </si>
  <si>
    <t>Auxiliar de serviços gerais</t>
  </si>
  <si>
    <t>Almoxarife</t>
  </si>
  <si>
    <t>Contador</t>
  </si>
  <si>
    <t>Técnico de segurança do trabalho</t>
  </si>
  <si>
    <t>Gerente Administrativo/Financeiro</t>
  </si>
  <si>
    <t>Comunicador Social</t>
  </si>
  <si>
    <t>Técnico de Informática</t>
  </si>
  <si>
    <t>Engenharia</t>
  </si>
  <si>
    <t>Técnico em edificações - cadastro técnico e comercial</t>
  </si>
  <si>
    <t>Coordenador de obras</t>
  </si>
  <si>
    <t>Coordenador de faturamento, cobrança e arrecadação</t>
  </si>
  <si>
    <t>Analista de consumo</t>
  </si>
  <si>
    <t>Fiscal de cobrança e arrecadação</t>
  </si>
  <si>
    <t>Encanador de corte e religação</t>
  </si>
  <si>
    <t>Atendimento presencial e telefônico</t>
  </si>
  <si>
    <t>Operador do CCO</t>
  </si>
  <si>
    <t>Auxiliar de operação da ETE</t>
  </si>
  <si>
    <t>Total de Integrantes</t>
  </si>
  <si>
    <t>Número de Integrantes por Categoria</t>
  </si>
  <si>
    <t>2.2.2. Sistema de Esgotamento Sanitário</t>
  </si>
  <si>
    <t>INVESTIMENTO ANUAL TOTAL</t>
  </si>
  <si>
    <t>Tarifa de Esgoto - Pct da Tarifa Água</t>
  </si>
  <si>
    <t>Calculado</t>
  </si>
  <si>
    <t>M³</t>
  </si>
  <si>
    <t>Assistente de RH</t>
  </si>
  <si>
    <t>Economias</t>
  </si>
  <si>
    <t>Fonte</t>
  </si>
  <si>
    <t>Habitantes/Economia</t>
  </si>
  <si>
    <t>Habitantes</t>
  </si>
  <si>
    <t>Percentual</t>
  </si>
  <si>
    <t>M³/Ano</t>
  </si>
  <si>
    <t>Premissa</t>
  </si>
  <si>
    <t>Relação Volume Faturado / Volume Micromedido</t>
  </si>
  <si>
    <t>Vol. Faturado/Vol. Micromedido</t>
  </si>
  <si>
    <t>Ligações/Economias</t>
  </si>
  <si>
    <t>FATURAMENTO TOTAL DE ÁGUA</t>
  </si>
  <si>
    <t/>
  </si>
  <si>
    <t>FATURAMENTO TOTAL DE ESGOTO</t>
  </si>
  <si>
    <t>FATURAMENTO TOTAL DE ÁGUA E ESGOTO</t>
  </si>
  <si>
    <t>ÍNDICE DE INADIMPLÊNCIA (%)</t>
  </si>
  <si>
    <t>PERDA NO FATURAMENTO</t>
  </si>
  <si>
    <t>ARRECADAÇÃO TOTAL</t>
  </si>
  <si>
    <t>R$/Kwh</t>
  </si>
  <si>
    <t>PRODUTO: ANTIESPUMANTE</t>
  </si>
  <si>
    <t>PRODUTO: COAGULANTE</t>
  </si>
  <si>
    <t>PRODUTO: DESINFECÇÃO</t>
  </si>
  <si>
    <t>PRODUTO: NEUTRALIZAÇÃO</t>
  </si>
  <si>
    <t>PRODUÇÃO DE LODO (Kg/Hab.Dia)</t>
  </si>
  <si>
    <t>DISPOSIÇÃO FINAL DE LODO</t>
  </si>
  <si>
    <t>PRODUTO: TRANSPORTE</t>
  </si>
  <si>
    <t>CUSTO TOTAL PARA DISPOSIÇÃO DE LODO</t>
  </si>
  <si>
    <t>VOLUME DE LODO ETE (Ton/Ano)</t>
  </si>
  <si>
    <t>VOLUME TOTAL DE LODO (Ton/Ano)</t>
  </si>
  <si>
    <t>CUSTO DE TRANSPORTE E DISPOSIÇÃO DE LODO (R$/Ton)</t>
  </si>
  <si>
    <t>ESTRUTURA TARIFÁRIA</t>
  </si>
  <si>
    <t>R$</t>
  </si>
  <si>
    <t>Reajuste (Real) Extraordinário na Tarifa Média de Água</t>
  </si>
  <si>
    <t>Volume Faturado Total de Água (M³/Ano)</t>
  </si>
  <si>
    <t>FATURAMENTO TOTAL DE ESGOTO (R$)</t>
  </si>
  <si>
    <t>FATURAMENTO TOTAL DE ÁGUA (R$)</t>
  </si>
  <si>
    <t>FATURAMENTO TOTAL A/E (R$)</t>
  </si>
  <si>
    <t>Coeficiente de Infiltração na Rede Coletora de Esgoto</t>
  </si>
  <si>
    <t>PESSOAL OPERACIONAL</t>
  </si>
  <si>
    <t>PRODUTOS QUÍMICOS</t>
  </si>
  <si>
    <t>MATERIAIS DE MANUTENÇÃO</t>
  </si>
  <si>
    <t>TOTAL DO CUSTO OPERACIONAL</t>
  </si>
  <si>
    <t>DESPESAS ADMINISTRATIVAS</t>
  </si>
  <si>
    <t>MONITORAMENTO AMBIENTAL</t>
  </si>
  <si>
    <t>TRANSPORTE E DISPOSIÇÃO DE LODO</t>
  </si>
  <si>
    <t>SEGUROS E GARANTIAS</t>
  </si>
  <si>
    <t>Despesas com Seguros e Garantias Sobre o Faturamento</t>
  </si>
  <si>
    <t>Mercado</t>
  </si>
  <si>
    <t>Despesas Administrativas Sobre o Faturamento</t>
  </si>
  <si>
    <t>4.2. Energia Elétrica</t>
  </si>
  <si>
    <t>4.3. Produtos Quimicos</t>
  </si>
  <si>
    <t>4.4. Transporte e Disposição de Lodo</t>
  </si>
  <si>
    <t>6.1. Pessoal da Administração e Comercial</t>
  </si>
  <si>
    <t>6.2. Veículos e Equipamentos</t>
  </si>
  <si>
    <t>6.3. Administrativas</t>
  </si>
  <si>
    <t>2.3. Encargos ISS</t>
  </si>
  <si>
    <t>Gol</t>
  </si>
  <si>
    <t>Moto</t>
  </si>
  <si>
    <t>Saveiro</t>
  </si>
  <si>
    <t>Retroescavadeira</t>
  </si>
  <si>
    <t>Hidrovácuo</t>
  </si>
  <si>
    <t>Caminhão Basculante</t>
  </si>
  <si>
    <t>Total de Veículos Locados no Ano</t>
  </si>
  <si>
    <t>Número de Veículos por Categoria</t>
  </si>
  <si>
    <t>VEÍCULOS E EQUIPAMENTOS ADMINISTRATIVOS</t>
  </si>
  <si>
    <t>VEÍCULOS E EQUIPAMENTOS PARA OPERAÇÃO</t>
  </si>
  <si>
    <t>Unitário</t>
  </si>
  <si>
    <t>1. MELHORIAS NO SISTEMA DE ÁGUA</t>
  </si>
  <si>
    <t>Depreciação Anual Total dos Investimentos em Hidrômetros</t>
  </si>
  <si>
    <t>Renovação Periódica de Hidrômetros</t>
  </si>
  <si>
    <t>Depreciação Anual Total dos Investimentos em Edificações</t>
  </si>
  <si>
    <t>Depreciação Anual Total dos Investimentos em Automação, Telemetria e Eletromecânica</t>
  </si>
  <si>
    <t>TOTAL DE DEPRECIAÇÃO POR CATEGORIA DE INVESTIMENTO</t>
  </si>
  <si>
    <t>Prazo de Depreciação dos Investimentos em Hidrometros</t>
  </si>
  <si>
    <t>INVESTIMENTOS DEPRECIÁVEIS- EFIDICAÇÕES</t>
  </si>
  <si>
    <t>INVESTIMENTOS DEPRECIÁVEIS - HIDROMETRAÇÃO</t>
  </si>
  <si>
    <t>INVESTIMENTOS DEPRECIÁVEIS EM AUTOMAÇÃO, TELEMETRIA E ELETROMECÂNICA</t>
  </si>
  <si>
    <t>DESPESAS COM LOCAÇÃO DE VEÍCULOS E EQUIPAMENTOS</t>
  </si>
  <si>
    <t>Percentual Sobre Serviços Complementares</t>
  </si>
  <si>
    <t>Custo Unitário de Materiais de Manutenção</t>
  </si>
  <si>
    <t>Custo Unitário de Gestão Comercial</t>
  </si>
  <si>
    <t>1.1 RECEITA OPERACIONAL BRUTA</t>
  </si>
  <si>
    <t>CRONOGRAMA FÍSICO-FINANCEIRO DE INVESTIMENTOS</t>
  </si>
  <si>
    <t>ITEM</t>
  </si>
  <si>
    <t>Estudos e Projetos</t>
  </si>
  <si>
    <t>%</t>
  </si>
  <si>
    <t>4.7. Veículos e Equipamentos para Operação</t>
  </si>
  <si>
    <t>4.8. Materiais de Manutenção</t>
  </si>
  <si>
    <t>4.9. Monitoramento Ambiental</t>
  </si>
  <si>
    <t>Tarifa Média de Água - Ano 0</t>
  </si>
  <si>
    <t>6.4. Seguros e Garantias</t>
  </si>
  <si>
    <t>8. RESULTADO OPERACIONAL</t>
  </si>
  <si>
    <t>9. DEPRECIAÇÃO</t>
  </si>
  <si>
    <t>10. RESULTADO ANTES DO IR E CSLL</t>
  </si>
  <si>
    <t>11. IMPOSTO DE RENDA E CONTRIBUIÇÃO SOCIAL</t>
  </si>
  <si>
    <t>11.1. Imposto de Renda</t>
  </si>
  <si>
    <t>11.2. Contribuição Social sobre Lucro Líquido</t>
  </si>
  <si>
    <t>DÍVIDA</t>
  </si>
  <si>
    <t>PERCENTUAL RE RECUPERAÇÃO</t>
  </si>
  <si>
    <t>RECUPERAÇÃO DE DÍVIDA</t>
  </si>
  <si>
    <t>PERDA DE RECEITA</t>
  </si>
  <si>
    <t>2.4. Perdas de Receita por Inadimplência (Valor não recuperado)</t>
  </si>
  <si>
    <t>O&amp;M para Sistema de Esgoto</t>
  </si>
  <si>
    <t>Custo Médio de Energia no SES</t>
  </si>
  <si>
    <t xml:space="preserve">Tarifa Média de Água </t>
  </si>
  <si>
    <t xml:space="preserve">Alíquota do ISS </t>
  </si>
  <si>
    <t>m</t>
  </si>
  <si>
    <t>M/hab</t>
  </si>
  <si>
    <t xml:space="preserve">Custo Unitário de Monitoramento Ambiental </t>
  </si>
  <si>
    <t>1.2. Receita Serviços Complementares</t>
  </si>
  <si>
    <t>1.1.2. Receita Serviços Complementares</t>
  </si>
  <si>
    <t>CRONOGRAMA FÍSICO DE INVESTIMENTOS</t>
  </si>
  <si>
    <t>PESSOAL ADM.</t>
  </si>
  <si>
    <t xml:space="preserve">Tarifa Média de Esgoto </t>
  </si>
  <si>
    <t>Ligações</t>
  </si>
  <si>
    <t>Extensão de rede por ligação</t>
  </si>
  <si>
    <t>PRODUÇÃO DE LODO (Kg/hab.ano)</t>
  </si>
  <si>
    <t>Leituristas</t>
  </si>
  <si>
    <t>-</t>
  </si>
  <si>
    <t>L/s</t>
  </si>
  <si>
    <t xml:space="preserve">Relação de Número de Economias / Número de Ligações </t>
  </si>
  <si>
    <t>Extensão de rede de água por habitante</t>
  </si>
  <si>
    <t>Custo Médio de Energia no SAA</t>
  </si>
  <si>
    <t>Consumo médio de Energia no SAA - Anos 1, 2 e 3</t>
  </si>
  <si>
    <t>KwhM³</t>
  </si>
  <si>
    <t>Kwh/M³</t>
  </si>
  <si>
    <t>EVOLUÇÃO DO NÚMERO DE LIGAÇÕES TOTAIS DE ÁGUA E ESGOTO</t>
  </si>
  <si>
    <t>EVOLUÇÃO DO NÚMERO DE ECONOMIAS TOTAIS DE ÁGUA E ESGOTO</t>
  </si>
  <si>
    <t>Extensão de rede por ligação - admitida para ampliação</t>
  </si>
  <si>
    <t>EVOLUÇÃO DA EXTENSÃO DE REDE DE ÁGUA E ESGOTO (m)</t>
  </si>
  <si>
    <t>Analista da qualidade e meio ambiente</t>
  </si>
  <si>
    <t>Engenheiro civil/sanitarista - planejamento, projetos e obras</t>
  </si>
  <si>
    <t>Supervisor de operação da ETA e ETE</t>
  </si>
  <si>
    <t>Operador ETE - fase líquida e sólida</t>
  </si>
  <si>
    <t>Operador ETA - fase líquida e sólida</t>
  </si>
  <si>
    <t>Encanador líder - água e esgoto</t>
  </si>
  <si>
    <t>Encanador - água e esgoto</t>
  </si>
  <si>
    <t>O&amp;M para Água e Esgoto</t>
  </si>
  <si>
    <t>Provento mensal</t>
  </si>
  <si>
    <t>Proventos anual</t>
  </si>
  <si>
    <t>TRATAMENTO DE ÁGUA (R$/Ano)</t>
  </si>
  <si>
    <t>TRATAMENTO DE ESGOTO (R$/Ano)</t>
  </si>
  <si>
    <t>PRODUTO QUÍMICO UTILIZADO NO TRATAMENTO DE ÁGUA</t>
  </si>
  <si>
    <t>PRODUTO QUÍMICO UTILIZADO NO TRATAMENTO DE ESGOTO</t>
  </si>
  <si>
    <t>ETA</t>
  </si>
  <si>
    <t>PRODUTO: ÁCIDO FLUOSSILÍSSICO</t>
  </si>
  <si>
    <t>PRODUTO: POLÍMERO SISTEMA DE SECAGEM DE LODO</t>
  </si>
  <si>
    <t>PRODUTO QUÍMICO UTILIZADO NO TRATAMENTO DE LODO DA ETE</t>
  </si>
  <si>
    <t>PRODUTO QUÍMICO UTILIZADO NO TRATAMENTO DE LODO DAS ETAs</t>
  </si>
  <si>
    <t>TOTAL DE GASTOS COM PRODUTOS QUÍMICOS  (R$/Ano)</t>
  </si>
  <si>
    <t>VOLUME DE LODO ETA (Ton/Ano)</t>
  </si>
  <si>
    <t>PRODUÇÃO DE LODO (M3/ANO)</t>
  </si>
  <si>
    <t>Passeio Tipo 2 (Gol ou similar)</t>
  </si>
  <si>
    <t>Passeio Tipo 1 (Polo ou similar)</t>
  </si>
  <si>
    <t>Categrias e Sub categorias</t>
  </si>
  <si>
    <t>EVOLUÇÃO DOS CUSTOS COM PESSOAL</t>
  </si>
  <si>
    <t>Total de Proventos - Engenharia</t>
  </si>
  <si>
    <t>Total de Proventos - Gestão Comercial</t>
  </si>
  <si>
    <t>Total de Proventos - O&amp;M para Água e Esgoto</t>
  </si>
  <si>
    <t xml:space="preserve">Total de Proventos - Engenharia, Gestão Comercial e O&amp;M </t>
  </si>
  <si>
    <t>Total Geral de Proventos</t>
  </si>
  <si>
    <t>TOTAL DE DESPESAS ADMINISTRATIVAS</t>
  </si>
  <si>
    <t xml:space="preserve">TOTAL DE DESPESAS DOS SERVIÇOS </t>
  </si>
  <si>
    <t>1.1. Receita Tarifas de Água e Esgoto</t>
  </si>
  <si>
    <t>Outorga de Água (R$/Ano)</t>
  </si>
  <si>
    <t>FATURAMENTO TOTAL A e E</t>
  </si>
  <si>
    <t>CONSUMO DE ENERGIA A e E (Kwh/ano)</t>
  </si>
  <si>
    <t>DESPESA COM ENERGIA A e E (R$)</t>
  </si>
  <si>
    <t>ENERGIA ELÉTRICA CONSUMIDA NO SISTEMA DE ÁGUA E ESGOTO</t>
  </si>
  <si>
    <t>1.1.1. Receita Tarifas de Água e Esgoto</t>
  </si>
  <si>
    <t>2.2.2. Sistema de Abastecimento de Água</t>
  </si>
  <si>
    <t>Tarifa Média de Água - Ano 1</t>
  </si>
  <si>
    <t>SISTEMA DE ABASTECIMENTO DE ÁGUA</t>
  </si>
  <si>
    <t>SISTEMA DE ESGOTAMENTO SANITÁRIO</t>
  </si>
  <si>
    <t>1.1</t>
  </si>
  <si>
    <t>1.2</t>
  </si>
  <si>
    <t>Melhorias Imediatas em ETAs</t>
  </si>
  <si>
    <t>2. AMPLIAÇÃO DOS SERVIÇOS DE ABASTECIMENTO DE ÁGUA</t>
  </si>
  <si>
    <t>2.1</t>
  </si>
  <si>
    <t>1.1.1</t>
  </si>
  <si>
    <t>1.1.2</t>
  </si>
  <si>
    <t>1.1.3</t>
  </si>
  <si>
    <t>1.1.4</t>
  </si>
  <si>
    <t>1.1.5</t>
  </si>
  <si>
    <t>1.1.6</t>
  </si>
  <si>
    <t>1.1.7</t>
  </si>
  <si>
    <t>1.2.1</t>
  </si>
  <si>
    <t>1.2.2</t>
  </si>
  <si>
    <t>1.2.3</t>
  </si>
  <si>
    <t>1.2.4</t>
  </si>
  <si>
    <t>1.2.5</t>
  </si>
  <si>
    <t>1.2.6</t>
  </si>
  <si>
    <t>1.2.7</t>
  </si>
  <si>
    <t>1. MELHORIAS NO SISTEMA DE ESGOTO</t>
  </si>
  <si>
    <t>Melhorias imediatas em captações de água bruta</t>
  </si>
  <si>
    <t>Controle de Qualidade e Monitoriamento</t>
  </si>
  <si>
    <t>Melhorias Imediatas em ETEs</t>
  </si>
  <si>
    <t>2.1.1</t>
  </si>
  <si>
    <t>2.1.2</t>
  </si>
  <si>
    <t>2.1.3</t>
  </si>
  <si>
    <t>2.1.4</t>
  </si>
  <si>
    <t>2.1.5</t>
  </si>
  <si>
    <t>1.1.8</t>
  </si>
  <si>
    <t>1.1.9</t>
  </si>
  <si>
    <t>1.2.8</t>
  </si>
  <si>
    <t>Recuperção de Interceptores</t>
  </si>
  <si>
    <t>AMPLIAÇÃO DOS SERVIÇOS DE ESGOTAMENTO SANITÁRIO</t>
  </si>
  <si>
    <t>2.2</t>
  </si>
  <si>
    <t>2.2.1</t>
  </si>
  <si>
    <t>2.2.2</t>
  </si>
  <si>
    <t>2.2.3</t>
  </si>
  <si>
    <t>2.2.4</t>
  </si>
  <si>
    <t>2.2.5</t>
  </si>
  <si>
    <t>2.2.6</t>
  </si>
  <si>
    <t>Programas Socio-Ambientais</t>
  </si>
  <si>
    <t>3.1</t>
  </si>
  <si>
    <t>3.2</t>
  </si>
  <si>
    <t>3.1.1</t>
  </si>
  <si>
    <t>3.1.2</t>
  </si>
  <si>
    <t>Programas</t>
  </si>
  <si>
    <t>3.2.1</t>
  </si>
  <si>
    <t>3.2.2</t>
  </si>
  <si>
    <t>ESTUDOS, PROJETOS E PROGRAMAS</t>
  </si>
  <si>
    <t>CAPACIDADE DE RESERVAÇÃO INSTALADA (m3)</t>
  </si>
  <si>
    <t>DEMANDA DE RESERVAÇÃO (m3)</t>
  </si>
  <si>
    <t>Volume máximo diário consumido (m3)</t>
  </si>
  <si>
    <t>VOLUME DE RESERVAÇÃO</t>
  </si>
  <si>
    <t xml:space="preserve">% RESERVAÇÃO SOBRE VOLUMÉ MÁXIMO DIÁRIO CONSUMIDO </t>
  </si>
  <si>
    <t>Ampliação de captações de água</t>
  </si>
  <si>
    <t>Ampliação das Ligações de esgoto (100% das ligações)</t>
  </si>
  <si>
    <t>UNIDADE</t>
  </si>
  <si>
    <t>Un.</t>
  </si>
  <si>
    <t>m3</t>
  </si>
  <si>
    <t>Ampliação de Reservatórios de distribuição</t>
  </si>
  <si>
    <t>R$/ano</t>
  </si>
  <si>
    <t>Estação de Tratamento (Nova ETE)</t>
  </si>
  <si>
    <t>Recuperação Ambiental</t>
  </si>
  <si>
    <t>Projetos Ténicos de Engenharia (ano 1 e ano 2)</t>
  </si>
  <si>
    <t>Licenças Ambientais e Outorgas</t>
  </si>
  <si>
    <t>Prazo de Depreciação dos Investimentos em Edificações e Obras</t>
  </si>
  <si>
    <t>MELHORIAS E AMPLIAÇÃO DOS SERVIÇOS DE ESGOTAMENTO SANITÁRIO</t>
  </si>
  <si>
    <t>Prazo de Depreciação dos Investimentos em Automação e Telemetria</t>
  </si>
  <si>
    <t>Automação e Telemetria dos sistemas de água e esgoto</t>
  </si>
  <si>
    <t>Média</t>
  </si>
  <si>
    <t>premissa</t>
  </si>
  <si>
    <t>Substituição de Hidrômetros (após ano 2)</t>
  </si>
  <si>
    <t>FLUXO DE CAIXA DO PROJETO SEM FINANCIAMENTO (VALORES EM R$)</t>
  </si>
  <si>
    <t>DEMONSTRATIVO DO RESULTADO DO EXERCÍCIO SEM FINANCIAMENTO (VALORES EM R$)</t>
  </si>
  <si>
    <t>Estudo Populacional</t>
  </si>
  <si>
    <t>Químico</t>
  </si>
  <si>
    <t xml:space="preserve">RELAÇÃO VOLUME </t>
  </si>
  <si>
    <t>Litros/Habitante Dia</t>
  </si>
  <si>
    <t>Consumo médio de Energia no SES - Anos 1 e 2</t>
  </si>
  <si>
    <t>Administração</t>
  </si>
  <si>
    <t>Total de Proventos - Administração</t>
  </si>
  <si>
    <t>Faturamento em Serviços (% sobre Faturamento Total)</t>
  </si>
  <si>
    <t>DADOS PARA ANÁLISE</t>
  </si>
  <si>
    <t>NECESSIDADE DE AMPLIAÇÃO DE RESERVAÇÃO (m3)</t>
  </si>
  <si>
    <t>INCREMENTO DE RESERVAÇÃO</t>
  </si>
  <si>
    <t>M/Ligação</t>
  </si>
  <si>
    <t>m/Ligação</t>
  </si>
  <si>
    <t>M</t>
  </si>
  <si>
    <t>EVOLUÇÃO DA APLICAÇÃO DA MÃO DE OBRA</t>
  </si>
  <si>
    <t>Regularização de Vazão (Reservatório de água bruta) (m3)</t>
  </si>
  <si>
    <t>PRODUÇÃO DE ÁGUA</t>
  </si>
  <si>
    <t>Vazão Média (L/s)</t>
  </si>
  <si>
    <t>Índice de Perdas ( % )</t>
  </si>
  <si>
    <t>Vazão de Perdas (L/s)</t>
  </si>
  <si>
    <t>Vazão Total Diária (L/s)</t>
  </si>
  <si>
    <t>Vazão Máxima Horária (L/s)</t>
  </si>
  <si>
    <t>Produção Existente POÇO (L/s)</t>
  </si>
  <si>
    <t>Produção Existente ETA (L/s)</t>
  </si>
  <si>
    <t>Déficit/superávit de Produção</t>
  </si>
  <si>
    <t xml:space="preserve">Índice de Perdas na Distribuição de Água </t>
  </si>
  <si>
    <t>l/s</t>
  </si>
  <si>
    <t>Vazão Média Gerada (L/s)</t>
  </si>
  <si>
    <t>Produção Existente Total (l/s)</t>
  </si>
  <si>
    <t>Capacidade de Tratamento  (L/s)</t>
  </si>
  <si>
    <t>Incremento de Tratamento (l/s)</t>
  </si>
  <si>
    <t>Incremento de Produção de Água (l/s)</t>
  </si>
  <si>
    <t>Ano 31</t>
  </si>
  <si>
    <t>Ano 32</t>
  </si>
  <si>
    <t>Ano 33</t>
  </si>
  <si>
    <t>Ano 34</t>
  </si>
  <si>
    <t>Ano 35</t>
  </si>
  <si>
    <t>Número de Economias Ativas de Água</t>
  </si>
  <si>
    <t>Número de Economias Ativas de Esgoto</t>
  </si>
  <si>
    <t>Estudo de Viabilidade Técnica-Econômica
Saneamento Básico</t>
  </si>
  <si>
    <t>Descrição</t>
  </si>
  <si>
    <t>L/S</t>
  </si>
  <si>
    <t>Aux de administração e comercialização I</t>
  </si>
  <si>
    <t>Escriturário III</t>
  </si>
  <si>
    <t>Estagiário do Jurídico</t>
  </si>
  <si>
    <t>Assessor divisional</t>
  </si>
  <si>
    <t>Tec de administração e comercialização II</t>
  </si>
  <si>
    <t>Assessor do meio ambiente</t>
  </si>
  <si>
    <t>Superintendente</t>
  </si>
  <si>
    <t>Oficial de redes de agua e esgoto I</t>
  </si>
  <si>
    <t>Oficial de redes de agua e esgoto II</t>
  </si>
  <si>
    <t>Oficial de redes de agua e esgoto III</t>
  </si>
  <si>
    <t>Serralheiro</t>
  </si>
  <si>
    <t>Motorista (cedido)</t>
  </si>
  <si>
    <t>Tec Tratamento de agua e esgoto</t>
  </si>
  <si>
    <t>Oficial de redes de água e esgoto II</t>
  </si>
  <si>
    <t>Assessor operacional</t>
  </si>
  <si>
    <t>Aux. Serv. Diversos</t>
  </si>
  <si>
    <t>Fiscal Ambiental</t>
  </si>
  <si>
    <t>Contador Junior</t>
  </si>
  <si>
    <t>Tec de administração e comercialização I</t>
  </si>
  <si>
    <t>Estagiário da adminstração</t>
  </si>
  <si>
    <t>Pedreiro</t>
  </si>
  <si>
    <t>Escriturário</t>
  </si>
  <si>
    <t>Assessor administrativo</t>
  </si>
  <si>
    <t xml:space="preserve">Técnico de eletrecidade I </t>
  </si>
  <si>
    <t>Vigia</t>
  </si>
  <si>
    <t>Motorista</t>
  </si>
  <si>
    <t>Oficial de redes de água e esgoto I</t>
  </si>
  <si>
    <t>Biológo</t>
  </si>
  <si>
    <t>Aux Tratamento água</t>
  </si>
  <si>
    <t>Procurador Juridico</t>
  </si>
  <si>
    <t>Escriturário II</t>
  </si>
  <si>
    <t>Escriturário I</t>
  </si>
  <si>
    <t>Ax de Adm e comercialização</t>
  </si>
  <si>
    <t>Auxiliar de serviços diversos</t>
  </si>
  <si>
    <t>Assessor setorial</t>
  </si>
  <si>
    <t>Assessor técnico</t>
  </si>
  <si>
    <t>Estagiário de Meio Ambiente</t>
  </si>
  <si>
    <t>Zelador de poço</t>
  </si>
  <si>
    <t>Auxiliar de adm e comercialização III</t>
  </si>
  <si>
    <t>Assessor superintendente</t>
  </si>
  <si>
    <t>Telefonista</t>
  </si>
  <si>
    <t>Técnico de eletrecidade II</t>
  </si>
  <si>
    <t>Salário</t>
  </si>
  <si>
    <t>Cargo</t>
  </si>
  <si>
    <t>Nº</t>
  </si>
  <si>
    <t>Salário Bruto Médio</t>
  </si>
  <si>
    <t>Quantidade de Cargos</t>
  </si>
  <si>
    <t>PROJEÇÃO DA POPULAÇÃO</t>
  </si>
  <si>
    <t>Custo base</t>
  </si>
  <si>
    <t>Salário Bruto</t>
  </si>
  <si>
    <t>Dados Comerciais</t>
  </si>
  <si>
    <t>Energia Elétrica</t>
  </si>
  <si>
    <t>Dados Técnicos</t>
  </si>
  <si>
    <t>Dados Financeiros</t>
  </si>
  <si>
    <t>Kwh/ano</t>
  </si>
  <si>
    <t>Despesa com energia elétrica</t>
  </si>
  <si>
    <t>Consumo de energia elétrica - Água</t>
  </si>
  <si>
    <t>Consumo de energia elétrica - Esgoto</t>
  </si>
  <si>
    <t>Cálculos</t>
  </si>
  <si>
    <t>Parâmetros Calculados</t>
  </si>
  <si>
    <t>Premissas</t>
  </si>
  <si>
    <t>Encanador - caça fraudes água e esgoto</t>
  </si>
  <si>
    <t>Cargos adaptados</t>
  </si>
  <si>
    <t>vb.</t>
  </si>
  <si>
    <t>mm</t>
  </si>
  <si>
    <t>m³</t>
  </si>
  <si>
    <t>cv</t>
  </si>
  <si>
    <t>CAPEX PREVISTO PARA RECUPERAÇÃO DO ATIVO</t>
  </si>
  <si>
    <t>CUSTO UNITÁRIO REFERENTE A PARTE ELETROMECÂNICA</t>
  </si>
  <si>
    <t>CUSTO UNITÁRIO REFERENTE A ESTRUTURA CIVIL</t>
  </si>
  <si>
    <t>PERCENTUAL REFERENTE A PARTE ELETROMECÂNICA</t>
  </si>
  <si>
    <t>PERCENTUAL REFERENTE A ESTRUTURA CIVIL</t>
  </si>
  <si>
    <t>CUSTO UNITÁRIO TOTAL REFERENCIAL PARA ATIVO NOVO</t>
  </si>
  <si>
    <t xml:space="preserve">Necessidade de Renovação/Reforma/Melhoria - Estrutura Hidromecânica </t>
  </si>
  <si>
    <t xml:space="preserve">Necessidade de Reconstrução/Reforma/Melhoria - Estrutura Civil </t>
  </si>
  <si>
    <t>Extensão</t>
  </si>
  <si>
    <t>Diâmetro Nominal</t>
  </si>
  <si>
    <t>Volume</t>
  </si>
  <si>
    <t>Potência</t>
  </si>
  <si>
    <t>Vazão</t>
  </si>
  <si>
    <t>Tipo</t>
  </si>
  <si>
    <t>Localidade</t>
  </si>
  <si>
    <t>Município</t>
  </si>
  <si>
    <t>Código Ativo</t>
  </si>
  <si>
    <t>Ativo</t>
  </si>
  <si>
    <t xml:space="preserve">Melhorias imediatas em Reservatórios (Reforma) </t>
  </si>
  <si>
    <t>População e Atendimento</t>
  </si>
  <si>
    <t>Consumo per capita (L/hab.dia)</t>
  </si>
  <si>
    <t>tem que ser o percentual em volume faturado</t>
  </si>
  <si>
    <t>para cada categoria</t>
  </si>
  <si>
    <t>total</t>
  </si>
  <si>
    <t>Salário com Encargos</t>
  </si>
  <si>
    <t>Encargos e Impostos</t>
  </si>
  <si>
    <t>Coeficiente da Hora de Maior Consumo</t>
  </si>
  <si>
    <t>Coeficiente do Dia de Maior Consumo</t>
  </si>
  <si>
    <t>Receita Água e Esgoto</t>
  </si>
  <si>
    <t>Consumo médio de Energia no SAA - Anos 4 a 35</t>
  </si>
  <si>
    <t>Consumo médio de Energia no SES - Anos 3 a 35</t>
  </si>
  <si>
    <t>PRODUTO: ORTOPOLIFOSFATO</t>
  </si>
  <si>
    <t>% de vazão do total de poços que utilizam ortopolifosfato</t>
  </si>
  <si>
    <t>TOTAL DE ENERGIA NOS SISTEMAS DE ÁGUA E ESGOTO</t>
  </si>
  <si>
    <t>Automação e Telemetria</t>
  </si>
  <si>
    <t xml:space="preserve">Automação e Telemetria </t>
  </si>
  <si>
    <t xml:space="preserve">Consumo Per Capita </t>
  </si>
  <si>
    <t xml:space="preserve">Receita operacional de Água </t>
  </si>
  <si>
    <t>Receita operacional de Esgoto</t>
  </si>
  <si>
    <t>Ampliação das Ligações de esgoto</t>
  </si>
  <si>
    <t xml:space="preserve">Ampliação das Ligações de água </t>
  </si>
  <si>
    <t>Ampliação de Redes de abastecimento</t>
  </si>
  <si>
    <t>Ampliação de Produção (L/s)</t>
  </si>
  <si>
    <t>Infraestrutura executada pela Concessionária Após Universalização - Água</t>
  </si>
  <si>
    <t>Infraestrutura executada pela Concessionária Após Universalização - Esgoto</t>
  </si>
  <si>
    <t>Substituição de Redes de esgoto (2% do ano 1 a 5 e 0,5% ao ano após ano 5)</t>
  </si>
  <si>
    <t>DESCRIÇÃO</t>
  </si>
  <si>
    <t>Substituição de Ligações de esgoto (5% anos 1 e 2 e 2% anos 3 em diante)</t>
  </si>
  <si>
    <t>Indicadores</t>
  </si>
  <si>
    <t xml:space="preserve">Veículos / funcionário </t>
  </si>
  <si>
    <t>Manutenção de água</t>
  </si>
  <si>
    <t>Manutenção de Esgoto</t>
  </si>
  <si>
    <t>Adminitração</t>
  </si>
  <si>
    <t>Caçamba</t>
  </si>
  <si>
    <t>O&amp;M dos Sistemas de Abastecimento de Água e Esgoto</t>
  </si>
  <si>
    <t>Despesa Anual com Veículos e Equipamentos (Locação e Combustível)</t>
  </si>
  <si>
    <t>Despesa Anual Total com Veículos e Equipamentos (Locação e Combustível)</t>
  </si>
  <si>
    <t>Custo do Litro de Gasolina (R$/Litro)</t>
  </si>
  <si>
    <t>Custo do Litro de Diesel (R$/Litro)</t>
  </si>
  <si>
    <t>Custo Combustível (R$/mês)</t>
  </si>
  <si>
    <t>Abastecimento de Água</t>
  </si>
  <si>
    <t xml:space="preserve">Manutenção </t>
  </si>
  <si>
    <t>Operação</t>
  </si>
  <si>
    <t>Serviços Gerais Administrativo</t>
  </si>
  <si>
    <t>Esgotamento Sanitário</t>
  </si>
  <si>
    <t>Ligações/funcionário - Manutenção</t>
  </si>
  <si>
    <t>Ligações/Funcionário - Engenharia</t>
  </si>
  <si>
    <t>Adm (10% operacional)</t>
  </si>
  <si>
    <t>Ligações/Funcionário - Operação</t>
  </si>
  <si>
    <t xml:space="preserve">Premissas </t>
  </si>
  <si>
    <t>Número de ETAs</t>
  </si>
  <si>
    <t>Número de ETEs</t>
  </si>
  <si>
    <t>Número de operadores por ETA/ETE</t>
  </si>
  <si>
    <t>Administrativo</t>
  </si>
  <si>
    <t>Supervisor de operação de ETE</t>
  </si>
  <si>
    <t>Auxiliar de operação da ETA</t>
  </si>
  <si>
    <t>Auxiliar de laboratório</t>
  </si>
  <si>
    <t>Programador de ordens de serviço água e esgoto</t>
  </si>
  <si>
    <t>Quantidade de ETAs</t>
  </si>
  <si>
    <t>Quantidade de ETEs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</si>
  <si>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</si>
  <si>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</si>
  <si>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</si>
  <si>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</si>
  <si>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</si>
  <si>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</si>
  <si>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</si>
  <si>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</si>
  <si>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</si>
  <si>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Quantidade de ETAs Instaladas</t>
  </si>
  <si>
    <t>Quantidade de ETEs Instaladas</t>
  </si>
  <si>
    <t>Utilirário (saveiro ou similar)</t>
  </si>
  <si>
    <t>Técnico químico - laboratório</t>
  </si>
  <si>
    <t>Faixas de consumo</t>
  </si>
  <si>
    <t>RES</t>
  </si>
  <si>
    <t>COM.</t>
  </si>
  <si>
    <t>IND.</t>
  </si>
  <si>
    <t>PUB</t>
  </si>
  <si>
    <t>11 a 15</t>
  </si>
  <si>
    <t>16 a 20</t>
  </si>
  <si>
    <t>21 a 25</t>
  </si>
  <si>
    <t>26 a 30</t>
  </si>
  <si>
    <t>31 a 35</t>
  </si>
  <si>
    <t>36 a 40</t>
  </si>
  <si>
    <t>41 a 45</t>
  </si>
  <si>
    <t>46 a 50</t>
  </si>
  <si>
    <t>51 a 100</t>
  </si>
  <si>
    <t>101 a 300</t>
  </si>
  <si>
    <t>301 a 999</t>
  </si>
  <si>
    <t>Residencial</t>
  </si>
  <si>
    <t>Comercial</t>
  </si>
  <si>
    <t>Industrial</t>
  </si>
  <si>
    <t>Público</t>
  </si>
  <si>
    <t>CUSTOS UNITÁRIOS PARA OBRAS LINEARES E LOCALIZADAS</t>
  </si>
  <si>
    <t xml:space="preserve">PREÇO UNITÁRIO </t>
  </si>
  <si>
    <t xml:space="preserve">BASE ESTUDO </t>
  </si>
  <si>
    <t>FATOR DE CORREÇÃO</t>
  </si>
  <si>
    <t>VALOR UNITÁRIO</t>
  </si>
  <si>
    <t>CAPTAÇÃO DE ÁGUA BRUTA - SUPERFICIAL</t>
  </si>
  <si>
    <t>PREÇO UNITÁRIO (R$/L/S)</t>
  </si>
  <si>
    <t>CAPTAÇÃO SUPERFICIAL ATÉ 5 L/S</t>
  </si>
  <si>
    <t>UN.</t>
  </si>
  <si>
    <t>CAPTAÇÃO SUPERFICIAL DE 5 A 10 L/S</t>
  </si>
  <si>
    <t>CAPTAÇÃO SUPERFICIAL DE 10 A 20 L/S</t>
  </si>
  <si>
    <t>CAPTAÇÃO SUPERFICIAL DE 20 A 80 L/S</t>
  </si>
  <si>
    <t>CAPTAÇÃO SUPERFICIAL DE 80 A 200 L/S</t>
  </si>
  <si>
    <t>CAPTAÇÃO SUPERFICIAL DE 200 A 500 L/S</t>
  </si>
  <si>
    <t>CAPTAÇÃO SUPERFICIAL DE 500 A 1000 L/S</t>
  </si>
  <si>
    <t>CAPTAÇÃO DE ÁGUA BRUTA - SUBTERRÂNEA</t>
  </si>
  <si>
    <t>CAPTAÇÃO - POÇO  ATÉ 5 L/S</t>
  </si>
  <si>
    <t>CAPTAÇÃO - POÇO  DE 5 A 10 L/S</t>
  </si>
  <si>
    <t>CAPTAÇÃO - POÇO  DE 10 A  20 L/S</t>
  </si>
  <si>
    <t>REFORMA DE POÇO (15%) DO VALOR TOTAL</t>
  </si>
  <si>
    <t>ESTAÇÃO DE TRATAMENTO DE ÁGUA</t>
  </si>
  <si>
    <t>ETA CONVENCIONAL COMPACTA - ATÉ 5 L/S</t>
  </si>
  <si>
    <t>ETA CONVENCIONAL COMPACTA  DE 5 A 10 L/S</t>
  </si>
  <si>
    <t>ETA CONVENCIONAL COMPACTA  DE 10 A  20 L/S</t>
  </si>
  <si>
    <t>ETA CONVENCIONAL COMPACTA  DE 20 A  100 L/S</t>
  </si>
  <si>
    <t>ETA CONVENCIONAL DE 100 A  500 L/S</t>
  </si>
  <si>
    <t>ETA CONVENCIONAL ACIMA DE 500 L/S</t>
  </si>
  <si>
    <t>ELEVATÓRIA DE ÁGUA BRUTA E TRATADA</t>
  </si>
  <si>
    <t xml:space="preserve"> CUSTO UNITÁRIO (R$ / un.)</t>
  </si>
  <si>
    <t>EEAB / EEAT  - ATÉ 5 L/S</t>
  </si>
  <si>
    <t>EEAB / EEAT  -  DE 5 A 30 L/S</t>
  </si>
  <si>
    <t>EEAB / EEAT    DE 30 A  80 L/S</t>
  </si>
  <si>
    <t>EEAB / EEAT  -  DE 80 A  150 L/S</t>
  </si>
  <si>
    <t>EEAB / EEAT  -  DE 150 A  500  L/S</t>
  </si>
  <si>
    <t>EEAB / EEAT -  ACIMA DE 500 L/S</t>
  </si>
  <si>
    <t xml:space="preserve">RESERVATÓRIO - AÇO VITRIFICADO COM BASE </t>
  </si>
  <si>
    <t>CUSTO UNITÁRIO (R$ / m³)</t>
  </si>
  <si>
    <t>M3</t>
  </si>
  <si>
    <t>REDE DE DISTRIBUIÇÃO E LIGAÇÕES</t>
  </si>
  <si>
    <t>CUSTO UNITÁRIO</t>
  </si>
  <si>
    <t>IMPLANTAÇÃO DE NOVAS LIGAÇÕES</t>
  </si>
  <si>
    <t>IMPLANTAÇÃO DE NOVOS HIDRÔMETROS</t>
  </si>
  <si>
    <t>SUBSTITUIÇÃO DE HIDRÔMETROS</t>
  </si>
  <si>
    <t>SUBSTITUIÇÃO DA REDE DE DISTRIBUIÇÃO (DIÂMETROS DIVERSOS)</t>
  </si>
  <si>
    <t>REDE DE DISTRIBUIÇÃO PVC DN 50mm, FORNECIMENTO E COLOCAÇÃO</t>
  </si>
  <si>
    <t>REDE DE DISTRIBUIÇÃO PVC DN 75mm, FORNECIMENTO E COLOCAÇÃO</t>
  </si>
  <si>
    <t>REDE DE DISTRIBUIÇÃO PVC DN 100mm, FORNECIMENTO E COLOCAÇÃO</t>
  </si>
  <si>
    <t>REDE DE DISTRIBUIÇÃO PVC DN 150mm, FORNECIMENTO E COLOCAÇÃO</t>
  </si>
  <si>
    <t>REDE DE DISTRIBUIÇÃO PVC DN 200mm, FORNECIMENTO E COLOCAÇÃO</t>
  </si>
  <si>
    <t>ADUTORA DN 300mm EM TUBULAÇAO DEFOFO, FORNECIMENTO E COLOCAÇÃO</t>
  </si>
  <si>
    <t>ADUTORA DN 400mm EM TUBULAÇAO DEFOFO, FORNECIMENTO E COLOCAÇÃO</t>
  </si>
  <si>
    <t>ADUTORA DN 500mm EM TUBULAÇAO DEFOFO, FORNECIMENTO E COLOCAÇÃO</t>
  </si>
  <si>
    <t>ADUTORA DN 600mm EM FERRO FUNDIDO, FORNECIMENTO E COLOCAÇÃO</t>
  </si>
  <si>
    <t>ADUTORA DN 700mm EM FERRO FUNDIDO, FORNECIMENTO E COLOCAÇÃO</t>
  </si>
  <si>
    <t>ADUTORA DN 750mm EM FERRO FUNDIDO, FORNECIMENTO E COLOCAÇÃO</t>
  </si>
  <si>
    <t>ADUTORA DN 800mm EM FERRO FUNDIDO, FORNECIMENTO E COLOCAÇÃO</t>
  </si>
  <si>
    <t>ADUTORA DN 900mm EM FERRO FUNDIDO, FORNECIMENTO E COLOCAÇÃO</t>
  </si>
  <si>
    <t>ADUTORA DN 1000mm EM FERRO FUNDIDO, FORNECIMENTO E COLOCAÇÃO</t>
  </si>
  <si>
    <t>ADUTORA DN 1200mm EM FERRO FUNDIDO, FORNECIMENTO E COLOCAÇÃO</t>
  </si>
  <si>
    <t>ADUTORA DN 1500mm EM FERRO FUNDIDO, FORNECIMENTO E COLOCAÇÃO</t>
  </si>
  <si>
    <t>ADUTORA DN 1750mm EM FERRO FUNDIDO, FORNECIMENTO E COLOCAÇÃO</t>
  </si>
  <si>
    <t>ADUTORA DN 2000mm EM FERRO FUNDIDO, FORNECIMENTO E COLOCAÇÃO</t>
  </si>
  <si>
    <t xml:space="preserve">ESTAÇÃO ELEVATÓRIA DE ESGOTO </t>
  </si>
  <si>
    <t>CUSTO UNITÁRIO R$ / un.</t>
  </si>
  <si>
    <t>EEEB - ATÉ 10 L/S</t>
  </si>
  <si>
    <t>EEEB  DE 10 A 35 L/S</t>
  </si>
  <si>
    <t>EEEB  DE 10 A  20 L/S</t>
  </si>
  <si>
    <t>EEEB  DE 20 A  100 L/S</t>
  </si>
  <si>
    <t>EEEB DE 100 A  200 L/S</t>
  </si>
  <si>
    <t>REDE COLETORA E LIGAÇÕES</t>
  </si>
  <si>
    <t>SUBSTITUIÇÃO DA REDE COLETORA (DIÂMETROS DIVERSOS)</t>
  </si>
  <si>
    <t>EXTENSÃO DE REDE COLETORA DE ESGOTO EM PVC DN 150mm, FORNECIMENTO E COLOCAÇÃO</t>
  </si>
  <si>
    <t>EXTENSÃO DE REDE COLETORA DE ESGOTO EM PVC DN 200mm, FORNECIMENTO E COLOCAÇÃO</t>
  </si>
  <si>
    <t>EXTENSÃO DE REDE COLETORA DE ESGOTO EM PVC DN 250mm, FORNECIMENTO E COLOCAÇÃO</t>
  </si>
  <si>
    <t>EXTENSÃO DE REDE COLETORA DE ESGOTO EM PVC DN 300mm, FORNECIMENTO E COLOCAÇÃO</t>
  </si>
  <si>
    <t>EXTENSÃO DE REDE COLETORA DE ESGOTO EM PVC DN 350mm, FORNECIMENTO E COLOCAÇÃO</t>
  </si>
  <si>
    <t>EXTENSÃO DE REDE COLETORA DE ESGOTO EM PVC DN 400mm, FORNECIMENTO E COLOCAÇÃO</t>
  </si>
  <si>
    <t>EXTENSÃO DE REDE COLETORA DE ESGOTO EM PVC DN 450mm, FORNECIMENTO E COLOCAÇÃO</t>
  </si>
  <si>
    <t>EXTENSÃO DE REDE COLETORA DE ESGOTO EM PVC DN 600mm, FORNECIMENTO E COLOCAÇÃO</t>
  </si>
  <si>
    <t>EXTENSÃO DE REDE COLETORA DE ESGOTO EM PVC DN 750mm, FORNECIMENTO E COLOCAÇÃO</t>
  </si>
  <si>
    <t>Q ETEs (l/s)</t>
  </si>
  <si>
    <t>Outros Investimentos</t>
  </si>
  <si>
    <t>Projetos Ténicos de Engenharia (ano 1 e ano 2) - 1,0%</t>
  </si>
  <si>
    <t xml:space="preserve">Automação e telemetria </t>
  </si>
  <si>
    <t>Recuperação de EEE</t>
  </si>
  <si>
    <t>Recuperação Ambiental - 0,1%</t>
  </si>
  <si>
    <t>Controle e Monitoramento</t>
  </si>
  <si>
    <t>valor dos ativos atuais</t>
  </si>
  <si>
    <t>ANOS</t>
  </si>
  <si>
    <t>IDADE MÉDIA DO ATIVO PARA DEPRECIAÇÃO</t>
  </si>
  <si>
    <t>CUSTO ANUAL DE DEPRECIAÇAO</t>
  </si>
  <si>
    <t>TEMPO ADMITIDO PARA DEPRECIAÇÃO</t>
  </si>
  <si>
    <t>VALOR DO BEM NÃ DEPRECIADO</t>
  </si>
  <si>
    <t>IDADE UTIL DO BEM</t>
  </si>
  <si>
    <t xml:space="preserve">Coordenador de compras </t>
  </si>
  <si>
    <t>Coordenador de compras</t>
  </si>
  <si>
    <t>Gerente de Engenharia - Prazo e Ajustes e Obras</t>
  </si>
  <si>
    <t>Substituição de Ligações de água (2% anos 2 e 3)</t>
  </si>
  <si>
    <t>Substituição de Padrão de Ligação de água (1% ao ano, anos 1 a 5)</t>
  </si>
  <si>
    <t>Encanador - Saneamento Rural</t>
  </si>
  <si>
    <t>Reajuste</t>
  </si>
  <si>
    <t>13. OUTORGA ONEROSA</t>
  </si>
  <si>
    <t>4. OUTORGA ONEROSA</t>
  </si>
  <si>
    <t>Residencial Social</t>
  </si>
  <si>
    <t>Publico</t>
  </si>
  <si>
    <t>TOTAL =</t>
  </si>
  <si>
    <t xml:space="preserve">Reservatório </t>
  </si>
  <si>
    <t>RESERVATÓRIOS</t>
  </si>
  <si>
    <t>Sede</t>
  </si>
  <si>
    <t>CAPTAÇÃO</t>
  </si>
  <si>
    <t>Localização/coordenadas</t>
  </si>
  <si>
    <t>adotado</t>
  </si>
  <si>
    <t>per capita</t>
  </si>
  <si>
    <t>per capita residencial</t>
  </si>
  <si>
    <t>hab/economia</t>
  </si>
  <si>
    <t>m3/mês</t>
  </si>
  <si>
    <t>consumo médio por economia</t>
  </si>
  <si>
    <t>m3/economia</t>
  </si>
  <si>
    <t>consumo médio</t>
  </si>
  <si>
    <t>VOLUME</t>
  </si>
  <si>
    <t>ECONOMIAS</t>
  </si>
  <si>
    <t>total do volume micromedido</t>
  </si>
  <si>
    <t>total de economias</t>
  </si>
  <si>
    <t>MEDIDO</t>
  </si>
  <si>
    <t>FATURADO</t>
  </si>
  <si>
    <t>GERAL</t>
  </si>
  <si>
    <t>PÚBLICO</t>
  </si>
  <si>
    <t>INDUSTRIAL RURAL</t>
  </si>
  <si>
    <t>INDUSTRIAL MICRO EMPRESA</t>
  </si>
  <si>
    <t>INDUSTRIAL NORMAL</t>
  </si>
  <si>
    <t>COMERCIAL RURAL</t>
  </si>
  <si>
    <t>COMERCIAL MICRO EMPRESA</t>
  </si>
  <si>
    <t>COMERCIAL NORMAL</t>
  </si>
  <si>
    <t>RESIDENCIAL RURAL</t>
  </si>
  <si>
    <t>RESIDENCIAL SOCIAL</t>
  </si>
  <si>
    <t>RESIDENCIAL NORMAL</t>
  </si>
  <si>
    <t>Salário Ajustado</t>
  </si>
  <si>
    <t>OPEX POR LIGAÇÃO</t>
  </si>
  <si>
    <t>14. RESULTADO LÍQUIDO DO EXERCÍCIO</t>
  </si>
  <si>
    <t>Despesa Total Mensal com Veículos e Equipamentos (Locação e Combustível)</t>
  </si>
  <si>
    <t>Km/dia</t>
  </si>
  <si>
    <t>Dias trabalhados mês</t>
  </si>
  <si>
    <t>Custo Unitário Aluguel (R$/mês)</t>
  </si>
  <si>
    <t>Dias trabalhados no mês</t>
  </si>
  <si>
    <t>Média veículo (km/litro)</t>
  </si>
  <si>
    <t>Sistema individual de tratamento de esgoto sanitário (instalado)</t>
  </si>
  <si>
    <t>un.</t>
  </si>
  <si>
    <t>Nº TOTAL DE ECONOMIAS DE ESGOTO INDIVIDUAL</t>
  </si>
  <si>
    <t>INCREMENTO DE ECONOMIAS DE ESGOTO INDIVIDUAL</t>
  </si>
  <si>
    <t>NÚMERO DE ECONOMIAS DE ÁGUA</t>
  </si>
  <si>
    <t>CONSUMO MÉDIO POR ECONOMIA DE ÁGUA (M3/ECON)</t>
  </si>
  <si>
    <t>FATURAMENTO ÁGUA</t>
  </si>
  <si>
    <t>COMPOSIÇÃO DO FATURAMENTO MÉDIO DE ÁGUA</t>
  </si>
  <si>
    <t>FATURAMENTO ESGOTO - SISTEMA COLETIVO</t>
  </si>
  <si>
    <t>FATURAMENTO - ESGOTO SSITEMAS INDIVIDUAIS</t>
  </si>
  <si>
    <t>NUMERO DE ECONOMIAS DE ESGOTO - SISTEMA COLETIVO</t>
  </si>
  <si>
    <t>NUMERO DE ECONOMIAS DE ESGOTO - SISTEMA INDIVIDUAL</t>
  </si>
  <si>
    <t>Custo de Energia no SES - Anos 1, 2 e 3</t>
  </si>
  <si>
    <t>Custo de Energia no SES - Ano 4 ao 35</t>
  </si>
  <si>
    <t>R$/KWh</t>
  </si>
  <si>
    <t>Encanador - Sistemas Individuais</t>
  </si>
  <si>
    <t>FAIXA DE CONSUMO</t>
  </si>
  <si>
    <t>ECONOMIAS TOTAIS -MEDIDO</t>
  </si>
  <si>
    <t>RESIDENCIAL</t>
  </si>
  <si>
    <t>COMERCIAL</t>
  </si>
  <si>
    <t>INDUSTRIAL</t>
  </si>
  <si>
    <t>VOLUMES TOTAIS - MEDIDO (M³)</t>
  </si>
  <si>
    <t>31 a 36</t>
  </si>
  <si>
    <t>37 a 41</t>
  </si>
  <si>
    <t>42 a 100</t>
  </si>
  <si>
    <t>101 a 181</t>
  </si>
  <si>
    <t>REDE DE DISTRIBUIÇÃO</t>
  </si>
  <si>
    <t>Substituição de Redes de água (2% ao ano. Anos 2 a 11)</t>
  </si>
  <si>
    <t>Tarifa Média de Água Para Viabilizar</t>
  </si>
  <si>
    <t>Extensão de rede de esgoto por habitante (esg)</t>
  </si>
  <si>
    <t>Extensão de rede por ligação (esg)</t>
  </si>
  <si>
    <t>Extensão de rede por ligação - admitida para ampliação (esg)</t>
  </si>
  <si>
    <t>,</t>
  </si>
  <si>
    <t>POPULAÇÃO TOTAL. (HAB)</t>
  </si>
  <si>
    <t>POPULAÇÃO RURAL (HAB)</t>
  </si>
  <si>
    <t>NÍVEL DE ATENDIMENTO DE ÁGUA POR SISTEMAS ISOLADOS OU INDIVIDUAIS (%)</t>
  </si>
  <si>
    <t>POPULAÇÃO ATENDIDA POR SERVIÇOS DE ÁGUA POR SISTEMAS ISOLADOS OU INDIVIDUAIS (Hab)</t>
  </si>
  <si>
    <t>NÍVEL DE ATENDIMENTO DE ESGOTO POR SISTEMAS INDIVIDUAIS (%)</t>
  </si>
  <si>
    <t>POPULAÇÃO ATENDIDA POR SERVIÇOS DE ESGOTO POR SISTEMAS INDIVIDUAIS (HAB)</t>
  </si>
  <si>
    <t>EVOLUÇÃO DO NÍVEL DE ATENDIMENTO E DA POPULAÇÃO ATENDIDA EM SISTEMAS ISOLADOS OU INDIVIDUAIS</t>
  </si>
  <si>
    <t xml:space="preserve">EVOLUÇÃO DO NÍVEL DE ATENDIMENTO E DA POPULAÇÃO ATENDIDA NA ÁREA URBANA </t>
  </si>
  <si>
    <t>Incremento de consumo per capita</t>
  </si>
  <si>
    <t>L/s*Km</t>
  </si>
  <si>
    <t>Reajuste para Equilíbrio do Projeto</t>
  </si>
  <si>
    <t>POPOLAÇÃO A SER ATENDIDA POR SISTEMAS INDIVIDUAIS DE ESGOTO NA ÁREA DE MENOR CONCENTRAÇÃO URBANA (HAB)</t>
  </si>
  <si>
    <t>% DA POPULAÇÃO ATENDIDA POR SISTEMA COLETIVO DE ESGOTAMENTO SANITÁRIO</t>
  </si>
  <si>
    <t>% DA POPULAÇÃO ATENDIDA POR SISTEMA INDIVIDUAL DE ESGOTAMENTO SANITÁRIO</t>
  </si>
  <si>
    <t>POPULAÇÃO ATENDIDA POR SERVIÇOS DE ESGOTO INDIVIDUAL (HAB)</t>
  </si>
  <si>
    <t>POPULAÇÃO TOTAL ATENDIDA COM SERVIÇOS DE ESGOTAMENTO SANITÁRIO (HAB)</t>
  </si>
  <si>
    <t>SISTEMA COLETIVO DE ESGOTO</t>
  </si>
  <si>
    <t>ÁREA RURAL</t>
  </si>
  <si>
    <t>TOTAL DE HABITANTES ATENDIDOS POR SISTEMA INDIVIDUAL</t>
  </si>
  <si>
    <t>ÁREA URBANA</t>
  </si>
  <si>
    <t xml:space="preserve">População Urbana Atendida por Água </t>
  </si>
  <si>
    <t>População Urbana Atendida por Esgoto</t>
  </si>
  <si>
    <t xml:space="preserve">Nível Atendimento de Água </t>
  </si>
  <si>
    <t xml:space="preserve">População Urbana Total </t>
  </si>
  <si>
    <t xml:space="preserve">Nível Atendimento de Esgoto </t>
  </si>
  <si>
    <t xml:space="preserve">População Rural no Início do projeto </t>
  </si>
  <si>
    <t xml:space="preserve">Número de Ligações de Água </t>
  </si>
  <si>
    <t>Número de Ligações de Esgoto</t>
  </si>
  <si>
    <t xml:space="preserve">Número de Habitantes por Economia </t>
  </si>
  <si>
    <t xml:space="preserve">Volume Faturado de Água </t>
  </si>
  <si>
    <t>Volume Micromedido de Água</t>
  </si>
  <si>
    <t xml:space="preserve">Volume Produzido </t>
  </si>
  <si>
    <t xml:space="preserve">Extensão da rede de água </t>
  </si>
  <si>
    <t>Rede de esgoto existente no ano 0</t>
  </si>
  <si>
    <t>Volume de reservação instalado</t>
  </si>
  <si>
    <t>Vazão de ETAs instalados</t>
  </si>
  <si>
    <t>Vazão de Poços instalados</t>
  </si>
  <si>
    <t>Vazão de ETEs instaladas</t>
  </si>
  <si>
    <t>Tarifa Média de Água - (2024)</t>
  </si>
  <si>
    <t>SETORIZAÇÃO</t>
  </si>
  <si>
    <t>UNIDADE DE TRATAMENTO DE LODO - ATÉ 50 L/S</t>
  </si>
  <si>
    <t>UNIDADE DE TRATAMENTO DE LODO - ACIMA 50 L/S</t>
  </si>
  <si>
    <t>DOSAGEM</t>
  </si>
  <si>
    <t>O&amp;M de Água e Esgoto, Engenharia e Gestão Comercial</t>
  </si>
  <si>
    <t>Retroescavadeira com operador e combustível</t>
  </si>
  <si>
    <t>Hidrovácuo com operador e combustível</t>
  </si>
  <si>
    <t>Caminhão Basculante com operador e combustível</t>
  </si>
  <si>
    <t>Infraestrutura executada pelos Loteadores antes da Universalização - Esgoto</t>
  </si>
  <si>
    <t>Infraestrutura executada pelos Loteandores Após Universalização - Esgoto</t>
  </si>
  <si>
    <t>Reajuste Tarifário Aplicado na Tarifa Média de Água (2023 e 2024) - IPCA</t>
  </si>
  <si>
    <t>VERIFICADOR INDEPENDENTE</t>
  </si>
  <si>
    <t>Despesas com Verificador Independente</t>
  </si>
  <si>
    <t>4.10. Verificador Independente</t>
  </si>
  <si>
    <t>PREFEITURA DE ERECHIM - RIO GRANDE DO SUL</t>
  </si>
  <si>
    <t>SNIS 2023</t>
  </si>
  <si>
    <t>Censo 2022</t>
  </si>
  <si>
    <t>Número de Economias residenciais  Ativas de água</t>
  </si>
  <si>
    <t>População Sede</t>
  </si>
  <si>
    <t>População Distrito Capo-Erê</t>
  </si>
  <si>
    <t>População Distrito Jaguaretê</t>
  </si>
  <si>
    <t>Valor (SEDE)</t>
  </si>
  <si>
    <t>Valor (Capo-Erê)</t>
  </si>
  <si>
    <t>Valor (Jaguaretê)</t>
  </si>
  <si>
    <t>SNIS 2023/Estimado</t>
  </si>
  <si>
    <t>Calculado/Premissa</t>
  </si>
  <si>
    <t>IBGE/PMSB</t>
  </si>
  <si>
    <t>POPULAÇÃO DISTRITO DE CAPO-ERÊ</t>
  </si>
  <si>
    <t>POPULAÇÃO DISTRITO DE JAGUARETÊ</t>
  </si>
  <si>
    <t>REDE DE ÁGUA (SEDE)</t>
  </si>
  <si>
    <t>INCREMENTO DE REDE DE ÁGUA PELA CONCESSIONÁRIA (SEDE)</t>
  </si>
  <si>
    <t>REDE DE ÁGUA (CAPO-ERÊ)</t>
  </si>
  <si>
    <t>INCREMENTO DE REDE DE ÁGUA PELA CONCESSIONÁRIA (CAPO-ERÊ)</t>
  </si>
  <si>
    <t>REDE DE ÁGUA (JAGUARETÊ)</t>
  </si>
  <si>
    <t>INCREMENTO DE REDE DE ÁGUA PELA CONCESSIONÁRIA (JAGUARETÊ)</t>
  </si>
  <si>
    <t xml:space="preserve">POPULAÇÃO ATENDIDA POR SERVIÇOS DE ÁGUA SEDE (Hab) </t>
  </si>
  <si>
    <t xml:space="preserve">POPULAÇÃO ATENDIDA POR SERVIÇOS DE ÁGUA CAPO-ERÊ(Hab) </t>
  </si>
  <si>
    <t>POPULAÇÃO ATENDIDA POR SERVIÇOS DE ÁGUA JAGUARETÊ (Hab)</t>
  </si>
  <si>
    <t>POPULAÇÃO SEDE (HAB)</t>
  </si>
  <si>
    <t>VOLUME CONSUMIDO SEDE  (M³)</t>
  </si>
  <si>
    <t>VOLUME MICROMEDIDO SEDE  (M³)</t>
  </si>
  <si>
    <t>VOLUME CONSUMIDO CAPO-ERÊ  (M³)</t>
  </si>
  <si>
    <t>VOLUME MICROMEDIDO JAGUARETÊ  (M³)</t>
  </si>
  <si>
    <t>VOLUME CONSUMIDO JAGUARETÊ  (M³)</t>
  </si>
  <si>
    <t>VOLUME MICROMEDIDO CAPO-ERÊ (M³)</t>
  </si>
  <si>
    <t>VOLUME FATURADO ÁGUA SEDE (M³)</t>
  </si>
  <si>
    <t>VOLUME PRODUZIDO SEDE (M³)</t>
  </si>
  <si>
    <t>VOLUME FATURADO ÁGUA CAPO-ERÊ (M³)</t>
  </si>
  <si>
    <t>VOLUME PRODUZIDO CAPO ERÊ (M³)</t>
  </si>
  <si>
    <t>VOLUME FATURADO ÁGUA JAGUARETÊ  (M³)</t>
  </si>
  <si>
    <t>VOLUME PRODUZIDO JAGUARETÊ  (M³)</t>
  </si>
  <si>
    <t>Q MÉDIA DIÁRIA ÁGUA SEDE(l/s)</t>
  </si>
  <si>
    <t>Q DIA DE MAIOR CONSUMO ÁGUA SEDE (l/s)</t>
  </si>
  <si>
    <t>Q HORA DE MAIOR CONSUMO ÁGUA SEDE (l/s)</t>
  </si>
  <si>
    <t>Q MÉDIA DIÁRIA ÁGUA CAPO-ERÊ (l/s)</t>
  </si>
  <si>
    <t>Q DIA DE MAIOR CONSUMO ÁGUA CAPO-ERÊ (l/s)</t>
  </si>
  <si>
    <t>Q HORA DE MAIOR CONSUMO ÁGUA CAPO-ERÊ (l/s)</t>
  </si>
  <si>
    <t>Q MÉDIA DIÁRIA ÁGUA JAGUARETÊ (l/s)</t>
  </si>
  <si>
    <t>Q DIA DE MAIOR CONSUMO ÁGUA JAGUARETÊ(l/s)</t>
  </si>
  <si>
    <t>Q HORA DE MAIOR CONSUMO ÁGUA JAGUARETÊ (l/s)</t>
  </si>
  <si>
    <t>RESERVAÇÃO SEDE</t>
  </si>
  <si>
    <t>RESERVAÇÃO DISTRITO CAPO-ERÊ</t>
  </si>
  <si>
    <t>RESERVAÇÃO DISTRITO DE JAGUARETÊ</t>
  </si>
  <si>
    <t>PRODUÇÃO SEDE</t>
  </si>
  <si>
    <t>PRODUÇÃO CAPO-ERÊ</t>
  </si>
  <si>
    <t>PRODUÇÃO JAGUARETÊ</t>
  </si>
  <si>
    <t>POPULAÇÃO ATENDIDA POR SERVIÇOS DE ESGOTO COLETADO SEDE (HAB)</t>
  </si>
  <si>
    <t>POPULAÇÃO ATENDIDA POR SERVIÇOS DE ESGOTO COLETADO CAPO-ERÊ (HAB)</t>
  </si>
  <si>
    <t>POPULAÇÃO ATENDIDA POR SERVIÇOS DE ESGOTO COLETADO JAGUARETÊ (HAB)</t>
  </si>
  <si>
    <t>POPULAÇÃO ATENDIDA POR SERVIÇOS DE ESGOTO TRATADO SEDE(HAB)</t>
  </si>
  <si>
    <t>POPULAÇÃO ATENDIDA POR SERVIÇOS DE ESGOTO TRATADO CAPO-ERÊ (HAB)</t>
  </si>
  <si>
    <t>POPULAÇÃO ATENDIDA POR SERVIÇOS DE ESGOTO TRATADO JAGUARETÊ (HAB)</t>
  </si>
  <si>
    <t>Nº TOTAL DE ECONOMIAS DE ÁGUA SEDE</t>
  </si>
  <si>
    <t>INCREMENTO DE ECONOMIAS DE ÁGUA SEDE</t>
  </si>
  <si>
    <t>Nº TOTAL DE ECONOMIAS DE ÁGUA CAPO-ERÊ</t>
  </si>
  <si>
    <t>INCREMENTO DE ECONOMIAS DE ÁGUA CAPO-ERÊ</t>
  </si>
  <si>
    <t>Nº TOTAL DE ECONOMIAS DE ÁGUA JAGUARETÊ</t>
  </si>
  <si>
    <t>INCREMENTO DE ECONOMIAS DE ÁGUA JAGUARETÊ</t>
  </si>
  <si>
    <t>Nº TOTAL DE ECONOMIAS DE ESGOTO - SISTEMA COLETIVO SEDE</t>
  </si>
  <si>
    <t>INCREMENTO DE ECONOMIAS DE ESGOTO SEDE</t>
  </si>
  <si>
    <t>Nº TOTAL DE ECONOMIAS DE ESGOTO - SISTEMA COLETIVO - CAPO-ERÊ</t>
  </si>
  <si>
    <t>INCREMENTO DE ECONOMIAS DE ESGOTO -CAPO-ERÊ</t>
  </si>
  <si>
    <t>Nº TOTAL DE ECONOMIAS DE ESGOTO - SISTEMA COLETIVO - JAGUARETÊ</t>
  </si>
  <si>
    <t>INCREMENTO DE ECONOMIAS DE ESGOTO - JAGUARETÊ</t>
  </si>
  <si>
    <t xml:space="preserve">Nùmero de ligações </t>
  </si>
  <si>
    <t>Nº TOTAL DE LIGAÇÕES DE ÁGUA - SEDE</t>
  </si>
  <si>
    <t>Nº TOTAL DE LIGAÇÕES DE ÁGUA -CAPO-ERÊ</t>
  </si>
  <si>
    <t>INCREMENTO DE LIGAÇÕES DE ÁGUA - CAPO-ERÊ</t>
  </si>
  <si>
    <t>Nº TOTAL DE LIGAÇÕES DE ÁGUA - JAGUARETÊ</t>
  </si>
  <si>
    <t>INCREMENTO DE LIGAÇÕES DE ÁGUA - JAGUARETÊ</t>
  </si>
  <si>
    <t>Nº TOTAL DE LIGAÇÕES DE ESGOTO - SEDE</t>
  </si>
  <si>
    <t>INCREMENTO DE LIGAÇÕES DE ESGOTO - SEDE</t>
  </si>
  <si>
    <t>Nº TOTAL DE LIGAÇÕES DE ESGOTO - CAPO-ERÊ</t>
  </si>
  <si>
    <t>INCREMENTO DE LIGAÇÕES DE ESGOTO - CAPO-ERÊ</t>
  </si>
  <si>
    <t>Nº TOTAL DE LIGAÇÕES DE ESGOTO - JAGUARETÊ</t>
  </si>
  <si>
    <t>INCREMENTO DE LIGAÇÕES DE ESGOTO - JAGUARETÊ</t>
  </si>
  <si>
    <t>INCREMENTO DE REDE DE ÁGUA PELOS LOTEADORES SEDE</t>
  </si>
  <si>
    <t>INCREMENTO DE REDE DE ÁGUA PELOS LOTEADORES CAPO-ERÊ</t>
  </si>
  <si>
    <t>INCREMENTO DE REDE DE ÁGUA PELOS LOTEADORES JAGUARETÊ</t>
  </si>
  <si>
    <t>REDE PARA UNIVERSALIZAÇÃO SEDE</t>
  </si>
  <si>
    <t>EXECUÇÃO ANUAL SEDE</t>
  </si>
  <si>
    <t>REDE PARA UNIVERSALIZAÇÃO CAPO-ERÊ</t>
  </si>
  <si>
    <t>EXECUÇÃO ANUAL CAPO-ERÊ</t>
  </si>
  <si>
    <t>REDE PARA UNIVERSALIZAÇÃO JAGUARETÊ</t>
  </si>
  <si>
    <t>EXECUÇÃO ANUAL JAGUARETÊ</t>
  </si>
  <si>
    <t>REDE COLETORA DE ESGOTO SEDE</t>
  </si>
  <si>
    <t>INCREMENTO DE REDE DE ESGOTO SEDE</t>
  </si>
  <si>
    <t>REDE COLETORA DE ESGOTO CAPO-ERÊ</t>
  </si>
  <si>
    <t>INCREMENTO DE REDE DE ESGOTO CAPO-ERÊ</t>
  </si>
  <si>
    <t>REDE COLETORA DE ESGOTO JAGUARETÊ</t>
  </si>
  <si>
    <t>INCREMENTO DE REDE DE ESGOTO JAGUARETÊ</t>
  </si>
  <si>
    <t>INCREMENTO DE REDE DE ESGOTO PELOS LOTEADORES SEDE</t>
  </si>
  <si>
    <t>INCREMENTO DE REDE DE ESGOTO PELOS LOTEADORES CAPO-ERÊ</t>
  </si>
  <si>
    <t>INCREMENTO DE REDE DE ESGOTO PELOS LOTEADORES JAGUARETÊ</t>
  </si>
  <si>
    <t>VOLUME DE INFILTRAÇÃO SEDE (M³)</t>
  </si>
  <si>
    <t>VOLUME DE ESGOTO SEDE   (M³)</t>
  </si>
  <si>
    <t>VOLUME DE INFILTRAÇÃO CAPO-ERÊ (M³)</t>
  </si>
  <si>
    <t>VOLUME DE INFILTRAÇÃO JAGUARETÊ (M³)</t>
  </si>
  <si>
    <t>VOLUME DE ESGOTO JAGUARETÊ (M³)</t>
  </si>
  <si>
    <t>VOLUME FATURADO POR ECONOMIA SEDE (M3/ECON).</t>
  </si>
  <si>
    <t>ÍNDICE DE PERDAS POR LIGAÇÃO SEDE (L/LIG.DIA)</t>
  </si>
  <si>
    <t>VOLUME FATURADO POR ECONOMIA CAPO-ERÊ (M3/ECON).</t>
  </si>
  <si>
    <t>ÍNDICE DE PERDAS POR LIGAÇÃO CAPO-ERÊ (L/LIG.DIA)</t>
  </si>
  <si>
    <t>VOLUME FATURADO POR ECONOMIA JAGUARETÊ (M3/ECON).</t>
  </si>
  <si>
    <t>ÍNDICE DE PERDAS POR LIGAÇÃO JAGUARETÊ (L/LIG.DIA)</t>
  </si>
  <si>
    <t>VOLUME ANUAL DE PERDAS SEDE (M3)</t>
  </si>
  <si>
    <t>VOLUME ANUAL DE PERDAS CAPO-ERÊ (M3)</t>
  </si>
  <si>
    <t>VOLUME ANUAL DE PERDAS JAGUARETÊ (M3)</t>
  </si>
  <si>
    <t>CAPACIDADE DE TRATAMENTO DE ESGOTO - SEDE</t>
  </si>
  <si>
    <t>CAPACIDADE DE TRATAMENTO DE ESGOTO - CAPO ERÊ</t>
  </si>
  <si>
    <t>CAPACIDADE DE TRATAMENTO DE ESGOTO - JAGUARETÊ</t>
  </si>
  <si>
    <t>Q MÉDIA DIÁRIA ESGOTO GERADO SEDE (l/s)</t>
  </si>
  <si>
    <t>Q dia&gt; VAZÃO MÁXIMA SEDE (l/s)</t>
  </si>
  <si>
    <t>Q hora&gt; VAZÃO MÁXIMA HORÁRIA SEDE (l/s)</t>
  </si>
  <si>
    <t>Q MÉDIA DIÁRIA ESGOTO GERADO CAPO ERÊ (l/s)</t>
  </si>
  <si>
    <t>Q dia&gt; VAZÃO MÁXIMA CAPO ERÊ (l/s)</t>
  </si>
  <si>
    <t>Q hora&gt; VAZÃO MÁXIMA HORÁRIA CAPO ERÊ (l/s)</t>
  </si>
  <si>
    <t>Q MÉDIA DIÁRIA ESGOTO GERADO JAGUARETÊ (l/s)</t>
  </si>
  <si>
    <t>Q dia&gt; VAZÃO MÁXIMA JAGUARETÊ  (l/s)</t>
  </si>
  <si>
    <t>Q hora&gt; VAZÃO MÁXIMA HORÁRIA JAGUARETÊ (l/s)</t>
  </si>
  <si>
    <t>VOLUME DE ESGOTO CAPO ERÊ (M³)</t>
  </si>
  <si>
    <t>VOLUMES FATURADOS DE ÁGUA - SEDE E DISTRITOS</t>
  </si>
  <si>
    <t>FATURAMENTO DE SERVIÇOS DE A/E - SEDE (R$)</t>
  </si>
  <si>
    <t>CONSUMO DE ENERGIA NO SAA SEDE (Kwh/ano)</t>
  </si>
  <si>
    <t>DESPESA COM ENERGIA NO SAA SEDE (R$)</t>
  </si>
  <si>
    <t>CONSUMO DE ENERGIA NO SAA CAPO-ERÊ (Kwh/ano)</t>
  </si>
  <si>
    <t>DESPESA COM ENERGIA NO SAA CAPO-ERÊ (R$)</t>
  </si>
  <si>
    <t>CONSUMO DE ENERGIA NO SAA JAGUARETÊ (Kwh/ano)</t>
  </si>
  <si>
    <t>DESPESA COM ENERGIA NO SAA JAGUARETÊ (R$)</t>
  </si>
  <si>
    <t>CONSUMO TOTAL NO SAA - SEDE + DISTRITOS (Kwh/ano)</t>
  </si>
  <si>
    <t>DESPESAS TOTAIS NO SAA COM ENERGIA - SEDE + DISTRITOS (R$)</t>
  </si>
  <si>
    <t>CONSUMO DE ENERGIA NO SES - SEDE (Kwh/ano)</t>
  </si>
  <si>
    <t>DESPESA COM ENERGIA NO SES - SEDE (R$)</t>
  </si>
  <si>
    <t>CONSUMO DE ENERGIA NO SES - CAPO ERÊ (Kwh/ano)</t>
  </si>
  <si>
    <t>DESPESA COM ENERGIA NO SES - CAPO ERÊ (R$)</t>
  </si>
  <si>
    <t>CONSUMO DE ENERGIA NO SES - JAGUARETÊ (Kwh/ano)</t>
  </si>
  <si>
    <t>DESPESA COM ENERGIA NO SES - JAGUARETÊ (R$)</t>
  </si>
  <si>
    <t>CONSUMO TOTAL NO SES - SEDE + DISTRITOS (Kwh/ano)</t>
  </si>
  <si>
    <t>DESPESAS TOTAIS NO SES COM ENERGIA - SEDE + DISTRITOS (R$)</t>
  </si>
  <si>
    <t>DESPESAS ENERGIA ELÉTRICA</t>
  </si>
  <si>
    <t>TOTAL DE LIGAÇÕES DE ÁGUA (SEDE E DISTRITOS)</t>
  </si>
  <si>
    <t>TOTAL DE INCREMENTO DE ÁGUA (SEDE E DISTRITOS)</t>
  </si>
  <si>
    <t>TOTAL GERAL REDE DE ÁGUA -(SEDE+DISTRITOS)</t>
  </si>
  <si>
    <t>TOTAL REDE DE ESGOTO (SEDE+DISTRITOS)</t>
  </si>
  <si>
    <t>TOTAL GERAL INCREMENTO REDE DE ÁGUA -(SEDE+DISTRITOS+LOTEADORES)</t>
  </si>
  <si>
    <t>SEDE</t>
  </si>
  <si>
    <t>CAPO-ERÊ</t>
  </si>
  <si>
    <t>JAGUARETÊ</t>
  </si>
  <si>
    <t xml:space="preserve">TOTAL DE ECONOMIAS DE ESGOTO </t>
  </si>
  <si>
    <t>TOTAL DE ECONOMIAS DE ÁGUA</t>
  </si>
  <si>
    <t>TOTAL DE LIGAÇÕES DE ESGOTO (SEDE E DISTRITOS)</t>
  </si>
  <si>
    <t>TOTAL INCREMENTO DE LIGAÇÕES DE ESGOTO (SEDE E DISTRITOS)</t>
  </si>
  <si>
    <t>VOLUME ESGOTAMENTO SANITÁRIO GERADO PARA SEDE (*) (M³)</t>
  </si>
  <si>
    <t>VOLUME ESGOTAMENTO SANITÁRIO GERADO PARA CAPO-ERÊ (*) (M³)</t>
  </si>
  <si>
    <t>VOLUME ESGOTAMENTO SANITÁRIO GERADO PARA JAGUARETÊ (*) (M³)</t>
  </si>
  <si>
    <t xml:space="preserve">TOTAL SEDE </t>
  </si>
  <si>
    <t>INCREMENTO CAPO-ERÊ</t>
  </si>
  <si>
    <t>QUANTIDADE CAPO-ERÊ</t>
  </si>
  <si>
    <t>INCREMENTO JAGUARETÊ</t>
  </si>
  <si>
    <t>QUANTIDADE JAGUARETÊ</t>
  </si>
  <si>
    <t>CRONOGRAMA FÍSICO-FINANCEIRO DE INVESTIMENTOS - TOTAL (SEDE + DISTRITOS)</t>
  </si>
  <si>
    <t>Erechim</t>
  </si>
  <si>
    <t>Captação Arroio Ligeirinho</t>
  </si>
  <si>
    <t>Captação Rio Cravo</t>
  </si>
  <si>
    <t>Captação Rio do Campo</t>
  </si>
  <si>
    <t>-27,67615000/-52,23874000</t>
  </si>
  <si>
    <t>-27,74918000/-52,36770000</t>
  </si>
  <si>
    <t>Paulo Bento</t>
  </si>
  <si>
    <t>Material</t>
  </si>
  <si>
    <t>Elevado</t>
  </si>
  <si>
    <t>Concreto</t>
  </si>
  <si>
    <t>REL ETA I - R1</t>
  </si>
  <si>
    <t>RENT ETA I - R2</t>
  </si>
  <si>
    <t>-27,70894000/-52,2109000</t>
  </si>
  <si>
    <t>Enterrado</t>
  </si>
  <si>
    <t>RESENT ETA I - R3</t>
  </si>
  <si>
    <t>Semi Enterrado</t>
  </si>
  <si>
    <t>REL Escritório - R4</t>
  </si>
  <si>
    <t>RAP Polônia - R5</t>
  </si>
  <si>
    <t>Apoiado</t>
  </si>
  <si>
    <t>REL Soledade - R6</t>
  </si>
  <si>
    <t>REL Jaboticabal - R7</t>
  </si>
  <si>
    <t>REL Presidente Vargas - R8</t>
  </si>
  <si>
    <t>REL ETA 2 - R0</t>
  </si>
  <si>
    <t>Aço</t>
  </si>
  <si>
    <t>Rua Dr. Hiram Sampaio, n. 84, Distrito Industrial</t>
  </si>
  <si>
    <t>Rua Monte Castelo, n. 10</t>
  </si>
  <si>
    <t>Rua Monte Castelo, n.10</t>
  </si>
  <si>
    <t>Av. Presidente Vargas</t>
  </si>
  <si>
    <t>Rua Portugal, n. 84</t>
  </si>
  <si>
    <t>Rua Polonia, n. 310, Centro</t>
  </si>
  <si>
    <t>Rua Soledade, n. 250, Ipiranga</t>
  </si>
  <si>
    <t>Rua Francisco Skowronski, n. 147</t>
  </si>
  <si>
    <t>Rua Leodor Dias da Silva</t>
  </si>
  <si>
    <t>REL Copas Verdes - R13</t>
  </si>
  <si>
    <t>REL Atalântico - R12</t>
  </si>
  <si>
    <t>Rua Alvar Izidoro Coffy</t>
  </si>
  <si>
    <t>Rua Marcírio Guilherme da Silva, 53</t>
  </si>
  <si>
    <t>Rua Renato Alberto Marini</t>
  </si>
  <si>
    <t>Rua Laura Wilma Deboni</t>
  </si>
  <si>
    <t>Rua Josiane Galina</t>
  </si>
  <si>
    <t>REL Liberdade - R18</t>
  </si>
  <si>
    <t>REL Arvoredo - R17</t>
  </si>
  <si>
    <t>REL Bem Morar - R16</t>
  </si>
  <si>
    <t>REL Dona Olga 2 - R15</t>
  </si>
  <si>
    <t>REL Dona Olga 1 - R14</t>
  </si>
  <si>
    <t xml:space="preserve">Pulmão Atlântico </t>
  </si>
  <si>
    <t xml:space="preserve"> -27°38'18.06";  -52°16'5.54"</t>
  </si>
  <si>
    <t xml:space="preserve"> -27°37'50.14";  -52°16'36.26"</t>
  </si>
  <si>
    <t xml:space="preserve"> -27°37'43.88";  -52°16'48.49"</t>
  </si>
  <si>
    <t xml:space="preserve"> -27°37'38.95";  -52°16'55.83"</t>
  </si>
  <si>
    <t xml:space="preserve">-27°39’16.42” ; -52° 14’58.92” </t>
  </si>
  <si>
    <t xml:space="preserve"> -27°38'3.99";  -52°18'37.21"</t>
  </si>
  <si>
    <t>-27°39'19.3"; -52°17'59.9</t>
  </si>
  <si>
    <t xml:space="preserve"> -27°37'56.04";  -52°14'22.73"</t>
  </si>
  <si>
    <t xml:space="preserve"> -27°38'41.44";  -52°14'8.40"</t>
  </si>
  <si>
    <t xml:space="preserve"> -27°37'32.76",  -52°14'5.22''</t>
  </si>
  <si>
    <t xml:space="preserve"> -27°39'55.53",  -52°17'57.89"</t>
  </si>
  <si>
    <t>-27°65'16.83'', - 52°22'44.31''</t>
  </si>
  <si>
    <t>-27.651683, -52.224431</t>
  </si>
  <si>
    <t>Superficial</t>
  </si>
  <si>
    <t>Subterrânea</t>
  </si>
  <si>
    <t>Poço ERE 016</t>
  </si>
  <si>
    <t>Poço ERE024</t>
  </si>
  <si>
    <t>Poço ERE031</t>
  </si>
  <si>
    <t xml:space="preserve">-27.628206, -52.252281
</t>
  </si>
  <si>
    <t>Captação Subterrânea</t>
  </si>
  <si>
    <t>R. José Reinaldo Angonezze, 700 - José Bonifácio</t>
  </si>
  <si>
    <t>-27.659362, -52.283748</t>
  </si>
  <si>
    <t>Rua Ermínio Vitor Pessin, 488</t>
  </si>
  <si>
    <t>Poço ERE 025</t>
  </si>
  <si>
    <t>-27.651943, -52.292838</t>
  </si>
  <si>
    <t>R. Thomazo Slongo, 484</t>
  </si>
  <si>
    <t>-27.650259, -52.275385</t>
  </si>
  <si>
    <t>Rua Santos Dumont 336</t>
  </si>
  <si>
    <t>ELEVATÓRIAS</t>
  </si>
  <si>
    <t>ETA 1</t>
  </si>
  <si>
    <t>ETA 2</t>
  </si>
  <si>
    <t xml:space="preserve">Rua Monte Castelo, 10 </t>
  </si>
  <si>
    <t>Convencional</t>
  </si>
  <si>
    <t>Horizontal</t>
  </si>
  <si>
    <t>Worthington 8L21</t>
  </si>
  <si>
    <t>1° Recalque ETA I - G1- Operação</t>
  </si>
  <si>
    <t>1° Recalque ETA I - G2- Operação</t>
  </si>
  <si>
    <t>1° Recalque ETA I - G3- Reserva</t>
  </si>
  <si>
    <t>1° Recalque ETA II - G1- Operação</t>
  </si>
  <si>
    <t>1° Recalque ETA II - G2- Reserva</t>
  </si>
  <si>
    <t>Worthington 8L18</t>
  </si>
  <si>
    <t>Worthington 8L19</t>
  </si>
  <si>
    <t>3° Recalque ETA II - ETA I- G1- Operação</t>
  </si>
  <si>
    <t>3° Recalque ETA II - ETA I- G2- Reserva</t>
  </si>
  <si>
    <t>Worthington 8L20</t>
  </si>
  <si>
    <t>EBAT - Dona Olga - G1 - Operação</t>
  </si>
  <si>
    <t>EBAT - Dona Olga - G2 - Reserva</t>
  </si>
  <si>
    <t>EBAT - REL Copas Verdes - G1- Operação</t>
  </si>
  <si>
    <t>EBAT - REL Copas Verdes - G2- Reserva</t>
  </si>
  <si>
    <t>SulzerWeizeazf 65-160</t>
  </si>
  <si>
    <t>EBAT-02- Pátio ETA I - G1 - Operação</t>
  </si>
  <si>
    <t>EBAT-02- Pátio ETA I - G2 - Rserva</t>
  </si>
  <si>
    <t>EBAT-05- Pátio ETA I - G1 - Operação</t>
  </si>
  <si>
    <t>EBAT-05- Pátio ETA I - G2 - Operação</t>
  </si>
  <si>
    <t>EBAT-05- Pátio ETA I - G3 - Reserva</t>
  </si>
  <si>
    <t xml:space="preserve">EBATAtlântico - G1 - Operação </t>
  </si>
  <si>
    <t>EBATAtlântico - G1 - Reserva</t>
  </si>
  <si>
    <t>EBAT Bem Morar - G1 - Operação</t>
  </si>
  <si>
    <t>EBAT Bem Morar - G2 - Reserva</t>
  </si>
  <si>
    <t>EBAT - REL ETA II - G1 - Operação</t>
  </si>
  <si>
    <t>EBAT - REL ETA II - G2 - Reserva</t>
  </si>
  <si>
    <t>Mark Peerles D100-25</t>
  </si>
  <si>
    <t>EBAT - 06 - Polônia - G1 - Operação</t>
  </si>
  <si>
    <t>EBAT - 06 - Polônia - G2 - Reserva</t>
  </si>
  <si>
    <t>Worthington D1021 6x4x1</t>
  </si>
  <si>
    <t>EBAT - 07 - Booster 3 Vendas / Caldas Junior G1 - Operação</t>
  </si>
  <si>
    <t>EBAT - 07 - Booster 3 Vendas / Caldas Junior G2 - Reserva</t>
  </si>
  <si>
    <t>EBAT - 08 - Booster Pretsaidente Vargas / David Pinto- G1 Operação</t>
  </si>
  <si>
    <t>EBAT - 08 - Booster Pretsaidente Vargas / David Pinto- G2 Reserva</t>
  </si>
  <si>
    <t>Worthington 3DN62</t>
  </si>
  <si>
    <t>KS9 MEGANORM 65-200</t>
  </si>
  <si>
    <t>FoFo</t>
  </si>
  <si>
    <t>Rede Fictícia</t>
  </si>
  <si>
    <t>FC</t>
  </si>
  <si>
    <t>PVC DEFoFo</t>
  </si>
  <si>
    <t>PVC DEFOFO</t>
  </si>
  <si>
    <t>PVC PBA</t>
  </si>
  <si>
    <t>FOGO</t>
  </si>
  <si>
    <t>PVP</t>
  </si>
  <si>
    <t>Rede 32</t>
  </si>
  <si>
    <t>Rede 50</t>
  </si>
  <si>
    <t>Rede 65</t>
  </si>
  <si>
    <t>Rede 75</t>
  </si>
  <si>
    <t>Rede 85</t>
  </si>
  <si>
    <t>Rede 100</t>
  </si>
  <si>
    <t>Rede 125</t>
  </si>
  <si>
    <t>Rede 150</t>
  </si>
  <si>
    <t>Rede 152</t>
  </si>
  <si>
    <t>Rede 152,4</t>
  </si>
  <si>
    <t>Rede 175</t>
  </si>
  <si>
    <t>Rede 200</t>
  </si>
  <si>
    <t>Rede 225</t>
  </si>
  <si>
    <t>Rede 250</t>
  </si>
  <si>
    <t>Rede 275</t>
  </si>
  <si>
    <t>Rede 300</t>
  </si>
  <si>
    <t>Rede 350</t>
  </si>
  <si>
    <t>Rede 400</t>
  </si>
  <si>
    <t>Rede 450</t>
  </si>
  <si>
    <t>Rede 500</t>
  </si>
  <si>
    <t>Rede 600</t>
  </si>
  <si>
    <t>DIPOSITIVO DE PROTEÇÃO</t>
  </si>
  <si>
    <t>1° TAU</t>
  </si>
  <si>
    <t>2° TAU</t>
  </si>
  <si>
    <t>Chaminé de Equilíbrio</t>
  </si>
  <si>
    <t>-27°44’3,042” ; -52º19’27,876</t>
  </si>
  <si>
    <t>-27°43’32,698” ; 52º18’39,258</t>
  </si>
  <si>
    <t>-27°42’25,372” ; 52º16’59,836</t>
  </si>
  <si>
    <t>Corsan/Visita</t>
  </si>
  <si>
    <t>Corsan/Estimado</t>
  </si>
  <si>
    <t>Receita operacional Indireta</t>
  </si>
  <si>
    <t>Calculado/Estimado</t>
  </si>
  <si>
    <t>Corsan/Calculado</t>
  </si>
  <si>
    <t>TOTAL INCREMENTO DE REDE DE ESGOTO (SEDE+DISTRITOS)</t>
  </si>
  <si>
    <t>FATURAMENTO TOTAL ANUAL SERVIÇOS DE ÁGUA E ESGOTO(R$)</t>
  </si>
  <si>
    <t>Supervisor de operação de ETA</t>
  </si>
  <si>
    <t>Locação</t>
  </si>
  <si>
    <t>Setorização (18 setores) Ano 2 e Ano 4</t>
  </si>
  <si>
    <t>PME</t>
  </si>
  <si>
    <t>Ampliação de Elevatórias de esgoto bruto + ER</t>
  </si>
  <si>
    <t>Capô-Erê</t>
  </si>
  <si>
    <t>Jaguaretê</t>
  </si>
  <si>
    <t>Fibra</t>
  </si>
  <si>
    <t>REL</t>
  </si>
  <si>
    <t>RAP</t>
  </si>
  <si>
    <t>Poço ERE032</t>
  </si>
  <si>
    <t>Poço ERE033</t>
  </si>
  <si>
    <t>PERCENTUAL REFERENTE A HIDROMECÂNICA</t>
  </si>
  <si>
    <t>CUSTO UNITÁRIO REFERENTE A HIDROMECÂNICA</t>
  </si>
  <si>
    <t xml:space="preserve">Necessidade de Renovação/Reforma/Melhoria - Eletromecânica </t>
  </si>
  <si>
    <t>TOTAL GERAL</t>
  </si>
  <si>
    <t xml:space="preserve">Melhorias imediatas em Booster e Elevatórias </t>
  </si>
  <si>
    <t>Melhorias em Dispositivos de Proteção</t>
  </si>
  <si>
    <t>RESERVATÓRIO</t>
  </si>
  <si>
    <t>RESERVATÓRIO - CONCRETO ARMADO</t>
  </si>
  <si>
    <t>RESERVATÓRIO - AÇO CARBONO</t>
  </si>
  <si>
    <t>RESERVATÓRIO - PRFV FIBRA</t>
  </si>
  <si>
    <t>CUSTO  (R$)</t>
  </si>
  <si>
    <t>Projetos Ténicos de Engenharia (ano 1 e ano 2) + Ressarcimento Estudo</t>
  </si>
  <si>
    <t>Licencas Ambientais e Outorgas</t>
  </si>
  <si>
    <t xml:space="preserve">Estão previstos custos referentes à Taxa de Regulação a ser destinada </t>
  </si>
  <si>
    <t xml:space="preserve">para a AGER- Agência Reguladora de Erechim na proporção de 2% </t>
  </si>
  <si>
    <t xml:space="preserve">(dois por cento) da Receita Mensal Bruta no 1° ano e nos demais 1,5% </t>
  </si>
  <si>
    <t xml:space="preserve">(um e meio por cento), conforme Art. 24 da Lei Municipal nº </t>
  </si>
  <si>
    <t>5.310/2013</t>
  </si>
  <si>
    <t>R$/Ligação de água + Esgoto</t>
  </si>
  <si>
    <t>FATURAMENTO EM SERVIÇOS  (%)</t>
  </si>
  <si>
    <t>OUTORGA</t>
  </si>
  <si>
    <t xml:space="preserve">Outorga </t>
  </si>
  <si>
    <t>Estação de Tratamento de Esgoto</t>
  </si>
  <si>
    <t>Percentual de Substituições  Anuais</t>
  </si>
  <si>
    <t>HIDRÔMETROS</t>
  </si>
  <si>
    <t>REDES DE ÁGUA</t>
  </si>
  <si>
    <t>LIGAÇÕES DE ÁGUA</t>
  </si>
  <si>
    <t>REDES DE ESGOTO</t>
  </si>
  <si>
    <t>LIGAÇÕES DE ESGOTO</t>
  </si>
  <si>
    <t>PADRÃO LIG ÁGUA</t>
  </si>
  <si>
    <t>% SOBRE FATURAMENTO BRUTO</t>
  </si>
  <si>
    <t>Custo de Regulação -  ANO 1</t>
  </si>
  <si>
    <t>Custo de Regulação - ANO 2 AO 30</t>
  </si>
  <si>
    <t>POPULAÇÃO RURAL</t>
  </si>
  <si>
    <t>Custo de Verificador Independente</t>
  </si>
  <si>
    <t>anual</t>
  </si>
  <si>
    <t>7. VALOR DE FISCALIZAÇÃO regulação + Verificador Independente)</t>
  </si>
  <si>
    <t>2.1.4. Valor de Regulação e Verificador Independente</t>
  </si>
  <si>
    <t>GESTÃO COMERCIAL</t>
  </si>
  <si>
    <t>2.2.3. Estudos, Projetos e Ressarcimento estudos</t>
  </si>
  <si>
    <t>12. RESSARCIMENTO DE ESTUDOS</t>
  </si>
  <si>
    <t>3. RESSARCIMENTO DE ESTUDOS</t>
  </si>
  <si>
    <t>5. SALDO DO CAIXA</t>
  </si>
  <si>
    <t>6. TIR</t>
  </si>
  <si>
    <t>7. VPL</t>
  </si>
  <si>
    <t>2.2.7</t>
  </si>
  <si>
    <t>Sistemas individuais</t>
  </si>
  <si>
    <t>Sistemas Individuais</t>
  </si>
  <si>
    <t>CRONOGRAMA FÍSICO-FINANCEIRO DE INVESTIMENTOS SEDE + DISTRITOS</t>
  </si>
  <si>
    <t>MELHORIAS E AMPLIAÇÃO DOS SERVIÇOS DE ABASTECIMENTO DE ÁGUA</t>
  </si>
  <si>
    <t>SISTEMA INDIVIDUAL DE ESGOTO</t>
  </si>
  <si>
    <t>Unidade de tratamento de lodo da ETA</t>
  </si>
  <si>
    <t>COMPOSIÇÃO DO FATURAMENTO MÉDIO DE ESGOTO - SEDE/RURAL E DISTRITOS</t>
  </si>
  <si>
    <t>Tarifa especial - Sistema de esgoto individual (R$/mês)</t>
  </si>
  <si>
    <t>CRONOGRAMA FÍSICO-FINANCEIRO DE INVESTIMENTOS - (SEDE + DISTRITOS)</t>
  </si>
  <si>
    <t>INCREMENTO DE LIGAÇÕES DE ÁGUA - SEDE</t>
  </si>
  <si>
    <t>DEPRECIAÇÃO SEDE + DISTRITOS</t>
  </si>
  <si>
    <t>Fundo Municipal de saneamento ambiental e rural - % Sobre Faturamento</t>
  </si>
  <si>
    <t>13. FUNDO DE MEIO AMBIENTE</t>
  </si>
  <si>
    <t>População Rural</t>
  </si>
  <si>
    <t>População Total</t>
  </si>
  <si>
    <t>INTRCEPTOR</t>
  </si>
  <si>
    <t>INTERCEPTOR  INCR.</t>
  </si>
  <si>
    <t>INTERCEPTOR  TOTAL</t>
  </si>
  <si>
    <t>2.2.8</t>
  </si>
  <si>
    <t>Interceptores</t>
  </si>
  <si>
    <t>Ampliação de rede de coletora</t>
  </si>
  <si>
    <t>Ampliação de redes de coletora</t>
  </si>
  <si>
    <t>Substituição de Hidrômetros ( 20% anos 1 a 30)</t>
  </si>
  <si>
    <t>Recuperação de EEE (% SOBRE CAPEX)</t>
  </si>
  <si>
    <t>Melhorias em ETEs (% SOBRE CAPEX)</t>
  </si>
  <si>
    <t>RECUPERAÇÃO SISTEMÁTICA DE ATIVOS OPERACIONAIS</t>
  </si>
  <si>
    <t>1.1.10</t>
  </si>
  <si>
    <t>RECUPERAÇÃO SISTEMÁTICA DE ATIVOS OPERACIONAIS DO SISTEMA DE ABASTECIMENTO DE ÁGUA</t>
  </si>
  <si>
    <t>2.1.6</t>
  </si>
  <si>
    <t>RECUPERAÇÃO SISTEMÁTICA DE ATIVOS OPERACIONAIS DO SISTEMA DE ESGOTAMENTO SANITÁRIO</t>
  </si>
  <si>
    <t xml:space="preserve">Programas Socio-Ambientais </t>
  </si>
  <si>
    <t>Ressarcimento dos estudos (FUNDACE)</t>
  </si>
  <si>
    <t>Ressarcimento dos estudos - FUNDACE</t>
  </si>
  <si>
    <t>Social</t>
  </si>
  <si>
    <t>Básica</t>
  </si>
  <si>
    <t>Empresarial</t>
  </si>
  <si>
    <t>Bica pública</t>
  </si>
  <si>
    <t>m3 excedente</t>
  </si>
  <si>
    <t>Residencial B</t>
  </si>
  <si>
    <t>Comercial C1</t>
  </si>
  <si>
    <t>Pública</t>
  </si>
  <si>
    <t>PREÇO BASE</t>
  </si>
  <si>
    <t>SERVIÇO BÁSICO</t>
  </si>
  <si>
    <t>TARIFA MÍNIMA SEM HIDRÔMETRO</t>
  </si>
  <si>
    <t>ÁGUA</t>
  </si>
  <si>
    <t>ESGOTO</t>
  </si>
  <si>
    <t>COLETADO PREÇO M3</t>
  </si>
  <si>
    <t>TRATADO PREÇO M3</t>
  </si>
  <si>
    <t>DISPONIBILIDADE DO ESGOTO</t>
  </si>
  <si>
    <t>COLETA PREÇO M3</t>
  </si>
  <si>
    <t>TRAADO PREÇO M3</t>
  </si>
  <si>
    <t>CATEGORIA</t>
  </si>
  <si>
    <t>TARIFA</t>
  </si>
  <si>
    <t>EXEMPLOS 10 m3</t>
  </si>
  <si>
    <t>Água</t>
  </si>
  <si>
    <t>Esgoto</t>
  </si>
  <si>
    <t>Água + Esgoto</t>
  </si>
  <si>
    <t>análise</t>
  </si>
  <si>
    <t>(SIMILAR A TARIFA DE ESGOTO PARA 10 M3)</t>
  </si>
  <si>
    <t xml:space="preserve">CHECK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</si>
</sst>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8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R$&quot;#,##0_);\(&quot;R$&quot;#,##0\)"/>
    <numFmt numFmtId="166" formatCode="_(&quot;R$&quot;* #,##0_);_(&quot;R$&quot;* \(#,##0\);_(&quot;R$&quot;* &quot;-&quot;_);_(@_)"/>
    <numFmt numFmtId="167" formatCode="_(* #,##0_);_(* \(#,##0\);_(* &quot;-&quot;_);_(@_)"/>
    <numFmt numFmtId="168" formatCode="_(&quot;R$&quot;* #,##0.00_);_(&quot;R$&quot;* \(#,##0.00\);_(&quot;R$&quot;* &quot;-&quot;??_);_(@_)"/>
    <numFmt numFmtId="169" formatCode="_(* #,##0.00_);_(* \(#,##0.00\);_(* &quot;-&quot;??_);_(@_)"/>
    <numFmt numFmtId="170" formatCode="0.000000000"/>
    <numFmt numFmtId="171" formatCode="[$-416]d\-mmm\-yy;@"/>
    <numFmt numFmtId="172" formatCode="0.0%"/>
    <numFmt numFmtId="173" formatCode="_(* #,##0_);_(* \(#,##0\);_(* &quot;-&quot;??_);_(@_)"/>
    <numFmt numFmtId="174" formatCode="#,##0.0"/>
    <numFmt numFmtId="175" formatCode="#,##0.0000"/>
    <numFmt numFmtId="176" formatCode="0.0000"/>
    <numFmt numFmtId="177" formatCode="_(&quot;R$ &quot;* #,##0.00_);_(&quot;R$ &quot;* \(#,##0.00\);_(&quot;R$ &quot;* &quot;-&quot;??_);_(@_)"/>
    <numFmt numFmtId="178" formatCode="_(* #,##0.00000_);_(* \(#,##0.00000\);_(* &quot;-&quot;??_);_(@_)"/>
    <numFmt numFmtId="179" formatCode="0.000%"/>
    <numFmt numFmtId="180" formatCode="#,##0.0_);[Red]\(#,##0.0\)"/>
    <numFmt numFmtId="181" formatCode="#,##0.0\ ;\(#,##0.0\)"/>
    <numFmt numFmtId="182" formatCode="#,##0\ &quot;$&quot;;\-#,##0\ &quot;$&quot;"/>
    <numFmt numFmtId="183" formatCode="00\-000"/>
    <numFmt numFmtId="184" formatCode="hh:mm:ss\ AM/PM_)"/>
    <numFmt numFmtId="185" formatCode="_([$€]\ * #,##0.00_);_([$€]\ * \(#,##0.00\);_([$€]\ * &quot;-&quot;??_);_(@_)"/>
    <numFmt numFmtId="186" formatCode="General_)"/>
    <numFmt numFmtId="187" formatCode="0.0_)\%;\(0.0\)\%;0.0_)\%;@_)_%"/>
    <numFmt numFmtId="188" formatCode="#,##0.0_)_%;\(#,##0.0\)_%;0.0_)_%;@_)_%"/>
    <numFmt numFmtId="189" formatCode="#,##0.0_);\(#,##0.0\);#,##0.0_);@_)"/>
    <numFmt numFmtId="190" formatCode="&quot;$&quot;_(#,##0.00_);&quot;$&quot;\(#,##0.00\);&quot;$&quot;_(0.00_);@_)"/>
    <numFmt numFmtId="191" formatCode="#,##0.00_);\(#,##0.00\);0.00_);@_)"/>
    <numFmt numFmtId="192" formatCode="\€_(#,##0.00_);\€\(#,##0.00\);\€_(0.00_);@_)"/>
    <numFmt numFmtId="193" formatCode="0.000000"/>
    <numFmt numFmtId="194" formatCode="#,##0_)\x;\(#,##0\)\x;0_)\x;@_)_x"/>
    <numFmt numFmtId="195" formatCode="#,##0_)_x;\(#,##0\)_x;0_)_x;@_)_x"/>
    <numFmt numFmtId="196" formatCode="0.00&quot;x&quot;"/>
    <numFmt numFmtId="197" formatCode="&quot;$&quot;#,##0.0_);\(&quot;$&quot;#,##0.0\)"/>
    <numFmt numFmtId="198" formatCode="0.00;[Red]0.00"/>
    <numFmt numFmtId="199" formatCode="mmmmddyyyy"/>
    <numFmt numFmtId="200" formatCode="00000000"/>
    <numFmt numFmtId="201" formatCode="yyyymmmmdd"/>
    <numFmt numFmtId="202" formatCode="#,##0.0_);\(#,##0.0\)"/>
    <numFmt numFmtId="203" formatCode="m\-d\-yy"/>
    <numFmt numFmtId="204" formatCode="0.0%;\(0.0%\)"/>
    <numFmt numFmtId="205" formatCode="0.0%_);\(0.0%\)"/>
    <numFmt numFmtId="206" formatCode="[Blue]0.0%;[Blue]\-0.0%"/>
    <numFmt numFmtId="207" formatCode="#\ ##0\ "/>
    <numFmt numFmtId="208" formatCode="\£#,##0_);\(\£#,##0\)"/>
    <numFmt numFmtId="209" formatCode="0.0_);\(0.0\)"/>
    <numFmt numFmtId="210" formatCode="&quot;Cr$&quot;#,##0.00_);\(&quot;Cr$&quot;#,##0.00\)"/>
    <numFmt numFmtId="211" formatCode="&quot;$&quot;#,##0.00_);[Red]\(&quot;$&quot;#,##0.00\)"/>
    <numFmt numFmtId="212" formatCode="#,##0.0000000000_);[Red]\(#,##0.0000000000\)"/>
    <numFmt numFmtId="213" formatCode="_([$€-2]* #,##0.00_);_([$€-2]* \(#,##0.00\);_([$€-2]* &quot;-&quot;??_)"/>
    <numFmt numFmtId="214" formatCode="#,##0.000_);[Red]\(#,##0.000\)"/>
    <numFmt numFmtId="215" formatCode="#,##0_%_);\(#,##0\)_%;#,##0_%_);@_%_)"/>
    <numFmt numFmtId="216" formatCode="0.0\x"/>
    <numFmt numFmtId="217" formatCode="#,##0_%_);\(#,##0\)_%;**;@_%_)"/>
    <numFmt numFmtId="218" formatCode="&quot;$&quot;#,##0_);\(&quot;$&quot;#,##0\)"/>
    <numFmt numFmtId="219" formatCode="[$$-409]#,##0.00"/>
    <numFmt numFmtId="220" formatCode="&quot;$&quot;#,##0.00;[Red]&quot;$&quot;#,##0.00"/>
    <numFmt numFmtId="221" formatCode="#,##0.00_%_);\(#,##0.00\)_%;#,##0.00_%_);@_%_)"/>
    <numFmt numFmtId="222" formatCode="0.00\x"/>
    <numFmt numFmtId="223" formatCode="0,000"/>
    <numFmt numFmtId="224" formatCode="\$#,#00"/>
    <numFmt numFmtId="225" formatCode="_(&quot;Cr$&quot;* #,##0_);_(&quot;Cr$&quot;* \(#,##0\);_(&quot;Cr$&quot;* &quot;-&quot;_);_(@_)"/>
    <numFmt numFmtId="226" formatCode="&quot;$&quot;#,##0.0_);[Red]\(&quot;$&quot;#,##0.0\)"/>
    <numFmt numFmtId="227" formatCode="&quot;$&quot;#,##0.000_);[Red]\(&quot;$&quot;#,##0.000\)"/>
    <numFmt numFmtId="228" formatCode="&quot;$&quot;#,##0_%_);\(&quot;$&quot;#,##0\)_%;&quot;$&quot;#,##0_%_);@_%_)"/>
    <numFmt numFmtId="229" formatCode="_(&quot;$&quot;* #,##0.0_);_(&quot;$&quot;* \(#,##0.0\);_(&quot;$&quot;* &quot;-&quot;??_);_(@_)"/>
    <numFmt numFmtId="230" formatCode="&quot;$&quot;#,##0.00_%_);\(&quot;$&quot;#,##0.00\)_%;&quot;$&quot;#,##0.00_%_);@_%_)"/>
    <numFmt numFmtId="231" formatCode="#,##0.000_);\(#,##0.000\)"/>
    <numFmt numFmtId="232" formatCode="_(&quot;$&quot;* #,##0.00_);_(&quot;$&quot;* \(#,##0.00\);_(&quot;$&quot;* &quot;-&quot;??_);_(@_)"/>
    <numFmt numFmtId="233" formatCode="0_);\(0\)"/>
    <numFmt numFmtId="234" formatCode="&quot;$&quot;#,##0\ ;\(&quot;$&quot;#,##0\)"/>
    <numFmt numFmtId="235" formatCode="&quot;$&quot;#,##0.00_)\ \ ;\(&quot;$&quot;#,##0.00\)\ \ "/>
    <numFmt numFmtId="236" formatCode="&quot;$&quot;#,##0.00_);\(&quot;$&quot;#,##0.00\)"/>
    <numFmt numFmtId="237" formatCode="0.0&quot;x&quot;"/>
    <numFmt numFmtId="238" formatCode="mmm\-d\-yyyy"/>
    <numFmt numFmtId="239" formatCode="mmm\-yyyy"/>
    <numFmt numFmtId="240" formatCode="m/d/yy_%_)"/>
    <numFmt numFmtId="241" formatCode="&quot;$&quot;#,##0.0\ \ \ ;\(&quot;$&quot;#,##0.0\)\ \ "/>
    <numFmt numFmtId="242" formatCode="0_%_);\(0\)_%;0_%_);@_%_)"/>
    <numFmt numFmtId="243" formatCode="#,##0.0000_);\(#,##0.0000\)"/>
    <numFmt numFmtId="244" formatCode="_(&quot;$&quot;* #,##0_);_(&quot;$&quot;* \(#,##0\);_(&quot;$&quot;* &quot;-&quot;_);_(@_)"/>
    <numFmt numFmtId="245" formatCode="_([$€]* #,##0.00_);_([$€]* \(#,##0.00\);_([$€]* &quot;-&quot;??_);_(@_)"/>
    <numFmt numFmtId="246" formatCode="_(* #,##0.00_);_(* \(#,##0.00\);_(* \-??_);_(@_)"/>
    <numFmt numFmtId="247" formatCode="_(#,##0_);\(#,##0\)"/>
    <numFmt numFmtId="248" formatCode="###0_);\(###0\)"/>
    <numFmt numFmtId="249" formatCode="00"/>
    <numFmt numFmtId="250" formatCode="#,#00"/>
    <numFmt numFmtId="251" formatCode="\ #,##0\ \ \ ;\(#,##0\)\ \ ;\—\ \ \ \ "/>
    <numFmt numFmtId="252" formatCode="&quot;$&quot;#,##0"/>
    <numFmt numFmtId="253" formatCode="0.0\%_);\(0.0\%\);0.0\%_);@_%_)"/>
    <numFmt numFmtId="254" formatCode="\X"/>
    <numFmt numFmtId="255" formatCode="0.0%;[Red]\(0.0%\)"/>
    <numFmt numFmtId="256" formatCode="&quot;$&quot;#,##0.0_)\ \ ;\(&quot;$&quot;#,##0.0\)\ \ "/>
    <numFmt numFmtId="257" formatCode="0.0\ \x\ \ \ \ ;&quot;NM      &quot;;\ 0.0\ \x\ \ \ \ "/>
    <numFmt numFmtId="258" formatCode="0.0%_)\ \ ;\(0.0%\)\ \ "/>
    <numFmt numFmtId="259" formatCode=";;"/>
    <numFmt numFmtId="260" formatCode="_-* #,##0_-;_-* #,##0\-;_-* &quot;-&quot;_-;_-@_-"/>
    <numFmt numFmtId="261" formatCode="_-* #,##0.00_-;_-* #,##0.00\-;_-* &quot;-&quot;??_-;_-@_-"/>
    <numFmt numFmtId="262" formatCode="_-* #,##0\ _F_-;\-* #,##0\ _F_-;_-* &quot;-&quot;\ _F_-;_-@_-"/>
    <numFmt numFmtId="263" formatCode="_-* #,##0.00\ _€_-;\-* #,##0.00\ _€_-;_-* &quot;-&quot;??\ _€_-;_-@_-"/>
    <numFmt numFmtId="264" formatCode="_(&quot;R$&quot;\ * #,##0.00_);_(&quot;R$&quot;\ * \(#,##0.00\);_(&quot;R$&quot;\ * &quot;-&quot;??_);_(@_)"/>
    <numFmt numFmtId="265" formatCode="\$#,"/>
    <numFmt numFmtId="266" formatCode="#,##0&quot; pts&quot;"/>
    <numFmt numFmtId="267" formatCode="_-&quot;$&quot;* #,##0_-;\-&quot;$&quot;* #,##0_-;_-&quot;$&quot;* &quot;-&quot;_-;_-@_-"/>
    <numFmt numFmtId="268" formatCode="_-* #,##0.00\ &quot;€&quot;_-;\-* #,##0.00\ &quot;€&quot;_-;_-* &quot;-&quot;??\ &quot;€&quot;_-;_-@_-"/>
    <numFmt numFmtId="269" formatCode="_-&quot;$&quot;* #,##0.00_-;\-&quot;$&quot;* #,##0.00_-;_-&quot;$&quot;* &quot;-&quot;??_-;_-@_-"/>
    <numFmt numFmtId="270" formatCode="#,##0;\(0,000\)"/>
    <numFmt numFmtId="271" formatCode="0.0\x_)_);&quot;NM&quot;_x_)_);0.0\x_)_);@_%_)"/>
    <numFmt numFmtId="272" formatCode="_(* #,##0\x_);_(* \(#,##0\x\);_(* &quot;0x&quot;_);_(@_)"/>
    <numFmt numFmtId="273" formatCode="0.0_ &quot;  &quot;"/>
    <numFmt numFmtId="274" formatCode="_(* #,##0.0\x_);_(* \(#,##0.0\x\);_(* &quot;0,0x&quot;_);_(@_)"/>
    <numFmt numFmtId="275" formatCode="_(* #,##0.00\x_);_(* \(#,##0.00\x\);_(* &quot;0,00x&quot;_);_(@_)"/>
    <numFmt numFmtId="276" formatCode="#,##0.0\x_);\(#,##0.0\x\)"/>
    <numFmt numFmtId="277" formatCode="#,##0.00\x_);\(#,##0.00\x\);\-_)"/>
    <numFmt numFmtId="278" formatCode="_(* #,##0.0_);_(* \(#,##0.0\);_(* &quot;-&quot;?_);_(@_)"/>
    <numFmt numFmtId="279" formatCode="#,##0.0_);[Red]\(#,##0.0\);&quot;N/A &quot;"/>
    <numFmt numFmtId="280" formatCode="0.00_)"/>
    <numFmt numFmtId="281" formatCode="0.0"/>
    <numFmt numFmtId="282" formatCode="0.00%;\(0.00%\)"/>
    <numFmt numFmtId="283" formatCode="#,##0.00;\(#,##0.00\)"/>
    <numFmt numFmtId="284" formatCode="#,##0.0_)\ \ ;[Red]\(#,##0.0\)\ \ "/>
    <numFmt numFmtId="285" formatCode="#,##0.00_)\ \ ;\(#,##0.00\)\ \ "/>
    <numFmt numFmtId="286" formatCode="#,##0.0\x_);[Red]\(#,##0.0\x\);&quot;--  &quot;"/>
    <numFmt numFmtId="287" formatCode="0.0%&quot;NetPPE/sales&quot;"/>
    <numFmt numFmtId="288" formatCode="_(* #,##0_);_(* \(#,##0\);_(* &quot;0&quot;_);_(@_)"/>
    <numFmt numFmtId="289" formatCode="_(* #,##0.0_);_(* \(#,##0.0\);_(* &quot;0,0&quot;_);_(@_)"/>
    <numFmt numFmtId="290" formatCode="_(* #,##0.00_);_(* \(#,##0.00\);_(* &quot;0,00&quot;_);_(@_)"/>
    <numFmt numFmtId="291" formatCode="0.0%&quot;NWI/Sls&quot;"/>
    <numFmt numFmtId="292" formatCode="#,##0.0\ \ \ ;\(#,##0.0\)\ \ "/>
    <numFmt numFmtId="293" formatCode="#,##0.000000_);\(#,##0.000000\)"/>
    <numFmt numFmtId="294" formatCode="&quot;$&quot;General"/>
    <numFmt numFmtId="295" formatCode="0.0%_%;\(0.0%\)_%"/>
    <numFmt numFmtId="296" formatCode="&quot;$&quot;#,##0.000"/>
    <numFmt numFmtId="297" formatCode="_(* #,##0.0%_);_(* \(#,##0.0%\);_(* &quot;0,0%&quot;_);_(@_)"/>
    <numFmt numFmtId="298" formatCode="0.0_%"/>
    <numFmt numFmtId="299" formatCode="#,##0.0\%_);\(#,##0.0\%\);#,##0.0\%_);@_)"/>
    <numFmt numFmtId="300" formatCode="#,##0.0%_);\(#,##0.0%\)"/>
    <numFmt numFmtId="301" formatCode="0.0*100"/>
    <numFmt numFmtId="302" formatCode="0.0%&quot;Sales&quot;"/>
    <numFmt numFmtId="303" formatCode="%#,#00"/>
    <numFmt numFmtId="304" formatCode="#.##000"/>
    <numFmt numFmtId="305" formatCode="\£#,##0.00_);[Red]\(\£#,##0.00\)"/>
    <numFmt numFmtId="306" formatCode="#,##0.00\x"/>
    <numFmt numFmtId="307" formatCode="#,##0.00_x"/>
    <numFmt numFmtId="308" formatCode="&quot;$&quot;#,##0.0;\(&quot;$&quot;#,##0.0\)"/>
    <numFmt numFmtId="309" formatCode="#,##0.00000000000000"/>
    <numFmt numFmtId="310" formatCode="#,##0.000%;\-#,##0.000%;\-\%"/>
    <numFmt numFmtId="311" formatCode="#,##0.000;\-#,##0.000;\-\ "/>
    <numFmt numFmtId="312" formatCode="#\ ###\ ###\ ##0\ "/>
    <numFmt numFmtId="313" formatCode="General\ &quot;meses&quot;"/>
    <numFmt numFmtId="314" formatCode="0.0_x"/>
    <numFmt numFmtId="315" formatCode="&quot;$&quot;#\ ?/?"/>
    <numFmt numFmtId="316" formatCode="0.0&quot;pp&quot;"/>
    <numFmt numFmtId="317" formatCode="&quot;TFCF: &quot;#,##0_);[Red]&quot;No! &quot;\(#,##0\)"/>
    <numFmt numFmtId="318" formatCode="#,##0.00_)\ \x;\(#,##0.00\)\ \x"/>
    <numFmt numFmtId="319" formatCode=";;;"/>
    <numFmt numFmtId="320" formatCode="#,"/>
    <numFmt numFmtId="321" formatCode="#.##0,"/>
    <numFmt numFmtId="322" formatCode="#,##0."/>
    <numFmt numFmtId="323" formatCode="_-&quot;F&quot;\ * #,##0_-;_-&quot;F&quot;\ * #,##0\-;_-&quot;F&quot;\ * &quot;-&quot;_-;_-@_-"/>
    <numFmt numFmtId="324" formatCode="_-&quot;F&quot;\ * #,##0.00_-;_-&quot;F&quot;\ * #,##0.00\-;_-&quot;F&quot;\ * &quot;-&quot;??_-;_-@_-"/>
    <numFmt numFmtId="325" formatCode="&quot;$&quot;#,##0.000_);\(&quot;$&quot;#,##0.000\)"/>
    <numFmt numFmtId="326" formatCode="0\ \ ;\(0\)\ \ \ "/>
    <numFmt numFmtId="327" formatCode="0_)"/>
    <numFmt numFmtId="328" formatCode="0&quot; years&quot;_);&quot;nm&quot;_);0&quot; years&quot;;* @_)"/>
    <numFmt numFmtId="329" formatCode="\¥#,##0_);\(\¥#,##0\)"/>
    <numFmt numFmtId="330" formatCode="#,##0;\-#,##0;;@"/>
    <numFmt numFmtId="331" formatCode="#,##0.00;\-#,##0.00;;@"/>
    <numFmt numFmtId="332" formatCode="#,##0.0000;\-#,##0.0000;;@"/>
    <numFmt numFmtId="333" formatCode="0%;[Red]\(0%\)"/>
    <numFmt numFmtId="334" formatCode="#,##0.0_)_%;\(#,##0.0\)_%"/>
    <numFmt numFmtId="335" formatCode="_(* #,##0.0_);_(* \(#,##0.0\);_(* &quot;-&quot;??_);_(@_)"/>
    <numFmt numFmtId="336" formatCode="&quot;R$ &quot;_(#,##0.00_);&quot;R$ &quot;\(#,##0.00\);&quot;R$ &quot;_(0.00_);@_)"/>
    <numFmt numFmtId="337" formatCode="#,##0.0_)\x;\(#,##0.0\)\x"/>
    <numFmt numFmtId="338" formatCode="#,##0.0_)_x;\(#,##0.0\)_x"/>
    <numFmt numFmtId="339" formatCode="0.0_)\%;\(0.0\)\%"/>
    <numFmt numFmtId="340" formatCode="[$-C0A]d\-mmm\-yy;@"/>
    <numFmt numFmtId="341" formatCode="0.00\ ;\(0.00\)"/>
    <numFmt numFmtId="342" formatCode="0.00%;[Red]\(0.00%\)"/>
    <numFmt numFmtId="343" formatCode="#,##0.0000_);[Red]\(#,##0.0000\)"/>
    <numFmt numFmtId="344" formatCode="#,##0;\(#,##0\)"/>
    <numFmt numFmtId="345" formatCode="m\-d\-\y\y"/>
    <numFmt numFmtId="346" formatCode="0\A"/>
    <numFmt numFmtId="347" formatCode="#,##0.0;[Red]\(#,##0.0\)"/>
    <numFmt numFmtId="348" formatCode="#,##0;[Red]\(#,##0\)"/>
    <numFmt numFmtId="349" formatCode="_(* #,##0_);_(* \(#,##0\)"/>
    <numFmt numFmtId="350" formatCode="d\-mmm\-yyyy"/>
    <numFmt numFmtId="351" formatCode="000000000"/>
    <numFmt numFmtId="352" formatCode="[Blue]#,##0_);[Red]\(#,##0\)"/>
    <numFmt numFmtId="353" formatCode="0.000"/>
    <numFmt numFmtId="354" formatCode="&quot;\&quot;#,##0.00;[Red]&quot;\&quot;\-#,##0.00"/>
    <numFmt numFmtId="355" formatCode="yyyy"/>
    <numFmt numFmtId="356" formatCode="#,##0_);\(#,##0\);&quot;-  &quot;;&quot; &quot;@"/>
    <numFmt numFmtId="357" formatCode="#,##0.00\ &quot;l/kWh&quot;"/>
    <numFmt numFmtId="358" formatCode="#,##0\ \ "/>
    <numFmt numFmtId="359" formatCode="0.00_);\(0.00\);0.00"/>
    <numFmt numFmtId="360" formatCode="_(\ #,##0_);_(\ \(#,##0\);_(\ &quot;-&quot;??_);_(@_)"/>
    <numFmt numFmtId="361" formatCode="d\-mmm\-yyyy\ \ h:mm"/>
    <numFmt numFmtId="362" formatCode="dd\ mmm\ yyyy_);;&quot;-  &quot;;&quot; &quot;@"/>
    <numFmt numFmtId="363" formatCode="dd\ mmm\ yy_);;&quot;-  &quot;;&quot; &quot;@"/>
    <numFmt numFmtId="364" formatCode="#,##0.000;\-#,##0.000;;@"/>
    <numFmt numFmtId="365" formatCode="0.00000"/>
    <numFmt numFmtId="366" formatCode="&quot;R$&quot;\ #,##0.00"/>
    <numFmt numFmtId="367" formatCode="_-&quot;R$&quot;\ * #,##0.00_-;\-&quot;R$&quot;\ * #,##0.00_-;_-&quot;R$&quot;\ * &quot;-&quot;??_-;_-@"/>
  </numFmts>
  <fonts count="2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sz val="10"/>
      <name val="Tahoma"/>
      <family val="2"/>
    </font>
    <font>
      <sz val="8"/>
      <name val="Tahoma"/>
      <family val="2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sz val="8"/>
      <color indexed="9"/>
      <name val="Arial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name val="Courier"/>
      <family val="3"/>
    </font>
    <font>
      <b/>
      <sz val="10"/>
      <name val="MS Sans Serif"/>
      <family val="2"/>
    </font>
    <font>
      <sz val="9"/>
      <name val="Arial"/>
      <family val="2"/>
    </font>
    <font>
      <sz val="9"/>
      <color indexed="12"/>
      <name val="Arial"/>
      <family val="2"/>
    </font>
    <font>
      <sz val="10"/>
      <name val="Verdana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10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Helvetica"/>
      <family val="2"/>
    </font>
    <font>
      <sz val="7"/>
      <name val="Helvetica"/>
      <family val="2"/>
    </font>
    <font>
      <sz val="11"/>
      <color indexed="9"/>
      <name val="Calibri"/>
      <family val="2"/>
    </font>
    <font>
      <sz val="10"/>
      <color indexed="12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name val="Geneva"/>
      <family val="2"/>
    </font>
    <font>
      <sz val="8"/>
      <color indexed="12"/>
      <name val="Helvetica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8"/>
      <name val="Palatino"/>
      <family val="1"/>
    </font>
    <font>
      <b/>
      <sz val="12"/>
      <name val="Times New Roman"/>
      <family val="1"/>
    </font>
    <font>
      <sz val="8"/>
      <name val="SwitzerlandLight"/>
    </font>
    <font>
      <b/>
      <sz val="8"/>
      <color indexed="8"/>
      <name val="Arial"/>
      <family val="2"/>
    </font>
    <font>
      <sz val="7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b/>
      <sz val="1"/>
      <color indexed="8"/>
      <name val="Courier"/>
      <family val="3"/>
    </font>
    <font>
      <b/>
      <sz val="18"/>
      <name val="Arial"/>
      <family val="2"/>
    </font>
    <font>
      <b/>
      <sz val="12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u/>
      <sz val="8"/>
      <name val="Arial"/>
      <family val="2"/>
    </font>
    <font>
      <sz val="10"/>
      <color indexed="24"/>
      <name val="Arial"/>
      <family val="2"/>
    </font>
    <font>
      <b/>
      <sz val="8"/>
      <name val="Times New Roman"/>
      <family val="1"/>
    </font>
    <font>
      <sz val="10"/>
      <name val="Palatino Linotype"/>
      <family val="1"/>
    </font>
    <font>
      <sz val="10"/>
      <name val="Helv"/>
    </font>
    <font>
      <sz val="10"/>
      <name val="Helvetica"/>
      <family val="2"/>
    </font>
    <font>
      <b/>
      <sz val="9"/>
      <name val="CG Times"/>
      <family val="1"/>
    </font>
    <font>
      <b/>
      <sz val="8"/>
      <color indexed="14"/>
      <name val="Arial"/>
      <family val="2"/>
    </font>
    <font>
      <b/>
      <sz val="10"/>
      <color indexed="8"/>
      <name val="Arial"/>
      <family val="2"/>
    </font>
    <font>
      <sz val="1"/>
      <color indexed="8"/>
      <name val="Courier"/>
      <family val="3"/>
    </font>
    <font>
      <sz val="10"/>
      <name val="Book Antiqua"/>
      <family val="1"/>
    </font>
    <font>
      <sz val="8"/>
      <name val="Helv"/>
    </font>
    <font>
      <sz val="8"/>
      <color indexed="18"/>
      <name val="Times New Roman"/>
      <family val="1"/>
    </font>
    <font>
      <sz val="8"/>
      <color indexed="12"/>
      <name val="Arial"/>
      <family val="2"/>
    </font>
    <font>
      <u val="doubleAccounting"/>
      <sz val="10"/>
      <name val="Arial"/>
      <family val="2"/>
    </font>
    <font>
      <sz val="11"/>
      <color indexed="62"/>
      <name val="Calibri"/>
      <family val="2"/>
    </font>
    <font>
      <sz val="10"/>
      <name val="Comic Sans MS"/>
      <family val="4"/>
    </font>
    <font>
      <i/>
      <sz val="11"/>
      <color indexed="23"/>
      <name val="Calibri"/>
      <family val="2"/>
    </font>
    <font>
      <sz val="12"/>
      <name val="Times New Roman"/>
      <family val="1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sz val="10"/>
      <name val="Century Schoolbook"/>
      <family val="1"/>
    </font>
    <font>
      <sz val="7"/>
      <name val="Palatino"/>
      <family val="1"/>
    </font>
    <font>
      <b/>
      <sz val="8"/>
      <name val="MS Sans Serif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6"/>
      <name val="Times New Roman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sz val="10.5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8"/>
      <name val="Helvetica-Black"/>
    </font>
    <font>
      <b/>
      <sz val="11"/>
      <color indexed="56"/>
      <name val="Calibri"/>
      <family val="2"/>
    </font>
    <font>
      <i/>
      <sz val="14"/>
      <name val="Palatino"/>
      <family val="1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u/>
      <sz val="7.5"/>
      <color indexed="12"/>
      <name val="Arial"/>
      <family val="2"/>
    </font>
    <font>
      <u/>
      <sz val="10"/>
      <color indexed="36"/>
      <name val="Times New Roman"/>
      <family val="1"/>
    </font>
    <font>
      <u/>
      <sz val="9"/>
      <color indexed="12"/>
      <name val="Times New Roman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36"/>
      <name val="Courier"/>
      <family val="3"/>
    </font>
    <font>
      <b/>
      <sz val="8"/>
      <color indexed="12"/>
      <name val="Arial"/>
      <family val="2"/>
    </font>
    <font>
      <sz val="8"/>
      <color indexed="39"/>
      <name val="Arial"/>
      <family val="2"/>
    </font>
    <font>
      <sz val="8"/>
      <color indexed="12"/>
      <name val="Palatino"/>
      <family val="1"/>
    </font>
    <font>
      <b/>
      <sz val="12"/>
      <color indexed="16"/>
      <name val="Arial MT"/>
    </font>
    <font>
      <b/>
      <sz val="10"/>
      <color indexed="16"/>
      <name val="Arial MT"/>
    </font>
    <font>
      <sz val="7"/>
      <name val="Times"/>
      <family val="1"/>
    </font>
    <font>
      <sz val="7"/>
      <name val="Times"/>
      <family val="1"/>
    </font>
    <font>
      <sz val="18"/>
      <name val="Times New Roman"/>
      <family val="1"/>
    </font>
    <font>
      <b/>
      <sz val="13"/>
      <name val="Times New Roman"/>
      <family val="1"/>
    </font>
    <font>
      <i/>
      <sz val="12"/>
      <name val="Times New Roman"/>
      <family val="1"/>
    </font>
    <font>
      <b/>
      <sz val="12"/>
      <color indexed="17"/>
      <name val="Wingdings"/>
      <charset val="2"/>
    </font>
    <font>
      <sz val="8"/>
      <color indexed="8"/>
      <name val="Helv"/>
    </font>
    <font>
      <b/>
      <sz val="9.75"/>
      <name val="Helv"/>
    </font>
    <font>
      <sz val="10"/>
      <color indexed="20"/>
      <name val="Times New Roman"/>
      <family val="1"/>
    </font>
    <font>
      <b/>
      <sz val="10"/>
      <color indexed="12"/>
      <name val="Arial"/>
      <family val="2"/>
    </font>
    <font>
      <sz val="8"/>
      <name val="MS Sans Serif"/>
      <family val="2"/>
    </font>
    <font>
      <sz val="11"/>
      <color indexed="8"/>
      <name val="Tahoma"/>
      <family val="2"/>
    </font>
    <font>
      <sz val="11"/>
      <color theme="1"/>
      <name val="Tahoma"/>
      <family val="2"/>
    </font>
    <font>
      <sz val="8"/>
      <color indexed="23"/>
      <name val="Arial Narrow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SWISS"/>
      <family val="2"/>
    </font>
    <font>
      <sz val="12"/>
      <name val="SWISS"/>
    </font>
    <font>
      <sz val="12"/>
      <name val="Arial MT"/>
    </font>
    <font>
      <b/>
      <i/>
      <sz val="16"/>
      <name val="Helv"/>
    </font>
    <font>
      <sz val="10"/>
      <name val="Palatino"/>
      <family val="1"/>
    </font>
    <font>
      <sz val="11"/>
      <name val="Calibri"/>
      <family val="2"/>
    </font>
    <font>
      <sz val="9"/>
      <name val="Geneva"/>
      <family val="2"/>
    </font>
    <font>
      <sz val="12"/>
      <name val="Courier"/>
      <family val="3"/>
    </font>
    <font>
      <b/>
      <u/>
      <sz val="10"/>
      <name val="Times New Roman"/>
      <family val="1"/>
    </font>
    <font>
      <u/>
      <sz val="10"/>
      <name val="Times New Roman"/>
      <family val="1"/>
    </font>
    <font>
      <b/>
      <sz val="10"/>
      <name val="HELVETICA"/>
      <family val="2"/>
    </font>
    <font>
      <u/>
      <sz val="10"/>
      <name val="Helvetica"/>
      <family val="2"/>
    </font>
    <font>
      <sz val="8"/>
      <name val="Helvetica"/>
      <family val="2"/>
    </font>
    <font>
      <sz val="10"/>
      <name val="Helvetica"/>
      <family val="2"/>
    </font>
    <font>
      <sz val="10"/>
      <name val="Arial CE"/>
      <charset val="238"/>
    </font>
    <font>
      <sz val="10"/>
      <name val="CG Times"/>
      <family val="1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8"/>
      <name val="Times New Roman"/>
      <family val="1"/>
    </font>
    <font>
      <i/>
      <sz val="8"/>
      <name val="Arial"/>
      <family val="2"/>
    </font>
    <font>
      <sz val="10"/>
      <color indexed="64"/>
      <name val="Arial"/>
      <family val="2"/>
    </font>
    <font>
      <i/>
      <sz val="8"/>
      <color indexed="12"/>
      <name val="Arial"/>
      <family val="2"/>
    </font>
    <font>
      <sz val="7"/>
      <color indexed="12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MS Sans Serif"/>
      <family val="2"/>
    </font>
    <font>
      <b/>
      <sz val="8"/>
      <color indexed="10"/>
      <name val="Arial"/>
      <family val="2"/>
    </font>
    <font>
      <sz val="8"/>
      <color indexed="14"/>
      <name val="Helvetica"/>
      <family val="2"/>
    </font>
    <font>
      <sz val="12"/>
      <color indexed="10"/>
      <name val="Helv"/>
    </font>
    <font>
      <sz val="9.5"/>
      <color indexed="23"/>
      <name val="Helvetica-Black"/>
    </font>
    <font>
      <b/>
      <sz val="12"/>
      <color indexed="56"/>
      <name val="Arial"/>
      <family val="2"/>
    </font>
    <font>
      <b/>
      <sz val="10"/>
      <color indexed="10"/>
      <name val="Times New Roman"/>
      <family val="1"/>
    </font>
    <font>
      <b/>
      <sz val="10"/>
      <name val="Century Schoolbook"/>
      <family val="1"/>
    </font>
    <font>
      <sz val="10"/>
      <name val="Futura UBS Bk"/>
      <family val="2"/>
    </font>
    <font>
      <b/>
      <sz val="7"/>
      <color indexed="1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sz val="6"/>
      <name val="Arial"/>
      <family val="2"/>
    </font>
    <font>
      <sz val="12"/>
      <color indexed="8"/>
      <name val="Palatino"/>
      <family val="1"/>
    </font>
    <font>
      <sz val="11"/>
      <name val="Arial"/>
      <family val="2"/>
    </font>
    <font>
      <sz val="11"/>
      <name val="Helvetica-Black"/>
    </font>
    <font>
      <sz val="11"/>
      <color indexed="8"/>
      <name val="Helvetica-Black"/>
    </font>
    <font>
      <sz val="11"/>
      <color indexed="10"/>
      <name val="Calibri"/>
      <family val="2"/>
    </font>
    <font>
      <sz val="7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b/>
      <i/>
      <u/>
      <sz val="12"/>
      <color indexed="8"/>
      <name val="Arial MT"/>
    </font>
    <font>
      <b/>
      <sz val="18"/>
      <color indexed="54"/>
      <name val="Cambria"/>
      <family val="2"/>
    </font>
    <font>
      <b/>
      <sz val="18"/>
      <color indexed="62"/>
      <name val="Cambria"/>
      <family val="2"/>
    </font>
    <font>
      <sz val="9"/>
      <name val="CG Times"/>
      <family val="1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b/>
      <sz val="8"/>
      <name val="Palatino"/>
      <family val="1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i/>
      <sz val="12"/>
      <color indexed="8"/>
      <name val="Arial MT"/>
    </font>
    <font>
      <sz val="9"/>
      <color indexed="9"/>
      <name val="Arial Narrow"/>
      <family val="2"/>
    </font>
    <font>
      <sz val="8"/>
      <color indexed="9"/>
      <name val="Arial"/>
      <family val="2"/>
    </font>
    <font>
      <b/>
      <i/>
      <sz val="8"/>
      <name val="Helv"/>
    </font>
    <font>
      <b/>
      <u/>
      <sz val="10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  <charset val="204"/>
    </font>
    <font>
      <u/>
      <sz val="8.25"/>
      <color indexed="36"/>
      <name val="µ¸¿ò"/>
      <family val="3"/>
      <charset val="129"/>
    </font>
    <font>
      <u/>
      <sz val="10"/>
      <name val="Arial"/>
      <family val="2"/>
    </font>
    <font>
      <sz val="12"/>
      <color indexed="8"/>
      <name val="Arial"/>
      <family val="2"/>
    </font>
    <font>
      <sz val="14"/>
      <name val="Tms Rmn"/>
    </font>
    <font>
      <sz val="12"/>
      <name val="Helv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2"/>
      <name val="Tms Rmn"/>
    </font>
    <font>
      <sz val="8"/>
      <name val="Futura"/>
      <family val="2"/>
    </font>
    <font>
      <b/>
      <sz val="9"/>
      <name val="Helv"/>
    </font>
    <font>
      <sz val="24"/>
      <name val="Arial"/>
      <family val="2"/>
    </font>
    <font>
      <sz val="14"/>
      <color indexed="8"/>
      <name val="Arial"/>
      <family val="2"/>
    </font>
    <font>
      <b/>
      <sz val="6"/>
      <name val="Arial"/>
      <family val="2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sz val="8"/>
      <name val="Verdana"/>
      <family val="2"/>
    </font>
    <font>
      <b/>
      <sz val="18"/>
      <name val="Tms Rmn"/>
    </font>
    <font>
      <b/>
      <i/>
      <sz val="9"/>
      <name val="Arial"/>
      <family val="2"/>
    </font>
    <font>
      <sz val="8"/>
      <name val="Frutiger 55"/>
      <family val="2"/>
    </font>
    <font>
      <sz val="14"/>
      <name val="Helv"/>
    </font>
    <font>
      <sz val="10"/>
      <color indexed="12"/>
      <name val="Helvetica"/>
      <family val="2"/>
    </font>
    <font>
      <sz val="9"/>
      <name val="Times New Roman"/>
      <family val="1"/>
    </font>
    <font>
      <sz val="9"/>
      <color indexed="10"/>
      <name val="Geneva"/>
      <family val="2"/>
    </font>
    <font>
      <u/>
      <sz val="8.25"/>
      <color indexed="12"/>
      <name val="µ¸¿ò"/>
      <family val="3"/>
      <charset val="129"/>
    </font>
    <font>
      <sz val="8"/>
      <color indexed="8"/>
      <name val="Times New Roman"/>
      <family val="1"/>
    </font>
    <font>
      <b/>
      <i/>
      <sz val="8"/>
      <name val="Arial"/>
      <family val="2"/>
    </font>
    <font>
      <sz val="10"/>
      <name val="Courier New"/>
      <family val="3"/>
    </font>
    <font>
      <b/>
      <sz val="8"/>
      <name val="Book Antiqua"/>
      <family val="1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u/>
      <sz val="10"/>
      <color indexed="12"/>
      <name val="MS Sans Serif"/>
      <family val="2"/>
    </font>
    <font>
      <b/>
      <sz val="9"/>
      <color indexed="8"/>
      <name val="Arial"/>
      <family val="2"/>
    </font>
    <font>
      <b/>
      <u val="singleAccounting"/>
      <sz val="8"/>
      <color indexed="8"/>
      <name val="Arial"/>
      <family val="2"/>
    </font>
    <font>
      <sz val="11"/>
      <name val="Tms Rmn"/>
      <family val="1"/>
    </font>
    <font>
      <sz val="10"/>
      <name val="EYInterstate Light"/>
    </font>
    <font>
      <sz val="10"/>
      <color theme="1"/>
      <name val="eyinterstate light"/>
      <family val="2"/>
    </font>
    <font>
      <b/>
      <sz val="11"/>
      <name val="Times New Roman"/>
      <family val="1"/>
    </font>
    <font>
      <sz val="10"/>
      <color indexed="13"/>
      <name val="Arial Narrow"/>
      <family val="2"/>
    </font>
    <font>
      <sz val="10"/>
      <name val="MS Serif"/>
      <family val="1"/>
    </font>
    <font>
      <sz val="20"/>
      <name val="Letter Gothic (W1)"/>
    </font>
    <font>
      <sz val="10"/>
      <name val="Helv"/>
      <family val="2"/>
    </font>
    <font>
      <sz val="12"/>
      <color indexed="22"/>
      <name val="Arial"/>
      <family val="2"/>
    </font>
    <font>
      <b/>
      <sz val="9"/>
      <name val="Times New Roman"/>
      <family val="1"/>
    </font>
    <font>
      <sz val="14"/>
      <name val="Arial"/>
      <family val="2"/>
    </font>
    <font>
      <b/>
      <sz val="26"/>
      <color indexed="10"/>
      <name val="Arial"/>
      <family val="2"/>
    </font>
    <font>
      <b/>
      <sz val="2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20"/>
      <name val="Arial"/>
      <family val="2"/>
    </font>
    <font>
      <b/>
      <sz val="26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name val="Arial"/>
      <family val="2"/>
    </font>
    <font>
      <sz val="12"/>
      <color rgb="FF000000"/>
      <name val="Calibri"/>
      <family val="2"/>
    </font>
    <font>
      <sz val="40"/>
      <color rgb="FF000000"/>
      <name val="Calibri"/>
      <family val="2"/>
    </font>
    <font>
      <sz val="15"/>
      <color rgb="FF000000"/>
      <name val="Calibri"/>
      <family val="2"/>
    </font>
    <font>
      <b/>
      <sz val="11"/>
      <color rgb="FF000000"/>
      <name val="Calibri"/>
      <family val="2"/>
    </font>
    <font>
      <sz val="9"/>
      <color theme="1"/>
      <name val="Swis721 Cn BT"/>
      <family val="2"/>
    </font>
    <font>
      <b/>
      <sz val="9"/>
      <color theme="1"/>
      <name val="Swis721 Cn BT"/>
      <family val="2"/>
    </font>
    <font>
      <sz val="8"/>
      <name val="Arial"/>
      <family val="2"/>
    </font>
    <font>
      <b/>
      <sz val="11"/>
      <color theme="0" tint="-4.9989318521683403E-2"/>
      <name val="Calibri"/>
      <family val="2"/>
    </font>
    <font>
      <b/>
      <sz val="11"/>
      <name val="Calibri"/>
      <family val="2"/>
    </font>
    <font>
      <sz val="24"/>
      <color rgb="FF00000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2"/>
      <color theme="1"/>
      <name val="Swis721 Cn BT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10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gray0625"/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darkGray">
        <fgColor indexed="9"/>
        <bgColor indexed="22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3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mediumGray">
        <fgColor indexed="9"/>
        <bgColor indexed="31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mediumGray">
        <fgColor indexed="22"/>
      </patternFill>
    </fill>
    <fill>
      <patternFill patternType="solid">
        <fgColor indexed="46"/>
        <b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>
        <fgColor indexed="41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1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7F7F7F"/>
        <bgColor rgb="FF7F7F7F"/>
      </patternFill>
    </fill>
    <fill>
      <patternFill patternType="solid">
        <fgColor rgb="FF1F3864"/>
        <bgColor rgb="FF1F38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rgb="FF7F7F7F"/>
      </patternFill>
    </fill>
    <fill>
      <patternFill patternType="solid">
        <fgColor rgb="FF00B0F0"/>
        <bgColor rgb="FF1F38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2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000000"/>
      </right>
      <top/>
      <bottom style="thin">
        <color rgb="FFBFBFBF"/>
      </bottom>
      <diagonal/>
    </border>
    <border>
      <left style="thin">
        <color rgb="FF000000"/>
      </left>
      <right/>
      <top/>
      <bottom style="thin">
        <color rgb="FFBFBFBF"/>
      </bottom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00">
    <xf numFmtId="0" fontId="0" fillId="0" borderId="0"/>
    <xf numFmtId="0" fontId="11" fillId="0" borderId="0"/>
    <xf numFmtId="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3" fontId="10" fillId="0" borderId="0"/>
    <xf numFmtId="177" fontId="11" fillId="0" borderId="0" applyFont="0" applyFill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9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1" fillId="0" borderId="0"/>
    <xf numFmtId="169" fontId="18" fillId="0" borderId="0" applyFont="0" applyFill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1" fillId="0" borderId="0" applyNumberFormat="0" applyFill="0" applyBorder="0" applyAlignment="0" applyProtection="0"/>
    <xf numFmtId="0" fontId="12" fillId="0" borderId="0" applyNumberFormat="0" applyFont="0" applyFill="0" applyAlignment="0">
      <protection hidden="1"/>
    </xf>
    <xf numFmtId="0" fontId="24" fillId="0" borderId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181" fontId="26" fillId="0" borderId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27" fillId="0" borderId="0"/>
    <xf numFmtId="0" fontId="11" fillId="0" borderId="0"/>
    <xf numFmtId="185" fontId="11" fillId="0" borderId="0"/>
    <xf numFmtId="171" fontId="11" fillId="0" borderId="0"/>
    <xf numFmtId="186" fontId="28" fillId="0" borderId="0" applyBorder="0"/>
    <xf numFmtId="0" fontId="11" fillId="0" borderId="0"/>
    <xf numFmtId="186" fontId="28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24" fillId="0" borderId="0">
      <alignment vertical="center"/>
    </xf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" fillId="8" borderId="0" applyNumberFormat="0" applyFont="0" applyAlignment="0" applyProtection="0"/>
    <xf numFmtId="193" fontId="11" fillId="0" borderId="0">
      <alignment horizontal="left" wrapText="1"/>
    </xf>
    <xf numFmtId="194" fontId="11" fillId="0" borderId="0" applyFont="0" applyFill="0" applyBorder="0" applyAlignment="0" applyProtection="0"/>
    <xf numFmtId="195" fontId="11" fillId="0" borderId="0" applyFont="0" applyFill="0" applyBorder="0" applyProtection="0">
      <alignment horizontal="right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24" fillId="0" borderId="0">
      <alignment vertical="center"/>
    </xf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196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1" fillId="0" borderId="0"/>
    <xf numFmtId="1" fontId="35" fillId="0" borderId="0"/>
    <xf numFmtId="2" fontId="36" fillId="0" borderId="0">
      <alignment horizontal="left"/>
    </xf>
    <xf numFmtId="1" fontId="35" fillId="0" borderId="0"/>
    <xf numFmtId="1" fontId="35" fillId="0" borderId="0"/>
    <xf numFmtId="198" fontId="37" fillId="0" borderId="0">
      <alignment horizontal="left"/>
    </xf>
    <xf numFmtId="199" fontId="11" fillId="0" borderId="0">
      <alignment horizontal="left"/>
    </xf>
    <xf numFmtId="200" fontId="38" fillId="0" borderId="0">
      <alignment horizontal="left"/>
    </xf>
    <xf numFmtId="201" fontId="11" fillId="0" borderId="0">
      <alignment horizontal="left"/>
    </xf>
    <xf numFmtId="186" fontId="39" fillId="0" borderId="20" applyBorder="0" applyAlignment="0">
      <alignment horizontal="center" vertical="center"/>
    </xf>
    <xf numFmtId="202" fontId="12" fillId="0" borderId="0"/>
    <xf numFmtId="202" fontId="12" fillId="0" borderId="0"/>
    <xf numFmtId="186" fontId="14" fillId="0" borderId="20" applyBorder="0" applyAlignment="0">
      <alignment horizontal="center"/>
    </xf>
    <xf numFmtId="186" fontId="14" fillId="0" borderId="20" applyBorder="0" applyAlignment="0">
      <alignment horizontal="center"/>
    </xf>
    <xf numFmtId="186" fontId="40" fillId="0" borderId="20" applyBorder="0" applyAlignment="0">
      <alignment horizontal="center" vertical="center"/>
    </xf>
    <xf numFmtId="186" fontId="40" fillId="0" borderId="20" applyBorder="0" applyAlignment="0">
      <alignment horizontal="center" vertical="center"/>
    </xf>
    <xf numFmtId="186" fontId="41" fillId="0" borderId="20" applyBorder="0" applyAlignment="0">
      <alignment horizontal="center" vertical="center"/>
    </xf>
    <xf numFmtId="0" fontId="23" fillId="9" borderId="0" applyNumberFormat="0" applyBorder="0" applyAlignment="0" applyProtection="0"/>
    <xf numFmtId="185" fontId="23" fillId="9" borderId="0" applyNumberFormat="0" applyBorder="0" applyAlignment="0" applyProtection="0"/>
    <xf numFmtId="171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185" fontId="23" fillId="10" borderId="0" applyNumberFormat="0" applyBorder="0" applyAlignment="0" applyProtection="0"/>
    <xf numFmtId="171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185" fontId="23" fillId="11" borderId="0" applyNumberFormat="0" applyBorder="0" applyAlignment="0" applyProtection="0"/>
    <xf numFmtId="171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185" fontId="23" fillId="12" borderId="0" applyNumberFormat="0" applyBorder="0" applyAlignment="0" applyProtection="0"/>
    <xf numFmtId="171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185" fontId="23" fillId="13" borderId="0" applyNumberFormat="0" applyBorder="0" applyAlignment="0" applyProtection="0"/>
    <xf numFmtId="171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85" fontId="23" fillId="14" borderId="0" applyNumberFormat="0" applyBorder="0" applyAlignment="0" applyProtection="0"/>
    <xf numFmtId="171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0" borderId="0"/>
    <xf numFmtId="0" fontId="23" fillId="15" borderId="0" applyNumberFormat="0" applyBorder="0" applyAlignment="0" applyProtection="0"/>
    <xf numFmtId="185" fontId="23" fillId="15" borderId="0" applyNumberFormat="0" applyBorder="0" applyAlignment="0" applyProtection="0"/>
    <xf numFmtId="171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185" fontId="23" fillId="16" borderId="0" applyNumberFormat="0" applyBorder="0" applyAlignment="0" applyProtection="0"/>
    <xf numFmtId="171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185" fontId="23" fillId="17" borderId="0" applyNumberFormat="0" applyBorder="0" applyAlignment="0" applyProtection="0"/>
    <xf numFmtId="171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2" borderId="0" applyNumberFormat="0" applyBorder="0" applyAlignment="0" applyProtection="0"/>
    <xf numFmtId="185" fontId="23" fillId="12" borderId="0" applyNumberFormat="0" applyBorder="0" applyAlignment="0" applyProtection="0"/>
    <xf numFmtId="171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185" fontId="23" fillId="15" borderId="0" applyNumberFormat="0" applyBorder="0" applyAlignment="0" applyProtection="0"/>
    <xf numFmtId="171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185" fontId="23" fillId="18" borderId="0" applyNumberFormat="0" applyBorder="0" applyAlignment="0" applyProtection="0"/>
    <xf numFmtId="171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42" fillId="0" borderId="0"/>
    <xf numFmtId="0" fontId="42" fillId="0" borderId="0"/>
    <xf numFmtId="171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19" borderId="0" applyNumberFormat="0" applyBorder="0" applyAlignment="0" applyProtection="0"/>
    <xf numFmtId="185" fontId="44" fillId="19" borderId="0" applyNumberFormat="0" applyBorder="0" applyAlignment="0" applyProtection="0"/>
    <xf numFmtId="171" fontId="44" fillId="19" borderId="0" applyNumberFormat="0" applyBorder="0" applyAlignment="0" applyProtection="0"/>
    <xf numFmtId="0" fontId="44" fillId="16" borderId="0" applyNumberFormat="0" applyBorder="0" applyAlignment="0" applyProtection="0"/>
    <xf numFmtId="185" fontId="44" fillId="16" borderId="0" applyNumberFormat="0" applyBorder="0" applyAlignment="0" applyProtection="0"/>
    <xf numFmtId="171" fontId="44" fillId="16" borderId="0" applyNumberFormat="0" applyBorder="0" applyAlignment="0" applyProtection="0"/>
    <xf numFmtId="0" fontId="44" fillId="17" borderId="0" applyNumberFormat="0" applyBorder="0" applyAlignment="0" applyProtection="0"/>
    <xf numFmtId="185" fontId="44" fillId="17" borderId="0" applyNumberFormat="0" applyBorder="0" applyAlignment="0" applyProtection="0"/>
    <xf numFmtId="171" fontId="44" fillId="17" borderId="0" applyNumberFormat="0" applyBorder="0" applyAlignment="0" applyProtection="0"/>
    <xf numFmtId="0" fontId="44" fillId="20" borderId="0" applyNumberFormat="0" applyBorder="0" applyAlignment="0" applyProtection="0"/>
    <xf numFmtId="185" fontId="44" fillId="20" borderId="0" applyNumberFormat="0" applyBorder="0" applyAlignment="0" applyProtection="0"/>
    <xf numFmtId="171" fontId="44" fillId="20" borderId="0" applyNumberFormat="0" applyBorder="0" applyAlignment="0" applyProtection="0"/>
    <xf numFmtId="0" fontId="44" fillId="21" borderId="0" applyNumberFormat="0" applyBorder="0" applyAlignment="0" applyProtection="0"/>
    <xf numFmtId="185" fontId="44" fillId="21" borderId="0" applyNumberFormat="0" applyBorder="0" applyAlignment="0" applyProtection="0"/>
    <xf numFmtId="171" fontId="44" fillId="21" borderId="0" applyNumberFormat="0" applyBorder="0" applyAlignment="0" applyProtection="0"/>
    <xf numFmtId="0" fontId="44" fillId="22" borderId="0" applyNumberFormat="0" applyBorder="0" applyAlignment="0" applyProtection="0"/>
    <xf numFmtId="185" fontId="44" fillId="22" borderId="0" applyNumberFormat="0" applyBorder="0" applyAlignment="0" applyProtection="0"/>
    <xf numFmtId="171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5" fillId="23" borderId="0" applyFont="0" applyFill="0"/>
    <xf numFmtId="185" fontId="45" fillId="23" borderId="0" applyFont="0" applyFill="0"/>
    <xf numFmtId="171" fontId="45" fillId="23" borderId="0" applyFont="0" applyFill="0"/>
    <xf numFmtId="37" fontId="11" fillId="0" borderId="0"/>
    <xf numFmtId="0" fontId="44" fillId="24" borderId="0" applyNumberFormat="0" applyBorder="0" applyAlignment="0" applyProtection="0"/>
    <xf numFmtId="185" fontId="44" fillId="24" borderId="0" applyNumberFormat="0" applyBorder="0" applyAlignment="0" applyProtection="0"/>
    <xf numFmtId="171" fontId="44" fillId="24" borderId="0" applyNumberFormat="0" applyBorder="0" applyAlignment="0" applyProtection="0"/>
    <xf numFmtId="0" fontId="44" fillId="25" borderId="0" applyNumberFormat="0" applyBorder="0" applyAlignment="0" applyProtection="0"/>
    <xf numFmtId="185" fontId="44" fillId="25" borderId="0" applyNumberFormat="0" applyBorder="0" applyAlignment="0" applyProtection="0"/>
    <xf numFmtId="171" fontId="44" fillId="25" borderId="0" applyNumberFormat="0" applyBorder="0" applyAlignment="0" applyProtection="0"/>
    <xf numFmtId="0" fontId="44" fillId="26" borderId="0" applyNumberFormat="0" applyBorder="0" applyAlignment="0" applyProtection="0"/>
    <xf numFmtId="185" fontId="44" fillId="26" borderId="0" applyNumberFormat="0" applyBorder="0" applyAlignment="0" applyProtection="0"/>
    <xf numFmtId="171" fontId="44" fillId="26" borderId="0" applyNumberFormat="0" applyBorder="0" applyAlignment="0" applyProtection="0"/>
    <xf numFmtId="0" fontId="44" fillId="20" borderId="0" applyNumberFormat="0" applyBorder="0" applyAlignment="0" applyProtection="0"/>
    <xf numFmtId="185" fontId="44" fillId="20" borderId="0" applyNumberFormat="0" applyBorder="0" applyAlignment="0" applyProtection="0"/>
    <xf numFmtId="171" fontId="44" fillId="20" borderId="0" applyNumberFormat="0" applyBorder="0" applyAlignment="0" applyProtection="0"/>
    <xf numFmtId="0" fontId="44" fillId="21" borderId="0" applyNumberFormat="0" applyBorder="0" applyAlignment="0" applyProtection="0"/>
    <xf numFmtId="185" fontId="44" fillId="21" borderId="0" applyNumberFormat="0" applyBorder="0" applyAlignment="0" applyProtection="0"/>
    <xf numFmtId="171" fontId="44" fillId="21" borderId="0" applyNumberFormat="0" applyBorder="0" applyAlignment="0" applyProtection="0"/>
    <xf numFmtId="0" fontId="44" fillId="27" borderId="0" applyNumberFormat="0" applyBorder="0" applyAlignment="0" applyProtection="0"/>
    <xf numFmtId="185" fontId="44" fillId="27" borderId="0" applyNumberFormat="0" applyBorder="0" applyAlignment="0" applyProtection="0"/>
    <xf numFmtId="171" fontId="44" fillId="27" borderId="0" applyNumberFormat="0" applyBorder="0" applyAlignment="0" applyProtection="0"/>
    <xf numFmtId="203" fontId="14" fillId="28" borderId="21">
      <alignment horizontal="center" vertical="center"/>
    </xf>
    <xf numFmtId="203" fontId="14" fillId="28" borderId="21">
      <alignment horizontal="center" vertical="center"/>
    </xf>
    <xf numFmtId="0" fontId="11" fillId="0" borderId="0"/>
    <xf numFmtId="14" fontId="32" fillId="6" borderId="22" applyNumberFormat="0" applyFont="0" applyBorder="0" applyAlignment="0" applyProtection="0">
      <alignment horizontal="center" vertical="center"/>
    </xf>
    <xf numFmtId="0" fontId="14" fillId="0" borderId="0"/>
    <xf numFmtId="0" fontId="46" fillId="29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1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5" fontId="47" fillId="0" borderId="0" applyNumberFormat="0" applyFill="0" applyBorder="0" applyAlignment="0" applyProtection="0"/>
    <xf numFmtId="171" fontId="47" fillId="0" borderId="0" applyNumberFormat="0" applyFill="0" applyBorder="0" applyAlignment="0" applyProtection="0"/>
    <xf numFmtId="0" fontId="48" fillId="0" borderId="3">
      <protection hidden="1"/>
    </xf>
    <xf numFmtId="0" fontId="49" fillId="30" borderId="3" applyNumberFormat="0" applyFont="0" applyBorder="0" applyAlignment="0" applyProtection="0">
      <protection hidden="1"/>
    </xf>
    <xf numFmtId="186" fontId="24" fillId="0" borderId="23"/>
    <xf numFmtId="0" fontId="50" fillId="10" borderId="0" applyNumberFormat="0" applyBorder="0" applyAlignment="0" applyProtection="0"/>
    <xf numFmtId="185" fontId="50" fillId="10" borderId="0" applyNumberFormat="0" applyBorder="0" applyAlignment="0" applyProtection="0"/>
    <xf numFmtId="171" fontId="50" fillId="10" borderId="0" applyNumberFormat="0" applyBorder="0" applyAlignment="0" applyProtection="0"/>
    <xf numFmtId="0" fontId="35" fillId="0" borderId="0" applyNumberFormat="0" applyFill="0" applyBorder="0" applyAlignment="0" applyProtection="0">
      <alignment horizontal="center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5" fontId="52" fillId="0" borderId="0" applyNumberFormat="0" applyFill="0" applyBorder="0" applyAlignment="0" applyProtection="0"/>
    <xf numFmtId="171" fontId="52" fillId="0" borderId="0" applyNumberFormat="0" applyFill="0" applyBorder="0" applyAlignment="0" applyProtection="0"/>
    <xf numFmtId="0" fontId="53" fillId="3" borderId="0" applyNumberFormat="0" applyFill="0" applyBorder="0" applyAlignment="0" applyProtection="0">
      <protection locked="0"/>
    </xf>
    <xf numFmtId="185" fontId="53" fillId="3" borderId="0" applyNumberFormat="0" applyFill="0" applyBorder="0" applyAlignment="0" applyProtection="0">
      <protection locked="0"/>
    </xf>
    <xf numFmtId="171" fontId="53" fillId="3" borderId="0" applyNumberFormat="0" applyFill="0" applyBorder="0" applyAlignment="0" applyProtection="0">
      <protection locked="0"/>
    </xf>
    <xf numFmtId="204" fontId="12" fillId="0" borderId="0" applyNumberFormat="0" applyFont="0" applyAlignment="0"/>
    <xf numFmtId="0" fontId="38" fillId="0" borderId="0" applyFont="0" applyFill="0" applyBorder="0" applyAlignment="0" applyProtection="0">
      <alignment horizontal="right"/>
    </xf>
    <xf numFmtId="204" fontId="12" fillId="0" borderId="0" applyNumberFormat="0" applyFont="0" applyAlignment="0"/>
    <xf numFmtId="0" fontId="54" fillId="0" borderId="0" applyFont="0" applyFill="0" applyBorder="0" applyAlignment="0" applyProtection="0">
      <alignment horizontal="right"/>
    </xf>
    <xf numFmtId="14" fontId="55" fillId="0" borderId="0" applyNumberFormat="0" applyFill="0" applyBorder="0" applyAlignment="0" applyProtection="0">
      <alignment horizontal="center"/>
    </xf>
    <xf numFmtId="205" fontId="4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4" fontId="55" fillId="0" borderId="0" applyNumberFormat="0" applyFill="0" applyBorder="0" applyAlignment="0" applyProtection="0">
      <alignment horizontal="center"/>
    </xf>
    <xf numFmtId="14" fontId="55" fillId="0" borderId="0" applyNumberFormat="0" applyFill="0" applyBorder="0" applyAlignment="0" applyProtection="0">
      <alignment horizontal="center"/>
    </xf>
    <xf numFmtId="14" fontId="55" fillId="0" borderId="0" applyNumberFormat="0" applyFill="0" applyBorder="0" applyAlignment="0" applyProtection="0">
      <alignment horizontal="center"/>
    </xf>
    <xf numFmtId="14" fontId="55" fillId="0" borderId="0" applyNumberFormat="0" applyFill="0" applyBorder="0" applyAlignment="0" applyProtection="0">
      <alignment horizontal="center"/>
    </xf>
    <xf numFmtId="205" fontId="45" fillId="0" borderId="0" applyNumberFormat="0" applyFill="0" applyBorder="0" applyAlignment="0" applyProtection="0"/>
    <xf numFmtId="205" fontId="45" fillId="0" borderId="0" applyNumberFormat="0" applyFill="0" applyBorder="0" applyAlignment="0" applyProtection="0"/>
    <xf numFmtId="205" fontId="45" fillId="0" borderId="0" applyNumberFormat="0" applyFill="0" applyBorder="0" applyAlignment="0" applyProtection="0"/>
    <xf numFmtId="0" fontId="57" fillId="0" borderId="0"/>
    <xf numFmtId="170" fontId="58" fillId="0" borderId="0" applyBorder="0" applyProtection="0"/>
    <xf numFmtId="206" fontId="11" fillId="0" borderId="0"/>
    <xf numFmtId="0" fontId="18" fillId="0" borderId="0"/>
    <xf numFmtId="0" fontId="59" fillId="0" borderId="16" applyNumberFormat="0" applyFill="0" applyAlignment="0" applyProtection="0"/>
    <xf numFmtId="186" fontId="60" fillId="0" borderId="0">
      <alignment vertical="top"/>
    </xf>
    <xf numFmtId="0" fontId="61" fillId="3" borderId="12" applyNumberFormat="0" applyFill="0" applyBorder="0" applyAlignment="0" applyProtection="0">
      <protection locked="0"/>
    </xf>
    <xf numFmtId="185" fontId="61" fillId="3" borderId="12" applyNumberFormat="0" applyFill="0" applyBorder="0" applyAlignment="0" applyProtection="0">
      <protection locked="0"/>
    </xf>
    <xf numFmtId="171" fontId="61" fillId="3" borderId="12" applyNumberFormat="0" applyFill="0" applyBorder="0" applyAlignment="0" applyProtection="0">
      <protection locked="0"/>
    </xf>
    <xf numFmtId="207" fontId="62" fillId="0" borderId="0" applyFill="0" applyBorder="0" applyProtection="0"/>
    <xf numFmtId="186" fontId="62" fillId="0" borderId="0">
      <alignment horizontal="left"/>
    </xf>
    <xf numFmtId="0" fontId="63" fillId="11" borderId="0" applyNumberFormat="0" applyBorder="0" applyAlignment="0" applyProtection="0"/>
    <xf numFmtId="0" fontId="64" fillId="0" borderId="14" applyNumberFormat="0" applyFont="0" applyFill="0" applyAlignment="0" applyProtection="0"/>
    <xf numFmtId="0" fontId="64" fillId="0" borderId="14" applyNumberFormat="0" applyFont="0" applyFill="0" applyAlignment="0" applyProtection="0"/>
    <xf numFmtId="171" fontId="64" fillId="0" borderId="14" applyNumberFormat="0" applyFont="0" applyFill="0" applyAlignment="0" applyProtection="0"/>
    <xf numFmtId="171" fontId="64" fillId="0" borderId="14" applyNumberFormat="0" applyFont="0" applyFill="0" applyAlignment="0" applyProtection="0"/>
    <xf numFmtId="171" fontId="64" fillId="0" borderId="14" applyNumberFormat="0" applyFont="0" applyFill="0" applyAlignment="0" applyProtection="0"/>
    <xf numFmtId="171" fontId="64" fillId="0" borderId="14" applyNumberFormat="0" applyFont="0" applyFill="0" applyAlignment="0" applyProtection="0"/>
    <xf numFmtId="171" fontId="64" fillId="0" borderId="14" applyNumberFormat="0" applyFont="0" applyFill="0" applyAlignment="0" applyProtection="0"/>
    <xf numFmtId="0" fontId="64" fillId="0" borderId="24" applyNumberFormat="0" applyFont="0" applyFill="0" applyAlignment="0" applyProtection="0"/>
    <xf numFmtId="185" fontId="64" fillId="0" borderId="24" applyNumberFormat="0" applyFont="0" applyFill="0" applyAlignment="0" applyProtection="0"/>
    <xf numFmtId="171" fontId="64" fillId="0" borderId="24" applyNumberFormat="0" applyFont="0" applyFill="0" applyAlignment="0" applyProtection="0"/>
    <xf numFmtId="0" fontId="65" fillId="0" borderId="25" applyFill="0" applyProtection="0">
      <alignment horizontal="right"/>
    </xf>
    <xf numFmtId="208" fontId="66" fillId="0" borderId="0" applyFont="0" applyFill="0" applyBorder="0" applyAlignment="0" applyProtection="0"/>
    <xf numFmtId="209" fontId="34" fillId="0" borderId="0" applyFont="0" applyFill="0" applyBorder="0" applyAlignment="0" applyProtection="0"/>
    <xf numFmtId="210" fontId="67" fillId="0" borderId="0">
      <protection locked="0"/>
    </xf>
    <xf numFmtId="1" fontId="67" fillId="0" borderId="0">
      <protection locked="0"/>
    </xf>
    <xf numFmtId="210" fontId="67" fillId="0" borderId="0">
      <protection locked="0"/>
    </xf>
    <xf numFmtId="1" fontId="67" fillId="0" borderId="0">
      <protection locked="0"/>
    </xf>
    <xf numFmtId="0" fontId="41" fillId="31" borderId="8" applyNumberFormat="0" applyFont="0" applyBorder="0" applyAlignment="0">
      <alignment horizontal="left" vertical="center"/>
    </xf>
    <xf numFmtId="0" fontId="68" fillId="0" borderId="0" applyNumberFormat="0" applyFill="0" applyBorder="0" applyAlignment="0" applyProtection="0"/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0" fontId="69" fillId="0" borderId="0" applyNumberFormat="0" applyFill="0" applyBorder="0" applyAlignment="0" applyProtection="0"/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14" fontId="32" fillId="5" borderId="26" applyBorder="0" applyAlignment="0">
      <alignment horizontal="center" vertical="center"/>
    </xf>
    <xf numFmtId="0" fontId="32" fillId="7" borderId="26" applyNumberFormat="0" applyBorder="0" applyAlignment="0">
      <alignment horizontal="center" vertical="center"/>
    </xf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3" fontId="45" fillId="0" borderId="2">
      <alignment horizontal="center"/>
    </xf>
    <xf numFmtId="0" fontId="72" fillId="30" borderId="27" applyNumberFormat="0" applyAlignment="0" applyProtection="0"/>
    <xf numFmtId="0" fontId="72" fillId="30" borderId="27" applyNumberFormat="0" applyAlignment="0" applyProtection="0"/>
    <xf numFmtId="171" fontId="72" fillId="30" borderId="27" applyNumberFormat="0" applyAlignment="0" applyProtection="0"/>
    <xf numFmtId="0" fontId="72" fillId="30" borderId="27" applyNumberFormat="0" applyAlignment="0" applyProtection="0"/>
    <xf numFmtId="0" fontId="72" fillId="30" borderId="27" applyNumberFormat="0" applyAlignment="0" applyProtection="0"/>
    <xf numFmtId="0" fontId="73" fillId="32" borderId="28" applyNumberFormat="0" applyAlignment="0" applyProtection="0"/>
    <xf numFmtId="0" fontId="74" fillId="0" borderId="29" applyNumberFormat="0" applyFill="0" applyAlignment="0" applyProtection="0"/>
    <xf numFmtId="0" fontId="18" fillId="0" borderId="0" applyNumberFormat="0" applyFont="0" applyFill="0" applyBorder="0" applyProtection="0">
      <alignment horizontal="center" vertical="center" wrapText="1"/>
    </xf>
    <xf numFmtId="0" fontId="18" fillId="0" borderId="0" applyNumberFormat="0" applyFont="0" applyFill="0" applyBorder="0" applyProtection="0">
      <alignment horizontal="center" vertical="center" wrapText="1"/>
    </xf>
    <xf numFmtId="211" fontId="11" fillId="0" borderId="30" applyFont="0" applyFill="0" applyBorder="0" applyProtection="0">
      <alignment horizontal="right"/>
    </xf>
    <xf numFmtId="211" fontId="11" fillId="0" borderId="30" applyFont="0" applyFill="0" applyBorder="0" applyProtection="0">
      <alignment horizontal="right"/>
    </xf>
    <xf numFmtId="0" fontId="73" fillId="32" borderId="28" applyNumberFormat="0" applyAlignment="0" applyProtection="0"/>
    <xf numFmtId="185" fontId="73" fillId="32" borderId="28" applyNumberFormat="0" applyAlignment="0" applyProtection="0"/>
    <xf numFmtId="171" fontId="73" fillId="32" borderId="28" applyNumberFormat="0" applyAlignment="0" applyProtection="0"/>
    <xf numFmtId="0" fontId="12" fillId="0" borderId="0" applyNumberFormat="0" applyFill="0" applyBorder="0" applyAlignment="0" applyProtection="0"/>
    <xf numFmtId="0" fontId="75" fillId="0" borderId="0" applyNumberFormat="0" applyFill="0" applyBorder="0" applyProtection="0">
      <alignment horizontal="right"/>
    </xf>
    <xf numFmtId="185" fontId="75" fillId="0" borderId="0" applyNumberFormat="0" applyFill="0" applyBorder="0" applyProtection="0">
      <alignment horizontal="right"/>
    </xf>
    <xf numFmtId="171" fontId="75" fillId="0" borderId="0" applyNumberFormat="0" applyFill="0" applyBorder="0" applyProtection="0">
      <alignment horizontal="right"/>
    </xf>
    <xf numFmtId="0" fontId="41" fillId="0" borderId="4">
      <alignment horizontal="center"/>
    </xf>
    <xf numFmtId="174" fontId="76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1" fillId="0" borderId="0" applyFont="0" applyFill="0" applyBorder="0" applyAlignment="0" applyProtection="0"/>
    <xf numFmtId="180" fontId="64" fillId="0" borderId="0" applyFont="0" applyFill="0" applyBorder="0" applyAlignment="0" applyProtection="0"/>
    <xf numFmtId="180" fontId="64" fillId="0" borderId="0" applyFont="0" applyFill="0" applyBorder="0" applyAlignment="0" applyProtection="0"/>
    <xf numFmtId="40" fontId="77" fillId="0" borderId="0" applyFont="0" applyFill="0" applyBorder="0" applyAlignment="0" applyProtection="0">
      <alignment horizontal="center"/>
    </xf>
    <xf numFmtId="214" fontId="77" fillId="0" borderId="0" applyFont="0" applyFill="0" applyBorder="0" applyAlignment="0" applyProtection="0">
      <alignment horizontal="center"/>
    </xf>
    <xf numFmtId="215" fontId="58" fillId="0" borderId="0" applyFont="0" applyFill="0" applyBorder="0" applyAlignment="0" applyProtection="0">
      <alignment horizontal="right"/>
    </xf>
    <xf numFmtId="216" fontId="11" fillId="0" borderId="0" applyFont="0" applyFill="0" applyBorder="0" applyAlignment="0" applyProtection="0">
      <alignment horizontal="right"/>
    </xf>
    <xf numFmtId="217" fontId="58" fillId="0" borderId="0" applyFon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186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9" fontId="58" fillId="0" borderId="0" applyFont="0" applyFill="0" applyBorder="0" applyAlignment="0" applyProtection="0">
      <alignment horizontal="right"/>
    </xf>
    <xf numFmtId="218" fontId="11" fillId="0" borderId="0" applyFont="0" applyFill="0" applyBorder="0" applyAlignment="0" applyProtection="0"/>
    <xf numFmtId="219" fontId="58" fillId="0" borderId="0" applyFont="0" applyFill="0" applyBorder="0" applyAlignment="0" applyProtection="0">
      <alignment horizontal="right"/>
    </xf>
    <xf numFmtId="220" fontId="11" fillId="0" borderId="0" applyFont="0" applyFill="0" applyBorder="0" applyAlignment="0" applyProtection="0"/>
    <xf numFmtId="169" fontId="78" fillId="0" borderId="0" applyFont="0" applyFill="0" applyBorder="0" applyAlignment="0" applyProtection="0"/>
    <xf numFmtId="220" fontId="11" fillId="0" borderId="0" applyFont="0" applyFill="0" applyBorder="0" applyAlignment="0" applyProtection="0"/>
    <xf numFmtId="169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1" fontId="58" fillId="0" borderId="0" applyFont="0" applyFill="0" applyBorder="0" applyAlignment="0" applyProtection="0">
      <alignment horizontal="right"/>
    </xf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22" fontId="11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23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218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9" fontId="58" fillId="0" borderId="0" applyFont="0" applyFill="0" applyBorder="0" applyAlignment="0" applyProtection="0">
      <alignment horizontal="right"/>
    </xf>
    <xf numFmtId="218" fontId="11" fillId="0" borderId="0" applyFont="0" applyFill="0" applyBorder="0" applyAlignment="0" applyProtection="0"/>
    <xf numFmtId="169" fontId="18" fillId="0" borderId="0" applyFont="0" applyFill="0" applyBorder="0" applyAlignment="0" applyProtection="0"/>
    <xf numFmtId="218" fontId="11" fillId="0" borderId="0" applyFont="0" applyFill="0" applyBorder="0" applyAlignment="0" applyProtection="0"/>
    <xf numFmtId="40" fontId="11" fillId="0" borderId="0" applyFont="0" applyFill="0" applyBorder="0" applyProtection="0">
      <alignment horizontal="right"/>
    </xf>
    <xf numFmtId="202" fontId="12" fillId="0" borderId="0"/>
    <xf numFmtId="202" fontId="12" fillId="0" borderId="0"/>
    <xf numFmtId="3" fontId="70" fillId="0" borderId="0" applyFont="0" applyFill="0" applyBorder="0" applyAlignment="0" applyProtection="0"/>
    <xf numFmtId="0" fontId="79" fillId="0" borderId="0"/>
    <xf numFmtId="0" fontId="79" fillId="0" borderId="0"/>
    <xf numFmtId="3" fontId="76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80" fillId="0" borderId="0" applyFont="0" applyFill="0" applyBorder="0" applyAlignment="0" applyProtection="0"/>
    <xf numFmtId="0" fontId="79" fillId="0" borderId="0"/>
    <xf numFmtId="169" fontId="11" fillId="23" borderId="0" applyNumberFormat="0" applyFont="0" applyBorder="0" applyAlignment="0" applyProtection="0"/>
    <xf numFmtId="37" fontId="81" fillId="33" borderId="2">
      <alignment horizontal="right"/>
    </xf>
    <xf numFmtId="186" fontId="82" fillId="0" borderId="0"/>
    <xf numFmtId="49" fontId="83" fillId="7" borderId="31" applyNumberFormat="0" applyBorder="0" applyAlignment="0">
      <alignment horizontal="left" vertical="center"/>
    </xf>
    <xf numFmtId="224" fontId="84" fillId="0" borderId="0">
      <protection locked="0"/>
    </xf>
    <xf numFmtId="225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6" fontId="18" fillId="0" borderId="0" applyFont="0" applyFill="0" applyBorder="0" applyAlignment="0" applyProtection="0"/>
    <xf numFmtId="211" fontId="64" fillId="0" borderId="0" applyFont="0" applyFill="0" applyBorder="0" applyAlignment="0" applyProtection="0"/>
    <xf numFmtId="211" fontId="11" fillId="0" borderId="0" applyBorder="0"/>
    <xf numFmtId="211" fontId="64" fillId="0" borderId="0" applyFont="0" applyFill="0" applyBorder="0" applyAlignment="0" applyProtection="0"/>
    <xf numFmtId="211" fontId="85" fillId="0" borderId="0" applyBorder="0"/>
    <xf numFmtId="227" fontId="64" fillId="0" borderId="0" applyFont="0" applyFill="0" applyBorder="0" applyAlignment="0" applyProtection="0"/>
    <xf numFmtId="227" fontId="64" fillId="0" borderId="0" applyFont="0" applyFill="0" applyBorder="0" applyAlignment="0" applyProtection="0"/>
    <xf numFmtId="228" fontId="58" fillId="0" borderId="0" applyFont="0" applyFill="0" applyBorder="0" applyAlignment="0" applyProtection="0">
      <alignment horizontal="right"/>
    </xf>
    <xf numFmtId="229" fontId="11" fillId="0" borderId="0" applyFont="0" applyFill="0" applyBorder="0" applyAlignment="0" applyProtection="0">
      <alignment horizontal="right"/>
    </xf>
    <xf numFmtId="230" fontId="58" fillId="0" borderId="0" applyFont="0" applyFill="0" applyBorder="0" applyAlignment="0" applyProtection="0">
      <alignment horizontal="right"/>
    </xf>
    <xf numFmtId="231" fontId="11" fillId="0" borderId="0" applyFont="0" applyFill="0" applyBorder="0" applyAlignment="0" applyProtection="0">
      <alignment horizontal="right"/>
    </xf>
    <xf numFmtId="232" fontId="49" fillId="0" borderId="0" applyFont="0" applyFill="0" applyBorder="0" applyAlignment="0" applyProtection="0"/>
    <xf numFmtId="233" fontId="78" fillId="0" borderId="0" applyFont="0" applyFill="0" applyBorder="0" applyAlignment="0" applyProtection="0"/>
    <xf numFmtId="177" fontId="23" fillId="0" borderId="0" applyFont="0" applyFill="0" applyBorder="0" applyAlignment="0" applyProtection="0"/>
    <xf numFmtId="234" fontId="70" fillId="0" borderId="0" applyFont="0" applyFill="0" applyBorder="0" applyAlignment="0" applyProtection="0"/>
    <xf numFmtId="234" fontId="76" fillId="0" borderId="0" applyFont="0" applyFill="0" applyBorder="0" applyAlignment="0" applyProtection="0"/>
    <xf numFmtId="171" fontId="80" fillId="0" borderId="0" applyFont="0" applyFill="0" applyBorder="0" applyAlignment="0" applyProtection="0"/>
    <xf numFmtId="234" fontId="70" fillId="0" borderId="0" applyFont="0" applyFill="0" applyBorder="0" applyAlignment="0" applyProtection="0"/>
    <xf numFmtId="0" fontId="80" fillId="0" borderId="0" applyFont="0" applyFill="0" applyBorder="0" applyAlignment="0" applyProtection="0"/>
    <xf numFmtId="235" fontId="58" fillId="0" borderId="0" applyFill="0" applyBorder="0" applyProtection="0">
      <alignment vertical="center"/>
    </xf>
    <xf numFmtId="236" fontId="86" fillId="0" borderId="0" applyFill="0" applyBorder="0">
      <alignment horizontal="right"/>
    </xf>
    <xf numFmtId="237" fontId="34" fillId="0" borderId="0" applyFont="0" applyFill="0" applyBorder="0" applyAlignment="0" applyProtection="0"/>
    <xf numFmtId="210" fontId="84" fillId="0" borderId="0">
      <protection locked="0"/>
    </xf>
    <xf numFmtId="0" fontId="84" fillId="0" borderId="0">
      <protection locked="0"/>
    </xf>
    <xf numFmtId="211" fontId="87" fillId="0" borderId="0" applyNumberFormat="0" applyFill="0" applyBorder="0" applyAlignment="0"/>
    <xf numFmtId="0" fontId="12" fillId="34" borderId="0" applyNumberFormat="0" applyFont="0" applyBorder="0" applyAlignment="0" applyProtection="0">
      <protection locked="0"/>
    </xf>
    <xf numFmtId="0" fontId="70" fillId="0" borderId="0" applyFont="0" applyFill="0" applyBorder="0" applyAlignment="0" applyProtection="0"/>
    <xf numFmtId="0" fontId="79" fillId="0" borderId="0"/>
    <xf numFmtId="0" fontId="79" fillId="0" borderId="0"/>
    <xf numFmtId="238" fontId="88" fillId="31" borderId="5" applyFont="0" applyFill="0" applyBorder="0" applyAlignment="0" applyProtection="0"/>
    <xf numFmtId="238" fontId="12" fillId="31" borderId="0" applyFont="0" applyFill="0" applyBorder="0" applyAlignment="0" applyProtection="0"/>
    <xf numFmtId="17" fontId="41" fillId="0" borderId="0" applyFill="0" applyBorder="0">
      <alignment horizontal="right"/>
    </xf>
    <xf numFmtId="17" fontId="41" fillId="0" borderId="0" applyFill="0" applyBorder="0">
      <alignment horizontal="right"/>
    </xf>
    <xf numFmtId="239" fontId="41" fillId="0" borderId="16"/>
    <xf numFmtId="239" fontId="41" fillId="0" borderId="16"/>
    <xf numFmtId="0" fontId="70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5" fontId="11" fillId="0" borderId="0" applyFont="0" applyFill="0" applyBorder="0" applyProtection="0">
      <alignment horizontal="right"/>
    </xf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4" fontId="34" fillId="0" borderId="0" applyFont="0" applyFill="0" applyBorder="0" applyAlignment="0" applyProtection="0"/>
    <xf numFmtId="15" fontId="11" fillId="0" borderId="0" applyFont="0" applyFill="0" applyBorder="0" applyProtection="0">
      <alignment horizontal="right"/>
    </xf>
    <xf numFmtId="15" fontId="11" fillId="0" borderId="0" applyFont="0" applyFill="0" applyBorder="0" applyProtection="0">
      <alignment horizontal="right"/>
    </xf>
    <xf numFmtId="15" fontId="11" fillId="0" borderId="0" applyFont="0" applyFill="0" applyBorder="0" applyProtection="0">
      <alignment horizontal="right"/>
    </xf>
    <xf numFmtId="15" fontId="11" fillId="0" borderId="0" applyFont="0" applyFill="0" applyBorder="0" applyProtection="0">
      <alignment horizontal="right"/>
    </xf>
    <xf numFmtId="15" fontId="11" fillId="0" borderId="0" applyFont="0" applyFill="0" applyBorder="0" applyProtection="0">
      <alignment horizontal="right"/>
    </xf>
    <xf numFmtId="15" fontId="11" fillId="0" borderId="0" applyFont="0" applyFill="0" applyBorder="0" applyProtection="0">
      <alignment horizontal="right"/>
    </xf>
    <xf numFmtId="0" fontId="70" fillId="0" borderId="0" applyFont="0" applyFill="0" applyBorder="0" applyAlignment="0" applyProtection="0"/>
    <xf numFmtId="240" fontId="58" fillId="0" borderId="0" applyFont="0" applyFill="0" applyBorder="0" applyAlignment="0" applyProtection="0"/>
    <xf numFmtId="226" fontId="11" fillId="0" borderId="0" applyFont="0" applyFill="0" applyBorder="0" applyAlignment="0" applyProtection="0"/>
    <xf numFmtId="14" fontId="41" fillId="23" borderId="10" applyFill="0" applyBorder="0">
      <alignment horizontal="right"/>
    </xf>
    <xf numFmtId="238" fontId="41" fillId="0" borderId="0" applyFill="0" applyBorder="0">
      <alignment horizontal="right"/>
    </xf>
    <xf numFmtId="238" fontId="41" fillId="0" borderId="0" applyFill="0" applyBorder="0">
      <alignment horizontal="right"/>
    </xf>
    <xf numFmtId="14" fontId="35" fillId="0" borderId="0"/>
    <xf numFmtId="0" fontId="35" fillId="0" borderId="32" applyFont="0" applyFill="0" applyBorder="0" applyAlignment="0" applyProtection="0"/>
    <xf numFmtId="37" fontId="59" fillId="35" borderId="33" applyNumberFormat="0" applyAlignment="0">
      <alignment horizontal="left"/>
    </xf>
    <xf numFmtId="0" fontId="11" fillId="0" borderId="0" applyNumberFormat="0" applyFont="0" applyBorder="0" applyAlignment="0"/>
    <xf numFmtId="197" fontId="18" fillId="0" borderId="0" applyFont="0" applyFill="0" applyBorder="0" applyAlignment="0" applyProtection="0"/>
    <xf numFmtId="169" fontId="11" fillId="0" borderId="0" applyFont="0" applyFill="0" applyBorder="0" applyAlignment="0" applyProtection="0"/>
    <xf numFmtId="236" fontId="12" fillId="0" borderId="0"/>
    <xf numFmtId="241" fontId="11" fillId="0" borderId="0" applyBorder="0" applyProtection="0"/>
    <xf numFmtId="236" fontId="12" fillId="0" borderId="0"/>
    <xf numFmtId="211" fontId="11" fillId="0" borderId="0" applyFill="0" applyBorder="0" applyAlignment="0" applyProtection="0"/>
    <xf numFmtId="211" fontId="11" fillId="0" borderId="0" applyFill="0" applyBorder="0" applyAlignment="0" applyProtection="0"/>
    <xf numFmtId="242" fontId="58" fillId="0" borderId="34" applyNumberFormat="0" applyFont="0" applyFill="0" applyAlignment="0" applyProtection="0"/>
    <xf numFmtId="243" fontId="11" fillId="0" borderId="34" applyNumberFormat="0" applyFont="0" applyFill="0" applyAlignment="0" applyProtection="0"/>
    <xf numFmtId="244" fontId="89" fillId="0" borderId="0" applyFill="0" applyBorder="0" applyAlignment="0" applyProtection="0"/>
    <xf numFmtId="3" fontId="12" fillId="0" borderId="17" applyNumberFormat="0" applyBorder="0"/>
    <xf numFmtId="3" fontId="12" fillId="0" borderId="17" applyNumberFormat="0" applyBorder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7" borderId="0" applyNumberFormat="0" applyBorder="0" applyAlignment="0" applyProtection="0"/>
    <xf numFmtId="0" fontId="90" fillId="14" borderId="27" applyNumberFormat="0" applyAlignment="0" applyProtection="0"/>
    <xf numFmtId="0" fontId="90" fillId="14" borderId="27" applyNumberFormat="0" applyAlignment="0" applyProtection="0"/>
    <xf numFmtId="0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45" fontId="91" fillId="0" borderId="0" applyFont="0" applyFill="0" applyBorder="0" applyAlignment="0" applyProtection="0"/>
    <xf numFmtId="213" fontId="11" fillId="0" borderId="0" applyFont="0" applyFill="0" applyBorder="0" applyAlignment="0" applyProtection="0"/>
    <xf numFmtId="245" fontId="91" fillId="0" borderId="0" applyFont="0" applyFill="0" applyBorder="0" applyAlignment="0" applyProtection="0"/>
    <xf numFmtId="245" fontId="24" fillId="0" borderId="0" applyFont="0" applyFill="0" applyBorder="0" applyAlignment="0" applyProtection="0"/>
    <xf numFmtId="37" fontId="11" fillId="0" borderId="0" applyNumberFormat="0" applyFont="0" applyFill="0" applyBorder="0" applyAlignment="0">
      <protection hidden="1"/>
    </xf>
    <xf numFmtId="171" fontId="11" fillId="0" borderId="0"/>
    <xf numFmtId="186" fontId="24" fillId="0" borderId="0"/>
    <xf numFmtId="246" fontId="11" fillId="0" borderId="0" applyFill="0" applyBorder="0" applyAlignment="0" applyProtection="0"/>
    <xf numFmtId="0" fontId="92" fillId="0" borderId="0" applyNumberFormat="0" applyFill="0" applyBorder="0" applyAlignment="0" applyProtection="0"/>
    <xf numFmtId="185" fontId="92" fillId="0" borderId="0" applyNumberFormat="0" applyFill="0" applyBorder="0" applyAlignment="0" applyProtection="0"/>
    <xf numFmtId="171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5" fontId="93" fillId="0" borderId="0" applyNumberFormat="0" applyFill="0" applyBorder="0" applyAlignment="0" applyProtection="0"/>
    <xf numFmtId="171" fontId="9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40" fontId="94" fillId="0" borderId="0"/>
    <xf numFmtId="247" fontId="93" fillId="0" borderId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3" fontId="11" fillId="0" borderId="0" applyFont="0" applyFill="0" applyBorder="0" applyAlignment="0" applyProtection="0"/>
    <xf numFmtId="2" fontId="70" fillId="0" borderId="0" applyFont="0" applyFill="0" applyBorder="0" applyAlignment="0" applyProtection="0"/>
    <xf numFmtId="248" fontId="11" fillId="31" borderId="0" applyFont="0" applyFill="0" applyBorder="0" applyAlignment="0"/>
    <xf numFmtId="248" fontId="11" fillId="31" borderId="0" applyFont="0" applyFill="0" applyBorder="0" applyAlignment="0"/>
    <xf numFmtId="2" fontId="70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70" fillId="0" borderId="0" applyFont="0" applyFill="0" applyBorder="0" applyAlignment="0" applyProtection="0"/>
    <xf numFmtId="249" fontId="18" fillId="0" borderId="0">
      <protection locked="0"/>
    </xf>
    <xf numFmtId="231" fontId="86" fillId="0" borderId="0" applyFill="0" applyBorder="0">
      <alignment horizontal="right"/>
    </xf>
    <xf numFmtId="250" fontId="84" fillId="0" borderId="0"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3" fontId="96" fillId="0" borderId="0" applyFill="0" applyBorder="0" applyProtection="0">
      <alignment horizontal="right"/>
    </xf>
    <xf numFmtId="0" fontId="97" fillId="0" borderId="0" applyFill="0" applyBorder="0" applyProtection="0">
      <alignment horizontal="left"/>
    </xf>
    <xf numFmtId="251" fontId="34" fillId="0" borderId="0">
      <alignment horizontal="right"/>
    </xf>
    <xf numFmtId="180" fontId="12" fillId="3" borderId="2" applyFont="0" applyBorder="0" applyAlignment="0" applyProtection="0">
      <alignment vertical="top"/>
    </xf>
    <xf numFmtId="180" fontId="12" fillId="3" borderId="2" applyFont="0" applyBorder="0" applyAlignment="0" applyProtection="0">
      <alignment vertical="top"/>
    </xf>
    <xf numFmtId="3" fontId="98" fillId="36" borderId="2">
      <alignment horizontal="right" vertical="center"/>
    </xf>
    <xf numFmtId="1" fontId="11" fillId="37" borderId="2"/>
    <xf numFmtId="1" fontId="11" fillId="37" borderId="2"/>
    <xf numFmtId="0" fontId="12" fillId="38" borderId="13" applyNumberFormat="0" applyFont="0" applyBorder="0" applyAlignment="0"/>
    <xf numFmtId="0" fontId="99" fillId="31" borderId="0" applyNumberFormat="0" applyFont="0" applyBorder="0" applyAlignment="0" applyProtection="0">
      <alignment horizontal="centerContinuous"/>
    </xf>
    <xf numFmtId="0" fontId="99" fillId="39" borderId="0" applyNumberFormat="0" applyFont="0" applyBorder="0" applyAlignment="0" applyProtection="0">
      <alignment horizontal="centerContinuous"/>
    </xf>
    <xf numFmtId="0" fontId="100" fillId="4" borderId="35" applyNumberFormat="0" applyFont="0" applyBorder="0" applyAlignment="0"/>
    <xf numFmtId="0" fontId="11" fillId="31" borderId="36" applyNumberFormat="0" applyFont="0" applyBorder="0" applyAlignment="0" applyProtection="0"/>
    <xf numFmtId="10" fontId="11" fillId="31" borderId="0" applyNumberFormat="0" applyFont="0" applyBorder="0" applyAlignment="0"/>
    <xf numFmtId="0" fontId="63" fillId="11" borderId="0" applyNumberFormat="0" applyBorder="0" applyAlignment="0" applyProtection="0"/>
    <xf numFmtId="185" fontId="63" fillId="11" borderId="0" applyNumberFormat="0" applyBorder="0" applyAlignment="0" applyProtection="0"/>
    <xf numFmtId="171" fontId="63" fillId="11" borderId="0" applyNumberFormat="0" applyBorder="0" applyAlignment="0" applyProtection="0"/>
    <xf numFmtId="3" fontId="101" fillId="0" borderId="0" applyNumberFormat="0" applyFill="0" applyBorder="0" applyAlignment="0" applyProtection="0">
      <protection locked="0"/>
    </xf>
    <xf numFmtId="0" fontId="102" fillId="0" borderId="0" applyNumberFormat="0" applyFill="0" applyBorder="0" applyAlignment="0" applyProtection="0"/>
    <xf numFmtId="38" fontId="12" fillId="4" borderId="0" applyNumberFormat="0" applyBorder="0" applyAlignment="0" applyProtection="0"/>
    <xf numFmtId="38" fontId="12" fillId="4" borderId="0" applyNumberFormat="0" applyBorder="0" applyAlignment="0" applyProtection="0"/>
    <xf numFmtId="0" fontId="14" fillId="0" borderId="0" applyBorder="0">
      <alignment horizontal="left"/>
    </xf>
    <xf numFmtId="185" fontId="14" fillId="0" borderId="0" applyBorder="0">
      <alignment horizontal="left"/>
    </xf>
    <xf numFmtId="171" fontId="14" fillId="0" borderId="0" applyBorder="0">
      <alignment horizontal="left"/>
    </xf>
    <xf numFmtId="252" fontId="11" fillId="31" borderId="2" applyNumberFormat="0" applyFont="0" applyAlignment="0"/>
    <xf numFmtId="252" fontId="11" fillId="31" borderId="2" applyNumberFormat="0" applyFont="0" applyAlignment="0"/>
    <xf numFmtId="253" fontId="58" fillId="0" borderId="0" applyFont="0" applyFill="0" applyBorder="0" applyAlignment="0" applyProtection="0">
      <alignment horizontal="right"/>
    </xf>
    <xf numFmtId="178" fontId="11" fillId="0" borderId="0" applyFont="0" applyFill="0" applyBorder="0" applyAlignment="0" applyProtection="0">
      <alignment horizontal="right"/>
    </xf>
    <xf numFmtId="0" fontId="35" fillId="0" borderId="0" applyNumberFormat="0" applyFill="0" applyBorder="0" applyProtection="0"/>
    <xf numFmtId="0" fontId="103" fillId="0" borderId="0" applyProtection="0">
      <alignment horizontal="right"/>
    </xf>
    <xf numFmtId="0" fontId="20" fillId="0" borderId="0"/>
    <xf numFmtId="0" fontId="103" fillId="0" borderId="0" applyProtection="0">
      <alignment horizontal="right"/>
    </xf>
    <xf numFmtId="171" fontId="104" fillId="0" borderId="0" applyProtection="0">
      <alignment horizontal="right"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/>
    <xf numFmtId="0" fontId="69" fillId="0" borderId="6" applyNumberFormat="0" applyAlignment="0" applyProtection="0">
      <alignment horizontal="left" vertical="center"/>
    </xf>
    <xf numFmtId="171" fontId="35" fillId="0" borderId="0"/>
    <xf numFmtId="0" fontId="35" fillId="0" borderId="0"/>
    <xf numFmtId="0" fontId="69" fillId="0" borderId="9">
      <alignment horizontal="left" vertical="center"/>
    </xf>
    <xf numFmtId="171" fontId="35" fillId="0" borderId="0"/>
    <xf numFmtId="0" fontId="69" fillId="0" borderId="0"/>
    <xf numFmtId="0" fontId="69" fillId="0" borderId="0"/>
    <xf numFmtId="171" fontId="69" fillId="0" borderId="0"/>
    <xf numFmtId="0" fontId="69" fillId="0" borderId="0"/>
    <xf numFmtId="0" fontId="105" fillId="0" borderId="37" applyNumberFormat="0" applyFill="0" applyAlignment="0" applyProtection="0"/>
    <xf numFmtId="185" fontId="105" fillId="0" borderId="37" applyNumberFormat="0" applyFill="0" applyAlignment="0" applyProtection="0"/>
    <xf numFmtId="171" fontId="105" fillId="0" borderId="37" applyNumberFormat="0" applyFill="0" applyAlignment="0" applyProtection="0"/>
    <xf numFmtId="0" fontId="106" fillId="0" borderId="38" applyNumberFormat="0" applyFill="0" applyAlignment="0" applyProtection="0"/>
    <xf numFmtId="0" fontId="107" fillId="0" borderId="0" applyProtection="0">
      <alignment horizontal="left"/>
    </xf>
    <xf numFmtId="171" fontId="106" fillId="0" borderId="38" applyNumberFormat="0" applyFill="0" applyAlignment="0" applyProtection="0"/>
    <xf numFmtId="0" fontId="108" fillId="0" borderId="39" applyNumberFormat="0" applyFill="0" applyAlignment="0" applyProtection="0"/>
    <xf numFmtId="185" fontId="108" fillId="0" borderId="39" applyNumberFormat="0" applyFill="0" applyAlignment="0" applyProtection="0"/>
    <xf numFmtId="171" fontId="108" fillId="0" borderId="39" applyNumberFormat="0" applyFill="0" applyAlignment="0" applyProtection="0"/>
    <xf numFmtId="0" fontId="109" fillId="0" borderId="0" applyProtection="0">
      <alignment horizontal="left"/>
    </xf>
    <xf numFmtId="0" fontId="108" fillId="0" borderId="0" applyNumberFormat="0" applyFill="0" applyBorder="0" applyAlignment="0" applyProtection="0"/>
    <xf numFmtId="185" fontId="108" fillId="0" borderId="0" applyNumberFormat="0" applyFill="0" applyBorder="0" applyAlignment="0" applyProtection="0"/>
    <xf numFmtId="171" fontId="108" fillId="0" borderId="0" applyNumberFormat="0" applyFill="0" applyBorder="0" applyAlignment="0" applyProtection="0"/>
    <xf numFmtId="0" fontId="40" fillId="0" borderId="0" applyFill="0" applyBorder="0" applyProtection="0">
      <alignment horizontal="right"/>
    </xf>
    <xf numFmtId="171" fontId="69" fillId="0" borderId="0"/>
    <xf numFmtId="14" fontId="14" fillId="7" borderId="14">
      <alignment horizontal="center" vertical="center" wrapText="1"/>
    </xf>
    <xf numFmtId="14" fontId="14" fillId="7" borderId="14">
      <alignment horizontal="center" vertical="center" wrapText="1"/>
    </xf>
    <xf numFmtId="254" fontId="11" fillId="0" borderId="0">
      <protection locked="0"/>
    </xf>
    <xf numFmtId="0" fontId="110" fillId="0" borderId="0" applyNumberFormat="0" applyFill="0" applyBorder="0" applyAlignment="0" applyProtection="0"/>
    <xf numFmtId="254" fontId="11" fillId="0" borderId="0"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54" fontId="11" fillId="0" borderId="0">
      <protection locked="0"/>
    </xf>
    <xf numFmtId="0" fontId="111" fillId="0" borderId="0" applyNumberFormat="0" applyFill="0" applyBorder="0" applyAlignment="0" applyProtection="0"/>
    <xf numFmtId="254" fontId="11" fillId="0" borderId="0">
      <protection locked="0"/>
    </xf>
    <xf numFmtId="171" fontId="14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horizontal="left"/>
    </xf>
    <xf numFmtId="0" fontId="45" fillId="0" borderId="40" applyNumberFormat="0" applyFill="0" applyAlignment="0" applyProtection="0"/>
    <xf numFmtId="185" fontId="45" fillId="0" borderId="40" applyNumberFormat="0" applyFill="0" applyAlignment="0" applyProtection="0"/>
    <xf numFmtId="171" fontId="45" fillId="0" borderId="40" applyNumberFormat="0" applyFill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185" fontId="112" fillId="0" borderId="0" applyNumberFormat="0" applyFill="0" applyBorder="0" applyAlignment="0" applyProtection="0">
      <alignment vertical="top"/>
      <protection locked="0"/>
    </xf>
    <xf numFmtId="171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50" fillId="10" borderId="0" applyNumberFormat="0" applyBorder="0" applyAlignment="0" applyProtection="0"/>
    <xf numFmtId="0" fontId="24" fillId="0" borderId="0"/>
    <xf numFmtId="202" fontId="45" fillId="0" borderId="0" applyNumberFormat="0" applyFill="0" applyBorder="0" applyAlignment="0" applyProtection="0"/>
    <xf numFmtId="37" fontId="118" fillId="34" borderId="0">
      <alignment horizontal="center" vertical="center"/>
    </xf>
    <xf numFmtId="10" fontId="12" fillId="31" borderId="2" applyNumberFormat="0" applyBorder="0" applyAlignment="0" applyProtection="0"/>
    <xf numFmtId="10" fontId="118" fillId="37" borderId="2" applyNumberFormat="0" applyBorder="0" applyAlignment="0" applyProtection="0"/>
    <xf numFmtId="202" fontId="45" fillId="0" borderId="0" applyNumberFormat="0" applyFill="0" applyBorder="0" applyAlignment="0" applyProtection="0"/>
    <xf numFmtId="202" fontId="45" fillId="0" borderId="0" applyNumberFormat="0" applyFill="0" applyBorder="0" applyAlignment="0" applyProtection="0"/>
    <xf numFmtId="180" fontId="119" fillId="40" borderId="0">
      <protection locked="0"/>
    </xf>
    <xf numFmtId="255" fontId="88" fillId="31" borderId="0" applyBorder="0" applyAlignment="0">
      <protection locked="0"/>
    </xf>
    <xf numFmtId="197" fontId="120" fillId="0" borderId="41" applyFill="0" applyBorder="0" applyAlignment="0" applyProtection="0"/>
    <xf numFmtId="252" fontId="12" fillId="31" borderId="0" applyNumberFormat="0" applyFont="0" applyBorder="0" applyAlignment="0" applyProtection="0">
      <alignment horizontal="center"/>
      <protection locked="0"/>
    </xf>
    <xf numFmtId="252" fontId="12" fillId="31" borderId="0" applyNumberFormat="0" applyFont="0" applyBorder="0" applyAlignment="0" applyProtection="0">
      <alignment horizontal="center"/>
      <protection locked="0"/>
    </xf>
    <xf numFmtId="172" fontId="12" fillId="31" borderId="16" applyNumberFormat="0" applyFont="0" applyAlignment="0" applyProtection="0">
      <alignment horizontal="center"/>
      <protection locked="0"/>
    </xf>
    <xf numFmtId="172" fontId="12" fillId="31" borderId="16" applyNumberFormat="0" applyFont="0" applyAlignment="0" applyProtection="0">
      <alignment horizontal="center"/>
      <protection locked="0"/>
    </xf>
    <xf numFmtId="172" fontId="12" fillId="31" borderId="16" applyNumberFormat="0" applyFont="0" applyAlignment="0" applyProtection="0">
      <alignment horizontal="center"/>
      <protection locked="0"/>
    </xf>
    <xf numFmtId="202" fontId="45" fillId="0" borderId="0" applyNumberFormat="0" applyBorder="0" applyAlignment="0" applyProtection="0"/>
    <xf numFmtId="256" fontId="120" fillId="0" borderId="0" applyFill="0" applyBorder="0" applyProtection="0">
      <alignment vertical="center"/>
    </xf>
    <xf numFmtId="235" fontId="120" fillId="0" borderId="0" applyFill="0" applyBorder="0" applyProtection="0">
      <alignment vertical="center"/>
    </xf>
    <xf numFmtId="257" fontId="120" fillId="0" borderId="0" applyFill="0" applyBorder="0" applyProtection="0">
      <alignment vertical="center"/>
    </xf>
    <xf numFmtId="258" fontId="120" fillId="0" borderId="0" applyFill="0" applyBorder="0" applyProtection="0">
      <alignment vertical="center"/>
    </xf>
    <xf numFmtId="0" fontId="121" fillId="41" borderId="0" applyNumberFormat="0" applyBorder="0" applyProtection="0"/>
    <xf numFmtId="185" fontId="121" fillId="41" borderId="0" applyNumberFormat="0" applyBorder="0" applyProtection="0"/>
    <xf numFmtId="171" fontId="121" fillId="41" borderId="0" applyNumberFormat="0" applyBorder="0" applyProtection="0"/>
    <xf numFmtId="0" fontId="122" fillId="42" borderId="0" applyNumberFormat="0"/>
    <xf numFmtId="185" fontId="122" fillId="42" borderId="0" applyNumberFormat="0"/>
    <xf numFmtId="171" fontId="122" fillId="42" borderId="0" applyNumberFormat="0"/>
    <xf numFmtId="0" fontId="123" fillId="0" borderId="13" applyBorder="0"/>
    <xf numFmtId="185" fontId="124" fillId="0" borderId="13" applyBorder="0"/>
    <xf numFmtId="171" fontId="124" fillId="0" borderId="13" applyBorder="0"/>
    <xf numFmtId="0" fontId="124" fillId="0" borderId="13" applyBorder="0"/>
    <xf numFmtId="259" fontId="34" fillId="0" borderId="0" applyFont="0" applyFill="0" applyBorder="0" applyAlignment="0" applyProtection="0"/>
    <xf numFmtId="0" fontId="12" fillId="3" borderId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260" fontId="11" fillId="0" borderId="0" applyFont="0" applyFill="0" applyBorder="0" applyAlignment="0" applyProtection="0"/>
    <xf numFmtId="261" fontId="11" fillId="0" borderId="0" applyFont="0" applyFill="0" applyBorder="0" applyAlignment="0" applyProtection="0"/>
    <xf numFmtId="38" fontId="125" fillId="0" borderId="0"/>
    <xf numFmtId="38" fontId="126" fillId="0" borderId="0"/>
    <xf numFmtId="38" fontId="65" fillId="0" borderId="0"/>
    <xf numFmtId="38" fontId="127" fillId="0" borderId="0"/>
    <xf numFmtId="0" fontId="34" fillId="0" borderId="0"/>
    <xf numFmtId="0" fontId="34" fillId="0" borderId="0"/>
    <xf numFmtId="0" fontId="15" fillId="0" borderId="0" applyProtection="0">
      <alignment horizontal="center"/>
    </xf>
    <xf numFmtId="3" fontId="11" fillId="43" borderId="0" applyFont="0" applyBorder="0" applyAlignment="0"/>
    <xf numFmtId="3" fontId="11" fillId="43" borderId="0" applyFont="0" applyBorder="0" applyAlignment="0"/>
    <xf numFmtId="0" fontId="74" fillId="0" borderId="29" applyNumberFormat="0" applyFill="0" applyAlignment="0" applyProtection="0"/>
    <xf numFmtId="185" fontId="74" fillId="0" borderId="29" applyNumberFormat="0" applyFill="0" applyAlignment="0" applyProtection="0"/>
    <xf numFmtId="171" fontId="74" fillId="0" borderId="29" applyNumberFormat="0" applyFill="0" applyAlignment="0" applyProtection="0"/>
    <xf numFmtId="202" fontId="11" fillId="0" borderId="0" applyNumberFormat="0" applyFont="0" applyFill="0" applyBorder="0" applyAlignment="0"/>
    <xf numFmtId="202" fontId="128" fillId="0" borderId="0" applyNumberFormat="0" applyFont="0" applyFill="0" applyBorder="0" applyAlignment="0">
      <protection hidden="1"/>
    </xf>
    <xf numFmtId="0" fontId="129" fillId="0" borderId="3">
      <alignment horizontal="left"/>
      <protection locked="0"/>
    </xf>
    <xf numFmtId="1" fontId="130" fillId="0" borderId="0" applyNumberFormat="0" applyFill="0" applyBorder="0" applyAlignment="0" applyProtection="0">
      <alignment horizontal="center"/>
    </xf>
    <xf numFmtId="0" fontId="131" fillId="0" borderId="0" applyBorder="0"/>
    <xf numFmtId="167" fontId="11" fillId="0" borderId="0" applyFont="0" applyFill="0" applyBorder="0" applyAlignment="0" applyProtection="0"/>
    <xf numFmtId="2" fontId="132" fillId="0" borderId="0" applyFont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262" fontId="47" fillId="0" borderId="0" applyFont="0" applyFill="0" applyBorder="0" applyAlignment="0" applyProtection="0">
      <alignment horizontal="center" vertical="center"/>
    </xf>
    <xf numFmtId="3" fontId="47" fillId="0" borderId="0" applyFont="0" applyFill="0" applyBorder="0" applyAlignment="0" applyProtection="0">
      <alignment horizontal="right" vertical="center"/>
    </xf>
    <xf numFmtId="263" fontId="18" fillId="0" borderId="0" applyFont="0" applyFill="0" applyBorder="0" applyAlignment="0" applyProtection="0"/>
    <xf numFmtId="2" fontId="133" fillId="44" borderId="0" applyNumberFormat="0" applyFont="0" applyBorder="0" applyAlignment="0" applyProtection="0"/>
    <xf numFmtId="166" fontId="11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134" fillId="0" borderId="0" applyFont="0" applyFill="0" applyBorder="0" applyAlignment="0" applyProtection="0"/>
    <xf numFmtId="177" fontId="135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2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65" fontId="84" fillId="0" borderId="0">
      <protection locked="0"/>
    </xf>
    <xf numFmtId="165" fontId="11" fillId="0" borderId="0" applyFill="0" applyBorder="0" applyAlignment="0" applyProtection="0"/>
    <xf numFmtId="266" fontId="14" fillId="0" borderId="7" applyFont="0" applyFill="0" applyBorder="0" applyAlignment="0" applyProtection="0">
      <alignment horizontal="left"/>
    </xf>
    <xf numFmtId="244" fontId="1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32" fontId="11" fillId="0" borderId="0" applyFont="0" applyFill="0" applyBorder="0" applyAlignment="0" applyProtection="0"/>
    <xf numFmtId="267" fontId="11" fillId="0" borderId="0" applyFont="0" applyFill="0" applyBorder="0" applyAlignment="0" applyProtection="0"/>
    <xf numFmtId="268" fontId="11" fillId="0" borderId="0" applyFont="0" applyFill="0" applyBorder="0" applyAlignment="0" applyProtection="0"/>
    <xf numFmtId="269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270" fontId="11" fillId="0" borderId="0" applyFont="0" applyFill="0" applyBorder="0" applyAlignment="0" applyProtection="0"/>
    <xf numFmtId="271" fontId="58" fillId="0" borderId="0" applyFont="0" applyFill="0" applyBorder="0" applyAlignment="0" applyProtection="0">
      <alignment horizontal="right"/>
    </xf>
    <xf numFmtId="272" fontId="11" fillId="0" borderId="0" applyFont="0" applyFill="0" applyBorder="0" applyAlignment="0" applyProtection="0"/>
    <xf numFmtId="273" fontId="64" fillId="0" borderId="0" applyFill="0" applyBorder="0" applyProtection="0">
      <alignment horizontal="right"/>
    </xf>
    <xf numFmtId="273" fontId="64" fillId="0" borderId="0" applyFill="0" applyBorder="0" applyProtection="0">
      <alignment horizontal="right"/>
    </xf>
    <xf numFmtId="274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271" fontId="58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179" fontId="11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1" fontId="58" fillId="0" borderId="0" applyFont="0" applyFill="0" applyBorder="0" applyAlignment="0" applyProtection="0">
      <alignment horizontal="right"/>
    </xf>
    <xf numFmtId="276" fontId="86" fillId="0" borderId="0" applyFill="0" applyBorder="0">
      <alignment horizontal="right"/>
    </xf>
    <xf numFmtId="277" fontId="11" fillId="0" borderId="0" applyFont="0" applyFill="0" applyBorder="0" applyAlignment="0" applyProtection="0"/>
    <xf numFmtId="257" fontId="58" fillId="0" borderId="0" applyFill="0" applyBorder="0" applyProtection="0">
      <alignment vertical="center"/>
    </xf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8" fontId="18" fillId="0" borderId="0"/>
    <xf numFmtId="279" fontId="12" fillId="4" borderId="0" applyFont="0" applyBorder="0" applyAlignment="0" applyProtection="0">
      <alignment horizontal="right"/>
      <protection hidden="1"/>
    </xf>
    <xf numFmtId="279" fontId="12" fillId="4" borderId="0" applyFont="0" applyBorder="0" applyAlignment="0" applyProtection="0">
      <alignment horizontal="right"/>
      <protection hidden="1"/>
    </xf>
    <xf numFmtId="0" fontId="136" fillId="0" borderId="0" applyNumberFormat="0" applyFill="0" applyBorder="0" applyAlignment="0" applyProtection="0">
      <protection locked="0"/>
    </xf>
    <xf numFmtId="185" fontId="136" fillId="0" borderId="0" applyNumberFormat="0" applyFill="0" applyBorder="0" applyAlignment="0" applyProtection="0">
      <protection locked="0"/>
    </xf>
    <xf numFmtId="171" fontId="136" fillId="0" borderId="0" applyNumberFormat="0" applyFill="0" applyBorder="0" applyAlignment="0" applyProtection="0">
      <protection locked="0"/>
    </xf>
    <xf numFmtId="0" fontId="137" fillId="8" borderId="0" applyNumberFormat="0" applyBorder="0" applyAlignment="0" applyProtection="0"/>
    <xf numFmtId="0" fontId="137" fillId="8" borderId="0" applyNumberFormat="0" applyBorder="0" applyAlignment="0" applyProtection="0"/>
    <xf numFmtId="185" fontId="137" fillId="8" borderId="0" applyNumberFormat="0" applyBorder="0" applyAlignment="0" applyProtection="0"/>
    <xf numFmtId="171" fontId="137" fillId="8" borderId="0" applyNumberFormat="0" applyBorder="0" applyAlignment="0" applyProtection="0"/>
    <xf numFmtId="3" fontId="98" fillId="36" borderId="42" applyNumberFormat="0">
      <alignment horizontal="right" vertical="center"/>
    </xf>
    <xf numFmtId="37" fontId="138" fillId="0" borderId="0"/>
    <xf numFmtId="0" fontId="139" fillId="0" borderId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47" fillId="0" borderId="0"/>
    <xf numFmtId="280" fontId="142" fillId="0" borderId="0"/>
    <xf numFmtId="281" fontId="142" fillId="0" borderId="0"/>
    <xf numFmtId="0" fontId="86" fillId="0" borderId="0"/>
    <xf numFmtId="282" fontId="143" fillId="0" borderId="0"/>
    <xf numFmtId="283" fontId="143" fillId="0" borderId="0"/>
    <xf numFmtId="38" fontId="12" fillId="0" borderId="0" applyFont="0" applyFill="0" applyBorder="0" applyAlignment="0"/>
    <xf numFmtId="38" fontId="12" fillId="0" borderId="0" applyFont="0" applyFill="0" applyBorder="0" applyAlignment="0"/>
    <xf numFmtId="180" fontId="11" fillId="0" borderId="0" applyFont="0" applyFill="0" applyBorder="0" applyAlignment="0"/>
    <xf numFmtId="180" fontId="11" fillId="0" borderId="0" applyFont="0" applyFill="0" applyBorder="0" applyAlignment="0"/>
    <xf numFmtId="40" fontId="12" fillId="0" borderId="0" applyFont="0" applyFill="0" applyBorder="0" applyAlignment="0"/>
    <xf numFmtId="40" fontId="12" fillId="0" borderId="0" applyFont="0" applyFill="0" applyBorder="0" applyAlignment="0"/>
    <xf numFmtId="214" fontId="12" fillId="0" borderId="0" applyFont="0" applyFill="0" applyBorder="0" applyAlignment="0"/>
    <xf numFmtId="214" fontId="12" fillId="0" borderId="0" applyFont="0" applyFill="0" applyBorder="0" applyAlignment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171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9" fillId="0" borderId="0"/>
    <xf numFmtId="171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171" fontId="11" fillId="0" borderId="0"/>
    <xf numFmtId="171" fontId="9" fillId="0" borderId="0"/>
    <xf numFmtId="171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171" fontId="9" fillId="0" borderId="0"/>
    <xf numFmtId="171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28" fillId="0" borderId="0"/>
    <xf numFmtId="0" fontId="145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1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8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171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8" fillId="0" borderId="0"/>
    <xf numFmtId="0" fontId="18" fillId="0" borderId="0"/>
    <xf numFmtId="3" fontId="9" fillId="0" borderId="0"/>
    <xf numFmtId="0" fontId="18" fillId="0" borderId="0"/>
    <xf numFmtId="0" fontId="18" fillId="0" borderId="0"/>
    <xf numFmtId="0" fontId="18" fillId="0" borderId="0"/>
    <xf numFmtId="0" fontId="144" fillId="0" borderId="0"/>
    <xf numFmtId="0" fontId="18" fillId="0" borderId="0"/>
    <xf numFmtId="0" fontId="18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/>
    <xf numFmtId="3" fontId="9" fillId="0" borderId="0"/>
    <xf numFmtId="0" fontId="11" fillId="0" borderId="0"/>
    <xf numFmtId="3" fontId="9" fillId="0" borderId="0"/>
    <xf numFmtId="171" fontId="18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 applyFont="0" applyFill="0" applyBorder="0" applyAlignment="0" applyProtection="0"/>
    <xf numFmtId="0" fontId="11" fillId="0" borderId="0" applyBorder="0"/>
    <xf numFmtId="37" fontId="146" fillId="0" borderId="0"/>
    <xf numFmtId="0" fontId="144" fillId="0" borderId="0"/>
    <xf numFmtId="3" fontId="9" fillId="0" borderId="0"/>
    <xf numFmtId="0" fontId="144" fillId="0" borderId="0"/>
    <xf numFmtId="0" fontId="144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44" fillId="0" borderId="0"/>
    <xf numFmtId="3" fontId="9" fillId="0" borderId="0"/>
    <xf numFmtId="0" fontId="144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8" fillId="0" borderId="0"/>
    <xf numFmtId="171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2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8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78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9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1" fillId="0" borderId="0"/>
    <xf numFmtId="171" fontId="1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180" fontId="41" fillId="0" borderId="0" applyNumberFormat="0" applyFill="0" applyBorder="0" applyAlignment="0" applyProtection="0"/>
    <xf numFmtId="180" fontId="41" fillId="0" borderId="0" applyNumberFormat="0" applyFill="0" applyBorder="0" applyAlignment="0" applyProtection="0"/>
    <xf numFmtId="3" fontId="147" fillId="0" borderId="0" applyNumberFormat="0" applyFill="0" applyBorder="0" applyAlignment="0" applyProtection="0">
      <protection locked="0"/>
    </xf>
    <xf numFmtId="284" fontId="12" fillId="0" borderId="0" applyFont="0" applyFill="0" applyBorder="0" applyAlignment="0" applyProtection="0"/>
    <xf numFmtId="284" fontId="12" fillId="0" borderId="0" applyFont="0" applyFill="0" applyBorder="0" applyAlignment="0" applyProtection="0"/>
    <xf numFmtId="3" fontId="148" fillId="0" borderId="0" applyNumberFormat="0" applyFill="0" applyBorder="0" applyAlignment="0" applyProtection="0">
      <protection locked="0"/>
    </xf>
    <xf numFmtId="0" fontId="47" fillId="0" borderId="0"/>
    <xf numFmtId="285" fontId="58" fillId="0" borderId="0" applyFill="0" applyBorder="0" applyProtection="0">
      <alignment vertical="center"/>
    </xf>
    <xf numFmtId="0" fontId="93" fillId="0" borderId="0"/>
    <xf numFmtId="0" fontId="143" fillId="0" borderId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Fill="0" applyBorder="0" applyAlignment="0" applyProtection="0"/>
    <xf numFmtId="185" fontId="151" fillId="0" borderId="0" applyFill="0" applyBorder="0" applyAlignment="0" applyProtection="0"/>
    <xf numFmtId="171" fontId="151" fillId="0" borderId="0" applyFill="0" applyBorder="0" applyAlignment="0" applyProtection="0"/>
    <xf numFmtId="0" fontId="152" fillId="0" borderId="0" applyNumberFormat="0" applyFill="0" applyBorder="0" applyAlignment="0" applyProtection="0"/>
    <xf numFmtId="180" fontId="12" fillId="0" borderId="0"/>
    <xf numFmtId="180" fontId="12" fillId="0" borderId="0"/>
    <xf numFmtId="0" fontId="153" fillId="0" borderId="0"/>
    <xf numFmtId="286" fontId="12" fillId="0" borderId="0" applyFont="0" applyFill="0" applyBorder="0" applyAlignment="0" applyProtection="0"/>
    <xf numFmtId="0" fontId="23" fillId="45" borderId="43" applyNumberFormat="0" applyFont="0" applyAlignment="0" applyProtection="0"/>
    <xf numFmtId="0" fontId="23" fillId="45" borderId="43" applyNumberFormat="0" applyFont="0" applyAlignment="0" applyProtection="0"/>
    <xf numFmtId="0" fontId="23" fillId="45" borderId="43" applyNumberFormat="0" applyFont="0" applyAlignment="0" applyProtection="0"/>
    <xf numFmtId="0" fontId="11" fillId="45" borderId="43" applyNumberFormat="0" applyFont="0" applyAlignment="0" applyProtection="0"/>
    <xf numFmtId="0" fontId="11" fillId="45" borderId="43" applyNumberFormat="0" applyFont="0" applyAlignment="0" applyProtection="0"/>
    <xf numFmtId="0" fontId="11" fillId="45" borderId="43" applyNumberFormat="0" applyFont="0" applyAlignment="0" applyProtection="0"/>
    <xf numFmtId="171" fontId="11" fillId="45" borderId="43" applyNumberFormat="0" applyFont="0" applyAlignment="0" applyProtection="0"/>
    <xf numFmtId="0" fontId="11" fillId="45" borderId="43" applyNumberFormat="0" applyFont="0" applyAlignment="0" applyProtection="0"/>
    <xf numFmtId="287" fontId="12" fillId="0" borderId="0" applyFont="0" applyFill="0" applyBorder="0" applyAlignment="0" applyProtection="0"/>
    <xf numFmtId="287" fontId="12" fillId="0" borderId="0" applyFont="0" applyFill="0" applyBorder="0" applyAlignment="0" applyProtection="0"/>
    <xf numFmtId="39" fontId="12" fillId="0" borderId="0"/>
    <xf numFmtId="288" fontId="11" fillId="0" borderId="0" applyFont="0" applyFill="0" applyBorder="0" applyAlignment="0" applyProtection="0"/>
    <xf numFmtId="289" fontId="11" fillId="0" borderId="0" applyFont="0" applyFill="0" applyBorder="0" applyAlignment="0" applyProtection="0"/>
    <xf numFmtId="290" fontId="11" fillId="0" borderId="0" applyFont="0" applyFill="0" applyBorder="0" applyAlignment="0" applyProtection="0"/>
    <xf numFmtId="39" fontId="12" fillId="0" borderId="0"/>
    <xf numFmtId="39" fontId="88" fillId="4" borderId="2"/>
    <xf numFmtId="181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3" borderId="0" applyFont="0"/>
    <xf numFmtId="291" fontId="12" fillId="0" borderId="0" applyFont="0" applyFill="0" applyBorder="0" applyAlignment="0" applyProtection="0"/>
    <xf numFmtId="291" fontId="12" fillId="0" borderId="0" applyFont="0" applyFill="0" applyBorder="0" applyAlignment="0" applyProtection="0"/>
    <xf numFmtId="281" fontId="53" fillId="0" borderId="0"/>
    <xf numFmtId="292" fontId="11" fillId="0" borderId="0" applyBorder="0" applyProtection="0"/>
    <xf numFmtId="37" fontId="154" fillId="4" borderId="2">
      <alignment horizontal="right"/>
    </xf>
    <xf numFmtId="0" fontId="155" fillId="30" borderId="44" applyNumberFormat="0" applyAlignment="0" applyProtection="0"/>
    <xf numFmtId="0" fontId="155" fillId="30" borderId="44" applyNumberFormat="0" applyAlignment="0" applyProtection="0"/>
    <xf numFmtId="171" fontId="155" fillId="30" borderId="44" applyNumberFormat="0" applyAlignment="0" applyProtection="0"/>
    <xf numFmtId="37" fontId="12" fillId="0" borderId="0" applyBorder="0">
      <protection locked="0"/>
    </xf>
    <xf numFmtId="37" fontId="12" fillId="0" borderId="0" applyBorder="0">
      <protection locked="0"/>
    </xf>
    <xf numFmtId="0" fontId="156" fillId="0" borderId="0" applyProtection="0">
      <alignment horizontal="left"/>
    </xf>
    <xf numFmtId="185" fontId="156" fillId="0" borderId="0" applyProtection="0">
      <alignment horizontal="left"/>
    </xf>
    <xf numFmtId="171" fontId="156" fillId="0" borderId="0" applyProtection="0">
      <alignment horizontal="left"/>
    </xf>
    <xf numFmtId="0" fontId="156" fillId="0" borderId="0" applyFill="0" applyBorder="0" applyProtection="0">
      <alignment horizontal="left"/>
    </xf>
    <xf numFmtId="185" fontId="156" fillId="0" borderId="0" applyFill="0" applyBorder="0" applyProtection="0">
      <alignment horizontal="left"/>
    </xf>
    <xf numFmtId="171" fontId="156" fillId="0" borderId="0" applyFill="0" applyBorder="0" applyProtection="0">
      <alignment horizontal="left"/>
    </xf>
    <xf numFmtId="0" fontId="157" fillId="0" borderId="0" applyFill="0" applyBorder="0" applyProtection="0">
      <alignment horizontal="left"/>
    </xf>
    <xf numFmtId="185" fontId="157" fillId="0" borderId="0" applyFill="0" applyBorder="0" applyProtection="0">
      <alignment horizontal="left"/>
    </xf>
    <xf numFmtId="171" fontId="157" fillId="0" borderId="0" applyFill="0" applyBorder="0" applyProtection="0">
      <alignment horizontal="left"/>
    </xf>
    <xf numFmtId="1" fontId="158" fillId="0" borderId="0" applyProtection="0">
      <alignment horizontal="right" vertical="center"/>
    </xf>
    <xf numFmtId="37" fontId="68" fillId="0" borderId="0" applyNumberFormat="0" applyFill="0" applyBorder="0" applyAlignment="0" applyProtection="0"/>
    <xf numFmtId="293" fontId="11" fillId="0" borderId="0" applyFont="0" applyFill="0" applyBorder="0" applyAlignment="0"/>
    <xf numFmtId="293" fontId="11" fillId="0" borderId="0" applyFont="0" applyFill="0" applyBorder="0" applyAlignment="0"/>
    <xf numFmtId="294" fontId="11" fillId="0" borderId="0" applyFill="0" applyBorder="0"/>
    <xf numFmtId="294" fontId="11" fillId="0" borderId="0" applyFill="0" applyBorder="0"/>
    <xf numFmtId="295" fontId="11" fillId="0" borderId="0" applyFont="0" applyFill="0" applyBorder="0" applyAlignment="0" applyProtection="0"/>
    <xf numFmtId="0" fontId="79" fillId="0" borderId="0"/>
    <xf numFmtId="0" fontId="79" fillId="0" borderId="0"/>
    <xf numFmtId="9" fontId="18" fillId="0" borderId="0" applyFont="0" applyFill="0" applyBorder="0" applyAlignment="0" applyProtection="0"/>
    <xf numFmtId="172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296" fontId="11" fillId="0" borderId="0" applyFont="0" applyFill="0" applyBorder="0" applyAlignment="0"/>
    <xf numFmtId="296" fontId="11" fillId="0" borderId="0" applyFont="0" applyFill="0" applyBorder="0" applyAlignment="0"/>
    <xf numFmtId="172" fontId="159" fillId="0" borderId="0" applyFont="0" applyFill="0" applyBorder="0" applyAlignment="0" applyProtection="0"/>
    <xf numFmtId="297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213" fontId="58" fillId="0" borderId="0" applyFont="0" applyFill="0" applyBorder="0" applyAlignment="0" applyProtection="0">
      <alignment horizontal="right"/>
    </xf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213" fontId="58" fillId="0" borderId="0" applyFont="0" applyFill="0" applyBorder="0" applyAlignment="0" applyProtection="0">
      <alignment horizontal="right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213" fontId="58" fillId="0" borderId="0" applyFont="0" applyFill="0" applyBorder="0" applyAlignment="0" applyProtection="0">
      <alignment horizontal="right"/>
    </xf>
    <xf numFmtId="9" fontId="78" fillId="0" borderId="0" applyFont="0" applyFill="0" applyBorder="0" applyAlignment="0" applyProtection="0"/>
    <xf numFmtId="298" fontId="11" fillId="0" borderId="0" applyFont="0" applyFill="0" applyBorder="0" applyProtection="0">
      <alignment horizontal="right"/>
    </xf>
    <xf numFmtId="299" fontId="64" fillId="0" borderId="0" applyFont="0" applyFill="0" applyBorder="0" applyProtection="0">
      <alignment horizontal="right"/>
    </xf>
    <xf numFmtId="299" fontId="64" fillId="0" borderId="0" applyFont="0" applyFill="0" applyBorder="0" applyProtection="0">
      <alignment horizontal="right"/>
    </xf>
    <xf numFmtId="300" fontId="160" fillId="0" borderId="0"/>
    <xf numFmtId="258" fontId="58" fillId="0" borderId="0" applyFill="0" applyBorder="0" applyProtection="0">
      <alignment vertical="center"/>
    </xf>
    <xf numFmtId="301" fontId="85" fillId="0" borderId="0"/>
    <xf numFmtId="9" fontId="161" fillId="0" borderId="0" applyFont="0" applyFill="0" applyBorder="0" applyAlignment="0" applyProtection="0"/>
    <xf numFmtId="9" fontId="11" fillId="0" borderId="0" applyFont="0" applyFill="0" applyBorder="0" applyAlignment="0" applyProtection="0"/>
    <xf numFmtId="300" fontId="162" fillId="4" borderId="2"/>
    <xf numFmtId="302" fontId="12" fillId="0" borderId="0" applyFont="0" applyFill="0" applyBorder="0" applyAlignment="0" applyProtection="0"/>
    <xf numFmtId="302" fontId="12" fillId="0" borderId="0" applyFont="0" applyFill="0" applyBorder="0" applyAlignment="0" applyProtection="0"/>
    <xf numFmtId="303" fontId="84" fillId="0" borderId="0">
      <protection locked="0"/>
    </xf>
    <xf numFmtId="179" fontId="86" fillId="0" borderId="0" applyFill="0" applyBorder="0">
      <alignment horizontal="right"/>
    </xf>
    <xf numFmtId="304" fontId="84" fillId="0" borderId="0">
      <protection locked="0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18" fillId="0" borderId="0" applyFont="0" applyFill="0" applyBorder="0" applyAlignment="0" applyProtection="0"/>
    <xf numFmtId="305" fontId="40" fillId="0" borderId="0"/>
    <xf numFmtId="208" fontId="40" fillId="0" borderId="0"/>
    <xf numFmtId="208" fontId="40" fillId="0" borderId="0"/>
    <xf numFmtId="305" fontId="40" fillId="0" borderId="0"/>
    <xf numFmtId="305" fontId="40" fillId="0" borderId="0"/>
    <xf numFmtId="305" fontId="40" fillId="0" borderId="0"/>
    <xf numFmtId="0" fontId="14" fillId="28" borderId="22" applyNumberFormat="0" applyFont="0" applyBorder="0" applyAlignment="0" applyProtection="0"/>
    <xf numFmtId="236" fontId="143" fillId="0" borderId="0" applyFont="0" applyFill="0" applyBorder="0" applyAlignment="0" applyProtection="0"/>
    <xf numFmtId="0" fontId="41" fillId="4" borderId="2" applyNumberFormat="0" applyFont="0" applyAlignment="0" applyProtection="0"/>
    <xf numFmtId="185" fontId="41" fillId="4" borderId="2" applyNumberFormat="0" applyFont="0" applyAlignment="0" applyProtection="0"/>
    <xf numFmtId="171" fontId="41" fillId="4" borderId="2" applyNumberFormat="0" applyFont="0" applyAlignment="0" applyProtection="0"/>
    <xf numFmtId="252" fontId="12" fillId="4" borderId="0" applyNumberFormat="0" applyFont="0" applyBorder="0" applyAlignment="0" applyProtection="0">
      <alignment horizontal="center"/>
      <protection locked="0"/>
    </xf>
    <xf numFmtId="252" fontId="12" fillId="4" borderId="0" applyNumberFormat="0" applyFont="0" applyBorder="0" applyAlignment="0" applyProtection="0">
      <alignment horizontal="center"/>
      <protection locked="0"/>
    </xf>
    <xf numFmtId="14" fontId="32" fillId="46" borderId="40" applyNumberFormat="0" applyFont="0" applyBorder="0" applyAlignment="0" applyProtection="0">
      <alignment horizontal="center" vertical="center"/>
    </xf>
    <xf numFmtId="9" fontId="35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25" fillId="0" borderId="14">
      <alignment horizontal="center"/>
    </xf>
    <xf numFmtId="3" fontId="35" fillId="0" borderId="0" applyFont="0" applyFill="0" applyBorder="0" applyAlignment="0" applyProtection="0"/>
    <xf numFmtId="0" fontId="35" fillId="47" borderId="0" applyNumberFormat="0" applyFont="0" applyBorder="0" applyAlignment="0" applyProtection="0"/>
    <xf numFmtId="3" fontId="76" fillId="0" borderId="0" applyFont="0" applyFill="0" applyBorder="0" applyAlignment="0" applyProtection="0"/>
    <xf numFmtId="202" fontId="18" fillId="0" borderId="0">
      <alignment vertical="top"/>
    </xf>
    <xf numFmtId="0" fontId="18" fillId="0" borderId="0">
      <alignment vertical="top"/>
    </xf>
    <xf numFmtId="197" fontId="163" fillId="0" borderId="0"/>
    <xf numFmtId="306" fontId="11" fillId="0" borderId="0" applyFont="0" applyFill="0" applyBorder="0" applyProtection="0">
      <alignment horizontal="right"/>
    </xf>
    <xf numFmtId="307" fontId="11" fillId="0" borderId="0" applyFont="0" applyFill="0" applyBorder="0" applyProtection="0">
      <alignment horizontal="right"/>
    </xf>
    <xf numFmtId="308" fontId="58" fillId="0" borderId="0" applyFont="0" applyFill="0" applyBorder="0" applyProtection="0">
      <alignment horizontal="right"/>
    </xf>
    <xf numFmtId="0" fontId="164" fillId="0" borderId="0" applyNumberFormat="0" applyFill="0" applyBorder="0" applyAlignment="0" applyProtection="0"/>
    <xf numFmtId="180" fontId="165" fillId="0" borderId="0" applyNumberFormat="0" applyFill="0" applyBorder="0" applyAlignment="0" applyProtection="0">
      <alignment horizontal="left"/>
    </xf>
    <xf numFmtId="309" fontId="165" fillId="0" borderId="0" applyNumberFormat="0" applyFill="0" applyBorder="0" applyAlignment="0" applyProtection="0">
      <alignment horizontal="left"/>
    </xf>
    <xf numFmtId="0" fontId="166" fillId="0" borderId="3" applyNumberFormat="0" applyFill="0" applyBorder="0" applyAlignment="0" applyProtection="0">
      <protection hidden="1"/>
    </xf>
    <xf numFmtId="3" fontId="133" fillId="48" borderId="2"/>
    <xf numFmtId="310" fontId="11" fillId="0" borderId="0" applyProtection="0">
      <alignment horizontal="right"/>
    </xf>
    <xf numFmtId="310" fontId="11" fillId="0" borderId="0" applyProtection="0">
      <alignment horizontal="right"/>
    </xf>
    <xf numFmtId="3" fontId="133" fillId="48" borderId="2"/>
    <xf numFmtId="3" fontId="133" fillId="48" borderId="2"/>
    <xf numFmtId="311" fontId="11" fillId="0" borderId="0" applyProtection="0">
      <alignment horizontal="right"/>
    </xf>
    <xf numFmtId="311" fontId="11" fillId="0" borderId="0" applyProtection="0">
      <alignment horizontal="right"/>
    </xf>
    <xf numFmtId="3" fontId="133" fillId="48" borderId="2"/>
    <xf numFmtId="4" fontId="167" fillId="23" borderId="45" applyBorder="0" applyProtection="0"/>
    <xf numFmtId="37" fontId="168" fillId="0" borderId="0" applyNumberFormat="0" applyFill="0" applyBorder="0" applyAlignment="0" applyProtection="0"/>
    <xf numFmtId="37" fontId="168" fillId="0" borderId="0" applyNumberFormat="0" applyFill="0" applyBorder="0" applyAlignment="0" applyProtection="0"/>
    <xf numFmtId="312" fontId="62" fillId="0" borderId="0"/>
    <xf numFmtId="0" fontId="169" fillId="0" borderId="0" applyNumberFormat="0" applyFill="0" applyBorder="0" applyAlignment="0" applyProtection="0"/>
    <xf numFmtId="0" fontId="41" fillId="0" borderId="0" applyNumberFormat="0" applyFill="0" applyBorder="0"/>
    <xf numFmtId="185" fontId="41" fillId="0" borderId="0" applyNumberFormat="0" applyFill="0" applyBorder="0"/>
    <xf numFmtId="171" fontId="41" fillId="0" borderId="0" applyNumberFormat="0" applyFill="0" applyBorder="0"/>
    <xf numFmtId="0" fontId="11" fillId="0" borderId="0"/>
    <xf numFmtId="0" fontId="155" fillId="30" borderId="44" applyNumberFormat="0" applyAlignment="0" applyProtection="0"/>
    <xf numFmtId="0" fontId="155" fillId="30" borderId="44" applyNumberFormat="0" applyAlignment="0" applyProtection="0"/>
    <xf numFmtId="0" fontId="170" fillId="0" borderId="46">
      <alignment vertical="center"/>
    </xf>
    <xf numFmtId="0" fontId="69" fillId="0" borderId="0" applyFill="0" applyBorder="0" applyProtection="0">
      <alignment horizontal="left"/>
    </xf>
    <xf numFmtId="202" fontId="171" fillId="0" borderId="0">
      <alignment horizontal="left"/>
    </xf>
    <xf numFmtId="3" fontId="172" fillId="0" borderId="0">
      <alignment horizontal="center"/>
      <protection locked="0"/>
    </xf>
    <xf numFmtId="0" fontId="51" fillId="49" borderId="0" applyNumberFormat="0"/>
    <xf numFmtId="185" fontId="51" fillId="49" borderId="0" applyNumberFormat="0"/>
    <xf numFmtId="171" fontId="51" fillId="49" borderId="0" applyNumberFormat="0"/>
    <xf numFmtId="202" fontId="69" fillId="50" borderId="47" applyNumberFormat="0" applyFont="0" applyAlignment="0" applyProtection="0"/>
    <xf numFmtId="202" fontId="69" fillId="50" borderId="47" applyNumberFormat="0" applyFont="0" applyAlignment="0" applyProtection="0"/>
    <xf numFmtId="38" fontId="35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1" fillId="0" borderId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31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31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23" fillId="0" borderId="0" applyFont="0" applyFill="0" applyBorder="0" applyAlignment="0" applyProtection="0"/>
    <xf numFmtId="172" fontId="1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2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5" fontId="13" fillId="0" borderId="0" applyFont="0" applyFill="0" applyBorder="0" applyAlignment="0" applyProtection="0"/>
    <xf numFmtId="202" fontId="173" fillId="30" borderId="2">
      <alignment horizontal="left"/>
    </xf>
    <xf numFmtId="0" fontId="18" fillId="51" borderId="0" applyNumberFormat="0" applyFont="0" applyBorder="0" applyAlignment="0" applyProtection="0"/>
    <xf numFmtId="0" fontId="18" fillId="51" borderId="0" applyNumberFormat="0" applyFont="0" applyBorder="0" applyAlignment="0" applyProtection="0"/>
    <xf numFmtId="171" fontId="18" fillId="51" borderId="0" applyNumberFormat="0" applyFont="0" applyBorder="0" applyAlignment="0" applyProtection="0"/>
    <xf numFmtId="180" fontId="34" fillId="1" borderId="0" applyNumberFormat="0" applyFont="0" applyBorder="0" applyAlignment="0" applyProtection="0"/>
    <xf numFmtId="314" fontId="174" fillId="0" borderId="0">
      <alignment horizontal="center"/>
    </xf>
    <xf numFmtId="216" fontId="174" fillId="0" borderId="0">
      <alignment horizontal="center"/>
    </xf>
    <xf numFmtId="244" fontId="66" fillId="0" borderId="0" applyFill="0" applyBorder="0" applyAlignment="0" applyProtection="0"/>
    <xf numFmtId="0" fontId="28" fillId="0" borderId="0"/>
    <xf numFmtId="0" fontId="11" fillId="0" borderId="0"/>
    <xf numFmtId="12" fontId="11" fillId="0" borderId="0" applyFont="0" applyFill="0" applyBorder="0" applyProtection="0">
      <alignment horizontal="right"/>
    </xf>
    <xf numFmtId="315" fontId="11" fillId="52" borderId="0" applyFont="0" applyFill="0" applyBorder="0" applyProtection="0">
      <alignment horizontal="right"/>
    </xf>
    <xf numFmtId="0" fontId="141" fillId="0" borderId="0"/>
    <xf numFmtId="0" fontId="18" fillId="0" borderId="30"/>
    <xf numFmtId="0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Font="0" applyFill="0" applyBorder="0" applyAlignment="0" applyProtection="0"/>
    <xf numFmtId="223" fontId="119" fillId="0" borderId="0" applyFill="0" applyBorder="0" applyProtection="0">
      <alignment horizontal="right" wrapText="1"/>
    </xf>
    <xf numFmtId="0" fontId="167" fillId="31" borderId="11" applyNumberFormat="0" applyBorder="0" applyAlignment="0">
      <alignment horizontal="left" vertical="center" indent="1"/>
    </xf>
    <xf numFmtId="0" fontId="11" fillId="49" borderId="0" applyNumberFormat="0" applyFont="0" applyBorder="0" applyAlignment="0" applyProtection="0">
      <protection locked="0"/>
    </xf>
    <xf numFmtId="185" fontId="11" fillId="49" borderId="0" applyNumberFormat="0" applyFont="0" applyBorder="0" applyAlignment="0" applyProtection="0">
      <protection locked="0"/>
    </xf>
    <xf numFmtId="171" fontId="11" fillId="49" borderId="0" applyNumberFormat="0" applyFont="0" applyBorder="0" applyAlignment="0" applyProtection="0">
      <protection locked="0"/>
    </xf>
    <xf numFmtId="0" fontId="11" fillId="49" borderId="0" applyNumberFormat="0" applyFont="0" applyBorder="0" applyAlignment="0" applyProtection="0">
      <protection locked="0"/>
    </xf>
    <xf numFmtId="0" fontId="175" fillId="0" borderId="11" applyNumberFormat="0" applyBorder="0" applyAlignment="0">
      <alignment horizontal="center" vertical="center"/>
    </xf>
    <xf numFmtId="0" fontId="41" fillId="4" borderId="0" applyNumberFormat="0" applyFont="0" applyBorder="0" applyAlignment="0" applyProtection="0"/>
    <xf numFmtId="185" fontId="41" fillId="4" borderId="0" applyNumberFormat="0" applyFont="0" applyBorder="0" applyAlignment="0" applyProtection="0"/>
    <xf numFmtId="171" fontId="41" fillId="4" borderId="0" applyNumberFormat="0" applyFont="0" applyBorder="0" applyAlignment="0" applyProtection="0"/>
    <xf numFmtId="0" fontId="24" fillId="0" borderId="0"/>
    <xf numFmtId="0" fontId="40" fillId="0" borderId="0" applyFill="0" applyBorder="0" applyProtection="0">
      <alignment horizontal="center" vertical="center"/>
    </xf>
    <xf numFmtId="185" fontId="40" fillId="0" borderId="0" applyFill="0" applyBorder="0" applyProtection="0">
      <alignment horizontal="center" vertical="center"/>
    </xf>
    <xf numFmtId="171" fontId="40" fillId="0" borderId="0" applyFill="0" applyBorder="0" applyProtection="0">
      <alignment horizontal="center" vertical="center"/>
    </xf>
    <xf numFmtId="0" fontId="176" fillId="0" borderId="0" applyBorder="0" applyProtection="0">
      <alignment vertical="center"/>
    </xf>
    <xf numFmtId="242" fontId="176" fillId="0" borderId="16" applyBorder="0" applyProtection="0">
      <alignment horizontal="right" vertical="center"/>
    </xf>
    <xf numFmtId="242" fontId="176" fillId="0" borderId="16" applyBorder="0" applyProtection="0">
      <alignment horizontal="right" vertical="center"/>
    </xf>
    <xf numFmtId="242" fontId="176" fillId="0" borderId="16" applyBorder="0" applyProtection="0">
      <alignment horizontal="right" vertical="center"/>
    </xf>
    <xf numFmtId="243" fontId="11" fillId="0" borderId="16" applyBorder="0" applyProtection="0">
      <alignment horizontal="right" vertical="center"/>
    </xf>
    <xf numFmtId="0" fontId="177" fillId="53" borderId="0" applyBorder="0" applyProtection="0">
      <alignment horizontal="centerContinuous" vertical="center"/>
    </xf>
    <xf numFmtId="0" fontId="177" fillId="54" borderId="16" applyBorder="0" applyProtection="0">
      <alignment horizontal="centerContinuous" vertical="center"/>
    </xf>
    <xf numFmtId="0" fontId="177" fillId="54" borderId="16" applyBorder="0" applyProtection="0">
      <alignment horizontal="centerContinuous" vertical="center"/>
    </xf>
    <xf numFmtId="0" fontId="177" fillId="54" borderId="16" applyBorder="0" applyProtection="0">
      <alignment horizontal="centerContinuous" vertical="center"/>
    </xf>
    <xf numFmtId="0" fontId="178" fillId="0" borderId="0" applyFill="0" applyBorder="0" applyProtection="0">
      <alignment horizontal="center" vertical="center"/>
    </xf>
    <xf numFmtId="0" fontId="41" fillId="0" borderId="0" applyBorder="0" applyProtection="0">
      <alignment horizontal="left"/>
    </xf>
    <xf numFmtId="0" fontId="40" fillId="0" borderId="0" applyFill="0" applyBorder="0" applyProtection="0"/>
    <xf numFmtId="185" fontId="40" fillId="0" borderId="0" applyFill="0" applyBorder="0" applyProtection="0"/>
    <xf numFmtId="171" fontId="40" fillId="0" borderId="0" applyFill="0" applyBorder="0" applyProtection="0"/>
    <xf numFmtId="0" fontId="143" fillId="0" borderId="0"/>
    <xf numFmtId="0" fontId="179" fillId="0" borderId="0" applyFill="0" applyBorder="0" applyProtection="0">
      <alignment horizontal="left"/>
    </xf>
    <xf numFmtId="0" fontId="179" fillId="0" borderId="0" applyFill="0" applyBorder="0" applyProtection="0">
      <alignment horizontal="left"/>
    </xf>
    <xf numFmtId="171" fontId="14" fillId="0" borderId="0" applyFill="0" applyBorder="0" applyProtection="0">
      <alignment horizontal="left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171" fontId="62" fillId="0" borderId="0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97" fillId="0" borderId="13" applyFill="0" applyBorder="0" applyProtection="0">
      <alignment horizontal="left" vertical="top"/>
    </xf>
    <xf numFmtId="0" fontId="19" fillId="0" borderId="0">
      <alignment horizontal="centerContinuous"/>
    </xf>
    <xf numFmtId="0" fontId="53" fillId="3" borderId="17" applyNumberFormat="0" applyFont="0" applyFill="0" applyAlignment="0" applyProtection="0">
      <protection locked="0"/>
    </xf>
    <xf numFmtId="0" fontId="53" fillId="3" borderId="17" applyNumberFormat="0" applyFont="0" applyFill="0" applyAlignment="0" applyProtection="0">
      <protection locked="0"/>
    </xf>
    <xf numFmtId="171" fontId="53" fillId="3" borderId="17" applyNumberFormat="0" applyFont="0" applyFill="0" applyAlignment="0" applyProtection="0">
      <protection locked="0"/>
    </xf>
    <xf numFmtId="0" fontId="53" fillId="3" borderId="48" applyNumberFormat="0" applyFont="0" applyFill="0" applyAlignment="0" applyProtection="0">
      <protection locked="0"/>
    </xf>
    <xf numFmtId="185" fontId="53" fillId="3" borderId="48" applyNumberFormat="0" applyFont="0" applyFill="0" applyAlignment="0" applyProtection="0">
      <protection locked="0"/>
    </xf>
    <xf numFmtId="171" fontId="53" fillId="3" borderId="48" applyNumberFormat="0" applyFont="0" applyFill="0" applyAlignment="0" applyProtection="0">
      <protection locked="0"/>
    </xf>
    <xf numFmtId="1" fontId="180" fillId="0" borderId="0"/>
    <xf numFmtId="0" fontId="11" fillId="0" borderId="0"/>
    <xf numFmtId="0" fontId="77" fillId="0" borderId="0"/>
    <xf numFmtId="0" fontId="121" fillId="41" borderId="0" applyNumberFormat="0" applyBorder="0" applyProtection="0"/>
    <xf numFmtId="0" fontId="12" fillId="0" borderId="0"/>
    <xf numFmtId="171" fontId="121" fillId="41" borderId="0" applyNumberFormat="0" applyBorder="0" applyProtection="0"/>
    <xf numFmtId="0" fontId="41" fillId="0" borderId="0" applyNumberFormat="0" applyFill="0" applyBorder="0" applyAlignment="0" applyProtection="0"/>
    <xf numFmtId="0" fontId="181" fillId="0" borderId="0"/>
    <xf numFmtId="0" fontId="181" fillId="0" borderId="13" applyFill="0" applyBorder="0" applyProtection="0"/>
    <xf numFmtId="0" fontId="181" fillId="0" borderId="13" applyFill="0" applyBorder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0" fontId="181" fillId="0" borderId="13" applyFill="0" applyBorder="0" applyProtection="0"/>
    <xf numFmtId="171" fontId="41" fillId="0" borderId="0" applyNumberFormat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316" fontId="182" fillId="0" borderId="0" applyFill="0" applyBorder="0" applyAlignment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1" fillId="0" borderId="13" applyFill="0" applyBorder="0" applyProtection="0"/>
    <xf numFmtId="0" fontId="183" fillId="0" borderId="0" applyFill="0" applyBorder="0" applyProtection="0"/>
    <xf numFmtId="0" fontId="184" fillId="0" borderId="0"/>
    <xf numFmtId="0" fontId="53" fillId="0" borderId="0">
      <alignment vertical="top"/>
    </xf>
    <xf numFmtId="0" fontId="18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317" fontId="186" fillId="0" borderId="0" applyFill="0" applyBorder="0" applyAlignment="0" applyProtection="0">
      <alignment horizontal="right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7" fillId="0" borderId="0" applyFill="0" applyBorder="0" applyProtection="0">
      <alignment horizontal="left" vertical="top"/>
    </xf>
    <xf numFmtId="18" fontId="53" fillId="3" borderId="0" applyFont="0" applyFill="0" applyBorder="0" applyAlignment="0" applyProtection="0">
      <protection locked="0"/>
    </xf>
    <xf numFmtId="18" fontId="53" fillId="3" borderId="0" applyFont="0" applyFill="0" applyBorder="0" applyAlignment="0" applyProtection="0">
      <protection locked="0"/>
    </xf>
    <xf numFmtId="318" fontId="1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5" fontId="93" fillId="0" borderId="0" applyNumberFormat="0" applyFill="0" applyBorder="0" applyAlignment="0" applyProtection="0"/>
    <xf numFmtId="171" fontId="93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85" fontId="188" fillId="0" borderId="0" applyNumberFormat="0" applyFill="0" applyBorder="0" applyAlignment="0" applyProtection="0"/>
    <xf numFmtId="171" fontId="188" fillId="0" borderId="0" applyNumberFormat="0" applyFill="0" applyBorder="0" applyAlignment="0" applyProtection="0"/>
    <xf numFmtId="0" fontId="190" fillId="0" borderId="0"/>
    <xf numFmtId="0" fontId="40" fillId="0" borderId="0" applyNumberFormat="0" applyFill="0" applyBorder="0" applyAlignment="0" applyProtection="0"/>
    <xf numFmtId="185" fontId="190" fillId="0" borderId="0"/>
    <xf numFmtId="171" fontId="190" fillId="0" borderId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86" fontId="17" fillId="0" borderId="15"/>
    <xf numFmtId="0" fontId="105" fillId="0" borderId="37" applyNumberFormat="0" applyFill="0" applyAlignment="0" applyProtection="0"/>
    <xf numFmtId="0" fontId="106" fillId="0" borderId="38" applyNumberFormat="0" applyFill="0" applyAlignment="0" applyProtection="0"/>
    <xf numFmtId="0" fontId="108" fillId="0" borderId="39" applyNumberFormat="0" applyFill="0" applyAlignment="0" applyProtection="0"/>
    <xf numFmtId="0" fontId="10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" fontId="21" fillId="39" borderId="0">
      <alignment vertical="center"/>
    </xf>
    <xf numFmtId="3" fontId="41" fillId="55" borderId="6" applyNumberFormat="0">
      <alignment horizontal="center" vertical="center"/>
    </xf>
    <xf numFmtId="186" fontId="17" fillId="0" borderId="15"/>
    <xf numFmtId="319" fontId="67" fillId="0" borderId="0">
      <protection locked="0"/>
    </xf>
    <xf numFmtId="320" fontId="67" fillId="0" borderId="0">
      <protection locked="0"/>
    </xf>
    <xf numFmtId="319" fontId="67" fillId="0" borderId="0">
      <protection locked="0"/>
    </xf>
    <xf numFmtId="320" fontId="67" fillId="0" borderId="0">
      <protection locked="0"/>
    </xf>
    <xf numFmtId="0" fontId="186" fillId="0" borderId="31" applyBorder="0" applyAlignment="0">
      <alignment horizontal="center" vertical="center"/>
    </xf>
    <xf numFmtId="37" fontId="193" fillId="56" borderId="2">
      <alignment horizontal="right"/>
    </xf>
    <xf numFmtId="3" fontId="133" fillId="57" borderId="2"/>
    <xf numFmtId="172" fontId="121" fillId="58" borderId="0" applyNumberFormat="0" applyProtection="0"/>
    <xf numFmtId="0" fontId="194" fillId="0" borderId="0" applyFill="0" applyBorder="0" applyAlignment="0" applyProtection="0"/>
    <xf numFmtId="0" fontId="86" fillId="30" borderId="3"/>
    <xf numFmtId="202" fontId="11" fillId="0" borderId="17" applyNumberFormat="0" applyFont="0" applyFill="0" applyAlignment="0"/>
    <xf numFmtId="202" fontId="11" fillId="0" borderId="17" applyNumberFormat="0" applyFont="0" applyFill="0" applyAlignment="0"/>
    <xf numFmtId="202" fontId="11" fillId="0" borderId="17" applyNumberFormat="0" applyFont="0" applyFill="0" applyAlignment="0"/>
    <xf numFmtId="202" fontId="11" fillId="0" borderId="1" applyNumberFormat="0" applyFont="0" applyFill="0" applyAlignment="0" applyProtection="0"/>
    <xf numFmtId="202" fontId="11" fillId="0" borderId="17" applyNumberFormat="0" applyFont="0" applyFill="0" applyAlignment="0"/>
    <xf numFmtId="0" fontId="195" fillId="0" borderId="49" applyNumberFormat="0" applyFill="0" applyAlignment="0" applyProtection="0"/>
    <xf numFmtId="0" fontId="195" fillId="0" borderId="49" applyNumberFormat="0" applyFill="0" applyAlignment="0" applyProtection="0"/>
    <xf numFmtId="320" fontId="84" fillId="0" borderId="50">
      <protection locked="0"/>
    </xf>
    <xf numFmtId="256" fontId="196" fillId="0" borderId="34" applyFill="0" applyBorder="0" applyProtection="0">
      <alignment vertical="center"/>
    </xf>
    <xf numFmtId="197" fontId="173" fillId="0" borderId="6"/>
    <xf numFmtId="186" fontId="197" fillId="0" borderId="0">
      <alignment horizontal="left"/>
      <protection locked="0"/>
    </xf>
    <xf numFmtId="20" fontId="35" fillId="0" borderId="0"/>
    <xf numFmtId="0" fontId="121" fillId="41" borderId="0" applyNumberFormat="0" applyBorder="0" applyProtection="0"/>
    <xf numFmtId="185" fontId="121" fillId="41" borderId="0" applyNumberFormat="0" applyBorder="0" applyProtection="0"/>
    <xf numFmtId="171" fontId="121" fillId="41" borderId="0" applyNumberFormat="0" applyBorder="0" applyProtection="0"/>
    <xf numFmtId="0" fontId="198" fillId="0" borderId="0">
      <alignment horizontal="fill"/>
    </xf>
    <xf numFmtId="0" fontId="199" fillId="0" borderId="0" applyNumberFormat="0" applyFont="0" applyFill="0"/>
    <xf numFmtId="185" fontId="199" fillId="0" borderId="0" applyNumberFormat="0" applyFont="0" applyFill="0"/>
    <xf numFmtId="171" fontId="199" fillId="0" borderId="0" applyNumberFormat="0" applyFont="0" applyFill="0"/>
    <xf numFmtId="202" fontId="11" fillId="0" borderId="2" applyNumberFormat="0" applyFont="0" applyFill="0" applyBorder="0" applyAlignment="0">
      <protection locked="0"/>
    </xf>
    <xf numFmtId="202" fontId="11" fillId="0" borderId="2" applyNumberFormat="0" applyFont="0" applyFill="0" applyBorder="0" applyAlignment="0">
      <protection locked="0"/>
    </xf>
    <xf numFmtId="37" fontId="12" fillId="23" borderId="0" applyNumberFormat="0" applyBorder="0" applyAlignment="0" applyProtection="0"/>
    <xf numFmtId="37" fontId="12" fillId="23" borderId="0" applyNumberFormat="0" applyBorder="0" applyAlignment="0" applyProtection="0"/>
    <xf numFmtId="37" fontId="12" fillId="0" borderId="0"/>
    <xf numFmtId="37" fontId="12" fillId="0" borderId="0"/>
    <xf numFmtId="37" fontId="12" fillId="23" borderId="0" applyNumberFormat="0" applyBorder="0" applyAlignment="0" applyProtection="0"/>
    <xf numFmtId="3" fontId="88" fillId="0" borderId="40" applyProtection="0"/>
    <xf numFmtId="0" fontId="24" fillId="0" borderId="0"/>
    <xf numFmtId="304" fontId="84" fillId="0" borderId="0">
      <protection locked="0"/>
    </xf>
    <xf numFmtId="4" fontId="84" fillId="0" borderId="0">
      <protection locked="0"/>
    </xf>
    <xf numFmtId="321" fontId="84" fillId="0" borderId="0">
      <protection locked="0"/>
    </xf>
    <xf numFmtId="322" fontId="84" fillId="0" borderId="0">
      <protection locked="0"/>
    </xf>
    <xf numFmtId="323" fontId="11" fillId="0" borderId="0" applyFont="0" applyFill="0" applyBorder="0" applyAlignment="0" applyProtection="0"/>
    <xf numFmtId="324" fontId="11" fillId="0" borderId="0" applyFont="0" applyFill="0" applyBorder="0" applyAlignment="0" applyProtection="0"/>
    <xf numFmtId="186" fontId="41" fillId="0" borderId="0">
      <alignment horizontal="center"/>
    </xf>
    <xf numFmtId="202" fontId="173" fillId="0" borderId="2">
      <alignment horizontal="center"/>
    </xf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280" fontId="18" fillId="0" borderId="0" applyFont="0" applyFill="0" applyBorder="0" applyAlignment="0" applyProtection="0"/>
    <xf numFmtId="325" fontId="18" fillId="0" borderId="0" applyFont="0" applyFill="0" applyBorder="0" applyAlignment="0" applyProtection="0"/>
    <xf numFmtId="0" fontId="185" fillId="0" borderId="0" applyNumberFormat="0" applyFill="0" applyBorder="0" applyAlignment="0" applyProtection="0"/>
    <xf numFmtId="185" fontId="185" fillId="0" borderId="0" applyNumberFormat="0" applyFill="0" applyBorder="0" applyAlignment="0" applyProtection="0"/>
    <xf numFmtId="171" fontId="185" fillId="0" borderId="0" applyNumberFormat="0" applyFill="0" applyBorder="0" applyAlignment="0" applyProtection="0"/>
    <xf numFmtId="0" fontId="200" fillId="0" borderId="12" applyBorder="0"/>
    <xf numFmtId="185" fontId="200" fillId="0" borderId="12" applyBorder="0"/>
    <xf numFmtId="171" fontId="200" fillId="0" borderId="12" applyBorder="0"/>
    <xf numFmtId="0" fontId="41" fillId="3" borderId="0" applyNumberFormat="0" applyFont="0" applyAlignment="0" applyProtection="0"/>
    <xf numFmtId="185" fontId="41" fillId="3" borderId="0" applyNumberFormat="0" applyFont="0" applyAlignment="0" applyProtection="0"/>
    <xf numFmtId="171" fontId="41" fillId="3" borderId="0" applyNumberFormat="0" applyFont="0" applyAlignment="0" applyProtection="0"/>
    <xf numFmtId="0" fontId="41" fillId="3" borderId="17" applyNumberFormat="0" applyFont="0" applyAlignment="0" applyProtection="0">
      <protection locked="0"/>
    </xf>
    <xf numFmtId="0" fontId="41" fillId="3" borderId="17" applyNumberFormat="0" applyFont="0" applyAlignment="0" applyProtection="0">
      <protection locked="0"/>
    </xf>
    <xf numFmtId="171" fontId="41" fillId="3" borderId="17" applyNumberFormat="0" applyFont="0" applyAlignment="0" applyProtection="0">
      <protection locked="0"/>
    </xf>
    <xf numFmtId="0" fontId="201" fillId="0" borderId="0" applyNumberFormat="0" applyFill="0" applyBorder="0" applyAlignment="0" applyProtection="0"/>
    <xf numFmtId="185" fontId="201" fillId="0" borderId="0" applyNumberFormat="0" applyFill="0" applyBorder="0" applyAlignment="0" applyProtection="0"/>
    <xf numFmtId="171" fontId="201" fillId="0" borderId="0" applyNumberFormat="0" applyFill="0" applyBorder="0" applyAlignment="0" applyProtection="0"/>
    <xf numFmtId="326" fontId="202" fillId="0" borderId="16" applyBorder="0" applyProtection="0">
      <alignment horizontal="right"/>
    </xf>
    <xf numFmtId="327" fontId="203" fillId="0" borderId="0"/>
    <xf numFmtId="326" fontId="202" fillId="0" borderId="16" applyBorder="0" applyProtection="0">
      <alignment horizontal="right"/>
    </xf>
    <xf numFmtId="326" fontId="202" fillId="0" borderId="16" applyBorder="0" applyProtection="0">
      <alignment horizontal="right"/>
    </xf>
    <xf numFmtId="326" fontId="202" fillId="0" borderId="16" applyBorder="0" applyProtection="0">
      <alignment horizontal="right"/>
    </xf>
    <xf numFmtId="327" fontId="203" fillId="0" borderId="0"/>
    <xf numFmtId="327" fontId="203" fillId="0" borderId="0"/>
    <xf numFmtId="327" fontId="203" fillId="0" borderId="0"/>
    <xf numFmtId="327" fontId="203" fillId="0" borderId="0"/>
    <xf numFmtId="327" fontId="203" fillId="0" borderId="0"/>
    <xf numFmtId="1" fontId="196" fillId="0" borderId="3">
      <alignment horizontal="center"/>
    </xf>
    <xf numFmtId="328" fontId="12" fillId="0" borderId="0" applyFont="0" applyFill="0" applyBorder="0" applyAlignment="0" applyProtection="0"/>
    <xf numFmtId="329" fontId="66" fillId="0" borderId="0" applyFont="0" applyFill="0" applyBorder="0" applyAlignment="0" applyProtection="0"/>
    <xf numFmtId="0" fontId="204" fillId="0" borderId="0"/>
    <xf numFmtId="333" fontId="64" fillId="0" borderId="0" applyBorder="0"/>
    <xf numFmtId="0" fontId="13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205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04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2" fontId="11" fillId="0" borderId="0" applyFont="0" applyFill="0" applyBorder="0" applyAlignment="0" applyProtection="0"/>
    <xf numFmtId="0" fontId="206" fillId="0" borderId="0"/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51" fillId="0" borderId="0">
      <alignment vertical="top"/>
    </xf>
    <xf numFmtId="0" fontId="24" fillId="0" borderId="0">
      <alignment vertical="center"/>
    </xf>
    <xf numFmtId="0" fontId="11" fillId="0" borderId="0" applyFont="0" applyFill="0" applyBorder="0" applyAlignment="0" applyProtection="0"/>
    <xf numFmtId="334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280" fontId="11" fillId="0" borderId="0" applyFont="0" applyFill="0" applyBorder="0" applyAlignment="0" applyProtection="0"/>
    <xf numFmtId="280" fontId="11" fillId="0" borderId="0" applyFont="0" applyFill="0" applyBorder="0" applyAlignment="0" applyProtection="0"/>
    <xf numFmtId="280" fontId="11" fillId="0" borderId="0" applyFont="0" applyFill="0" applyBorder="0" applyAlignment="0" applyProtection="0"/>
    <xf numFmtId="280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334" fontId="11" fillId="0" borderId="0" applyFont="0" applyFill="0" applyBorder="0" applyAlignment="0" applyProtection="0"/>
    <xf numFmtId="334" fontId="11" fillId="0" borderId="0" applyFont="0" applyFill="0" applyBorder="0" applyAlignment="0" applyProtection="0"/>
    <xf numFmtId="334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28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33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35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0" fontId="24" fillId="0" borderId="0">
      <alignment vertical="center"/>
    </xf>
    <xf numFmtId="0" fontId="11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>
      <alignment vertical="center"/>
    </xf>
    <xf numFmtId="0" fontId="11" fillId="0" borderId="0" applyNumberFormat="0" applyFill="0" applyBorder="0" applyAlignment="0" applyProtection="0"/>
    <xf numFmtId="337" fontId="11" fillId="0" borderId="0" applyFont="0" applyFill="0" applyBorder="0" applyAlignment="0" applyProtection="0"/>
    <xf numFmtId="338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2" fontId="201" fillId="0" borderId="0"/>
    <xf numFmtId="339" fontId="11" fillId="0" borderId="0" applyFont="0" applyFill="0" applyBorder="0" applyAlignment="0" applyProtection="0"/>
    <xf numFmtId="39" fontId="12" fillId="0" borderId="0"/>
    <xf numFmtId="33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24" fillId="0" borderId="0">
      <alignment vertical="center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0" fillId="0" borderId="0" applyNumberFormat="0" applyFill="0" applyBorder="0" applyProtection="0">
      <alignment vertical="top"/>
    </xf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19" applyNumberFormat="0" applyFill="0" applyProtection="0">
      <alignment horizontal="center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left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33" fillId="0" borderId="0" applyNumberFormat="0" applyFill="0" applyBorder="0" applyProtection="0">
      <alignment horizontal="centerContinuous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0" fontId="11" fillId="0" borderId="0"/>
    <xf numFmtId="9" fontId="86" fillId="0" borderId="0" applyFont="0" applyFill="0" applyBorder="0" applyAlignment="0" applyProtection="0"/>
    <xf numFmtId="340" fontId="93" fillId="0" borderId="0"/>
    <xf numFmtId="172" fontId="86" fillId="0" borderId="0" applyFont="0" applyFill="0" applyBorder="0" applyAlignment="0" applyProtection="0"/>
    <xf numFmtId="10" fontId="86" fillId="0" borderId="0" applyFont="0" applyFill="0" applyBorder="0" applyAlignment="0" applyProtection="0"/>
    <xf numFmtId="1" fontId="208" fillId="0" borderId="0"/>
    <xf numFmtId="1" fontId="35" fillId="0" borderId="0"/>
    <xf numFmtId="1" fontId="35" fillId="0" borderId="0"/>
    <xf numFmtId="1" fontId="35" fillId="0" borderId="0"/>
    <xf numFmtId="1" fontId="35" fillId="0" borderId="0"/>
    <xf numFmtId="43" fontId="11" fillId="0" borderId="0" applyFont="0" applyFill="0" applyBorder="0" applyAlignment="0" applyProtection="0"/>
    <xf numFmtId="180" fontId="86" fillId="0" borderId="0" applyFont="0" applyFill="0" applyBorder="0" applyAlignment="0" applyProtection="0"/>
    <xf numFmtId="281" fontId="64" fillId="0" borderId="0"/>
    <xf numFmtId="3" fontId="209" fillId="59" borderId="0">
      <alignment horizontal="left"/>
    </xf>
    <xf numFmtId="341" fontId="210" fillId="0" borderId="0"/>
    <xf numFmtId="39" fontId="24" fillId="0" borderId="0" applyFont="0" applyFill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342" fontId="64" fillId="0" borderId="0"/>
    <xf numFmtId="40" fontId="64" fillId="0" borderId="0"/>
    <xf numFmtId="3" fontId="83" fillId="4" borderId="0"/>
    <xf numFmtId="231" fontId="24" fillId="0" borderId="0" applyFont="0" applyFill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3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37" fontId="11" fillId="0" borderId="0"/>
    <xf numFmtId="0" fontId="211" fillId="0" borderId="52" applyBorder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44" fillId="61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44" fillId="6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23" fillId="62" borderId="0" applyNumberFormat="0" applyBorder="0" applyAlignment="0" applyProtection="0"/>
    <xf numFmtId="0" fontId="23" fillId="65" borderId="0" applyNumberFormat="0" applyBorder="0" applyAlignment="0" applyProtection="0"/>
    <xf numFmtId="0" fontId="44" fillId="63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23" fillId="60" borderId="0" applyNumberFormat="0" applyBorder="0" applyAlignment="0" applyProtection="0"/>
    <xf numFmtId="0" fontId="23" fillId="63" borderId="0" applyNumberFormat="0" applyBorder="0" applyAlignment="0" applyProtection="0"/>
    <xf numFmtId="0" fontId="44" fillId="6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23" fillId="66" borderId="0" applyNumberFormat="0" applyBorder="0" applyAlignment="0" applyProtection="0"/>
    <xf numFmtId="0" fontId="23" fillId="60" borderId="0" applyNumberFormat="0" applyBorder="0" applyAlignment="0" applyProtection="0"/>
    <xf numFmtId="0" fontId="44" fillId="6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23" fillId="62" borderId="0" applyNumberFormat="0" applyBorder="0" applyAlignment="0" applyProtection="0"/>
    <xf numFmtId="0" fontId="23" fillId="67" borderId="0" applyNumberFormat="0" applyBorder="0" applyAlignment="0" applyProtection="0"/>
    <xf numFmtId="0" fontId="44" fillId="6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11" fillId="0" borderId="0" applyFont="0" applyFill="0" applyBorder="0" applyAlignment="0" applyProtection="0"/>
    <xf numFmtId="343" fontId="11" fillId="0" borderId="0" applyFont="0" applyFill="0" applyBorder="0" applyAlignment="0" applyProtection="0"/>
    <xf numFmtId="344" fontId="212" fillId="68" borderId="0" applyNumberFormat="0" applyFont="0" applyBorder="0" applyAlignment="0">
      <alignment horizontal="right"/>
    </xf>
    <xf numFmtId="345" fontId="14" fillId="28" borderId="21">
      <alignment horizontal="center" vertical="center"/>
    </xf>
    <xf numFmtId="345" fontId="14" fillId="28" borderId="21">
      <alignment horizontal="center" vertical="center"/>
    </xf>
    <xf numFmtId="345" fontId="14" fillId="28" borderId="21">
      <alignment horizontal="center" vertical="center"/>
    </xf>
    <xf numFmtId="346" fontId="213" fillId="68" borderId="9" applyFont="0">
      <alignment horizontal="right"/>
    </xf>
    <xf numFmtId="0" fontId="12" fillId="0" borderId="0" applyNumberFormat="0" applyFill="0" applyBorder="0" applyAlignment="0" applyProtection="0"/>
    <xf numFmtId="10" fontId="11" fillId="31" borderId="0" applyFont="0" applyBorder="0" applyAlignment="0">
      <protection locked="0"/>
    </xf>
    <xf numFmtId="176" fontId="11" fillId="31" borderId="0" applyBorder="0" applyAlignment="0">
      <protection locked="0"/>
    </xf>
    <xf numFmtId="37" fontId="16" fillId="3" borderId="8" applyBorder="0" applyProtection="0">
      <alignment vertical="center"/>
    </xf>
    <xf numFmtId="174" fontId="214" fillId="0" borderId="0"/>
    <xf numFmtId="0" fontId="11" fillId="0" borderId="0">
      <alignment horizontal="right"/>
    </xf>
    <xf numFmtId="0" fontId="215" fillId="4" borderId="53">
      <alignment horizontal="left" vertical="top"/>
    </xf>
    <xf numFmtId="0" fontId="216" fillId="0" borderId="53">
      <alignment horizontal="center" vertical="center"/>
    </xf>
    <xf numFmtId="37" fontId="217" fillId="0" borderId="0" applyNumberFormat="0" applyFill="0" applyBorder="0" applyAlignment="0" applyProtection="0"/>
    <xf numFmtId="347" fontId="186" fillId="0" borderId="0"/>
    <xf numFmtId="348" fontId="26" fillId="0" borderId="0" applyFill="0" applyBorder="0" applyAlignment="0" applyProtection="0"/>
    <xf numFmtId="3" fontId="209" fillId="0" borderId="0" applyNumberFormat="0" applyFill="0" applyBorder="0" applyAlignment="0" applyProtection="0"/>
    <xf numFmtId="3" fontId="218" fillId="0" borderId="0" applyNumberFormat="0" applyFill="0" applyBorder="0" applyAlignment="0" applyProtection="0"/>
    <xf numFmtId="0" fontId="219" fillId="0" borderId="47" applyNumberFormat="0" applyFill="0" applyBorder="0" applyAlignment="0" applyProtection="0"/>
    <xf numFmtId="0" fontId="41" fillId="0" borderId="47" applyNumberFormat="0" applyFill="0" applyBorder="0" applyAlignment="0" applyProtection="0"/>
    <xf numFmtId="0" fontId="160" fillId="0" borderId="47" applyNumberFormat="0" applyFill="0" applyBorder="0" applyAlignment="0" applyProtection="0"/>
    <xf numFmtId="0" fontId="12" fillId="0" borderId="47" applyNumberFormat="0" applyFill="0" applyAlignment="0" applyProtection="0"/>
    <xf numFmtId="1" fontId="35" fillId="69" borderId="0"/>
    <xf numFmtId="0" fontId="45" fillId="23" borderId="53"/>
    <xf numFmtId="172" fontId="35" fillId="0" borderId="0" applyFont="0" applyFill="0" applyBorder="0" applyAlignment="0" applyProtection="0"/>
    <xf numFmtId="349" fontId="27" fillId="23" borderId="53" applyBorder="0"/>
    <xf numFmtId="350" fontId="45" fillId="23" borderId="53">
      <alignment horizontal="center"/>
      <protection locked="0"/>
    </xf>
    <xf numFmtId="170" fontId="11" fillId="0" borderId="0" applyFont="0" applyFill="0" applyBorder="0" applyAlignment="0" applyProtection="0">
      <alignment vertical="center"/>
    </xf>
    <xf numFmtId="170" fontId="11" fillId="0" borderId="0" applyFont="0" applyFill="0" applyBorder="0" applyAlignment="0" applyProtection="0">
      <alignment vertical="center"/>
    </xf>
    <xf numFmtId="351" fontId="11" fillId="0" borderId="0" applyFont="0" applyFill="0" applyBorder="0" applyAlignment="0" applyProtection="0">
      <alignment vertical="center"/>
    </xf>
    <xf numFmtId="351" fontId="11" fillId="0" borderId="0" applyFont="0" applyFill="0" applyBorder="0" applyAlignment="0" applyProtection="0">
      <alignment vertical="center"/>
    </xf>
    <xf numFmtId="352" fontId="11" fillId="0" borderId="0" applyFont="0" applyFill="0" applyBorder="0" applyAlignment="0" applyProtection="0"/>
    <xf numFmtId="352" fontId="11" fillId="0" borderId="0" applyFont="0" applyFill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1" fontId="77" fillId="0" borderId="0" applyFill="0" applyBorder="0" applyProtection="0">
      <alignment horizontal="right" wrapText="1"/>
      <protection locked="0"/>
    </xf>
    <xf numFmtId="347" fontId="220" fillId="0" borderId="0" applyFill="0" applyBorder="0" applyProtection="0">
      <alignment horizontal="right"/>
      <protection locked="0"/>
    </xf>
    <xf numFmtId="347" fontId="220" fillId="0" borderId="0" applyFill="0" applyBorder="0" applyProtection="0">
      <alignment horizontal="right"/>
      <protection locked="0"/>
    </xf>
    <xf numFmtId="347" fontId="220" fillId="0" borderId="0" applyFill="0" applyBorder="0" applyProtection="0">
      <alignment horizontal="right"/>
      <protection locked="0"/>
    </xf>
    <xf numFmtId="1" fontId="77" fillId="0" borderId="0" applyFill="0" applyBorder="0" applyProtection="0">
      <alignment horizontal="right" wrapText="1"/>
      <protection locked="0"/>
    </xf>
    <xf numFmtId="1" fontId="77" fillId="0" borderId="0" applyFill="0" applyBorder="0" applyProtection="0">
      <alignment horizontal="right" wrapText="1"/>
      <protection locked="0"/>
    </xf>
    <xf numFmtId="0" fontId="221" fillId="0" borderId="0" applyNumberFormat="0" applyFill="0" applyBorder="0" applyProtection="0">
      <protection locked="0"/>
    </xf>
    <xf numFmtId="347" fontId="132" fillId="0" borderId="0">
      <protection locked="0"/>
    </xf>
    <xf numFmtId="0" fontId="221" fillId="0" borderId="0" applyNumberFormat="0" applyFill="0" applyBorder="0" applyProtection="0">
      <protection locked="0"/>
    </xf>
    <xf numFmtId="0" fontId="221" fillId="0" borderId="0" applyNumberFormat="0" applyFill="0" applyBorder="0" applyProtection="0">
      <protection locked="0"/>
    </xf>
    <xf numFmtId="0" fontId="222" fillId="0" borderId="0" applyNumberFormat="0" applyFill="0" applyBorder="0" applyAlignment="0" applyProtection="0"/>
    <xf numFmtId="0" fontId="223" fillId="5" borderId="0" applyBorder="0">
      <alignment horizontal="left" vertical="center" indent="1"/>
    </xf>
    <xf numFmtId="0" fontId="11" fillId="0" borderId="0" applyNumberFormat="0" applyFill="0" applyBorder="0" applyAlignment="0"/>
    <xf numFmtId="37" fontId="224" fillId="0" borderId="0">
      <alignment horizontal="centerContinuous"/>
    </xf>
    <xf numFmtId="186" fontId="62" fillId="0" borderId="0">
      <alignment horizontal="right"/>
    </xf>
    <xf numFmtId="186" fontId="62" fillId="0" borderId="0">
      <alignment horizontal="right"/>
    </xf>
    <xf numFmtId="3" fontId="86" fillId="35" borderId="0" applyNumberFormat="0" applyFont="0" applyBorder="0" applyAlignment="0" applyProtection="0">
      <alignment vertical="center"/>
    </xf>
    <xf numFmtId="0" fontId="25" fillId="0" borderId="54" applyAlignment="0" applyProtection="0"/>
    <xf numFmtId="0" fontId="63" fillId="11" borderId="0" applyNumberFormat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0" fontId="225" fillId="0" borderId="0" applyNumberFormat="0" applyFill="0" applyBorder="0" applyAlignment="0" applyProtection="0"/>
    <xf numFmtId="0" fontId="226" fillId="3" borderId="0"/>
    <xf numFmtId="0" fontId="11" fillId="0" borderId="0"/>
    <xf numFmtId="236" fontId="152" fillId="0" borderId="0" applyFill="0" applyBorder="0" applyAlignment="0" applyProtection="0">
      <alignment horizontal="center"/>
    </xf>
    <xf numFmtId="39" fontId="227" fillId="0" borderId="0"/>
    <xf numFmtId="167" fontId="11" fillId="0" borderId="0" applyBorder="0">
      <alignment horizontal="right"/>
    </xf>
    <xf numFmtId="1" fontId="228" fillId="31" borderId="0">
      <alignment horizontal="right"/>
      <protection locked="0"/>
    </xf>
    <xf numFmtId="2" fontId="12" fillId="70" borderId="0" applyNumberFormat="0" applyFont="0" applyBorder="0" applyAlignment="0" applyProtection="0"/>
    <xf numFmtId="39" fontId="11" fillId="0" borderId="0" applyFill="0" applyBorder="0" applyAlignment="0"/>
    <xf numFmtId="186" fontId="229" fillId="0" borderId="0" applyFill="0" applyBorder="0" applyAlignment="0"/>
    <xf numFmtId="353" fontId="229" fillId="0" borderId="0" applyFill="0" applyBorder="0" applyAlignment="0"/>
    <xf numFmtId="202" fontId="24" fillId="0" borderId="0" applyFill="0" applyBorder="0" applyAlignment="0"/>
    <xf numFmtId="354" fontId="11" fillId="0" borderId="0" applyFill="0" applyBorder="0" applyAlignment="0"/>
    <xf numFmtId="355" fontId="11" fillId="0" borderId="0" applyFill="0" applyBorder="0" applyAlignment="0"/>
    <xf numFmtId="0" fontId="11" fillId="0" borderId="0" applyFill="0" applyBorder="0" applyAlignment="0"/>
    <xf numFmtId="186" fontId="229" fillId="0" borderId="0" applyFill="0" applyBorder="0" applyAlignment="0"/>
    <xf numFmtId="0" fontId="72" fillId="30" borderId="27" applyNumberFormat="0" applyAlignment="0" applyProtection="0"/>
    <xf numFmtId="0" fontId="72" fillId="30" borderId="27" applyNumberFormat="0" applyAlignment="0" applyProtection="0"/>
    <xf numFmtId="0" fontId="72" fillId="30" borderId="27" applyNumberFormat="0" applyAlignment="0" applyProtection="0"/>
    <xf numFmtId="0" fontId="72" fillId="30" borderId="27" applyNumberFormat="0" applyAlignment="0" applyProtection="0"/>
    <xf numFmtId="40" fontId="229" fillId="31" borderId="2">
      <alignment vertical="center"/>
    </xf>
    <xf numFmtId="0" fontId="230" fillId="0" borderId="0"/>
    <xf numFmtId="280" fontId="12" fillId="71" borderId="0" applyNumberFormat="0" applyFont="0" applyBorder="0" applyAlignment="0">
      <protection locked="0"/>
    </xf>
    <xf numFmtId="0" fontId="73" fillId="32" borderId="28" applyNumberFormat="0" applyAlignment="0" applyProtection="0"/>
    <xf numFmtId="0" fontId="74" fillId="0" borderId="29" applyNumberFormat="0" applyFill="0" applyAlignment="0" applyProtection="0"/>
    <xf numFmtId="0" fontId="18" fillId="0" borderId="0" applyNumberFormat="0" applyFont="0" applyFill="0">
      <alignment horizontal="center"/>
    </xf>
    <xf numFmtId="41" fontId="18" fillId="0" borderId="0" applyNumberFormat="0" applyFont="0" applyFill="0" applyBorder="0" applyProtection="0">
      <alignment horizontal="centerContinuous" vertical="center"/>
    </xf>
    <xf numFmtId="0" fontId="51" fillId="0" borderId="0"/>
    <xf numFmtId="0" fontId="73" fillId="32" borderId="28" applyNumberFormat="0" applyAlignment="0" applyProtection="0"/>
    <xf numFmtId="0" fontId="73" fillId="32" borderId="28" applyNumberFormat="0" applyAlignment="0" applyProtection="0"/>
    <xf numFmtId="0" fontId="73" fillId="32" borderId="28" applyNumberFormat="0" applyAlignment="0" applyProtection="0"/>
    <xf numFmtId="0" fontId="73" fillId="32" borderId="28" applyNumberFormat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1" fontId="232" fillId="0" borderId="0">
      <protection locked="0"/>
    </xf>
    <xf numFmtId="1" fontId="232" fillId="0" borderId="0">
      <protection locked="0"/>
    </xf>
    <xf numFmtId="1" fontId="232" fillId="0" borderId="0">
      <protection locked="0"/>
    </xf>
    <xf numFmtId="0" fontId="23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41" fillId="47" borderId="55" applyFont="0" applyFill="0" applyBorder="0"/>
    <xf numFmtId="0" fontId="41" fillId="47" borderId="55" applyFont="0" applyFill="0" applyBorder="0"/>
    <xf numFmtId="0" fontId="41" fillId="47" borderId="55" applyFont="0" applyFill="0" applyBorder="0"/>
    <xf numFmtId="0" fontId="41" fillId="47" borderId="55" applyFont="0" applyFill="0" applyBorder="0"/>
    <xf numFmtId="0" fontId="12" fillId="0" borderId="3"/>
    <xf numFmtId="0" fontId="40" fillId="0" borderId="56">
      <alignment horizontal="center" vertical="center"/>
    </xf>
    <xf numFmtId="0" fontId="235" fillId="0" borderId="52" applyNumberFormat="0" applyFill="0" applyBorder="0" applyAlignment="0" applyProtection="0">
      <alignment horizontal="center"/>
    </xf>
    <xf numFmtId="0" fontId="236" fillId="0" borderId="52" applyNumberFormat="0" applyFill="0" applyProtection="0">
      <alignment horizontal="left" vertical="center"/>
    </xf>
    <xf numFmtId="0" fontId="11" fillId="0" borderId="0">
      <alignment horizontal="center" wrapText="1"/>
      <protection hidden="1"/>
    </xf>
    <xf numFmtId="0" fontId="237" fillId="0" borderId="51" applyNumberFormat="0" applyFill="0" applyProtection="0">
      <alignment horizontal="center" vertical="center"/>
    </xf>
    <xf numFmtId="0" fontId="238" fillId="0" borderId="52" applyNumberFormat="0" applyFill="0" applyBorder="0" applyProtection="0">
      <alignment horizontal="right" vertical="center"/>
    </xf>
    <xf numFmtId="0" fontId="95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/>
    <xf numFmtId="0" fontId="240" fillId="31" borderId="0">
      <alignment horizontal="right"/>
    </xf>
    <xf numFmtId="0" fontId="241" fillId="72" borderId="0"/>
    <xf numFmtId="0" fontId="79" fillId="0" borderId="57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0" fontId="242" fillId="0" borderId="0"/>
    <xf numFmtId="355" fontId="11" fillId="0" borderId="0" applyFont="0" applyFill="0" applyBorder="0" applyAlignment="0" applyProtection="0"/>
    <xf numFmtId="216" fontId="11" fillId="0" borderId="0" applyFont="0" applyFill="0" applyBorder="0" applyAlignment="0" applyProtection="0">
      <alignment horizontal="right"/>
    </xf>
    <xf numFmtId="216" fontId="11" fillId="0" borderId="0" applyFont="0" applyFill="0" applyBorder="0" applyAlignment="0" applyProtection="0">
      <alignment horizontal="right"/>
    </xf>
    <xf numFmtId="216" fontId="11" fillId="0" borderId="0" applyFont="0" applyFill="0" applyBorder="0" applyAlignment="0" applyProtection="0">
      <alignment horizontal="right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356" fontId="14" fillId="0" borderId="0" applyFont="0" applyFill="0" applyBorder="0" applyAlignment="0" applyProtection="0"/>
    <xf numFmtId="169" fontId="243" fillId="0" borderId="0" applyFont="0" applyFill="0" applyBorder="0" applyAlignment="0" applyProtection="0"/>
    <xf numFmtId="169" fontId="8" fillId="0" borderId="0" applyFont="0" applyFill="0" applyBorder="0" applyAlignment="0" applyProtection="0"/>
    <xf numFmtId="221" fontId="58" fillId="0" borderId="0" applyFont="0" applyFill="0" applyBorder="0" applyAlignment="0" applyProtection="0">
      <alignment horizontal="right"/>
    </xf>
    <xf numFmtId="221" fontId="58" fillId="0" borderId="0" applyFont="0" applyFill="0" applyBorder="0" applyAlignment="0" applyProtection="0">
      <alignment horizontal="right"/>
    </xf>
    <xf numFmtId="221" fontId="58" fillId="0" borderId="0" applyFont="0" applyFill="0" applyBorder="0" applyAlignment="0" applyProtection="0">
      <alignment horizontal="right"/>
    </xf>
    <xf numFmtId="221" fontId="58" fillId="0" borderId="0" applyFont="0" applyFill="0" applyBorder="0" applyAlignment="0" applyProtection="0">
      <alignment horizontal="right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44" fillId="0" borderId="0" applyFont="0" applyFill="0" applyBorder="0" applyAlignment="0" applyProtection="0"/>
    <xf numFmtId="357" fontId="11" fillId="0" borderId="0" applyFont="0" applyFill="0" applyBorder="0" applyAlignment="0" applyProtection="0"/>
    <xf numFmtId="357" fontId="11" fillId="0" borderId="0" applyFont="0" applyFill="0" applyBorder="0" applyAlignment="0" applyProtection="0"/>
    <xf numFmtId="357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75" fontId="35" fillId="0" borderId="0"/>
    <xf numFmtId="169" fontId="1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173" fontId="11" fillId="0" borderId="0" applyFont="0" applyFill="0" applyBorder="0" applyAlignment="0" applyProtection="0">
      <alignment horizontal="left" vertical="center"/>
    </xf>
    <xf numFmtId="173" fontId="11" fillId="0" borderId="0" applyFont="0" applyFill="0" applyBorder="0" applyAlignment="0" applyProtection="0">
      <alignment horizontal="left" vertical="center"/>
    </xf>
    <xf numFmtId="173" fontId="11" fillId="0" borderId="0" applyFont="0" applyFill="0" applyBorder="0" applyAlignment="0" applyProtection="0">
      <alignment horizontal="left" vertical="center"/>
    </xf>
    <xf numFmtId="173" fontId="11" fillId="0" borderId="0" applyFont="0" applyFill="0" applyBorder="0" applyAlignment="0" applyProtection="0">
      <alignment horizontal="left" vertical="center"/>
    </xf>
    <xf numFmtId="37" fontId="49" fillId="0" borderId="0" applyFont="0" applyFill="0" applyBorder="0" applyAlignment="0" applyProtection="0"/>
    <xf numFmtId="3" fontId="76" fillId="0" borderId="0" applyFont="0" applyFill="0" applyBorder="0" applyAlignment="0" applyProtection="0"/>
    <xf numFmtId="335" fontId="11" fillId="0" borderId="0" applyFont="0" applyFill="0" applyBorder="0" applyAlignment="0" applyProtection="0">
      <alignment horizontal="left" vertical="center"/>
    </xf>
    <xf numFmtId="0" fontId="11" fillId="0" borderId="0"/>
    <xf numFmtId="0" fontId="11" fillId="0" borderId="0"/>
    <xf numFmtId="335" fontId="11" fillId="0" borderId="0" applyFont="0" applyFill="0" applyBorder="0" applyAlignment="0" applyProtection="0">
      <alignment horizontal="left" vertical="center"/>
    </xf>
    <xf numFmtId="39" fontId="49" fillId="0" borderId="0" applyFont="0" applyFill="0" applyBorder="0" applyAlignment="0" applyProtection="0"/>
    <xf numFmtId="43" fontId="11" fillId="0" borderId="0" applyFont="0" applyFill="0" applyBorder="0" applyAlignment="0" applyProtection="0">
      <alignment horizontal="left" vertical="center"/>
    </xf>
    <xf numFmtId="0" fontId="11" fillId="73" borderId="0">
      <alignment horizontal="center" vertical="center" wrapText="1"/>
    </xf>
    <xf numFmtId="202" fontId="11" fillId="0" borderId="0"/>
    <xf numFmtId="0" fontId="11" fillId="73" borderId="0">
      <alignment horizontal="center" vertical="center" wrapText="1"/>
    </xf>
    <xf numFmtId="0" fontId="245" fillId="0" borderId="0" applyFill="0" applyBorder="0">
      <alignment horizontal="left"/>
    </xf>
    <xf numFmtId="3" fontId="215" fillId="0" borderId="53">
      <alignment horizontal="right" vertical="top"/>
    </xf>
    <xf numFmtId="358" fontId="246" fillId="5" borderId="0">
      <alignment horizontal="left"/>
    </xf>
    <xf numFmtId="0" fontId="247" fillId="0" borderId="0" applyNumberFormat="0" applyAlignment="0">
      <alignment horizontal="left"/>
    </xf>
    <xf numFmtId="0" fontId="18" fillId="0" borderId="0"/>
    <xf numFmtId="0" fontId="229" fillId="0" borderId="3"/>
    <xf numFmtId="0" fontId="18" fillId="0" borderId="0"/>
    <xf numFmtId="202" fontId="11" fillId="0" borderId="0" applyFill="0" applyBorder="0" applyAlignment="0" applyProtection="0">
      <alignment horizontal="left"/>
    </xf>
    <xf numFmtId="359" fontId="11" fillId="0" borderId="0" applyFill="0" applyBorder="0">
      <alignment horizontal="right"/>
      <protection locked="0"/>
    </xf>
    <xf numFmtId="0" fontId="79" fillId="0" borderId="57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86" fontId="229" fillId="0" borderId="0" applyFont="0" applyFill="0" applyBorder="0" applyAlignment="0" applyProtection="0"/>
    <xf numFmtId="229" fontId="11" fillId="0" borderId="0" applyFont="0" applyFill="0" applyBorder="0" applyAlignment="0" applyProtection="0">
      <alignment horizontal="right"/>
    </xf>
    <xf numFmtId="229" fontId="11" fillId="0" borderId="0" applyFont="0" applyFill="0" applyBorder="0" applyAlignment="0" applyProtection="0">
      <alignment horizontal="right"/>
    </xf>
    <xf numFmtId="229" fontId="11" fillId="0" borderId="0" applyFont="0" applyFill="0" applyBorder="0" applyAlignment="0" applyProtection="0">
      <alignment horizontal="right"/>
    </xf>
    <xf numFmtId="231" fontId="11" fillId="0" borderId="0" applyFont="0" applyFill="0" applyBorder="0" applyAlignment="0" applyProtection="0">
      <alignment horizontal="right"/>
    </xf>
    <xf numFmtId="231" fontId="11" fillId="0" borderId="0" applyFont="0" applyFill="0" applyBorder="0" applyAlignment="0" applyProtection="0">
      <alignment horizontal="right"/>
    </xf>
    <xf numFmtId="231" fontId="11" fillId="0" borderId="0" applyFont="0" applyFill="0" applyBorder="0" applyAlignment="0" applyProtection="0">
      <alignment horizontal="right"/>
    </xf>
    <xf numFmtId="269" fontId="2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249" fillId="4" borderId="0">
      <alignment horizontal="right"/>
    </xf>
    <xf numFmtId="36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250" fillId="0" borderId="0" applyFont="0" applyFill="0" applyBorder="0" applyAlignment="0" applyProtection="0"/>
    <xf numFmtId="0" fontId="250" fillId="0" borderId="0" applyFont="0" applyFill="0" applyBorder="0" applyAlignment="0" applyProtection="0"/>
    <xf numFmtId="0" fontId="250" fillId="0" borderId="0" applyFont="0" applyFill="0" applyBorder="0" applyAlignment="0" applyProtection="0"/>
    <xf numFmtId="15" fontId="41" fillId="0" borderId="0" applyFill="0" applyBorder="0" applyAlignment="0"/>
    <xf numFmtId="180" fontId="41" fillId="31" borderId="0" applyFont="0" applyFill="0" applyBorder="0" applyAlignment="0" applyProtection="0"/>
    <xf numFmtId="180" fontId="12" fillId="31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4" fontId="51" fillId="0" borderId="0" applyFill="0" applyBorder="0" applyAlignment="0"/>
    <xf numFmtId="17" fontId="251" fillId="0" borderId="54" applyFont="0" applyFill="0" applyBorder="0" applyAlignment="0" applyProtection="0"/>
    <xf numFmtId="17" fontId="251" fillId="0" borderId="54" applyFont="0" applyFill="0" applyBorder="0" applyAlignment="0" applyProtection="0"/>
    <xf numFmtId="361" fontId="12" fillId="0" borderId="58">
      <alignment horizontal="center"/>
    </xf>
    <xf numFmtId="362" fontId="11" fillId="0" borderId="0" applyFont="0" applyFill="0" applyBorder="0" applyAlignment="0" applyProtection="0"/>
    <xf numFmtId="17" fontId="11" fillId="0" borderId="0" applyFont="0" applyFill="0" applyBorder="0" applyAlignment="0" applyProtection="0">
      <alignment horizontal="center"/>
    </xf>
    <xf numFmtId="36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7" fillId="0" borderId="0"/>
    <xf numFmtId="0" fontId="270" fillId="0" borderId="0"/>
    <xf numFmtId="0" fontId="272" fillId="0" borderId="0"/>
    <xf numFmtId="0" fontId="5" fillId="0" borderId="0"/>
    <xf numFmtId="0" fontId="273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51">
    <xf numFmtId="0" fontId="0" fillId="0" borderId="0" xfId="0"/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4" fillId="2" borderId="0" xfId="0" applyFont="1" applyFill="1"/>
    <xf numFmtId="0" fontId="11" fillId="2" borderId="0" xfId="0" applyFont="1" applyFill="1"/>
    <xf numFmtId="0" fontId="14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/>
    <xf numFmtId="9" fontId="11" fillId="2" borderId="2" xfId="2" applyFont="1" applyFill="1" applyBorder="1" applyAlignment="1">
      <alignment horizontal="center" vertical="center"/>
    </xf>
    <xf numFmtId="172" fontId="11" fillId="2" borderId="2" xfId="2" applyNumberFormat="1" applyFont="1" applyFill="1" applyBorder="1" applyAlignment="1">
      <alignment horizontal="center" vertical="center"/>
    </xf>
    <xf numFmtId="0" fontId="69" fillId="2" borderId="9" xfId="0" applyFont="1" applyFill="1" applyBorder="1" applyAlignment="1">
      <alignment horizontal="center" vertical="center"/>
    </xf>
    <xf numFmtId="330" fontId="14" fillId="2" borderId="2" xfId="0" applyNumberFormat="1" applyFont="1" applyFill="1" applyBorder="1" applyAlignment="1">
      <alignment horizontal="center" vertical="center"/>
    </xf>
    <xf numFmtId="330" fontId="11" fillId="2" borderId="2" xfId="0" applyNumberFormat="1" applyFont="1" applyFill="1" applyBorder="1" applyAlignment="1">
      <alignment horizontal="center" vertical="center"/>
    </xf>
    <xf numFmtId="0" fontId="252" fillId="0" borderId="0" xfId="0" applyFont="1" applyAlignment="1">
      <alignment horizontal="center" vertical="center"/>
    </xf>
    <xf numFmtId="0" fontId="69" fillId="2" borderId="52" xfId="0" applyFont="1" applyFill="1" applyBorder="1" applyAlignment="1">
      <alignment horizontal="center" vertical="center"/>
    </xf>
    <xf numFmtId="0" fontId="252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4" fontId="11" fillId="0" borderId="2" xfId="0" applyNumberFormat="1" applyFont="1" applyBorder="1" applyAlignment="1">
      <alignment horizontal="center" vertical="center"/>
    </xf>
    <xf numFmtId="0" fontId="252" fillId="0" borderId="0" xfId="0" applyFont="1" applyAlignment="1">
      <alignment vertical="center"/>
    </xf>
    <xf numFmtId="0" fontId="252" fillId="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3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11" fillId="2" borderId="0" xfId="0" applyFont="1" applyFill="1" applyAlignment="1">
      <alignment horizontal="center" vertical="center" wrapText="1"/>
    </xf>
    <xf numFmtId="0" fontId="11" fillId="0" borderId="3" xfId="0" applyFont="1" applyBorder="1"/>
    <xf numFmtId="0" fontId="69" fillId="2" borderId="8" xfId="0" applyFont="1" applyFill="1" applyBorder="1" applyAlignment="1">
      <alignment horizontal="center" vertical="center"/>
    </xf>
    <xf numFmtId="0" fontId="69" fillId="2" borderId="17" xfId="0" applyFont="1" applyFill="1" applyBorder="1" applyAlignment="1">
      <alignment horizontal="center" vertical="center"/>
    </xf>
    <xf numFmtId="172" fontId="14" fillId="0" borderId="2" xfId="2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69" fillId="2" borderId="0" xfId="1" applyFont="1" applyFill="1" applyAlignment="1">
      <alignment horizontal="left" vertical="center"/>
    </xf>
    <xf numFmtId="0" fontId="69" fillId="2" borderId="0" xfId="1" applyFont="1" applyFill="1" applyAlignment="1">
      <alignment horizontal="center" vertical="center"/>
    </xf>
    <xf numFmtId="0" fontId="182" fillId="2" borderId="0" xfId="1282" applyFont="1" applyFill="1" applyAlignment="1">
      <alignment horizontal="center" vertical="center"/>
    </xf>
    <xf numFmtId="0" fontId="11" fillId="2" borderId="0" xfId="1282" applyFill="1" applyAlignment="1">
      <alignment horizontal="center" vertical="center"/>
    </xf>
    <xf numFmtId="0" fontId="11" fillId="2" borderId="2" xfId="1282" applyFill="1" applyBorder="1" applyAlignment="1">
      <alignment horizontal="left" indent="1"/>
    </xf>
    <xf numFmtId="0" fontId="14" fillId="2" borderId="2" xfId="1282" applyFont="1" applyFill="1" applyBorder="1" applyAlignment="1">
      <alignment horizontal="left"/>
    </xf>
    <xf numFmtId="0" fontId="11" fillId="2" borderId="0" xfId="1282" applyFill="1"/>
    <xf numFmtId="0" fontId="14" fillId="2" borderId="8" xfId="1282" applyFont="1" applyFill="1" applyBorder="1"/>
    <xf numFmtId="0" fontId="14" fillId="2" borderId="0" xfId="1282" applyFont="1" applyFill="1" applyAlignment="1">
      <alignment horizontal="center" vertical="center"/>
    </xf>
    <xf numFmtId="0" fontId="11" fillId="2" borderId="9" xfId="1282" applyFill="1" applyBorder="1" applyAlignment="1">
      <alignment horizontal="left" indent="1"/>
    </xf>
    <xf numFmtId="330" fontId="11" fillId="2" borderId="9" xfId="0" applyNumberFormat="1" applyFont="1" applyFill="1" applyBorder="1" applyAlignment="1">
      <alignment horizontal="center" vertical="center"/>
    </xf>
    <xf numFmtId="330" fontId="11" fillId="0" borderId="0" xfId="0" applyNumberFormat="1" applyFont="1" applyAlignment="1">
      <alignment vertical="center"/>
    </xf>
    <xf numFmtId="0" fontId="252" fillId="0" borderId="0" xfId="1" applyFont="1" applyAlignment="1">
      <alignment vertical="center"/>
    </xf>
    <xf numFmtId="0" fontId="69" fillId="2" borderId="9" xfId="1" applyFont="1" applyFill="1" applyBorder="1" applyAlignment="1">
      <alignment horizontal="center" vertical="center"/>
    </xf>
    <xf numFmtId="0" fontId="252" fillId="2" borderId="0" xfId="1" applyFont="1" applyFill="1" applyAlignment="1">
      <alignment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0" fontId="14" fillId="0" borderId="2" xfId="1" applyFont="1" applyBorder="1" applyAlignment="1">
      <alignment horizontal="center" vertical="center"/>
    </xf>
    <xf numFmtId="4" fontId="11" fillId="0" borderId="0" xfId="1" applyNumberFormat="1" applyAlignment="1">
      <alignment horizontal="center" vertical="center"/>
    </xf>
    <xf numFmtId="0" fontId="11" fillId="0" borderId="0" xfId="1" applyAlignment="1">
      <alignment vertical="center"/>
    </xf>
    <xf numFmtId="4" fontId="14" fillId="0" borderId="0" xfId="1" applyNumberFormat="1" applyFont="1" applyAlignment="1">
      <alignment horizontal="center" vertical="center"/>
    </xf>
    <xf numFmtId="17" fontId="14" fillId="0" borderId="0" xfId="1" applyNumberFormat="1" applyFont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69" fillId="0" borderId="0" xfId="0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331" fontId="11" fillId="2" borderId="2" xfId="0" applyNumberFormat="1" applyFont="1" applyFill="1" applyBorder="1" applyAlignment="1">
      <alignment horizontal="center" vertical="center"/>
    </xf>
    <xf numFmtId="330" fontId="11" fillId="2" borderId="8" xfId="0" applyNumberFormat="1" applyFont="1" applyFill="1" applyBorder="1" applyAlignment="1">
      <alignment horizontal="center" vertical="center"/>
    </xf>
    <xf numFmtId="364" fontId="11" fillId="2" borderId="2" xfId="0" applyNumberFormat="1" applyFont="1" applyFill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332" fontId="11" fillId="2" borderId="2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4" fillId="0" borderId="9" xfId="0" applyFont="1" applyBorder="1" applyAlignment="1">
      <alignment horizontal="left" vertical="center"/>
    </xf>
    <xf numFmtId="0" fontId="14" fillId="2" borderId="8" xfId="0" applyFont="1" applyFill="1" applyBorder="1" applyAlignment="1">
      <alignment vertical="center"/>
    </xf>
    <xf numFmtId="173" fontId="252" fillId="0" borderId="0" xfId="3" applyNumberFormat="1" applyFont="1" applyBorder="1" applyAlignment="1">
      <alignment vertical="center"/>
    </xf>
    <xf numFmtId="0" fontId="14" fillId="2" borderId="3" xfId="0" applyFont="1" applyFill="1" applyBorder="1" applyAlignment="1">
      <alignment horizontal="center" vertical="center" wrapText="1"/>
    </xf>
    <xf numFmtId="173" fontId="40" fillId="0" borderId="0" xfId="3" applyNumberFormat="1" applyFont="1" applyBorder="1" applyAlignment="1">
      <alignment vertical="center"/>
    </xf>
    <xf numFmtId="0" fontId="40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330" fontId="11" fillId="2" borderId="3" xfId="0" applyNumberFormat="1" applyFont="1" applyFill="1" applyBorder="1" applyAlignment="1">
      <alignment horizontal="center" vertical="center"/>
    </xf>
    <xf numFmtId="173" fontId="11" fillId="0" borderId="0" xfId="3" applyNumberFormat="1" applyFont="1" applyBorder="1" applyAlignment="1">
      <alignment vertical="center"/>
    </xf>
    <xf numFmtId="173" fontId="14" fillId="0" borderId="0" xfId="3" applyNumberFormat="1" applyFont="1" applyBorder="1" applyAlignment="1">
      <alignment vertical="center"/>
    </xf>
    <xf numFmtId="330" fontId="14" fillId="2" borderId="3" xfId="0" applyNumberFormat="1" applyFont="1" applyFill="1" applyBorder="1" applyAlignment="1">
      <alignment horizontal="center" vertical="center"/>
    </xf>
    <xf numFmtId="173" fontId="11" fillId="0" borderId="0" xfId="3" applyNumberFormat="1" applyFont="1" applyFill="1" applyBorder="1" applyAlignment="1">
      <alignment vertical="center"/>
    </xf>
    <xf numFmtId="9" fontId="11" fillId="0" borderId="0" xfId="2" applyFont="1" applyBorder="1" applyAlignment="1">
      <alignment vertical="center"/>
    </xf>
    <xf numFmtId="331" fontId="11" fillId="0" borderId="0" xfId="0" applyNumberFormat="1" applyFont="1" applyAlignment="1">
      <alignment vertical="center"/>
    </xf>
    <xf numFmtId="0" fontId="69" fillId="2" borderId="9" xfId="0" applyFont="1" applyFill="1" applyBorder="1" applyAlignment="1">
      <alignment vertical="center"/>
    </xf>
    <xf numFmtId="171" fontId="11" fillId="0" borderId="0" xfId="0" applyNumberFormat="1" applyFont="1" applyAlignment="1">
      <alignment vertical="center"/>
    </xf>
    <xf numFmtId="169" fontId="11" fillId="0" borderId="0" xfId="7" applyFont="1" applyAlignment="1">
      <alignment vertical="center"/>
    </xf>
    <xf numFmtId="171" fontId="14" fillId="0" borderId="2" xfId="0" applyNumberFormat="1" applyFont="1" applyBorder="1" applyAlignment="1">
      <alignment vertical="center"/>
    </xf>
    <xf numFmtId="0" fontId="14" fillId="2" borderId="2" xfId="0" applyFont="1" applyFill="1" applyBorder="1"/>
    <xf numFmtId="171" fontId="14" fillId="0" borderId="0" xfId="0" applyNumberFormat="1" applyFont="1" applyAlignment="1">
      <alignment vertical="center"/>
    </xf>
    <xf numFmtId="169" fontId="11" fillId="0" borderId="0" xfId="7" applyFont="1" applyFill="1" applyBorder="1" applyAlignment="1">
      <alignment vertical="center"/>
    </xf>
    <xf numFmtId="169" fontId="11" fillId="0" borderId="0" xfId="7" applyFont="1" applyFill="1" applyBorder="1" applyAlignment="1">
      <alignment horizontal="center" vertical="center"/>
    </xf>
    <xf numFmtId="169" fontId="14" fillId="0" borderId="0" xfId="7" applyFont="1" applyFill="1" applyBorder="1" applyAlignment="1">
      <alignment vertical="center"/>
    </xf>
    <xf numFmtId="171" fontId="11" fillId="2" borderId="0" xfId="0" applyNumberFormat="1" applyFont="1" applyFill="1" applyAlignment="1">
      <alignment vertical="center"/>
    </xf>
    <xf numFmtId="171" fontId="11" fillId="0" borderId="2" xfId="0" applyNumberFormat="1" applyFont="1" applyBorder="1" applyAlignment="1">
      <alignment vertical="center"/>
    </xf>
    <xf numFmtId="171" fontId="14" fillId="2" borderId="0" xfId="0" applyNumberFormat="1" applyFont="1" applyFill="1" applyAlignment="1">
      <alignment vertical="center"/>
    </xf>
    <xf numFmtId="330" fontId="11" fillId="2" borderId="2" xfId="0" applyNumberFormat="1" applyFont="1" applyFill="1" applyBorder="1"/>
    <xf numFmtId="330" fontId="14" fillId="2" borderId="2" xfId="0" applyNumberFormat="1" applyFont="1" applyFill="1" applyBorder="1" applyAlignment="1">
      <alignment horizontal="left" vertical="center"/>
    </xf>
    <xf numFmtId="0" fontId="69" fillId="0" borderId="0" xfId="0" applyFont="1"/>
    <xf numFmtId="0" fontId="69" fillId="2" borderId="0" xfId="0" applyFont="1" applyFill="1"/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253" fillId="0" borderId="0" xfId="0" applyFont="1" applyAlignment="1">
      <alignment vertical="center"/>
    </xf>
    <xf numFmtId="0" fontId="254" fillId="2" borderId="0" xfId="0" applyFont="1" applyFill="1" applyAlignment="1">
      <alignment horizontal="center"/>
    </xf>
    <xf numFmtId="0" fontId="255" fillId="0" borderId="0" xfId="0" applyFont="1" applyAlignment="1">
      <alignment horizontal="center" vertical="center"/>
    </xf>
    <xf numFmtId="0" fontId="182" fillId="0" borderId="0" xfId="0" applyFont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2" xfId="0" applyFont="1" applyBorder="1" applyAlignment="1">
      <alignment vertical="center"/>
    </xf>
    <xf numFmtId="330" fontId="41" fillId="2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indent="1"/>
    </xf>
    <xf numFmtId="330" fontId="12" fillId="2" borderId="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256" fillId="2" borderId="0" xfId="0" applyFont="1" applyFill="1" applyAlignment="1">
      <alignment horizontal="center"/>
    </xf>
    <xf numFmtId="0" fontId="257" fillId="0" borderId="0" xfId="0" applyFont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258" fillId="0" borderId="0" xfId="0" applyFont="1" applyAlignment="1">
      <alignment horizontal="left" vertical="center"/>
    </xf>
    <xf numFmtId="0" fontId="252" fillId="0" borderId="0" xfId="0" applyFont="1" applyAlignment="1">
      <alignment horizontal="centerContinuous" vertical="center"/>
    </xf>
    <xf numFmtId="0" fontId="258" fillId="0" borderId="0" xfId="0" applyFont="1" applyAlignment="1">
      <alignment horizontal="centerContinuous" vertical="center"/>
    </xf>
    <xf numFmtId="0" fontId="187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3" fontId="41" fillId="0" borderId="0" xfId="0" applyNumberFormat="1" applyFont="1" applyAlignment="1">
      <alignment vertical="center"/>
    </xf>
    <xf numFmtId="0" fontId="41" fillId="0" borderId="2" xfId="0" applyFont="1" applyBorder="1" applyAlignment="1">
      <alignment horizontal="left" vertical="center" indent="1"/>
    </xf>
    <xf numFmtId="0" fontId="12" fillId="0" borderId="9" xfId="0" applyFont="1" applyBorder="1" applyAlignment="1">
      <alignment horizontal="left" vertical="center" indent="1"/>
    </xf>
    <xf numFmtId="330" fontId="12" fillId="2" borderId="9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indent="2"/>
    </xf>
    <xf numFmtId="0" fontId="12" fillId="0" borderId="54" xfId="0" applyFont="1" applyBorder="1" applyAlignment="1">
      <alignment horizontal="left" vertical="center" indent="1"/>
    </xf>
    <xf numFmtId="330" fontId="12" fillId="2" borderId="54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vertical="center"/>
    </xf>
    <xf numFmtId="37" fontId="12" fillId="0" borderId="0" xfId="0" applyNumberFormat="1" applyFont="1" applyAlignment="1">
      <alignment vertical="center"/>
    </xf>
    <xf numFmtId="10" fontId="259" fillId="2" borderId="0" xfId="2" applyNumberFormat="1" applyFont="1" applyFill="1" applyBorder="1" applyAlignment="1">
      <alignment horizontal="center"/>
    </xf>
    <xf numFmtId="2" fontId="11" fillId="0" borderId="2" xfId="0" applyNumberFormat="1" applyFont="1" applyBorder="1" applyAlignment="1">
      <alignment horizontal="center" vertical="center"/>
    </xf>
    <xf numFmtId="10" fontId="11" fillId="0" borderId="2" xfId="2" applyNumberFormat="1" applyFont="1" applyFill="1" applyBorder="1" applyAlignment="1">
      <alignment horizontal="center" vertical="center"/>
    </xf>
    <xf numFmtId="0" fontId="11" fillId="0" borderId="2" xfId="0" applyFont="1" applyBorder="1"/>
    <xf numFmtId="0" fontId="11" fillId="0" borderId="0" xfId="0" applyFont="1" applyAlignment="1">
      <alignment horizontal="left"/>
    </xf>
    <xf numFmtId="0" fontId="14" fillId="0" borderId="2" xfId="0" applyFont="1" applyBorder="1" applyAlignment="1">
      <alignment horizontal="center"/>
    </xf>
    <xf numFmtId="0" fontId="258" fillId="0" borderId="0" xfId="0" applyFont="1" applyAlignment="1">
      <alignment vertical="center"/>
    </xf>
    <xf numFmtId="330" fontId="11" fillId="0" borderId="2" xfId="0" applyNumberFormat="1" applyFont="1" applyBorder="1" applyAlignment="1">
      <alignment horizontal="center" vertical="center"/>
    </xf>
    <xf numFmtId="330" fontId="14" fillId="0" borderId="2" xfId="0" applyNumberFormat="1" applyFont="1" applyBorder="1" applyAlignment="1">
      <alignment horizontal="center" vertical="center"/>
    </xf>
    <xf numFmtId="0" fontId="14" fillId="0" borderId="0" xfId="0" applyFont="1"/>
    <xf numFmtId="330" fontId="14" fillId="0" borderId="2" xfId="0" applyNumberFormat="1" applyFont="1" applyBorder="1" applyAlignment="1">
      <alignment horizontal="left" vertical="center"/>
    </xf>
    <xf numFmtId="0" fontId="14" fillId="0" borderId="2" xfId="0" applyFont="1" applyBorder="1"/>
    <xf numFmtId="330" fontId="11" fillId="0" borderId="2" xfId="0" applyNumberFormat="1" applyFont="1" applyBorder="1" applyAlignment="1">
      <alignment horizontal="left" vertical="center" indent="1"/>
    </xf>
    <xf numFmtId="0" fontId="0" fillId="0" borderId="2" xfId="0" applyBorder="1"/>
    <xf numFmtId="330" fontId="14" fillId="75" borderId="2" xfId="0" applyNumberFormat="1" applyFont="1" applyFill="1" applyBorder="1" applyAlignment="1">
      <alignment horizontal="center" vertical="center"/>
    </xf>
    <xf numFmtId="37" fontId="83" fillId="75" borderId="2" xfId="0" applyNumberFormat="1" applyFont="1" applyFill="1" applyBorder="1" applyAlignment="1">
      <alignment horizontal="left" vertical="center" indent="1"/>
    </xf>
    <xf numFmtId="330" fontId="260" fillId="0" borderId="2" xfId="0" applyNumberFormat="1" applyFont="1" applyBorder="1" applyAlignment="1">
      <alignment horizontal="center" vertical="center"/>
    </xf>
    <xf numFmtId="171" fontId="261" fillId="0" borderId="0" xfId="0" applyNumberFormat="1" applyFont="1" applyAlignment="1">
      <alignment vertical="center"/>
    </xf>
    <xf numFmtId="172" fontId="11" fillId="0" borderId="2" xfId="2" applyNumberFormat="1" applyFont="1" applyFill="1" applyBorder="1" applyAlignment="1">
      <alignment horizontal="center" vertical="center" wrapText="1"/>
    </xf>
    <xf numFmtId="0" fontId="14" fillId="76" borderId="2" xfId="0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0" fontId="41" fillId="2" borderId="2" xfId="2" applyNumberFormat="1" applyFont="1" applyFill="1" applyBorder="1" applyAlignment="1">
      <alignment vertical="center"/>
    </xf>
    <xf numFmtId="331" fontId="14" fillId="2" borderId="8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0" fontId="14" fillId="0" borderId="2" xfId="0" applyNumberFormat="1" applyFont="1" applyBorder="1" applyAlignment="1">
      <alignment horizontal="center" vertical="center"/>
    </xf>
    <xf numFmtId="0" fontId="11" fillId="2" borderId="0" xfId="1282" applyFill="1" applyAlignment="1">
      <alignment horizontal="center"/>
    </xf>
    <xf numFmtId="0" fontId="14" fillId="2" borderId="62" xfId="1282" applyFont="1" applyFill="1" applyBorder="1" applyAlignment="1">
      <alignment horizontal="center"/>
    </xf>
    <xf numFmtId="0" fontId="69" fillId="0" borderId="52" xfId="1" applyFont="1" applyBorder="1" applyAlignment="1">
      <alignment horizontal="center" vertical="center"/>
    </xf>
    <xf numFmtId="0" fontId="69" fillId="0" borderId="16" xfId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/>
    </xf>
    <xf numFmtId="3" fontId="11" fillId="0" borderId="0" xfId="0" applyNumberFormat="1" applyFont="1" applyAlignment="1">
      <alignment horizontal="right" vertical="center"/>
    </xf>
    <xf numFmtId="0" fontId="14" fillId="0" borderId="69" xfId="0" applyFont="1" applyBorder="1" applyAlignment="1">
      <alignment horizontal="center" vertical="center"/>
    </xf>
    <xf numFmtId="0" fontId="14" fillId="81" borderId="69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330" fontId="14" fillId="2" borderId="0" xfId="0" applyNumberFormat="1" applyFont="1" applyFill="1" applyAlignment="1">
      <alignment horizontal="center" vertical="center"/>
    </xf>
    <xf numFmtId="0" fontId="14" fillId="2" borderId="69" xfId="0" applyFont="1" applyFill="1" applyBorder="1" applyAlignment="1">
      <alignment horizontal="center" vertical="center" wrapText="1"/>
    </xf>
    <xf numFmtId="330" fontId="11" fillId="77" borderId="2" xfId="0" applyNumberFormat="1" applyFont="1" applyFill="1" applyBorder="1" applyAlignment="1">
      <alignment horizontal="center" vertical="center"/>
    </xf>
    <xf numFmtId="0" fontId="11" fillId="2" borderId="69" xfId="1282" applyFill="1" applyBorder="1" applyAlignment="1">
      <alignment horizontal="left" indent="1"/>
    </xf>
    <xf numFmtId="330" fontId="11" fillId="2" borderId="69" xfId="0" applyNumberFormat="1" applyFont="1" applyFill="1" applyBorder="1" applyAlignment="1">
      <alignment horizontal="center" vertical="center"/>
    </xf>
    <xf numFmtId="330" fontId="14" fillId="2" borderId="69" xfId="0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69" fillId="2" borderId="70" xfId="0" applyFont="1" applyFill="1" applyBorder="1" applyAlignment="1">
      <alignment vertical="center" wrapText="1"/>
    </xf>
    <xf numFmtId="0" fontId="14" fillId="0" borderId="71" xfId="0" applyFont="1" applyBorder="1" applyAlignment="1">
      <alignment horizontal="center" vertical="center" wrapText="1"/>
    </xf>
    <xf numFmtId="0" fontId="69" fillId="2" borderId="0" xfId="0" applyFont="1" applyFill="1" applyAlignment="1">
      <alignment vertical="center" wrapText="1"/>
    </xf>
    <xf numFmtId="0" fontId="14" fillId="2" borderId="0" xfId="0" applyFont="1" applyFill="1" applyAlignment="1">
      <alignment horizontal="center" vertical="center"/>
    </xf>
    <xf numFmtId="0" fontId="11" fillId="0" borderId="69" xfId="0" applyFont="1" applyBorder="1"/>
    <xf numFmtId="330" fontId="11" fillId="0" borderId="69" xfId="0" applyNumberFormat="1" applyFont="1" applyBorder="1" applyAlignment="1">
      <alignment horizontal="center" vertical="center"/>
    </xf>
    <xf numFmtId="1" fontId="11" fillId="0" borderId="69" xfId="0" applyNumberFormat="1" applyFont="1" applyBorder="1" applyAlignment="1">
      <alignment horizontal="center" vertical="center"/>
    </xf>
    <xf numFmtId="171" fontId="11" fillId="0" borderId="69" xfId="0" applyNumberFormat="1" applyFont="1" applyBorder="1" applyAlignment="1">
      <alignment vertical="center"/>
    </xf>
    <xf numFmtId="171" fontId="11" fillId="0" borderId="69" xfId="0" applyNumberFormat="1" applyFont="1" applyBorder="1" applyAlignment="1">
      <alignment horizontal="center" vertical="center"/>
    </xf>
    <xf numFmtId="171" fontId="14" fillId="76" borderId="69" xfId="0" applyNumberFormat="1" applyFont="1" applyFill="1" applyBorder="1" applyAlignment="1">
      <alignment vertical="center"/>
    </xf>
    <xf numFmtId="171" fontId="14" fillId="0" borderId="69" xfId="0" applyNumberFormat="1" applyFont="1" applyBorder="1" applyAlignment="1">
      <alignment horizontal="center" vertical="center"/>
    </xf>
    <xf numFmtId="171" fontId="260" fillId="0" borderId="69" xfId="0" applyNumberFormat="1" applyFont="1" applyBorder="1" applyAlignment="1">
      <alignment horizontal="center" vertical="center"/>
    </xf>
    <xf numFmtId="330" fontId="14" fillId="76" borderId="2" xfId="0" applyNumberFormat="1" applyFont="1" applyFill="1" applyBorder="1" applyAlignment="1">
      <alignment horizontal="center" vertical="center"/>
    </xf>
    <xf numFmtId="37" fontId="83" fillId="76" borderId="2" xfId="0" applyNumberFormat="1" applyFont="1" applyFill="1" applyBorder="1" applyAlignment="1">
      <alignment horizontal="left" vertical="center" indent="1"/>
    </xf>
    <xf numFmtId="330" fontId="11" fillId="76" borderId="2" xfId="0" applyNumberFormat="1" applyFont="1" applyFill="1" applyBorder="1" applyAlignment="1">
      <alignment horizontal="center" vertical="center"/>
    </xf>
    <xf numFmtId="171" fontId="14" fillId="76" borderId="2" xfId="0" applyNumberFormat="1" applyFont="1" applyFill="1" applyBorder="1" applyAlignment="1">
      <alignment vertical="center"/>
    </xf>
    <xf numFmtId="171" fontId="14" fillId="76" borderId="2" xfId="0" applyNumberFormat="1" applyFont="1" applyFill="1" applyBorder="1" applyAlignment="1">
      <alignment horizontal="center" vertical="center"/>
    </xf>
    <xf numFmtId="1" fontId="14" fillId="76" borderId="2" xfId="7" applyNumberFormat="1" applyFont="1" applyFill="1" applyBorder="1" applyAlignment="1">
      <alignment horizontal="center" vertical="center"/>
    </xf>
    <xf numFmtId="171" fontId="14" fillId="76" borderId="0" xfId="0" applyNumberFormat="1" applyFont="1" applyFill="1" applyAlignment="1">
      <alignment horizontal="center" vertical="center"/>
    </xf>
    <xf numFmtId="171" fontId="14" fillId="76" borderId="69" xfId="0" applyNumberFormat="1" applyFont="1" applyFill="1" applyBorder="1" applyAlignment="1">
      <alignment horizontal="center" vertical="center"/>
    </xf>
    <xf numFmtId="37" fontId="83" fillId="76" borderId="69" xfId="0" applyNumberFormat="1" applyFont="1" applyFill="1" applyBorder="1" applyAlignment="1">
      <alignment horizontal="left" vertical="center" indent="1"/>
    </xf>
    <xf numFmtId="1" fontId="14" fillId="76" borderId="69" xfId="7" applyNumberFormat="1" applyFont="1" applyFill="1" applyBorder="1" applyAlignment="1">
      <alignment horizontal="center" vertical="center"/>
    </xf>
    <xf numFmtId="330" fontId="11" fillId="77" borderId="69" xfId="0" applyNumberFormat="1" applyFont="1" applyFill="1" applyBorder="1" applyAlignment="1">
      <alignment horizontal="center" vertical="center"/>
    </xf>
    <xf numFmtId="9" fontId="14" fillId="0" borderId="69" xfId="2" applyFont="1" applyBorder="1" applyAlignment="1">
      <alignment horizontal="center" vertical="center" wrapText="1"/>
    </xf>
    <xf numFmtId="4" fontId="11" fillId="0" borderId="69" xfId="0" applyNumberFormat="1" applyFont="1" applyBorder="1" applyAlignment="1">
      <alignment horizontal="center" vertical="center"/>
    </xf>
    <xf numFmtId="171" fontId="14" fillId="76" borderId="64" xfId="0" applyNumberFormat="1" applyFont="1" applyFill="1" applyBorder="1" applyAlignment="1">
      <alignment horizontal="center" vertical="center"/>
    </xf>
    <xf numFmtId="171" fontId="14" fillId="76" borderId="5" xfId="0" applyNumberFormat="1" applyFont="1" applyFill="1" applyBorder="1" applyAlignment="1">
      <alignment horizontal="center" vertical="center"/>
    </xf>
    <xf numFmtId="37" fontId="83" fillId="76" borderId="69" xfId="0" applyNumberFormat="1" applyFont="1" applyFill="1" applyBorder="1" applyAlignment="1">
      <alignment horizontal="center" vertical="center"/>
    </xf>
    <xf numFmtId="171" fontId="11" fillId="77" borderId="0" xfId="0" applyNumberFormat="1" applyFont="1" applyFill="1" applyAlignment="1">
      <alignment vertical="center"/>
    </xf>
    <xf numFmtId="0" fontId="253" fillId="0" borderId="0" xfId="0" applyFont="1" applyAlignment="1">
      <alignment horizontal="center" vertical="center"/>
    </xf>
    <xf numFmtId="330" fontId="41" fillId="0" borderId="2" xfId="0" applyNumberFormat="1" applyFont="1" applyBorder="1" applyAlignment="1">
      <alignment horizontal="center" vertical="center"/>
    </xf>
    <xf numFmtId="330" fontId="12" fillId="0" borderId="2" xfId="0" applyNumberFormat="1" applyFont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172" fontId="167" fillId="0" borderId="0" xfId="2" applyNumberFormat="1" applyFont="1" applyFill="1" applyBorder="1" applyAlignment="1">
      <alignment horizontal="center" vertical="center"/>
    </xf>
    <xf numFmtId="330" fontId="12" fillId="0" borderId="0" xfId="0" applyNumberFormat="1" applyFont="1" applyAlignment="1">
      <alignment vertical="center"/>
    </xf>
    <xf numFmtId="8" fontId="41" fillId="0" borderId="0" xfId="0" applyNumberFormat="1" applyFont="1" applyAlignment="1">
      <alignment vertical="center"/>
    </xf>
    <xf numFmtId="0" fontId="11" fillId="0" borderId="69" xfId="3" applyNumberFormat="1" applyFont="1" applyBorder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0" fontId="11" fillId="0" borderId="0" xfId="2" applyNumberFormat="1" applyFont="1" applyBorder="1" applyAlignment="1">
      <alignment horizontal="center" vertical="center"/>
    </xf>
    <xf numFmtId="172" fontId="11" fillId="0" borderId="69" xfId="2" applyNumberFormat="1" applyFont="1" applyFill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9" fontId="11" fillId="0" borderId="2" xfId="2" applyFont="1" applyFill="1" applyBorder="1" applyAlignment="1">
      <alignment horizontal="center" vertical="center"/>
    </xf>
    <xf numFmtId="172" fontId="14" fillId="0" borderId="69" xfId="2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69" fontId="14" fillId="0" borderId="69" xfId="3" applyFont="1" applyBorder="1" applyAlignment="1">
      <alignment horizontal="center" vertical="center"/>
    </xf>
    <xf numFmtId="10" fontId="14" fillId="0" borderId="69" xfId="0" applyNumberFormat="1" applyFont="1" applyBorder="1" applyAlignment="1">
      <alignment horizontal="center" vertical="center" wrapText="1"/>
    </xf>
    <xf numFmtId="4" fontId="14" fillId="0" borderId="69" xfId="0" applyNumberFormat="1" applyFont="1" applyBorder="1" applyAlignment="1">
      <alignment horizontal="center" vertical="center" wrapText="1"/>
    </xf>
    <xf numFmtId="43" fontId="14" fillId="0" borderId="69" xfId="0" applyNumberFormat="1" applyFont="1" applyBorder="1" applyAlignment="1">
      <alignment horizontal="center" vertical="center" wrapText="1"/>
    </xf>
    <xf numFmtId="2" fontId="14" fillId="0" borderId="69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7" fillId="0" borderId="0" xfId="2788"/>
    <xf numFmtId="2" fontId="14" fillId="0" borderId="69" xfId="3" applyNumberFormat="1" applyFont="1" applyBorder="1" applyAlignment="1">
      <alignment horizontal="center" vertical="center"/>
    </xf>
    <xf numFmtId="2" fontId="14" fillId="0" borderId="69" xfId="3" applyNumberFormat="1" applyFont="1" applyBorder="1" applyAlignment="1">
      <alignment horizontal="center" vertical="center" wrapText="1"/>
    </xf>
    <xf numFmtId="2" fontId="11" fillId="0" borderId="0" xfId="3" applyNumberFormat="1" applyFont="1" applyBorder="1" applyAlignment="1">
      <alignment horizontal="center" vertical="center"/>
    </xf>
    <xf numFmtId="0" fontId="14" fillId="76" borderId="2" xfId="0" applyFont="1" applyFill="1" applyBorder="1" applyAlignment="1">
      <alignment horizontal="center" vertical="center"/>
    </xf>
    <xf numFmtId="0" fontId="14" fillId="76" borderId="69" xfId="0" applyFont="1" applyFill="1" applyBorder="1" applyAlignment="1">
      <alignment horizontal="center" vertical="center" wrapText="1"/>
    </xf>
    <xf numFmtId="0" fontId="14" fillId="76" borderId="69" xfId="2" applyNumberFormat="1" applyFont="1" applyFill="1" applyBorder="1" applyAlignment="1">
      <alignment horizontal="center" vertical="center" wrapText="1"/>
    </xf>
    <xf numFmtId="0" fontId="14" fillId="76" borderId="69" xfId="3" applyNumberFormat="1" applyFont="1" applyFill="1" applyBorder="1" applyAlignment="1">
      <alignment horizontal="center" vertical="center" wrapText="1"/>
    </xf>
    <xf numFmtId="3" fontId="14" fillId="0" borderId="69" xfId="0" applyNumberFormat="1" applyFont="1" applyBorder="1" applyAlignment="1">
      <alignment horizontal="center" vertical="center"/>
    </xf>
    <xf numFmtId="0" fontId="7" fillId="75" borderId="69" xfId="2788" applyFill="1" applyBorder="1" applyAlignment="1">
      <alignment horizontal="left"/>
    </xf>
    <xf numFmtId="366" fontId="7" fillId="78" borderId="83" xfId="2788" applyNumberFormat="1" applyFill="1" applyBorder="1" applyAlignment="1">
      <alignment horizontal="left"/>
    </xf>
    <xf numFmtId="0" fontId="7" fillId="75" borderId="82" xfId="2788" applyFill="1" applyBorder="1" applyAlignment="1">
      <alignment horizontal="left"/>
    </xf>
    <xf numFmtId="366" fontId="7" fillId="78" borderId="81" xfId="2788" applyNumberFormat="1" applyFill="1" applyBorder="1" applyAlignment="1">
      <alignment horizontal="left"/>
    </xf>
    <xf numFmtId="0" fontId="7" fillId="0" borderId="69" xfId="2788" applyBorder="1" applyAlignment="1">
      <alignment horizontal="center"/>
    </xf>
    <xf numFmtId="0" fontId="7" fillId="0" borderId="0" xfId="2788" applyAlignment="1">
      <alignment horizontal="center"/>
    </xf>
    <xf numFmtId="0" fontId="7" fillId="0" borderId="69" xfId="2788" applyBorder="1" applyAlignment="1">
      <alignment horizontal="left"/>
    </xf>
    <xf numFmtId="168" fontId="7" fillId="0" borderId="69" xfId="2773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2788" applyAlignment="1">
      <alignment horizontal="left"/>
    </xf>
    <xf numFmtId="168" fontId="7" fillId="0" borderId="0" xfId="2773" applyFont="1" applyAlignment="1">
      <alignment horizontal="left"/>
    </xf>
    <xf numFmtId="44" fontId="7" fillId="0" borderId="69" xfId="2788" applyNumberFormat="1" applyBorder="1"/>
    <xf numFmtId="0" fontId="11" fillId="0" borderId="86" xfId="0" applyFont="1" applyBorder="1" applyAlignment="1">
      <alignment vertical="center"/>
    </xf>
    <xf numFmtId="168" fontId="11" fillId="0" borderId="87" xfId="2773" applyFont="1" applyBorder="1" applyAlignment="1">
      <alignment vertical="center"/>
    </xf>
    <xf numFmtId="168" fontId="11" fillId="0" borderId="0" xfId="2773" applyFont="1" applyBorder="1" applyAlignment="1">
      <alignment vertical="center"/>
    </xf>
    <xf numFmtId="2" fontId="11" fillId="0" borderId="69" xfId="0" applyNumberFormat="1" applyFont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11" fillId="0" borderId="5" xfId="0" applyFont="1" applyBorder="1"/>
    <xf numFmtId="0" fontId="11" fillId="0" borderId="5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9" xfId="0" applyBorder="1"/>
    <xf numFmtId="0" fontId="11" fillId="0" borderId="3" xfId="0" applyFont="1" applyBorder="1" applyAlignment="1">
      <alignment horizontal="center" vertical="center"/>
    </xf>
    <xf numFmtId="0" fontId="11" fillId="0" borderId="91" xfId="0" applyFont="1" applyBorder="1"/>
    <xf numFmtId="0" fontId="11" fillId="0" borderId="93" xfId="0" applyFont="1" applyBorder="1"/>
    <xf numFmtId="0" fontId="11" fillId="0" borderId="94" xfId="0" applyFont="1" applyBorder="1"/>
    <xf numFmtId="0" fontId="11" fillId="0" borderId="82" xfId="0" applyFont="1" applyBorder="1" applyAlignment="1">
      <alignment horizontal="center" vertical="center"/>
    </xf>
    <xf numFmtId="0" fontId="11" fillId="0" borderId="69" xfId="0" applyFont="1" applyBorder="1" applyAlignment="1">
      <alignment horizontal="left"/>
    </xf>
    <xf numFmtId="0" fontId="11" fillId="0" borderId="69" xfId="0" applyFont="1" applyBorder="1" applyAlignment="1">
      <alignment horizontal="center"/>
    </xf>
    <xf numFmtId="0" fontId="11" fillId="0" borderId="69" xfId="0" applyFont="1" applyBorder="1" applyAlignment="1">
      <alignment horizontal="left" vertical="center" wrapText="1"/>
    </xf>
    <xf numFmtId="0" fontId="11" fillId="0" borderId="69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/>
    </xf>
    <xf numFmtId="0" fontId="69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69" fillId="0" borderId="0" xfId="2788" applyFont="1"/>
    <xf numFmtId="330" fontId="12" fillId="0" borderId="0" xfId="0" applyNumberFormat="1" applyFont="1" applyAlignment="1">
      <alignment horizontal="center" vertical="center"/>
    </xf>
    <xf numFmtId="0" fontId="41" fillId="2" borderId="0" xfId="0" applyFont="1" applyFill="1" applyAlignment="1">
      <alignment horizontal="center"/>
    </xf>
    <xf numFmtId="0" fontId="271" fillId="0" borderId="0" xfId="2789" applyFont="1" applyAlignment="1">
      <alignment horizontal="center" vertical="center"/>
    </xf>
    <xf numFmtId="0" fontId="14" fillId="2" borderId="69" xfId="1282" applyFont="1" applyFill="1" applyBorder="1"/>
    <xf numFmtId="0" fontId="7" fillId="0" borderId="69" xfId="2788" applyBorder="1"/>
    <xf numFmtId="0" fontId="271" fillId="0" borderId="69" xfId="2789" applyFont="1" applyBorder="1" applyAlignment="1">
      <alignment horizontal="center" vertical="center"/>
    </xf>
    <xf numFmtId="0" fontId="265" fillId="84" borderId="69" xfId="2789" applyFont="1" applyFill="1" applyBorder="1" applyAlignment="1">
      <alignment horizontal="center" vertical="center"/>
    </xf>
    <xf numFmtId="0" fontId="265" fillId="75" borderId="69" xfId="2789" applyFont="1" applyFill="1" applyBorder="1" applyAlignment="1">
      <alignment horizontal="center" vertical="center"/>
    </xf>
    <xf numFmtId="3" fontId="265" fillId="75" borderId="69" xfId="2789" applyNumberFormat="1" applyFont="1" applyFill="1" applyBorder="1" applyAlignment="1">
      <alignment horizontal="center" vertical="center"/>
    </xf>
    <xf numFmtId="0" fontId="14" fillId="88" borderId="2" xfId="0" applyFont="1" applyFill="1" applyBorder="1" applyAlignment="1">
      <alignment horizontal="center" vertical="center"/>
    </xf>
    <xf numFmtId="0" fontId="14" fillId="88" borderId="2" xfId="0" applyFont="1" applyFill="1" applyBorder="1" applyAlignment="1">
      <alignment horizontal="center" vertical="center" wrapText="1"/>
    </xf>
    <xf numFmtId="9" fontId="14" fillId="88" borderId="69" xfId="2" applyFont="1" applyFill="1" applyBorder="1" applyAlignment="1">
      <alignment horizontal="center" vertical="center" wrapText="1"/>
    </xf>
    <xf numFmtId="0" fontId="14" fillId="88" borderId="69" xfId="0" applyFont="1" applyFill="1" applyBorder="1" applyAlignment="1">
      <alignment horizontal="center" vertical="center" wrapText="1"/>
    </xf>
    <xf numFmtId="0" fontId="264" fillId="79" borderId="85" xfId="2788" applyFont="1" applyFill="1" applyBorder="1" applyAlignment="1">
      <alignment horizontal="left" vertical="center"/>
    </xf>
    <xf numFmtId="0" fontId="264" fillId="79" borderId="85" xfId="2788" applyFont="1" applyFill="1" applyBorder="1" applyAlignment="1">
      <alignment horizontal="center" vertical="center"/>
    </xf>
    <xf numFmtId="0" fontId="264" fillId="79" borderId="84" xfId="2788" applyFont="1" applyFill="1" applyBorder="1" applyAlignment="1">
      <alignment horizontal="center" vertical="center"/>
    </xf>
    <xf numFmtId="0" fontId="264" fillId="0" borderId="0" xfId="2788" applyFont="1"/>
    <xf numFmtId="0" fontId="264" fillId="79" borderId="69" xfId="2788" applyFont="1" applyFill="1" applyBorder="1" applyAlignment="1">
      <alignment horizontal="center" vertical="center"/>
    </xf>
    <xf numFmtId="0" fontId="264" fillId="79" borderId="69" xfId="2788" applyFont="1" applyFill="1" applyBorder="1" applyAlignment="1">
      <alignment horizontal="center" vertical="center" wrapText="1"/>
    </xf>
    <xf numFmtId="0" fontId="268" fillId="0" borderId="0" xfId="2788" applyFont="1"/>
    <xf numFmtId="0" fontId="264" fillId="79" borderId="72" xfId="2788" applyFont="1" applyFill="1" applyBorder="1" applyAlignment="1">
      <alignment horizontal="center" vertical="center" wrapText="1"/>
    </xf>
    <xf numFmtId="2" fontId="14" fillId="0" borderId="69" xfId="0" applyNumberFormat="1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330" fontId="11" fillId="2" borderId="0" xfId="0" applyNumberFormat="1" applyFont="1" applyFill="1" applyAlignment="1">
      <alignment horizontal="center" vertical="center"/>
    </xf>
    <xf numFmtId="3" fontId="271" fillId="80" borderId="69" xfId="2789" applyNumberFormat="1" applyFont="1" applyFill="1" applyBorder="1" applyAlignment="1">
      <alignment horizontal="center" vertical="center"/>
    </xf>
    <xf numFmtId="10" fontId="271" fillId="80" borderId="69" xfId="2" applyNumberFormat="1" applyFont="1" applyFill="1" applyBorder="1" applyAlignment="1">
      <alignment horizontal="center" vertical="center"/>
    </xf>
    <xf numFmtId="0" fontId="6" fillId="80" borderId="0" xfId="2788" applyFont="1" applyFill="1"/>
    <xf numFmtId="366" fontId="7" fillId="80" borderId="0" xfId="2788" applyNumberFormat="1" applyFill="1"/>
    <xf numFmtId="0" fontId="7" fillId="80" borderId="0" xfId="2788" applyFill="1"/>
    <xf numFmtId="44" fontId="7" fillId="0" borderId="0" xfId="2788" applyNumberFormat="1"/>
    <xf numFmtId="0" fontId="11" fillId="74" borderId="2" xfId="1282" applyFill="1" applyBorder="1" applyAlignment="1">
      <alignment horizontal="left" indent="1"/>
    </xf>
    <xf numFmtId="44" fontId="7" fillId="74" borderId="69" xfId="2788" applyNumberFormat="1" applyFill="1" applyBorder="1"/>
    <xf numFmtId="0" fontId="0" fillId="74" borderId="2" xfId="1282" applyFont="1" applyFill="1" applyBorder="1" applyAlignment="1">
      <alignment horizontal="left" indent="1"/>
    </xf>
    <xf numFmtId="2" fontId="11" fillId="0" borderId="69" xfId="3" applyNumberFormat="1" applyFont="1" applyBorder="1" applyAlignment="1">
      <alignment horizontal="center" vertical="center"/>
    </xf>
    <xf numFmtId="10" fontId="265" fillId="75" borderId="69" xfId="2" applyNumberFormat="1" applyFont="1" applyFill="1" applyBorder="1" applyAlignment="1">
      <alignment horizontal="center" vertical="center"/>
    </xf>
    <xf numFmtId="330" fontId="14" fillId="2" borderId="101" xfId="0" applyNumberFormat="1" applyFont="1" applyFill="1" applyBorder="1" applyAlignment="1">
      <alignment horizontal="center" vertical="center"/>
    </xf>
    <xf numFmtId="178" fontId="12" fillId="0" borderId="0" xfId="3" applyNumberFormat="1" applyFont="1" applyBorder="1" applyAlignment="1">
      <alignment vertical="center"/>
    </xf>
    <xf numFmtId="0" fontId="271" fillId="0" borderId="0" xfId="2789" applyFont="1" applyAlignment="1">
      <alignment horizontal="left" vertical="top"/>
    </xf>
    <xf numFmtId="0" fontId="271" fillId="80" borderId="0" xfId="2789" applyFont="1" applyFill="1" applyAlignment="1">
      <alignment horizontal="left" vertical="top"/>
    </xf>
    <xf numFmtId="0" fontId="271" fillId="0" borderId="0" xfId="2789" applyFont="1" applyAlignment="1">
      <alignment horizontal="center" vertical="top"/>
    </xf>
    <xf numFmtId="9" fontId="11" fillId="0" borderId="0" xfId="2" applyFont="1" applyBorder="1" applyAlignment="1">
      <alignment horizontal="center" vertical="center"/>
    </xf>
    <xf numFmtId="9" fontId="14" fillId="0" borderId="0" xfId="0" applyNumberFormat="1" applyFont="1" applyAlignment="1">
      <alignment vertical="center"/>
    </xf>
    <xf numFmtId="10" fontId="167" fillId="0" borderId="0" xfId="2" applyNumberFormat="1" applyFont="1" applyFill="1" applyBorder="1" applyAlignment="1">
      <alignment horizontal="center" vertical="center"/>
    </xf>
    <xf numFmtId="172" fontId="26" fillId="0" borderId="2" xfId="2" applyNumberFormat="1" applyFont="1" applyFill="1" applyBorder="1" applyAlignment="1">
      <alignment horizontal="center" vertical="center"/>
    </xf>
    <xf numFmtId="0" fontId="12" fillId="0" borderId="101" xfId="0" applyFont="1" applyBorder="1" applyAlignment="1">
      <alignment horizontal="left" vertical="center" indent="2"/>
    </xf>
    <xf numFmtId="330" fontId="12" fillId="2" borderId="101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left" vertical="center" indent="2"/>
    </xf>
    <xf numFmtId="0" fontId="11" fillId="0" borderId="101" xfId="0" applyFont="1" applyBorder="1"/>
    <xf numFmtId="0" fontId="11" fillId="0" borderId="101" xfId="0" applyFont="1" applyBorder="1" applyAlignment="1">
      <alignment horizontal="center" vertical="center"/>
    </xf>
    <xf numFmtId="330" fontId="11" fillId="2" borderId="101" xfId="0" applyNumberFormat="1" applyFont="1" applyFill="1" applyBorder="1" applyAlignment="1">
      <alignment horizontal="center" vertical="center"/>
    </xf>
    <xf numFmtId="172" fontId="11" fillId="0" borderId="101" xfId="2" applyNumberFormat="1" applyFont="1" applyFill="1" applyBorder="1" applyAlignment="1">
      <alignment horizontal="center" vertical="center"/>
    </xf>
    <xf numFmtId="3" fontId="11" fillId="0" borderId="101" xfId="0" applyNumberFormat="1" applyFont="1" applyBorder="1" applyAlignment="1">
      <alignment horizontal="center" vertical="center"/>
    </xf>
    <xf numFmtId="1" fontId="14" fillId="76" borderId="69" xfId="7" applyNumberFormat="1" applyFont="1" applyFill="1" applyBorder="1" applyAlignment="1">
      <alignment vertical="center"/>
    </xf>
    <xf numFmtId="3" fontId="8" fillId="0" borderId="69" xfId="0" applyNumberFormat="1" applyFont="1" applyBorder="1" applyAlignment="1">
      <alignment horizontal="center" vertical="center"/>
    </xf>
    <xf numFmtId="0" fontId="14" fillId="79" borderId="84" xfId="18" applyFont="1" applyFill="1" applyBorder="1" applyAlignment="1">
      <alignment horizontal="center" vertical="center" wrapText="1"/>
    </xf>
    <xf numFmtId="0" fontId="11" fillId="2" borderId="0" xfId="18" applyFill="1"/>
    <xf numFmtId="0" fontId="11" fillId="2" borderId="83" xfId="18" applyFill="1" applyBorder="1" applyAlignment="1">
      <alignment horizontal="center"/>
    </xf>
    <xf numFmtId="0" fontId="11" fillId="2" borderId="81" xfId="18" applyFill="1" applyBorder="1" applyAlignment="1">
      <alignment horizontal="center"/>
    </xf>
    <xf numFmtId="0" fontId="11" fillId="2" borderId="0" xfId="18" applyFill="1" applyAlignment="1">
      <alignment horizontal="center"/>
    </xf>
    <xf numFmtId="0" fontId="14" fillId="0" borderId="101" xfId="18" applyFont="1" applyBorder="1" applyAlignment="1">
      <alignment horizontal="center" vertical="center"/>
    </xf>
    <xf numFmtId="0" fontId="14" fillId="2" borderId="0" xfId="18" applyFont="1" applyFill="1"/>
    <xf numFmtId="330" fontId="14" fillId="0" borderId="101" xfId="18" applyNumberFormat="1" applyFont="1" applyBorder="1" applyAlignment="1">
      <alignment horizontal="center" vertical="center"/>
    </xf>
    <xf numFmtId="330" fontId="11" fillId="0" borderId="101" xfId="18" applyNumberFormat="1" applyBorder="1" applyAlignment="1">
      <alignment horizontal="center" vertical="center"/>
    </xf>
    <xf numFmtId="330" fontId="14" fillId="2" borderId="101" xfId="18" applyNumberFormat="1" applyFont="1" applyFill="1" applyBorder="1" applyAlignment="1">
      <alignment horizontal="center" vertical="center"/>
    </xf>
    <xf numFmtId="330" fontId="11" fillId="2" borderId="101" xfId="18" applyNumberFormat="1" applyFill="1" applyBorder="1" applyAlignment="1">
      <alignment horizontal="center" vertical="center"/>
    </xf>
    <xf numFmtId="330" fontId="14" fillId="2" borderId="0" xfId="18" applyNumberFormat="1" applyFont="1" applyFill="1" applyAlignment="1">
      <alignment horizontal="center" vertical="center"/>
    </xf>
    <xf numFmtId="0" fontId="11" fillId="2" borderId="87" xfId="18" applyFill="1" applyBorder="1" applyAlignment="1">
      <alignment horizontal="center"/>
    </xf>
    <xf numFmtId="1" fontId="11" fillId="2" borderId="0" xfId="18" applyNumberFormat="1" applyFill="1"/>
    <xf numFmtId="173" fontId="11" fillId="2" borderId="102" xfId="3" applyNumberFormat="1" applyFont="1" applyFill="1" applyBorder="1"/>
    <xf numFmtId="0" fontId="11" fillId="0" borderId="0" xfId="18"/>
    <xf numFmtId="3" fontId="11" fillId="0" borderId="0" xfId="18" applyNumberFormat="1" applyAlignment="1">
      <alignment horizontal="center" vertical="center"/>
    </xf>
    <xf numFmtId="0" fontId="11" fillId="0" borderId="0" xfId="18" applyAlignment="1">
      <alignment horizontal="center" vertical="center"/>
    </xf>
    <xf numFmtId="0" fontId="264" fillId="79" borderId="101" xfId="2791" applyFont="1" applyFill="1" applyBorder="1"/>
    <xf numFmtId="0" fontId="264" fillId="75" borderId="64" xfId="2791" applyFont="1" applyFill="1" applyBorder="1" applyAlignment="1">
      <alignment horizontal="center" vertical="center"/>
    </xf>
    <xf numFmtId="0" fontId="11" fillId="0" borderId="101" xfId="18" applyBorder="1"/>
    <xf numFmtId="3" fontId="11" fillId="0" borderId="101" xfId="18" applyNumberFormat="1" applyBorder="1" applyAlignment="1">
      <alignment horizontal="center" vertical="center"/>
    </xf>
    <xf numFmtId="0" fontId="5" fillId="0" borderId="0" xfId="2791"/>
    <xf numFmtId="0" fontId="5" fillId="0" borderId="101" xfId="2791" applyBorder="1"/>
    <xf numFmtId="3" fontId="5" fillId="0" borderId="101" xfId="3" applyNumberFormat="1" applyFont="1" applyBorder="1" applyAlignment="1">
      <alignment horizontal="center" vertical="center"/>
    </xf>
    <xf numFmtId="3" fontId="0" fillId="0" borderId="101" xfId="3" applyNumberFormat="1" applyFont="1" applyBorder="1" applyAlignment="1">
      <alignment horizontal="center" vertical="center"/>
    </xf>
    <xf numFmtId="0" fontId="5" fillId="0" borderId="101" xfId="2791" applyBorder="1" applyAlignment="1">
      <alignment horizontal="center" vertical="center"/>
    </xf>
    <xf numFmtId="0" fontId="11" fillId="0" borderId="101" xfId="18" applyBorder="1" applyAlignment="1">
      <alignment horizontal="center" vertical="center"/>
    </xf>
    <xf numFmtId="0" fontId="14" fillId="79" borderId="101" xfId="18" applyFont="1" applyFill="1" applyBorder="1"/>
    <xf numFmtId="0" fontId="14" fillId="79" borderId="101" xfId="18" applyFont="1" applyFill="1" applyBorder="1" applyAlignment="1">
      <alignment horizontal="center"/>
    </xf>
    <xf numFmtId="3" fontId="11" fillId="0" borderId="0" xfId="18" applyNumberFormat="1" applyAlignment="1">
      <alignment horizontal="center"/>
    </xf>
    <xf numFmtId="0" fontId="264" fillId="75" borderId="101" xfId="2791" applyFont="1" applyFill="1" applyBorder="1" applyAlignment="1">
      <alignment horizontal="center" vertical="center"/>
    </xf>
    <xf numFmtId="0" fontId="14" fillId="75" borderId="101" xfId="1282" applyFont="1" applyFill="1" applyBorder="1"/>
    <xf numFmtId="0" fontId="14" fillId="75" borderId="101" xfId="18" applyFont="1" applyFill="1" applyBorder="1" applyAlignment="1">
      <alignment horizontal="center" vertical="center"/>
    </xf>
    <xf numFmtId="0" fontId="11" fillId="0" borderId="101" xfId="1282" applyBorder="1" applyAlignment="1">
      <alignment horizontal="left" indent="1"/>
    </xf>
    <xf numFmtId="0" fontId="11" fillId="0" borderId="0" xfId="1282" applyAlignment="1">
      <alignment horizontal="left" indent="1"/>
    </xf>
    <xf numFmtId="3" fontId="14" fillId="75" borderId="101" xfId="18" applyNumberFormat="1" applyFont="1" applyFill="1" applyBorder="1" applyAlignment="1">
      <alignment horizontal="center" vertical="center"/>
    </xf>
    <xf numFmtId="0" fontId="14" fillId="75" borderId="101" xfId="1282" applyFont="1" applyFill="1" applyBorder="1" applyAlignment="1">
      <alignment horizontal="left"/>
    </xf>
    <xf numFmtId="0" fontId="0" fillId="0" borderId="101" xfId="1282" applyFont="1" applyBorder="1" applyAlignment="1">
      <alignment horizontal="left" indent="1"/>
    </xf>
    <xf numFmtId="0" fontId="14" fillId="76" borderId="101" xfId="3" applyNumberFormat="1" applyFont="1" applyFill="1" applyBorder="1" applyAlignment="1">
      <alignment horizontal="center" vertical="center" wrapText="1"/>
    </xf>
    <xf numFmtId="3" fontId="14" fillId="0" borderId="101" xfId="0" applyNumberFormat="1" applyFont="1" applyBorder="1" applyAlignment="1">
      <alignment horizontal="center" vertical="center"/>
    </xf>
    <xf numFmtId="0" fontId="14" fillId="88" borderId="64" xfId="0" applyFont="1" applyFill="1" applyBorder="1" applyAlignment="1">
      <alignment horizontal="center" vertical="center" wrapText="1"/>
    </xf>
    <xf numFmtId="3" fontId="11" fillId="76" borderId="61" xfId="1282" applyNumberFormat="1" applyFill="1" applyBorder="1" applyAlignment="1">
      <alignment horizontal="center"/>
    </xf>
    <xf numFmtId="3" fontId="11" fillId="2" borderId="2" xfId="0" applyNumberFormat="1" applyFont="1" applyFill="1" applyBorder="1" applyAlignment="1">
      <alignment horizontal="center" vertical="center"/>
    </xf>
    <xf numFmtId="3" fontId="11" fillId="0" borderId="9" xfId="1282" applyNumberFormat="1" applyBorder="1" applyAlignment="1">
      <alignment horizontal="center"/>
    </xf>
    <xf numFmtId="3" fontId="11" fillId="2" borderId="9" xfId="1282" applyNumberFormat="1" applyFill="1" applyBorder="1" applyAlignment="1">
      <alignment horizontal="center"/>
    </xf>
    <xf numFmtId="3" fontId="14" fillId="2" borderId="62" xfId="1282" applyNumberFormat="1" applyFont="1" applyFill="1" applyBorder="1" applyAlignment="1">
      <alignment horizontal="center"/>
    </xf>
    <xf numFmtId="3" fontId="11" fillId="2" borderId="61" xfId="1282" applyNumberFormat="1" applyFill="1" applyBorder="1" applyAlignment="1">
      <alignment horizontal="center"/>
    </xf>
    <xf numFmtId="3" fontId="14" fillId="2" borderId="61" xfId="1282" applyNumberFormat="1" applyFont="1" applyFill="1" applyBorder="1" applyAlignment="1">
      <alignment horizontal="center"/>
    </xf>
    <xf numFmtId="3" fontId="14" fillId="2" borderId="2" xfId="0" applyNumberFormat="1" applyFont="1" applyFill="1" applyBorder="1" applyAlignment="1">
      <alignment horizontal="center" vertical="center"/>
    </xf>
    <xf numFmtId="3" fontId="5" fillId="0" borderId="0" xfId="2791" applyNumberFormat="1" applyAlignment="1">
      <alignment horizontal="center" vertical="center"/>
    </xf>
    <xf numFmtId="1" fontId="11" fillId="0" borderId="101" xfId="18" applyNumberFormat="1" applyBorder="1" applyAlignment="1">
      <alignment horizontal="center" vertical="center"/>
    </xf>
    <xf numFmtId="0" fontId="14" fillId="90" borderId="2" xfId="0" applyFont="1" applyFill="1" applyBorder="1" applyAlignment="1">
      <alignment horizontal="center" vertical="center"/>
    </xf>
    <xf numFmtId="10" fontId="271" fillId="0" borderId="0" xfId="2" applyNumberFormat="1" applyFont="1" applyAlignment="1">
      <alignment horizontal="center" vertical="top"/>
    </xf>
    <xf numFmtId="10" fontId="271" fillId="0" borderId="0" xfId="2" applyNumberFormat="1" applyFont="1" applyAlignment="1">
      <alignment horizontal="left" vertical="top"/>
    </xf>
    <xf numFmtId="353" fontId="14" fillId="81" borderId="69" xfId="0" applyNumberFormat="1" applyFont="1" applyFill="1" applyBorder="1" applyAlignment="1">
      <alignment horizontal="center" vertical="center"/>
    </xf>
    <xf numFmtId="0" fontId="274" fillId="0" borderId="0" xfId="2792" applyFont="1"/>
    <xf numFmtId="0" fontId="274" fillId="0" borderId="0" xfId="2792" applyFont="1" applyAlignment="1">
      <alignment horizontal="center"/>
    </xf>
    <xf numFmtId="3" fontId="274" fillId="0" borderId="0" xfId="2792" applyNumberFormat="1" applyFont="1" applyAlignment="1">
      <alignment horizontal="center"/>
    </xf>
    <xf numFmtId="367" fontId="274" fillId="0" borderId="0" xfId="2792" applyNumberFormat="1" applyFont="1" applyAlignment="1">
      <alignment horizontal="center"/>
    </xf>
    <xf numFmtId="9" fontId="274" fillId="0" borderId="0" xfId="2792" applyNumberFormat="1" applyFont="1" applyAlignment="1">
      <alignment horizontal="center"/>
    </xf>
    <xf numFmtId="367" fontId="274" fillId="0" borderId="0" xfId="2792" applyNumberFormat="1" applyFont="1"/>
    <xf numFmtId="0" fontId="273" fillId="0" borderId="0" xfId="2792"/>
    <xf numFmtId="0" fontId="275" fillId="87" borderId="65" xfId="2792" applyFont="1" applyFill="1" applyBorder="1" applyAlignment="1">
      <alignment horizontal="center" vertical="center" wrapText="1"/>
    </xf>
    <xf numFmtId="3" fontId="275" fillId="87" borderId="65" xfId="2792" applyNumberFormat="1" applyFont="1" applyFill="1" applyBorder="1" applyAlignment="1">
      <alignment horizontal="center" vertical="center" wrapText="1"/>
    </xf>
    <xf numFmtId="0" fontId="275" fillId="87" borderId="100" xfId="2792" applyFont="1" applyFill="1" applyBorder="1" applyAlignment="1">
      <alignment horizontal="center" vertical="center" wrapText="1"/>
    </xf>
    <xf numFmtId="367" fontId="275" fillId="87" borderId="100" xfId="2792" applyNumberFormat="1" applyFont="1" applyFill="1" applyBorder="1" applyAlignment="1">
      <alignment horizontal="center" vertical="center" wrapText="1"/>
    </xf>
    <xf numFmtId="9" fontId="275" fillId="87" borderId="100" xfId="2792" applyNumberFormat="1" applyFont="1" applyFill="1" applyBorder="1" applyAlignment="1">
      <alignment horizontal="center" vertical="center" wrapText="1"/>
    </xf>
    <xf numFmtId="367" fontId="275" fillId="87" borderId="66" xfId="2792" applyNumberFormat="1" applyFont="1" applyFill="1" applyBorder="1" applyAlignment="1">
      <alignment horizontal="center" vertical="center" wrapText="1"/>
    </xf>
    <xf numFmtId="0" fontId="275" fillId="87" borderId="67" xfId="2792" applyFont="1" applyFill="1" applyBorder="1" applyAlignment="1">
      <alignment horizontal="center" vertical="center"/>
    </xf>
    <xf numFmtId="3" fontId="275" fillId="87" borderId="67" xfId="2792" applyNumberFormat="1" applyFont="1" applyFill="1" applyBorder="1" applyAlignment="1">
      <alignment horizontal="center" vertical="center"/>
    </xf>
    <xf numFmtId="0" fontId="275" fillId="87" borderId="97" xfId="2792" applyFont="1" applyFill="1" applyBorder="1" applyAlignment="1">
      <alignment horizontal="center" vertical="center"/>
    </xf>
    <xf numFmtId="367" fontId="275" fillId="87" borderId="97" xfId="2792" applyNumberFormat="1" applyFont="1" applyFill="1" applyBorder="1" applyAlignment="1">
      <alignment horizontal="center" vertical="center"/>
    </xf>
    <xf numFmtId="9" fontId="275" fillId="87" borderId="97" xfId="2792" applyNumberFormat="1" applyFont="1" applyFill="1" applyBorder="1" applyAlignment="1">
      <alignment horizontal="center" vertical="center"/>
    </xf>
    <xf numFmtId="367" fontId="275" fillId="87" borderId="68" xfId="2792" applyNumberFormat="1" applyFont="1" applyFill="1" applyBorder="1" applyAlignment="1">
      <alignment horizontal="center" vertical="center"/>
    </xf>
    <xf numFmtId="0" fontId="274" fillId="0" borderId="95" xfId="2792" applyFont="1" applyBorder="1" applyAlignment="1">
      <alignment horizontal="center" vertical="center"/>
    </xf>
    <xf numFmtId="3" fontId="274" fillId="0" borderId="95" xfId="2792" applyNumberFormat="1" applyFont="1" applyBorder="1" applyAlignment="1">
      <alignment horizontal="center" vertical="center"/>
    </xf>
    <xf numFmtId="9" fontId="274" fillId="0" borderId="95" xfId="2792" applyNumberFormat="1" applyFont="1" applyBorder="1" applyAlignment="1">
      <alignment horizontal="center" vertical="center"/>
    </xf>
    <xf numFmtId="367" fontId="274" fillId="0" borderId="95" xfId="2792" applyNumberFormat="1" applyFont="1" applyBorder="1" applyAlignment="1">
      <alignment horizontal="center" vertical="center"/>
    </xf>
    <xf numFmtId="0" fontId="274" fillId="86" borderId="95" xfId="2792" applyFont="1" applyFill="1" applyBorder="1" applyAlignment="1">
      <alignment horizontal="center" vertical="center"/>
    </xf>
    <xf numFmtId="3" fontId="274" fillId="86" borderId="95" xfId="2792" applyNumberFormat="1" applyFont="1" applyFill="1" applyBorder="1" applyAlignment="1">
      <alignment horizontal="center" vertical="center"/>
    </xf>
    <xf numFmtId="9" fontId="274" fillId="86" borderId="95" xfId="2792" applyNumberFormat="1" applyFont="1" applyFill="1" applyBorder="1" applyAlignment="1">
      <alignment horizontal="center" vertical="center"/>
    </xf>
    <xf numFmtId="367" fontId="274" fillId="86" borderId="95" xfId="2792" applyNumberFormat="1" applyFont="1" applyFill="1" applyBorder="1" applyAlignment="1">
      <alignment horizontal="center" vertical="center"/>
    </xf>
    <xf numFmtId="2" fontId="274" fillId="0" borderId="95" xfId="2792" applyNumberFormat="1" applyFont="1" applyBorder="1" applyAlignment="1">
      <alignment horizontal="center" vertical="center"/>
    </xf>
    <xf numFmtId="281" fontId="274" fillId="0" borderId="95" xfId="2792" applyNumberFormat="1" applyFont="1" applyBorder="1" applyAlignment="1">
      <alignment horizontal="center" vertical="center"/>
    </xf>
    <xf numFmtId="0" fontId="277" fillId="85" borderId="96" xfId="2792" applyFont="1" applyFill="1" applyBorder="1" applyAlignment="1">
      <alignment horizontal="center" vertical="center"/>
    </xf>
    <xf numFmtId="0" fontId="277" fillId="85" borderId="96" xfId="2792" applyFont="1" applyFill="1" applyBorder="1" applyAlignment="1">
      <alignment horizontal="center" vertical="center" wrapText="1"/>
    </xf>
    <xf numFmtId="0" fontId="273" fillId="0" borderId="0" xfId="2792" applyAlignment="1">
      <alignment horizontal="center"/>
    </xf>
    <xf numFmtId="0" fontId="278" fillId="0" borderId="0" xfId="2792" applyFont="1" applyAlignment="1">
      <alignment horizontal="center" vertical="center" textRotation="90"/>
    </xf>
    <xf numFmtId="9" fontId="274" fillId="0" borderId="0" xfId="2792" applyNumberFormat="1" applyFont="1"/>
    <xf numFmtId="367" fontId="273" fillId="0" borderId="0" xfId="2792" applyNumberFormat="1" applyAlignment="1">
      <alignment horizontal="center"/>
    </xf>
    <xf numFmtId="367" fontId="273" fillId="0" borderId="0" xfId="2792" applyNumberFormat="1"/>
    <xf numFmtId="0" fontId="278" fillId="0" borderId="0" xfId="2792" applyFont="1" applyAlignment="1">
      <alignment horizontal="center" vertical="center" textRotation="90" wrapText="1"/>
    </xf>
    <xf numFmtId="0" fontId="279" fillId="0" borderId="0" xfId="2792" applyFont="1" applyAlignment="1">
      <alignment horizontal="center" vertical="center"/>
    </xf>
    <xf numFmtId="0" fontId="274" fillId="0" borderId="0" xfId="2792" applyFont="1" applyAlignment="1">
      <alignment horizontal="center" vertical="center" wrapText="1"/>
    </xf>
    <xf numFmtId="367" fontId="274" fillId="0" borderId="0" xfId="2792" applyNumberFormat="1" applyFont="1" applyAlignment="1">
      <alignment horizontal="center" vertical="center" wrapText="1"/>
    </xf>
    <xf numFmtId="0" fontId="280" fillId="0" borderId="0" xfId="2792" applyFont="1" applyAlignment="1">
      <alignment horizontal="center" vertical="center" wrapText="1"/>
    </xf>
    <xf numFmtId="367" fontId="280" fillId="0" borderId="0" xfId="2792" applyNumberFormat="1" applyFont="1" applyAlignment="1">
      <alignment horizontal="center" vertical="center" wrapText="1"/>
    </xf>
    <xf numFmtId="0" fontId="281" fillId="2" borderId="0" xfId="2793" applyFont="1" applyFill="1" applyAlignment="1">
      <alignment horizontal="center" vertical="center"/>
    </xf>
    <xf numFmtId="43" fontId="281" fillId="2" borderId="0" xfId="2794" applyFont="1" applyFill="1" applyBorder="1" applyAlignment="1">
      <alignment horizontal="center" vertical="center"/>
    </xf>
    <xf numFmtId="0" fontId="282" fillId="2" borderId="0" xfId="2793" applyFont="1" applyFill="1" applyAlignment="1">
      <alignment horizontal="center" vertical="center"/>
    </xf>
    <xf numFmtId="43" fontId="281" fillId="76" borderId="103" xfId="2794" applyFont="1" applyFill="1" applyBorder="1" applyAlignment="1">
      <alignment horizontal="center" vertical="center"/>
    </xf>
    <xf numFmtId="0" fontId="281" fillId="76" borderId="85" xfId="2793" applyFont="1" applyFill="1" applyBorder="1" applyAlignment="1">
      <alignment horizontal="center" vertical="center"/>
    </xf>
    <xf numFmtId="0" fontId="281" fillId="79" borderId="101" xfId="2793" applyFont="1" applyFill="1" applyBorder="1" applyAlignment="1">
      <alignment horizontal="center" vertical="center"/>
    </xf>
    <xf numFmtId="44" fontId="281" fillId="76" borderId="94" xfId="2795" applyFont="1" applyFill="1" applyBorder="1" applyAlignment="1">
      <alignment horizontal="center" vertical="center"/>
    </xf>
    <xf numFmtId="10" fontId="281" fillId="76" borderId="82" xfId="2793" applyNumberFormat="1" applyFont="1" applyFill="1" applyBorder="1" applyAlignment="1">
      <alignment horizontal="center" vertical="center"/>
    </xf>
    <xf numFmtId="44" fontId="281" fillId="2" borderId="0" xfId="2793" applyNumberFormat="1" applyFont="1" applyFill="1" applyAlignment="1">
      <alignment horizontal="center" vertical="center"/>
    </xf>
    <xf numFmtId="0" fontId="281" fillId="75" borderId="86" xfId="2793" applyFont="1" applyFill="1" applyBorder="1" applyAlignment="1">
      <alignment horizontal="center" vertical="center"/>
    </xf>
    <xf numFmtId="0" fontId="281" fillId="75" borderId="87" xfId="2793" applyFont="1" applyFill="1" applyBorder="1" applyAlignment="1">
      <alignment horizontal="center" vertical="center"/>
    </xf>
    <xf numFmtId="0" fontId="281" fillId="75" borderId="90" xfId="2793" applyFont="1" applyFill="1" applyBorder="1" applyAlignment="1">
      <alignment horizontal="center" vertical="center"/>
    </xf>
    <xf numFmtId="43" fontId="281" fillId="75" borderId="88" xfId="2794" applyFont="1" applyFill="1" applyBorder="1" applyAlignment="1">
      <alignment horizontal="center" vertical="center"/>
    </xf>
    <xf numFmtId="44" fontId="281" fillId="75" borderId="89" xfId="2793" applyNumberFormat="1" applyFont="1" applyFill="1" applyBorder="1" applyAlignment="1">
      <alignment horizontal="center" vertical="center"/>
    </xf>
    <xf numFmtId="0" fontId="281" fillId="2" borderId="102" xfId="2793" applyFont="1" applyFill="1" applyBorder="1" applyAlignment="1">
      <alignment horizontal="left" vertical="center"/>
    </xf>
    <xf numFmtId="0" fontId="281" fillId="2" borderId="102" xfId="2793" applyFont="1" applyFill="1" applyBorder="1" applyAlignment="1">
      <alignment horizontal="center" vertical="center"/>
    </xf>
    <xf numFmtId="44" fontId="281" fillId="81" borderId="102" xfId="2793" applyNumberFormat="1" applyFont="1" applyFill="1" applyBorder="1" applyAlignment="1">
      <alignment horizontal="center" vertical="center"/>
    </xf>
    <xf numFmtId="43" fontId="281" fillId="2" borderId="102" xfId="2794" applyFont="1" applyFill="1" applyBorder="1" applyAlignment="1">
      <alignment horizontal="center" vertical="center"/>
    </xf>
    <xf numFmtId="44" fontId="281" fillId="2" borderId="102" xfId="2793" applyNumberFormat="1" applyFont="1" applyFill="1" applyBorder="1" applyAlignment="1">
      <alignment horizontal="center" vertical="center"/>
    </xf>
    <xf numFmtId="0" fontId="281" fillId="2" borderId="101" xfId="2793" applyFont="1" applyFill="1" applyBorder="1" applyAlignment="1">
      <alignment horizontal="left" vertical="center"/>
    </xf>
    <xf numFmtId="0" fontId="281" fillId="2" borderId="101" xfId="2793" applyFont="1" applyFill="1" applyBorder="1" applyAlignment="1">
      <alignment horizontal="center" vertical="center"/>
    </xf>
    <xf numFmtId="44" fontId="281" fillId="81" borderId="101" xfId="2793" applyNumberFormat="1" applyFont="1" applyFill="1" applyBorder="1" applyAlignment="1">
      <alignment horizontal="center" vertical="center"/>
    </xf>
    <xf numFmtId="43" fontId="281" fillId="2" borderId="101" xfId="2794" applyFont="1" applyFill="1" applyBorder="1" applyAlignment="1">
      <alignment horizontal="center" vertical="center"/>
    </xf>
    <xf numFmtId="44" fontId="281" fillId="2" borderId="101" xfId="2793" applyNumberFormat="1" applyFont="1" applyFill="1" applyBorder="1" applyAlignment="1">
      <alignment horizontal="center" vertical="center"/>
    </xf>
    <xf numFmtId="43" fontId="281" fillId="0" borderId="101" xfId="2794" applyFont="1" applyFill="1" applyBorder="1" applyAlignment="1">
      <alignment horizontal="center" vertical="center"/>
    </xf>
    <xf numFmtId="44" fontId="281" fillId="0" borderId="101" xfId="2793" applyNumberFormat="1" applyFont="1" applyBorder="1" applyAlignment="1">
      <alignment horizontal="center" vertical="center"/>
    </xf>
    <xf numFmtId="44" fontId="281" fillId="81" borderId="102" xfId="2796" applyFont="1" applyFill="1" applyBorder="1" applyAlignment="1">
      <alignment horizontal="center" vertical="center"/>
    </xf>
    <xf numFmtId="9" fontId="281" fillId="2" borderId="0" xfId="2793" applyNumberFormat="1" applyFont="1" applyFill="1" applyAlignment="1">
      <alignment horizontal="center" vertical="center"/>
    </xf>
    <xf numFmtId="44" fontId="281" fillId="81" borderId="101" xfId="2796" applyFont="1" applyFill="1" applyBorder="1" applyAlignment="1">
      <alignment horizontal="center" vertical="center"/>
    </xf>
    <xf numFmtId="43" fontId="281" fillId="75" borderId="58" xfId="2794" applyFont="1" applyFill="1" applyBorder="1" applyAlignment="1">
      <alignment horizontal="center" vertical="center"/>
    </xf>
    <xf numFmtId="0" fontId="281" fillId="2" borderId="0" xfId="2793" applyFont="1" applyFill="1" applyAlignment="1">
      <alignment horizontal="center" vertical="center" wrapText="1"/>
    </xf>
    <xf numFmtId="44" fontId="281" fillId="0" borderId="0" xfId="2796" applyFont="1" applyFill="1" applyBorder="1" applyAlignment="1">
      <alignment horizontal="center" vertical="center"/>
    </xf>
    <xf numFmtId="44" fontId="281" fillId="2" borderId="0" xfId="2796" applyFont="1" applyFill="1" applyBorder="1" applyAlignment="1">
      <alignment horizontal="center" vertical="center"/>
    </xf>
    <xf numFmtId="0" fontId="281" fillId="0" borderId="101" xfId="2793" applyFont="1" applyBorder="1" applyAlignment="1">
      <alignment horizontal="left" vertical="center"/>
    </xf>
    <xf numFmtId="0" fontId="281" fillId="0" borderId="101" xfId="2793" applyFont="1" applyBorder="1" applyAlignment="1">
      <alignment horizontal="center" vertical="center"/>
    </xf>
    <xf numFmtId="0" fontId="281" fillId="0" borderId="0" xfId="2793" applyFont="1" applyAlignment="1">
      <alignment horizontal="center" vertical="center"/>
    </xf>
    <xf numFmtId="0" fontId="281" fillId="91" borderId="86" xfId="2793" applyFont="1" applyFill="1" applyBorder="1" applyAlignment="1">
      <alignment horizontal="center" vertical="center"/>
    </xf>
    <xf numFmtId="0" fontId="281" fillId="91" borderId="87" xfId="2793" applyFont="1" applyFill="1" applyBorder="1" applyAlignment="1">
      <alignment horizontal="center" vertical="center"/>
    </xf>
    <xf numFmtId="43" fontId="281" fillId="91" borderId="58" xfId="2794" applyFont="1" applyFill="1" applyBorder="1" applyAlignment="1">
      <alignment horizontal="center" vertical="center"/>
    </xf>
    <xf numFmtId="43" fontId="281" fillId="91" borderId="88" xfId="2794" applyFont="1" applyFill="1" applyBorder="1" applyAlignment="1">
      <alignment horizontal="center" vertical="center"/>
    </xf>
    <xf numFmtId="43" fontId="281" fillId="91" borderId="104" xfId="2794" applyFont="1" applyFill="1" applyBorder="1" applyAlignment="1">
      <alignment horizontal="center" vertical="center"/>
    </xf>
    <xf numFmtId="0" fontId="274" fillId="0" borderId="0" xfId="2792" applyFont="1" applyAlignment="1">
      <alignment horizontal="center" vertical="center"/>
    </xf>
    <xf numFmtId="0" fontId="274" fillId="86" borderId="0" xfId="2792" applyFont="1" applyFill="1" applyAlignment="1">
      <alignment horizontal="center" vertical="center"/>
    </xf>
    <xf numFmtId="0" fontId="273" fillId="0" borderId="0" xfId="2792" applyAlignment="1">
      <alignment horizontal="center" vertical="center"/>
    </xf>
    <xf numFmtId="0" fontId="281" fillId="83" borderId="101" xfId="2793" applyFont="1" applyFill="1" applyBorder="1" applyAlignment="1">
      <alignment horizontal="center" vertical="center"/>
    </xf>
    <xf numFmtId="0" fontId="277" fillId="85" borderId="0" xfId="2792" applyFont="1" applyFill="1" applyAlignment="1">
      <alignment horizontal="center" vertical="center" wrapText="1"/>
    </xf>
    <xf numFmtId="0" fontId="271" fillId="0" borderId="105" xfId="2789" applyFont="1" applyBorder="1" applyAlignment="1">
      <alignment horizontal="center" vertical="top"/>
    </xf>
    <xf numFmtId="0" fontId="271" fillId="0" borderId="102" xfId="2789" applyFont="1" applyBorder="1" applyAlignment="1">
      <alignment horizontal="center" vertical="top"/>
    </xf>
    <xf numFmtId="0" fontId="271" fillId="0" borderId="60" xfId="2789" applyFont="1" applyBorder="1" applyAlignment="1">
      <alignment horizontal="left" vertical="top"/>
    </xf>
    <xf numFmtId="3" fontId="271" fillId="0" borderId="63" xfId="2789" applyNumberFormat="1" applyFont="1" applyBorder="1" applyAlignment="1">
      <alignment horizontal="center" vertical="top"/>
    </xf>
    <xf numFmtId="3" fontId="271" fillId="0" borderId="101" xfId="2789" applyNumberFormat="1" applyFont="1" applyBorder="1" applyAlignment="1">
      <alignment horizontal="center" vertical="top"/>
    </xf>
    <xf numFmtId="3" fontId="271" fillId="0" borderId="62" xfId="2789" applyNumberFormat="1" applyFont="1" applyBorder="1" applyAlignment="1">
      <alignment horizontal="left" vertical="top"/>
    </xf>
    <xf numFmtId="3" fontId="271" fillId="0" borderId="59" xfId="2789" applyNumberFormat="1" applyFont="1" applyBorder="1" applyAlignment="1">
      <alignment horizontal="center" vertical="top"/>
    </xf>
    <xf numFmtId="3" fontId="271" fillId="0" borderId="64" xfId="2789" applyNumberFormat="1" applyFont="1" applyBorder="1" applyAlignment="1">
      <alignment horizontal="left" vertical="top"/>
    </xf>
    <xf numFmtId="3" fontId="271" fillId="0" borderId="15" xfId="2789" applyNumberFormat="1" applyFont="1" applyBorder="1" applyAlignment="1">
      <alignment horizontal="left" vertical="top"/>
    </xf>
    <xf numFmtId="9" fontId="274" fillId="0" borderId="95" xfId="2" applyFont="1" applyBorder="1" applyAlignment="1">
      <alignment horizontal="center" vertical="center"/>
    </xf>
    <xf numFmtId="367" fontId="284" fillId="82" borderId="0" xfId="2792" applyNumberFormat="1" applyFont="1" applyFill="1" applyAlignment="1">
      <alignment horizontal="center"/>
    </xf>
    <xf numFmtId="367" fontId="284" fillId="92" borderId="95" xfId="2792" applyNumberFormat="1" applyFont="1" applyFill="1" applyBorder="1" applyAlignment="1">
      <alignment horizontal="center" vertical="center"/>
    </xf>
    <xf numFmtId="169" fontId="281" fillId="2" borderId="102" xfId="3" applyFont="1" applyFill="1" applyBorder="1" applyAlignment="1">
      <alignment horizontal="center" vertical="center"/>
    </xf>
    <xf numFmtId="367" fontId="275" fillId="93" borderId="66" xfId="2792" applyNumberFormat="1" applyFont="1" applyFill="1" applyBorder="1" applyAlignment="1">
      <alignment horizontal="center" vertical="center" wrapText="1"/>
    </xf>
    <xf numFmtId="9" fontId="11" fillId="0" borderId="69" xfId="0" applyNumberFormat="1" applyFont="1" applyBorder="1" applyAlignment="1">
      <alignment horizontal="center"/>
    </xf>
    <xf numFmtId="0" fontId="277" fillId="0" borderId="96" xfId="2792" applyFont="1" applyBorder="1" applyAlignment="1">
      <alignment horizontal="center" vertical="center" wrapText="1"/>
    </xf>
    <xf numFmtId="0" fontId="272" fillId="0" borderId="0" xfId="2792" applyFont="1"/>
    <xf numFmtId="44" fontId="144" fillId="0" borderId="0" xfId="2792" applyNumberFormat="1" applyFont="1"/>
    <xf numFmtId="0" fontId="144" fillId="0" borderId="101" xfId="2792" applyFont="1" applyBorder="1" applyAlignment="1">
      <alignment horizontal="center"/>
    </xf>
    <xf numFmtId="44" fontId="144" fillId="0" borderId="101" xfId="2792" applyNumberFormat="1" applyFont="1" applyBorder="1"/>
    <xf numFmtId="44" fontId="182" fillId="0" borderId="101" xfId="2792" applyNumberFormat="1" applyFont="1" applyBorder="1"/>
    <xf numFmtId="0" fontId="144" fillId="0" borderId="0" xfId="2792" applyFont="1"/>
    <xf numFmtId="367" fontId="144" fillId="0" borderId="0" xfId="2792" applyNumberFormat="1" applyFont="1"/>
    <xf numFmtId="0" fontId="182" fillId="0" borderId="0" xfId="2792" applyFont="1"/>
    <xf numFmtId="367" fontId="285" fillId="0" borderId="106" xfId="2792" applyNumberFormat="1" applyFont="1" applyBorder="1" applyAlignment="1">
      <alignment horizontal="center" vertical="center"/>
    </xf>
    <xf numFmtId="367" fontId="285" fillId="0" borderId="0" xfId="2792" applyNumberFormat="1" applyFont="1" applyAlignment="1">
      <alignment horizontal="center"/>
    </xf>
    <xf numFmtId="0" fontId="69" fillId="0" borderId="52" xfId="0" applyFont="1" applyBorder="1" applyAlignment="1">
      <alignment horizontal="center" vertical="center"/>
    </xf>
    <xf numFmtId="0" fontId="0" fillId="0" borderId="101" xfId="0" applyBorder="1"/>
    <xf numFmtId="0" fontId="14" fillId="0" borderId="88" xfId="0" applyFont="1" applyBorder="1" applyAlignment="1">
      <alignment horizontal="center" vertical="center" wrapText="1"/>
    </xf>
    <xf numFmtId="0" fontId="14" fillId="0" borderId="89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0" fontId="0" fillId="0" borderId="0" xfId="2" applyNumberFormat="1" applyFont="1" applyAlignment="1">
      <alignment horizontal="center"/>
    </xf>
    <xf numFmtId="0" fontId="272" fillId="0" borderId="0" xfId="2790"/>
    <xf numFmtId="164" fontId="272" fillId="0" borderId="0" xfId="2790" applyNumberFormat="1"/>
    <xf numFmtId="10" fontId="272" fillId="0" borderId="0" xfId="2790" applyNumberFormat="1"/>
    <xf numFmtId="0" fontId="274" fillId="0" borderId="0" xfId="2790" applyFont="1"/>
    <xf numFmtId="367" fontId="274" fillId="0" borderId="0" xfId="2790" applyNumberFormat="1" applyFont="1"/>
    <xf numFmtId="164" fontId="274" fillId="0" borderId="0" xfId="2790" applyNumberFormat="1" applyFont="1" applyAlignment="1">
      <alignment horizontal="center"/>
    </xf>
    <xf numFmtId="9" fontId="274" fillId="0" borderId="0" xfId="2790" applyNumberFormat="1" applyFont="1" applyAlignment="1">
      <alignment horizontal="center"/>
    </xf>
    <xf numFmtId="9" fontId="274" fillId="0" borderId="0" xfId="2790" applyNumberFormat="1" applyFont="1"/>
    <xf numFmtId="10" fontId="274" fillId="0" borderId="0" xfId="2790" applyNumberFormat="1" applyFont="1"/>
    <xf numFmtId="3" fontId="274" fillId="0" borderId="0" xfId="2790" applyNumberFormat="1" applyFont="1" applyAlignment="1">
      <alignment horizontal="center"/>
    </xf>
    <xf numFmtId="0" fontId="274" fillId="0" borderId="0" xfId="2790" applyFont="1" applyAlignment="1">
      <alignment horizontal="center"/>
    </xf>
    <xf numFmtId="367" fontId="280" fillId="0" borderId="0" xfId="2790" applyNumberFormat="1" applyFont="1" applyAlignment="1">
      <alignment horizontal="center" vertical="center" wrapText="1"/>
    </xf>
    <xf numFmtId="367" fontId="274" fillId="0" borderId="0" xfId="2790" applyNumberFormat="1" applyFont="1" applyAlignment="1">
      <alignment horizontal="center" vertical="center" wrapText="1"/>
    </xf>
    <xf numFmtId="0" fontId="272" fillId="0" borderId="0" xfId="2790" applyAlignment="1">
      <alignment horizontal="center"/>
    </xf>
    <xf numFmtId="0" fontId="279" fillId="0" borderId="0" xfId="2790" applyFont="1" applyAlignment="1">
      <alignment horizontal="center" vertical="center"/>
    </xf>
    <xf numFmtId="0" fontId="278" fillId="0" borderId="0" xfId="2790" applyFont="1" applyAlignment="1">
      <alignment horizontal="center" vertical="center" textRotation="90" wrapText="1"/>
    </xf>
    <xf numFmtId="10" fontId="274" fillId="0" borderId="0" xfId="2790" applyNumberFormat="1" applyFont="1" applyAlignment="1">
      <alignment horizontal="center"/>
    </xf>
    <xf numFmtId="0" fontId="278" fillId="0" borderId="0" xfId="2790" applyFont="1" applyAlignment="1">
      <alignment horizontal="center" vertical="center" textRotation="90"/>
    </xf>
    <xf numFmtId="367" fontId="274" fillId="0" borderId="0" xfId="2790" applyNumberFormat="1" applyFont="1" applyAlignment="1">
      <alignment horizontal="center"/>
    </xf>
    <xf numFmtId="367" fontId="272" fillId="0" borderId="0" xfId="2790" applyNumberFormat="1"/>
    <xf numFmtId="164" fontId="272" fillId="0" borderId="0" xfId="2790" applyNumberFormat="1" applyAlignment="1">
      <alignment horizontal="center"/>
    </xf>
    <xf numFmtId="164" fontId="274" fillId="0" borderId="95" xfId="2790" applyNumberFormat="1" applyFont="1" applyBorder="1" applyAlignment="1">
      <alignment horizontal="center" vertical="center"/>
    </xf>
    <xf numFmtId="9" fontId="274" fillId="0" borderId="95" xfId="2790" applyNumberFormat="1" applyFont="1" applyBorder="1" applyAlignment="1">
      <alignment horizontal="center" vertical="center"/>
    </xf>
    <xf numFmtId="10" fontId="274" fillId="0" borderId="95" xfId="2790" applyNumberFormat="1" applyFont="1" applyBorder="1" applyAlignment="1">
      <alignment horizontal="center" vertical="center"/>
    </xf>
    <xf numFmtId="0" fontId="274" fillId="0" borderId="95" xfId="2790" applyFont="1" applyBorder="1" applyAlignment="1">
      <alignment horizontal="center" vertical="center"/>
    </xf>
    <xf numFmtId="0" fontId="274" fillId="0" borderId="95" xfId="2790" applyFont="1" applyBorder="1" applyAlignment="1">
      <alignment horizontal="center" vertical="center" wrapText="1"/>
    </xf>
    <xf numFmtId="0" fontId="274" fillId="0" borderId="107" xfId="2790" applyFont="1" applyBorder="1" applyAlignment="1">
      <alignment horizontal="center" vertical="center"/>
    </xf>
    <xf numFmtId="44" fontId="274" fillId="0" borderId="95" xfId="2790" applyNumberFormat="1" applyFont="1" applyBorder="1" applyAlignment="1">
      <alignment horizontal="center" vertical="center"/>
    </xf>
    <xf numFmtId="10" fontId="274" fillId="0" borderId="95" xfId="2" applyNumberFormat="1" applyFont="1" applyBorder="1" applyAlignment="1">
      <alignment horizontal="center" vertical="center"/>
    </xf>
    <xf numFmtId="3" fontId="274" fillId="0" borderId="95" xfId="2790" applyNumberFormat="1" applyFont="1" applyBorder="1" applyAlignment="1">
      <alignment horizontal="center" vertical="center"/>
    </xf>
    <xf numFmtId="367" fontId="274" fillId="86" borderId="95" xfId="2790" applyNumberFormat="1" applyFont="1" applyFill="1" applyBorder="1" applyAlignment="1">
      <alignment horizontal="center" vertical="center"/>
    </xf>
    <xf numFmtId="164" fontId="274" fillId="86" borderId="95" xfId="2790" applyNumberFormat="1" applyFont="1" applyFill="1" applyBorder="1" applyAlignment="1">
      <alignment horizontal="center" vertical="center"/>
    </xf>
    <xf numFmtId="9" fontId="274" fillId="86" borderId="95" xfId="2790" applyNumberFormat="1" applyFont="1" applyFill="1" applyBorder="1" applyAlignment="1">
      <alignment horizontal="center" vertical="center"/>
    </xf>
    <xf numFmtId="10" fontId="274" fillId="86" borderId="95" xfId="2790" applyNumberFormat="1" applyFont="1" applyFill="1" applyBorder="1" applyAlignment="1">
      <alignment horizontal="center" vertical="center"/>
    </xf>
    <xf numFmtId="3" fontId="274" fillId="86" borderId="95" xfId="2790" applyNumberFormat="1" applyFont="1" applyFill="1" applyBorder="1" applyAlignment="1">
      <alignment horizontal="center" vertical="center"/>
    </xf>
    <xf numFmtId="0" fontId="274" fillId="86" borderId="95" xfId="2790" applyFont="1" applyFill="1" applyBorder="1" applyAlignment="1">
      <alignment horizontal="center" vertical="center"/>
    </xf>
    <xf numFmtId="0" fontId="274" fillId="86" borderId="107" xfId="2790" applyFont="1" applyFill="1" applyBorder="1" applyAlignment="1">
      <alignment horizontal="center" vertical="center"/>
    </xf>
    <xf numFmtId="0" fontId="274" fillId="86" borderId="0" xfId="2790" applyFont="1" applyFill="1" applyAlignment="1">
      <alignment horizontal="center" vertical="center"/>
    </xf>
    <xf numFmtId="0" fontId="274" fillId="86" borderId="0" xfId="2790" applyFont="1" applyFill="1"/>
    <xf numFmtId="0" fontId="274" fillId="0" borderId="107" xfId="2790" applyFont="1" applyBorder="1" applyAlignment="1">
      <alignment horizontal="center" vertical="center" wrapText="1"/>
    </xf>
    <xf numFmtId="0" fontId="274" fillId="86" borderId="108" xfId="2790" applyFont="1" applyFill="1" applyBorder="1" applyAlignment="1">
      <alignment horizontal="center" vertical="center"/>
    </xf>
    <xf numFmtId="164" fontId="274" fillId="0" borderId="95" xfId="2773" applyNumberFormat="1" applyFont="1" applyBorder="1" applyAlignment="1">
      <alignment horizontal="center" vertical="center"/>
    </xf>
    <xf numFmtId="0" fontId="274" fillId="0" borderId="108" xfId="2790" applyFont="1" applyBorder="1" applyAlignment="1">
      <alignment horizontal="center" vertical="center"/>
    </xf>
    <xf numFmtId="164" fontId="274" fillId="0" borderId="95" xfId="2" applyNumberFormat="1" applyFont="1" applyBorder="1" applyAlignment="1">
      <alignment horizontal="center" vertical="center"/>
    </xf>
    <xf numFmtId="44" fontId="274" fillId="0" borderId="0" xfId="2790" applyNumberFormat="1" applyFont="1" applyAlignment="1">
      <alignment horizontal="center" vertical="center"/>
    </xf>
    <xf numFmtId="367" fontId="275" fillId="87" borderId="68" xfId="2790" applyNumberFormat="1" applyFont="1" applyFill="1" applyBorder="1" applyAlignment="1">
      <alignment horizontal="center" vertical="center"/>
    </xf>
    <xf numFmtId="164" fontId="275" fillId="87" borderId="97" xfId="2790" applyNumberFormat="1" applyFont="1" applyFill="1" applyBorder="1" applyAlignment="1">
      <alignment horizontal="center" vertical="center"/>
    </xf>
    <xf numFmtId="9" fontId="275" fillId="87" borderId="97" xfId="2790" applyNumberFormat="1" applyFont="1" applyFill="1" applyBorder="1" applyAlignment="1">
      <alignment horizontal="center" vertical="center"/>
    </xf>
    <xf numFmtId="0" fontId="275" fillId="87" borderId="97" xfId="2790" applyFont="1" applyFill="1" applyBorder="1" applyAlignment="1">
      <alignment horizontal="center" vertical="center"/>
    </xf>
    <xf numFmtId="10" fontId="275" fillId="87" borderId="67" xfId="2790" applyNumberFormat="1" applyFont="1" applyFill="1" applyBorder="1" applyAlignment="1">
      <alignment horizontal="center" vertical="center"/>
    </xf>
    <xf numFmtId="3" fontId="275" fillId="87" borderId="67" xfId="2790" applyNumberFormat="1" applyFont="1" applyFill="1" applyBorder="1" applyAlignment="1">
      <alignment horizontal="center" vertical="center"/>
    </xf>
    <xf numFmtId="0" fontId="275" fillId="87" borderId="67" xfId="2790" applyFont="1" applyFill="1" applyBorder="1" applyAlignment="1">
      <alignment horizontal="center" vertical="center"/>
    </xf>
    <xf numFmtId="367" fontId="275" fillId="87" borderId="66" xfId="2790" applyNumberFormat="1" applyFont="1" applyFill="1" applyBorder="1" applyAlignment="1">
      <alignment horizontal="center" vertical="center" wrapText="1"/>
    </xf>
    <xf numFmtId="164" fontId="275" fillId="87" borderId="100" xfId="2790" applyNumberFormat="1" applyFont="1" applyFill="1" applyBorder="1" applyAlignment="1">
      <alignment horizontal="center" vertical="center" wrapText="1"/>
    </xf>
    <xf numFmtId="9" fontId="275" fillId="87" borderId="100" xfId="2790" applyNumberFormat="1" applyFont="1" applyFill="1" applyBorder="1" applyAlignment="1">
      <alignment horizontal="center" vertical="center" wrapText="1"/>
    </xf>
    <xf numFmtId="0" fontId="275" fillId="87" borderId="100" xfId="2790" applyFont="1" applyFill="1" applyBorder="1" applyAlignment="1">
      <alignment horizontal="center" vertical="center" wrapText="1"/>
    </xf>
    <xf numFmtId="10" fontId="275" fillId="87" borderId="65" xfId="2790" applyNumberFormat="1" applyFont="1" applyFill="1" applyBorder="1" applyAlignment="1">
      <alignment horizontal="center" vertical="center" wrapText="1"/>
    </xf>
    <xf numFmtId="3" fontId="275" fillId="87" borderId="65" xfId="2790" applyNumberFormat="1" applyFont="1" applyFill="1" applyBorder="1" applyAlignment="1">
      <alignment horizontal="center" vertical="center" wrapText="1"/>
    </xf>
    <xf numFmtId="0" fontId="275" fillId="87" borderId="65" xfId="2790" applyFont="1" applyFill="1" applyBorder="1" applyAlignment="1">
      <alignment horizontal="center" vertical="center" wrapText="1"/>
    </xf>
    <xf numFmtId="2" fontId="11" fillId="0" borderId="101" xfId="0" applyNumberFormat="1" applyFont="1" applyBorder="1" applyAlignment="1">
      <alignment horizontal="center" vertical="center"/>
    </xf>
    <xf numFmtId="10" fontId="11" fillId="0" borderId="0" xfId="0" applyNumberFormat="1" applyFont="1"/>
    <xf numFmtId="3" fontId="11" fillId="0" borderId="0" xfId="0" applyNumberFormat="1" applyFont="1"/>
    <xf numFmtId="2" fontId="11" fillId="0" borderId="3" xfId="0" applyNumberFormat="1" applyFont="1" applyBorder="1" applyAlignment="1">
      <alignment horizontal="center" vertical="center"/>
    </xf>
    <xf numFmtId="365" fontId="11" fillId="0" borderId="82" xfId="0" applyNumberFormat="1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 wrapText="1"/>
    </xf>
    <xf numFmtId="0" fontId="14" fillId="0" borderId="113" xfId="0" applyFont="1" applyBorder="1" applyAlignment="1">
      <alignment horizontal="center" vertical="center" wrapText="1"/>
    </xf>
    <xf numFmtId="169" fontId="14" fillId="0" borderId="69" xfId="3" applyFont="1" applyFill="1" applyBorder="1" applyAlignment="1">
      <alignment horizontal="center" vertical="center"/>
    </xf>
    <xf numFmtId="0" fontId="14" fillId="0" borderId="5" xfId="1" applyFont="1" applyBorder="1" applyAlignment="1">
      <alignment horizontal="center" vertical="center" wrapText="1"/>
    </xf>
    <xf numFmtId="0" fontId="281" fillId="0" borderId="0" xfId="2793" applyFont="1" applyAlignment="1">
      <alignment horizontal="left" vertical="center"/>
    </xf>
    <xf numFmtId="0" fontId="69" fillId="2" borderId="15" xfId="0" applyFont="1" applyFill="1" applyBorder="1" applyAlignment="1">
      <alignment vertical="center"/>
    </xf>
    <xf numFmtId="0" fontId="69" fillId="2" borderId="54" xfId="0" applyFont="1" applyFill="1" applyBorder="1" applyAlignment="1">
      <alignment vertical="center"/>
    </xf>
    <xf numFmtId="171" fontId="14" fillId="76" borderId="102" xfId="0" applyNumberFormat="1" applyFont="1" applyFill="1" applyBorder="1" applyAlignment="1">
      <alignment vertical="center"/>
    </xf>
    <xf numFmtId="171" fontId="14" fillId="76" borderId="102" xfId="0" applyNumberFormat="1" applyFont="1" applyFill="1" applyBorder="1" applyAlignment="1">
      <alignment horizontal="center" vertical="center"/>
    </xf>
    <xf numFmtId="171" fontId="11" fillId="77" borderId="15" xfId="0" applyNumberFormat="1" applyFont="1" applyFill="1" applyBorder="1" applyAlignment="1">
      <alignment vertical="center"/>
    </xf>
    <xf numFmtId="171" fontId="11" fillId="77" borderId="54" xfId="0" applyNumberFormat="1" applyFont="1" applyFill="1" applyBorder="1" applyAlignment="1">
      <alignment vertical="center"/>
    </xf>
    <xf numFmtId="169" fontId="11" fillId="77" borderId="54" xfId="7" applyFont="1" applyFill="1" applyBorder="1" applyAlignment="1">
      <alignment vertical="center"/>
    </xf>
    <xf numFmtId="169" fontId="11" fillId="77" borderId="59" xfId="7" applyFont="1" applyFill="1" applyBorder="1" applyAlignment="1">
      <alignment vertical="center"/>
    </xf>
    <xf numFmtId="171" fontId="11" fillId="77" borderId="60" xfId="0" applyNumberFormat="1" applyFont="1" applyFill="1" applyBorder="1" applyAlignment="1">
      <alignment vertical="center"/>
    </xf>
    <xf numFmtId="171" fontId="11" fillId="77" borderId="52" xfId="0" applyNumberFormat="1" applyFont="1" applyFill="1" applyBorder="1" applyAlignment="1">
      <alignment vertical="center"/>
    </xf>
    <xf numFmtId="169" fontId="11" fillId="77" borderId="52" xfId="7" applyFont="1" applyFill="1" applyBorder="1" applyAlignment="1">
      <alignment vertical="center"/>
    </xf>
    <xf numFmtId="169" fontId="11" fillId="77" borderId="52" xfId="7" applyFont="1" applyFill="1" applyBorder="1" applyAlignment="1">
      <alignment horizontal="center" vertical="center"/>
    </xf>
    <xf numFmtId="169" fontId="14" fillId="77" borderId="52" xfId="7" applyFont="1" applyFill="1" applyBorder="1" applyAlignment="1">
      <alignment vertical="center"/>
    </xf>
    <xf numFmtId="169" fontId="11" fillId="77" borderId="105" xfId="7" applyFont="1" applyFill="1" applyBorder="1" applyAlignment="1">
      <alignment horizontal="center" vertical="center"/>
    </xf>
    <xf numFmtId="330" fontId="14" fillId="0" borderId="0" xfId="0" applyNumberFormat="1" applyFont="1" applyAlignment="1">
      <alignment horizontal="center" vertical="center"/>
    </xf>
    <xf numFmtId="0" fontId="14" fillId="0" borderId="101" xfId="0" applyFont="1" applyBorder="1" applyAlignment="1">
      <alignment horizontal="center" vertical="center" wrapText="1"/>
    </xf>
    <xf numFmtId="44" fontId="11" fillId="2" borderId="101" xfId="851" applyFont="1" applyFill="1" applyBorder="1" applyAlignment="1">
      <alignment horizontal="center" vertical="center" wrapText="1"/>
    </xf>
    <xf numFmtId="44" fontId="14" fillId="2" borderId="101" xfId="851" applyFont="1" applyFill="1" applyBorder="1" applyAlignment="1">
      <alignment horizontal="center" vertical="center" wrapText="1"/>
    </xf>
    <xf numFmtId="172" fontId="259" fillId="78" borderId="71" xfId="2" applyNumberFormat="1" applyFont="1" applyFill="1" applyBorder="1" applyAlignment="1">
      <alignment horizontal="center" vertical="center" wrapText="1"/>
    </xf>
    <xf numFmtId="172" fontId="11" fillId="0" borderId="71" xfId="2" applyNumberFormat="1" applyFont="1" applyFill="1" applyBorder="1" applyAlignment="1">
      <alignment horizontal="center" vertical="center" wrapText="1"/>
    </xf>
    <xf numFmtId="172" fontId="11" fillId="2" borderId="71" xfId="2" applyNumberFormat="1" applyFont="1" applyFill="1" applyBorder="1" applyAlignment="1">
      <alignment horizontal="center" vertical="center" wrapText="1"/>
    </xf>
    <xf numFmtId="172" fontId="14" fillId="2" borderId="71" xfId="2" applyNumberFormat="1" applyFont="1" applyFill="1" applyBorder="1" applyAlignment="1">
      <alignment horizontal="center" vertical="center" wrapText="1"/>
    </xf>
    <xf numFmtId="172" fontId="40" fillId="0" borderId="2" xfId="2" applyNumberFormat="1" applyFont="1" applyFill="1" applyBorder="1" applyAlignment="1">
      <alignment horizontal="center" vertical="center"/>
    </xf>
    <xf numFmtId="9" fontId="12" fillId="0" borderId="0" xfId="0" applyNumberFormat="1" applyFont="1" applyAlignment="1">
      <alignment vertical="center"/>
    </xf>
    <xf numFmtId="0" fontId="14" fillId="79" borderId="103" xfId="18" applyFont="1" applyFill="1" applyBorder="1" applyAlignment="1">
      <alignment horizontal="center" vertical="center" wrapText="1"/>
    </xf>
    <xf numFmtId="0" fontId="11" fillId="2" borderId="93" xfId="18" applyFill="1" applyBorder="1" applyAlignment="1">
      <alignment horizontal="center" wrapText="1"/>
    </xf>
    <xf numFmtId="0" fontId="11" fillId="2" borderId="94" xfId="18" applyFill="1" applyBorder="1" applyAlignment="1">
      <alignment horizontal="center" wrapText="1"/>
    </xf>
    <xf numFmtId="0" fontId="11" fillId="2" borderId="0" xfId="18" applyFill="1" applyAlignment="1">
      <alignment horizontal="center" wrapText="1"/>
    </xf>
    <xf numFmtId="0" fontId="69" fillId="2" borderId="58" xfId="18" applyFont="1" applyFill="1" applyBorder="1" applyAlignment="1">
      <alignment vertical="center" wrapText="1"/>
    </xf>
    <xf numFmtId="0" fontId="14" fillId="0" borderId="101" xfId="18" applyFont="1" applyBorder="1" applyAlignment="1">
      <alignment horizontal="left" vertical="center" wrapText="1"/>
    </xf>
    <xf numFmtId="0" fontId="14" fillId="0" borderId="101" xfId="1282" applyFont="1" applyBorder="1" applyAlignment="1">
      <alignment horizontal="left" wrapText="1"/>
    </xf>
    <xf numFmtId="0" fontId="11" fillId="0" borderId="101" xfId="1282" applyBorder="1" applyAlignment="1">
      <alignment horizontal="left" wrapText="1"/>
    </xf>
    <xf numFmtId="0" fontId="14" fillId="2" borderId="101" xfId="1282" applyFont="1" applyFill="1" applyBorder="1" applyAlignment="1">
      <alignment horizontal="left" wrapText="1"/>
    </xf>
    <xf numFmtId="0" fontId="11" fillId="2" borderId="101" xfId="1282" applyFill="1" applyBorder="1" applyAlignment="1">
      <alignment horizontal="left" wrapText="1"/>
    </xf>
    <xf numFmtId="0" fontId="14" fillId="0" borderId="62" xfId="1282" applyFont="1" applyBorder="1" applyAlignment="1">
      <alignment wrapText="1"/>
    </xf>
    <xf numFmtId="0" fontId="11" fillId="2" borderId="0" xfId="18" applyFill="1" applyAlignment="1">
      <alignment wrapText="1"/>
    </xf>
    <xf numFmtId="0" fontId="14" fillId="0" borderId="0" xfId="18" applyFont="1" applyAlignment="1">
      <alignment horizontal="left" vertical="center" wrapText="1"/>
    </xf>
    <xf numFmtId="0" fontId="11" fillId="2" borderId="86" xfId="18" applyFill="1" applyBorder="1" applyAlignment="1">
      <alignment wrapText="1"/>
    </xf>
    <xf numFmtId="0" fontId="11" fillId="2" borderId="102" xfId="18" applyFill="1" applyBorder="1" applyAlignment="1">
      <alignment wrapText="1"/>
    </xf>
    <xf numFmtId="0" fontId="11" fillId="2" borderId="101" xfId="18" applyFill="1" applyBorder="1" applyAlignment="1">
      <alignment wrapText="1"/>
    </xf>
    <xf numFmtId="0" fontId="0" fillId="34" borderId="0" xfId="0" applyFill="1"/>
    <xf numFmtId="0" fontId="0" fillId="33" borderId="0" xfId="0" applyFill="1"/>
    <xf numFmtId="0" fontId="2" fillId="94" borderId="0" xfId="2799" applyNumberFormat="1" applyFont="1" applyFill="1"/>
    <xf numFmtId="0" fontId="2" fillId="95" borderId="0" xfId="2799" applyNumberFormat="1" applyFont="1" applyFill="1"/>
    <xf numFmtId="0" fontId="19" fillId="0" borderId="0" xfId="0" applyFont="1" applyAlignment="1">
      <alignment horizontal="center"/>
    </xf>
    <xf numFmtId="0" fontId="2" fillId="0" borderId="0" xfId="2799" applyNumberFormat="1" applyFont="1" applyFill="1"/>
    <xf numFmtId="43" fontId="0" fillId="74" borderId="0" xfId="2799" applyFont="1" applyFill="1"/>
    <xf numFmtId="0" fontId="0" fillId="35" borderId="0" xfId="0" applyFill="1"/>
    <xf numFmtId="43" fontId="0" fillId="0" borderId="0" xfId="0" applyNumberFormat="1"/>
    <xf numFmtId="43" fontId="2" fillId="0" borderId="0" xfId="2799" applyFont="1" applyFill="1"/>
    <xf numFmtId="43" fontId="0" fillId="0" borderId="0" xfId="2799" applyFont="1"/>
    <xf numFmtId="8" fontId="0" fillId="0" borderId="0" xfId="0" applyNumberFormat="1"/>
    <xf numFmtId="8" fontId="0" fillId="34" borderId="0" xfId="0" applyNumberFormat="1" applyFill="1"/>
    <xf numFmtId="8" fontId="0" fillId="33" borderId="0" xfId="0" applyNumberFormat="1" applyFill="1"/>
    <xf numFmtId="0" fontId="2" fillId="94" borderId="0" xfId="2799" applyNumberFormat="1" applyFont="1" applyFill="1" applyAlignment="1">
      <alignment horizontal="center"/>
    </xf>
    <xf numFmtId="0" fontId="19" fillId="0" borderId="0" xfId="0" applyFont="1"/>
    <xf numFmtId="0" fontId="264" fillId="0" borderId="0" xfId="2799" applyNumberFormat="1" applyFont="1" applyAlignment="1">
      <alignment horizontal="center"/>
    </xf>
    <xf numFmtId="1" fontId="2" fillId="74" borderId="0" xfId="2799" applyNumberFormat="1" applyFont="1" applyFill="1"/>
    <xf numFmtId="44" fontId="7" fillId="74" borderId="101" xfId="2788" applyNumberFormat="1" applyFill="1" applyBorder="1"/>
    <xf numFmtId="0" fontId="7" fillId="0" borderId="101" xfId="2788" applyBorder="1"/>
    <xf numFmtId="0" fontId="217" fillId="2" borderId="0" xfId="18" applyFont="1" applyFill="1" applyAlignment="1">
      <alignment wrapText="1"/>
    </xf>
    <xf numFmtId="330" fontId="14" fillId="84" borderId="2" xfId="0" applyNumberFormat="1" applyFont="1" applyFill="1" applyBorder="1" applyAlignment="1">
      <alignment horizontal="center" vertical="center"/>
    </xf>
    <xf numFmtId="0" fontId="14" fillId="84" borderId="0" xfId="0" applyFont="1" applyFill="1"/>
    <xf numFmtId="0" fontId="14" fillId="84" borderId="2" xfId="0" applyFont="1" applyFill="1" applyBorder="1"/>
    <xf numFmtId="169" fontId="0" fillId="0" borderId="0" xfId="3" applyFont="1"/>
    <xf numFmtId="0" fontId="11" fillId="0" borderId="101" xfId="0" applyFont="1" applyBorder="1" applyAlignment="1">
      <alignment horizontal="center"/>
    </xf>
    <xf numFmtId="43" fontId="11" fillId="0" borderId="0" xfId="0" applyNumberFormat="1" applyFont="1"/>
    <xf numFmtId="0" fontId="14" fillId="2" borderId="101" xfId="0" applyFont="1" applyFill="1" applyBorder="1" applyAlignment="1">
      <alignment horizontal="center" vertical="center" wrapText="1"/>
    </xf>
    <xf numFmtId="330" fontId="11" fillId="0" borderId="101" xfId="0" applyNumberFormat="1" applyFont="1" applyBorder="1" applyAlignment="1">
      <alignment horizontal="center" vertical="center"/>
    </xf>
    <xf numFmtId="0" fontId="14" fillId="0" borderId="101" xfId="0" applyFont="1" applyBorder="1"/>
    <xf numFmtId="0" fontId="11" fillId="2" borderId="101" xfId="0" applyFont="1" applyFill="1" applyBorder="1" applyAlignment="1">
      <alignment horizontal="center" vertical="center"/>
    </xf>
    <xf numFmtId="44" fontId="11" fillId="0" borderId="0" xfId="0" applyNumberFormat="1" applyFont="1"/>
    <xf numFmtId="0" fontId="2" fillId="89" borderId="0" xfId="2799" applyNumberFormat="1" applyFont="1" applyFill="1"/>
    <xf numFmtId="0" fontId="0" fillId="89" borderId="0" xfId="0" applyFill="1"/>
    <xf numFmtId="0" fontId="1" fillId="0" borderId="0" xfId="2799" applyNumberFormat="1" applyFont="1" applyFill="1"/>
    <xf numFmtId="0" fontId="1" fillId="0" borderId="0" xfId="2799" applyNumberFormat="1" applyFont="1" applyFill="1" applyAlignment="1">
      <alignment horizontal="center" vertical="center"/>
    </xf>
    <xf numFmtId="10" fontId="2" fillId="0" borderId="0" xfId="2799" applyNumberFormat="1" applyFont="1" applyFill="1"/>
    <xf numFmtId="0" fontId="2" fillId="0" borderId="101" xfId="2799" applyNumberFormat="1" applyFont="1" applyFill="1" applyBorder="1"/>
    <xf numFmtId="0" fontId="1" fillId="0" borderId="101" xfId="2799" applyNumberFormat="1" applyFont="1" applyFill="1" applyBorder="1" applyAlignment="1">
      <alignment horizontal="center" vertical="center"/>
    </xf>
    <xf numFmtId="0" fontId="2" fillId="0" borderId="101" xfId="2799" applyNumberFormat="1" applyFont="1" applyFill="1" applyBorder="1" applyAlignment="1">
      <alignment horizontal="center" vertical="center"/>
    </xf>
    <xf numFmtId="10" fontId="2" fillId="0" borderId="101" xfId="2799" applyNumberFormat="1" applyFont="1" applyFill="1" applyBorder="1" applyAlignment="1">
      <alignment horizontal="center" vertical="center"/>
    </xf>
    <xf numFmtId="0" fontId="2" fillId="0" borderId="101" xfId="2799" applyNumberFormat="1" applyFont="1" applyFill="1" applyBorder="1" applyAlignment="1">
      <alignment horizontal="center"/>
    </xf>
    <xf numFmtId="0" fontId="264" fillId="0" borderId="101" xfId="2799" applyNumberFormat="1" applyFont="1" applyFill="1" applyBorder="1"/>
    <xf numFmtId="0" fontId="264" fillId="76" borderId="101" xfId="2799" applyNumberFormat="1" applyFont="1" applyFill="1" applyBorder="1" applyAlignment="1">
      <alignment horizontal="center" vertical="center"/>
    </xf>
    <xf numFmtId="0" fontId="1" fillId="76" borderId="101" xfId="2799" applyNumberFormat="1" applyFont="1" applyFill="1" applyBorder="1" applyAlignment="1">
      <alignment horizontal="center" vertical="center"/>
    </xf>
    <xf numFmtId="10" fontId="2" fillId="0" borderId="101" xfId="2799" applyNumberFormat="1" applyFont="1" applyFill="1" applyBorder="1" applyAlignment="1">
      <alignment horizontal="center"/>
    </xf>
    <xf numFmtId="10" fontId="2" fillId="0" borderId="117" xfId="2799" applyNumberFormat="1" applyFont="1" applyFill="1" applyBorder="1" applyAlignment="1">
      <alignment horizontal="center" vertical="center"/>
    </xf>
    <xf numFmtId="10" fontId="2" fillId="0" borderId="3" xfId="2799" applyNumberFormat="1" applyFont="1" applyFill="1" applyBorder="1" applyAlignment="1">
      <alignment horizontal="center" vertical="center"/>
    </xf>
    <xf numFmtId="10" fontId="2" fillId="0" borderId="102" xfId="2799" applyNumberFormat="1" applyFont="1" applyFill="1" applyBorder="1" applyAlignment="1">
      <alignment horizontal="center" vertical="center"/>
    </xf>
    <xf numFmtId="10" fontId="264" fillId="0" borderId="101" xfId="2799" applyNumberFormat="1" applyFont="1" applyFill="1" applyBorder="1" applyAlignment="1">
      <alignment horizontal="center"/>
    </xf>
    <xf numFmtId="0" fontId="1" fillId="76" borderId="101" xfId="2799" applyNumberFormat="1" applyFont="1" applyFill="1" applyBorder="1" applyAlignment="1">
      <alignment wrapText="1"/>
    </xf>
    <xf numFmtId="0" fontId="1" fillId="76" borderId="101" xfId="2799" applyNumberFormat="1" applyFont="1" applyFill="1" applyBorder="1"/>
    <xf numFmtId="0" fontId="264" fillId="76" borderId="101" xfId="2799" applyNumberFormat="1" applyFont="1" applyFill="1" applyBorder="1" applyAlignment="1">
      <alignment wrapText="1"/>
    </xf>
    <xf numFmtId="0" fontId="264" fillId="76" borderId="101" xfId="2799" applyNumberFormat="1" applyFont="1" applyFill="1" applyBorder="1" applyAlignment="1">
      <alignment horizontal="right"/>
    </xf>
    <xf numFmtId="0" fontId="264" fillId="0" borderId="101" xfId="2799" applyNumberFormat="1" applyFont="1" applyFill="1" applyBorder="1" applyAlignment="1">
      <alignment horizontal="center"/>
    </xf>
    <xf numFmtId="0" fontId="264" fillId="76" borderId="101" xfId="2799" applyNumberFormat="1" applyFont="1" applyFill="1" applyBorder="1" applyAlignment="1">
      <alignment horizontal="center" vertical="center" wrapText="1"/>
    </xf>
    <xf numFmtId="0" fontId="19" fillId="0" borderId="101" xfId="0" applyFont="1" applyBorder="1" applyAlignment="1">
      <alignment horizontal="center"/>
    </xf>
    <xf numFmtId="3" fontId="265" fillId="0" borderId="59" xfId="2789" applyNumberFormat="1" applyFont="1" applyBorder="1" applyAlignment="1">
      <alignment horizontal="center" vertical="top"/>
    </xf>
    <xf numFmtId="3" fontId="265" fillId="0" borderId="64" xfId="2789" applyNumberFormat="1" applyFont="1" applyBorder="1" applyAlignment="1">
      <alignment horizontal="center" vertical="top"/>
    </xf>
    <xf numFmtId="3" fontId="265" fillId="0" borderId="15" xfId="2789" applyNumberFormat="1" applyFont="1" applyBorder="1" applyAlignment="1">
      <alignment horizontal="center" vertical="top"/>
    </xf>
    <xf numFmtId="3" fontId="271" fillId="0" borderId="62" xfId="2789" applyNumberFormat="1" applyFont="1" applyBorder="1" applyAlignment="1">
      <alignment horizontal="center" vertical="top"/>
    </xf>
    <xf numFmtId="0" fontId="264" fillId="83" borderId="69" xfId="0" applyFont="1" applyFill="1" applyBorder="1" applyAlignment="1">
      <alignment horizontal="center" vertical="center"/>
    </xf>
    <xf numFmtId="3" fontId="11" fillId="0" borderId="102" xfId="0" applyNumberFormat="1" applyFont="1" applyBorder="1" applyAlignment="1">
      <alignment horizontal="center" vertical="center"/>
    </xf>
    <xf numFmtId="10" fontId="11" fillId="0" borderId="101" xfId="2" applyNumberFormat="1" applyFont="1" applyFill="1" applyBorder="1" applyAlignment="1">
      <alignment horizontal="center" vertical="center"/>
    </xf>
    <xf numFmtId="0" fontId="14" fillId="0" borderId="114" xfId="0" applyFont="1" applyBorder="1" applyAlignment="1">
      <alignment horizontal="center" vertical="center" wrapText="1"/>
    </xf>
    <xf numFmtId="0" fontId="14" fillId="0" borderId="90" xfId="0" applyFont="1" applyBorder="1" applyAlignment="1">
      <alignment horizontal="center" vertical="center" wrapText="1"/>
    </xf>
    <xf numFmtId="1" fontId="11" fillId="0" borderId="101" xfId="0" applyNumberFormat="1" applyFont="1" applyBorder="1" applyAlignment="1">
      <alignment horizontal="center" vertical="center"/>
    </xf>
    <xf numFmtId="0" fontId="11" fillId="0" borderId="10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2" fontId="11" fillId="0" borderId="92" xfId="0" applyNumberFormat="1" applyFont="1" applyBorder="1" applyAlignment="1">
      <alignment horizontal="center" vertical="center"/>
    </xf>
    <xf numFmtId="2" fontId="11" fillId="0" borderId="83" xfId="0" applyNumberFormat="1" applyFont="1" applyBorder="1" applyAlignment="1">
      <alignment horizontal="center" vertical="center"/>
    </xf>
    <xf numFmtId="1" fontId="11" fillId="0" borderId="83" xfId="0" applyNumberFormat="1" applyFont="1" applyBorder="1" applyAlignment="1">
      <alignment horizontal="center" vertical="center"/>
    </xf>
    <xf numFmtId="2" fontId="11" fillId="0" borderId="81" xfId="0" applyNumberFormat="1" applyFont="1" applyBorder="1" applyAlignment="1">
      <alignment horizontal="center" vertical="center"/>
    </xf>
    <xf numFmtId="0" fontId="14" fillId="0" borderId="101" xfId="2" applyNumberFormat="1" applyFont="1" applyBorder="1" applyAlignment="1">
      <alignment horizontal="center" vertical="center"/>
    </xf>
    <xf numFmtId="1" fontId="14" fillId="0" borderId="101" xfId="0" applyNumberFormat="1" applyFont="1" applyBorder="1" applyAlignment="1">
      <alignment horizontal="center" vertical="center" wrapText="1"/>
    </xf>
    <xf numFmtId="0" fontId="14" fillId="0" borderId="101" xfId="0" applyFont="1" applyBorder="1" applyAlignment="1">
      <alignment horizontal="center" vertical="center"/>
    </xf>
    <xf numFmtId="4" fontId="11" fillId="0" borderId="101" xfId="0" applyNumberFormat="1" applyFont="1" applyBorder="1" applyAlignment="1">
      <alignment horizontal="center" vertical="center"/>
    </xf>
    <xf numFmtId="0" fontId="11" fillId="2" borderId="101" xfId="18" applyFill="1" applyBorder="1"/>
    <xf numFmtId="0" fontId="11" fillId="2" borderId="101" xfId="18" applyFill="1" applyBorder="1" applyAlignment="1">
      <alignment horizontal="center"/>
    </xf>
    <xf numFmtId="0" fontId="69" fillId="0" borderId="0" xfId="0" applyFont="1" applyAlignment="1">
      <alignment horizontal="left" vertical="center" wrapText="1"/>
    </xf>
    <xf numFmtId="0" fontId="69" fillId="2" borderId="101" xfId="0" applyFont="1" applyFill="1" applyBorder="1" applyAlignment="1">
      <alignment horizontal="center" vertical="center" wrapText="1"/>
    </xf>
    <xf numFmtId="2" fontId="11" fillId="0" borderId="101" xfId="3" applyNumberFormat="1" applyFont="1" applyBorder="1" applyAlignment="1">
      <alignment horizontal="center"/>
    </xf>
    <xf numFmtId="0" fontId="14" fillId="0" borderId="102" xfId="0" applyFont="1" applyBorder="1" applyAlignment="1">
      <alignment horizontal="center" vertical="center"/>
    </xf>
    <xf numFmtId="0" fontId="264" fillId="83" borderId="101" xfId="0" applyFont="1" applyFill="1" applyBorder="1" applyAlignment="1">
      <alignment horizontal="center" vertical="center"/>
    </xf>
    <xf numFmtId="2" fontId="14" fillId="0" borderId="101" xfId="0" applyNumberFormat="1" applyFont="1" applyBorder="1" applyAlignment="1">
      <alignment horizontal="center" vertical="center"/>
    </xf>
    <xf numFmtId="0" fontId="252" fillId="96" borderId="60" xfId="0" applyFont="1" applyFill="1" applyBorder="1" applyAlignment="1">
      <alignment horizontal="center" vertical="center"/>
    </xf>
    <xf numFmtId="0" fontId="69" fillId="96" borderId="52" xfId="0" applyFont="1" applyFill="1" applyBorder="1" applyAlignment="1">
      <alignment horizontal="center" vertical="center"/>
    </xf>
    <xf numFmtId="0" fontId="252" fillId="96" borderId="0" xfId="0" applyFont="1" applyFill="1" applyAlignment="1">
      <alignment horizontal="center" vertical="center"/>
    </xf>
    <xf numFmtId="0" fontId="14" fillId="0" borderId="105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 vertical="center"/>
    </xf>
    <xf numFmtId="3" fontId="0" fillId="0" borderId="0" xfId="0" applyNumberFormat="1"/>
    <xf numFmtId="330" fontId="11" fillId="0" borderId="105" xfId="0" applyNumberFormat="1" applyFont="1" applyBorder="1" applyAlignment="1">
      <alignment horizontal="center" vertical="center"/>
    </xf>
    <xf numFmtId="9" fontId="11" fillId="0" borderId="105" xfId="0" applyNumberFormat="1" applyFont="1" applyBorder="1" applyAlignment="1">
      <alignment horizontal="center" vertical="center"/>
    </xf>
    <xf numFmtId="3" fontId="11" fillId="0" borderId="105" xfId="0" applyNumberFormat="1" applyFont="1" applyBorder="1" applyAlignment="1">
      <alignment horizontal="center" vertical="center"/>
    </xf>
    <xf numFmtId="0" fontId="69" fillId="96" borderId="120" xfId="0" applyFont="1" applyFill="1" applyBorder="1" applyAlignment="1">
      <alignment vertical="center"/>
    </xf>
    <xf numFmtId="169" fontId="11" fillId="0" borderId="69" xfId="3" applyFont="1" applyFill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0" fontId="69" fillId="96" borderId="119" xfId="0" applyFont="1" applyFill="1" applyBorder="1" applyAlignment="1">
      <alignment vertical="center"/>
    </xf>
    <xf numFmtId="0" fontId="69" fillId="96" borderId="101" xfId="0" applyFont="1" applyFill="1" applyBorder="1" applyAlignment="1">
      <alignment horizontal="center" vertical="center"/>
    </xf>
    <xf numFmtId="9" fontId="11" fillId="0" borderId="0" xfId="2" applyFont="1" applyAlignment="1">
      <alignment horizontal="center" vertical="center"/>
    </xf>
    <xf numFmtId="169" fontId="11" fillId="0" borderId="0" xfId="3" applyFont="1" applyFill="1" applyBorder="1" applyAlignment="1">
      <alignment horizontal="center" vertical="center"/>
    </xf>
    <xf numFmtId="169" fontId="0" fillId="0" borderId="0" xfId="3" applyFont="1" applyAlignment="1">
      <alignment horizontal="center"/>
    </xf>
    <xf numFmtId="330" fontId="14" fillId="0" borderId="101" xfId="0" applyNumberFormat="1" applyFont="1" applyBorder="1" applyAlignment="1">
      <alignment horizontal="center" vertical="center"/>
    </xf>
    <xf numFmtId="331" fontId="11" fillId="2" borderId="0" xfId="0" applyNumberFormat="1" applyFont="1" applyFill="1" applyAlignment="1">
      <alignment horizontal="center" vertical="center"/>
    </xf>
    <xf numFmtId="0" fontId="11" fillId="0" borderId="69" xfId="3" applyNumberFormat="1" applyFont="1" applyFill="1" applyBorder="1" applyAlignment="1">
      <alignment horizontal="center" vertical="center"/>
    </xf>
    <xf numFmtId="44" fontId="281" fillId="0" borderId="12" xfId="2796" applyFont="1" applyFill="1" applyBorder="1" applyAlignment="1">
      <alignment horizontal="center" vertical="center"/>
    </xf>
    <xf numFmtId="9" fontId="281" fillId="0" borderId="0" xfId="2793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69" fillId="0" borderId="0" xfId="0" applyFont="1" applyAlignment="1">
      <alignment horizontal="center" wrapText="1"/>
    </xf>
    <xf numFmtId="0" fontId="69" fillId="2" borderId="118" xfId="0" applyFont="1" applyFill="1" applyBorder="1" applyAlignment="1">
      <alignment horizontal="center" vertical="center"/>
    </xf>
    <xf numFmtId="3" fontId="8" fillId="0" borderId="101" xfId="0" applyNumberFormat="1" applyFont="1" applyBorder="1" applyAlignment="1">
      <alignment horizontal="center" vertical="center"/>
    </xf>
    <xf numFmtId="0" fontId="14" fillId="0" borderId="121" xfId="0" applyFont="1" applyBorder="1" applyAlignment="1">
      <alignment horizontal="center" vertical="center" wrapText="1"/>
    </xf>
    <xf numFmtId="3" fontId="259" fillId="0" borderId="102" xfId="0" applyNumberFormat="1" applyFont="1" applyBorder="1" applyAlignment="1">
      <alignment horizontal="center" vertical="center"/>
    </xf>
    <xf numFmtId="9" fontId="11" fillId="0" borderId="101" xfId="0" applyNumberFormat="1" applyFont="1" applyBorder="1" applyAlignment="1">
      <alignment horizontal="center"/>
    </xf>
    <xf numFmtId="0" fontId="69" fillId="76" borderId="0" xfId="0" applyFont="1" applyFill="1" applyAlignment="1">
      <alignment horizontal="center" vertical="center"/>
    </xf>
    <xf numFmtId="1" fontId="14" fillId="0" borderId="101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261" fillId="0" borderId="2" xfId="0" applyFont="1" applyBorder="1" applyAlignment="1">
      <alignment horizontal="center" vertical="center" wrapText="1"/>
    </xf>
    <xf numFmtId="0" fontId="14" fillId="0" borderId="102" xfId="1" applyFont="1" applyBorder="1" applyAlignment="1">
      <alignment horizontal="center" vertical="center" wrapText="1"/>
    </xf>
    <xf numFmtId="9" fontId="11" fillId="89" borderId="0" xfId="0" applyNumberFormat="1" applyFont="1" applyFill="1" applyAlignment="1">
      <alignment vertical="center"/>
    </xf>
    <xf numFmtId="169" fontId="11" fillId="0" borderId="0" xfId="3" applyFont="1" applyAlignment="1">
      <alignment horizontal="center" vertical="center"/>
    </xf>
    <xf numFmtId="169" fontId="11" fillId="0" borderId="0" xfId="3" applyFont="1" applyAlignment="1">
      <alignment vertical="center"/>
    </xf>
    <xf numFmtId="172" fontId="11" fillId="0" borderId="0" xfId="2" applyNumberFormat="1" applyFont="1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 wrapText="1"/>
    </xf>
    <xf numFmtId="2" fontId="14" fillId="0" borderId="0" xfId="3" applyNumberFormat="1" applyFont="1" applyBorder="1" applyAlignment="1">
      <alignment horizontal="center" vertical="center" wrapText="1"/>
    </xf>
    <xf numFmtId="169" fontId="14" fillId="0" borderId="0" xfId="3" applyFont="1" applyBorder="1" applyAlignment="1">
      <alignment horizontal="center" vertical="center"/>
    </xf>
    <xf numFmtId="43" fontId="14" fillId="0" borderId="0" xfId="0" applyNumberFormat="1" applyFont="1" applyAlignment="1">
      <alignment horizontal="center" vertical="center" wrapText="1"/>
    </xf>
    <xf numFmtId="3" fontId="252" fillId="2" borderId="0" xfId="0" applyNumberFormat="1" applyFont="1" applyFill="1" applyAlignment="1">
      <alignment horizontal="center" vertical="center"/>
    </xf>
    <xf numFmtId="3" fontId="11" fillId="2" borderId="101" xfId="0" applyNumberFormat="1" applyFont="1" applyFill="1" applyBorder="1" applyAlignment="1">
      <alignment horizontal="center" vertical="center"/>
    </xf>
    <xf numFmtId="0" fontId="14" fillId="0" borderId="0" xfId="3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171" fontId="14" fillId="0" borderId="0" xfId="0" applyNumberFormat="1" applyFont="1" applyAlignment="1">
      <alignment horizontal="center" vertical="center"/>
    </xf>
    <xf numFmtId="169" fontId="14" fillId="0" borderId="0" xfId="7" applyFont="1" applyFill="1" applyBorder="1" applyAlignment="1">
      <alignment horizontal="center" vertical="center"/>
    </xf>
    <xf numFmtId="169" fontId="11" fillId="0" borderId="0" xfId="7" applyFont="1" applyBorder="1" applyAlignment="1">
      <alignment vertical="center"/>
    </xf>
    <xf numFmtId="0" fontId="0" fillId="0" borderId="0" xfId="0" applyAlignment="1">
      <alignment horizontal="center" vertical="center"/>
    </xf>
    <xf numFmtId="49" fontId="274" fillId="0" borderId="95" xfId="2790" applyNumberFormat="1" applyFont="1" applyBorder="1" applyAlignment="1">
      <alignment horizontal="center" vertical="center"/>
    </xf>
    <xf numFmtId="0" fontId="274" fillId="86" borderId="123" xfId="2790" applyFont="1" applyFill="1" applyBorder="1" applyAlignment="1">
      <alignment horizontal="center" vertical="center"/>
    </xf>
    <xf numFmtId="49" fontId="274" fillId="0" borderId="0" xfId="2790" applyNumberFormat="1" applyFont="1" applyAlignment="1">
      <alignment horizontal="center"/>
    </xf>
    <xf numFmtId="49" fontId="274" fillId="86" borderId="95" xfId="2790" applyNumberFormat="1" applyFont="1" applyFill="1" applyBorder="1" applyAlignment="1">
      <alignment horizontal="center" vertical="center"/>
    </xf>
    <xf numFmtId="49" fontId="274" fillId="86" borderId="123" xfId="2790" applyNumberFormat="1" applyFont="1" applyFill="1" applyBorder="1" applyAlignment="1">
      <alignment horizontal="center" vertical="center"/>
    </xf>
    <xf numFmtId="49" fontId="274" fillId="0" borderId="95" xfId="2790" applyNumberFormat="1" applyFont="1" applyBorder="1" applyAlignment="1">
      <alignment horizontal="center" vertical="center" wrapText="1"/>
    </xf>
    <xf numFmtId="49" fontId="272" fillId="0" borderId="0" xfId="2790" applyNumberFormat="1" applyAlignment="1">
      <alignment horizontal="center"/>
    </xf>
    <xf numFmtId="49" fontId="274" fillId="0" borderId="0" xfId="2790" applyNumberFormat="1" applyFont="1" applyAlignment="1">
      <alignment horizontal="center" vertical="center" wrapText="1"/>
    </xf>
    <xf numFmtId="49" fontId="280" fillId="0" borderId="0" xfId="2790" applyNumberFormat="1" applyFont="1" applyAlignment="1">
      <alignment horizontal="center" vertical="center" wrapText="1"/>
    </xf>
    <xf numFmtId="49" fontId="272" fillId="0" borderId="0" xfId="2790" applyNumberFormat="1"/>
    <xf numFmtId="0" fontId="274" fillId="0" borderId="124" xfId="2790" applyFont="1" applyBorder="1" applyAlignment="1">
      <alignment horizontal="center" vertical="center" wrapText="1"/>
    </xf>
    <xf numFmtId="10" fontId="14" fillId="0" borderId="101" xfId="2" applyNumberFormat="1" applyFont="1" applyFill="1" applyBorder="1" applyAlignment="1">
      <alignment horizontal="center" vertical="center"/>
    </xf>
    <xf numFmtId="0" fontId="286" fillId="85" borderId="0" xfId="2790" applyFont="1" applyFill="1" applyAlignment="1">
      <alignment horizontal="center" vertical="center" textRotation="90" wrapText="1"/>
    </xf>
    <xf numFmtId="0" fontId="144" fillId="0" borderId="95" xfId="2790" applyFont="1" applyBorder="1" applyAlignment="1">
      <alignment horizontal="center" vertical="center"/>
    </xf>
    <xf numFmtId="367" fontId="280" fillId="86" borderId="95" xfId="2790" applyNumberFormat="1" applyFont="1" applyFill="1" applyBorder="1" applyAlignment="1">
      <alignment horizontal="center" vertical="center"/>
    </xf>
    <xf numFmtId="164" fontId="280" fillId="86" borderId="95" xfId="2790" applyNumberFormat="1" applyFont="1" applyFill="1" applyBorder="1" applyAlignment="1">
      <alignment horizontal="center" vertical="center"/>
    </xf>
    <xf numFmtId="169" fontId="11" fillId="0" borderId="69" xfId="3" applyFont="1" applyFill="1" applyBorder="1" applyAlignment="1"/>
    <xf numFmtId="8" fontId="281" fillId="2" borderId="0" xfId="2793" applyNumberFormat="1" applyFont="1" applyFill="1" applyAlignment="1">
      <alignment horizontal="center" vertical="center"/>
    </xf>
    <xf numFmtId="44" fontId="281" fillId="81" borderId="0" xfId="2796" applyFont="1" applyFill="1" applyBorder="1" applyAlignment="1">
      <alignment horizontal="center" vertical="center"/>
    </xf>
    <xf numFmtId="0" fontId="281" fillId="75" borderId="73" xfId="2793" applyFont="1" applyFill="1" applyBorder="1" applyAlignment="1">
      <alignment horizontal="center" vertical="center"/>
    </xf>
    <xf numFmtId="0" fontId="281" fillId="75" borderId="75" xfId="2793" applyFont="1" applyFill="1" applyBorder="1" applyAlignment="1">
      <alignment horizontal="center" vertical="center"/>
    </xf>
    <xf numFmtId="0" fontId="281" fillId="2" borderId="117" xfId="2793" applyFont="1" applyFill="1" applyBorder="1" applyAlignment="1">
      <alignment horizontal="center" vertical="center"/>
    </xf>
    <xf numFmtId="0" fontId="281" fillId="2" borderId="73" xfId="2793" applyFont="1" applyFill="1" applyBorder="1" applyAlignment="1">
      <alignment horizontal="center" vertical="center"/>
    </xf>
    <xf numFmtId="0" fontId="281" fillId="2" borderId="75" xfId="2793" applyFont="1" applyFill="1" applyBorder="1" applyAlignment="1">
      <alignment horizontal="center" vertical="center"/>
    </xf>
    <xf numFmtId="0" fontId="182" fillId="0" borderId="0" xfId="2790" applyFont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 wrapText="1"/>
    </xf>
    <xf numFmtId="3" fontId="11" fillId="0" borderId="102" xfId="0" applyNumberFormat="1" applyFont="1" applyBorder="1" applyAlignment="1">
      <alignment horizontal="center" vertical="center" wrapText="1"/>
    </xf>
    <xf numFmtId="3" fontId="11" fillId="0" borderId="69" xfId="0" applyNumberFormat="1" applyFont="1" applyBorder="1" applyAlignment="1">
      <alignment horizontal="center" vertical="center"/>
    </xf>
    <xf numFmtId="0" fontId="47" fillId="74" borderId="0" xfId="0" applyFont="1" applyFill="1" applyAlignment="1">
      <alignment horizontal="left" vertical="center"/>
    </xf>
    <xf numFmtId="9" fontId="47" fillId="74" borderId="0" xfId="2" applyFont="1" applyFill="1" applyBorder="1" applyAlignment="1">
      <alignment horizontal="center" vertical="center"/>
    </xf>
    <xf numFmtId="9" fontId="11" fillId="74" borderId="0" xfId="2" applyFont="1" applyFill="1" applyBorder="1" applyAlignment="1">
      <alignment horizontal="center" vertical="center"/>
    </xf>
    <xf numFmtId="9" fontId="11" fillId="74" borderId="0" xfId="0" applyNumberFormat="1" applyFont="1" applyFill="1" applyAlignment="1">
      <alignment horizontal="center" vertical="center"/>
    </xf>
    <xf numFmtId="3" fontId="47" fillId="74" borderId="0" xfId="0" applyNumberFormat="1" applyFont="1" applyFill="1" applyAlignment="1">
      <alignment horizontal="center" vertical="center"/>
    </xf>
    <xf numFmtId="0" fontId="289" fillId="2" borderId="0" xfId="2793" applyFont="1" applyFill="1" applyAlignment="1">
      <alignment horizontal="center" vertical="center"/>
    </xf>
    <xf numFmtId="9" fontId="289" fillId="2" borderId="0" xfId="2793" applyNumberFormat="1" applyFont="1" applyFill="1" applyAlignment="1">
      <alignment horizontal="center" vertical="center"/>
    </xf>
    <xf numFmtId="44" fontId="289" fillId="2" borderId="0" xfId="2796" applyFont="1" applyFill="1" applyBorder="1" applyAlignment="1">
      <alignment horizontal="center" vertical="center"/>
    </xf>
    <xf numFmtId="0" fontId="289" fillId="0" borderId="0" xfId="2793" applyFont="1" applyAlignment="1">
      <alignment horizontal="left" vertical="center"/>
    </xf>
    <xf numFmtId="0" fontId="289" fillId="0" borderId="0" xfId="2793" applyFont="1" applyAlignment="1">
      <alignment horizontal="center" vertical="center"/>
    </xf>
    <xf numFmtId="8" fontId="289" fillId="2" borderId="0" xfId="2793" applyNumberFormat="1" applyFont="1" applyFill="1" applyAlignment="1">
      <alignment horizontal="center" vertical="center"/>
    </xf>
    <xf numFmtId="3" fontId="281" fillId="2" borderId="0" xfId="2793" applyNumberFormat="1" applyFont="1" applyFill="1" applyAlignment="1">
      <alignment horizontal="center" vertical="center"/>
    </xf>
    <xf numFmtId="3" fontId="289" fillId="2" borderId="0" xfId="2793" applyNumberFormat="1" applyFont="1" applyFill="1" applyAlignment="1">
      <alignment horizontal="center" vertical="center"/>
    </xf>
    <xf numFmtId="0" fontId="252" fillId="0" borderId="0" xfId="0" applyFont="1"/>
    <xf numFmtId="3" fontId="14" fillId="74" borderId="101" xfId="0" applyNumberFormat="1" applyFont="1" applyFill="1" applyBorder="1" applyAlignment="1">
      <alignment horizontal="center" vertical="center"/>
    </xf>
    <xf numFmtId="0" fontId="291" fillId="2" borderId="0" xfId="0" applyFont="1" applyFill="1" applyAlignment="1">
      <alignment horizontal="center" vertical="center"/>
    </xf>
    <xf numFmtId="9" fontId="264" fillId="74" borderId="101" xfId="2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3" fontId="14" fillId="0" borderId="61" xfId="0" applyNumberFormat="1" applyFont="1" applyBorder="1" applyAlignment="1">
      <alignment horizontal="center" vertical="center"/>
    </xf>
    <xf numFmtId="0" fontId="287" fillId="0" borderId="0" xfId="0" applyFont="1"/>
    <xf numFmtId="4" fontId="11" fillId="97" borderId="69" xfId="0" applyNumberFormat="1" applyFont="1" applyFill="1" applyBorder="1" applyAlignment="1">
      <alignment horizontal="center" vertical="center"/>
    </xf>
    <xf numFmtId="4" fontId="14" fillId="97" borderId="69" xfId="0" applyNumberFormat="1" applyFont="1" applyFill="1" applyBorder="1" applyAlignment="1">
      <alignment horizontal="center" vertical="center" wrapText="1"/>
    </xf>
    <xf numFmtId="0" fontId="290" fillId="0" borderId="9" xfId="0" applyFont="1" applyBorder="1" applyAlignment="1">
      <alignment horizontal="center" vertical="center"/>
    </xf>
    <xf numFmtId="0" fontId="287" fillId="0" borderId="0" xfId="1" applyFont="1" applyAlignment="1">
      <alignment vertical="center"/>
    </xf>
    <xf numFmtId="44" fontId="274" fillId="0" borderId="0" xfId="2790" applyNumberFormat="1" applyFont="1"/>
    <xf numFmtId="0" fontId="41" fillId="0" borderId="101" xfId="0" applyFont="1" applyBorder="1" applyAlignment="1">
      <alignment vertical="center"/>
    </xf>
    <xf numFmtId="330" fontId="41" fillId="2" borderId="101" xfId="0" applyNumberFormat="1" applyFont="1" applyFill="1" applyBorder="1" applyAlignment="1">
      <alignment horizontal="center" vertical="center"/>
    </xf>
    <xf numFmtId="171" fontId="11" fillId="0" borderId="117" xfId="0" applyNumberFormat="1" applyFont="1" applyBorder="1" applyAlignment="1">
      <alignment vertical="center"/>
    </xf>
    <xf numFmtId="330" fontId="14" fillId="76" borderId="101" xfId="0" applyNumberFormat="1" applyFont="1" applyFill="1" applyBorder="1" applyAlignment="1">
      <alignment horizontal="center" vertical="center"/>
    </xf>
    <xf numFmtId="330" fontId="11" fillId="89" borderId="101" xfId="0" applyNumberFormat="1" applyFont="1" applyFill="1" applyBorder="1" applyAlignment="1">
      <alignment horizontal="center" vertical="center"/>
    </xf>
    <xf numFmtId="330" fontId="11" fillId="89" borderId="115" xfId="0" applyNumberFormat="1" applyFont="1" applyFill="1" applyBorder="1" applyAlignment="1">
      <alignment horizontal="center" vertical="center"/>
    </xf>
    <xf numFmtId="3" fontId="259" fillId="0" borderId="5" xfId="0" applyNumberFormat="1" applyFont="1" applyBorder="1" applyAlignment="1">
      <alignment horizontal="center" vertical="center"/>
    </xf>
    <xf numFmtId="2" fontId="11" fillId="0" borderId="102" xfId="0" applyNumberFormat="1" applyFont="1" applyBorder="1" applyAlignment="1">
      <alignment horizontal="center" vertical="center"/>
    </xf>
    <xf numFmtId="10" fontId="14" fillId="0" borderId="2" xfId="2" applyNumberFormat="1" applyFont="1" applyFill="1" applyBorder="1" applyAlignment="1">
      <alignment horizontal="center" vertical="center"/>
    </xf>
    <xf numFmtId="2" fontId="11" fillId="0" borderId="2" xfId="3" applyNumberFormat="1" applyFont="1" applyFill="1" applyBorder="1" applyAlignment="1">
      <alignment horizontal="center" vertical="center"/>
    </xf>
    <xf numFmtId="2" fontId="11" fillId="0" borderId="101" xfId="3" applyNumberFormat="1" applyFont="1" applyFill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9" fontId="11" fillId="0" borderId="69" xfId="2" applyFont="1" applyFill="1" applyBorder="1" applyAlignment="1">
      <alignment horizontal="center" vertical="center"/>
    </xf>
    <xf numFmtId="9" fontId="11" fillId="0" borderId="101" xfId="2" applyFont="1" applyFill="1" applyBorder="1" applyAlignment="1">
      <alignment horizontal="center" vertical="center"/>
    </xf>
    <xf numFmtId="168" fontId="11" fillId="0" borderId="2" xfId="2773" applyFont="1" applyFill="1" applyBorder="1" applyAlignment="1">
      <alignment horizontal="center" vertical="center"/>
    </xf>
    <xf numFmtId="9" fontId="11" fillId="0" borderId="101" xfId="0" applyNumberFormat="1" applyFont="1" applyBorder="1" applyAlignment="1">
      <alignment horizontal="center" vertical="center"/>
    </xf>
    <xf numFmtId="9" fontId="11" fillId="0" borderId="101" xfId="2" applyFont="1" applyFill="1" applyBorder="1" applyAlignment="1">
      <alignment horizontal="center"/>
    </xf>
    <xf numFmtId="0" fontId="14" fillId="0" borderId="101" xfId="0" applyFont="1" applyBorder="1" applyAlignment="1">
      <alignment horizontal="center"/>
    </xf>
    <xf numFmtId="3" fontId="259" fillId="0" borderId="101" xfId="0" applyNumberFormat="1" applyFont="1" applyBorder="1" applyAlignment="1">
      <alignment horizontal="center" vertical="center"/>
    </xf>
    <xf numFmtId="2" fontId="14" fillId="0" borderId="119" xfId="0" applyNumberFormat="1" applyFont="1" applyBorder="1" applyAlignment="1">
      <alignment horizontal="center" vertical="center" wrapText="1"/>
    </xf>
    <xf numFmtId="0" fontId="11" fillId="2" borderId="125" xfId="0" applyFont="1" applyFill="1" applyBorder="1"/>
    <xf numFmtId="2" fontId="14" fillId="0" borderId="60" xfId="0" applyNumberFormat="1" applyFont="1" applyBorder="1" applyAlignment="1">
      <alignment horizontal="center" vertical="center" wrapText="1"/>
    </xf>
    <xf numFmtId="0" fontId="11" fillId="2" borderId="105" xfId="0" applyFont="1" applyFill="1" applyBorder="1"/>
    <xf numFmtId="0" fontId="14" fillId="0" borderId="102" xfId="0" applyFont="1" applyBorder="1" applyAlignment="1">
      <alignment horizontal="center" vertical="center" wrapText="1"/>
    </xf>
    <xf numFmtId="9" fontId="11" fillId="0" borderId="0" xfId="2" applyFont="1" applyFill="1" applyAlignment="1">
      <alignment horizontal="center" vertical="center"/>
    </xf>
    <xf numFmtId="168" fontId="11" fillId="0" borderId="0" xfId="2773" applyFont="1" applyFill="1" applyAlignment="1">
      <alignment horizontal="center" vertical="center"/>
    </xf>
    <xf numFmtId="0" fontId="291" fillId="0" borderId="0" xfId="0" applyFont="1" applyAlignment="1">
      <alignment horizontal="left" vertical="center"/>
    </xf>
    <xf numFmtId="0" fontId="291" fillId="0" borderId="0" xfId="0" applyFont="1" applyAlignment="1">
      <alignment horizontal="center" vertical="center"/>
    </xf>
    <xf numFmtId="330" fontId="11" fillId="0" borderId="101" xfId="0" applyNumberFormat="1" applyFont="1" applyBorder="1"/>
    <xf numFmtId="330" fontId="11" fillId="0" borderId="101" xfId="0" applyNumberFormat="1" applyFont="1" applyBorder="1" applyAlignment="1">
      <alignment horizontal="center"/>
    </xf>
    <xf numFmtId="330" fontId="14" fillId="0" borderId="101" xfId="0" applyNumberFormat="1" applyFont="1" applyBorder="1" applyAlignment="1">
      <alignment horizontal="center"/>
    </xf>
    <xf numFmtId="0" fontId="69" fillId="0" borderId="8" xfId="0" applyFont="1" applyBorder="1" applyAlignment="1">
      <alignment horizontal="center" vertical="center"/>
    </xf>
    <xf numFmtId="0" fontId="291" fillId="0" borderId="0" xfId="0" applyFont="1" applyAlignment="1">
      <alignment vertical="center"/>
    </xf>
    <xf numFmtId="168" fontId="11" fillId="0" borderId="87" xfId="2773" applyFont="1" applyFill="1" applyBorder="1" applyAlignment="1">
      <alignment vertical="center"/>
    </xf>
    <xf numFmtId="3" fontId="11" fillId="0" borderId="0" xfId="0" applyNumberFormat="1" applyFont="1" applyAlignment="1">
      <alignment vertical="center"/>
    </xf>
    <xf numFmtId="330" fontId="287" fillId="0" borderId="2" xfId="0" applyNumberFormat="1" applyFont="1" applyBorder="1" applyAlignment="1">
      <alignment horizontal="center" vertical="center"/>
    </xf>
    <xf numFmtId="330" fontId="287" fillId="0" borderId="69" xfId="0" applyNumberFormat="1" applyFont="1" applyBorder="1" applyAlignment="1">
      <alignment horizontal="center" vertical="center"/>
    </xf>
    <xf numFmtId="173" fontId="11" fillId="0" borderId="0" xfId="3" applyNumberFormat="1" applyFont="1" applyFill="1" applyAlignment="1">
      <alignment vertical="center"/>
    </xf>
    <xf numFmtId="169" fontId="11" fillId="0" borderId="0" xfId="3" applyFont="1" applyFill="1" applyAlignment="1">
      <alignment horizontal="center" vertical="center"/>
    </xf>
    <xf numFmtId="0" fontId="14" fillId="0" borderId="0" xfId="18" applyFont="1"/>
    <xf numFmtId="168" fontId="11" fillId="74" borderId="0" xfId="2773" applyFont="1" applyFill="1"/>
    <xf numFmtId="44" fontId="11" fillId="74" borderId="0" xfId="0" applyNumberFormat="1" applyFont="1" applyFill="1"/>
    <xf numFmtId="168" fontId="41" fillId="0" borderId="101" xfId="2773" applyFont="1" applyFill="1" applyBorder="1" applyAlignment="1">
      <alignment horizontal="left" vertical="center" indent="5"/>
    </xf>
    <xf numFmtId="0" fontId="11" fillId="0" borderId="87" xfId="18" applyBorder="1" applyAlignment="1">
      <alignment horizontal="center"/>
    </xf>
    <xf numFmtId="2" fontId="11" fillId="0" borderId="87" xfId="18" applyNumberFormat="1" applyBorder="1" applyAlignment="1">
      <alignment horizontal="center"/>
    </xf>
    <xf numFmtId="173" fontId="11" fillId="0" borderId="101" xfId="3" applyNumberFormat="1" applyFont="1" applyFill="1" applyBorder="1"/>
    <xf numFmtId="173" fontId="11" fillId="0" borderId="101" xfId="18" applyNumberFormat="1" applyBorder="1"/>
    <xf numFmtId="0" fontId="11" fillId="0" borderId="101" xfId="18" applyBorder="1" applyAlignment="1">
      <alignment horizontal="center"/>
    </xf>
    <xf numFmtId="0" fontId="11" fillId="0" borderId="101" xfId="0" applyFont="1" applyBorder="1" applyAlignment="1">
      <alignment vertical="center"/>
    </xf>
    <xf numFmtId="168" fontId="11" fillId="0" borderId="101" xfId="2773" applyFont="1" applyFill="1" applyBorder="1" applyAlignment="1">
      <alignment vertical="center"/>
    </xf>
    <xf numFmtId="0" fontId="14" fillId="98" borderId="101" xfId="0" applyFont="1" applyFill="1" applyBorder="1" applyAlignment="1">
      <alignment vertical="center"/>
    </xf>
    <xf numFmtId="9" fontId="292" fillId="0" borderId="0" xfId="2788" applyNumberFormat="1" applyFont="1" applyAlignment="1">
      <alignment horizontal="center" vertical="center"/>
    </xf>
    <xf numFmtId="9" fontId="6" fillId="0" borderId="0" xfId="2788" applyNumberFormat="1" applyFont="1" applyAlignment="1">
      <alignment horizontal="center"/>
    </xf>
    <xf numFmtId="168" fontId="11" fillId="0" borderId="0" xfId="2773" applyFont="1" applyFill="1" applyBorder="1" applyAlignment="1">
      <alignment vertical="center"/>
    </xf>
    <xf numFmtId="10" fontId="11" fillId="0" borderId="0" xfId="2" applyNumberFormat="1" applyFont="1" applyFill="1" applyBorder="1" applyAlignment="1">
      <alignment vertical="center"/>
    </xf>
    <xf numFmtId="171" fontId="14" fillId="0" borderId="101" xfId="0" applyNumberFormat="1" applyFont="1" applyBorder="1" applyAlignment="1">
      <alignment horizontal="center" vertical="center"/>
    </xf>
    <xf numFmtId="171" fontId="11" fillId="0" borderId="101" xfId="0" applyNumberFormat="1" applyFont="1" applyBorder="1" applyAlignment="1">
      <alignment vertical="center"/>
    </xf>
    <xf numFmtId="169" fontId="11" fillId="2" borderId="69" xfId="3" applyFont="1" applyFill="1" applyBorder="1" applyAlignment="1">
      <alignment horizontal="center"/>
    </xf>
    <xf numFmtId="330" fontId="41" fillId="0" borderId="0" xfId="0" applyNumberFormat="1" applyFont="1" applyAlignment="1">
      <alignment horizontal="center" vertical="center"/>
    </xf>
    <xf numFmtId="330" fontId="41" fillId="2" borderId="0" xfId="0" applyNumberFormat="1" applyFont="1" applyFill="1" applyAlignment="1">
      <alignment horizontal="center" vertical="center"/>
    </xf>
    <xf numFmtId="4" fontId="11" fillId="0" borderId="0" xfId="0" applyNumberFormat="1" applyFont="1"/>
    <xf numFmtId="172" fontId="11" fillId="2" borderId="69" xfId="0" applyNumberFormat="1" applyFont="1" applyFill="1" applyBorder="1" applyAlignment="1">
      <alignment horizontal="center"/>
    </xf>
    <xf numFmtId="10" fontId="287" fillId="0" borderId="0" xfId="0" applyNumberFormat="1" applyFont="1"/>
    <xf numFmtId="0" fontId="290" fillId="0" borderId="0" xfId="0" applyFont="1" applyAlignment="1">
      <alignment vertical="center"/>
    </xf>
    <xf numFmtId="173" fontId="11" fillId="0" borderId="101" xfId="3" applyNumberFormat="1" applyFont="1" applyFill="1" applyBorder="1" applyAlignment="1">
      <alignment vertical="center"/>
    </xf>
    <xf numFmtId="173" fontId="14" fillId="0" borderId="101" xfId="3" applyNumberFormat="1" applyFont="1" applyFill="1" applyBorder="1" applyAlignment="1">
      <alignment vertical="center"/>
    </xf>
    <xf numFmtId="2" fontId="11" fillId="74" borderId="2" xfId="0" applyNumberFormat="1" applyFont="1" applyFill="1" applyBorder="1" applyAlignment="1">
      <alignment horizontal="center" vertical="center"/>
    </xf>
    <xf numFmtId="44" fontId="281" fillId="99" borderId="101" xfId="2796" applyFont="1" applyFill="1" applyBorder="1" applyAlignment="1">
      <alignment horizontal="center" vertical="center"/>
    </xf>
    <xf numFmtId="9" fontId="11" fillId="0" borderId="0" xfId="2" applyFont="1" applyFill="1" applyBorder="1" applyAlignment="1">
      <alignment vertical="center"/>
    </xf>
    <xf numFmtId="4" fontId="11" fillId="99" borderId="2" xfId="0" applyNumberFormat="1" applyFont="1" applyFill="1" applyBorder="1" applyAlignment="1">
      <alignment horizontal="center" vertical="center"/>
    </xf>
    <xf numFmtId="169" fontId="281" fillId="99" borderId="102" xfId="3" applyFont="1" applyFill="1" applyBorder="1" applyAlignment="1">
      <alignment horizontal="center" vertical="center"/>
    </xf>
    <xf numFmtId="0" fontId="281" fillId="99" borderId="101" xfId="2793" applyFont="1" applyFill="1" applyBorder="1" applyAlignment="1">
      <alignment horizontal="center" vertical="center"/>
    </xf>
    <xf numFmtId="171" fontId="11" fillId="99" borderId="101" xfId="0" applyNumberFormat="1" applyFont="1" applyFill="1" applyBorder="1" applyAlignment="1">
      <alignment horizontal="center" vertical="center"/>
    </xf>
    <xf numFmtId="171" fontId="11" fillId="99" borderId="101" xfId="0" applyNumberFormat="1" applyFont="1" applyFill="1" applyBorder="1" applyAlignment="1">
      <alignment vertical="center"/>
    </xf>
    <xf numFmtId="330" fontId="14" fillId="99" borderId="101" xfId="0" applyNumberFormat="1" applyFont="1" applyFill="1" applyBorder="1" applyAlignment="1">
      <alignment horizontal="center" vertical="center"/>
    </xf>
    <xf numFmtId="330" fontId="11" fillId="99" borderId="101" xfId="0" applyNumberFormat="1" applyFont="1" applyFill="1" applyBorder="1" applyAlignment="1">
      <alignment horizontal="center" vertical="center"/>
    </xf>
    <xf numFmtId="172" fontId="281" fillId="99" borderId="101" xfId="2793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2" fontId="0" fillId="0" borderId="101" xfId="0" applyNumberFormat="1" applyBorder="1" applyAlignment="1">
      <alignment horizontal="center" vertical="center"/>
    </xf>
    <xf numFmtId="2" fontId="0" fillId="0" borderId="101" xfId="0" applyNumberFormat="1" applyBorder="1" applyAlignment="1">
      <alignment horizontal="center"/>
    </xf>
    <xf numFmtId="10" fontId="14" fillId="0" borderId="101" xfId="2" applyNumberFormat="1" applyFont="1" applyBorder="1" applyAlignment="1">
      <alignment horizontal="center"/>
    </xf>
    <xf numFmtId="168" fontId="11" fillId="0" borderId="0" xfId="2773" applyFont="1" applyAlignment="1">
      <alignment vertical="center"/>
    </xf>
    <xf numFmtId="10" fontId="281" fillId="0" borderId="0" xfId="2793" applyNumberFormat="1" applyFont="1" applyAlignment="1">
      <alignment horizontal="center" vertical="center"/>
    </xf>
    <xf numFmtId="10" fontId="14" fillId="100" borderId="0" xfId="0" applyNumberFormat="1" applyFont="1" applyFill="1"/>
    <xf numFmtId="330" fontId="69" fillId="2" borderId="9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275" fillId="87" borderId="99" xfId="2792" applyFont="1" applyFill="1" applyBorder="1" applyAlignment="1">
      <alignment horizontal="center" vertical="center"/>
    </xf>
    <xf numFmtId="0" fontId="276" fillId="0" borderId="99" xfId="2792" applyFont="1" applyBorder="1"/>
    <xf numFmtId="0" fontId="275" fillId="87" borderId="98" xfId="2792" applyFont="1" applyFill="1" applyBorder="1" applyAlignment="1">
      <alignment horizontal="center" vertical="center"/>
    </xf>
    <xf numFmtId="0" fontId="276" fillId="0" borderId="98" xfId="2792" applyFont="1" applyBorder="1"/>
    <xf numFmtId="0" fontId="279" fillId="0" borderId="0" xfId="2792" applyFont="1" applyAlignment="1">
      <alignment horizontal="center" vertical="center"/>
    </xf>
    <xf numFmtId="0" fontId="273" fillId="0" borderId="0" xfId="2792"/>
    <xf numFmtId="0" fontId="280" fillId="0" borderId="0" xfId="2792" applyFont="1" applyAlignment="1">
      <alignment horizontal="center" vertical="center" wrapText="1"/>
    </xf>
    <xf numFmtId="0" fontId="277" fillId="85" borderId="96" xfId="2792" applyFont="1" applyFill="1" applyBorder="1" applyAlignment="1">
      <alignment horizontal="center" vertical="center" wrapText="1"/>
    </xf>
    <xf numFmtId="0" fontId="277" fillId="85" borderId="96" xfId="2792" applyFont="1" applyFill="1" applyBorder="1" applyAlignment="1">
      <alignment horizontal="center" vertical="center"/>
    </xf>
    <xf numFmtId="0" fontId="278" fillId="0" borderId="0" xfId="2792" applyFont="1" applyAlignment="1">
      <alignment horizontal="center" vertical="center" textRotation="90"/>
    </xf>
    <xf numFmtId="0" fontId="278" fillId="0" borderId="0" xfId="2792" applyFont="1" applyAlignment="1">
      <alignment horizontal="center" vertical="center" textRotation="90" wrapText="1"/>
    </xf>
    <xf numFmtId="0" fontId="274" fillId="0" borderId="0" xfId="2792" applyFont="1" applyAlignment="1">
      <alignment horizontal="center"/>
    </xf>
    <xf numFmtId="0" fontId="267" fillId="0" borderId="73" xfId="0" applyFont="1" applyBorder="1" applyAlignment="1">
      <alignment horizontal="center" vertical="center" wrapText="1"/>
    </xf>
    <xf numFmtId="0" fontId="267" fillId="0" borderId="74" xfId="0" applyFont="1" applyBorder="1" applyAlignment="1">
      <alignment horizontal="center" vertical="center" wrapText="1"/>
    </xf>
    <xf numFmtId="0" fontId="267" fillId="0" borderId="75" xfId="0" applyFont="1" applyBorder="1" applyAlignment="1">
      <alignment horizontal="center" vertical="center" wrapText="1"/>
    </xf>
    <xf numFmtId="0" fontId="267" fillId="0" borderId="76" xfId="0" applyFont="1" applyBorder="1" applyAlignment="1">
      <alignment horizontal="center" vertical="center" wrapText="1"/>
    </xf>
    <xf numFmtId="0" fontId="267" fillId="0" borderId="0" xfId="0" applyFont="1" applyAlignment="1">
      <alignment horizontal="center" vertical="center" wrapText="1"/>
    </xf>
    <xf numFmtId="0" fontId="267" fillId="0" borderId="77" xfId="0" applyFont="1" applyBorder="1" applyAlignment="1">
      <alignment horizontal="center" vertical="center" wrapText="1"/>
    </xf>
    <xf numFmtId="0" fontId="267" fillId="0" borderId="78" xfId="0" applyFont="1" applyBorder="1" applyAlignment="1">
      <alignment horizontal="center" vertical="center" wrapText="1"/>
    </xf>
    <xf numFmtId="0" fontId="267" fillId="0" borderId="79" xfId="0" applyFont="1" applyBorder="1" applyAlignment="1">
      <alignment horizontal="center" vertical="center" wrapText="1"/>
    </xf>
    <xf numFmtId="0" fontId="267" fillId="0" borderId="80" xfId="0" applyFont="1" applyBorder="1" applyAlignment="1">
      <alignment horizontal="center" vertical="center" wrapText="1"/>
    </xf>
    <xf numFmtId="0" fontId="266" fillId="0" borderId="73" xfId="0" applyFont="1" applyBorder="1" applyAlignment="1">
      <alignment horizontal="center" wrapText="1"/>
    </xf>
    <xf numFmtId="0" fontId="266" fillId="0" borderId="74" xfId="0" applyFont="1" applyBorder="1" applyAlignment="1">
      <alignment horizontal="center" wrapText="1"/>
    </xf>
    <xf numFmtId="0" fontId="266" fillId="0" borderId="75" xfId="0" applyFont="1" applyBorder="1" applyAlignment="1">
      <alignment horizontal="center" wrapText="1"/>
    </xf>
    <xf numFmtId="0" fontId="266" fillId="0" borderId="76" xfId="0" applyFont="1" applyBorder="1" applyAlignment="1">
      <alignment horizontal="center" wrapText="1"/>
    </xf>
    <xf numFmtId="0" fontId="266" fillId="0" borderId="0" xfId="0" applyFont="1" applyAlignment="1">
      <alignment horizontal="center" wrapText="1"/>
    </xf>
    <xf numFmtId="0" fontId="266" fillId="0" borderId="77" xfId="0" applyFont="1" applyBorder="1" applyAlignment="1">
      <alignment horizontal="center" wrapText="1"/>
    </xf>
    <xf numFmtId="0" fontId="266" fillId="0" borderId="78" xfId="0" applyFont="1" applyBorder="1" applyAlignment="1">
      <alignment horizontal="center" wrapText="1"/>
    </xf>
    <xf numFmtId="0" fontId="266" fillId="0" borderId="79" xfId="0" applyFont="1" applyBorder="1" applyAlignment="1">
      <alignment horizontal="center" wrapText="1"/>
    </xf>
    <xf numFmtId="0" fontId="266" fillId="0" borderId="80" xfId="0" applyFont="1" applyBorder="1" applyAlignment="1">
      <alignment horizontal="center" wrapText="1"/>
    </xf>
    <xf numFmtId="17" fontId="14" fillId="0" borderId="73" xfId="0" applyNumberFormat="1" applyFont="1" applyBorder="1" applyAlignment="1">
      <alignment horizontal="center" vertical="center"/>
    </xf>
    <xf numFmtId="0" fontId="14" fillId="0" borderId="74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280" fillId="0" borderId="0" xfId="2790" applyFont="1" applyAlignment="1">
      <alignment horizontal="center" vertical="center" wrapText="1"/>
    </xf>
    <xf numFmtId="0" fontId="272" fillId="0" borderId="0" xfId="2790"/>
    <xf numFmtId="0" fontId="278" fillId="0" borderId="0" xfId="2790" applyFont="1" applyAlignment="1">
      <alignment horizontal="center" vertical="center" textRotation="90"/>
    </xf>
    <xf numFmtId="0" fontId="275" fillId="87" borderId="111" xfId="2790" applyFont="1" applyFill="1" applyBorder="1" applyAlignment="1">
      <alignment horizontal="center" vertical="center"/>
    </xf>
    <xf numFmtId="0" fontId="275" fillId="87" borderId="99" xfId="2790" applyFont="1" applyFill="1" applyBorder="1" applyAlignment="1">
      <alignment horizontal="center" vertical="center"/>
    </xf>
    <xf numFmtId="0" fontId="275" fillId="87" borderId="110" xfId="2790" applyFont="1" applyFill="1" applyBorder="1" applyAlignment="1">
      <alignment horizontal="center" vertical="center"/>
    </xf>
    <xf numFmtId="0" fontId="275" fillId="87" borderId="109" xfId="2790" applyFont="1" applyFill="1" applyBorder="1" applyAlignment="1">
      <alignment horizontal="center" vertical="center"/>
    </xf>
    <xf numFmtId="0" fontId="182" fillId="0" borderId="99" xfId="2790" applyFont="1" applyBorder="1"/>
    <xf numFmtId="0" fontId="275" fillId="87" borderId="98" xfId="2790" applyFont="1" applyFill="1" applyBorder="1" applyAlignment="1">
      <alignment horizontal="center" vertical="center"/>
    </xf>
    <xf numFmtId="0" fontId="182" fillId="0" borderId="98" xfId="2790" applyFont="1" applyBorder="1"/>
    <xf numFmtId="0" fontId="278" fillId="0" borderId="0" xfId="2790" applyFont="1" applyAlignment="1">
      <alignment horizontal="center" vertical="center" textRotation="90" wrapText="1"/>
    </xf>
    <xf numFmtId="0" fontId="274" fillId="0" borderId="0" xfId="2790" applyFont="1" applyAlignment="1">
      <alignment horizontal="center"/>
    </xf>
    <xf numFmtId="0" fontId="279" fillId="0" borderId="0" xfId="2790" applyFont="1" applyAlignment="1">
      <alignment horizontal="center" vertical="center"/>
    </xf>
    <xf numFmtId="0" fontId="275" fillId="87" borderId="122" xfId="2790" applyFont="1" applyFill="1" applyBorder="1" applyAlignment="1">
      <alignment horizontal="center" vertical="center"/>
    </xf>
    <xf numFmtId="0" fontId="286" fillId="85" borderId="96" xfId="2790" applyFont="1" applyFill="1" applyBorder="1" applyAlignment="1">
      <alignment horizontal="center" vertical="center" textRotation="90" wrapText="1"/>
    </xf>
    <xf numFmtId="0" fontId="286" fillId="79" borderId="96" xfId="2790" applyFont="1" applyFill="1" applyBorder="1" applyAlignment="1">
      <alignment horizontal="center" vertical="center" textRotation="90" wrapText="1"/>
    </xf>
    <xf numFmtId="0" fontId="286" fillId="85" borderId="0" xfId="2790" applyFont="1" applyFill="1" applyAlignment="1">
      <alignment horizontal="center" vertical="center" textRotation="90"/>
    </xf>
    <xf numFmtId="0" fontId="264" fillId="0" borderId="0" xfId="2799" applyNumberFormat="1" applyFont="1" applyAlignment="1">
      <alignment horizontal="center"/>
    </xf>
    <xf numFmtId="0" fontId="2" fillId="95" borderId="0" xfId="2799" applyNumberFormat="1" applyFont="1" applyFill="1" applyAlignment="1">
      <alignment horizontal="center"/>
    </xf>
    <xf numFmtId="0" fontId="2" fillId="94" borderId="0" xfId="2799" applyNumberFormat="1" applyFont="1" applyFill="1" applyAlignment="1">
      <alignment horizontal="center"/>
    </xf>
    <xf numFmtId="0" fontId="271" fillId="0" borderId="62" xfId="2789" applyFont="1" applyBorder="1" applyAlignment="1">
      <alignment horizontal="center" vertical="top"/>
    </xf>
    <xf numFmtId="0" fontId="271" fillId="0" borderId="9" xfId="2789" applyFont="1" applyBorder="1" applyAlignment="1">
      <alignment horizontal="center" vertical="top"/>
    </xf>
    <xf numFmtId="0" fontId="271" fillId="0" borderId="63" xfId="2789" applyFont="1" applyBorder="1" applyAlignment="1">
      <alignment horizontal="center" vertical="top"/>
    </xf>
    <xf numFmtId="0" fontId="69" fillId="0" borderId="88" xfId="0" applyFont="1" applyBorder="1" applyAlignment="1">
      <alignment horizontal="center" vertical="center" wrapText="1"/>
    </xf>
    <xf numFmtId="0" fontId="69" fillId="0" borderId="89" xfId="0" applyFont="1" applyBorder="1" applyAlignment="1">
      <alignment horizontal="center" vertical="center" wrapText="1"/>
    </xf>
    <xf numFmtId="0" fontId="69" fillId="0" borderId="121" xfId="0" applyFont="1" applyBorder="1" applyAlignment="1">
      <alignment horizontal="center" vertical="center" wrapText="1"/>
    </xf>
    <xf numFmtId="0" fontId="69" fillId="0" borderId="90" xfId="0" applyFont="1" applyBorder="1" applyAlignment="1">
      <alignment horizontal="center" vertical="center" wrapText="1"/>
    </xf>
    <xf numFmtId="0" fontId="264" fillId="83" borderId="69" xfId="0" applyFont="1" applyFill="1" applyBorder="1" applyAlignment="1">
      <alignment horizontal="center" vertical="center"/>
    </xf>
    <xf numFmtId="0" fontId="69" fillId="83" borderId="13" xfId="0" applyFont="1" applyFill="1" applyBorder="1" applyAlignment="1">
      <alignment horizontal="center" vertical="center"/>
    </xf>
    <xf numFmtId="0" fontId="69" fillId="83" borderId="0" xfId="0" applyFont="1" applyFill="1" applyAlignment="1">
      <alignment horizontal="center" vertical="center"/>
    </xf>
    <xf numFmtId="0" fontId="14" fillId="0" borderId="115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69" fillId="2" borderId="13" xfId="0" applyFont="1" applyFill="1" applyBorder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69" fillId="2" borderId="115" xfId="0" applyFont="1" applyFill="1" applyBorder="1" applyAlignment="1">
      <alignment horizontal="center" vertical="center"/>
    </xf>
    <xf numFmtId="0" fontId="69" fillId="2" borderId="118" xfId="0" applyFont="1" applyFill="1" applyBorder="1" applyAlignment="1">
      <alignment horizontal="center" vertical="center"/>
    </xf>
    <xf numFmtId="0" fontId="69" fillId="2" borderId="116" xfId="0" applyFont="1" applyFill="1" applyBorder="1" applyAlignment="1">
      <alignment horizontal="center" vertical="center"/>
    </xf>
    <xf numFmtId="0" fontId="69" fillId="0" borderId="115" xfId="0" applyFont="1" applyBorder="1" applyAlignment="1">
      <alignment horizontal="center" vertical="center"/>
    </xf>
    <xf numFmtId="0" fontId="69" fillId="0" borderId="118" xfId="0" applyFont="1" applyBorder="1" applyAlignment="1">
      <alignment horizontal="center" vertical="center"/>
    </xf>
    <xf numFmtId="0" fontId="69" fillId="0" borderId="116" xfId="0" applyFont="1" applyBorder="1" applyAlignment="1">
      <alignment horizontal="center" vertical="center"/>
    </xf>
    <xf numFmtId="0" fontId="69" fillId="96" borderId="101" xfId="0" applyFont="1" applyFill="1" applyBorder="1" applyAlignment="1">
      <alignment horizontal="center" vertical="center"/>
    </xf>
    <xf numFmtId="0" fontId="69" fillId="2" borderId="69" xfId="0" applyFont="1" applyFill="1" applyBorder="1" applyAlignment="1">
      <alignment horizontal="center" vertical="center"/>
    </xf>
    <xf numFmtId="0" fontId="14" fillId="2" borderId="115" xfId="0" applyFont="1" applyFill="1" applyBorder="1" applyAlignment="1">
      <alignment horizontal="center" vertical="center"/>
    </xf>
    <xf numFmtId="0" fontId="14" fillId="2" borderId="118" xfId="0" applyFont="1" applyFill="1" applyBorder="1" applyAlignment="1">
      <alignment horizontal="center" vertical="center"/>
    </xf>
    <xf numFmtId="0" fontId="14" fillId="2" borderId="116" xfId="0" applyFont="1" applyFill="1" applyBorder="1" applyAlignment="1">
      <alignment horizontal="center" vertical="center"/>
    </xf>
    <xf numFmtId="0" fontId="14" fillId="0" borderId="118" xfId="0" applyFont="1" applyBorder="1" applyAlignment="1">
      <alignment horizontal="center" vertical="center"/>
    </xf>
    <xf numFmtId="0" fontId="69" fillId="76" borderId="69" xfId="0" applyFont="1" applyFill="1" applyBorder="1" applyAlignment="1">
      <alignment horizontal="center" vertical="center"/>
    </xf>
    <xf numFmtId="0" fontId="69" fillId="88" borderId="6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101" xfId="0" applyFont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1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69" fillId="2" borderId="69" xfId="0" applyFont="1" applyFill="1" applyBorder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69" fillId="2" borderId="8" xfId="0" applyFont="1" applyFill="1" applyBorder="1" applyAlignment="1">
      <alignment horizontal="center" vertical="center" wrapText="1"/>
    </xf>
    <xf numFmtId="0" fontId="69" fillId="2" borderId="9" xfId="0" applyFont="1" applyFill="1" applyBorder="1" applyAlignment="1">
      <alignment horizontal="center" vertical="center" wrapText="1"/>
    </xf>
    <xf numFmtId="0" fontId="69" fillId="2" borderId="10" xfId="0" applyFont="1" applyFill="1" applyBorder="1" applyAlignment="1">
      <alignment horizontal="center" vertical="center" wrapText="1"/>
    </xf>
    <xf numFmtId="0" fontId="14" fillId="0" borderId="115" xfId="0" applyFont="1" applyBorder="1" applyAlignment="1">
      <alignment horizontal="center" vertical="center" wrapText="1"/>
    </xf>
    <xf numFmtId="0" fontId="14" fillId="0" borderId="116" xfId="0" applyFont="1" applyBorder="1" applyAlignment="1">
      <alignment horizontal="center" vertical="center" wrapText="1"/>
    </xf>
    <xf numFmtId="0" fontId="69" fillId="2" borderId="101" xfId="0" applyFont="1" applyFill="1" applyBorder="1" applyAlignment="1">
      <alignment horizontal="center" vertical="center" wrapText="1"/>
    </xf>
    <xf numFmtId="0" fontId="69" fillId="2" borderId="54" xfId="0" applyFont="1" applyFill="1" applyBorder="1" applyAlignment="1">
      <alignment horizontal="center" vertical="center" wrapText="1"/>
    </xf>
    <xf numFmtId="0" fontId="69" fillId="2" borderId="52" xfId="0" applyFont="1" applyFill="1" applyBorder="1" applyAlignment="1">
      <alignment horizontal="center" vertical="center" wrapText="1"/>
    </xf>
    <xf numFmtId="0" fontId="69" fillId="0" borderId="8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330" fontId="14" fillId="2" borderId="62" xfId="1282" applyNumberFormat="1" applyFont="1" applyFill="1" applyBorder="1" applyAlignment="1">
      <alignment horizontal="center"/>
    </xf>
    <xf numFmtId="0" fontId="14" fillId="2" borderId="63" xfId="1282" applyFont="1" applyFill="1" applyBorder="1" applyAlignment="1">
      <alignment horizontal="center"/>
    </xf>
    <xf numFmtId="330" fontId="11" fillId="2" borderId="62" xfId="1282" applyNumberFormat="1" applyFill="1" applyBorder="1" applyAlignment="1">
      <alignment horizontal="center"/>
    </xf>
    <xf numFmtId="0" fontId="11" fillId="2" borderId="63" xfId="1282" applyFill="1" applyBorder="1" applyAlignment="1">
      <alignment horizontal="center"/>
    </xf>
    <xf numFmtId="0" fontId="14" fillId="0" borderId="62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0" fontId="69" fillId="2" borderId="8" xfId="1" applyFont="1" applyFill="1" applyBorder="1" applyAlignment="1">
      <alignment horizontal="center" vertical="center"/>
    </xf>
    <xf numFmtId="0" fontId="69" fillId="2" borderId="9" xfId="1" applyFont="1" applyFill="1" applyBorder="1" applyAlignment="1">
      <alignment horizontal="center" vertical="center"/>
    </xf>
    <xf numFmtId="0" fontId="69" fillId="2" borderId="118" xfId="1" applyFont="1" applyFill="1" applyBorder="1" applyAlignment="1">
      <alignment horizontal="center" vertical="center"/>
    </xf>
    <xf numFmtId="0" fontId="69" fillId="2" borderId="10" xfId="1" applyFont="1" applyFill="1" applyBorder="1" applyAlignment="1">
      <alignment horizontal="center" vertical="center"/>
    </xf>
    <xf numFmtId="0" fontId="69" fillId="0" borderId="69" xfId="1" applyFont="1" applyBorder="1" applyAlignment="1">
      <alignment horizontal="center" vertical="center"/>
    </xf>
    <xf numFmtId="0" fontId="69" fillId="0" borderId="115" xfId="1" applyFont="1" applyBorder="1" applyAlignment="1">
      <alignment horizontal="center" vertical="center"/>
    </xf>
    <xf numFmtId="0" fontId="69" fillId="0" borderId="118" xfId="1" applyFont="1" applyBorder="1" applyAlignment="1">
      <alignment horizontal="center" vertical="center"/>
    </xf>
    <xf numFmtId="0" fontId="69" fillId="0" borderId="116" xfId="1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9" fontId="11" fillId="0" borderId="115" xfId="0" applyNumberFormat="1" applyFont="1" applyBorder="1" applyAlignment="1">
      <alignment horizontal="center" vertical="center"/>
    </xf>
    <xf numFmtId="9" fontId="11" fillId="0" borderId="118" xfId="0" applyNumberFormat="1" applyFont="1" applyBorder="1" applyAlignment="1">
      <alignment horizontal="center" vertical="center"/>
    </xf>
    <xf numFmtId="9" fontId="11" fillId="0" borderId="116" xfId="0" applyNumberFormat="1" applyFont="1" applyBorder="1" applyAlignment="1">
      <alignment horizontal="center" vertical="center"/>
    </xf>
    <xf numFmtId="0" fontId="11" fillId="0" borderId="115" xfId="0" applyFont="1" applyBorder="1" applyAlignment="1">
      <alignment horizontal="center" vertical="center"/>
    </xf>
    <xf numFmtId="0" fontId="11" fillId="0" borderId="118" xfId="0" applyFont="1" applyBorder="1" applyAlignment="1">
      <alignment horizontal="center" vertical="center"/>
    </xf>
    <xf numFmtId="0" fontId="11" fillId="0" borderId="116" xfId="0" applyFont="1" applyBorder="1" applyAlignment="1">
      <alignment horizontal="center" vertical="center"/>
    </xf>
    <xf numFmtId="0" fontId="14" fillId="81" borderId="115" xfId="0" applyFont="1" applyFill="1" applyBorder="1" applyAlignment="1">
      <alignment horizontal="center" vertical="center"/>
    </xf>
    <xf numFmtId="0" fontId="14" fillId="81" borderId="118" xfId="0" applyFont="1" applyFill="1" applyBorder="1" applyAlignment="1">
      <alignment horizontal="center" vertical="center"/>
    </xf>
    <xf numFmtId="0" fontId="14" fillId="81" borderId="116" xfId="0" applyFont="1" applyFill="1" applyBorder="1" applyAlignment="1">
      <alignment horizontal="center" vertical="center"/>
    </xf>
    <xf numFmtId="0" fontId="14" fillId="0" borderId="115" xfId="0" applyFont="1" applyBorder="1" applyAlignment="1">
      <alignment horizontal="right" vertical="center"/>
    </xf>
    <xf numFmtId="0" fontId="14" fillId="0" borderId="118" xfId="0" applyFont="1" applyBorder="1" applyAlignment="1">
      <alignment horizontal="right" vertical="center"/>
    </xf>
    <xf numFmtId="0" fontId="14" fillId="0" borderId="116" xfId="0" applyFont="1" applyBorder="1" applyAlignment="1">
      <alignment horizontal="right" vertical="center"/>
    </xf>
    <xf numFmtId="0" fontId="69" fillId="2" borderId="86" xfId="18" applyFont="1" applyFill="1" applyBorder="1" applyAlignment="1">
      <alignment horizontal="center" vertical="center"/>
    </xf>
    <xf numFmtId="0" fontId="69" fillId="2" borderId="87" xfId="18" applyFont="1" applyFill="1" applyBorder="1" applyAlignment="1">
      <alignment horizontal="center" vertical="center"/>
    </xf>
    <xf numFmtId="0" fontId="11" fillId="2" borderId="101" xfId="18" applyFill="1" applyBorder="1" applyAlignment="1">
      <alignment horizontal="center"/>
    </xf>
    <xf numFmtId="0" fontId="69" fillId="2" borderId="6" xfId="18" applyFont="1" applyFill="1" applyBorder="1" applyAlignment="1">
      <alignment horizontal="center" vertical="center"/>
    </xf>
    <xf numFmtId="0" fontId="69" fillId="0" borderId="69" xfId="0" applyFont="1" applyBorder="1" applyAlignment="1">
      <alignment horizontal="center" vertical="center"/>
    </xf>
    <xf numFmtId="0" fontId="69" fillId="0" borderId="101" xfId="0" applyFont="1" applyBorder="1" applyAlignment="1">
      <alignment horizontal="center" vertical="center"/>
    </xf>
    <xf numFmtId="171" fontId="14" fillId="76" borderId="64" xfId="0" applyNumberFormat="1" applyFont="1" applyFill="1" applyBorder="1" applyAlignment="1">
      <alignment horizontal="center" vertical="center"/>
    </xf>
    <xf numFmtId="171" fontId="14" fillId="76" borderId="5" xfId="0" applyNumberFormat="1" applyFont="1" applyFill="1" applyBorder="1" applyAlignment="1">
      <alignment horizontal="center" vertical="center"/>
    </xf>
    <xf numFmtId="1" fontId="14" fillId="76" borderId="60" xfId="7" applyNumberFormat="1" applyFont="1" applyFill="1" applyBorder="1" applyAlignment="1">
      <alignment horizontal="center" vertical="center"/>
    </xf>
    <xf numFmtId="1" fontId="14" fillId="76" borderId="52" xfId="7" applyNumberFormat="1" applyFont="1" applyFill="1" applyBorder="1" applyAlignment="1">
      <alignment horizontal="center" vertical="center"/>
    </xf>
    <xf numFmtId="1" fontId="14" fillId="76" borderId="59" xfId="0" applyNumberFormat="1" applyFont="1" applyFill="1" applyBorder="1" applyAlignment="1">
      <alignment horizontal="center" vertical="center"/>
    </xf>
    <xf numFmtId="1" fontId="14" fillId="76" borderId="12" xfId="0" applyNumberFormat="1" applyFont="1" applyFill="1" applyBorder="1" applyAlignment="1">
      <alignment horizontal="center" vertical="center"/>
    </xf>
    <xf numFmtId="1" fontId="11" fillId="76" borderId="64" xfId="0" applyNumberFormat="1" applyFont="1" applyFill="1" applyBorder="1" applyAlignment="1">
      <alignment horizontal="center" vertical="center"/>
    </xf>
    <xf numFmtId="1" fontId="11" fillId="76" borderId="5" xfId="0" applyNumberFormat="1" applyFont="1" applyFill="1" applyBorder="1" applyAlignment="1">
      <alignment horizontal="center" vertical="center"/>
    </xf>
    <xf numFmtId="0" fontId="281" fillId="91" borderId="86" xfId="2793" applyFont="1" applyFill="1" applyBorder="1" applyAlignment="1">
      <alignment horizontal="center" vertical="center"/>
    </xf>
    <xf numFmtId="0" fontId="281" fillId="91" borderId="87" xfId="2793" applyFont="1" applyFill="1" applyBorder="1" applyAlignment="1">
      <alignment horizontal="center" vertical="center"/>
    </xf>
    <xf numFmtId="0" fontId="281" fillId="83" borderId="101" xfId="2793" applyFont="1" applyFill="1" applyBorder="1" applyAlignment="1">
      <alignment horizontal="center" vertical="center"/>
    </xf>
    <xf numFmtId="0" fontId="281" fillId="2" borderId="0" xfId="2793" applyFont="1" applyFill="1" applyAlignment="1">
      <alignment horizontal="center" vertical="center"/>
    </xf>
    <xf numFmtId="0" fontId="281" fillId="76" borderId="84" xfId="2793" applyFont="1" applyFill="1" applyBorder="1" applyAlignment="1">
      <alignment horizontal="center" vertical="center"/>
    </xf>
    <xf numFmtId="0" fontId="281" fillId="76" borderId="81" xfId="2793" applyFont="1" applyFill="1" applyBorder="1" applyAlignment="1">
      <alignment horizontal="center" vertical="center"/>
    </xf>
    <xf numFmtId="0" fontId="281" fillId="75" borderId="86" xfId="2793" applyFont="1" applyFill="1" applyBorder="1" applyAlignment="1">
      <alignment horizontal="center" vertical="center"/>
    </xf>
    <xf numFmtId="0" fontId="281" fillId="75" borderId="87" xfId="2793" applyFont="1" applyFill="1" applyBorder="1" applyAlignment="1">
      <alignment horizontal="center" vertical="center"/>
    </xf>
    <xf numFmtId="169" fontId="14" fillId="0" borderId="0" xfId="7" applyFont="1" applyFill="1" applyBorder="1" applyAlignment="1">
      <alignment horizontal="center" vertical="center"/>
    </xf>
    <xf numFmtId="171" fontId="14" fillId="0" borderId="0" xfId="0" applyNumberFormat="1" applyFont="1" applyAlignment="1">
      <alignment horizontal="center" vertical="center" wrapText="1"/>
    </xf>
    <xf numFmtId="0" fontId="14" fillId="75" borderId="54" xfId="0" applyFont="1" applyFill="1" applyBorder="1" applyAlignment="1">
      <alignment horizontal="left" vertical="center"/>
    </xf>
    <xf numFmtId="0" fontId="14" fillId="75" borderId="59" xfId="0" applyFont="1" applyFill="1" applyBorder="1" applyAlignment="1">
      <alignment horizontal="left" vertical="center"/>
    </xf>
    <xf numFmtId="0" fontId="69" fillId="2" borderId="13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171" fontId="14" fillId="0" borderId="54" xfId="0" applyNumberFormat="1" applyFont="1" applyBorder="1" applyAlignment="1">
      <alignment horizontal="left" vertical="center"/>
    </xf>
    <xf numFmtId="1" fontId="11" fillId="76" borderId="59" xfId="0" applyNumberFormat="1" applyFont="1" applyFill="1" applyBorder="1" applyAlignment="1">
      <alignment horizontal="center" vertical="center"/>
    </xf>
    <xf numFmtId="1" fontId="11" fillId="76" borderId="12" xfId="0" applyNumberFormat="1" applyFont="1" applyFill="1" applyBorder="1" applyAlignment="1">
      <alignment horizontal="center" vertical="center"/>
    </xf>
    <xf numFmtId="1" fontId="11" fillId="0" borderId="64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0" fontId="69" fillId="2" borderId="8" xfId="0" applyFont="1" applyFill="1" applyBorder="1" applyAlignment="1">
      <alignment horizontal="center" vertical="center"/>
    </xf>
    <xf numFmtId="0" fontId="69" fillId="2" borderId="9" xfId="0" applyFont="1" applyFill="1" applyBorder="1" applyAlignment="1">
      <alignment horizontal="center" vertical="center"/>
    </xf>
    <xf numFmtId="0" fontId="69" fillId="2" borderId="10" xfId="0" applyFont="1" applyFill="1" applyBorder="1" applyAlignment="1">
      <alignment horizontal="center" vertical="center"/>
    </xf>
    <xf numFmtId="0" fontId="258" fillId="0" borderId="0" xfId="0" applyFont="1" applyAlignment="1">
      <alignment horizontal="left" vertical="center"/>
    </xf>
  </cellXfs>
  <cellStyles count="2800">
    <cellStyle name="_x0002_" xfId="26" xr:uid="{00000000-0005-0000-0000-000000000000}"/>
    <cellStyle name="'" xfId="27" xr:uid="{00000000-0005-0000-0000-000001000000}"/>
    <cellStyle name=" 1" xfId="28" xr:uid="{00000000-0005-0000-0000-000002000000}"/>
    <cellStyle name="_x0002_ 2" xfId="29" xr:uid="{00000000-0005-0000-0000-000003000000}"/>
    <cellStyle name="_x0002_ 2 2" xfId="30" xr:uid="{00000000-0005-0000-0000-000004000000}"/>
    <cellStyle name="_x0002_ 3" xfId="31" xr:uid="{00000000-0005-0000-0000-000005000000}"/>
    <cellStyle name="_x000a_386grabber=M" xfId="32" xr:uid="{00000000-0005-0000-0000-000006000000}"/>
    <cellStyle name="_x000a_386grabber=M 2" xfId="33" xr:uid="{00000000-0005-0000-0000-000007000000}"/>
    <cellStyle name="_x000a_bidires=100_x000d_" xfId="34" xr:uid="{00000000-0005-0000-0000-000008000000}"/>
    <cellStyle name="$" xfId="35" xr:uid="{00000000-0005-0000-0000-000009000000}"/>
    <cellStyle name="$ K" xfId="36" xr:uid="{00000000-0005-0000-0000-00000A000000}"/>
    <cellStyle name="$ K 2" xfId="37" xr:uid="{00000000-0005-0000-0000-00000B000000}"/>
    <cellStyle name="$.$ K" xfId="38" xr:uid="{00000000-0005-0000-0000-00000C000000}"/>
    <cellStyle name="$.$ K 2" xfId="39" xr:uid="{00000000-0005-0000-0000-00000D000000}"/>
    <cellStyle name="$/hr" xfId="40" xr:uid="{00000000-0005-0000-0000-00000E000000}"/>
    <cellStyle name="$/hr 2" xfId="41" xr:uid="{00000000-0005-0000-0000-00000F000000}"/>
    <cellStyle name="$currency" xfId="42" xr:uid="{00000000-0005-0000-0000-000010000000}"/>
    <cellStyle name="%" xfId="43" xr:uid="{00000000-0005-0000-0000-000011000000}"/>
    <cellStyle name="% 2" xfId="44" xr:uid="{00000000-0005-0000-0000-000012000000}"/>
    <cellStyle name="% 2 2" xfId="45" xr:uid="{00000000-0005-0000-0000-000013000000}"/>
    <cellStyle name="% 2 3" xfId="46" xr:uid="{00000000-0005-0000-0000-000014000000}"/>
    <cellStyle name="% 3" xfId="47" xr:uid="{00000000-0005-0000-0000-000015000000}"/>
    <cellStyle name="% 3 2" xfId="48" xr:uid="{00000000-0005-0000-0000-000016000000}"/>
    <cellStyle name="% Presentation" xfId="2279" xr:uid="{00000000-0005-0000-0000-000017000000}"/>
    <cellStyle name="%_CA_GDF_Cenário_Base_13_03" xfId="49" xr:uid="{00000000-0005-0000-0000-000018000000}"/>
    <cellStyle name="%_CA_GDF_Cenário_Base_13_03 2" xfId="50" xr:uid="{00000000-0005-0000-0000-000019000000}"/>
    <cellStyle name="%_CA_GDF_Cenário_Base_13_03_Sanessol" xfId="51" xr:uid="{00000000-0005-0000-0000-00001A000000}"/>
    <cellStyle name="%_Cronograma_Físico_Financeiro" xfId="52" xr:uid="{00000000-0005-0000-0000-00001B000000}"/>
    <cellStyle name="%_Cronograma_Físico_Financeiro 2" xfId="53" xr:uid="{00000000-0005-0000-0000-00001C000000}"/>
    <cellStyle name="%_Cronograma_Físico_Financeiro 3" xfId="54" xr:uid="{00000000-0005-0000-0000-00001D000000}"/>
    <cellStyle name="%_Cronograma_Físico_Financeiro_Projeções FOXX_BUSINESS_PLANv14" xfId="55" xr:uid="{00000000-0005-0000-0000-00001E000000}"/>
    <cellStyle name="%_Cronograma_Físico_Financeiro_Projeções FOXX_BUSINESS_PLANv14_FOXX_BARUERI_18_03_2011" xfId="56" xr:uid="{00000000-0005-0000-0000-00001F000000}"/>
    <cellStyle name="%_Cronograma_Físico_Financeiro_Projeções GEO_BPv27_414MW" xfId="57" xr:uid="{00000000-0005-0000-0000-000020000000}"/>
    <cellStyle name="%_Cronograma_Físico_Financeiro_Projeções GEO_BPv27_414MW_estrategia_equity_20101004" xfId="58" xr:uid="{00000000-0005-0000-0000-000021000000}"/>
    <cellStyle name="%_Cronograma_Físico_Financeiro_Projeções GEO_BPv27_414MW_FOXX_BARUERI_18_03_2011" xfId="59" xr:uid="{00000000-0005-0000-0000-000022000000}"/>
    <cellStyle name="%_Cronograma_Físico_Financeiro_Projeções GEO_BPv27_414MW_FOXX_RECIFE_20100914_cenario_energia+vapor" xfId="60" xr:uid="{00000000-0005-0000-0000-000023000000}"/>
    <cellStyle name="%_Cronograma_Físico_Financeiro_Projeções GEO_BPv27_414MW_Projeções FOXX_Barueri_12052010_reuniao_FOXX" xfId="61" xr:uid="{00000000-0005-0000-0000-000024000000}"/>
    <cellStyle name="%_Cronograma_Físico_Financeiro_Sanessol" xfId="62" xr:uid="{00000000-0005-0000-0000-000025000000}"/>
    <cellStyle name="%_Projeções Águas de Itu" xfId="63" xr:uid="{00000000-0005-0000-0000-000026000000}"/>
    <cellStyle name="%_Projeções FOXX_BUSINESS_PLANv14" xfId="64" xr:uid="{00000000-0005-0000-0000-000027000000}"/>
    <cellStyle name="%_Projeções FOXX_BUSINESS_PLANv14_FOXX_BARUERI_18_03_2011" xfId="65" xr:uid="{00000000-0005-0000-0000-000028000000}"/>
    <cellStyle name="%_Projeções GEO_BPv27_414MW" xfId="66" xr:uid="{00000000-0005-0000-0000-000029000000}"/>
    <cellStyle name="%_Projeções GEO_BPv27_414MW_estrategia_equity_20101004" xfId="67" xr:uid="{00000000-0005-0000-0000-00002A000000}"/>
    <cellStyle name="%_Projeções GEO_BPv27_414MW_FOXX_BARUERI_18_03_2011" xfId="68" xr:uid="{00000000-0005-0000-0000-00002B000000}"/>
    <cellStyle name="%_Projeções GEO_BPv27_414MW_FOXX_RECIFE_20100914_cenario_energia+vapor" xfId="69" xr:uid="{00000000-0005-0000-0000-00002C000000}"/>
    <cellStyle name="%_Projeções GEO_BPv27_414MW_Projeções FOXX_Barueri_12052010_reuniao_FOXX" xfId="70" xr:uid="{00000000-0005-0000-0000-00002D000000}"/>
    <cellStyle name="%_Projeções Joinville Valora" xfId="71" xr:uid="{00000000-0005-0000-0000-00002E000000}"/>
    <cellStyle name="%_Projeções Joinville Valora 2" xfId="72" xr:uid="{00000000-0005-0000-0000-00002F000000}"/>
    <cellStyle name="%_Projeções Joinville Valora_Sanessol" xfId="73" xr:uid="{00000000-0005-0000-0000-000030000000}"/>
    <cellStyle name="%_Projeções.v6" xfId="74" xr:uid="{00000000-0005-0000-0000-000031000000}"/>
    <cellStyle name="%_Projeções.v6_estrategia_equity_20101004" xfId="75" xr:uid="{00000000-0005-0000-0000-000032000000}"/>
    <cellStyle name="%_Projeções.v6_FOXX_BARUERI_18_03_2011" xfId="76" xr:uid="{00000000-0005-0000-0000-000033000000}"/>
    <cellStyle name="%_Projeções.v6_FOXX_RECIFE_20100914_cenario_energia+vapor" xfId="77" xr:uid="{00000000-0005-0000-0000-000034000000}"/>
    <cellStyle name="%_Projeções.v6_Projeções FOXX_Barueri_12052010_reuniao_FOXX" xfId="78" xr:uid="{00000000-0005-0000-0000-000035000000}"/>
    <cellStyle name="%_Projeções.v6_Projeções GEO_BPv27_414MW" xfId="79" xr:uid="{00000000-0005-0000-0000-000036000000}"/>
    <cellStyle name="%_Projeções.v8" xfId="80" xr:uid="{00000000-0005-0000-0000-000037000000}"/>
    <cellStyle name="%_Sanessol" xfId="81" xr:uid="{00000000-0005-0000-0000-000038000000}"/>
    <cellStyle name="******************************************" xfId="2280" xr:uid="{00000000-0005-0000-0000-000039000000}"/>
    <cellStyle name="?? [0]_VERA" xfId="2281" xr:uid="{00000000-0005-0000-0000-00003A000000}"/>
    <cellStyle name="?????_VERA" xfId="2282" xr:uid="{00000000-0005-0000-0000-00003B000000}"/>
    <cellStyle name="??_1951_0006" xfId="2283" xr:uid="{00000000-0005-0000-0000-00003C000000}"/>
    <cellStyle name="?Q\?1@" xfId="82" xr:uid="{00000000-0005-0000-0000-00003D000000}"/>
    <cellStyle name="?Q\?1@ 2" xfId="83" xr:uid="{00000000-0005-0000-0000-00003E000000}"/>
    <cellStyle name="?Q\?1@ 3" xfId="84" xr:uid="{00000000-0005-0000-0000-00003F000000}"/>
    <cellStyle name="?Q\?1@ 4" xfId="85" xr:uid="{00000000-0005-0000-0000-000040000000}"/>
    <cellStyle name="?Q\?1@ 5" xfId="86" xr:uid="{00000000-0005-0000-0000-000041000000}"/>
    <cellStyle name="_%(SignOnly)" xfId="87" xr:uid="{00000000-0005-0000-0000-000042000000}"/>
    <cellStyle name="_%(SignSpaceOnly)" xfId="88" xr:uid="{00000000-0005-0000-0000-000043000000}"/>
    <cellStyle name="_2008 MM DD Águas de Limeira" xfId="89" xr:uid="{00000000-0005-0000-0000-000044000000}"/>
    <cellStyle name="_2008 MM DD EXPRESSO_26_06_08" xfId="90" xr:uid="{00000000-0005-0000-0000-000045000000}"/>
    <cellStyle name="_2008 MM DD Rio Claro" xfId="91" xr:uid="{00000000-0005-0000-0000-000046000000}"/>
    <cellStyle name="_951PM_Tuesday_12-18-07 (2)" xfId="2284" xr:uid="{00000000-0005-0000-0000-000047000000}"/>
    <cellStyle name="_AAAA MM DD Nome da Empresa" xfId="92" xr:uid="{00000000-0005-0000-0000-000048000000}"/>
    <cellStyle name="_x0002__Abertura_Despesas (3)" xfId="93" xr:uid="{00000000-0005-0000-0000-000049000000}"/>
    <cellStyle name="_ADIANTAMENTO SOBRECONTRATAÇÃO" xfId="2285" xr:uid="{00000000-0005-0000-0000-00004A000000}"/>
    <cellStyle name="_ADIANTAMENTO SOBRECONTRATAÇÃO_071125_Modelo Valoracion" xfId="2286" xr:uid="{00000000-0005-0000-0000-00004B000000}"/>
    <cellStyle name="_ADIANTAMENTO SOBRECONTRATAÇÃO_071127_Modelo Valoracion_V1" xfId="2287" xr:uid="{00000000-0005-0000-0000-00004C000000}"/>
    <cellStyle name="_ADIANTAMENTO SOBRECONTRATAÇÃO_071127_Modelo Valoracion_V11" xfId="2288" xr:uid="{00000000-0005-0000-0000-00004D000000}"/>
    <cellStyle name="_ADIANTAMENTO SOBRECONTRATAÇÃO_071127_Modelo Valoracion_V14" xfId="2289" xr:uid="{00000000-0005-0000-0000-00004E000000}"/>
    <cellStyle name="_ADIANTAMENTO SOBRECONTRATAÇÃO_071127_Modelo Valoracion_V6" xfId="2290" xr:uid="{00000000-0005-0000-0000-00004F000000}"/>
    <cellStyle name="_ADIANTAMENTO SOBRECONTRATAÇÃO_071127_Modelo Valoracion_V7" xfId="2291" xr:uid="{00000000-0005-0000-0000-000050000000}"/>
    <cellStyle name="_ADIANTAMENTO SOBRECONTRATAÇÃO_Macro" xfId="2292" xr:uid="{00000000-0005-0000-0000-000051000000}"/>
    <cellStyle name="_ADIANTAMENTO SOBRECONTRATAÇÃO_modelo margem eletropaulo EB 2007 11 20 ce (2)" xfId="2293" xr:uid="{00000000-0005-0000-0000-000052000000}"/>
    <cellStyle name="_ADIANTAMENTO SOBRECONTRATAÇÃO_modelo margem eletropaulo EB 2007 11 23" xfId="2294" xr:uid="{00000000-0005-0000-0000-000053000000}"/>
    <cellStyle name="_ADIANTAMENTO SOBRECONTRATAÇÃO_Salida_Sensibilidad" xfId="2295" xr:uid="{00000000-0005-0000-0000-000054000000}"/>
    <cellStyle name="_Assumptions" xfId="2296" xr:uid="{00000000-0005-0000-0000-000055000000}"/>
    <cellStyle name="_x0002__BP_ERB_ Reunião 20081023_(premissas antigas)" xfId="2297" xr:uid="{00000000-0005-0000-0000-000056000000}"/>
    <cellStyle name="_x0002__BP_ERB_ Reunião 20081023_(premissas antigas) 2" xfId="2298" xr:uid="{00000000-0005-0000-0000-000057000000}"/>
    <cellStyle name="_x0002__BP_ERB_ Reunião 20081023_(premissas antigas)_Plantas de Pellet com UTE Peq e Planta Ajinomoto_Modelo Solvi 20080112" xfId="2299" xr:uid="{00000000-0005-0000-0000-000058000000}"/>
    <cellStyle name="_CAPM_CBE" xfId="94" xr:uid="{00000000-0005-0000-0000-000059000000}"/>
    <cellStyle name="_Comma" xfId="95" xr:uid="{00000000-0005-0000-0000-00005A000000}"/>
    <cellStyle name="_Comma_dcf" xfId="2300" xr:uid="{00000000-0005-0000-0000-00005B000000}"/>
    <cellStyle name="_Copy of 2007 11 30-PlanilhaDRE-consolidado(desarrollo)" xfId="2301" xr:uid="{00000000-0005-0000-0000-00005C000000}"/>
    <cellStyle name="_CPFL-SobrasExposiçãoSubmercados" xfId="2302" xr:uid="{00000000-0005-0000-0000-00005D000000}"/>
    <cellStyle name="_CPFL-SobrasExposiçãoSubmercados_071125_Modelo Valoracion" xfId="2303" xr:uid="{00000000-0005-0000-0000-00005E000000}"/>
    <cellStyle name="_CPFL-SobrasExposiçãoSubmercados_071127_Modelo Valoracion_V1" xfId="2304" xr:uid="{00000000-0005-0000-0000-00005F000000}"/>
    <cellStyle name="_CPFL-SobrasExposiçãoSubmercados_071127_Modelo Valoracion_V11" xfId="2305" xr:uid="{00000000-0005-0000-0000-000060000000}"/>
    <cellStyle name="_CPFL-SobrasExposiçãoSubmercados_071127_Modelo Valoracion_V14" xfId="2306" xr:uid="{00000000-0005-0000-0000-000061000000}"/>
    <cellStyle name="_CPFL-SobrasExposiçãoSubmercados_071127_Modelo Valoracion_V6" xfId="2307" xr:uid="{00000000-0005-0000-0000-000062000000}"/>
    <cellStyle name="_CPFL-SobrasExposiçãoSubmercados_071127_Modelo Valoracion_V7" xfId="2308" xr:uid="{00000000-0005-0000-0000-000063000000}"/>
    <cellStyle name="_CPFL-SobrasExposiçãoSubmercados_Macro" xfId="2309" xr:uid="{00000000-0005-0000-0000-000064000000}"/>
    <cellStyle name="_CPFL-SobrasExposiçãoSubmercados_modelo margem eletropaulo EB 2007 11 20 ce (2)" xfId="2310" xr:uid="{00000000-0005-0000-0000-000065000000}"/>
    <cellStyle name="_CPFL-SobrasExposiçãoSubmercados_modelo margem eletropaulo EB 2007 11 23" xfId="2311" xr:uid="{00000000-0005-0000-0000-000066000000}"/>
    <cellStyle name="_CPFL-SobrasExposiçãoSubmercados_Salida_Sensibilidad" xfId="2312" xr:uid="{00000000-0005-0000-0000-000067000000}"/>
    <cellStyle name="_CSN_GS" xfId="2313" xr:uid="{00000000-0005-0000-0000-000068000000}"/>
    <cellStyle name="_Currency" xfId="96" xr:uid="{00000000-0005-0000-0000-000069000000}"/>
    <cellStyle name="_Currency 2" xfId="2314" xr:uid="{00000000-0005-0000-0000-00006A000000}"/>
    <cellStyle name="_Currency 2 2" xfId="2315" xr:uid="{00000000-0005-0000-0000-00006B000000}"/>
    <cellStyle name="_Currency 2 2 2" xfId="2316" xr:uid="{00000000-0005-0000-0000-00006C000000}"/>
    <cellStyle name="_Currency 2 2 2 2" xfId="2317" xr:uid="{00000000-0005-0000-0000-00006D000000}"/>
    <cellStyle name="_Currency 2 2 2 3" xfId="2318" xr:uid="{00000000-0005-0000-0000-00006E000000}"/>
    <cellStyle name="_Currency 2 2 2 4" xfId="2319" xr:uid="{00000000-0005-0000-0000-00006F000000}"/>
    <cellStyle name="_Currency 2 2 2 5" xfId="2320" xr:uid="{00000000-0005-0000-0000-000070000000}"/>
    <cellStyle name="_Currency 2 2 3" xfId="2321" xr:uid="{00000000-0005-0000-0000-000071000000}"/>
    <cellStyle name="_Currency 2 2 4" xfId="2322" xr:uid="{00000000-0005-0000-0000-000072000000}"/>
    <cellStyle name="_Currency 2 2 5" xfId="2323" xr:uid="{00000000-0005-0000-0000-000073000000}"/>
    <cellStyle name="_Currency 2 3" xfId="2324" xr:uid="{00000000-0005-0000-0000-000074000000}"/>
    <cellStyle name="_Currency 2 4" xfId="2325" xr:uid="{00000000-0005-0000-0000-000075000000}"/>
    <cellStyle name="_Currency 2 5" xfId="2326" xr:uid="{00000000-0005-0000-0000-000076000000}"/>
    <cellStyle name="_Currency 3" xfId="2327" xr:uid="{00000000-0005-0000-0000-000077000000}"/>
    <cellStyle name="_Currency 3 2" xfId="2328" xr:uid="{00000000-0005-0000-0000-000078000000}"/>
    <cellStyle name="_Currency 4" xfId="2329" xr:uid="{00000000-0005-0000-0000-000079000000}"/>
    <cellStyle name="_Currency 5" xfId="2330" xr:uid="{00000000-0005-0000-0000-00007A000000}"/>
    <cellStyle name="_Currency 6" xfId="2331" xr:uid="{00000000-0005-0000-0000-00007B000000}"/>
    <cellStyle name="_Currency_Book2" xfId="2332" xr:uid="{00000000-0005-0000-0000-00007C000000}"/>
    <cellStyle name="_Currency_dcf" xfId="2333" xr:uid="{00000000-0005-0000-0000-00007D000000}"/>
    <cellStyle name="_Currency_ManduValuation_Support_v3" xfId="2334" xr:uid="{00000000-0005-0000-0000-00007E000000}"/>
    <cellStyle name="_Currency_Modelo_Mairinque_v2.2" xfId="2335" xr:uid="{00000000-0005-0000-0000-00007F000000}"/>
    <cellStyle name="_Currency_Urca Final Model" xfId="2336" xr:uid="{00000000-0005-0000-0000-000080000000}"/>
    <cellStyle name="_CurrencySpace" xfId="97" xr:uid="{00000000-0005-0000-0000-000081000000}"/>
    <cellStyle name="_CurrencySpace 2" xfId="2337" xr:uid="{00000000-0005-0000-0000-000082000000}"/>
    <cellStyle name="_CurrencySpace 3" xfId="2338" xr:uid="{00000000-0005-0000-0000-000083000000}"/>
    <cellStyle name="_CurrencySpace 3 2" xfId="2339" xr:uid="{00000000-0005-0000-0000-000084000000}"/>
    <cellStyle name="_CurrencySpace_dcf" xfId="2340" xr:uid="{00000000-0005-0000-0000-000085000000}"/>
    <cellStyle name="_DCF" xfId="2341" xr:uid="{00000000-0005-0000-0000-000086000000}"/>
    <cellStyle name="_Draft_Escelsa (Fabiano)" xfId="2342" xr:uid="{00000000-0005-0000-0000-000087000000}"/>
    <cellStyle name="_Euro" xfId="98" xr:uid="{00000000-0005-0000-0000-000088000000}"/>
    <cellStyle name="_Global Comps - Full Service - 12 Jan  2001" xfId="2343" xr:uid="{00000000-0005-0000-0000-000089000000}"/>
    <cellStyle name="_Global Comps - Full Service - 18 June 2001" xfId="2344" xr:uid="{00000000-0005-0000-0000-00008A000000}"/>
    <cellStyle name="_Global Comps - Full Service - 20 June 2001" xfId="2345" xr:uid="{00000000-0005-0000-0000-00008B000000}"/>
    <cellStyle name="_Heading" xfId="99" xr:uid="{00000000-0005-0000-0000-00008C000000}"/>
    <cellStyle name="_Heading_05 WACC Calculation (20-Oct-2006)" xfId="2346" xr:uid="{00000000-0005-0000-0000-00008D000000}"/>
    <cellStyle name="_Heading_05 WACC Calculation (20-Oct-2006)_Modelo Brenco vs alterada" xfId="2347" xr:uid="{00000000-0005-0000-0000-00008E000000}"/>
    <cellStyle name="_Heading_Book2" xfId="2348" xr:uid="{00000000-0005-0000-0000-00008F000000}"/>
    <cellStyle name="_Heading_Brazil_US Data" xfId="2349" xr:uid="{00000000-0005-0000-0000-000090000000}"/>
    <cellStyle name="_Heading_Modelo_Mairinque_v2.2" xfId="2350" xr:uid="{00000000-0005-0000-0000-000091000000}"/>
    <cellStyle name="_Heading_Multiplos_transação_atualizado" xfId="100" xr:uid="{00000000-0005-0000-0000-000092000000}"/>
    <cellStyle name="_Heading_Multiplos_transação_atualizado_Modelo 070109 - Colíder_CAB_v2" xfId="101" xr:uid="{00000000-0005-0000-0000-000093000000}"/>
    <cellStyle name="_Heading_Multiplos_transação_atualizado_Modelo 100109 - Colíder_CAB_v2" xfId="102" xr:uid="{00000000-0005-0000-0000-000094000000}"/>
    <cellStyle name="_Heading_Multiplos_v2" xfId="103" xr:uid="{00000000-0005-0000-0000-000095000000}"/>
    <cellStyle name="_Heading_Multiplos_v2_Modelo 070109 - Colíder_CAB_v2" xfId="104" xr:uid="{00000000-0005-0000-0000-000096000000}"/>
    <cellStyle name="_Heading_Multiplos_v2_Modelo 100109 - Colíder_CAB_v2" xfId="105" xr:uid="{00000000-0005-0000-0000-000097000000}"/>
    <cellStyle name="_Heading_prestemp" xfId="2351" xr:uid="{00000000-0005-0000-0000-000098000000}"/>
    <cellStyle name="_Highlight" xfId="106" xr:uid="{00000000-0005-0000-0000-000099000000}"/>
    <cellStyle name="_Klabin_GSwm" xfId="2352" xr:uid="{00000000-0005-0000-0000-00009A000000}"/>
    <cellStyle name="_MCIT" xfId="2353" xr:uid="{00000000-0005-0000-0000-00009B000000}"/>
    <cellStyle name="_Modelo Eletropaulo 09 11 07" xfId="107" xr:uid="{00000000-0005-0000-0000-00009C000000}"/>
    <cellStyle name="_Multiple" xfId="108" xr:uid="{00000000-0005-0000-0000-00009D000000}"/>
    <cellStyle name="_Multiple_dcf" xfId="2354" xr:uid="{00000000-0005-0000-0000-00009E000000}"/>
    <cellStyle name="_MultipleSpace" xfId="109" xr:uid="{00000000-0005-0000-0000-00009F000000}"/>
    <cellStyle name="_MultipleSpace_dcf" xfId="2355" xr:uid="{00000000-0005-0000-0000-0000A0000000}"/>
    <cellStyle name="_New WCOM" xfId="2356" xr:uid="{00000000-0005-0000-0000-0000A1000000}"/>
    <cellStyle name="_passivo PIS_COFINS" xfId="2357" xr:uid="{00000000-0005-0000-0000-0000A2000000}"/>
    <cellStyle name="_passivo PIS_COFINS_071125_Modelo Valoracion" xfId="2358" xr:uid="{00000000-0005-0000-0000-0000A3000000}"/>
    <cellStyle name="_passivo PIS_COFINS_071127_Modelo Valoracion_V1" xfId="2359" xr:uid="{00000000-0005-0000-0000-0000A4000000}"/>
    <cellStyle name="_passivo PIS_COFINS_071127_Modelo Valoracion_V11" xfId="2360" xr:uid="{00000000-0005-0000-0000-0000A5000000}"/>
    <cellStyle name="_passivo PIS_COFINS_071127_Modelo Valoracion_V14" xfId="2361" xr:uid="{00000000-0005-0000-0000-0000A6000000}"/>
    <cellStyle name="_passivo PIS_COFINS_071127_Modelo Valoracion_V6" xfId="2362" xr:uid="{00000000-0005-0000-0000-0000A7000000}"/>
    <cellStyle name="_passivo PIS_COFINS_071127_Modelo Valoracion_V7" xfId="2363" xr:uid="{00000000-0005-0000-0000-0000A8000000}"/>
    <cellStyle name="_passivo PIS_COFINS_Macro" xfId="2364" xr:uid="{00000000-0005-0000-0000-0000A9000000}"/>
    <cellStyle name="_passivo PIS_COFINS_modelo margem eletropaulo EB 2007 11 20 ce (2)" xfId="2365" xr:uid="{00000000-0005-0000-0000-0000AA000000}"/>
    <cellStyle name="_passivo PIS_COFINS_modelo margem eletropaulo EB 2007 11 23" xfId="2366" xr:uid="{00000000-0005-0000-0000-0000AB000000}"/>
    <cellStyle name="_passivo PIS_COFINS_Salida_Sensibilidad" xfId="2367" xr:uid="{00000000-0005-0000-0000-0000AC000000}"/>
    <cellStyle name="_Percent" xfId="2368" xr:uid="{00000000-0005-0000-0000-0000AD000000}"/>
    <cellStyle name="_Percent_05 WACC Calculation (20-Oct-2006)" xfId="2369" xr:uid="{00000000-0005-0000-0000-0000AE000000}"/>
    <cellStyle name="_PercentSpace" xfId="2370" xr:uid="{00000000-0005-0000-0000-0000AF000000}"/>
    <cellStyle name="_PercentSpace_05 WACC Calculation (20-Oct-2006)" xfId="2371" xr:uid="{00000000-0005-0000-0000-0000B0000000}"/>
    <cellStyle name="_x0002__Plantas de Pellet com UTE Peq e Planta Ajinomoto_Modelo Solvi 20080112" xfId="2372" xr:uid="{00000000-0005-0000-0000-0000B1000000}"/>
    <cellStyle name="_premisses" xfId="2373" xr:uid="{00000000-0005-0000-0000-0000B2000000}"/>
    <cellStyle name="_Revised Comps Template" xfId="2374" xr:uid="{00000000-0005-0000-0000-0000B3000000}"/>
    <cellStyle name="_Sheet1" xfId="2375" xr:uid="{00000000-0005-0000-0000-0000B4000000}"/>
    <cellStyle name="_SubHeading" xfId="110" xr:uid="{00000000-0005-0000-0000-0000B5000000}"/>
    <cellStyle name="_SubHeading_05 WACC Calculation (20-Oct-2006)" xfId="2376" xr:uid="{00000000-0005-0000-0000-0000B6000000}"/>
    <cellStyle name="_SubHeading_05 WACC Calculation (20-Oct-2006)_Modelo Brenco vs alterada" xfId="2377" xr:uid="{00000000-0005-0000-0000-0000B7000000}"/>
    <cellStyle name="_SubHeading_Book2" xfId="2378" xr:uid="{00000000-0005-0000-0000-0000B8000000}"/>
    <cellStyle name="_SubHeading_Brazil_US Data" xfId="2379" xr:uid="{00000000-0005-0000-0000-0000B9000000}"/>
    <cellStyle name="_SubHeading_Modelo_Mairinque_v2.2" xfId="2380" xr:uid="{00000000-0005-0000-0000-0000BA000000}"/>
    <cellStyle name="_SubHeading_Multiplos_transação_atualizado" xfId="111" xr:uid="{00000000-0005-0000-0000-0000BB000000}"/>
    <cellStyle name="_SubHeading_Multiplos_transação_atualizado_Modelo 070109 - Colíder_CAB_v2" xfId="112" xr:uid="{00000000-0005-0000-0000-0000BC000000}"/>
    <cellStyle name="_SubHeading_Multiplos_transação_atualizado_Modelo 100109 - Colíder_CAB_v2" xfId="113" xr:uid="{00000000-0005-0000-0000-0000BD000000}"/>
    <cellStyle name="_SubHeading_Multiplos_v2" xfId="114" xr:uid="{00000000-0005-0000-0000-0000BE000000}"/>
    <cellStyle name="_SubHeading_Multiplos_v2_Modelo 070109 - Colíder_CAB_v2" xfId="115" xr:uid="{00000000-0005-0000-0000-0000BF000000}"/>
    <cellStyle name="_SubHeading_Multiplos_v2_Modelo 100109 - Colíder_CAB_v2" xfId="116" xr:uid="{00000000-0005-0000-0000-0000C0000000}"/>
    <cellStyle name="_SubHeading_prestemp" xfId="2381" xr:uid="{00000000-0005-0000-0000-0000C1000000}"/>
    <cellStyle name="_Tabelas Relatório - AES Eletropaulo" xfId="117" xr:uid="{00000000-0005-0000-0000-0000C2000000}"/>
    <cellStyle name="_Table" xfId="118" xr:uid="{00000000-0005-0000-0000-0000C3000000}"/>
    <cellStyle name="_Table 2" xfId="119" xr:uid="{00000000-0005-0000-0000-0000C4000000}"/>
    <cellStyle name="_Table_05 WACC Calculation (20-Oct-2006)" xfId="2382" xr:uid="{00000000-0005-0000-0000-0000C5000000}"/>
    <cellStyle name="_Table_Book2" xfId="2383" xr:uid="{00000000-0005-0000-0000-0000C6000000}"/>
    <cellStyle name="_Table_Brazil_US Data" xfId="2384" xr:uid="{00000000-0005-0000-0000-0000C7000000}"/>
    <cellStyle name="_Table_Brazil_US Data_Modelo Brenco vs alterada" xfId="2385" xr:uid="{00000000-0005-0000-0000-0000C8000000}"/>
    <cellStyle name="_Table_Cidades" xfId="2386" xr:uid="{00000000-0005-0000-0000-0000C9000000}"/>
    <cellStyle name="_Table_Modelo 021208 FINAL - Colíder" xfId="120" xr:uid="{00000000-0005-0000-0000-0000CA000000}"/>
    <cellStyle name="_Table_Modelo 021208 FINAL - Colíder 2" xfId="121" xr:uid="{00000000-0005-0000-0000-0000CB000000}"/>
    <cellStyle name="_Table_Modelo 021208 FINAL - Colíder_v2" xfId="122" xr:uid="{00000000-0005-0000-0000-0000CC000000}"/>
    <cellStyle name="_Table_Modelo 021208 FINAL - Colíder_v2 2" xfId="123" xr:uid="{00000000-0005-0000-0000-0000CD000000}"/>
    <cellStyle name="_Table_Modelo 070109 - Colíder_CAB_v2" xfId="124" xr:uid="{00000000-0005-0000-0000-0000CE000000}"/>
    <cellStyle name="_Table_Modelo 070109 - Colíder_CAB_v2 2" xfId="125" xr:uid="{00000000-0005-0000-0000-0000CF000000}"/>
    <cellStyle name="_Table_Modelo 100109 - Colíder_CAB_v2" xfId="126" xr:uid="{00000000-0005-0000-0000-0000D0000000}"/>
    <cellStyle name="_Table_Modelo 100109 - Colíder_CAB_v2 2" xfId="127" xr:uid="{00000000-0005-0000-0000-0000D1000000}"/>
    <cellStyle name="_Table_Modelo 281108 FINAL - Alta Floresta" xfId="128" xr:uid="{00000000-0005-0000-0000-0000D2000000}"/>
    <cellStyle name="_Table_Modelo 281108 FINAL - Alta Floresta 2" xfId="129" xr:uid="{00000000-0005-0000-0000-0000D3000000}"/>
    <cellStyle name="_Table_Modelo 281108 FINAL - Colíder" xfId="130" xr:uid="{00000000-0005-0000-0000-0000D4000000}"/>
    <cellStyle name="_Table_Modelo 281108 FINAL - Colíder 2" xfId="131" xr:uid="{00000000-0005-0000-0000-0000D5000000}"/>
    <cellStyle name="_Table_Modelo 281108 FINAL - Comodoro" xfId="132" xr:uid="{00000000-0005-0000-0000-0000D6000000}"/>
    <cellStyle name="_Table_Modelo 281108 FINAL - Comodoro 2" xfId="133" xr:uid="{00000000-0005-0000-0000-0000D7000000}"/>
    <cellStyle name="_Table_Modelo 281108 FINAL - Pontes e Lacerda" xfId="134" xr:uid="{00000000-0005-0000-0000-0000D8000000}"/>
    <cellStyle name="_Table_Modelo 281108 FINAL - Pontes e Lacerda 2" xfId="135" xr:uid="{00000000-0005-0000-0000-0000D9000000}"/>
    <cellStyle name="_Table_Modelo 301108 FINAL - Alta Floresta" xfId="136" xr:uid="{00000000-0005-0000-0000-0000DA000000}"/>
    <cellStyle name="_Table_Modelo 301108 FINAL - Alta Floresta 2" xfId="137" xr:uid="{00000000-0005-0000-0000-0000DB000000}"/>
    <cellStyle name="_Table_Modelo 301108 FINAL - Pontes e Lacerda" xfId="138" xr:uid="{00000000-0005-0000-0000-0000DC000000}"/>
    <cellStyle name="_Table_Modelo 301108 FINAL - Pontes e Lacerda 2" xfId="139" xr:uid="{00000000-0005-0000-0000-0000DD000000}"/>
    <cellStyle name="_Table_Modelo Brenco vs alterada" xfId="2387" xr:uid="{00000000-0005-0000-0000-0000DE000000}"/>
    <cellStyle name="_Table_Modelo_Mairinque_v2.2" xfId="2388" xr:uid="{00000000-0005-0000-0000-0000DF000000}"/>
    <cellStyle name="_Table_Modelo_Rio das Ostras_v1.5" xfId="2389" xr:uid="{00000000-0005-0000-0000-0000E0000000}"/>
    <cellStyle name="_Table_Modelo_Rio das Ostras_v1.6" xfId="2390" xr:uid="{00000000-0005-0000-0000-0000E1000000}"/>
    <cellStyle name="_Table_Multiplos_transação_atualizado" xfId="140" xr:uid="{00000000-0005-0000-0000-0000E2000000}"/>
    <cellStyle name="_Table_Multiplos_transação_atualizado 2" xfId="141" xr:uid="{00000000-0005-0000-0000-0000E3000000}"/>
    <cellStyle name="_Table_Multiplos_transação_atualizado_Modelo 070109 - Colíder_CAB_v2" xfId="142" xr:uid="{00000000-0005-0000-0000-0000E4000000}"/>
    <cellStyle name="_Table_Multiplos_transação_atualizado_Modelo 070109 - Colíder_CAB_v2 2" xfId="143" xr:uid="{00000000-0005-0000-0000-0000E5000000}"/>
    <cellStyle name="_Table_Multiplos_transação_atualizado_Modelo 100109 - Colíder_CAB_v2" xfId="144" xr:uid="{00000000-0005-0000-0000-0000E6000000}"/>
    <cellStyle name="_Table_Multiplos_transação_atualizado_Modelo 100109 - Colíder_CAB_v2 2" xfId="145" xr:uid="{00000000-0005-0000-0000-0000E7000000}"/>
    <cellStyle name="_Table_Multiplos_v2" xfId="146" xr:uid="{00000000-0005-0000-0000-0000E8000000}"/>
    <cellStyle name="_Table_Multiplos_v2 2" xfId="147" xr:uid="{00000000-0005-0000-0000-0000E9000000}"/>
    <cellStyle name="_Table_Multiplos_v2_Modelo 070109 - Colíder_CAB_v2" xfId="148" xr:uid="{00000000-0005-0000-0000-0000EA000000}"/>
    <cellStyle name="_Table_Multiplos_v2_Modelo 070109 - Colíder_CAB_v2 2" xfId="149" xr:uid="{00000000-0005-0000-0000-0000EB000000}"/>
    <cellStyle name="_Table_Multiplos_v2_Modelo 100109 - Colíder_CAB_v2" xfId="150" xr:uid="{00000000-0005-0000-0000-0000EC000000}"/>
    <cellStyle name="_Table_Multiplos_v2_Modelo 100109 - Colíder_CAB_v2 2" xfId="151" xr:uid="{00000000-0005-0000-0000-0000ED000000}"/>
    <cellStyle name="_TableHead" xfId="152" xr:uid="{00000000-0005-0000-0000-0000EE000000}"/>
    <cellStyle name="_TableHead_05 WACC Calculation (20-Oct-2006)" xfId="2391" xr:uid="{00000000-0005-0000-0000-0000EF000000}"/>
    <cellStyle name="_TableHead_05 WACC Calculation (20-Oct-2006)_Modelo Brenco vs alterada" xfId="2392" xr:uid="{00000000-0005-0000-0000-0000F0000000}"/>
    <cellStyle name="_TableHead_Book2" xfId="2393" xr:uid="{00000000-0005-0000-0000-0000F1000000}"/>
    <cellStyle name="_TableHead_Brazil_US Data" xfId="2394" xr:uid="{00000000-0005-0000-0000-0000F2000000}"/>
    <cellStyle name="_TableHead_Modelo 021208 FINAL - Colíder_v2" xfId="153" xr:uid="{00000000-0005-0000-0000-0000F3000000}"/>
    <cellStyle name="_TableHead_Modelo 100109 - Colíder_CAB_v2" xfId="154" xr:uid="{00000000-0005-0000-0000-0000F4000000}"/>
    <cellStyle name="_TableHead_Modelo 281108 FINAL - Comodoro" xfId="155" xr:uid="{00000000-0005-0000-0000-0000F5000000}"/>
    <cellStyle name="_TableHead_Modelo 301108 FINAL - Alta Floresta" xfId="156" xr:uid="{00000000-0005-0000-0000-0000F6000000}"/>
    <cellStyle name="_TableHead_Modelo_Mairinque_v2.2" xfId="2395" xr:uid="{00000000-0005-0000-0000-0000F7000000}"/>
    <cellStyle name="_TableHead_Multiplos_transação_atualizado" xfId="157" xr:uid="{00000000-0005-0000-0000-0000F8000000}"/>
    <cellStyle name="_TableHead_Multiplos_transação_atualizado_Modelo 070109 - Colíder_CAB_v2" xfId="158" xr:uid="{00000000-0005-0000-0000-0000F9000000}"/>
    <cellStyle name="_TableHead_Multiplos_transação_atualizado_Modelo 100109 - Colíder_CAB_v2" xfId="159" xr:uid="{00000000-0005-0000-0000-0000FA000000}"/>
    <cellStyle name="_TableHead_Multiplos_v2" xfId="160" xr:uid="{00000000-0005-0000-0000-0000FB000000}"/>
    <cellStyle name="_TableHead_Multiplos_v2_Modelo 070109 - Colíder_CAB_v2" xfId="161" xr:uid="{00000000-0005-0000-0000-0000FC000000}"/>
    <cellStyle name="_TableHead_Multiplos_v2_Modelo 100109 - Colíder_CAB_v2" xfId="162" xr:uid="{00000000-0005-0000-0000-0000FD000000}"/>
    <cellStyle name="_TableRowHead" xfId="163" xr:uid="{00000000-0005-0000-0000-0000FE000000}"/>
    <cellStyle name="_TableRowHead_05 WACC Calculation (20-Oct-2006)" xfId="2396" xr:uid="{00000000-0005-0000-0000-0000FF000000}"/>
    <cellStyle name="_TableRowHead_05 WACC Calculation (20-Oct-2006)_Modelo Brenco vs alterada" xfId="2397" xr:uid="{00000000-0005-0000-0000-000000010000}"/>
    <cellStyle name="_TableRowHead_Book2" xfId="2398" xr:uid="{00000000-0005-0000-0000-000001010000}"/>
    <cellStyle name="_TableRowHead_Brazil_US Data" xfId="2399" xr:uid="{00000000-0005-0000-0000-000002010000}"/>
    <cellStyle name="_TableRowHead_Modelo 021208 FINAL - Colíder_v2" xfId="164" xr:uid="{00000000-0005-0000-0000-000003010000}"/>
    <cellStyle name="_TableRowHead_Modelo 100109 - Colíder_CAB_v2" xfId="165" xr:uid="{00000000-0005-0000-0000-000004010000}"/>
    <cellStyle name="_TableRowHead_Modelo 281108 FINAL - Comodoro" xfId="166" xr:uid="{00000000-0005-0000-0000-000005010000}"/>
    <cellStyle name="_TableRowHead_Modelo 301108 FINAL - Alta Floresta" xfId="167" xr:uid="{00000000-0005-0000-0000-000006010000}"/>
    <cellStyle name="_TableRowHead_Modelo_Mairinque_v2.2" xfId="2400" xr:uid="{00000000-0005-0000-0000-000007010000}"/>
    <cellStyle name="_TableRowHead_Multiplos_transação_atualizado" xfId="168" xr:uid="{00000000-0005-0000-0000-000008010000}"/>
    <cellStyle name="_TableRowHead_Multiplos_transação_atualizado_Modelo 070109 - Colíder_CAB_v2" xfId="169" xr:uid="{00000000-0005-0000-0000-000009010000}"/>
    <cellStyle name="_TableRowHead_Multiplos_transação_atualizado_Modelo 100109 - Colíder_CAB_v2" xfId="170" xr:uid="{00000000-0005-0000-0000-00000A010000}"/>
    <cellStyle name="_TableRowHead_Multiplos_v2" xfId="171" xr:uid="{00000000-0005-0000-0000-00000B010000}"/>
    <cellStyle name="_TableRowHead_Multiplos_v2_Modelo 070109 - Colíder_CAB_v2" xfId="172" xr:uid="{00000000-0005-0000-0000-00000C010000}"/>
    <cellStyle name="_TableRowHead_Multiplos_v2_Modelo 100109 - Colíder_CAB_v2" xfId="173" xr:uid="{00000000-0005-0000-0000-00000D010000}"/>
    <cellStyle name="_TableSuperHead" xfId="174" xr:uid="{00000000-0005-0000-0000-00000E010000}"/>
    <cellStyle name="_TableSuperHead_05 WACC Calculation (20-Oct-2006)" xfId="2401" xr:uid="{00000000-0005-0000-0000-00000F010000}"/>
    <cellStyle name="_TableSuperHead_05 WACC Calculation (20-Oct-2006)_Modelo Brenco vs alterada" xfId="2402" xr:uid="{00000000-0005-0000-0000-000010010000}"/>
    <cellStyle name="_TableSuperHead_Book2" xfId="2403" xr:uid="{00000000-0005-0000-0000-000011010000}"/>
    <cellStyle name="_TableSuperHead_Brazil_US Data" xfId="2404" xr:uid="{00000000-0005-0000-0000-000012010000}"/>
    <cellStyle name="_TableSuperHead_Modelo_Mairinque_v2.2" xfId="2405" xr:uid="{00000000-0005-0000-0000-000013010000}"/>
    <cellStyle name="_TableSuperHead_Multiplos_transação_atualizado" xfId="175" xr:uid="{00000000-0005-0000-0000-000014010000}"/>
    <cellStyle name="_TableSuperHead_Multiplos_transação_atualizado_Modelo 070109 - Colíder_CAB_v2" xfId="176" xr:uid="{00000000-0005-0000-0000-000015010000}"/>
    <cellStyle name="_TableSuperHead_Multiplos_transação_atualizado_Modelo 100109 - Colíder_CAB_v2" xfId="177" xr:uid="{00000000-0005-0000-0000-000016010000}"/>
    <cellStyle name="_TableSuperHead_Multiplos_v2" xfId="178" xr:uid="{00000000-0005-0000-0000-000017010000}"/>
    <cellStyle name="_TableSuperHead_Multiplos_v2_Modelo 070109 - Colíder_CAB_v2" xfId="179" xr:uid="{00000000-0005-0000-0000-000018010000}"/>
    <cellStyle name="_TableSuperHead_Multiplos_v2_Modelo 100109 - Colíder_CAB_v2" xfId="180" xr:uid="{00000000-0005-0000-0000-000019010000}"/>
    <cellStyle name="_Ternium_client" xfId="2406" xr:uid="{00000000-0005-0000-0000-00001A010000}"/>
    <cellStyle name="_x0002__Valuation_Jasmine 110809Fab" xfId="2407" xr:uid="{00000000-0005-0000-0000-00001B010000}"/>
    <cellStyle name="_VNTModellastestimates" xfId="2408" xr:uid="{00000000-0005-0000-0000-00001C010000}"/>
    <cellStyle name="¿­¾îº» ÇÏÀÌÆÛ¸µÅ©" xfId="2409" xr:uid="{00000000-0005-0000-0000-00001D010000}"/>
    <cellStyle name="£ BP" xfId="181" xr:uid="{00000000-0005-0000-0000-00001E010000}"/>
    <cellStyle name="¥ JY" xfId="182" xr:uid="{00000000-0005-0000-0000-00001F010000}"/>
    <cellStyle name="=C:\WINNT\SYSTEM32\COMMAND.COM" xfId="183" xr:uid="{00000000-0005-0000-0000-000020010000}"/>
    <cellStyle name="=C:\WINNT35\SYSTEM32\COMMAND.COM" xfId="2410" xr:uid="{00000000-0005-0000-0000-000021010000}"/>
    <cellStyle name="0" xfId="184" xr:uid="{00000000-0005-0000-0000-000022010000}"/>
    <cellStyle name="0%" xfId="2411" xr:uid="{00000000-0005-0000-0000-000023010000}"/>
    <cellStyle name="0,0_x000d__x000a_NA_x000d__x000a_" xfId="2412" xr:uid="{00000000-0005-0000-0000-000024010000}"/>
    <cellStyle name="0,00" xfId="185" xr:uid="{00000000-0005-0000-0000-000025010000}"/>
    <cellStyle name="0.0%" xfId="2413" xr:uid="{00000000-0005-0000-0000-000026010000}"/>
    <cellStyle name="0.00%" xfId="2414" xr:uid="{00000000-0005-0000-0000-000027010000}"/>
    <cellStyle name="0_Abertura_Despesas (3)" xfId="186" xr:uid="{00000000-0005-0000-0000-000028010000}"/>
    <cellStyle name="0_Cópia de _Cauê-1" xfId="2415" xr:uid="{00000000-0005-0000-0000-000029010000}"/>
    <cellStyle name="0_Modelo CBE teste - USD" xfId="2416" xr:uid="{00000000-0005-0000-0000-00002A010000}"/>
    <cellStyle name="0_Modelo CBE teste- USD" xfId="2417" xr:uid="{00000000-0005-0000-0000-00002B010000}"/>
    <cellStyle name="0_Modelo Consolidado - USD - 3005" xfId="2418" xr:uid="{00000000-0005-0000-0000-00002C010000}"/>
    <cellStyle name="0_Modelo InSolo v7" xfId="2419" xr:uid="{00000000-0005-0000-0000-00002D010000}"/>
    <cellStyle name="0_Seguros_Garantias (2)" xfId="187" xr:uid="{00000000-0005-0000-0000-00002E010000}"/>
    <cellStyle name="0000" xfId="188" xr:uid="{00000000-0005-0000-0000-00002F010000}"/>
    <cellStyle name="0000 2" xfId="189" xr:uid="{00000000-0005-0000-0000-000030010000}"/>
    <cellStyle name="000000" xfId="190" xr:uid="{00000000-0005-0000-0000-000031010000}"/>
    <cellStyle name="000000 2" xfId="191" xr:uid="{00000000-0005-0000-0000-000032010000}"/>
    <cellStyle name="½°Ç¥_PRECOEE" xfId="2420" xr:uid="{00000000-0005-0000-0000-000033010000}"/>
    <cellStyle name="1" xfId="192" xr:uid="{00000000-0005-0000-0000-000034010000}"/>
    <cellStyle name="1 Decimal" xfId="2421" xr:uid="{00000000-0005-0000-0000-000035010000}"/>
    <cellStyle name="1,comma" xfId="193" xr:uid="{00000000-0005-0000-0000-000036010000}"/>
    <cellStyle name="1,comma 2" xfId="194" xr:uid="{00000000-0005-0000-0000-000037010000}"/>
    <cellStyle name="1Decimal" xfId="2422" xr:uid="{00000000-0005-0000-0000-000038010000}"/>
    <cellStyle name="1o.nível" xfId="2423" xr:uid="{00000000-0005-0000-0000-000039010000}"/>
    <cellStyle name="2 Decimal Places" xfId="2424" xr:uid="{00000000-0005-0000-0000-00003A010000}"/>
    <cellStyle name="2 Decimals" xfId="2425" xr:uid="{00000000-0005-0000-0000-00003B010000}"/>
    <cellStyle name="2.1" xfId="195" xr:uid="{00000000-0005-0000-0000-00003C010000}"/>
    <cellStyle name="2.1 2" xfId="196" xr:uid="{00000000-0005-0000-0000-00003D010000}"/>
    <cellStyle name="2.1.1" xfId="197" xr:uid="{00000000-0005-0000-0000-00003E010000}"/>
    <cellStyle name="2.1.1 2" xfId="198" xr:uid="{00000000-0005-0000-0000-00003F010000}"/>
    <cellStyle name="2.1.1.1" xfId="199" xr:uid="{00000000-0005-0000-0000-000040010000}"/>
    <cellStyle name="20% - Accent1" xfId="200" xr:uid="{00000000-0005-0000-0000-000041010000}"/>
    <cellStyle name="20% - Accent1 2" xfId="201" xr:uid="{00000000-0005-0000-0000-000042010000}"/>
    <cellStyle name="20% - Accent1 2 2" xfId="202" xr:uid="{00000000-0005-0000-0000-000043010000}"/>
    <cellStyle name="20% - Accent1 3" xfId="203" xr:uid="{00000000-0005-0000-0000-000044010000}"/>
    <cellStyle name="20% - Accent1 4" xfId="2426" xr:uid="{00000000-0005-0000-0000-000045010000}"/>
    <cellStyle name="20% - Accent1 5" xfId="2427" xr:uid="{00000000-0005-0000-0000-000046010000}"/>
    <cellStyle name="20% - Accent1 6" xfId="2428" xr:uid="{00000000-0005-0000-0000-000047010000}"/>
    <cellStyle name="20% - Accent2" xfId="204" xr:uid="{00000000-0005-0000-0000-000048010000}"/>
    <cellStyle name="20% - Accent2 2" xfId="205" xr:uid="{00000000-0005-0000-0000-000049010000}"/>
    <cellStyle name="20% - Accent2 2 2" xfId="206" xr:uid="{00000000-0005-0000-0000-00004A010000}"/>
    <cellStyle name="20% - Accent2 3" xfId="207" xr:uid="{00000000-0005-0000-0000-00004B010000}"/>
    <cellStyle name="20% - Accent2 4" xfId="2429" xr:uid="{00000000-0005-0000-0000-00004C010000}"/>
    <cellStyle name="20% - Accent2 5" xfId="2430" xr:uid="{00000000-0005-0000-0000-00004D010000}"/>
    <cellStyle name="20% - Accent2 6" xfId="2431" xr:uid="{00000000-0005-0000-0000-00004E010000}"/>
    <cellStyle name="20% - Accent3" xfId="208" xr:uid="{00000000-0005-0000-0000-00004F010000}"/>
    <cellStyle name="20% - Accent3 2" xfId="209" xr:uid="{00000000-0005-0000-0000-000050010000}"/>
    <cellStyle name="20% - Accent3 2 2" xfId="210" xr:uid="{00000000-0005-0000-0000-000051010000}"/>
    <cellStyle name="20% - Accent3 3" xfId="211" xr:uid="{00000000-0005-0000-0000-000052010000}"/>
    <cellStyle name="20% - Accent3 4" xfId="2432" xr:uid="{00000000-0005-0000-0000-000053010000}"/>
    <cellStyle name="20% - Accent3 5" xfId="2433" xr:uid="{00000000-0005-0000-0000-000054010000}"/>
    <cellStyle name="20% - Accent3 6" xfId="2434" xr:uid="{00000000-0005-0000-0000-000055010000}"/>
    <cellStyle name="20% - Accent4" xfId="212" xr:uid="{00000000-0005-0000-0000-000056010000}"/>
    <cellStyle name="20% - Accent4 2" xfId="213" xr:uid="{00000000-0005-0000-0000-000057010000}"/>
    <cellStyle name="20% - Accent4 2 2" xfId="214" xr:uid="{00000000-0005-0000-0000-000058010000}"/>
    <cellStyle name="20% - Accent4 3" xfId="215" xr:uid="{00000000-0005-0000-0000-000059010000}"/>
    <cellStyle name="20% - Accent4 4" xfId="2435" xr:uid="{00000000-0005-0000-0000-00005A010000}"/>
    <cellStyle name="20% - Accent4 5" xfId="2436" xr:uid="{00000000-0005-0000-0000-00005B010000}"/>
    <cellStyle name="20% - Accent4 6" xfId="2437" xr:uid="{00000000-0005-0000-0000-00005C010000}"/>
    <cellStyle name="20% - Accent5" xfId="216" xr:uid="{00000000-0005-0000-0000-00005D010000}"/>
    <cellStyle name="20% - Accent5 2" xfId="217" xr:uid="{00000000-0005-0000-0000-00005E010000}"/>
    <cellStyle name="20% - Accent5 2 2" xfId="218" xr:uid="{00000000-0005-0000-0000-00005F010000}"/>
    <cellStyle name="20% - Accent5 3" xfId="219" xr:uid="{00000000-0005-0000-0000-000060010000}"/>
    <cellStyle name="20% - Accent5 4" xfId="2438" xr:uid="{00000000-0005-0000-0000-000061010000}"/>
    <cellStyle name="20% - Accent5 5" xfId="2439" xr:uid="{00000000-0005-0000-0000-000062010000}"/>
    <cellStyle name="20% - Accent5 6" xfId="2440" xr:uid="{00000000-0005-0000-0000-000063010000}"/>
    <cellStyle name="20% - Accent6" xfId="220" xr:uid="{00000000-0005-0000-0000-000064010000}"/>
    <cellStyle name="20% - Accent6 2" xfId="221" xr:uid="{00000000-0005-0000-0000-000065010000}"/>
    <cellStyle name="20% - Accent6 2 2" xfId="222" xr:uid="{00000000-0005-0000-0000-000066010000}"/>
    <cellStyle name="20% - Accent6 3" xfId="223" xr:uid="{00000000-0005-0000-0000-000067010000}"/>
    <cellStyle name="20% - Accent6 4" xfId="2441" xr:uid="{00000000-0005-0000-0000-000068010000}"/>
    <cellStyle name="20% - Accent6 5" xfId="2442" xr:uid="{00000000-0005-0000-0000-000069010000}"/>
    <cellStyle name="20% - Accent6 6" xfId="2443" xr:uid="{00000000-0005-0000-0000-00006A010000}"/>
    <cellStyle name="20% - Ênfase1 2" xfId="224" xr:uid="{00000000-0005-0000-0000-00006B010000}"/>
    <cellStyle name="20% - Ênfase1 2 2" xfId="225" xr:uid="{00000000-0005-0000-0000-00006C010000}"/>
    <cellStyle name="20% - Ênfase1 3" xfId="226" xr:uid="{00000000-0005-0000-0000-00006D010000}"/>
    <cellStyle name="20% - Ênfase2 2" xfId="227" xr:uid="{00000000-0005-0000-0000-00006E010000}"/>
    <cellStyle name="20% - Ênfase2 2 2" xfId="228" xr:uid="{00000000-0005-0000-0000-00006F010000}"/>
    <cellStyle name="20% - Ênfase2 3" xfId="229" xr:uid="{00000000-0005-0000-0000-000070010000}"/>
    <cellStyle name="20% - Ênfase3 2" xfId="230" xr:uid="{00000000-0005-0000-0000-000071010000}"/>
    <cellStyle name="20% - Ênfase3 2 2" xfId="231" xr:uid="{00000000-0005-0000-0000-000072010000}"/>
    <cellStyle name="20% - Ênfase3 3" xfId="232" xr:uid="{00000000-0005-0000-0000-000073010000}"/>
    <cellStyle name="20% - Ênfase4 2" xfId="233" xr:uid="{00000000-0005-0000-0000-000074010000}"/>
    <cellStyle name="20% - Ênfase4 2 2" xfId="234" xr:uid="{00000000-0005-0000-0000-000075010000}"/>
    <cellStyle name="20% - Ênfase4 3" xfId="235" xr:uid="{00000000-0005-0000-0000-000076010000}"/>
    <cellStyle name="20% - Ênfase5 2" xfId="236" xr:uid="{00000000-0005-0000-0000-000077010000}"/>
    <cellStyle name="20% - Ênfase5 2 2" xfId="237" xr:uid="{00000000-0005-0000-0000-000078010000}"/>
    <cellStyle name="20% - Ênfase5 3" xfId="238" xr:uid="{00000000-0005-0000-0000-000079010000}"/>
    <cellStyle name="20% - Ênfase6 2" xfId="239" xr:uid="{00000000-0005-0000-0000-00007A010000}"/>
    <cellStyle name="20% - Ênfase6 2 2" xfId="240" xr:uid="{00000000-0005-0000-0000-00007B010000}"/>
    <cellStyle name="20% - Ênfase6 3" xfId="241" xr:uid="{00000000-0005-0000-0000-00007C010000}"/>
    <cellStyle name="20% - Énfasis1" xfId="2444" xr:uid="{00000000-0005-0000-0000-00007D010000}"/>
    <cellStyle name="20% - Énfasis2" xfId="2445" xr:uid="{00000000-0005-0000-0000-00007E010000}"/>
    <cellStyle name="20% - Énfasis3" xfId="2446" xr:uid="{00000000-0005-0000-0000-00007F010000}"/>
    <cellStyle name="20% - Énfasis4" xfId="2447" xr:uid="{00000000-0005-0000-0000-000080010000}"/>
    <cellStyle name="20% - Énfasis5" xfId="2448" xr:uid="{00000000-0005-0000-0000-000081010000}"/>
    <cellStyle name="20% - Énfasis6" xfId="2449" xr:uid="{00000000-0005-0000-0000-000082010000}"/>
    <cellStyle name="2DecimalPercent" xfId="2450" xr:uid="{00000000-0005-0000-0000-000083010000}"/>
    <cellStyle name="2Decimals" xfId="2451" xr:uid="{00000000-0005-0000-0000-000084010000}"/>
    <cellStyle name="2o.nível" xfId="2452" xr:uid="{00000000-0005-0000-0000-000085010000}"/>
    <cellStyle name="3 Decimals" xfId="2453" xr:uid="{00000000-0005-0000-0000-000086010000}"/>
    <cellStyle name="4" xfId="242" xr:uid="{00000000-0005-0000-0000-000087010000}"/>
    <cellStyle name="40% - Accent1" xfId="243" xr:uid="{00000000-0005-0000-0000-000088010000}"/>
    <cellStyle name="40% - Accent1 2" xfId="244" xr:uid="{00000000-0005-0000-0000-000089010000}"/>
    <cellStyle name="40% - Accent1 2 2" xfId="245" xr:uid="{00000000-0005-0000-0000-00008A010000}"/>
    <cellStyle name="40% - Accent1 3" xfId="246" xr:uid="{00000000-0005-0000-0000-00008B010000}"/>
    <cellStyle name="40% - Accent1 4" xfId="2454" xr:uid="{00000000-0005-0000-0000-00008C010000}"/>
    <cellStyle name="40% - Accent1 5" xfId="2455" xr:uid="{00000000-0005-0000-0000-00008D010000}"/>
    <cellStyle name="40% - Accent1 6" xfId="2456" xr:uid="{00000000-0005-0000-0000-00008E010000}"/>
    <cellStyle name="40% - Accent2" xfId="247" xr:uid="{00000000-0005-0000-0000-00008F010000}"/>
    <cellStyle name="40% - Accent2 2" xfId="248" xr:uid="{00000000-0005-0000-0000-000090010000}"/>
    <cellStyle name="40% - Accent2 2 2" xfId="249" xr:uid="{00000000-0005-0000-0000-000091010000}"/>
    <cellStyle name="40% - Accent2 3" xfId="250" xr:uid="{00000000-0005-0000-0000-000092010000}"/>
    <cellStyle name="40% - Accent2 4" xfId="2457" xr:uid="{00000000-0005-0000-0000-000093010000}"/>
    <cellStyle name="40% - Accent2 5" xfId="2458" xr:uid="{00000000-0005-0000-0000-000094010000}"/>
    <cellStyle name="40% - Accent2 6" xfId="2459" xr:uid="{00000000-0005-0000-0000-000095010000}"/>
    <cellStyle name="40% - Accent3" xfId="251" xr:uid="{00000000-0005-0000-0000-000096010000}"/>
    <cellStyle name="40% - Accent3 2" xfId="252" xr:uid="{00000000-0005-0000-0000-000097010000}"/>
    <cellStyle name="40% - Accent3 2 2" xfId="253" xr:uid="{00000000-0005-0000-0000-000098010000}"/>
    <cellStyle name="40% - Accent3 3" xfId="254" xr:uid="{00000000-0005-0000-0000-000099010000}"/>
    <cellStyle name="40% - Accent3 4" xfId="2460" xr:uid="{00000000-0005-0000-0000-00009A010000}"/>
    <cellStyle name="40% - Accent3 5" xfId="2461" xr:uid="{00000000-0005-0000-0000-00009B010000}"/>
    <cellStyle name="40% - Accent3 6" xfId="2462" xr:uid="{00000000-0005-0000-0000-00009C010000}"/>
    <cellStyle name="40% - Accent4" xfId="255" xr:uid="{00000000-0005-0000-0000-00009D010000}"/>
    <cellStyle name="40% - Accent4 2" xfId="256" xr:uid="{00000000-0005-0000-0000-00009E010000}"/>
    <cellStyle name="40% - Accent4 2 2" xfId="257" xr:uid="{00000000-0005-0000-0000-00009F010000}"/>
    <cellStyle name="40% - Accent4 3" xfId="258" xr:uid="{00000000-0005-0000-0000-0000A0010000}"/>
    <cellStyle name="40% - Accent4 4" xfId="2463" xr:uid="{00000000-0005-0000-0000-0000A1010000}"/>
    <cellStyle name="40% - Accent4 5" xfId="2464" xr:uid="{00000000-0005-0000-0000-0000A2010000}"/>
    <cellStyle name="40% - Accent4 6" xfId="2465" xr:uid="{00000000-0005-0000-0000-0000A3010000}"/>
    <cellStyle name="40% - Accent5" xfId="259" xr:uid="{00000000-0005-0000-0000-0000A4010000}"/>
    <cellStyle name="40% - Accent5 2" xfId="260" xr:uid="{00000000-0005-0000-0000-0000A5010000}"/>
    <cellStyle name="40% - Accent5 2 2" xfId="261" xr:uid="{00000000-0005-0000-0000-0000A6010000}"/>
    <cellStyle name="40% - Accent5 3" xfId="262" xr:uid="{00000000-0005-0000-0000-0000A7010000}"/>
    <cellStyle name="40% - Accent5 4" xfId="2466" xr:uid="{00000000-0005-0000-0000-0000A8010000}"/>
    <cellStyle name="40% - Accent5 5" xfId="2467" xr:uid="{00000000-0005-0000-0000-0000A9010000}"/>
    <cellStyle name="40% - Accent5 6" xfId="2468" xr:uid="{00000000-0005-0000-0000-0000AA010000}"/>
    <cellStyle name="40% - Accent6" xfId="263" xr:uid="{00000000-0005-0000-0000-0000AB010000}"/>
    <cellStyle name="40% - Accent6 2" xfId="264" xr:uid="{00000000-0005-0000-0000-0000AC010000}"/>
    <cellStyle name="40% - Accent6 2 2" xfId="265" xr:uid="{00000000-0005-0000-0000-0000AD010000}"/>
    <cellStyle name="40% - Accent6 3" xfId="266" xr:uid="{00000000-0005-0000-0000-0000AE010000}"/>
    <cellStyle name="40% - Accent6 4" xfId="2469" xr:uid="{00000000-0005-0000-0000-0000AF010000}"/>
    <cellStyle name="40% - Accent6 5" xfId="2470" xr:uid="{00000000-0005-0000-0000-0000B0010000}"/>
    <cellStyle name="40% - Accent6 6" xfId="2471" xr:uid="{00000000-0005-0000-0000-0000B1010000}"/>
    <cellStyle name="40% - Ênfase1 2" xfId="267" xr:uid="{00000000-0005-0000-0000-0000B2010000}"/>
    <cellStyle name="40% - Ênfase1 2 2" xfId="268" xr:uid="{00000000-0005-0000-0000-0000B3010000}"/>
    <cellStyle name="40% - Ênfase1 3" xfId="269" xr:uid="{00000000-0005-0000-0000-0000B4010000}"/>
    <cellStyle name="40% - Ênfase2 2" xfId="270" xr:uid="{00000000-0005-0000-0000-0000B5010000}"/>
    <cellStyle name="40% - Ênfase2 2 2" xfId="271" xr:uid="{00000000-0005-0000-0000-0000B6010000}"/>
    <cellStyle name="40% - Ênfase2 3" xfId="272" xr:uid="{00000000-0005-0000-0000-0000B7010000}"/>
    <cellStyle name="40% - Ênfase3 2" xfId="273" xr:uid="{00000000-0005-0000-0000-0000B8010000}"/>
    <cellStyle name="40% - Ênfase3 2 2" xfId="274" xr:uid="{00000000-0005-0000-0000-0000B9010000}"/>
    <cellStyle name="40% - Ênfase3 3" xfId="275" xr:uid="{00000000-0005-0000-0000-0000BA010000}"/>
    <cellStyle name="40% - Ênfase4 2" xfId="276" xr:uid="{00000000-0005-0000-0000-0000BB010000}"/>
    <cellStyle name="40% - Ênfase4 2 2" xfId="277" xr:uid="{00000000-0005-0000-0000-0000BC010000}"/>
    <cellStyle name="40% - Ênfase4 3" xfId="278" xr:uid="{00000000-0005-0000-0000-0000BD010000}"/>
    <cellStyle name="40% - Ênfase5 2" xfId="279" xr:uid="{00000000-0005-0000-0000-0000BE010000}"/>
    <cellStyle name="40% - Ênfase5 2 2" xfId="280" xr:uid="{00000000-0005-0000-0000-0000BF010000}"/>
    <cellStyle name="40% - Ênfase5 3" xfId="281" xr:uid="{00000000-0005-0000-0000-0000C0010000}"/>
    <cellStyle name="40% - Ênfase6 2" xfId="282" xr:uid="{00000000-0005-0000-0000-0000C1010000}"/>
    <cellStyle name="40% - Ênfase6 2 2" xfId="283" xr:uid="{00000000-0005-0000-0000-0000C2010000}"/>
    <cellStyle name="40% - Ênfase6 3" xfId="284" xr:uid="{00000000-0005-0000-0000-0000C3010000}"/>
    <cellStyle name="40% - Énfasis1" xfId="2472" xr:uid="{00000000-0005-0000-0000-0000C4010000}"/>
    <cellStyle name="40% - Énfasis2" xfId="2473" xr:uid="{00000000-0005-0000-0000-0000C5010000}"/>
    <cellStyle name="40% - Énfasis3" xfId="2474" xr:uid="{00000000-0005-0000-0000-0000C6010000}"/>
    <cellStyle name="40% - Énfasis4" xfId="2475" xr:uid="{00000000-0005-0000-0000-0000C7010000}"/>
    <cellStyle name="40% - Énfasis5" xfId="2476" xr:uid="{00000000-0005-0000-0000-0000C8010000}"/>
    <cellStyle name="40% - Énfasis6" xfId="2477" xr:uid="{00000000-0005-0000-0000-0000C9010000}"/>
    <cellStyle name="6" xfId="285" xr:uid="{00000000-0005-0000-0000-0000CA010000}"/>
    <cellStyle name="6 2" xfId="286" xr:uid="{00000000-0005-0000-0000-0000CB010000}"/>
    <cellStyle name="6 2 2" xfId="287" xr:uid="{00000000-0005-0000-0000-0000CC010000}"/>
    <cellStyle name="6_Combinado_RJ-20100915" xfId="288" xr:uid="{00000000-0005-0000-0000-0000CD010000}"/>
    <cellStyle name="6_estrategia_equity_20101004" xfId="289" xr:uid="{00000000-0005-0000-0000-0000CE010000}"/>
    <cellStyle name="6_FOXX_BARUERI_BUSINESS_PLAN_20100915_secagem" xfId="290" xr:uid="{00000000-0005-0000-0000-0000CF010000}"/>
    <cellStyle name="6_FOXX_MANAUS_BUSINESS_PLAN_20100914" xfId="291" xr:uid="{00000000-0005-0000-0000-0000D0010000}"/>
    <cellStyle name="6_FOXX_OSASCO_BUSINESS_PLAN_20100923" xfId="292" xr:uid="{00000000-0005-0000-0000-0000D1010000}"/>
    <cellStyle name="6_FOXX_RECIFE_20100914_cenario_energia+vapor" xfId="293" xr:uid="{00000000-0005-0000-0000-0000D2010000}"/>
    <cellStyle name="6_Projeções FOXX_Barueri_v15" xfId="294" xr:uid="{00000000-0005-0000-0000-0000D3010000}"/>
    <cellStyle name="6_Projeções.v6" xfId="295" xr:uid="{00000000-0005-0000-0000-0000D4010000}"/>
    <cellStyle name="6_Projeções.v8" xfId="296" xr:uid="{00000000-0005-0000-0000-0000D5010000}"/>
    <cellStyle name="6_Sanessol" xfId="297" xr:uid="{00000000-0005-0000-0000-0000D6010000}"/>
    <cellStyle name="6_Sanessol 2" xfId="298" xr:uid="{00000000-0005-0000-0000-0000D7010000}"/>
    <cellStyle name="60% - Accent1" xfId="299" xr:uid="{00000000-0005-0000-0000-0000D8010000}"/>
    <cellStyle name="60% - Accent1 2" xfId="300" xr:uid="{00000000-0005-0000-0000-0000D9010000}"/>
    <cellStyle name="60% - Accent1 2 2" xfId="301" xr:uid="{00000000-0005-0000-0000-0000DA010000}"/>
    <cellStyle name="60% - Accent1 3" xfId="2478" xr:uid="{00000000-0005-0000-0000-0000DB010000}"/>
    <cellStyle name="60% - Accent1 4" xfId="2479" xr:uid="{00000000-0005-0000-0000-0000DC010000}"/>
    <cellStyle name="60% - Accent1 5" xfId="2480" xr:uid="{00000000-0005-0000-0000-0000DD010000}"/>
    <cellStyle name="60% - Accent1 6" xfId="2481" xr:uid="{00000000-0005-0000-0000-0000DE010000}"/>
    <cellStyle name="60% - Accent2" xfId="302" xr:uid="{00000000-0005-0000-0000-0000DF010000}"/>
    <cellStyle name="60% - Accent2 2" xfId="303" xr:uid="{00000000-0005-0000-0000-0000E0010000}"/>
    <cellStyle name="60% - Accent2 2 2" xfId="304" xr:uid="{00000000-0005-0000-0000-0000E1010000}"/>
    <cellStyle name="60% - Accent2 3" xfId="2482" xr:uid="{00000000-0005-0000-0000-0000E2010000}"/>
    <cellStyle name="60% - Accent2 4" xfId="2483" xr:uid="{00000000-0005-0000-0000-0000E3010000}"/>
    <cellStyle name="60% - Accent2 5" xfId="2484" xr:uid="{00000000-0005-0000-0000-0000E4010000}"/>
    <cellStyle name="60% - Accent2 6" xfId="2485" xr:uid="{00000000-0005-0000-0000-0000E5010000}"/>
    <cellStyle name="60% - Accent3" xfId="305" xr:uid="{00000000-0005-0000-0000-0000E6010000}"/>
    <cellStyle name="60% - Accent3 2" xfId="306" xr:uid="{00000000-0005-0000-0000-0000E7010000}"/>
    <cellStyle name="60% - Accent3 2 2" xfId="307" xr:uid="{00000000-0005-0000-0000-0000E8010000}"/>
    <cellStyle name="60% - Accent3 3" xfId="2486" xr:uid="{00000000-0005-0000-0000-0000E9010000}"/>
    <cellStyle name="60% - Accent3 4" xfId="2487" xr:uid="{00000000-0005-0000-0000-0000EA010000}"/>
    <cellStyle name="60% - Accent3 5" xfId="2488" xr:uid="{00000000-0005-0000-0000-0000EB010000}"/>
    <cellStyle name="60% - Accent3 6" xfId="2489" xr:uid="{00000000-0005-0000-0000-0000EC010000}"/>
    <cellStyle name="60% - Accent4" xfId="308" xr:uid="{00000000-0005-0000-0000-0000ED010000}"/>
    <cellStyle name="60% - Accent4 2" xfId="309" xr:uid="{00000000-0005-0000-0000-0000EE010000}"/>
    <cellStyle name="60% - Accent4 2 2" xfId="310" xr:uid="{00000000-0005-0000-0000-0000EF010000}"/>
    <cellStyle name="60% - Accent4 3" xfId="2490" xr:uid="{00000000-0005-0000-0000-0000F0010000}"/>
    <cellStyle name="60% - Accent4 4" xfId="2491" xr:uid="{00000000-0005-0000-0000-0000F1010000}"/>
    <cellStyle name="60% - Accent4 5" xfId="2492" xr:uid="{00000000-0005-0000-0000-0000F2010000}"/>
    <cellStyle name="60% - Accent4 6" xfId="2493" xr:uid="{00000000-0005-0000-0000-0000F3010000}"/>
    <cellStyle name="60% - Accent5" xfId="311" xr:uid="{00000000-0005-0000-0000-0000F4010000}"/>
    <cellStyle name="60% - Accent5 2" xfId="312" xr:uid="{00000000-0005-0000-0000-0000F5010000}"/>
    <cellStyle name="60% - Accent5 2 2" xfId="313" xr:uid="{00000000-0005-0000-0000-0000F6010000}"/>
    <cellStyle name="60% - Accent5 3" xfId="2494" xr:uid="{00000000-0005-0000-0000-0000F7010000}"/>
    <cellStyle name="60% - Accent5 4" xfId="2495" xr:uid="{00000000-0005-0000-0000-0000F8010000}"/>
    <cellStyle name="60% - Accent5 5" xfId="2496" xr:uid="{00000000-0005-0000-0000-0000F9010000}"/>
    <cellStyle name="60% - Accent5 6" xfId="2497" xr:uid="{00000000-0005-0000-0000-0000FA010000}"/>
    <cellStyle name="60% - Accent6" xfId="314" xr:uid="{00000000-0005-0000-0000-0000FB010000}"/>
    <cellStyle name="60% - Accent6 2" xfId="315" xr:uid="{00000000-0005-0000-0000-0000FC010000}"/>
    <cellStyle name="60% - Accent6 2 2" xfId="316" xr:uid="{00000000-0005-0000-0000-0000FD010000}"/>
    <cellStyle name="60% - Accent6 3" xfId="2498" xr:uid="{00000000-0005-0000-0000-0000FE010000}"/>
    <cellStyle name="60% - Accent6 4" xfId="2499" xr:uid="{00000000-0005-0000-0000-0000FF010000}"/>
    <cellStyle name="60% - Accent6 5" xfId="2500" xr:uid="{00000000-0005-0000-0000-000000020000}"/>
    <cellStyle name="60% - Accent6 6" xfId="2501" xr:uid="{00000000-0005-0000-0000-000001020000}"/>
    <cellStyle name="60% - Ênfase1 2" xfId="317" xr:uid="{00000000-0005-0000-0000-000002020000}"/>
    <cellStyle name="60% - Ênfase2 2" xfId="318" xr:uid="{00000000-0005-0000-0000-000003020000}"/>
    <cellStyle name="60% - Ênfase3 2" xfId="319" xr:uid="{00000000-0005-0000-0000-000004020000}"/>
    <cellStyle name="60% - Ênfase4 2" xfId="320" xr:uid="{00000000-0005-0000-0000-000005020000}"/>
    <cellStyle name="60% - Ênfase5 2" xfId="321" xr:uid="{00000000-0005-0000-0000-000006020000}"/>
    <cellStyle name="60% - Ênfase6 2" xfId="322" xr:uid="{00000000-0005-0000-0000-000007020000}"/>
    <cellStyle name="60% - Énfasis1" xfId="2502" xr:uid="{00000000-0005-0000-0000-000008020000}"/>
    <cellStyle name="60% - Énfasis2" xfId="2503" xr:uid="{00000000-0005-0000-0000-000009020000}"/>
    <cellStyle name="60% - Énfasis3" xfId="2504" xr:uid="{00000000-0005-0000-0000-00000A020000}"/>
    <cellStyle name="60% - Énfasis4" xfId="2505" xr:uid="{00000000-0005-0000-0000-00000B020000}"/>
    <cellStyle name="60% - Énfasis5" xfId="2506" xr:uid="{00000000-0005-0000-0000-00000C020000}"/>
    <cellStyle name="60% - Énfasis6" xfId="2507" xr:uid="{00000000-0005-0000-0000-00000D020000}"/>
    <cellStyle name="8" xfId="2508" xr:uid="{00000000-0005-0000-0000-00000E020000}"/>
    <cellStyle name="9" xfId="323" xr:uid="{00000000-0005-0000-0000-00000F020000}"/>
    <cellStyle name="9 2" xfId="324" xr:uid="{00000000-0005-0000-0000-000010020000}"/>
    <cellStyle name="9 2 2" xfId="325" xr:uid="{00000000-0005-0000-0000-000011020000}"/>
    <cellStyle name="A3 297 x 420 mm" xfId="326" xr:uid="{00000000-0005-0000-0000-000012020000}"/>
    <cellStyle name="A3 297 x 420 mm 2" xfId="2509" xr:uid="{00000000-0005-0000-0000-000013020000}"/>
    <cellStyle name="A3 297 x 420 mm 2 2" xfId="2510" xr:uid="{00000000-0005-0000-0000-000014020000}"/>
    <cellStyle name="A3 297 x 420 mm 3" xfId="2511" xr:uid="{00000000-0005-0000-0000-000015020000}"/>
    <cellStyle name="A3 297 x 420 mm 4" xfId="2512" xr:uid="{00000000-0005-0000-0000-000016020000}"/>
    <cellStyle name="A3 297 x 420 mm_Base PA 2009-2011_versão 97-2003" xfId="2513" xr:uid="{00000000-0005-0000-0000-000017020000}"/>
    <cellStyle name="ac" xfId="2514" xr:uid="{00000000-0005-0000-0000-000018020000}"/>
    <cellStyle name="Accent1" xfId="327" xr:uid="{00000000-0005-0000-0000-000019020000}"/>
    <cellStyle name="Accent1 - 20%" xfId="2515" xr:uid="{00000000-0005-0000-0000-00001A020000}"/>
    <cellStyle name="Accent1 - 40%" xfId="2516" xr:uid="{00000000-0005-0000-0000-00001B020000}"/>
    <cellStyle name="Accent1 - 60%" xfId="2517" xr:uid="{00000000-0005-0000-0000-00001C020000}"/>
    <cellStyle name="Accent1 2" xfId="328" xr:uid="{00000000-0005-0000-0000-00001D020000}"/>
    <cellStyle name="Accent1 2 2" xfId="329" xr:uid="{00000000-0005-0000-0000-00001E020000}"/>
    <cellStyle name="Accent1 3" xfId="2518" xr:uid="{00000000-0005-0000-0000-00001F020000}"/>
    <cellStyle name="Accent1 4" xfId="2519" xr:uid="{00000000-0005-0000-0000-000020020000}"/>
    <cellStyle name="Accent1 5" xfId="2520" xr:uid="{00000000-0005-0000-0000-000021020000}"/>
    <cellStyle name="Accent1 6" xfId="2521" xr:uid="{00000000-0005-0000-0000-000022020000}"/>
    <cellStyle name="Accent2" xfId="330" xr:uid="{00000000-0005-0000-0000-000023020000}"/>
    <cellStyle name="Accent2 - 20%" xfId="2522" xr:uid="{00000000-0005-0000-0000-000024020000}"/>
    <cellStyle name="Accent2 - 40%" xfId="2523" xr:uid="{00000000-0005-0000-0000-000025020000}"/>
    <cellStyle name="Accent2 - 60%" xfId="2524" xr:uid="{00000000-0005-0000-0000-000026020000}"/>
    <cellStyle name="Accent2 2" xfId="331" xr:uid="{00000000-0005-0000-0000-000027020000}"/>
    <cellStyle name="Accent2 2 2" xfId="332" xr:uid="{00000000-0005-0000-0000-000028020000}"/>
    <cellStyle name="Accent2 3" xfId="2525" xr:uid="{00000000-0005-0000-0000-000029020000}"/>
    <cellStyle name="Accent2 4" xfId="2526" xr:uid="{00000000-0005-0000-0000-00002A020000}"/>
    <cellStyle name="Accent2 5" xfId="2527" xr:uid="{00000000-0005-0000-0000-00002B020000}"/>
    <cellStyle name="Accent2 6" xfId="2528" xr:uid="{00000000-0005-0000-0000-00002C020000}"/>
    <cellStyle name="Accent3" xfId="333" xr:uid="{00000000-0005-0000-0000-00002D020000}"/>
    <cellStyle name="Accent3 - 20%" xfId="2529" xr:uid="{00000000-0005-0000-0000-00002E020000}"/>
    <cellStyle name="Accent3 - 40%" xfId="2530" xr:uid="{00000000-0005-0000-0000-00002F020000}"/>
    <cellStyle name="Accent3 - 60%" xfId="2531" xr:uid="{00000000-0005-0000-0000-000030020000}"/>
    <cellStyle name="Accent3 2" xfId="334" xr:uid="{00000000-0005-0000-0000-000031020000}"/>
    <cellStyle name="Accent3 2 2" xfId="335" xr:uid="{00000000-0005-0000-0000-000032020000}"/>
    <cellStyle name="Accent3 3" xfId="2532" xr:uid="{00000000-0005-0000-0000-000033020000}"/>
    <cellStyle name="Accent3 4" xfId="2533" xr:uid="{00000000-0005-0000-0000-000034020000}"/>
    <cellStyle name="Accent3 5" xfId="2534" xr:uid="{00000000-0005-0000-0000-000035020000}"/>
    <cellStyle name="Accent3 6" xfId="2535" xr:uid="{00000000-0005-0000-0000-000036020000}"/>
    <cellStyle name="Accent4" xfId="336" xr:uid="{00000000-0005-0000-0000-000037020000}"/>
    <cellStyle name="Accent4 - 20%" xfId="2536" xr:uid="{00000000-0005-0000-0000-000038020000}"/>
    <cellStyle name="Accent4 - 40%" xfId="2537" xr:uid="{00000000-0005-0000-0000-000039020000}"/>
    <cellStyle name="Accent4 - 60%" xfId="2538" xr:uid="{00000000-0005-0000-0000-00003A020000}"/>
    <cellStyle name="Accent4 2" xfId="337" xr:uid="{00000000-0005-0000-0000-00003B020000}"/>
    <cellStyle name="Accent4 2 2" xfId="338" xr:uid="{00000000-0005-0000-0000-00003C020000}"/>
    <cellStyle name="Accent4 3" xfId="2539" xr:uid="{00000000-0005-0000-0000-00003D020000}"/>
    <cellStyle name="Accent4 4" xfId="2540" xr:uid="{00000000-0005-0000-0000-00003E020000}"/>
    <cellStyle name="Accent4 5" xfId="2541" xr:uid="{00000000-0005-0000-0000-00003F020000}"/>
    <cellStyle name="Accent4 6" xfId="2542" xr:uid="{00000000-0005-0000-0000-000040020000}"/>
    <cellStyle name="Accent5" xfId="339" xr:uid="{00000000-0005-0000-0000-000041020000}"/>
    <cellStyle name="Accent5 - 20%" xfId="2543" xr:uid="{00000000-0005-0000-0000-000042020000}"/>
    <cellStyle name="Accent5 - 40%" xfId="2544" xr:uid="{00000000-0005-0000-0000-000043020000}"/>
    <cellStyle name="Accent5 - 60%" xfId="2545" xr:uid="{00000000-0005-0000-0000-000044020000}"/>
    <cellStyle name="Accent5 2" xfId="340" xr:uid="{00000000-0005-0000-0000-000045020000}"/>
    <cellStyle name="Accent5 2 2" xfId="341" xr:uid="{00000000-0005-0000-0000-000046020000}"/>
    <cellStyle name="Accent5 3" xfId="2546" xr:uid="{00000000-0005-0000-0000-000047020000}"/>
    <cellStyle name="Accent5 4" xfId="2547" xr:uid="{00000000-0005-0000-0000-000048020000}"/>
    <cellStyle name="Accent5 5" xfId="2548" xr:uid="{00000000-0005-0000-0000-000049020000}"/>
    <cellStyle name="Accent5 6" xfId="2549" xr:uid="{00000000-0005-0000-0000-00004A020000}"/>
    <cellStyle name="Accent6" xfId="342" xr:uid="{00000000-0005-0000-0000-00004B020000}"/>
    <cellStyle name="Accent6 - 20%" xfId="2550" xr:uid="{00000000-0005-0000-0000-00004C020000}"/>
    <cellStyle name="Accent6 - 40%" xfId="2551" xr:uid="{00000000-0005-0000-0000-00004D020000}"/>
    <cellStyle name="Accent6 - 60%" xfId="2552" xr:uid="{00000000-0005-0000-0000-00004E020000}"/>
    <cellStyle name="Accent6 2" xfId="343" xr:uid="{00000000-0005-0000-0000-00004F020000}"/>
    <cellStyle name="Accent6 2 2" xfId="344" xr:uid="{00000000-0005-0000-0000-000050020000}"/>
    <cellStyle name="Accent6 3" xfId="2553" xr:uid="{00000000-0005-0000-0000-000051020000}"/>
    <cellStyle name="Accent6 4" xfId="2554" xr:uid="{00000000-0005-0000-0000-000052020000}"/>
    <cellStyle name="Accent6 5" xfId="2555" xr:uid="{00000000-0005-0000-0000-000053020000}"/>
    <cellStyle name="Accent6 6" xfId="2556" xr:uid="{00000000-0005-0000-0000-000054020000}"/>
    <cellStyle name="Acctg" xfId="2557" xr:uid="{00000000-0005-0000-0000-000055020000}"/>
    <cellStyle name="Acctg$" xfId="2558" xr:uid="{00000000-0005-0000-0000-000056020000}"/>
    <cellStyle name="Actual data" xfId="2559" xr:uid="{00000000-0005-0000-0000-000057020000}"/>
    <cellStyle name="Actual Date" xfId="345" xr:uid="{00000000-0005-0000-0000-000058020000}"/>
    <cellStyle name="Actual Date 2" xfId="346" xr:uid="{00000000-0005-0000-0000-000059020000}"/>
    <cellStyle name="Actual Date 3" xfId="2560" xr:uid="{00000000-0005-0000-0000-00005A020000}"/>
    <cellStyle name="Actual Date 4" xfId="2561" xr:uid="{00000000-0005-0000-0000-00005B020000}"/>
    <cellStyle name="Actual Date 5" xfId="2562" xr:uid="{00000000-0005-0000-0000-00005C020000}"/>
    <cellStyle name="Actual year" xfId="2563" xr:uid="{00000000-0005-0000-0000-00005D020000}"/>
    <cellStyle name="Actuals Cells" xfId="2564" xr:uid="{00000000-0005-0000-0000-00005E020000}"/>
    <cellStyle name="AFE" xfId="347" xr:uid="{00000000-0005-0000-0000-00005F020000}"/>
    <cellStyle name="Amarelo%" xfId="2565" xr:uid="{00000000-0005-0000-0000-000060020000}"/>
    <cellStyle name="Amarelocot" xfId="2566" xr:uid="{00000000-0005-0000-0000-000061020000}"/>
    <cellStyle name="amount" xfId="2567" xr:uid="{00000000-0005-0000-0000-000062020000}"/>
    <cellStyle name="Andre's Title" xfId="2568" xr:uid="{00000000-0005-0000-0000-000063020000}"/>
    <cellStyle name="Año" xfId="2569" xr:uid="{00000000-0005-0000-0000-000064020000}"/>
    <cellStyle name="Ano/Meses" xfId="2570" xr:uid="{00000000-0005-0000-0000-000065020000}"/>
    <cellStyle name="Anos" xfId="2571" xr:uid="{00000000-0005-0000-0000-000066020000}"/>
    <cellStyle name="apresent" xfId="348" xr:uid="{00000000-0005-0000-0000-000067020000}"/>
    <cellStyle name="Aria" xfId="349" xr:uid="{00000000-0005-0000-0000-000068020000}"/>
    <cellStyle name="Arial" xfId="350" xr:uid="{00000000-0005-0000-0000-000069020000}"/>
    <cellStyle name="Arial 10" xfId="351" xr:uid="{00000000-0005-0000-0000-00006A020000}"/>
    <cellStyle name="Arial 10 2" xfId="352" xr:uid="{00000000-0005-0000-0000-00006B020000}"/>
    <cellStyle name="Arial 10 2 2" xfId="353" xr:uid="{00000000-0005-0000-0000-00006C020000}"/>
    <cellStyle name="Arial 12" xfId="354" xr:uid="{00000000-0005-0000-0000-00006D020000}"/>
    <cellStyle name="Arial 12 2" xfId="355" xr:uid="{00000000-0005-0000-0000-00006E020000}"/>
    <cellStyle name="Arial 12 2 2" xfId="356" xr:uid="{00000000-0005-0000-0000-00006F020000}"/>
    <cellStyle name="Arial 24" xfId="2572" xr:uid="{00000000-0005-0000-0000-000070020000}"/>
    <cellStyle name="Arial 7" xfId="2573" xr:uid="{00000000-0005-0000-0000-000071020000}"/>
    <cellStyle name="Arial 9" xfId="2574" xr:uid="{00000000-0005-0000-0000-000072020000}"/>
    <cellStyle name="arial12" xfId="2575" xr:uid="{00000000-0005-0000-0000-000073020000}"/>
    <cellStyle name="arial14" xfId="2576" xr:uid="{00000000-0005-0000-0000-000074020000}"/>
    <cellStyle name="Arial6Bold" xfId="2577" xr:uid="{00000000-0005-0000-0000-000075020000}"/>
    <cellStyle name="Arial8Bold" xfId="2578" xr:uid="{00000000-0005-0000-0000-000076020000}"/>
    <cellStyle name="Arial8Italic" xfId="2579" xr:uid="{00000000-0005-0000-0000-000077020000}"/>
    <cellStyle name="ArialNormal" xfId="2580" xr:uid="{00000000-0005-0000-0000-000078020000}"/>
    <cellStyle name="Array" xfId="357" xr:uid="{00000000-0005-0000-0000-000079020000}"/>
    <cellStyle name="Array Enter" xfId="358" xr:uid="{00000000-0005-0000-0000-00007A020000}"/>
    <cellStyle name="Årstal" xfId="2581" xr:uid="{00000000-0005-0000-0000-00007B020000}"/>
    <cellStyle name="assumption 1" xfId="2582" xr:uid="{00000000-0005-0000-0000-00007C020000}"/>
    <cellStyle name="assumption 2" xfId="2583" xr:uid="{00000000-0005-0000-0000-00007D020000}"/>
    <cellStyle name="assumption 4" xfId="2584" xr:uid="{00000000-0005-0000-0000-00007E020000}"/>
    <cellStyle name="Assumption Date" xfId="2585" xr:uid="{00000000-0005-0000-0000-00007F020000}"/>
    <cellStyle name="AUD 0" xfId="2586" xr:uid="{00000000-0005-0000-0000-000080020000}"/>
    <cellStyle name="AUD 0 2" xfId="2587" xr:uid="{00000000-0005-0000-0000-000081020000}"/>
    <cellStyle name="AUD 2" xfId="2588" xr:uid="{00000000-0005-0000-0000-000082020000}"/>
    <cellStyle name="AUD 2 2" xfId="2589" xr:uid="{00000000-0005-0000-0000-000083020000}"/>
    <cellStyle name="Azul&amp;Vermelho" xfId="2590" xr:uid="{00000000-0005-0000-0000-000084020000}"/>
    <cellStyle name="Azul&amp;Vermelho 2" xfId="2591" xr:uid="{00000000-0005-0000-0000-000085020000}"/>
    <cellStyle name="b0let" xfId="359" xr:uid="{00000000-0005-0000-0000-000086020000}"/>
    <cellStyle name="Bad" xfId="360" xr:uid="{00000000-0005-0000-0000-000087020000}"/>
    <cellStyle name="Bad 2" xfId="361" xr:uid="{00000000-0005-0000-0000-000088020000}"/>
    <cellStyle name="Bad 2 2" xfId="362" xr:uid="{00000000-0005-0000-0000-000089020000}"/>
    <cellStyle name="Bad 3" xfId="2592" xr:uid="{00000000-0005-0000-0000-00008A020000}"/>
    <cellStyle name="Bad 4" xfId="2593" xr:uid="{00000000-0005-0000-0000-00008B020000}"/>
    <cellStyle name="Bad 5" xfId="2594" xr:uid="{00000000-0005-0000-0000-00008C020000}"/>
    <cellStyle name="Bad 6" xfId="2595" xr:uid="{00000000-0005-0000-0000-00008D020000}"/>
    <cellStyle name="BIGHEAD" xfId="363" xr:uid="{00000000-0005-0000-0000-00008E020000}"/>
    <cellStyle name="Black" xfId="364" xr:uid="{00000000-0005-0000-0000-00008F020000}"/>
    <cellStyle name="Black Text" xfId="2596" xr:uid="{00000000-0005-0000-0000-000090020000}"/>
    <cellStyle name="Black Text (No Wrap)" xfId="2597" xr:uid="{00000000-0005-0000-0000-000091020000}"/>
    <cellStyle name="Black Text (No Wrap) 2" xfId="2598" xr:uid="{00000000-0005-0000-0000-000092020000}"/>
    <cellStyle name="Black Text (No Wrap)_Financeira Caxias Rev Eng 8-4-08" xfId="2599" xr:uid="{00000000-0005-0000-0000-000093020000}"/>
    <cellStyle name="Black Text 2" xfId="2600" xr:uid="{00000000-0005-0000-0000-000094020000}"/>
    <cellStyle name="Black Text_Financeira Caxias Rev Eng 8-4-08" xfId="2601" xr:uid="{00000000-0005-0000-0000-000095020000}"/>
    <cellStyle name="BlackStrike" xfId="365" xr:uid="{00000000-0005-0000-0000-000096020000}"/>
    <cellStyle name="BlackStrike 2" xfId="366" xr:uid="{00000000-0005-0000-0000-000097020000}"/>
    <cellStyle name="BlackStrike 2 2" xfId="367" xr:uid="{00000000-0005-0000-0000-000098020000}"/>
    <cellStyle name="BlackText" xfId="368" xr:uid="{00000000-0005-0000-0000-000099020000}"/>
    <cellStyle name="BlackText 2" xfId="369" xr:uid="{00000000-0005-0000-0000-00009A020000}"/>
    <cellStyle name="BlackText 2 2" xfId="370" xr:uid="{00000000-0005-0000-0000-00009B020000}"/>
    <cellStyle name="blank" xfId="371" xr:uid="{00000000-0005-0000-0000-00009C020000}"/>
    <cellStyle name="blank 2" xfId="372" xr:uid="{00000000-0005-0000-0000-00009D020000}"/>
    <cellStyle name="blank 3" xfId="373" xr:uid="{00000000-0005-0000-0000-00009E020000}"/>
    <cellStyle name="blank 4" xfId="374" xr:uid="{00000000-0005-0000-0000-00009F020000}"/>
    <cellStyle name="blue" xfId="375" xr:uid="{00000000-0005-0000-0000-0000A0020000}"/>
    <cellStyle name="blue 10" xfId="376" xr:uid="{00000000-0005-0000-0000-0000A1020000}"/>
    <cellStyle name="Blue 2" xfId="377" xr:uid="{00000000-0005-0000-0000-0000A2020000}"/>
    <cellStyle name="blue 3" xfId="378" xr:uid="{00000000-0005-0000-0000-0000A3020000}"/>
    <cellStyle name="blue 4" xfId="379" xr:uid="{00000000-0005-0000-0000-0000A4020000}"/>
    <cellStyle name="blue 5" xfId="380" xr:uid="{00000000-0005-0000-0000-0000A5020000}"/>
    <cellStyle name="blue 6" xfId="381" xr:uid="{00000000-0005-0000-0000-0000A6020000}"/>
    <cellStyle name="blue 7" xfId="382" xr:uid="{00000000-0005-0000-0000-0000A7020000}"/>
    <cellStyle name="blue 8" xfId="383" xr:uid="{00000000-0005-0000-0000-0000A8020000}"/>
    <cellStyle name="blue 9" xfId="384" xr:uid="{00000000-0005-0000-0000-0000A9020000}"/>
    <cellStyle name="Blue Font" xfId="385" xr:uid="{00000000-0005-0000-0000-0000AA020000}"/>
    <cellStyle name="Blue Text" xfId="2602" xr:uid="{00000000-0005-0000-0000-0000AB020000}"/>
    <cellStyle name="Blue Text - Ariel 10" xfId="2603" xr:uid="{00000000-0005-0000-0000-0000AC020000}"/>
    <cellStyle name="Blue Text 2" xfId="2604" xr:uid="{00000000-0005-0000-0000-0000AD020000}"/>
    <cellStyle name="Blue Text_Financeira Caxias Rev Eng 8-4-08" xfId="2605" xr:uid="{00000000-0005-0000-0000-0000AE020000}"/>
    <cellStyle name="bluenodec" xfId="386" xr:uid="{00000000-0005-0000-0000-0000AF020000}"/>
    <cellStyle name="bluepercent" xfId="387" xr:uid="{00000000-0005-0000-0000-0000B0020000}"/>
    <cellStyle name="Body" xfId="2606" xr:uid="{00000000-0005-0000-0000-0000B1020000}"/>
    <cellStyle name="Body text" xfId="2607" xr:uid="{00000000-0005-0000-0000-0000B2020000}"/>
    <cellStyle name="Body_$Dollars" xfId="388" xr:uid="{00000000-0005-0000-0000-0000B3020000}"/>
    <cellStyle name="Bold 11" xfId="2608" xr:uid="{00000000-0005-0000-0000-0000B4020000}"/>
    <cellStyle name="Bold Header" xfId="2609" xr:uid="{00000000-0005-0000-0000-0000B5020000}"/>
    <cellStyle name="Bold/Border" xfId="389" xr:uid="{00000000-0005-0000-0000-0000B6020000}"/>
    <cellStyle name="Bol-Data" xfId="390" xr:uid="{00000000-0005-0000-0000-0000B7020000}"/>
    <cellStyle name="BoldText" xfId="391" xr:uid="{00000000-0005-0000-0000-0000B8020000}"/>
    <cellStyle name="BoldText 2" xfId="392" xr:uid="{00000000-0005-0000-0000-0000B9020000}"/>
    <cellStyle name="BoldText 2 2" xfId="393" xr:uid="{00000000-0005-0000-0000-0000BA020000}"/>
    <cellStyle name="bolet" xfId="394" xr:uid="{00000000-0005-0000-0000-0000BB020000}"/>
    <cellStyle name="bolet 2" xfId="2610" xr:uid="{00000000-0005-0000-0000-0000BC020000}"/>
    <cellStyle name="bolet_Financeira Caxias Rev Eng 8-4-08" xfId="2611" xr:uid="{00000000-0005-0000-0000-0000BD020000}"/>
    <cellStyle name="Boletim" xfId="395" xr:uid="{00000000-0005-0000-0000-0000BE020000}"/>
    <cellStyle name="Bom 2" xfId="396" xr:uid="{00000000-0005-0000-0000-0000BF020000}"/>
    <cellStyle name="BORDA" xfId="2612" xr:uid="{00000000-0005-0000-0000-0000C0020000}"/>
    <cellStyle name="Border" xfId="2613" xr:uid="{00000000-0005-0000-0000-0000C1020000}"/>
    <cellStyle name="Border Heavy" xfId="397" xr:uid="{00000000-0005-0000-0000-0000C2020000}"/>
    <cellStyle name="Border Heavy 2" xfId="398" xr:uid="{00000000-0005-0000-0000-0000C3020000}"/>
    <cellStyle name="Border Heavy 2 2" xfId="399" xr:uid="{00000000-0005-0000-0000-0000C4020000}"/>
    <cellStyle name="Border Heavy 2 3" xfId="400" xr:uid="{00000000-0005-0000-0000-0000C5020000}"/>
    <cellStyle name="Border Heavy 2 4" xfId="401" xr:uid="{00000000-0005-0000-0000-0000C6020000}"/>
    <cellStyle name="Border Heavy 3" xfId="402" xr:uid="{00000000-0005-0000-0000-0000C7020000}"/>
    <cellStyle name="Border Heavy 4" xfId="403" xr:uid="{00000000-0005-0000-0000-0000C8020000}"/>
    <cellStyle name="Border Thin" xfId="404" xr:uid="{00000000-0005-0000-0000-0000C9020000}"/>
    <cellStyle name="Border Thin 2" xfId="405" xr:uid="{00000000-0005-0000-0000-0000CA020000}"/>
    <cellStyle name="Border Thin 2 2" xfId="406" xr:uid="{00000000-0005-0000-0000-0000CB020000}"/>
    <cellStyle name="Bottom Edge" xfId="407" xr:uid="{00000000-0005-0000-0000-0000CC020000}"/>
    <cellStyle name="British Pound" xfId="408" xr:uid="{00000000-0005-0000-0000-0000CD020000}"/>
    <cellStyle name="Buena" xfId="2614" xr:uid="{00000000-0005-0000-0000-0000CE020000}"/>
    <cellStyle name="Bullet" xfId="409" xr:uid="{00000000-0005-0000-0000-0000CF020000}"/>
    <cellStyle name="Bullet 2" xfId="2615" xr:uid="{00000000-0005-0000-0000-0000D0020000}"/>
    <cellStyle name="Bullet 3" xfId="2616" xr:uid="{00000000-0005-0000-0000-0000D1020000}"/>
    <cellStyle name="Bullet 4" xfId="2617" xr:uid="{00000000-0005-0000-0000-0000D2020000}"/>
    <cellStyle name="Bullet 5" xfId="2618" xr:uid="{00000000-0005-0000-0000-0000D3020000}"/>
    <cellStyle name="Business Description" xfId="2619" xr:uid="{00000000-0005-0000-0000-0000D4020000}"/>
    <cellStyle name="C" xfId="2620" xr:uid="{00000000-0005-0000-0000-0000D5020000}"/>
    <cellStyle name="Ç¥ÁØ_PRECOEE" xfId="2621" xr:uid="{00000000-0005-0000-0000-0000D6020000}"/>
    <cellStyle name="C2" xfId="2622" xr:uid="{00000000-0005-0000-0000-0000D7020000}"/>
    <cellStyle name="Cabe‡alho 1" xfId="410" xr:uid="{00000000-0005-0000-0000-0000D8020000}"/>
    <cellStyle name="Cabe‡alho 1 2" xfId="411" xr:uid="{00000000-0005-0000-0000-0000D9020000}"/>
    <cellStyle name="Cabe‡alho 2" xfId="412" xr:uid="{00000000-0005-0000-0000-0000DA020000}"/>
    <cellStyle name="Cabe‡alho 2 2" xfId="413" xr:uid="{00000000-0005-0000-0000-0000DB020000}"/>
    <cellStyle name="CABEÇALHO" xfId="414" xr:uid="{00000000-0005-0000-0000-0000DC020000}"/>
    <cellStyle name="Cabeçalho 1" xfId="415" xr:uid="{00000000-0005-0000-0000-0000DD020000}"/>
    <cellStyle name="CABEÇALHO 10" xfId="416" xr:uid="{00000000-0005-0000-0000-0000DE020000}"/>
    <cellStyle name="CABEÇALHO 11" xfId="417" xr:uid="{00000000-0005-0000-0000-0000DF020000}"/>
    <cellStyle name="CABEÇALHO 12" xfId="418" xr:uid="{00000000-0005-0000-0000-0000E0020000}"/>
    <cellStyle name="CABEÇALHO 13" xfId="419" xr:uid="{00000000-0005-0000-0000-0000E1020000}"/>
    <cellStyle name="CABEÇALHO 14" xfId="420" xr:uid="{00000000-0005-0000-0000-0000E2020000}"/>
    <cellStyle name="CABEÇALHO 15" xfId="421" xr:uid="{00000000-0005-0000-0000-0000E3020000}"/>
    <cellStyle name="CABEÇALHO 16" xfId="422" xr:uid="{00000000-0005-0000-0000-0000E4020000}"/>
    <cellStyle name="Cabeçalho 2" xfId="423" xr:uid="{00000000-0005-0000-0000-0000E5020000}"/>
    <cellStyle name="CABEÇALHO 3" xfId="424" xr:uid="{00000000-0005-0000-0000-0000E6020000}"/>
    <cellStyle name="CABEÇALHO 4" xfId="425" xr:uid="{00000000-0005-0000-0000-0000E7020000}"/>
    <cellStyle name="CABEÇALHO 5" xfId="426" xr:uid="{00000000-0005-0000-0000-0000E8020000}"/>
    <cellStyle name="CABEÇALHO 6" xfId="427" xr:uid="{00000000-0005-0000-0000-0000E9020000}"/>
    <cellStyle name="CABEÇALHO 7" xfId="428" xr:uid="{00000000-0005-0000-0000-0000EA020000}"/>
    <cellStyle name="CABEÇALHO 8" xfId="429" xr:uid="{00000000-0005-0000-0000-0000EB020000}"/>
    <cellStyle name="CABEÇALHO 9" xfId="430" xr:uid="{00000000-0005-0000-0000-0000EC020000}"/>
    <cellStyle name="CABEÇALHO2" xfId="431" xr:uid="{00000000-0005-0000-0000-0000ED020000}"/>
    <cellStyle name="Cabecera 1" xfId="432" xr:uid="{00000000-0005-0000-0000-0000EE020000}"/>
    <cellStyle name="Cabecera 2" xfId="433" xr:uid="{00000000-0005-0000-0000-0000EF020000}"/>
    <cellStyle name="CabRo - Estilo1" xfId="2623" xr:uid="{00000000-0005-0000-0000-0000F0020000}"/>
    <cellStyle name="Caderno" xfId="2624" xr:uid="{00000000-0005-0000-0000-0000F1020000}"/>
    <cellStyle name="Calc" xfId="434" xr:uid="{00000000-0005-0000-0000-0000F2020000}"/>
    <cellStyle name="Calc [0]" xfId="2625" xr:uid="{00000000-0005-0000-0000-0000F3020000}"/>
    <cellStyle name="Calc Cells" xfId="2626" xr:uid="{00000000-0005-0000-0000-0000F4020000}"/>
    <cellStyle name="Calc Currency (0)" xfId="2627" xr:uid="{00000000-0005-0000-0000-0000F5020000}"/>
    <cellStyle name="Calc Currency (2)" xfId="2628" xr:uid="{00000000-0005-0000-0000-0000F6020000}"/>
    <cellStyle name="Calc Percent (0)" xfId="2629" xr:uid="{00000000-0005-0000-0000-0000F7020000}"/>
    <cellStyle name="Calc Percent (1)" xfId="2630" xr:uid="{00000000-0005-0000-0000-0000F8020000}"/>
    <cellStyle name="Calc Percent (2)" xfId="2631" xr:uid="{00000000-0005-0000-0000-0000F9020000}"/>
    <cellStyle name="Calc Units (0)" xfId="2632" xr:uid="{00000000-0005-0000-0000-0000FA020000}"/>
    <cellStyle name="Calc Units (1)" xfId="2633" xr:uid="{00000000-0005-0000-0000-0000FB020000}"/>
    <cellStyle name="Calc Units (2)" xfId="2634" xr:uid="{00000000-0005-0000-0000-0000FC020000}"/>
    <cellStyle name="Calculation" xfId="435" xr:uid="{00000000-0005-0000-0000-0000FD020000}"/>
    <cellStyle name="Calculation 2" xfId="436" xr:uid="{00000000-0005-0000-0000-0000FE020000}"/>
    <cellStyle name="Calculation 2 2" xfId="437" xr:uid="{00000000-0005-0000-0000-0000FF020000}"/>
    <cellStyle name="Calculation 3" xfId="2635" xr:uid="{00000000-0005-0000-0000-000000030000}"/>
    <cellStyle name="Calculation 4" xfId="2636" xr:uid="{00000000-0005-0000-0000-000001030000}"/>
    <cellStyle name="Calculation 5" xfId="2637" xr:uid="{00000000-0005-0000-0000-000002030000}"/>
    <cellStyle name="Calculation 6" xfId="2638" xr:uid="{00000000-0005-0000-0000-000003030000}"/>
    <cellStyle name="Cálculo 2" xfId="438" xr:uid="{00000000-0005-0000-0000-000004030000}"/>
    <cellStyle name="Cálculo 2 2" xfId="439" xr:uid="{00000000-0005-0000-0000-000005030000}"/>
    <cellStyle name="CALDAS" xfId="2639" xr:uid="{00000000-0005-0000-0000-000006030000}"/>
    <cellStyle name="Cancel" xfId="2640" xr:uid="{00000000-0005-0000-0000-000007030000}"/>
    <cellStyle name="Case" xfId="2641" xr:uid="{00000000-0005-0000-0000-000008030000}"/>
    <cellStyle name="Celda de comprobación" xfId="2642" xr:uid="{00000000-0005-0000-0000-000009030000}"/>
    <cellStyle name="Celda vinculada" xfId="2643" xr:uid="{00000000-0005-0000-0000-00000A030000}"/>
    <cellStyle name="cell1" xfId="2644" xr:uid="{00000000-0005-0000-0000-00000B030000}"/>
    <cellStyle name="Célula de Verificação 2" xfId="440" xr:uid="{00000000-0005-0000-0000-00000C030000}"/>
    <cellStyle name="Célula Vinculada 2" xfId="441" xr:uid="{00000000-0005-0000-0000-00000D030000}"/>
    <cellStyle name="Centrado" xfId="442" xr:uid="{00000000-0005-0000-0000-00000E030000}"/>
    <cellStyle name="Centrado 2" xfId="443" xr:uid="{00000000-0005-0000-0000-00000F030000}"/>
    <cellStyle name="Centred across" xfId="2645" xr:uid="{00000000-0005-0000-0000-000010030000}"/>
    <cellStyle name="Cents" xfId="444" xr:uid="{00000000-0005-0000-0000-000011030000}"/>
    <cellStyle name="Cents 2" xfId="445" xr:uid="{00000000-0005-0000-0000-000012030000}"/>
    <cellStyle name="ChartingText" xfId="2646" xr:uid="{00000000-0005-0000-0000-000013030000}"/>
    <cellStyle name="Check Cell" xfId="446" xr:uid="{00000000-0005-0000-0000-000014030000}"/>
    <cellStyle name="Check Cell 2" xfId="447" xr:uid="{00000000-0005-0000-0000-000015030000}"/>
    <cellStyle name="Check Cell 2 2" xfId="448" xr:uid="{00000000-0005-0000-0000-000016030000}"/>
    <cellStyle name="Check Cell 3" xfId="2647" xr:uid="{00000000-0005-0000-0000-000017030000}"/>
    <cellStyle name="Check Cell 4" xfId="2648" xr:uid="{00000000-0005-0000-0000-000018030000}"/>
    <cellStyle name="Check Cell 5" xfId="2649" xr:uid="{00000000-0005-0000-0000-000019030000}"/>
    <cellStyle name="Check Cell 6" xfId="2650" xr:uid="{00000000-0005-0000-0000-00001A030000}"/>
    <cellStyle name="ÇÏÀÌÆÛ¸µÅ©" xfId="2651" xr:uid="{00000000-0005-0000-0000-00001B030000}"/>
    <cellStyle name="CLEAR" xfId="2652" xr:uid="{00000000-0005-0000-0000-00001C030000}"/>
    <cellStyle name="CLEAR 2" xfId="2653" xr:uid="{00000000-0005-0000-0000-00001D030000}"/>
    <cellStyle name="CLEAR_Financeira Caxias Rev Eng 8-4-08" xfId="2654" xr:uid="{00000000-0005-0000-0000-00001E030000}"/>
    <cellStyle name="Co. Names" xfId="449" xr:uid="{00000000-0005-0000-0000-00001F030000}"/>
    <cellStyle name="Co. Names - Bold" xfId="2655" xr:uid="{00000000-0005-0000-0000-000020030000}"/>
    <cellStyle name="Co. Names_Blend" xfId="2656" xr:uid="{00000000-0005-0000-0000-000021030000}"/>
    <cellStyle name="Code" xfId="2657" xr:uid="{00000000-0005-0000-0000-000022030000}"/>
    <cellStyle name="Code 2" xfId="2658" xr:uid="{00000000-0005-0000-0000-000023030000}"/>
    <cellStyle name="Code 3" xfId="2659" xr:uid="{00000000-0005-0000-0000-000024030000}"/>
    <cellStyle name="Code 4" xfId="2660" xr:uid="{00000000-0005-0000-0000-000025030000}"/>
    <cellStyle name="Code 5" xfId="2661" xr:uid="{00000000-0005-0000-0000-000026030000}"/>
    <cellStyle name="Code Section" xfId="2662" xr:uid="{00000000-0005-0000-0000-000027030000}"/>
    <cellStyle name="Código" xfId="2663" xr:uid="{00000000-0005-0000-0000-000028030000}"/>
    <cellStyle name="COL HEADINGS" xfId="2664" xr:uid="{00000000-0005-0000-0000-000029030000}"/>
    <cellStyle name="Colhead_left" xfId="2665" xr:uid="{00000000-0005-0000-0000-00002A030000}"/>
    <cellStyle name="ColHeading" xfId="2666" xr:uid="{00000000-0005-0000-0000-00002B030000}"/>
    <cellStyle name="colheadleft" xfId="2667" xr:uid="{00000000-0005-0000-0000-00002C030000}"/>
    <cellStyle name="colheadright" xfId="2668" xr:uid="{00000000-0005-0000-0000-00002D030000}"/>
    <cellStyle name="Collegamento ipertestuale visitato_1- Index Book_1202.xls Grafico 1-1" xfId="2669" xr:uid="{00000000-0005-0000-0000-00002E030000}"/>
    <cellStyle name="Collegamento ipertestuale_Aging Payb 1202" xfId="2670" xr:uid="{00000000-0005-0000-0000-00002F030000}"/>
    <cellStyle name="Column" xfId="2671" xr:uid="{00000000-0005-0000-0000-000030030000}"/>
    <cellStyle name="Column Headings" xfId="450" xr:uid="{00000000-0005-0000-0000-000031030000}"/>
    <cellStyle name="Column Headings 2" xfId="451" xr:uid="{00000000-0005-0000-0000-000032030000}"/>
    <cellStyle name="Column Headings 2 2" xfId="452" xr:uid="{00000000-0005-0000-0000-000033030000}"/>
    <cellStyle name="Column_Title" xfId="453" xr:uid="{00000000-0005-0000-0000-000034030000}"/>
    <cellStyle name="ColumnHeaderNormal" xfId="2672" xr:uid="{00000000-0005-0000-0000-000035030000}"/>
    <cellStyle name="Coma1" xfId="454" xr:uid="{00000000-0005-0000-0000-000036030000}"/>
    <cellStyle name="Comma" xfId="11" xr:uid="{00000000-0005-0000-0000-000037030000}"/>
    <cellStyle name="Comma  - Style1" xfId="2673" xr:uid="{00000000-0005-0000-0000-000038030000}"/>
    <cellStyle name="Comma  - Style2" xfId="2674" xr:uid="{00000000-0005-0000-0000-000039030000}"/>
    <cellStyle name="Comma  - Style3" xfId="2675" xr:uid="{00000000-0005-0000-0000-00003A030000}"/>
    <cellStyle name="Comma  - Style4" xfId="2676" xr:uid="{00000000-0005-0000-0000-00003B030000}"/>
    <cellStyle name="Comma  - Style5" xfId="2677" xr:uid="{00000000-0005-0000-0000-00003C030000}"/>
    <cellStyle name="Comma  - Style6" xfId="2678" xr:uid="{00000000-0005-0000-0000-00003D030000}"/>
    <cellStyle name="Comma  - Style7" xfId="2679" xr:uid="{00000000-0005-0000-0000-00003E030000}"/>
    <cellStyle name="Comma  - Style8" xfId="2680" xr:uid="{00000000-0005-0000-0000-00003F030000}"/>
    <cellStyle name="Comma [0]" xfId="455" xr:uid="{00000000-0005-0000-0000-000040030000}"/>
    <cellStyle name="Comma [0] 10" xfId="456" xr:uid="{00000000-0005-0000-0000-000041030000}"/>
    <cellStyle name="Comma [0] 2" xfId="457" xr:uid="{00000000-0005-0000-0000-000042030000}"/>
    <cellStyle name="Comma [0] 3" xfId="458" xr:uid="{00000000-0005-0000-0000-000043030000}"/>
    <cellStyle name="Comma [0] 4" xfId="459" xr:uid="{00000000-0005-0000-0000-000044030000}"/>
    <cellStyle name="Comma [0] 5" xfId="460" xr:uid="{00000000-0005-0000-0000-000045030000}"/>
    <cellStyle name="Comma [0] 6" xfId="461" xr:uid="{00000000-0005-0000-0000-000046030000}"/>
    <cellStyle name="Comma [0] 7" xfId="462" xr:uid="{00000000-0005-0000-0000-000047030000}"/>
    <cellStyle name="Comma [0] 8" xfId="463" xr:uid="{00000000-0005-0000-0000-000048030000}"/>
    <cellStyle name="Comma [0] 9" xfId="464" xr:uid="{00000000-0005-0000-0000-000049030000}"/>
    <cellStyle name="Comma [00]" xfId="2681" xr:uid="{00000000-0005-0000-0000-00004A030000}"/>
    <cellStyle name="Comma [1]" xfId="465" xr:uid="{00000000-0005-0000-0000-00004B030000}"/>
    <cellStyle name="Comma [1] 2" xfId="466" xr:uid="{00000000-0005-0000-0000-00004C030000}"/>
    <cellStyle name="Comma [2]" xfId="467" xr:uid="{00000000-0005-0000-0000-00004D030000}"/>
    <cellStyle name="Comma [3]" xfId="468" xr:uid="{00000000-0005-0000-0000-00004E030000}"/>
    <cellStyle name="Comma 0" xfId="469" xr:uid="{00000000-0005-0000-0000-00004F030000}"/>
    <cellStyle name="Comma 0 2" xfId="470" xr:uid="{00000000-0005-0000-0000-000050030000}"/>
    <cellStyle name="Comma 0 3" xfId="2682" xr:uid="{00000000-0005-0000-0000-000051030000}"/>
    <cellStyle name="Comma 0 4" xfId="2683" xr:uid="{00000000-0005-0000-0000-000052030000}"/>
    <cellStyle name="Comma 0 5" xfId="2684" xr:uid="{00000000-0005-0000-0000-000053030000}"/>
    <cellStyle name="Comma 0*" xfId="471" xr:uid="{00000000-0005-0000-0000-000054030000}"/>
    <cellStyle name="Comma 0* 2" xfId="2685" xr:uid="{00000000-0005-0000-0000-000055030000}"/>
    <cellStyle name="Comma 0* 3" xfId="2686" xr:uid="{00000000-0005-0000-0000-000056030000}"/>
    <cellStyle name="Comma 0* 4" xfId="2687" xr:uid="{00000000-0005-0000-0000-000057030000}"/>
    <cellStyle name="Comma 0* 5" xfId="2688" xr:uid="{00000000-0005-0000-0000-000058030000}"/>
    <cellStyle name="Comma 0_AES LatAm v12" xfId="472" xr:uid="{00000000-0005-0000-0000-000059030000}"/>
    <cellStyle name="Comma 10" xfId="473" xr:uid="{00000000-0005-0000-0000-00005A030000}"/>
    <cellStyle name="Comma 10 2" xfId="474" xr:uid="{00000000-0005-0000-0000-00005B030000}"/>
    <cellStyle name="Comma 11" xfId="475" xr:uid="{00000000-0005-0000-0000-00005C030000}"/>
    <cellStyle name="Comma 11 2" xfId="476" xr:uid="{00000000-0005-0000-0000-00005D030000}"/>
    <cellStyle name="Comma 12" xfId="477" xr:uid="{00000000-0005-0000-0000-00005E030000}"/>
    <cellStyle name="Comma 12 2" xfId="478" xr:uid="{00000000-0005-0000-0000-00005F030000}"/>
    <cellStyle name="Comma 13" xfId="479" xr:uid="{00000000-0005-0000-0000-000060030000}"/>
    <cellStyle name="Comma 13 2" xfId="480" xr:uid="{00000000-0005-0000-0000-000061030000}"/>
    <cellStyle name="Comma 14" xfId="481" xr:uid="{00000000-0005-0000-0000-000062030000}"/>
    <cellStyle name="Comma 14 2" xfId="482" xr:uid="{00000000-0005-0000-0000-000063030000}"/>
    <cellStyle name="Comma 15" xfId="483" xr:uid="{00000000-0005-0000-0000-000064030000}"/>
    <cellStyle name="Comma 15 2" xfId="484" xr:uid="{00000000-0005-0000-0000-000065030000}"/>
    <cellStyle name="Comma 16" xfId="485" xr:uid="{00000000-0005-0000-0000-000066030000}"/>
    <cellStyle name="Comma 16 2" xfId="486" xr:uid="{00000000-0005-0000-0000-000067030000}"/>
    <cellStyle name="Comma 17" xfId="487" xr:uid="{00000000-0005-0000-0000-000068030000}"/>
    <cellStyle name="Comma 17 2" xfId="488" xr:uid="{00000000-0005-0000-0000-000069030000}"/>
    <cellStyle name="Comma 18" xfId="489" xr:uid="{00000000-0005-0000-0000-00006A030000}"/>
    <cellStyle name="Comma 18 2" xfId="490" xr:uid="{00000000-0005-0000-0000-00006B030000}"/>
    <cellStyle name="Comma 19" xfId="491" xr:uid="{00000000-0005-0000-0000-00006C030000}"/>
    <cellStyle name="Comma 19 2" xfId="492" xr:uid="{00000000-0005-0000-0000-00006D030000}"/>
    <cellStyle name="Comma 2" xfId="493" xr:uid="{00000000-0005-0000-0000-00006E030000}"/>
    <cellStyle name="Comma 2 10" xfId="2689" xr:uid="{00000000-0005-0000-0000-00006F030000}"/>
    <cellStyle name="Comma 2 2" xfId="494" xr:uid="{00000000-0005-0000-0000-000070030000}"/>
    <cellStyle name="Comma 2 2 2" xfId="2690" xr:uid="{00000000-0005-0000-0000-000071030000}"/>
    <cellStyle name="Comma 2 2 3" xfId="2691" xr:uid="{00000000-0005-0000-0000-000072030000}"/>
    <cellStyle name="Comma 2 3" xfId="495" xr:uid="{00000000-0005-0000-0000-000073030000}"/>
    <cellStyle name="Comma 2 3 2" xfId="2692" xr:uid="{00000000-0005-0000-0000-000074030000}"/>
    <cellStyle name="Comma 2 3 3" xfId="2693" xr:uid="{00000000-0005-0000-0000-000075030000}"/>
    <cellStyle name="Comma 2 3 4" xfId="2694" xr:uid="{00000000-0005-0000-0000-000076030000}"/>
    <cellStyle name="Comma 2 3 5" xfId="2695" xr:uid="{00000000-0005-0000-0000-000077030000}"/>
    <cellStyle name="Comma 2 4" xfId="496" xr:uid="{00000000-0005-0000-0000-000078030000}"/>
    <cellStyle name="Comma 2 5" xfId="497" xr:uid="{00000000-0005-0000-0000-000079030000}"/>
    <cellStyle name="Comma 2 6" xfId="2696" xr:uid="{00000000-0005-0000-0000-00007A030000}"/>
    <cellStyle name="Comma 2 7" xfId="2697" xr:uid="{00000000-0005-0000-0000-00007B030000}"/>
    <cellStyle name="Comma 2 8" xfId="2698" xr:uid="{00000000-0005-0000-0000-00007C030000}"/>
    <cellStyle name="Comma 2 9" xfId="2699" xr:uid="{00000000-0005-0000-0000-00007D030000}"/>
    <cellStyle name="Comma 20" xfId="498" xr:uid="{00000000-0005-0000-0000-00007E030000}"/>
    <cellStyle name="Comma 21" xfId="499" xr:uid="{00000000-0005-0000-0000-00007F030000}"/>
    <cellStyle name="Comma 21 2" xfId="500" xr:uid="{00000000-0005-0000-0000-000080030000}"/>
    <cellStyle name="Comma 22" xfId="501" xr:uid="{00000000-0005-0000-0000-000081030000}"/>
    <cellStyle name="Comma 23" xfId="502" xr:uid="{00000000-0005-0000-0000-000082030000}"/>
    <cellStyle name="Comma 24" xfId="503" xr:uid="{00000000-0005-0000-0000-000083030000}"/>
    <cellStyle name="Comma 24 2" xfId="504" xr:uid="{00000000-0005-0000-0000-000084030000}"/>
    <cellStyle name="Comma 3" xfId="505" xr:uid="{00000000-0005-0000-0000-000085030000}"/>
    <cellStyle name="Comma 3 2" xfId="506" xr:uid="{00000000-0005-0000-0000-000086030000}"/>
    <cellStyle name="Comma 3 3" xfId="2700" xr:uid="{00000000-0005-0000-0000-000087030000}"/>
    <cellStyle name="Comma 3 4" xfId="2701" xr:uid="{00000000-0005-0000-0000-000088030000}"/>
    <cellStyle name="Comma 3 5" xfId="2702" xr:uid="{00000000-0005-0000-0000-000089030000}"/>
    <cellStyle name="Comma 4" xfId="507" xr:uid="{00000000-0005-0000-0000-00008A030000}"/>
    <cellStyle name="Comma 4 2" xfId="508" xr:uid="{00000000-0005-0000-0000-00008B030000}"/>
    <cellStyle name="Comma 4 2 10" xfId="509" xr:uid="{00000000-0005-0000-0000-00008C030000}"/>
    <cellStyle name="Comma 4 2 11" xfId="510" xr:uid="{00000000-0005-0000-0000-00008D030000}"/>
    <cellStyle name="Comma 4 2 12" xfId="511" xr:uid="{00000000-0005-0000-0000-00008E030000}"/>
    <cellStyle name="Comma 4 2 13" xfId="512" xr:uid="{00000000-0005-0000-0000-00008F030000}"/>
    <cellStyle name="Comma 4 2 14" xfId="513" xr:uid="{00000000-0005-0000-0000-000090030000}"/>
    <cellStyle name="Comma 4 2 2" xfId="514" xr:uid="{00000000-0005-0000-0000-000091030000}"/>
    <cellStyle name="Comma 4 2 3" xfId="515" xr:uid="{00000000-0005-0000-0000-000092030000}"/>
    <cellStyle name="Comma 4 2 4" xfId="516" xr:uid="{00000000-0005-0000-0000-000093030000}"/>
    <cellStyle name="Comma 4 2 5" xfId="517" xr:uid="{00000000-0005-0000-0000-000094030000}"/>
    <cellStyle name="Comma 4 2 6" xfId="518" xr:uid="{00000000-0005-0000-0000-000095030000}"/>
    <cellStyle name="Comma 4 2 7" xfId="519" xr:uid="{00000000-0005-0000-0000-000096030000}"/>
    <cellStyle name="Comma 4 2 8" xfId="520" xr:uid="{00000000-0005-0000-0000-000097030000}"/>
    <cellStyle name="Comma 4 2 9" xfId="521" xr:uid="{00000000-0005-0000-0000-000098030000}"/>
    <cellStyle name="Comma 4 3" xfId="522" xr:uid="{00000000-0005-0000-0000-000099030000}"/>
    <cellStyle name="Comma 5" xfId="523" xr:uid="{00000000-0005-0000-0000-00009A030000}"/>
    <cellStyle name="Comma 5 2" xfId="524" xr:uid="{00000000-0005-0000-0000-00009B030000}"/>
    <cellStyle name="Comma 6" xfId="525" xr:uid="{00000000-0005-0000-0000-00009C030000}"/>
    <cellStyle name="Comma 6 2" xfId="526" xr:uid="{00000000-0005-0000-0000-00009D030000}"/>
    <cellStyle name="Comma 7" xfId="527" xr:uid="{00000000-0005-0000-0000-00009E030000}"/>
    <cellStyle name="Comma 7 2" xfId="528" xr:uid="{00000000-0005-0000-0000-00009F030000}"/>
    <cellStyle name="Comma 8" xfId="529" xr:uid="{00000000-0005-0000-0000-0000A0030000}"/>
    <cellStyle name="Comma 8 2" xfId="530" xr:uid="{00000000-0005-0000-0000-0000A1030000}"/>
    <cellStyle name="Comma 9" xfId="531" xr:uid="{00000000-0005-0000-0000-0000A2030000}"/>
    <cellStyle name="Comma 9 2" xfId="532" xr:uid="{00000000-0005-0000-0000-0000A3030000}"/>
    <cellStyle name="Comma Cents" xfId="533" xr:uid="{00000000-0005-0000-0000-0000A4030000}"/>
    <cellStyle name="Comma, 1 dec" xfId="534" xr:uid="{00000000-0005-0000-0000-0000A5030000}"/>
    <cellStyle name="Comma, 1 dec 2" xfId="535" xr:uid="{00000000-0005-0000-0000-0000A6030000}"/>
    <cellStyle name="Comma.2" xfId="2703" xr:uid="{00000000-0005-0000-0000-0000A7030000}"/>
    <cellStyle name="Comma[4]" xfId="2704" xr:uid="{00000000-0005-0000-0000-0000A8030000}"/>
    <cellStyle name="Comma_07. Hoja Anual 2009 - AFD - Janeiro2009" xfId="2705" xr:uid="{00000000-0005-0000-0000-0000A9030000}"/>
    <cellStyle name="Comma0" xfId="536" xr:uid="{00000000-0005-0000-0000-0000AA030000}"/>
    <cellStyle name="Comma0 - Estilo2" xfId="537" xr:uid="{00000000-0005-0000-0000-0000AB030000}"/>
    <cellStyle name="Comma0 - Estilo2 2" xfId="2706" xr:uid="{00000000-0005-0000-0000-0000AC030000}"/>
    <cellStyle name="Comma0 - Estilo2 3" xfId="2707" xr:uid="{00000000-0005-0000-0000-0000AD030000}"/>
    <cellStyle name="Comma0 - Estilo2 4" xfId="2708" xr:uid="{00000000-0005-0000-0000-0000AE030000}"/>
    <cellStyle name="Comma0 - Estilo2 5" xfId="2709" xr:uid="{00000000-0005-0000-0000-0000AF030000}"/>
    <cellStyle name="Comma0 - Estilo4" xfId="538" xr:uid="{00000000-0005-0000-0000-0000B0030000}"/>
    <cellStyle name="Comma0 - Modelo1" xfId="2710" xr:uid="{00000000-0005-0000-0000-0000B1030000}"/>
    <cellStyle name="Comma0 - Style1" xfId="2711" xr:uid="{00000000-0005-0000-0000-0000B2030000}"/>
    <cellStyle name="Comma0 2" xfId="539" xr:uid="{00000000-0005-0000-0000-0000B3030000}"/>
    <cellStyle name="Comma0 2 2" xfId="2712" xr:uid="{00000000-0005-0000-0000-0000B4030000}"/>
    <cellStyle name="Comma0 2 3" xfId="2713" xr:uid="{00000000-0005-0000-0000-0000B5030000}"/>
    <cellStyle name="Comma0 2 4" xfId="2714" xr:uid="{00000000-0005-0000-0000-0000B6030000}"/>
    <cellStyle name="Comma0 2 5" xfId="2715" xr:uid="{00000000-0005-0000-0000-0000B7030000}"/>
    <cellStyle name="Comma0 3" xfId="540" xr:uid="{00000000-0005-0000-0000-0000B8030000}"/>
    <cellStyle name="Comma0 4" xfId="541" xr:uid="{00000000-0005-0000-0000-0000B9030000}"/>
    <cellStyle name="Comma0 5" xfId="2716" xr:uid="{00000000-0005-0000-0000-0000BA030000}"/>
    <cellStyle name="Comma0_Copy of PRELIMINARY BP FOR TAM EM (2)" xfId="2717" xr:uid="{00000000-0005-0000-0000-0000BB030000}"/>
    <cellStyle name="Comma1" xfId="2718" xr:uid="{00000000-0005-0000-0000-0000BC030000}"/>
    <cellStyle name="Comma1 - Estilo1" xfId="542" xr:uid="{00000000-0005-0000-0000-0000BD030000}"/>
    <cellStyle name="Comma1 - Modelo2" xfId="2719" xr:uid="{00000000-0005-0000-0000-0000BE030000}"/>
    <cellStyle name="Comma1 - Style2" xfId="2720" xr:uid="{00000000-0005-0000-0000-0000BF030000}"/>
    <cellStyle name="Comma1 2" xfId="2721" xr:uid="{00000000-0005-0000-0000-0000C0030000}"/>
    <cellStyle name="Comma2" xfId="2722" xr:uid="{00000000-0005-0000-0000-0000C1030000}"/>
    <cellStyle name="Comma2 2" xfId="2723" xr:uid="{00000000-0005-0000-0000-0000C2030000}"/>
    <cellStyle name="Company" xfId="2724" xr:uid="{00000000-0005-0000-0000-0000C3030000}"/>
    <cellStyle name="Company Name" xfId="2725" xr:uid="{00000000-0005-0000-0000-0000C4030000}"/>
    <cellStyle name="Company_ project" xfId="2726" xr:uid="{00000000-0005-0000-0000-0000C5030000}"/>
    <cellStyle name="CompanyName" xfId="2727" xr:uid="{00000000-0005-0000-0000-0000C6030000}"/>
    <cellStyle name="Conferência" xfId="543" xr:uid="{00000000-0005-0000-0000-0000C7030000}"/>
    <cellStyle name="Contéudo" xfId="2728" xr:uid="{00000000-0005-0000-0000-0000C8030000}"/>
    <cellStyle name="Control Check" xfId="544" xr:uid="{00000000-0005-0000-0000-0000C9030000}"/>
    <cellStyle name="ControlFormular" xfId="2729" xr:uid="{00000000-0005-0000-0000-0000CA030000}"/>
    <cellStyle name="Copied" xfId="2730" xr:uid="{00000000-0005-0000-0000-0000CB030000}"/>
    <cellStyle name="Corpo" xfId="2731" xr:uid="{00000000-0005-0000-0000-0000CC030000}"/>
    <cellStyle name="Corpo 2" xfId="2732" xr:uid="{00000000-0005-0000-0000-0000CD030000}"/>
    <cellStyle name="Corpo_Consolidado Angola_Mineração_SDM" xfId="2733" xr:uid="{00000000-0005-0000-0000-0000CE030000}"/>
    <cellStyle name="CPM_Total" xfId="545" xr:uid="{00000000-0005-0000-0000-0000CF030000}"/>
    <cellStyle name="CPU" xfId="546" xr:uid="{00000000-0005-0000-0000-0000D0030000}"/>
    <cellStyle name="Cuadro 1" xfId="2734" xr:uid="{00000000-0005-0000-0000-0000D1030000}"/>
    <cellStyle name="CurRatio" xfId="2735" xr:uid="{00000000-0005-0000-0000-0000D2030000}"/>
    <cellStyle name="Curren - Style2" xfId="2736" xr:uid="{00000000-0005-0000-0000-0000D3030000}"/>
    <cellStyle name="Currency" xfId="547" xr:uid="{00000000-0005-0000-0000-0000D4030000}"/>
    <cellStyle name="Currency (0)" xfId="2737" xr:uid="{00000000-0005-0000-0000-0000D5030000}"/>
    <cellStyle name="Currency (2)" xfId="2738" xr:uid="{00000000-0005-0000-0000-0000D6030000}"/>
    <cellStyle name="Currency [0]" xfId="548" xr:uid="{00000000-0005-0000-0000-0000D7030000}"/>
    <cellStyle name="Currency [0] 2" xfId="549" xr:uid="{00000000-0005-0000-0000-0000D8030000}"/>
    <cellStyle name="Currency [00]" xfId="2739" xr:uid="{00000000-0005-0000-0000-0000D9030000}"/>
    <cellStyle name="Currency [1]" xfId="550" xr:uid="{00000000-0005-0000-0000-0000DA030000}"/>
    <cellStyle name="Currency [2]" xfId="551" xr:uid="{00000000-0005-0000-0000-0000DB030000}"/>
    <cellStyle name="Currency [2] 2" xfId="552" xr:uid="{00000000-0005-0000-0000-0000DC030000}"/>
    <cellStyle name="Currency [2] 3" xfId="553" xr:uid="{00000000-0005-0000-0000-0000DD030000}"/>
    <cellStyle name="Currency [2] 4" xfId="554" xr:uid="{00000000-0005-0000-0000-0000DE030000}"/>
    <cellStyle name="Currency [3]" xfId="555" xr:uid="{00000000-0005-0000-0000-0000DF030000}"/>
    <cellStyle name="Currency [3] 2" xfId="556" xr:uid="{00000000-0005-0000-0000-0000E0030000}"/>
    <cellStyle name="Currency 0" xfId="557" xr:uid="{00000000-0005-0000-0000-0000E1030000}"/>
    <cellStyle name="Currency 0 2" xfId="558" xr:uid="{00000000-0005-0000-0000-0000E2030000}"/>
    <cellStyle name="Currency 0 3" xfId="2740" xr:uid="{00000000-0005-0000-0000-0000E3030000}"/>
    <cellStyle name="Currency 0 4" xfId="2741" xr:uid="{00000000-0005-0000-0000-0000E4030000}"/>
    <cellStyle name="Currency 0 5" xfId="2742" xr:uid="{00000000-0005-0000-0000-0000E5030000}"/>
    <cellStyle name="Currency 2" xfId="559" xr:uid="{00000000-0005-0000-0000-0000E6030000}"/>
    <cellStyle name="Currency 2 2" xfId="560" xr:uid="{00000000-0005-0000-0000-0000E7030000}"/>
    <cellStyle name="Currency 2 3" xfId="2743" xr:uid="{00000000-0005-0000-0000-0000E8030000}"/>
    <cellStyle name="Currency 2 4" xfId="2744" xr:uid="{00000000-0005-0000-0000-0000E9030000}"/>
    <cellStyle name="Currency 2 5" xfId="2745" xr:uid="{00000000-0005-0000-0000-0000EA030000}"/>
    <cellStyle name="Currency 3" xfId="561" xr:uid="{00000000-0005-0000-0000-0000EB030000}"/>
    <cellStyle name="Currency 4" xfId="562" xr:uid="{00000000-0005-0000-0000-0000EC030000}"/>
    <cellStyle name="Currency 5" xfId="563" xr:uid="{00000000-0005-0000-0000-0000ED030000}"/>
    <cellStyle name="Currency_353HHC" xfId="2746" xr:uid="{00000000-0005-0000-0000-0000EE030000}"/>
    <cellStyle name="Currency0" xfId="564" xr:uid="{00000000-0005-0000-0000-0000EF030000}"/>
    <cellStyle name="Currency0 2" xfId="565" xr:uid="{00000000-0005-0000-0000-0000F0030000}"/>
    <cellStyle name="Currency0 2 2" xfId="566" xr:uid="{00000000-0005-0000-0000-0000F1030000}"/>
    <cellStyle name="Currency0 3" xfId="567" xr:uid="{00000000-0005-0000-0000-0000F2030000}"/>
    <cellStyle name="Currency0 4" xfId="568" xr:uid="{00000000-0005-0000-0000-0000F3030000}"/>
    <cellStyle name="Currency0 5" xfId="2747" xr:uid="{00000000-0005-0000-0000-0000F4030000}"/>
    <cellStyle name="Currency1" xfId="2748" xr:uid="{00000000-0005-0000-0000-0000F5030000}"/>
    <cellStyle name="Currency2" xfId="569" xr:uid="{00000000-0005-0000-0000-0000F6030000}"/>
    <cellStyle name="Currsmall" xfId="570" xr:uid="{00000000-0005-0000-0000-0000F7030000}"/>
    <cellStyle name="Cur㟲ency_DemFin Cesp 99 0600 Legis_OPPV28" xfId="2749" xr:uid="{00000000-0005-0000-0000-0000F8030000}"/>
    <cellStyle name="CustomStyle1" xfId="2750" xr:uid="{00000000-0005-0000-0000-0000F9030000}"/>
    <cellStyle name="CustomStyle6" xfId="2751" xr:uid="{00000000-0005-0000-0000-0000FA030000}"/>
    <cellStyle name="CustomStyle7" xfId="2752" xr:uid="{00000000-0005-0000-0000-0000FB030000}"/>
    <cellStyle name="Dash" xfId="571" xr:uid="{00000000-0005-0000-0000-0000FC030000}"/>
    <cellStyle name="Data" xfId="572" xr:uid="{00000000-0005-0000-0000-0000FD030000}"/>
    <cellStyle name="Data 2" xfId="573" xr:uid="{00000000-0005-0000-0000-0000FE030000}"/>
    <cellStyle name="Data 2 2" xfId="2753" xr:uid="{00000000-0005-0000-0000-0000FF030000}"/>
    <cellStyle name="Data 2 3" xfId="2754" xr:uid="{00000000-0005-0000-0000-000000040000}"/>
    <cellStyle name="Data 2 4" xfId="2755" xr:uid="{00000000-0005-0000-0000-000001040000}"/>
    <cellStyle name="Data 2 5" xfId="2756" xr:uid="{00000000-0005-0000-0000-000002040000}"/>
    <cellStyle name="Data 3" xfId="2757" xr:uid="{00000000-0005-0000-0000-000003040000}"/>
    <cellStyle name="Data 4" xfId="2758" xr:uid="{00000000-0005-0000-0000-000004040000}"/>
    <cellStyle name="Data 5" xfId="2759" xr:uid="{00000000-0005-0000-0000-000005040000}"/>
    <cellStyle name="Data Link" xfId="574" xr:uid="{00000000-0005-0000-0000-000006040000}"/>
    <cellStyle name="Data_Calculation" xfId="575" xr:uid="{00000000-0005-0000-0000-000007040000}"/>
    <cellStyle name="Date" xfId="576" xr:uid="{00000000-0005-0000-0000-000008040000}"/>
    <cellStyle name="Date - Estilo1" xfId="577" xr:uid="{00000000-0005-0000-0000-000009040000}"/>
    <cellStyle name="Date - Estilo3" xfId="578" xr:uid="{00000000-0005-0000-0000-00000A040000}"/>
    <cellStyle name="Date [d-mmm-yy]" xfId="2760" xr:uid="{00000000-0005-0000-0000-00000B040000}"/>
    <cellStyle name="Date [mm-d-yy]" xfId="2761" xr:uid="{00000000-0005-0000-0000-00000C040000}"/>
    <cellStyle name="Date [mm-d-yyyy]" xfId="579" xr:uid="{00000000-0005-0000-0000-00000D040000}"/>
    <cellStyle name="Date [mmm-d-yyyy]" xfId="580" xr:uid="{00000000-0005-0000-0000-00000E040000}"/>
    <cellStyle name="Date [mmm-d-yyyy] 2" xfId="2762" xr:uid="{00000000-0005-0000-0000-00000F040000}"/>
    <cellStyle name="Date [mmm-yy]" xfId="581" xr:uid="{00000000-0005-0000-0000-000010040000}"/>
    <cellStyle name="Date [mmm-yy] 2" xfId="582" xr:uid="{00000000-0005-0000-0000-000011040000}"/>
    <cellStyle name="Date [mmm-yyyy]" xfId="583" xr:uid="{00000000-0005-0000-0000-000012040000}"/>
    <cellStyle name="Date [mmm-yyyy] 2" xfId="584" xr:uid="{00000000-0005-0000-0000-000013040000}"/>
    <cellStyle name="Date 10" xfId="585" xr:uid="{00000000-0005-0000-0000-000014040000}"/>
    <cellStyle name="Date 11" xfId="586" xr:uid="{00000000-0005-0000-0000-000015040000}"/>
    <cellStyle name="Date 12" xfId="587" xr:uid="{00000000-0005-0000-0000-000016040000}"/>
    <cellStyle name="Date 13" xfId="588" xr:uid="{00000000-0005-0000-0000-000017040000}"/>
    <cellStyle name="Date 14" xfId="589" xr:uid="{00000000-0005-0000-0000-000018040000}"/>
    <cellStyle name="Date 15" xfId="590" xr:uid="{00000000-0005-0000-0000-000019040000}"/>
    <cellStyle name="Date 16" xfId="591" xr:uid="{00000000-0005-0000-0000-00001A040000}"/>
    <cellStyle name="Date 17" xfId="592" xr:uid="{00000000-0005-0000-0000-00001B040000}"/>
    <cellStyle name="Date 18" xfId="593" xr:uid="{00000000-0005-0000-0000-00001C040000}"/>
    <cellStyle name="Date 19" xfId="594" xr:uid="{00000000-0005-0000-0000-00001D040000}"/>
    <cellStyle name="Date 2" xfId="595" xr:uid="{00000000-0005-0000-0000-00001E040000}"/>
    <cellStyle name="Date 20" xfId="596" xr:uid="{00000000-0005-0000-0000-00001F040000}"/>
    <cellStyle name="Date 21" xfId="597" xr:uid="{00000000-0005-0000-0000-000020040000}"/>
    <cellStyle name="Date 22" xfId="598" xr:uid="{00000000-0005-0000-0000-000021040000}"/>
    <cellStyle name="Date 23" xfId="599" xr:uid="{00000000-0005-0000-0000-000022040000}"/>
    <cellStyle name="Date 24" xfId="600" xr:uid="{00000000-0005-0000-0000-000023040000}"/>
    <cellStyle name="Date 3" xfId="601" xr:uid="{00000000-0005-0000-0000-000024040000}"/>
    <cellStyle name="Date 4" xfId="602" xr:uid="{00000000-0005-0000-0000-000025040000}"/>
    <cellStyle name="Date 5" xfId="603" xr:uid="{00000000-0005-0000-0000-000026040000}"/>
    <cellStyle name="Date 6" xfId="604" xr:uid="{00000000-0005-0000-0000-000027040000}"/>
    <cellStyle name="Date 7" xfId="605" xr:uid="{00000000-0005-0000-0000-000028040000}"/>
    <cellStyle name="Date 8" xfId="606" xr:uid="{00000000-0005-0000-0000-000029040000}"/>
    <cellStyle name="Date 9" xfId="607" xr:uid="{00000000-0005-0000-0000-00002A040000}"/>
    <cellStyle name="Date Aligned" xfId="608" xr:uid="{00000000-0005-0000-0000-00002B040000}"/>
    <cellStyle name="Date Aligned 2" xfId="609" xr:uid="{00000000-0005-0000-0000-00002C040000}"/>
    <cellStyle name="Date Aligned 3" xfId="2763" xr:uid="{00000000-0005-0000-0000-00002D040000}"/>
    <cellStyle name="Date Aligned 4" xfId="2764" xr:uid="{00000000-0005-0000-0000-00002E040000}"/>
    <cellStyle name="Date Aligned 5" xfId="2765" xr:uid="{00000000-0005-0000-0000-00002F040000}"/>
    <cellStyle name="Date Short" xfId="2766" xr:uid="{00000000-0005-0000-0000-000030040000}"/>
    <cellStyle name="Date, mmm-yy" xfId="2767" xr:uid="{00000000-0005-0000-0000-000031040000}"/>
    <cellStyle name="Date, mmm-yy 2" xfId="2768" xr:uid="{00000000-0005-0000-0000-000032040000}"/>
    <cellStyle name="Date_061113 Despesa Adm SPE Join Final Completo" xfId="610" xr:uid="{00000000-0005-0000-0000-000033040000}"/>
    <cellStyle name="Date2" xfId="611" xr:uid="{00000000-0005-0000-0000-000034040000}"/>
    <cellStyle name="Date2 2" xfId="612" xr:uid="{00000000-0005-0000-0000-000035040000}"/>
    <cellStyle name="Date2h" xfId="2769" xr:uid="{00000000-0005-0000-0000-000036040000}"/>
    <cellStyle name="DateLong" xfId="2770" xr:uid="{00000000-0005-0000-0000-000037040000}"/>
    <cellStyle name="DATES" xfId="2771" xr:uid="{00000000-0005-0000-0000-000038040000}"/>
    <cellStyle name="DateShort" xfId="2772" xr:uid="{00000000-0005-0000-0000-000039040000}"/>
    <cellStyle name="Datum" xfId="613" xr:uid="{00000000-0005-0000-0000-00003A040000}"/>
    <cellStyle name="DecimalOne" xfId="614" xr:uid="{00000000-0005-0000-0000-00003B040000}"/>
    <cellStyle name="Design" xfId="615" xr:uid="{00000000-0005-0000-0000-00003C040000}"/>
    <cellStyle name="desppag" xfId="616" xr:uid="{00000000-0005-0000-0000-00003D040000}"/>
    <cellStyle name="Dezimal [0]_revenue" xfId="617" xr:uid="{00000000-0005-0000-0000-00003E040000}"/>
    <cellStyle name="Dezimal__Utopia Index Index und Guidance (Deutsch)" xfId="618" xr:uid="{00000000-0005-0000-0000-00003F040000}"/>
    <cellStyle name="dollar" xfId="619" xr:uid="{00000000-0005-0000-0000-000040040000}"/>
    <cellStyle name="dollar 2" xfId="620" xr:uid="{00000000-0005-0000-0000-000041040000}"/>
    <cellStyle name="dollar 3" xfId="621" xr:uid="{00000000-0005-0000-0000-000042040000}"/>
    <cellStyle name="Dollars" xfId="622" xr:uid="{00000000-0005-0000-0000-000043040000}"/>
    <cellStyle name="Dollars 2" xfId="623" xr:uid="{00000000-0005-0000-0000-000044040000}"/>
    <cellStyle name="Dotted Line" xfId="624" xr:uid="{00000000-0005-0000-0000-000045040000}"/>
    <cellStyle name="Dotted Line 2" xfId="625" xr:uid="{00000000-0005-0000-0000-000046040000}"/>
    <cellStyle name="Double Accounting" xfId="626" xr:uid="{00000000-0005-0000-0000-000047040000}"/>
    <cellStyle name="Download" xfId="627" xr:uid="{00000000-0005-0000-0000-000048040000}"/>
    <cellStyle name="Download 2" xfId="628" xr:uid="{00000000-0005-0000-0000-000049040000}"/>
    <cellStyle name="Ênfase1 2" xfId="629" xr:uid="{00000000-0005-0000-0000-00004A040000}"/>
    <cellStyle name="Ênfase2 2" xfId="630" xr:uid="{00000000-0005-0000-0000-00004B040000}"/>
    <cellStyle name="Ênfase3 2" xfId="631" xr:uid="{00000000-0005-0000-0000-00004C040000}"/>
    <cellStyle name="Ênfase4 2" xfId="632" xr:uid="{00000000-0005-0000-0000-00004D040000}"/>
    <cellStyle name="Ênfase5 2" xfId="633" xr:uid="{00000000-0005-0000-0000-00004E040000}"/>
    <cellStyle name="Ênfase6 2" xfId="634" xr:uid="{00000000-0005-0000-0000-00004F040000}"/>
    <cellStyle name="Entrada 2" xfId="635" xr:uid="{00000000-0005-0000-0000-000050040000}"/>
    <cellStyle name="Entrada 2 2" xfId="636" xr:uid="{00000000-0005-0000-0000-000051040000}"/>
    <cellStyle name="Estilo 1" xfId="637" xr:uid="{00000000-0005-0000-0000-000052040000}"/>
    <cellStyle name="Estilo 1 2" xfId="638" xr:uid="{00000000-0005-0000-0000-000053040000}"/>
    <cellStyle name="Estilo 1 2 2" xfId="639" xr:uid="{00000000-0005-0000-0000-000054040000}"/>
    <cellStyle name="Estilo 1 3" xfId="640" xr:uid="{00000000-0005-0000-0000-000055040000}"/>
    <cellStyle name="Euro" xfId="641" xr:uid="{00000000-0005-0000-0000-000056040000}"/>
    <cellStyle name="Euro 2" xfId="642" xr:uid="{00000000-0005-0000-0000-000057040000}"/>
    <cellStyle name="Euro 3" xfId="643" xr:uid="{00000000-0005-0000-0000-000058040000}"/>
    <cellStyle name="Euro 4" xfId="644" xr:uid="{00000000-0005-0000-0000-000059040000}"/>
    <cellStyle name="eval" xfId="645" xr:uid="{00000000-0005-0000-0000-00005A040000}"/>
    <cellStyle name="Excel Built-in Normal" xfId="646" xr:uid="{00000000-0005-0000-0000-00005B040000}"/>
    <cellStyle name="Excel.Chart" xfId="647" xr:uid="{00000000-0005-0000-0000-00005C040000}"/>
    <cellStyle name="Excel_BuiltIn_Comma 1" xfId="648" xr:uid="{00000000-0005-0000-0000-00005D040000}"/>
    <cellStyle name="Explanatory Text" xfId="649" xr:uid="{00000000-0005-0000-0000-00005E040000}"/>
    <cellStyle name="Explanatory Text 2" xfId="650" xr:uid="{00000000-0005-0000-0000-00005F040000}"/>
    <cellStyle name="Explanatory Text 2 2" xfId="651" xr:uid="{00000000-0005-0000-0000-000060040000}"/>
    <cellStyle name="EY House" xfId="652" xr:uid="{00000000-0005-0000-0000-000061040000}"/>
    <cellStyle name="EY House 2" xfId="653" xr:uid="{00000000-0005-0000-0000-000062040000}"/>
    <cellStyle name="EY House 2 2" xfId="654" xr:uid="{00000000-0005-0000-0000-000063040000}"/>
    <cellStyle name="F2" xfId="655" xr:uid="{00000000-0005-0000-0000-000064040000}"/>
    <cellStyle name="F3" xfId="656" xr:uid="{00000000-0005-0000-0000-000065040000}"/>
    <cellStyle name="F4" xfId="657" xr:uid="{00000000-0005-0000-0000-000066040000}"/>
    <cellStyle name="F5" xfId="658" xr:uid="{00000000-0005-0000-0000-000067040000}"/>
    <cellStyle name="F6" xfId="659" xr:uid="{00000000-0005-0000-0000-000068040000}"/>
    <cellStyle name="F7" xfId="660" xr:uid="{00000000-0005-0000-0000-000069040000}"/>
    <cellStyle name="F8" xfId="661" xr:uid="{00000000-0005-0000-0000-00006A040000}"/>
    <cellStyle name="Fábio" xfId="662" xr:uid="{00000000-0005-0000-0000-00006B040000}"/>
    <cellStyle name="Falces1" xfId="663" xr:uid="{00000000-0005-0000-0000-00006C040000}"/>
    <cellStyle name="Fecha" xfId="664" xr:uid="{00000000-0005-0000-0000-00006D040000}"/>
    <cellStyle name="Fijo" xfId="665" xr:uid="{00000000-0005-0000-0000-00006E040000}"/>
    <cellStyle name="Finanční0" xfId="666" xr:uid="{00000000-0005-0000-0000-00006F040000}"/>
    <cellStyle name="Fixed" xfId="667" xr:uid="{00000000-0005-0000-0000-000070040000}"/>
    <cellStyle name="Fixed [0]" xfId="668" xr:uid="{00000000-0005-0000-0000-000071040000}"/>
    <cellStyle name="Fixed [0] 2" xfId="669" xr:uid="{00000000-0005-0000-0000-000072040000}"/>
    <cellStyle name="Fixed 10" xfId="670" xr:uid="{00000000-0005-0000-0000-000073040000}"/>
    <cellStyle name="Fixed 2" xfId="671" xr:uid="{00000000-0005-0000-0000-000074040000}"/>
    <cellStyle name="Fixed 3" xfId="672" xr:uid="{00000000-0005-0000-0000-000075040000}"/>
    <cellStyle name="Fixed 4" xfId="673" xr:uid="{00000000-0005-0000-0000-000076040000}"/>
    <cellStyle name="Fixed 5" xfId="674" xr:uid="{00000000-0005-0000-0000-000077040000}"/>
    <cellStyle name="Fixed 6" xfId="675" xr:uid="{00000000-0005-0000-0000-000078040000}"/>
    <cellStyle name="Fixed 7" xfId="676" xr:uid="{00000000-0005-0000-0000-000079040000}"/>
    <cellStyle name="Fixed 8" xfId="677" xr:uid="{00000000-0005-0000-0000-00007A040000}"/>
    <cellStyle name="Fixed 9" xfId="678" xr:uid="{00000000-0005-0000-0000-00007B040000}"/>
    <cellStyle name="Fixed_CA_GDF_Cenário_Base_13_03" xfId="679" xr:uid="{00000000-0005-0000-0000-00007C040000}"/>
    <cellStyle name="Fixlong" xfId="680" xr:uid="{00000000-0005-0000-0000-00007D040000}"/>
    <cellStyle name="Fixo" xfId="681" xr:uid="{00000000-0005-0000-0000-00007E040000}"/>
    <cellStyle name="Followed Hyperlink_Cronograma Físico Financeiro de Obras.xls" xfId="682" xr:uid="{00000000-0005-0000-0000-00007F040000}"/>
    <cellStyle name="font" xfId="683" xr:uid="{00000000-0005-0000-0000-000080040000}"/>
    <cellStyle name="Footnote" xfId="684" xr:uid="{00000000-0005-0000-0000-000081040000}"/>
    <cellStyle name="Format Number Column" xfId="685" xr:uid="{00000000-0005-0000-0000-000082040000}"/>
    <cellStyle name="Formula" xfId="686" xr:uid="{00000000-0005-0000-0000-000083040000}"/>
    <cellStyle name="Formula 2" xfId="687" xr:uid="{00000000-0005-0000-0000-000084040000}"/>
    <cellStyle name="from Input Sheet" xfId="688" xr:uid="{00000000-0005-0000-0000-000085040000}"/>
    <cellStyle name="From Project Models" xfId="689" xr:uid="{00000000-0005-0000-0000-000086040000}"/>
    <cellStyle name="From Project Models 2" xfId="690" xr:uid="{00000000-0005-0000-0000-000087040000}"/>
    <cellStyle name="Fundo" xfId="691" xr:uid="{00000000-0005-0000-0000-000088040000}"/>
    <cellStyle name="fundoamarelo" xfId="692" xr:uid="{00000000-0005-0000-0000-000089040000}"/>
    <cellStyle name="fundoazul" xfId="693" xr:uid="{00000000-0005-0000-0000-00008A040000}"/>
    <cellStyle name="fundocinza" xfId="694" xr:uid="{00000000-0005-0000-0000-00008B040000}"/>
    <cellStyle name="fundodeentrada" xfId="695" xr:uid="{00000000-0005-0000-0000-00008C040000}"/>
    <cellStyle name="fundoentrada" xfId="696" xr:uid="{00000000-0005-0000-0000-00008D040000}"/>
    <cellStyle name="Good" xfId="697" xr:uid="{00000000-0005-0000-0000-00008E040000}"/>
    <cellStyle name="Good 2" xfId="698" xr:uid="{00000000-0005-0000-0000-00008F040000}"/>
    <cellStyle name="Good 2 2" xfId="699" xr:uid="{00000000-0005-0000-0000-000090040000}"/>
    <cellStyle name="Grand titre" xfId="700" xr:uid="{00000000-0005-0000-0000-000091040000}"/>
    <cellStyle name="Green" xfId="701" xr:uid="{00000000-0005-0000-0000-000092040000}"/>
    <cellStyle name="Grey" xfId="702" xr:uid="{00000000-0005-0000-0000-000093040000}"/>
    <cellStyle name="Grey 2" xfId="703" xr:uid="{00000000-0005-0000-0000-000094040000}"/>
    <cellStyle name="H 2" xfId="704" xr:uid="{00000000-0005-0000-0000-000095040000}"/>
    <cellStyle name="H 2 2" xfId="705" xr:uid="{00000000-0005-0000-0000-000096040000}"/>
    <cellStyle name="H 2 2 2" xfId="706" xr:uid="{00000000-0005-0000-0000-000097040000}"/>
    <cellStyle name="hard no." xfId="707" xr:uid="{00000000-0005-0000-0000-000098040000}"/>
    <cellStyle name="hard no. 2" xfId="708" xr:uid="{00000000-0005-0000-0000-000099040000}"/>
    <cellStyle name="Hard Percent" xfId="709" xr:uid="{00000000-0005-0000-0000-00009A040000}"/>
    <cellStyle name="Hard Percent 2" xfId="710" xr:uid="{00000000-0005-0000-0000-00009B040000}"/>
    <cellStyle name="HeadBig" xfId="711" xr:uid="{00000000-0005-0000-0000-00009C040000}"/>
    <cellStyle name="Header" xfId="712" xr:uid="{00000000-0005-0000-0000-00009D040000}"/>
    <cellStyle name="header 10" xfId="713" xr:uid="{00000000-0005-0000-0000-00009E040000}"/>
    <cellStyle name="Header 2" xfId="714" xr:uid="{00000000-0005-0000-0000-00009F040000}"/>
    <cellStyle name="Header 2 2" xfId="715" xr:uid="{00000000-0005-0000-0000-0000A0040000}"/>
    <cellStyle name="header 3" xfId="716" xr:uid="{00000000-0005-0000-0000-0000A1040000}"/>
    <cellStyle name="header 4" xfId="717" xr:uid="{00000000-0005-0000-0000-0000A2040000}"/>
    <cellStyle name="header 5" xfId="718" xr:uid="{00000000-0005-0000-0000-0000A3040000}"/>
    <cellStyle name="header 6" xfId="719" xr:uid="{00000000-0005-0000-0000-0000A4040000}"/>
    <cellStyle name="header 7" xfId="720" xr:uid="{00000000-0005-0000-0000-0000A5040000}"/>
    <cellStyle name="header 8" xfId="721" xr:uid="{00000000-0005-0000-0000-0000A6040000}"/>
    <cellStyle name="header 9" xfId="722" xr:uid="{00000000-0005-0000-0000-0000A7040000}"/>
    <cellStyle name="header1" xfId="723" xr:uid="{00000000-0005-0000-0000-0000A8040000}"/>
    <cellStyle name="Header1 2" xfId="724" xr:uid="{00000000-0005-0000-0000-0000A9040000}"/>
    <cellStyle name="header1 2 2" xfId="725" xr:uid="{00000000-0005-0000-0000-0000AA040000}"/>
    <cellStyle name="header2" xfId="726" xr:uid="{00000000-0005-0000-0000-0000AB040000}"/>
    <cellStyle name="Header2 2" xfId="727" xr:uid="{00000000-0005-0000-0000-0000AC040000}"/>
    <cellStyle name="header2 2 2" xfId="728" xr:uid="{00000000-0005-0000-0000-0000AD040000}"/>
    <cellStyle name="header3" xfId="729" xr:uid="{00000000-0005-0000-0000-0000AE040000}"/>
    <cellStyle name="header3 2" xfId="730" xr:uid="{00000000-0005-0000-0000-0000AF040000}"/>
    <cellStyle name="header3 2 2" xfId="731" xr:uid="{00000000-0005-0000-0000-0000B0040000}"/>
    <cellStyle name="Heading" xfId="732" xr:uid="{00000000-0005-0000-0000-0000B1040000}"/>
    <cellStyle name="Heading 1" xfId="733" xr:uid="{00000000-0005-0000-0000-0000B2040000}"/>
    <cellStyle name="Heading 1 2" xfId="734" xr:uid="{00000000-0005-0000-0000-0000B3040000}"/>
    <cellStyle name="Heading 1 2 2" xfId="735" xr:uid="{00000000-0005-0000-0000-0000B4040000}"/>
    <cellStyle name="Heading 2" xfId="736" xr:uid="{00000000-0005-0000-0000-0000B5040000}"/>
    <cellStyle name="Heading 2 2" xfId="737" xr:uid="{00000000-0005-0000-0000-0000B6040000}"/>
    <cellStyle name="Heading 2 2 2" xfId="738" xr:uid="{00000000-0005-0000-0000-0000B7040000}"/>
    <cellStyle name="Heading 3" xfId="739" xr:uid="{00000000-0005-0000-0000-0000B8040000}"/>
    <cellStyle name="Heading 3 2" xfId="740" xr:uid="{00000000-0005-0000-0000-0000B9040000}"/>
    <cellStyle name="Heading 3 2 2" xfId="741" xr:uid="{00000000-0005-0000-0000-0000BA040000}"/>
    <cellStyle name="Heading 3 3" xfId="742" xr:uid="{00000000-0005-0000-0000-0000BB040000}"/>
    <cellStyle name="Heading 4" xfId="743" xr:uid="{00000000-0005-0000-0000-0000BC040000}"/>
    <cellStyle name="Heading 4 2" xfId="744" xr:uid="{00000000-0005-0000-0000-0000BD040000}"/>
    <cellStyle name="Heading 4 2 2" xfId="745" xr:uid="{00000000-0005-0000-0000-0000BE040000}"/>
    <cellStyle name="Heading 5" xfId="746" xr:uid="{00000000-0005-0000-0000-0000BF040000}"/>
    <cellStyle name="Heading 5 2" xfId="747" xr:uid="{00000000-0005-0000-0000-0000C0040000}"/>
    <cellStyle name="Heading 6" xfId="748" xr:uid="{00000000-0005-0000-0000-0000C1040000}"/>
    <cellStyle name="Heading_Abertura_Despesas (3)" xfId="749" xr:uid="{00000000-0005-0000-0000-0000C2040000}"/>
    <cellStyle name="Heading1" xfId="750" xr:uid="{00000000-0005-0000-0000-0000C3040000}"/>
    <cellStyle name="HEADING1 10" xfId="751" xr:uid="{00000000-0005-0000-0000-0000C4040000}"/>
    <cellStyle name="Heading1 2" xfId="752" xr:uid="{00000000-0005-0000-0000-0000C5040000}"/>
    <cellStyle name="HEADING1 3" xfId="753" xr:uid="{00000000-0005-0000-0000-0000C6040000}"/>
    <cellStyle name="HEADING1 4" xfId="754" xr:uid="{00000000-0005-0000-0000-0000C7040000}"/>
    <cellStyle name="HEADING1 5" xfId="755" xr:uid="{00000000-0005-0000-0000-0000C8040000}"/>
    <cellStyle name="HEADING1 6" xfId="756" xr:uid="{00000000-0005-0000-0000-0000C9040000}"/>
    <cellStyle name="HEADING1 7" xfId="757" xr:uid="{00000000-0005-0000-0000-0000CA040000}"/>
    <cellStyle name="HEADING1 8" xfId="758" xr:uid="{00000000-0005-0000-0000-0000CB040000}"/>
    <cellStyle name="HEADING1 9" xfId="759" xr:uid="{00000000-0005-0000-0000-0000CC040000}"/>
    <cellStyle name="Heading2" xfId="760" xr:uid="{00000000-0005-0000-0000-0000CD040000}"/>
    <cellStyle name="HEADING2 10" xfId="761" xr:uid="{00000000-0005-0000-0000-0000CE040000}"/>
    <cellStyle name="Heading2 2" xfId="762" xr:uid="{00000000-0005-0000-0000-0000CF040000}"/>
    <cellStyle name="Heading2 2 2" xfId="763" xr:uid="{00000000-0005-0000-0000-0000D0040000}"/>
    <cellStyle name="HEADING2 3" xfId="764" xr:uid="{00000000-0005-0000-0000-0000D1040000}"/>
    <cellStyle name="HEADING2 4" xfId="765" xr:uid="{00000000-0005-0000-0000-0000D2040000}"/>
    <cellStyle name="HEADING2 5" xfId="766" xr:uid="{00000000-0005-0000-0000-0000D3040000}"/>
    <cellStyle name="HEADING2 6" xfId="767" xr:uid="{00000000-0005-0000-0000-0000D4040000}"/>
    <cellStyle name="HEADING2 7" xfId="768" xr:uid="{00000000-0005-0000-0000-0000D5040000}"/>
    <cellStyle name="HEADING2 8" xfId="769" xr:uid="{00000000-0005-0000-0000-0000D6040000}"/>
    <cellStyle name="HEADING2 9" xfId="770" xr:uid="{00000000-0005-0000-0000-0000D7040000}"/>
    <cellStyle name="HeadMain" xfId="771" xr:uid="{00000000-0005-0000-0000-0000D8040000}"/>
    <cellStyle name="HIGHLIGHT" xfId="772" xr:uid="{00000000-0005-0000-0000-0000D9040000}"/>
    <cellStyle name="HIGHLIGHT 2" xfId="773" xr:uid="{00000000-0005-0000-0000-0000DA040000}"/>
    <cellStyle name="HIGHLIGHT 2 2" xfId="774" xr:uid="{00000000-0005-0000-0000-0000DB040000}"/>
    <cellStyle name="Hiperlink" xfId="2774" builtinId="8" hidden="1"/>
    <cellStyle name="Hiperlink" xfId="2776" builtinId="8" hidden="1"/>
    <cellStyle name="Hiperlink" xfId="2778" builtinId="8" hidden="1"/>
    <cellStyle name="Hiperlink" xfId="2780" builtinId="8" hidden="1"/>
    <cellStyle name="Hiperlink" xfId="2782" builtinId="8" hidden="1"/>
    <cellStyle name="Hiperlink" xfId="2784" builtinId="8" hidden="1"/>
    <cellStyle name="Hiperlink" xfId="2786" builtinId="8" hidden="1"/>
    <cellStyle name="Hiperlink Visitado" xfId="2775" builtinId="9" hidden="1"/>
    <cellStyle name="Hiperlink Visitado" xfId="2777" builtinId="9" hidden="1"/>
    <cellStyle name="Hiperlink Visitado" xfId="2779" builtinId="9" hidden="1"/>
    <cellStyle name="Hiperlink Visitado" xfId="2781" builtinId="9" hidden="1"/>
    <cellStyle name="Hiperlink Visitado" xfId="2783" builtinId="9" hidden="1"/>
    <cellStyle name="Hiperlink Visitado" xfId="2785" builtinId="9" hidden="1"/>
    <cellStyle name="Hiperlink Visitado" xfId="2787" builtinId="9" hidden="1"/>
    <cellStyle name="Hipervínculo" xfId="775" xr:uid="{00000000-0005-0000-0000-0000EA040000}"/>
    <cellStyle name="Hipervínculo 2" xfId="776" xr:uid="{00000000-0005-0000-0000-0000EB040000}"/>
    <cellStyle name="Hipervínculo 2 2" xfId="777" xr:uid="{00000000-0005-0000-0000-0000EC040000}"/>
    <cellStyle name="Hipervínculo visitado_KRAFT-NABISCOMAR-01" xfId="778" xr:uid="{00000000-0005-0000-0000-0000ED040000}"/>
    <cellStyle name="Hipervínculo_ABS_AL_31_01_01" xfId="779" xr:uid="{00000000-0005-0000-0000-0000EE040000}"/>
    <cellStyle name="Hyperlink 2" xfId="780" xr:uid="{00000000-0005-0000-0000-0000EF040000}"/>
    <cellStyle name="Hyperlink 2 2" xfId="781" xr:uid="{00000000-0005-0000-0000-0000F0040000}"/>
    <cellStyle name="Hyperlink seguido 2" xfId="782" xr:uid="{00000000-0005-0000-0000-0000F1040000}"/>
    <cellStyle name="Incorreto 2" xfId="783" xr:uid="{00000000-0005-0000-0000-0000F2040000}"/>
    <cellStyle name="Indefinido" xfId="784" xr:uid="{00000000-0005-0000-0000-0000F3040000}"/>
    <cellStyle name="Input" xfId="785" xr:uid="{00000000-0005-0000-0000-0000F4040000}"/>
    <cellStyle name="Input (blue)" xfId="786" xr:uid="{00000000-0005-0000-0000-0000F5040000}"/>
    <cellStyle name="Input [yellow]" xfId="787" xr:uid="{00000000-0005-0000-0000-0000F6040000}"/>
    <cellStyle name="Input [yellow] 2" xfId="788" xr:uid="{00000000-0005-0000-0000-0000F7040000}"/>
    <cellStyle name="Input 2" xfId="789" xr:uid="{00000000-0005-0000-0000-0000F8040000}"/>
    <cellStyle name="Input 3" xfId="790" xr:uid="{00000000-0005-0000-0000-0000F9040000}"/>
    <cellStyle name="Input Normal" xfId="791" xr:uid="{00000000-0005-0000-0000-0000FA040000}"/>
    <cellStyle name="Input Percent" xfId="792" xr:uid="{00000000-0005-0000-0000-0000FB040000}"/>
    <cellStyle name="Input_$cell" xfId="793" xr:uid="{00000000-0005-0000-0000-0000FC040000}"/>
    <cellStyle name="Input1" xfId="794" xr:uid="{00000000-0005-0000-0000-0000FD040000}"/>
    <cellStyle name="Input1 2" xfId="795" xr:uid="{00000000-0005-0000-0000-0000FE040000}"/>
    <cellStyle name="Input2" xfId="796" xr:uid="{00000000-0005-0000-0000-0000FF040000}"/>
    <cellStyle name="Input2 2" xfId="797" xr:uid="{00000000-0005-0000-0000-000000050000}"/>
    <cellStyle name="Input2 3" xfId="798" xr:uid="{00000000-0005-0000-0000-000001050000}"/>
    <cellStyle name="InputCell" xfId="799" xr:uid="{00000000-0005-0000-0000-000002050000}"/>
    <cellStyle name="InputCurrency" xfId="800" xr:uid="{00000000-0005-0000-0000-000003050000}"/>
    <cellStyle name="InputCurrency2" xfId="801" xr:uid="{00000000-0005-0000-0000-000004050000}"/>
    <cellStyle name="InputMultiple1" xfId="802" xr:uid="{00000000-0005-0000-0000-000005050000}"/>
    <cellStyle name="InputPercent1" xfId="803" xr:uid="{00000000-0005-0000-0000-000006050000}"/>
    <cellStyle name="Inputs" xfId="804" xr:uid="{00000000-0005-0000-0000-000007050000}"/>
    <cellStyle name="Inputs 2" xfId="805" xr:uid="{00000000-0005-0000-0000-000008050000}"/>
    <cellStyle name="Inputs 2 2" xfId="806" xr:uid="{00000000-0005-0000-0000-000009050000}"/>
    <cellStyle name="Inputs2" xfId="807" xr:uid="{00000000-0005-0000-0000-00000A050000}"/>
    <cellStyle name="Inputs2 2" xfId="808" xr:uid="{00000000-0005-0000-0000-00000B050000}"/>
    <cellStyle name="Inputs2 2 2" xfId="809" xr:uid="{00000000-0005-0000-0000-00000C050000}"/>
    <cellStyle name="Intermediário" xfId="810" xr:uid="{00000000-0005-0000-0000-00000D050000}"/>
    <cellStyle name="Intermediário 2" xfId="811" xr:uid="{00000000-0005-0000-0000-00000E050000}"/>
    <cellStyle name="Intermediário 2 2" xfId="812" xr:uid="{00000000-0005-0000-0000-00000F050000}"/>
    <cellStyle name="Intermediário 3" xfId="813" xr:uid="{00000000-0005-0000-0000-000010050000}"/>
    <cellStyle name="Invisible" xfId="814" xr:uid="{00000000-0005-0000-0000-000011050000}"/>
    <cellStyle name="ÌTENS" xfId="815" xr:uid="{00000000-0005-0000-0000-000012050000}"/>
    <cellStyle name="Jason" xfId="816" xr:uid="{00000000-0005-0000-0000-000013050000}"/>
    <cellStyle name="Jason 2" xfId="817" xr:uid="{00000000-0005-0000-0000-000014050000}"/>
    <cellStyle name="Javier" xfId="818" xr:uid="{00000000-0005-0000-0000-000015050000}"/>
    <cellStyle name="Javier 2" xfId="819" xr:uid="{00000000-0005-0000-0000-000016050000}"/>
    <cellStyle name="Komma [0]_Blad1" xfId="820" xr:uid="{00000000-0005-0000-0000-000017050000}"/>
    <cellStyle name="Komma_2 clubs MW-09.215 Business model Estádio Fonte Nova" xfId="821" xr:uid="{00000000-0005-0000-0000-000018050000}"/>
    <cellStyle name="KPMG Heading 1" xfId="822" xr:uid="{00000000-0005-0000-0000-000019050000}"/>
    <cellStyle name="KPMG Heading 2" xfId="823" xr:uid="{00000000-0005-0000-0000-00001A050000}"/>
    <cellStyle name="KPMG Heading 3" xfId="824" xr:uid="{00000000-0005-0000-0000-00001B050000}"/>
    <cellStyle name="KPMG Heading 4" xfId="825" xr:uid="{00000000-0005-0000-0000-00001C050000}"/>
    <cellStyle name="KPMG Normal" xfId="826" xr:uid="{00000000-0005-0000-0000-00001D050000}"/>
    <cellStyle name="KPMG Normal Text" xfId="827" xr:uid="{00000000-0005-0000-0000-00001E050000}"/>
    <cellStyle name="LAC" xfId="828" xr:uid="{00000000-0005-0000-0000-00001F050000}"/>
    <cellStyle name="Link" xfId="829" xr:uid="{00000000-0005-0000-0000-000020050000}"/>
    <cellStyle name="Link 2" xfId="830" xr:uid="{00000000-0005-0000-0000-000021050000}"/>
    <cellStyle name="Linked Cell" xfId="831" xr:uid="{00000000-0005-0000-0000-000022050000}"/>
    <cellStyle name="Linked Cell 2" xfId="832" xr:uid="{00000000-0005-0000-0000-000023050000}"/>
    <cellStyle name="Linked Cell 2 2" xfId="833" xr:uid="{00000000-0005-0000-0000-000024050000}"/>
    <cellStyle name="locked" xfId="834" xr:uid="{00000000-0005-0000-0000-000025050000}"/>
    <cellStyle name="Locked 2" xfId="835" xr:uid="{00000000-0005-0000-0000-000026050000}"/>
    <cellStyle name="MacroCode" xfId="836" xr:uid="{00000000-0005-0000-0000-000027050000}"/>
    <cellStyle name="MidHead" xfId="837" xr:uid="{00000000-0005-0000-0000-000028050000}"/>
    <cellStyle name="Mike" xfId="838" xr:uid="{00000000-0005-0000-0000-000029050000}"/>
    <cellStyle name="Millares [0]_04-99" xfId="839" xr:uid="{00000000-0005-0000-0000-00002A050000}"/>
    <cellStyle name="Millares [00]" xfId="840" xr:uid="{00000000-0005-0000-0000-00002B050000}"/>
    <cellStyle name="Millares_04-99" xfId="841" xr:uid="{00000000-0005-0000-0000-00002C050000}"/>
    <cellStyle name="Milliers [0]_Beverage Plastics" xfId="842" xr:uid="{00000000-0005-0000-0000-00002D050000}"/>
    <cellStyle name="Milliers compta" xfId="843" xr:uid="{00000000-0005-0000-0000-00002E050000}"/>
    <cellStyle name="Milliers normaux" xfId="844" xr:uid="{00000000-0005-0000-0000-00002F050000}"/>
    <cellStyle name="Milliers_AE Ensemble BP et Annexes rev12.0" xfId="845" xr:uid="{00000000-0005-0000-0000-000030050000}"/>
    <cellStyle name="Model_Calculation" xfId="846" xr:uid="{00000000-0005-0000-0000-000031050000}"/>
    <cellStyle name="Moeda" xfId="2773" builtinId="4"/>
    <cellStyle name="Moeda [0] 2" xfId="847" xr:uid="{00000000-0005-0000-0000-000033050000}"/>
    <cellStyle name="Moeda 2" xfId="848" xr:uid="{00000000-0005-0000-0000-000034050000}"/>
    <cellStyle name="Moeda 2 2" xfId="849" xr:uid="{00000000-0005-0000-0000-000035050000}"/>
    <cellStyle name="Moeda 2 2 2" xfId="850" xr:uid="{00000000-0005-0000-0000-000036050000}"/>
    <cellStyle name="Moeda 2 2 2 2" xfId="2795" xr:uid="{00000000-0005-0000-0000-000037050000}"/>
    <cellStyle name="Moeda 2 3" xfId="2797" xr:uid="{00000000-0005-0000-0000-000038050000}"/>
    <cellStyle name="Moeda 3" xfId="851" xr:uid="{00000000-0005-0000-0000-000039050000}"/>
    <cellStyle name="Moeda 3 2" xfId="852" xr:uid="{00000000-0005-0000-0000-00003A050000}"/>
    <cellStyle name="Moeda 4" xfId="853" xr:uid="{00000000-0005-0000-0000-00003B050000}"/>
    <cellStyle name="Moeda 4 2" xfId="854" xr:uid="{00000000-0005-0000-0000-00003C050000}"/>
    <cellStyle name="Moeda 4 2 2" xfId="855" xr:uid="{00000000-0005-0000-0000-00003D050000}"/>
    <cellStyle name="Moeda 5" xfId="856" xr:uid="{00000000-0005-0000-0000-00003E050000}"/>
    <cellStyle name="Moeda 5 2" xfId="9" xr:uid="{00000000-0005-0000-0000-00003F050000}"/>
    <cellStyle name="Moeda 6" xfId="857" xr:uid="{00000000-0005-0000-0000-000040050000}"/>
    <cellStyle name="Moeda 7" xfId="858" xr:uid="{00000000-0005-0000-0000-000041050000}"/>
    <cellStyle name="Moeda 8" xfId="2796" xr:uid="{00000000-0005-0000-0000-000042050000}"/>
    <cellStyle name="Moeda0" xfId="859" xr:uid="{00000000-0005-0000-0000-000043050000}"/>
    <cellStyle name="Moeda0 2" xfId="860" xr:uid="{00000000-0005-0000-0000-000044050000}"/>
    <cellStyle name="monaie_locale" xfId="861" xr:uid="{00000000-0005-0000-0000-000045050000}"/>
    <cellStyle name="Moneda [0]_04-99" xfId="862" xr:uid="{00000000-0005-0000-0000-000046050000}"/>
    <cellStyle name="Moneda 2" xfId="863" xr:uid="{00000000-0005-0000-0000-000047050000}"/>
    <cellStyle name="Moneda 2 10" xfId="864" xr:uid="{00000000-0005-0000-0000-000048050000}"/>
    <cellStyle name="Moneda 2 11" xfId="865" xr:uid="{00000000-0005-0000-0000-000049050000}"/>
    <cellStyle name="Moneda 2 12" xfId="866" xr:uid="{00000000-0005-0000-0000-00004A050000}"/>
    <cellStyle name="Moneda 2 13" xfId="867" xr:uid="{00000000-0005-0000-0000-00004B050000}"/>
    <cellStyle name="Moneda 2 14" xfId="868" xr:uid="{00000000-0005-0000-0000-00004C050000}"/>
    <cellStyle name="Moneda 2 2" xfId="869" xr:uid="{00000000-0005-0000-0000-00004D050000}"/>
    <cellStyle name="Moneda 2 3" xfId="870" xr:uid="{00000000-0005-0000-0000-00004E050000}"/>
    <cellStyle name="Moneda 2 4" xfId="871" xr:uid="{00000000-0005-0000-0000-00004F050000}"/>
    <cellStyle name="Moneda 2 5" xfId="872" xr:uid="{00000000-0005-0000-0000-000050050000}"/>
    <cellStyle name="Moneda 2 6" xfId="873" xr:uid="{00000000-0005-0000-0000-000051050000}"/>
    <cellStyle name="Moneda 2 7" xfId="874" xr:uid="{00000000-0005-0000-0000-000052050000}"/>
    <cellStyle name="Moneda 2 8" xfId="875" xr:uid="{00000000-0005-0000-0000-000053050000}"/>
    <cellStyle name="Moneda 2 9" xfId="876" xr:uid="{00000000-0005-0000-0000-000054050000}"/>
    <cellStyle name="Moneda_04-99" xfId="877" xr:uid="{00000000-0005-0000-0000-000055050000}"/>
    <cellStyle name="Monétaire [0]_Beverage Plastics" xfId="878" xr:uid="{00000000-0005-0000-0000-000056050000}"/>
    <cellStyle name="Monétaire 2" xfId="879" xr:uid="{00000000-0005-0000-0000-000057050000}"/>
    <cellStyle name="Monétaire_Beverage Plastics" xfId="880" xr:uid="{00000000-0005-0000-0000-000058050000}"/>
    <cellStyle name="Monetario0" xfId="881" xr:uid="{00000000-0005-0000-0000-000059050000}"/>
    <cellStyle name="Monetario0 2" xfId="882" xr:uid="{00000000-0005-0000-0000-00005A050000}"/>
    <cellStyle name="Multiple" xfId="883" xr:uid="{00000000-0005-0000-0000-00005B050000}"/>
    <cellStyle name="Multiple [0]" xfId="884" xr:uid="{00000000-0005-0000-0000-00005C050000}"/>
    <cellStyle name="Multiple [1]" xfId="885" xr:uid="{00000000-0005-0000-0000-00005D050000}"/>
    <cellStyle name="Multiple [1] 2" xfId="886" xr:uid="{00000000-0005-0000-0000-00005E050000}"/>
    <cellStyle name="Multiple [1] 3" xfId="887" xr:uid="{00000000-0005-0000-0000-00005F050000}"/>
    <cellStyle name="Multiple [2]" xfId="888" xr:uid="{00000000-0005-0000-0000-000060050000}"/>
    <cellStyle name="Multiple 10" xfId="889" xr:uid="{00000000-0005-0000-0000-000061050000}"/>
    <cellStyle name="Multiple 11" xfId="890" xr:uid="{00000000-0005-0000-0000-000062050000}"/>
    <cellStyle name="Multiple 12" xfId="891" xr:uid="{00000000-0005-0000-0000-000063050000}"/>
    <cellStyle name="Multiple 13" xfId="892" xr:uid="{00000000-0005-0000-0000-000064050000}"/>
    <cellStyle name="Multiple 14" xfId="893" xr:uid="{00000000-0005-0000-0000-000065050000}"/>
    <cellStyle name="Multiple 15" xfId="894" xr:uid="{00000000-0005-0000-0000-000066050000}"/>
    <cellStyle name="Multiple 16" xfId="895" xr:uid="{00000000-0005-0000-0000-000067050000}"/>
    <cellStyle name="Multiple 17" xfId="896" xr:uid="{00000000-0005-0000-0000-000068050000}"/>
    <cellStyle name="Multiple 18" xfId="897" xr:uid="{00000000-0005-0000-0000-000069050000}"/>
    <cellStyle name="Multiple 19" xfId="898" xr:uid="{00000000-0005-0000-0000-00006A050000}"/>
    <cellStyle name="Multiple 2" xfId="899" xr:uid="{00000000-0005-0000-0000-00006B050000}"/>
    <cellStyle name="Multiple 20" xfId="900" xr:uid="{00000000-0005-0000-0000-00006C050000}"/>
    <cellStyle name="Multiple 21" xfId="901" xr:uid="{00000000-0005-0000-0000-00006D050000}"/>
    <cellStyle name="Multiple 22" xfId="902" xr:uid="{00000000-0005-0000-0000-00006E050000}"/>
    <cellStyle name="Multiple 23" xfId="903" xr:uid="{00000000-0005-0000-0000-00006F050000}"/>
    <cellStyle name="Multiple 24" xfId="904" xr:uid="{00000000-0005-0000-0000-000070050000}"/>
    <cellStyle name="Multiple 3" xfId="905" xr:uid="{00000000-0005-0000-0000-000071050000}"/>
    <cellStyle name="Multiple 4" xfId="906" xr:uid="{00000000-0005-0000-0000-000072050000}"/>
    <cellStyle name="Multiple 5" xfId="907" xr:uid="{00000000-0005-0000-0000-000073050000}"/>
    <cellStyle name="Multiple 6" xfId="908" xr:uid="{00000000-0005-0000-0000-000074050000}"/>
    <cellStyle name="Multiple 7" xfId="909" xr:uid="{00000000-0005-0000-0000-000075050000}"/>
    <cellStyle name="Multiple 8" xfId="910" xr:uid="{00000000-0005-0000-0000-000076050000}"/>
    <cellStyle name="Multiple 9" xfId="911" xr:uid="{00000000-0005-0000-0000-000077050000}"/>
    <cellStyle name="Multiple_Asian_Power_Compacq_JJ" xfId="912" xr:uid="{00000000-0005-0000-0000-000078050000}"/>
    <cellStyle name="Multiple0" xfId="913" xr:uid="{00000000-0005-0000-0000-000079050000}"/>
    <cellStyle name="Multiple1" xfId="914" xr:uid="{00000000-0005-0000-0000-00007A050000}"/>
    <cellStyle name="n" xfId="915" xr:uid="{00000000-0005-0000-0000-00007B050000}"/>
    <cellStyle name="n_Cópia de Projeções Termocauca-COLfin" xfId="916" xr:uid="{00000000-0005-0000-0000-00007C050000}"/>
    <cellStyle name="n_Cópia de Projeções Termocauca-COLfin 2" xfId="917" xr:uid="{00000000-0005-0000-0000-00007D050000}"/>
    <cellStyle name="n_DRE.BP.FC" xfId="918" xr:uid="{00000000-0005-0000-0000-00007E050000}"/>
    <cellStyle name="n_DRE.BP.FC_estrategia_equity_20101004" xfId="919" xr:uid="{00000000-0005-0000-0000-00007F050000}"/>
    <cellStyle name="n_DRE.BP.FC_FOXX_BARUERI_18_03_2011" xfId="920" xr:uid="{00000000-0005-0000-0000-000080050000}"/>
    <cellStyle name="n_DRE.BP.FC_FOXX_RECIFE_20100914_cenario_energia+vapor" xfId="921" xr:uid="{00000000-0005-0000-0000-000081050000}"/>
    <cellStyle name="n_DRE.BP.FC_Projeções FOXX_Barueri_12052010_reuniao_FOXX" xfId="922" xr:uid="{00000000-0005-0000-0000-000082050000}"/>
    <cellStyle name="n_DRE.BP.FC_Projeções GEO_BPv27_414MW" xfId="923" xr:uid="{00000000-0005-0000-0000-000083050000}"/>
    <cellStyle name="n_GRAFICOS ECOSAMA-Demanda Atual" xfId="924" xr:uid="{00000000-0005-0000-0000-000084050000}"/>
    <cellStyle name="n_GRAFICOS ECOSAMA-Take or Pay" xfId="925" xr:uid="{00000000-0005-0000-0000-000085050000}"/>
    <cellStyle name="n_PPP Sabesp V2- Serviços" xfId="926" xr:uid="{00000000-0005-0000-0000-000086050000}"/>
    <cellStyle name="n_PPP Sabesp V2- Serviços 2" xfId="927" xr:uid="{00000000-0005-0000-0000-000087050000}"/>
    <cellStyle name="n_PPP Sabesp V2- Serviços_estrategia_equity_20101004" xfId="928" xr:uid="{00000000-0005-0000-0000-000088050000}"/>
    <cellStyle name="n_PPP Sabesp V2- Serviços_FOXX_BARUERI_18_03_2011" xfId="929" xr:uid="{00000000-0005-0000-0000-000089050000}"/>
    <cellStyle name="n_PPP Sabesp V2- Serviços_FOXX_RECIFE_20100914_cenario_energia+vapor" xfId="930" xr:uid="{00000000-0005-0000-0000-00008A050000}"/>
    <cellStyle name="n_PPP Sabesp V2- Serviços_Projeções FOXX_Barueri_12052010_reuniao_FOXX" xfId="931" xr:uid="{00000000-0005-0000-0000-00008B050000}"/>
    <cellStyle name="n_PPP Sabesp V2- Serviços_Projeções GEO_BPv27_414MW" xfId="932" xr:uid="{00000000-0005-0000-0000-00008C050000}"/>
    <cellStyle name="n_Projeção_CA_v22propostafinal17-07-2008" xfId="933" xr:uid="{00000000-0005-0000-0000-00008D050000}"/>
    <cellStyle name="n_Projeção_CA_v22propostafinal17-07-2008_Projeções FOXX_BUSINESS_PLANv14" xfId="934" xr:uid="{00000000-0005-0000-0000-00008E050000}"/>
    <cellStyle name="n_Projeção_CA_v22propostafinal17-07-2008_Projeções FOXX_BUSINESS_PLANv14_FOXX_BARUERI_18_03_2011" xfId="935" xr:uid="{00000000-0005-0000-0000-00008F050000}"/>
    <cellStyle name="n_Projeção_CA_v22propostafinal17-07-2008_Projeções GEO_BPv27_414MW" xfId="936" xr:uid="{00000000-0005-0000-0000-000090050000}"/>
    <cellStyle name="n_Projeção_CA_v22propostafinal17-07-2008_Projeções GEO_BPv27_414MW_estrategia_equity_20101004" xfId="937" xr:uid="{00000000-0005-0000-0000-000091050000}"/>
    <cellStyle name="n_Projeção_CA_v22propostafinal17-07-2008_Projeções GEO_BPv27_414MW_FOXX_BARUERI_18_03_2011" xfId="938" xr:uid="{00000000-0005-0000-0000-000092050000}"/>
    <cellStyle name="n_Projeção_CA_v22propostafinal17-07-2008_Projeções GEO_BPv27_414MW_FOXX_RECIFE_20100914_cenario_energia+vapor" xfId="939" xr:uid="{00000000-0005-0000-0000-000093050000}"/>
    <cellStyle name="n_Projeção_CA_v22propostafinal17-07-2008_Projeções GEO_BPv27_414MW_Projeções FOXX_Barueri_12052010_reuniao_FOXX" xfId="940" xr:uid="{00000000-0005-0000-0000-000094050000}"/>
    <cellStyle name="n_Projeção_CA_v22propostafinal17-07-2008_Sanessol" xfId="941" xr:uid="{00000000-0005-0000-0000-000095050000}"/>
    <cellStyle name="n_Projeção_CA_v22propostafinal17-07-2008_Sanessol 2" xfId="942" xr:uid="{00000000-0005-0000-0000-000096050000}"/>
    <cellStyle name="n_Projeções Águas de Itu" xfId="943" xr:uid="{00000000-0005-0000-0000-000097050000}"/>
    <cellStyle name="n_Projeções Águas de Itu 2" xfId="944" xr:uid="{00000000-0005-0000-0000-000098050000}"/>
    <cellStyle name="n_Projeções FOXX_BUSINESS_PLANv14" xfId="945" xr:uid="{00000000-0005-0000-0000-000099050000}"/>
    <cellStyle name="n_Projeções FOXX_BUSINESS_PLANv14_FOXX_BARUERI_18_03_2011" xfId="946" xr:uid="{00000000-0005-0000-0000-00009A050000}"/>
    <cellStyle name="n_Projeções GEO_BPv27_414MW" xfId="947" xr:uid="{00000000-0005-0000-0000-00009B050000}"/>
    <cellStyle name="n_Projeções GEO_BPv27_414MW_estrategia_equity_20101004" xfId="948" xr:uid="{00000000-0005-0000-0000-00009C050000}"/>
    <cellStyle name="n_Projeções GEO_BPv27_414MW_FOXX_BARUERI_18_03_2011" xfId="949" xr:uid="{00000000-0005-0000-0000-00009D050000}"/>
    <cellStyle name="n_Projeções GEO_BPv27_414MW_FOXX_RECIFE_20100914_cenario_energia+vapor" xfId="950" xr:uid="{00000000-0005-0000-0000-00009E050000}"/>
    <cellStyle name="n_Projeções GEO_BPv27_414MW_Projeções FOXX_Barueri_12052010_reuniao_FOXX" xfId="951" xr:uid="{00000000-0005-0000-0000-00009F050000}"/>
    <cellStyle name="n_Projeções.v6" xfId="952" xr:uid="{00000000-0005-0000-0000-0000A0050000}"/>
    <cellStyle name="n_Projeções.v6_estrategia_equity_20101004" xfId="953" xr:uid="{00000000-0005-0000-0000-0000A1050000}"/>
    <cellStyle name="n_Projeções.v6_FOXX_BARUERI_18_03_2011" xfId="954" xr:uid="{00000000-0005-0000-0000-0000A2050000}"/>
    <cellStyle name="n_Projeções.v6_FOXX_RECIFE_20100914_cenario_energia+vapor" xfId="955" xr:uid="{00000000-0005-0000-0000-0000A3050000}"/>
    <cellStyle name="n_Projeções.v6_Projeções FOXX_Barueri_12052010_reuniao_FOXX" xfId="956" xr:uid="{00000000-0005-0000-0000-0000A4050000}"/>
    <cellStyle name="n_Projeções.v6_Projeções GEO_BPv27_414MW" xfId="957" xr:uid="{00000000-0005-0000-0000-0000A5050000}"/>
    <cellStyle name="n_Projeções.v8" xfId="958" xr:uid="{00000000-0005-0000-0000-0000A6050000}"/>
    <cellStyle name="n_Sanessol" xfId="959" xr:uid="{00000000-0005-0000-0000-0000A7050000}"/>
    <cellStyle name="n_Sanessol 2" xfId="960" xr:uid="{00000000-0005-0000-0000-0000A8050000}"/>
    <cellStyle name="NA is zero" xfId="961" xr:uid="{00000000-0005-0000-0000-0000A9050000}"/>
    <cellStyle name="NA is zero 2" xfId="962" xr:uid="{00000000-0005-0000-0000-0000AA050000}"/>
    <cellStyle name="Name" xfId="963" xr:uid="{00000000-0005-0000-0000-0000AB050000}"/>
    <cellStyle name="Name 2" xfId="964" xr:uid="{00000000-0005-0000-0000-0000AC050000}"/>
    <cellStyle name="Name 2 2" xfId="965" xr:uid="{00000000-0005-0000-0000-0000AD050000}"/>
    <cellStyle name="Neutra 2" xfId="966" xr:uid="{00000000-0005-0000-0000-0000AE050000}"/>
    <cellStyle name="Neutral" xfId="967" xr:uid="{00000000-0005-0000-0000-0000AF050000}"/>
    <cellStyle name="Neutral 2" xfId="968" xr:uid="{00000000-0005-0000-0000-0000B0050000}"/>
    <cellStyle name="Neutral 2 2" xfId="969" xr:uid="{00000000-0005-0000-0000-0000B1050000}"/>
    <cellStyle name="Never Changes" xfId="970" xr:uid="{00000000-0005-0000-0000-0000B2050000}"/>
    <cellStyle name="no dec" xfId="971" xr:uid="{00000000-0005-0000-0000-0000B3050000}"/>
    <cellStyle name="No-definido" xfId="972" xr:uid="{00000000-0005-0000-0000-0000B4050000}"/>
    <cellStyle name="No-definido 2" xfId="973" xr:uid="{00000000-0005-0000-0000-0000B5050000}"/>
    <cellStyle name="Normal" xfId="0" builtinId="0"/>
    <cellStyle name="Normal - Estilo1" xfId="974" xr:uid="{00000000-0005-0000-0000-0000B7050000}"/>
    <cellStyle name="Normal - Estilo2" xfId="975" xr:uid="{00000000-0005-0000-0000-0000B8050000}"/>
    <cellStyle name="Normal - Estilo3" xfId="976" xr:uid="{00000000-0005-0000-0000-0000B9050000}"/>
    <cellStyle name="Normal - Estilo4" xfId="977" xr:uid="{00000000-0005-0000-0000-0000BA050000}"/>
    <cellStyle name="Normal - Estilo5" xfId="978" xr:uid="{00000000-0005-0000-0000-0000BB050000}"/>
    <cellStyle name="Normal - Estilo6" xfId="979" xr:uid="{00000000-0005-0000-0000-0000BC050000}"/>
    <cellStyle name="Normal - Estilo7" xfId="980" xr:uid="{00000000-0005-0000-0000-0000BD050000}"/>
    <cellStyle name="Normal - Estilo8" xfId="981" xr:uid="{00000000-0005-0000-0000-0000BE050000}"/>
    <cellStyle name="Normal - Style1" xfId="982" xr:uid="{00000000-0005-0000-0000-0000BF050000}"/>
    <cellStyle name="Normal - Style1 2" xfId="983" xr:uid="{00000000-0005-0000-0000-0000C0050000}"/>
    <cellStyle name="Normal - Style2" xfId="984" xr:uid="{00000000-0005-0000-0000-0000C1050000}"/>
    <cellStyle name="Normal (%)" xfId="985" xr:uid="{00000000-0005-0000-0000-0000C2050000}"/>
    <cellStyle name="Normal (No)" xfId="986" xr:uid="{00000000-0005-0000-0000-0000C3050000}"/>
    <cellStyle name="Normal [0]" xfId="987" xr:uid="{00000000-0005-0000-0000-0000C4050000}"/>
    <cellStyle name="Normal [0] 2" xfId="988" xr:uid="{00000000-0005-0000-0000-0000C5050000}"/>
    <cellStyle name="Normal [1]" xfId="989" xr:uid="{00000000-0005-0000-0000-0000C6050000}"/>
    <cellStyle name="Normal [1] 2" xfId="990" xr:uid="{00000000-0005-0000-0000-0000C7050000}"/>
    <cellStyle name="Normal [2]" xfId="991" xr:uid="{00000000-0005-0000-0000-0000C8050000}"/>
    <cellStyle name="Normal [2] 2" xfId="992" xr:uid="{00000000-0005-0000-0000-0000C9050000}"/>
    <cellStyle name="Normal [3]" xfId="993" xr:uid="{00000000-0005-0000-0000-0000CA050000}"/>
    <cellStyle name="Normal [3] 2" xfId="994" xr:uid="{00000000-0005-0000-0000-0000CB050000}"/>
    <cellStyle name="Normal 10" xfId="995" xr:uid="{00000000-0005-0000-0000-0000CC050000}"/>
    <cellStyle name="Normal 10 2" xfId="18" xr:uid="{00000000-0005-0000-0000-0000CD050000}"/>
    <cellStyle name="Normal 100" xfId="996" xr:uid="{00000000-0005-0000-0000-0000CE050000}"/>
    <cellStyle name="Normal 101" xfId="997" xr:uid="{00000000-0005-0000-0000-0000CF050000}"/>
    <cellStyle name="Normal 102" xfId="998" xr:uid="{00000000-0005-0000-0000-0000D0050000}"/>
    <cellStyle name="Normal 103" xfId="999" xr:uid="{00000000-0005-0000-0000-0000D1050000}"/>
    <cellStyle name="Normal 104" xfId="1000" xr:uid="{00000000-0005-0000-0000-0000D2050000}"/>
    <cellStyle name="Normal 105" xfId="1001" xr:uid="{00000000-0005-0000-0000-0000D3050000}"/>
    <cellStyle name="Normal 106" xfId="1002" xr:uid="{00000000-0005-0000-0000-0000D4050000}"/>
    <cellStyle name="Normal 107" xfId="1003" xr:uid="{00000000-0005-0000-0000-0000D5050000}"/>
    <cellStyle name="Normal 108" xfId="1004" xr:uid="{00000000-0005-0000-0000-0000D6050000}"/>
    <cellStyle name="Normal 109" xfId="1005" xr:uid="{00000000-0005-0000-0000-0000D7050000}"/>
    <cellStyle name="Normal 11" xfId="1006" xr:uid="{00000000-0005-0000-0000-0000D8050000}"/>
    <cellStyle name="Normal 11 2" xfId="1007" xr:uid="{00000000-0005-0000-0000-0000D9050000}"/>
    <cellStyle name="Normal 110" xfId="1008" xr:uid="{00000000-0005-0000-0000-0000DA050000}"/>
    <cellStyle name="Normal 111" xfId="1009" xr:uid="{00000000-0005-0000-0000-0000DB050000}"/>
    <cellStyle name="Normal 112" xfId="1010" xr:uid="{00000000-0005-0000-0000-0000DC050000}"/>
    <cellStyle name="Normal 113" xfId="1011" xr:uid="{00000000-0005-0000-0000-0000DD050000}"/>
    <cellStyle name="Normal 114" xfId="1012" xr:uid="{00000000-0005-0000-0000-0000DE050000}"/>
    <cellStyle name="Normal 115" xfId="1013" xr:uid="{00000000-0005-0000-0000-0000DF050000}"/>
    <cellStyle name="Normal 116" xfId="1014" xr:uid="{00000000-0005-0000-0000-0000E0050000}"/>
    <cellStyle name="Normal 117" xfId="1015" xr:uid="{00000000-0005-0000-0000-0000E1050000}"/>
    <cellStyle name="Normal 118" xfId="1016" xr:uid="{00000000-0005-0000-0000-0000E2050000}"/>
    <cellStyle name="Normal 119" xfId="1017" xr:uid="{00000000-0005-0000-0000-0000E3050000}"/>
    <cellStyle name="Normal 12" xfId="1018" xr:uid="{00000000-0005-0000-0000-0000E4050000}"/>
    <cellStyle name="Normal 12 2" xfId="1019" xr:uid="{00000000-0005-0000-0000-0000E5050000}"/>
    <cellStyle name="Normal 120" xfId="1020" xr:uid="{00000000-0005-0000-0000-0000E6050000}"/>
    <cellStyle name="Normal 121" xfId="1021" xr:uid="{00000000-0005-0000-0000-0000E7050000}"/>
    <cellStyle name="Normal 122" xfId="1022" xr:uid="{00000000-0005-0000-0000-0000E8050000}"/>
    <cellStyle name="Normal 123" xfId="1023" xr:uid="{00000000-0005-0000-0000-0000E9050000}"/>
    <cellStyle name="Normal 124" xfId="1024" xr:uid="{00000000-0005-0000-0000-0000EA050000}"/>
    <cellStyle name="Normal 125" xfId="1025" xr:uid="{00000000-0005-0000-0000-0000EB050000}"/>
    <cellStyle name="Normal 126" xfId="1026" xr:uid="{00000000-0005-0000-0000-0000EC050000}"/>
    <cellStyle name="Normal 127" xfId="1027" xr:uid="{00000000-0005-0000-0000-0000ED050000}"/>
    <cellStyle name="Normal 128" xfId="1028" xr:uid="{00000000-0005-0000-0000-0000EE050000}"/>
    <cellStyle name="Normal 129" xfId="1029" xr:uid="{00000000-0005-0000-0000-0000EF050000}"/>
    <cellStyle name="Normal 13" xfId="1030" xr:uid="{00000000-0005-0000-0000-0000F0050000}"/>
    <cellStyle name="Normal 13 2" xfId="1031" xr:uid="{00000000-0005-0000-0000-0000F1050000}"/>
    <cellStyle name="Normal 130" xfId="1032" xr:uid="{00000000-0005-0000-0000-0000F2050000}"/>
    <cellStyle name="Normal 131" xfId="1033" xr:uid="{00000000-0005-0000-0000-0000F3050000}"/>
    <cellStyle name="Normal 132" xfId="1034" xr:uid="{00000000-0005-0000-0000-0000F4050000}"/>
    <cellStyle name="Normal 133" xfId="1035" xr:uid="{00000000-0005-0000-0000-0000F5050000}"/>
    <cellStyle name="Normal 134" xfId="1036" xr:uid="{00000000-0005-0000-0000-0000F6050000}"/>
    <cellStyle name="Normal 135" xfId="1037" xr:uid="{00000000-0005-0000-0000-0000F7050000}"/>
    <cellStyle name="Normal 136" xfId="1038" xr:uid="{00000000-0005-0000-0000-0000F8050000}"/>
    <cellStyle name="Normal 137" xfId="1039" xr:uid="{00000000-0005-0000-0000-0000F9050000}"/>
    <cellStyle name="Normal 138" xfId="1040" xr:uid="{00000000-0005-0000-0000-0000FA050000}"/>
    <cellStyle name="Normal 139" xfId="1041" xr:uid="{00000000-0005-0000-0000-0000FB050000}"/>
    <cellStyle name="Normal 14" xfId="1042" xr:uid="{00000000-0005-0000-0000-0000FC050000}"/>
    <cellStyle name="Normal 14 2" xfId="1043" xr:uid="{00000000-0005-0000-0000-0000FD050000}"/>
    <cellStyle name="Normal 14 3" xfId="1044" xr:uid="{00000000-0005-0000-0000-0000FE050000}"/>
    <cellStyle name="Normal 140" xfId="1045" xr:uid="{00000000-0005-0000-0000-0000FF050000}"/>
    <cellStyle name="Normal 141" xfId="1046" xr:uid="{00000000-0005-0000-0000-000000060000}"/>
    <cellStyle name="Normal 142" xfId="1047" xr:uid="{00000000-0005-0000-0000-000001060000}"/>
    <cellStyle name="Normal 143" xfId="1048" xr:uid="{00000000-0005-0000-0000-000002060000}"/>
    <cellStyle name="Normal 144" xfId="1049" xr:uid="{00000000-0005-0000-0000-000003060000}"/>
    <cellStyle name="Normal 145" xfId="1050" xr:uid="{00000000-0005-0000-0000-000004060000}"/>
    <cellStyle name="Normal 146" xfId="1051" xr:uid="{00000000-0005-0000-0000-000005060000}"/>
    <cellStyle name="Normal 147" xfId="1052" xr:uid="{00000000-0005-0000-0000-000006060000}"/>
    <cellStyle name="Normal 148" xfId="1053" xr:uid="{00000000-0005-0000-0000-000007060000}"/>
    <cellStyle name="Normal 149" xfId="1054" xr:uid="{00000000-0005-0000-0000-000008060000}"/>
    <cellStyle name="Normal 15" xfId="25" xr:uid="{00000000-0005-0000-0000-000009060000}"/>
    <cellStyle name="Normal 15 2" xfId="1055" xr:uid="{00000000-0005-0000-0000-00000A060000}"/>
    <cellStyle name="Normal 15 3" xfId="1056" xr:uid="{00000000-0005-0000-0000-00000B060000}"/>
    <cellStyle name="Normal 15 4" xfId="1057" xr:uid="{00000000-0005-0000-0000-00000C060000}"/>
    <cellStyle name="Normal 150" xfId="1058" xr:uid="{00000000-0005-0000-0000-00000D060000}"/>
    <cellStyle name="Normal 151" xfId="1059" xr:uid="{00000000-0005-0000-0000-00000E060000}"/>
    <cellStyle name="Normal 152" xfId="1060" xr:uid="{00000000-0005-0000-0000-00000F060000}"/>
    <cellStyle name="Normal 153" xfId="1061" xr:uid="{00000000-0005-0000-0000-000010060000}"/>
    <cellStyle name="Normal 154" xfId="1062" xr:uid="{00000000-0005-0000-0000-000011060000}"/>
    <cellStyle name="Normal 155" xfId="1063" xr:uid="{00000000-0005-0000-0000-000012060000}"/>
    <cellStyle name="Normal 156" xfId="1064" xr:uid="{00000000-0005-0000-0000-000013060000}"/>
    <cellStyle name="Normal 157" xfId="1065" xr:uid="{00000000-0005-0000-0000-000014060000}"/>
    <cellStyle name="Normal 158" xfId="1066" xr:uid="{00000000-0005-0000-0000-000015060000}"/>
    <cellStyle name="Normal 159" xfId="1067" xr:uid="{00000000-0005-0000-0000-000016060000}"/>
    <cellStyle name="Normal 16" xfId="1068" xr:uid="{00000000-0005-0000-0000-000017060000}"/>
    <cellStyle name="Normal 160" xfId="1069" xr:uid="{00000000-0005-0000-0000-000018060000}"/>
    <cellStyle name="Normal 161" xfId="1070" xr:uid="{00000000-0005-0000-0000-000019060000}"/>
    <cellStyle name="Normal 162" xfId="1071" xr:uid="{00000000-0005-0000-0000-00001A060000}"/>
    <cellStyle name="Normal 163" xfId="1072" xr:uid="{00000000-0005-0000-0000-00001B060000}"/>
    <cellStyle name="Normal 164" xfId="1073" xr:uid="{00000000-0005-0000-0000-00001C060000}"/>
    <cellStyle name="Normal 165" xfId="1074" xr:uid="{00000000-0005-0000-0000-00001D060000}"/>
    <cellStyle name="Normal 166" xfId="1075" xr:uid="{00000000-0005-0000-0000-00001E060000}"/>
    <cellStyle name="Normal 167" xfId="1076" xr:uid="{00000000-0005-0000-0000-00001F060000}"/>
    <cellStyle name="Normal 168" xfId="1077" xr:uid="{00000000-0005-0000-0000-000020060000}"/>
    <cellStyle name="Normal 169" xfId="1078" xr:uid="{00000000-0005-0000-0000-000021060000}"/>
    <cellStyle name="Normal 17" xfId="1079" xr:uid="{00000000-0005-0000-0000-000022060000}"/>
    <cellStyle name="Normal 170" xfId="1080" xr:uid="{00000000-0005-0000-0000-000023060000}"/>
    <cellStyle name="Normal 171" xfId="1081" xr:uid="{00000000-0005-0000-0000-000024060000}"/>
    <cellStyle name="Normal 172" xfId="1082" xr:uid="{00000000-0005-0000-0000-000025060000}"/>
    <cellStyle name="Normal 173" xfId="1083" xr:uid="{00000000-0005-0000-0000-000026060000}"/>
    <cellStyle name="Normal 174" xfId="1084" xr:uid="{00000000-0005-0000-0000-000027060000}"/>
    <cellStyle name="Normal 175" xfId="1085" xr:uid="{00000000-0005-0000-0000-000028060000}"/>
    <cellStyle name="Normal 176" xfId="1086" xr:uid="{00000000-0005-0000-0000-000029060000}"/>
    <cellStyle name="Normal 177" xfId="1087" xr:uid="{00000000-0005-0000-0000-00002A060000}"/>
    <cellStyle name="Normal 178" xfId="1088" xr:uid="{00000000-0005-0000-0000-00002B060000}"/>
    <cellStyle name="Normal 179" xfId="1089" xr:uid="{00000000-0005-0000-0000-00002C060000}"/>
    <cellStyle name="Normal 18" xfId="1090" xr:uid="{00000000-0005-0000-0000-00002D060000}"/>
    <cellStyle name="Normal 18 2" xfId="1091" xr:uid="{00000000-0005-0000-0000-00002E060000}"/>
    <cellStyle name="Normal 18 3" xfId="1092" xr:uid="{00000000-0005-0000-0000-00002F060000}"/>
    <cellStyle name="Normal 180" xfId="1093" xr:uid="{00000000-0005-0000-0000-000030060000}"/>
    <cellStyle name="Normal 181" xfId="1094" xr:uid="{00000000-0005-0000-0000-000031060000}"/>
    <cellStyle name="Normal 182" xfId="1095" xr:uid="{00000000-0005-0000-0000-000032060000}"/>
    <cellStyle name="Normal 183" xfId="1096" xr:uid="{00000000-0005-0000-0000-000033060000}"/>
    <cellStyle name="Normal 184" xfId="1097" xr:uid="{00000000-0005-0000-0000-000034060000}"/>
    <cellStyle name="Normal 185" xfId="1098" xr:uid="{00000000-0005-0000-0000-000035060000}"/>
    <cellStyle name="Normal 186" xfId="1099" xr:uid="{00000000-0005-0000-0000-000036060000}"/>
    <cellStyle name="Normal 187" xfId="1100" xr:uid="{00000000-0005-0000-0000-000037060000}"/>
    <cellStyle name="Normal 188" xfId="1101" xr:uid="{00000000-0005-0000-0000-000038060000}"/>
    <cellStyle name="Normal 189" xfId="1102" xr:uid="{00000000-0005-0000-0000-000039060000}"/>
    <cellStyle name="Normal 19" xfId="1103" xr:uid="{00000000-0005-0000-0000-00003A060000}"/>
    <cellStyle name="Normal 190" xfId="1104" xr:uid="{00000000-0005-0000-0000-00003B060000}"/>
    <cellStyle name="Normal 191" xfId="1105" xr:uid="{00000000-0005-0000-0000-00003C060000}"/>
    <cellStyle name="Normal 192" xfId="1106" xr:uid="{00000000-0005-0000-0000-00003D060000}"/>
    <cellStyle name="Normal 193" xfId="1107" xr:uid="{00000000-0005-0000-0000-00003E060000}"/>
    <cellStyle name="Normal 194" xfId="1108" xr:uid="{00000000-0005-0000-0000-00003F060000}"/>
    <cellStyle name="Normal 195" xfId="1109" xr:uid="{00000000-0005-0000-0000-000040060000}"/>
    <cellStyle name="Normal 196" xfId="1110" xr:uid="{00000000-0005-0000-0000-000041060000}"/>
    <cellStyle name="Normal 197" xfId="1111" xr:uid="{00000000-0005-0000-0000-000042060000}"/>
    <cellStyle name="Normal 198" xfId="1112" xr:uid="{00000000-0005-0000-0000-000043060000}"/>
    <cellStyle name="Normal 199" xfId="1113" xr:uid="{00000000-0005-0000-0000-000044060000}"/>
    <cellStyle name="Normal 2" xfId="1" xr:uid="{00000000-0005-0000-0000-000045060000}"/>
    <cellStyle name="Normal 2 10" xfId="1114" xr:uid="{00000000-0005-0000-0000-000046060000}"/>
    <cellStyle name="Normal 2 11" xfId="1115" xr:uid="{00000000-0005-0000-0000-000047060000}"/>
    <cellStyle name="Normal 2 12" xfId="1116" xr:uid="{00000000-0005-0000-0000-000048060000}"/>
    <cellStyle name="Normal 2 13" xfId="1117" xr:uid="{00000000-0005-0000-0000-000049060000}"/>
    <cellStyle name="Normal 2 14" xfId="1118" xr:uid="{00000000-0005-0000-0000-00004A060000}"/>
    <cellStyle name="Normal 2 15" xfId="1119" xr:uid="{00000000-0005-0000-0000-00004B060000}"/>
    <cellStyle name="Normal 2 16" xfId="1120" xr:uid="{00000000-0005-0000-0000-00004C060000}"/>
    <cellStyle name="Normal 2 17" xfId="1121" xr:uid="{00000000-0005-0000-0000-00004D060000}"/>
    <cellStyle name="Normal 2 18" xfId="1122" xr:uid="{00000000-0005-0000-0000-00004E060000}"/>
    <cellStyle name="Normal 2 19" xfId="1123" xr:uid="{00000000-0005-0000-0000-00004F060000}"/>
    <cellStyle name="Normal 2 2" xfId="1124" xr:uid="{00000000-0005-0000-0000-000050060000}"/>
    <cellStyle name="Normal 2 2 2" xfId="1125" xr:uid="{00000000-0005-0000-0000-000051060000}"/>
    <cellStyle name="Normal 2 2 2 2" xfId="1126" xr:uid="{00000000-0005-0000-0000-000052060000}"/>
    <cellStyle name="Normal 2 2 3" xfId="1127" xr:uid="{00000000-0005-0000-0000-000053060000}"/>
    <cellStyle name="Normal 2 2 4" xfId="1128" xr:uid="{00000000-0005-0000-0000-000054060000}"/>
    <cellStyle name="Normal 2 2 5" xfId="1129" xr:uid="{00000000-0005-0000-0000-000055060000}"/>
    <cellStyle name="Normal 2 2 6" xfId="1130" xr:uid="{00000000-0005-0000-0000-000056060000}"/>
    <cellStyle name="Normal 2 2 7" xfId="1131" xr:uid="{00000000-0005-0000-0000-000057060000}"/>
    <cellStyle name="Normal 2 20" xfId="1132" xr:uid="{00000000-0005-0000-0000-000058060000}"/>
    <cellStyle name="Normal 2 21" xfId="1133" xr:uid="{00000000-0005-0000-0000-000059060000}"/>
    <cellStyle name="Normal 2 22" xfId="1134" xr:uid="{00000000-0005-0000-0000-00005A060000}"/>
    <cellStyle name="Normal 2 23" xfId="1135" xr:uid="{00000000-0005-0000-0000-00005B060000}"/>
    <cellStyle name="Normal 2 24" xfId="1136" xr:uid="{00000000-0005-0000-0000-00005C060000}"/>
    <cellStyle name="Normal 2 25" xfId="1137" xr:uid="{00000000-0005-0000-0000-00005D060000}"/>
    <cellStyle name="Normal 2 26" xfId="1138" xr:uid="{00000000-0005-0000-0000-00005E060000}"/>
    <cellStyle name="Normal 2 27" xfId="1139" xr:uid="{00000000-0005-0000-0000-00005F060000}"/>
    <cellStyle name="Normal 2 28" xfId="1140" xr:uid="{00000000-0005-0000-0000-000060060000}"/>
    <cellStyle name="Normal 2 29" xfId="1141" xr:uid="{00000000-0005-0000-0000-000061060000}"/>
    <cellStyle name="Normal 2 3" xfId="1142" xr:uid="{00000000-0005-0000-0000-000062060000}"/>
    <cellStyle name="Normal 2 3 2" xfId="1143" xr:uid="{00000000-0005-0000-0000-000063060000}"/>
    <cellStyle name="Normal 2 3 2 2 2" xfId="2793" xr:uid="{00000000-0005-0000-0000-000064060000}"/>
    <cellStyle name="Normal 2 3 3" xfId="1144" xr:uid="{00000000-0005-0000-0000-000065060000}"/>
    <cellStyle name="Normal 2 3 4" xfId="1145" xr:uid="{00000000-0005-0000-0000-000066060000}"/>
    <cellStyle name="Normal 2 30" xfId="1146" xr:uid="{00000000-0005-0000-0000-000067060000}"/>
    <cellStyle name="Normal 2 31" xfId="1147" xr:uid="{00000000-0005-0000-0000-000068060000}"/>
    <cellStyle name="Normal 2 32" xfId="1148" xr:uid="{00000000-0005-0000-0000-000069060000}"/>
    <cellStyle name="Normal 2 33" xfId="1149" xr:uid="{00000000-0005-0000-0000-00006A060000}"/>
    <cellStyle name="Normal 2 34" xfId="1150" xr:uid="{00000000-0005-0000-0000-00006B060000}"/>
    <cellStyle name="Normal 2 35" xfId="1151" xr:uid="{00000000-0005-0000-0000-00006C060000}"/>
    <cellStyle name="Normal 2 36" xfId="1152" xr:uid="{00000000-0005-0000-0000-00006D060000}"/>
    <cellStyle name="Normal 2 37" xfId="1153" xr:uid="{00000000-0005-0000-0000-00006E060000}"/>
    <cellStyle name="Normal 2 38" xfId="1154" xr:uid="{00000000-0005-0000-0000-00006F060000}"/>
    <cellStyle name="Normal 2 39" xfId="1155" xr:uid="{00000000-0005-0000-0000-000070060000}"/>
    <cellStyle name="Normal 2 4" xfId="1156" xr:uid="{00000000-0005-0000-0000-000071060000}"/>
    <cellStyle name="Normal 2 4 2" xfId="1157" xr:uid="{00000000-0005-0000-0000-000072060000}"/>
    <cellStyle name="Normal 2 4 3" xfId="1158" xr:uid="{00000000-0005-0000-0000-000073060000}"/>
    <cellStyle name="Normal 2 40" xfId="1159" xr:uid="{00000000-0005-0000-0000-000074060000}"/>
    <cellStyle name="Normal 2 41" xfId="1160" xr:uid="{00000000-0005-0000-0000-000075060000}"/>
    <cellStyle name="Normal 2 42" xfId="1161" xr:uid="{00000000-0005-0000-0000-000076060000}"/>
    <cellStyle name="Normal 2 43" xfId="1162" xr:uid="{00000000-0005-0000-0000-000077060000}"/>
    <cellStyle name="Normal 2 44" xfId="1163" xr:uid="{00000000-0005-0000-0000-000078060000}"/>
    <cellStyle name="Normal 2 45" xfId="1164" xr:uid="{00000000-0005-0000-0000-000079060000}"/>
    <cellStyle name="Normal 2 46" xfId="1165" xr:uid="{00000000-0005-0000-0000-00007A060000}"/>
    <cellStyle name="Normal 2 47" xfId="1166" xr:uid="{00000000-0005-0000-0000-00007B060000}"/>
    <cellStyle name="Normal 2 48" xfId="1167" xr:uid="{00000000-0005-0000-0000-00007C060000}"/>
    <cellStyle name="Normal 2 49" xfId="1168" xr:uid="{00000000-0005-0000-0000-00007D060000}"/>
    <cellStyle name="Normal 2 5" xfId="1169" xr:uid="{00000000-0005-0000-0000-00007E060000}"/>
    <cellStyle name="Normal 2 5 2" xfId="1170" xr:uid="{00000000-0005-0000-0000-00007F060000}"/>
    <cellStyle name="Normal 2 50" xfId="1171" xr:uid="{00000000-0005-0000-0000-000080060000}"/>
    <cellStyle name="Normal 2 51" xfId="1172" xr:uid="{00000000-0005-0000-0000-000081060000}"/>
    <cellStyle name="Normal 2 52" xfId="1173" xr:uid="{00000000-0005-0000-0000-000082060000}"/>
    <cellStyle name="Normal 2 53" xfId="1174" xr:uid="{00000000-0005-0000-0000-000083060000}"/>
    <cellStyle name="Normal 2 54" xfId="1175" xr:uid="{00000000-0005-0000-0000-000084060000}"/>
    <cellStyle name="Normal 2 55" xfId="1176" xr:uid="{00000000-0005-0000-0000-000085060000}"/>
    <cellStyle name="Normal 2 56" xfId="1177" xr:uid="{00000000-0005-0000-0000-000086060000}"/>
    <cellStyle name="Normal 2 57" xfId="1178" xr:uid="{00000000-0005-0000-0000-000087060000}"/>
    <cellStyle name="Normal 2 58" xfId="1179" xr:uid="{00000000-0005-0000-0000-000088060000}"/>
    <cellStyle name="Normal 2 59" xfId="1180" xr:uid="{00000000-0005-0000-0000-000089060000}"/>
    <cellStyle name="Normal 2 6" xfId="1181" xr:uid="{00000000-0005-0000-0000-00008A060000}"/>
    <cellStyle name="Normal 2 6 2" xfId="1182" xr:uid="{00000000-0005-0000-0000-00008B060000}"/>
    <cellStyle name="Normal 2 60" xfId="1183" xr:uid="{00000000-0005-0000-0000-00008C060000}"/>
    <cellStyle name="Normal 2 61" xfId="1184" xr:uid="{00000000-0005-0000-0000-00008D060000}"/>
    <cellStyle name="Normal 2 62" xfId="1185" xr:uid="{00000000-0005-0000-0000-00008E060000}"/>
    <cellStyle name="Normal 2 7" xfId="1186" xr:uid="{00000000-0005-0000-0000-00008F060000}"/>
    <cellStyle name="Normal 2 7 2" xfId="1187" xr:uid="{00000000-0005-0000-0000-000090060000}"/>
    <cellStyle name="Normal 2 8" xfId="1188" xr:uid="{00000000-0005-0000-0000-000091060000}"/>
    <cellStyle name="Normal 2 9" xfId="1189" xr:uid="{00000000-0005-0000-0000-000092060000}"/>
    <cellStyle name="Normal 2_BP- OM-SPV 280KT-vers1 (09042010)" xfId="1190" xr:uid="{00000000-0005-0000-0000-000093060000}"/>
    <cellStyle name="Normal 20" xfId="1191" xr:uid="{00000000-0005-0000-0000-000094060000}"/>
    <cellStyle name="Normal 200" xfId="1192" xr:uid="{00000000-0005-0000-0000-000095060000}"/>
    <cellStyle name="Normal 201" xfId="1193" xr:uid="{00000000-0005-0000-0000-000096060000}"/>
    <cellStyle name="Normal 202" xfId="1194" xr:uid="{00000000-0005-0000-0000-000097060000}"/>
    <cellStyle name="Normal 203" xfId="1195" xr:uid="{00000000-0005-0000-0000-000098060000}"/>
    <cellStyle name="Normal 204" xfId="1196" xr:uid="{00000000-0005-0000-0000-000099060000}"/>
    <cellStyle name="Normal 205" xfId="1197" xr:uid="{00000000-0005-0000-0000-00009A060000}"/>
    <cellStyle name="Normal 206" xfId="1198" xr:uid="{00000000-0005-0000-0000-00009B060000}"/>
    <cellStyle name="Normal 207" xfId="1199" xr:uid="{00000000-0005-0000-0000-00009C060000}"/>
    <cellStyle name="Normal 208" xfId="1200" xr:uid="{00000000-0005-0000-0000-00009D060000}"/>
    <cellStyle name="Normal 209" xfId="1201" xr:uid="{00000000-0005-0000-0000-00009E060000}"/>
    <cellStyle name="Normal 21" xfId="1202" xr:uid="{00000000-0005-0000-0000-00009F060000}"/>
    <cellStyle name="Normal 210" xfId="1203" xr:uid="{00000000-0005-0000-0000-0000A0060000}"/>
    <cellStyle name="Normal 211" xfId="1204" xr:uid="{00000000-0005-0000-0000-0000A1060000}"/>
    <cellStyle name="Normal 212" xfId="1205" xr:uid="{00000000-0005-0000-0000-0000A2060000}"/>
    <cellStyle name="Normal 213" xfId="1206" xr:uid="{00000000-0005-0000-0000-0000A3060000}"/>
    <cellStyle name="Normal 214" xfId="1207" xr:uid="{00000000-0005-0000-0000-0000A4060000}"/>
    <cellStyle name="Normal 215" xfId="1208" xr:uid="{00000000-0005-0000-0000-0000A5060000}"/>
    <cellStyle name="Normal 216" xfId="1209" xr:uid="{00000000-0005-0000-0000-0000A6060000}"/>
    <cellStyle name="Normal 217" xfId="1210" xr:uid="{00000000-0005-0000-0000-0000A7060000}"/>
    <cellStyle name="Normal 218" xfId="1211" xr:uid="{00000000-0005-0000-0000-0000A8060000}"/>
    <cellStyle name="Normal 219" xfId="1212" xr:uid="{00000000-0005-0000-0000-0000A9060000}"/>
    <cellStyle name="Normal 22" xfId="1213" xr:uid="{00000000-0005-0000-0000-0000AA060000}"/>
    <cellStyle name="Normal 220" xfId="1214" xr:uid="{00000000-0005-0000-0000-0000AB060000}"/>
    <cellStyle name="Normal 221" xfId="1215" xr:uid="{00000000-0005-0000-0000-0000AC060000}"/>
    <cellStyle name="Normal 222" xfId="1216" xr:uid="{00000000-0005-0000-0000-0000AD060000}"/>
    <cellStyle name="Normal 223" xfId="1217" xr:uid="{00000000-0005-0000-0000-0000AE060000}"/>
    <cellStyle name="Normal 224" xfId="1218" xr:uid="{00000000-0005-0000-0000-0000AF060000}"/>
    <cellStyle name="Normal 225" xfId="1219" xr:uid="{00000000-0005-0000-0000-0000B0060000}"/>
    <cellStyle name="Normal 226" xfId="1220" xr:uid="{00000000-0005-0000-0000-0000B1060000}"/>
    <cellStyle name="Normal 227" xfId="1221" xr:uid="{00000000-0005-0000-0000-0000B2060000}"/>
    <cellStyle name="Normal 228" xfId="1222" xr:uid="{00000000-0005-0000-0000-0000B3060000}"/>
    <cellStyle name="Normal 229" xfId="1223" xr:uid="{00000000-0005-0000-0000-0000B4060000}"/>
    <cellStyle name="Normal 23" xfId="1224" xr:uid="{00000000-0005-0000-0000-0000B5060000}"/>
    <cellStyle name="Normal 23 2" xfId="1225" xr:uid="{00000000-0005-0000-0000-0000B6060000}"/>
    <cellStyle name="Normal 230" xfId="1226" xr:uid="{00000000-0005-0000-0000-0000B7060000}"/>
    <cellStyle name="Normal 231" xfId="1227" xr:uid="{00000000-0005-0000-0000-0000B8060000}"/>
    <cellStyle name="Normal 232" xfId="1228" xr:uid="{00000000-0005-0000-0000-0000B9060000}"/>
    <cellStyle name="Normal 233" xfId="1229" xr:uid="{00000000-0005-0000-0000-0000BA060000}"/>
    <cellStyle name="Normal 234" xfId="1230" xr:uid="{00000000-0005-0000-0000-0000BB060000}"/>
    <cellStyle name="Normal 235" xfId="1231" xr:uid="{00000000-0005-0000-0000-0000BC060000}"/>
    <cellStyle name="Normal 236" xfId="1232" xr:uid="{00000000-0005-0000-0000-0000BD060000}"/>
    <cellStyle name="Normal 237" xfId="1233" xr:uid="{00000000-0005-0000-0000-0000BE060000}"/>
    <cellStyle name="Normal 238" xfId="1234" xr:uid="{00000000-0005-0000-0000-0000BF060000}"/>
    <cellStyle name="Normal 239" xfId="1235" xr:uid="{00000000-0005-0000-0000-0000C0060000}"/>
    <cellStyle name="Normal 24" xfId="1236" xr:uid="{00000000-0005-0000-0000-0000C1060000}"/>
    <cellStyle name="Normal 24 2" xfId="1237" xr:uid="{00000000-0005-0000-0000-0000C2060000}"/>
    <cellStyle name="Normal 240" xfId="1238" xr:uid="{00000000-0005-0000-0000-0000C3060000}"/>
    <cellStyle name="Normal 241" xfId="1239" xr:uid="{00000000-0005-0000-0000-0000C4060000}"/>
    <cellStyle name="Normal 242" xfId="1240" xr:uid="{00000000-0005-0000-0000-0000C5060000}"/>
    <cellStyle name="Normal 243" xfId="1241" xr:uid="{00000000-0005-0000-0000-0000C6060000}"/>
    <cellStyle name="Normal 244" xfId="1242" xr:uid="{00000000-0005-0000-0000-0000C7060000}"/>
    <cellStyle name="Normal 245" xfId="1243" xr:uid="{00000000-0005-0000-0000-0000C8060000}"/>
    <cellStyle name="Normal 246" xfId="1244" xr:uid="{00000000-0005-0000-0000-0000C9060000}"/>
    <cellStyle name="Normal 247" xfId="1245" xr:uid="{00000000-0005-0000-0000-0000CA060000}"/>
    <cellStyle name="Normal 248" xfId="1246" xr:uid="{00000000-0005-0000-0000-0000CB060000}"/>
    <cellStyle name="Normal 249" xfId="1247" xr:uid="{00000000-0005-0000-0000-0000CC060000}"/>
    <cellStyle name="Normal 25" xfId="1248" xr:uid="{00000000-0005-0000-0000-0000CD060000}"/>
    <cellStyle name="Normal 25 2" xfId="8" xr:uid="{00000000-0005-0000-0000-0000CE060000}"/>
    <cellStyle name="Normal 250" xfId="1249" xr:uid="{00000000-0005-0000-0000-0000CF060000}"/>
    <cellStyle name="Normal 251" xfId="1250" xr:uid="{00000000-0005-0000-0000-0000D0060000}"/>
    <cellStyle name="Normal 252" xfId="1251" xr:uid="{00000000-0005-0000-0000-0000D1060000}"/>
    <cellStyle name="Normal 253" xfId="1252" xr:uid="{00000000-0005-0000-0000-0000D2060000}"/>
    <cellStyle name="Normal 254" xfId="1253" xr:uid="{00000000-0005-0000-0000-0000D3060000}"/>
    <cellStyle name="Normal 255" xfId="1254" xr:uid="{00000000-0005-0000-0000-0000D4060000}"/>
    <cellStyle name="Normal 256" xfId="1255" xr:uid="{00000000-0005-0000-0000-0000D5060000}"/>
    <cellStyle name="Normal 257" xfId="1256" xr:uid="{00000000-0005-0000-0000-0000D6060000}"/>
    <cellStyle name="Normal 257 2" xfId="1257" xr:uid="{00000000-0005-0000-0000-0000D7060000}"/>
    <cellStyle name="Normal 257 3" xfId="1258" xr:uid="{00000000-0005-0000-0000-0000D8060000}"/>
    <cellStyle name="Normal 258" xfId="1259" xr:uid="{00000000-0005-0000-0000-0000D9060000}"/>
    <cellStyle name="Normal 258 2" xfId="1260" xr:uid="{00000000-0005-0000-0000-0000DA060000}"/>
    <cellStyle name="Normal 259" xfId="1261" xr:uid="{00000000-0005-0000-0000-0000DB060000}"/>
    <cellStyle name="Normal 26" xfId="1262" xr:uid="{00000000-0005-0000-0000-0000DC060000}"/>
    <cellStyle name="Normal 260" xfId="1263" xr:uid="{00000000-0005-0000-0000-0000DD060000}"/>
    <cellStyle name="Normal 261" xfId="14" xr:uid="{00000000-0005-0000-0000-0000DE060000}"/>
    <cellStyle name="Normal 261 2" xfId="1264" xr:uid="{00000000-0005-0000-0000-0000DF060000}"/>
    <cellStyle name="Normal 262" xfId="1265" xr:uid="{00000000-0005-0000-0000-0000E0060000}"/>
    <cellStyle name="Normal 263" xfId="1266" xr:uid="{00000000-0005-0000-0000-0000E1060000}"/>
    <cellStyle name="Normal 264" xfId="1267" xr:uid="{00000000-0005-0000-0000-0000E2060000}"/>
    <cellStyle name="Normal 265" xfId="1268" xr:uid="{00000000-0005-0000-0000-0000E3060000}"/>
    <cellStyle name="Normal 266" xfId="1269" xr:uid="{00000000-0005-0000-0000-0000E4060000}"/>
    <cellStyle name="Normal 267" xfId="1270" xr:uid="{00000000-0005-0000-0000-0000E5060000}"/>
    <cellStyle name="Normal 268" xfId="1271" xr:uid="{00000000-0005-0000-0000-0000E6060000}"/>
    <cellStyle name="Normal 269" xfId="1272" xr:uid="{00000000-0005-0000-0000-0000E7060000}"/>
    <cellStyle name="Normal 27" xfId="1273" xr:uid="{00000000-0005-0000-0000-0000E8060000}"/>
    <cellStyle name="Normal 27 2" xfId="1274" xr:uid="{00000000-0005-0000-0000-0000E9060000}"/>
    <cellStyle name="Normal 270" xfId="1275" xr:uid="{00000000-0005-0000-0000-0000EA060000}"/>
    <cellStyle name="Normal 271" xfId="1276" xr:uid="{00000000-0005-0000-0000-0000EB060000}"/>
    <cellStyle name="Normal 272" xfId="1277" xr:uid="{00000000-0005-0000-0000-0000EC060000}"/>
    <cellStyle name="Normal 273" xfId="2788" xr:uid="{00000000-0005-0000-0000-0000ED060000}"/>
    <cellStyle name="Normal 273 2" xfId="2791" xr:uid="{00000000-0005-0000-0000-0000EE060000}"/>
    <cellStyle name="Normal 274" xfId="2789" xr:uid="{00000000-0005-0000-0000-0000EF060000}"/>
    <cellStyle name="Normal 275" xfId="2790" xr:uid="{00000000-0005-0000-0000-0000F0060000}"/>
    <cellStyle name="Normal 276" xfId="2792" xr:uid="{00000000-0005-0000-0000-0000F1060000}"/>
    <cellStyle name="Normal 28" xfId="1278" xr:uid="{00000000-0005-0000-0000-0000F2060000}"/>
    <cellStyle name="Normal 28 2" xfId="1279" xr:uid="{00000000-0005-0000-0000-0000F3060000}"/>
    <cellStyle name="Normal 29" xfId="1280" xr:uid="{00000000-0005-0000-0000-0000F4060000}"/>
    <cellStyle name="Normal 29 2" xfId="1281" xr:uid="{00000000-0005-0000-0000-0000F5060000}"/>
    <cellStyle name="Normal 3" xfId="1282" xr:uid="{00000000-0005-0000-0000-0000F6060000}"/>
    <cellStyle name="Normal 3 2" xfId="1283" xr:uid="{00000000-0005-0000-0000-0000F7060000}"/>
    <cellStyle name="Normal 3 2 2" xfId="20" xr:uid="{00000000-0005-0000-0000-0000F8060000}"/>
    <cellStyle name="Normal 3 3" xfId="1284" xr:uid="{00000000-0005-0000-0000-0000F9060000}"/>
    <cellStyle name="Normal 3 4" xfId="1285" xr:uid="{00000000-0005-0000-0000-0000FA060000}"/>
    <cellStyle name="Normal 3 5" xfId="1286" xr:uid="{00000000-0005-0000-0000-0000FB060000}"/>
    <cellStyle name="Normal 3 6" xfId="1287" xr:uid="{00000000-0005-0000-0000-0000FC060000}"/>
    <cellStyle name="Normal 3 7" xfId="1288" xr:uid="{00000000-0005-0000-0000-0000FD060000}"/>
    <cellStyle name="Normal 3 8" xfId="1289" xr:uid="{00000000-0005-0000-0000-0000FE060000}"/>
    <cellStyle name="Normal 30" xfId="1290" xr:uid="{00000000-0005-0000-0000-0000FF060000}"/>
    <cellStyle name="Normal 30 2" xfId="1291" xr:uid="{00000000-0005-0000-0000-000000070000}"/>
    <cellStyle name="Normal 31" xfId="1292" xr:uid="{00000000-0005-0000-0000-000001070000}"/>
    <cellStyle name="Normal 32" xfId="1293" xr:uid="{00000000-0005-0000-0000-000002070000}"/>
    <cellStyle name="Normal 33" xfId="1294" xr:uid="{00000000-0005-0000-0000-000003070000}"/>
    <cellStyle name="Normal 33 2" xfId="1295" xr:uid="{00000000-0005-0000-0000-000004070000}"/>
    <cellStyle name="Normal 34" xfId="1296" xr:uid="{00000000-0005-0000-0000-000005070000}"/>
    <cellStyle name="Normal 34 2" xfId="1297" xr:uid="{00000000-0005-0000-0000-000006070000}"/>
    <cellStyle name="Normal 35" xfId="1298" xr:uid="{00000000-0005-0000-0000-000007070000}"/>
    <cellStyle name="Normal 35 2" xfId="1299" xr:uid="{00000000-0005-0000-0000-000008070000}"/>
    <cellStyle name="Normal 36" xfId="1300" xr:uid="{00000000-0005-0000-0000-000009070000}"/>
    <cellStyle name="Normal 36 2" xfId="1301" xr:uid="{00000000-0005-0000-0000-00000A070000}"/>
    <cellStyle name="Normal 37" xfId="1302" xr:uid="{00000000-0005-0000-0000-00000B070000}"/>
    <cellStyle name="Normal 37 2" xfId="1303" xr:uid="{00000000-0005-0000-0000-00000C070000}"/>
    <cellStyle name="Normal 38" xfId="1304" xr:uid="{00000000-0005-0000-0000-00000D070000}"/>
    <cellStyle name="Normal 38 2" xfId="1305" xr:uid="{00000000-0005-0000-0000-00000E070000}"/>
    <cellStyle name="Normal 39" xfId="1306" xr:uid="{00000000-0005-0000-0000-00000F070000}"/>
    <cellStyle name="Normal 4" xfId="1307" xr:uid="{00000000-0005-0000-0000-000010070000}"/>
    <cellStyle name="Normal 4 10" xfId="1308" xr:uid="{00000000-0005-0000-0000-000011070000}"/>
    <cellStyle name="Normal 4 11" xfId="1309" xr:uid="{00000000-0005-0000-0000-000012070000}"/>
    <cellStyle name="Normal 4 12" xfId="1310" xr:uid="{00000000-0005-0000-0000-000013070000}"/>
    <cellStyle name="Normal 4 13" xfId="1311" xr:uid="{00000000-0005-0000-0000-000014070000}"/>
    <cellStyle name="Normal 4 14" xfId="1312" xr:uid="{00000000-0005-0000-0000-000015070000}"/>
    <cellStyle name="Normal 4 15" xfId="1313" xr:uid="{00000000-0005-0000-0000-000016070000}"/>
    <cellStyle name="Normal 4 16" xfId="1314" xr:uid="{00000000-0005-0000-0000-000017070000}"/>
    <cellStyle name="Normal 4 17" xfId="1315" xr:uid="{00000000-0005-0000-0000-000018070000}"/>
    <cellStyle name="Normal 4 18" xfId="1316" xr:uid="{00000000-0005-0000-0000-000019070000}"/>
    <cellStyle name="Normal 4 19" xfId="1317" xr:uid="{00000000-0005-0000-0000-00001A070000}"/>
    <cellStyle name="Normal 4 2" xfId="1318" xr:uid="{00000000-0005-0000-0000-00001B070000}"/>
    <cellStyle name="Normal 4 2 2" xfId="1319" xr:uid="{00000000-0005-0000-0000-00001C070000}"/>
    <cellStyle name="Normal 4 20" xfId="1320" xr:uid="{00000000-0005-0000-0000-00001D070000}"/>
    <cellStyle name="Normal 4 21" xfId="1321" xr:uid="{00000000-0005-0000-0000-00001E070000}"/>
    <cellStyle name="Normal 4 22" xfId="1322" xr:uid="{00000000-0005-0000-0000-00001F070000}"/>
    <cellStyle name="Normal 4 23" xfId="1323" xr:uid="{00000000-0005-0000-0000-000020070000}"/>
    <cellStyle name="Normal 4 24" xfId="1324" xr:uid="{00000000-0005-0000-0000-000021070000}"/>
    <cellStyle name="Normal 4 25" xfId="1325" xr:uid="{00000000-0005-0000-0000-000022070000}"/>
    <cellStyle name="Normal 4 26" xfId="1326" xr:uid="{00000000-0005-0000-0000-000023070000}"/>
    <cellStyle name="Normal 4 27" xfId="1327" xr:uid="{00000000-0005-0000-0000-000024070000}"/>
    <cellStyle name="Normal 4 28" xfId="1328" xr:uid="{00000000-0005-0000-0000-000025070000}"/>
    <cellStyle name="Normal 4 29" xfId="1329" xr:uid="{00000000-0005-0000-0000-000026070000}"/>
    <cellStyle name="Normal 4 3" xfId="1330" xr:uid="{00000000-0005-0000-0000-000027070000}"/>
    <cellStyle name="Normal 4 30" xfId="1331" xr:uid="{00000000-0005-0000-0000-000028070000}"/>
    <cellStyle name="Normal 4 31" xfId="1332" xr:uid="{00000000-0005-0000-0000-000029070000}"/>
    <cellStyle name="Normal 4 32" xfId="1333" xr:uid="{00000000-0005-0000-0000-00002A070000}"/>
    <cellStyle name="Normal 4 33" xfId="1334" xr:uid="{00000000-0005-0000-0000-00002B070000}"/>
    <cellStyle name="Normal 4 34" xfId="1335" xr:uid="{00000000-0005-0000-0000-00002C070000}"/>
    <cellStyle name="Normal 4 35" xfId="1336" xr:uid="{00000000-0005-0000-0000-00002D070000}"/>
    <cellStyle name="Normal 4 36" xfId="1337" xr:uid="{00000000-0005-0000-0000-00002E070000}"/>
    <cellStyle name="Normal 4 37" xfId="1338" xr:uid="{00000000-0005-0000-0000-00002F070000}"/>
    <cellStyle name="Normal 4 38" xfId="1339" xr:uid="{00000000-0005-0000-0000-000030070000}"/>
    <cellStyle name="Normal 4 39" xfId="1340" xr:uid="{00000000-0005-0000-0000-000031070000}"/>
    <cellStyle name="Normal 4 4" xfId="1341" xr:uid="{00000000-0005-0000-0000-000032070000}"/>
    <cellStyle name="Normal 4 40" xfId="1342" xr:uid="{00000000-0005-0000-0000-000033070000}"/>
    <cellStyle name="Normal 4 41" xfId="1343" xr:uid="{00000000-0005-0000-0000-000034070000}"/>
    <cellStyle name="Normal 4 42" xfId="1344" xr:uid="{00000000-0005-0000-0000-000035070000}"/>
    <cellStyle name="Normal 4 43" xfId="1345" xr:uid="{00000000-0005-0000-0000-000036070000}"/>
    <cellStyle name="Normal 4 44" xfId="1346" xr:uid="{00000000-0005-0000-0000-000037070000}"/>
    <cellStyle name="Normal 4 45" xfId="1347" xr:uid="{00000000-0005-0000-0000-000038070000}"/>
    <cellStyle name="Normal 4 46" xfId="1348" xr:uid="{00000000-0005-0000-0000-000039070000}"/>
    <cellStyle name="Normal 4 47" xfId="1349" xr:uid="{00000000-0005-0000-0000-00003A070000}"/>
    <cellStyle name="Normal 4 48" xfId="1350" xr:uid="{00000000-0005-0000-0000-00003B070000}"/>
    <cellStyle name="Normal 4 49" xfId="1351" xr:uid="{00000000-0005-0000-0000-00003C070000}"/>
    <cellStyle name="Normal 4 5" xfId="1352" xr:uid="{00000000-0005-0000-0000-00003D070000}"/>
    <cellStyle name="Normal 4 50" xfId="1353" xr:uid="{00000000-0005-0000-0000-00003E070000}"/>
    <cellStyle name="Normal 4 51" xfId="1354" xr:uid="{00000000-0005-0000-0000-00003F070000}"/>
    <cellStyle name="Normal 4 52" xfId="1355" xr:uid="{00000000-0005-0000-0000-000040070000}"/>
    <cellStyle name="Normal 4 53" xfId="1356" xr:uid="{00000000-0005-0000-0000-000041070000}"/>
    <cellStyle name="Normal 4 54" xfId="1357" xr:uid="{00000000-0005-0000-0000-000042070000}"/>
    <cellStyle name="Normal 4 55" xfId="1358" xr:uid="{00000000-0005-0000-0000-000043070000}"/>
    <cellStyle name="Normal 4 56" xfId="1359" xr:uid="{00000000-0005-0000-0000-000044070000}"/>
    <cellStyle name="Normal 4 57" xfId="1360" xr:uid="{00000000-0005-0000-0000-000045070000}"/>
    <cellStyle name="Normal 4 58" xfId="1361" xr:uid="{00000000-0005-0000-0000-000046070000}"/>
    <cellStyle name="Normal 4 59" xfId="1362" xr:uid="{00000000-0005-0000-0000-000047070000}"/>
    <cellStyle name="Normal 4 6" xfId="1363" xr:uid="{00000000-0005-0000-0000-000048070000}"/>
    <cellStyle name="Normal 4 60" xfId="1364" xr:uid="{00000000-0005-0000-0000-000049070000}"/>
    <cellStyle name="Normal 4 61" xfId="1365" xr:uid="{00000000-0005-0000-0000-00004A070000}"/>
    <cellStyle name="Normal 4 62" xfId="1366" xr:uid="{00000000-0005-0000-0000-00004B070000}"/>
    <cellStyle name="Normal 4 63" xfId="1367" xr:uid="{00000000-0005-0000-0000-00004C070000}"/>
    <cellStyle name="Normal 4 64" xfId="1368" xr:uid="{00000000-0005-0000-0000-00004D070000}"/>
    <cellStyle name="Normal 4 65" xfId="1369" xr:uid="{00000000-0005-0000-0000-00004E070000}"/>
    <cellStyle name="Normal 4 66" xfId="1370" xr:uid="{00000000-0005-0000-0000-00004F070000}"/>
    <cellStyle name="Normal 4 67" xfId="1371" xr:uid="{00000000-0005-0000-0000-000050070000}"/>
    <cellStyle name="Normal 4 68" xfId="1372" xr:uid="{00000000-0005-0000-0000-000051070000}"/>
    <cellStyle name="Normal 4 69" xfId="1373" xr:uid="{00000000-0005-0000-0000-000052070000}"/>
    <cellStyle name="Normal 4 7" xfId="1374" xr:uid="{00000000-0005-0000-0000-000053070000}"/>
    <cellStyle name="Normal 4 70" xfId="1375" xr:uid="{00000000-0005-0000-0000-000054070000}"/>
    <cellStyle name="Normal 4 71" xfId="1376" xr:uid="{00000000-0005-0000-0000-000055070000}"/>
    <cellStyle name="Normal 4 72" xfId="1377" xr:uid="{00000000-0005-0000-0000-000056070000}"/>
    <cellStyle name="Normal 4 73" xfId="1378" xr:uid="{00000000-0005-0000-0000-000057070000}"/>
    <cellStyle name="Normal 4 8" xfId="1379" xr:uid="{00000000-0005-0000-0000-000058070000}"/>
    <cellStyle name="Normal 4 9" xfId="1380" xr:uid="{00000000-0005-0000-0000-000059070000}"/>
    <cellStyle name="Normal 40" xfId="1381" xr:uid="{00000000-0005-0000-0000-00005A070000}"/>
    <cellStyle name="Normal 41" xfId="1382" xr:uid="{00000000-0005-0000-0000-00005B070000}"/>
    <cellStyle name="Normal 42" xfId="1383" xr:uid="{00000000-0005-0000-0000-00005C070000}"/>
    <cellStyle name="Normal 43" xfId="1384" xr:uid="{00000000-0005-0000-0000-00005D070000}"/>
    <cellStyle name="Normal 44" xfId="1385" xr:uid="{00000000-0005-0000-0000-00005E070000}"/>
    <cellStyle name="Normal 45" xfId="1386" xr:uid="{00000000-0005-0000-0000-00005F070000}"/>
    <cellStyle name="Normal 46" xfId="1387" xr:uid="{00000000-0005-0000-0000-000060070000}"/>
    <cellStyle name="Normal 47" xfId="1388" xr:uid="{00000000-0005-0000-0000-000061070000}"/>
    <cellStyle name="Normal 48" xfId="1389" xr:uid="{00000000-0005-0000-0000-000062070000}"/>
    <cellStyle name="Normal 49" xfId="1390" xr:uid="{00000000-0005-0000-0000-000063070000}"/>
    <cellStyle name="Normal 5" xfId="1391" xr:uid="{00000000-0005-0000-0000-000064070000}"/>
    <cellStyle name="Normal 5 10" xfId="1392" xr:uid="{00000000-0005-0000-0000-000065070000}"/>
    <cellStyle name="Normal 5 100" xfId="1393" xr:uid="{00000000-0005-0000-0000-000066070000}"/>
    <cellStyle name="Normal 5 101" xfId="1394" xr:uid="{00000000-0005-0000-0000-000067070000}"/>
    <cellStyle name="Normal 5 102" xfId="1395" xr:uid="{00000000-0005-0000-0000-000068070000}"/>
    <cellStyle name="Normal 5 103" xfId="1396" xr:uid="{00000000-0005-0000-0000-000069070000}"/>
    <cellStyle name="Normal 5 104" xfId="1397" xr:uid="{00000000-0005-0000-0000-00006A070000}"/>
    <cellStyle name="Normal 5 105" xfId="1398" xr:uid="{00000000-0005-0000-0000-00006B070000}"/>
    <cellStyle name="Normal 5 106" xfId="1399" xr:uid="{00000000-0005-0000-0000-00006C070000}"/>
    <cellStyle name="Normal 5 107" xfId="1400" xr:uid="{00000000-0005-0000-0000-00006D070000}"/>
    <cellStyle name="Normal 5 108" xfId="1401" xr:uid="{00000000-0005-0000-0000-00006E070000}"/>
    <cellStyle name="Normal 5 109" xfId="1402" xr:uid="{00000000-0005-0000-0000-00006F070000}"/>
    <cellStyle name="Normal 5 11" xfId="1403" xr:uid="{00000000-0005-0000-0000-000070070000}"/>
    <cellStyle name="Normal 5 110" xfId="1404" xr:uid="{00000000-0005-0000-0000-000071070000}"/>
    <cellStyle name="Normal 5 111" xfId="1405" xr:uid="{00000000-0005-0000-0000-000072070000}"/>
    <cellStyle name="Normal 5 112" xfId="1406" xr:uid="{00000000-0005-0000-0000-000073070000}"/>
    <cellStyle name="Normal 5 113" xfId="1407" xr:uid="{00000000-0005-0000-0000-000074070000}"/>
    <cellStyle name="Normal 5 114" xfId="1408" xr:uid="{00000000-0005-0000-0000-000075070000}"/>
    <cellStyle name="Normal 5 115" xfId="1409" xr:uid="{00000000-0005-0000-0000-000076070000}"/>
    <cellStyle name="Normal 5 116" xfId="1410" xr:uid="{00000000-0005-0000-0000-000077070000}"/>
    <cellStyle name="Normal 5 117" xfId="1411" xr:uid="{00000000-0005-0000-0000-000078070000}"/>
    <cellStyle name="Normal 5 118" xfId="1412" xr:uid="{00000000-0005-0000-0000-000079070000}"/>
    <cellStyle name="Normal 5 119" xfId="1413" xr:uid="{00000000-0005-0000-0000-00007A070000}"/>
    <cellStyle name="Normal 5 12" xfId="1414" xr:uid="{00000000-0005-0000-0000-00007B070000}"/>
    <cellStyle name="Normal 5 120" xfId="1415" xr:uid="{00000000-0005-0000-0000-00007C070000}"/>
    <cellStyle name="Normal 5 121" xfId="1416" xr:uid="{00000000-0005-0000-0000-00007D070000}"/>
    <cellStyle name="Normal 5 122" xfId="1417" xr:uid="{00000000-0005-0000-0000-00007E070000}"/>
    <cellStyle name="Normal 5 123" xfId="1418" xr:uid="{00000000-0005-0000-0000-00007F070000}"/>
    <cellStyle name="Normal 5 13" xfId="1419" xr:uid="{00000000-0005-0000-0000-000080070000}"/>
    <cellStyle name="Normal 5 14" xfId="1420" xr:uid="{00000000-0005-0000-0000-000081070000}"/>
    <cellStyle name="Normal 5 15" xfId="1421" xr:uid="{00000000-0005-0000-0000-000082070000}"/>
    <cellStyle name="Normal 5 16" xfId="1422" xr:uid="{00000000-0005-0000-0000-000083070000}"/>
    <cellStyle name="Normal 5 17" xfId="1423" xr:uid="{00000000-0005-0000-0000-000084070000}"/>
    <cellStyle name="Normal 5 18" xfId="1424" xr:uid="{00000000-0005-0000-0000-000085070000}"/>
    <cellStyle name="Normal 5 19" xfId="1425" xr:uid="{00000000-0005-0000-0000-000086070000}"/>
    <cellStyle name="Normal 5 2" xfId="1426" xr:uid="{00000000-0005-0000-0000-000087070000}"/>
    <cellStyle name="Normal 5 2 2" xfId="1427" xr:uid="{00000000-0005-0000-0000-000088070000}"/>
    <cellStyle name="Normal 5 20" xfId="1428" xr:uid="{00000000-0005-0000-0000-000089070000}"/>
    <cellStyle name="Normal 5 21" xfId="1429" xr:uid="{00000000-0005-0000-0000-00008A070000}"/>
    <cellStyle name="Normal 5 22" xfId="1430" xr:uid="{00000000-0005-0000-0000-00008B070000}"/>
    <cellStyle name="Normal 5 23" xfId="1431" xr:uid="{00000000-0005-0000-0000-00008C070000}"/>
    <cellStyle name="Normal 5 24" xfId="1432" xr:uid="{00000000-0005-0000-0000-00008D070000}"/>
    <cellStyle name="Normal 5 25" xfId="1433" xr:uid="{00000000-0005-0000-0000-00008E070000}"/>
    <cellStyle name="Normal 5 26" xfId="1434" xr:uid="{00000000-0005-0000-0000-00008F070000}"/>
    <cellStyle name="Normal 5 27" xfId="1435" xr:uid="{00000000-0005-0000-0000-000090070000}"/>
    <cellStyle name="Normal 5 28" xfId="1436" xr:uid="{00000000-0005-0000-0000-000091070000}"/>
    <cellStyle name="Normal 5 29" xfId="1437" xr:uid="{00000000-0005-0000-0000-000092070000}"/>
    <cellStyle name="Normal 5 3" xfId="1438" xr:uid="{00000000-0005-0000-0000-000093070000}"/>
    <cellStyle name="Normal 5 3 2" xfId="1439" xr:uid="{00000000-0005-0000-0000-000094070000}"/>
    <cellStyle name="Normal 5 30" xfId="1440" xr:uid="{00000000-0005-0000-0000-000095070000}"/>
    <cellStyle name="Normal 5 31" xfId="1441" xr:uid="{00000000-0005-0000-0000-000096070000}"/>
    <cellStyle name="Normal 5 32" xfId="1442" xr:uid="{00000000-0005-0000-0000-000097070000}"/>
    <cellStyle name="Normal 5 33" xfId="1443" xr:uid="{00000000-0005-0000-0000-000098070000}"/>
    <cellStyle name="Normal 5 34" xfId="1444" xr:uid="{00000000-0005-0000-0000-000099070000}"/>
    <cellStyle name="Normal 5 35" xfId="1445" xr:uid="{00000000-0005-0000-0000-00009A070000}"/>
    <cellStyle name="Normal 5 36" xfId="1446" xr:uid="{00000000-0005-0000-0000-00009B070000}"/>
    <cellStyle name="Normal 5 37" xfId="1447" xr:uid="{00000000-0005-0000-0000-00009C070000}"/>
    <cellStyle name="Normal 5 38" xfId="1448" xr:uid="{00000000-0005-0000-0000-00009D070000}"/>
    <cellStyle name="Normal 5 39" xfId="1449" xr:uid="{00000000-0005-0000-0000-00009E070000}"/>
    <cellStyle name="Normal 5 4" xfId="1450" xr:uid="{00000000-0005-0000-0000-00009F070000}"/>
    <cellStyle name="Normal 5 4 2" xfId="1451" xr:uid="{00000000-0005-0000-0000-0000A0070000}"/>
    <cellStyle name="Normal 5 40" xfId="1452" xr:uid="{00000000-0005-0000-0000-0000A1070000}"/>
    <cellStyle name="Normal 5 41" xfId="1453" xr:uid="{00000000-0005-0000-0000-0000A2070000}"/>
    <cellStyle name="Normal 5 42" xfId="1454" xr:uid="{00000000-0005-0000-0000-0000A3070000}"/>
    <cellStyle name="Normal 5 43" xfId="1455" xr:uid="{00000000-0005-0000-0000-0000A4070000}"/>
    <cellStyle name="Normal 5 44" xfId="1456" xr:uid="{00000000-0005-0000-0000-0000A5070000}"/>
    <cellStyle name="Normal 5 45" xfId="1457" xr:uid="{00000000-0005-0000-0000-0000A6070000}"/>
    <cellStyle name="Normal 5 46" xfId="1458" xr:uid="{00000000-0005-0000-0000-0000A7070000}"/>
    <cellStyle name="Normal 5 47" xfId="1459" xr:uid="{00000000-0005-0000-0000-0000A8070000}"/>
    <cellStyle name="Normal 5 48" xfId="1460" xr:uid="{00000000-0005-0000-0000-0000A9070000}"/>
    <cellStyle name="Normal 5 49" xfId="1461" xr:uid="{00000000-0005-0000-0000-0000AA070000}"/>
    <cellStyle name="Normal 5 5" xfId="1462" xr:uid="{00000000-0005-0000-0000-0000AB070000}"/>
    <cellStyle name="Normal 5 5 2" xfId="1463" xr:uid="{00000000-0005-0000-0000-0000AC070000}"/>
    <cellStyle name="Normal 5 50" xfId="1464" xr:uid="{00000000-0005-0000-0000-0000AD070000}"/>
    <cellStyle name="Normal 5 51" xfId="1465" xr:uid="{00000000-0005-0000-0000-0000AE070000}"/>
    <cellStyle name="Normal 5 52" xfId="1466" xr:uid="{00000000-0005-0000-0000-0000AF070000}"/>
    <cellStyle name="Normal 5 53" xfId="1467" xr:uid="{00000000-0005-0000-0000-0000B0070000}"/>
    <cellStyle name="Normal 5 54" xfId="1468" xr:uid="{00000000-0005-0000-0000-0000B1070000}"/>
    <cellStyle name="Normal 5 55" xfId="1469" xr:uid="{00000000-0005-0000-0000-0000B2070000}"/>
    <cellStyle name="Normal 5 56" xfId="1470" xr:uid="{00000000-0005-0000-0000-0000B3070000}"/>
    <cellStyle name="Normal 5 57" xfId="1471" xr:uid="{00000000-0005-0000-0000-0000B4070000}"/>
    <cellStyle name="Normal 5 58" xfId="1472" xr:uid="{00000000-0005-0000-0000-0000B5070000}"/>
    <cellStyle name="Normal 5 59" xfId="1473" xr:uid="{00000000-0005-0000-0000-0000B6070000}"/>
    <cellStyle name="Normal 5 6" xfId="1474" xr:uid="{00000000-0005-0000-0000-0000B7070000}"/>
    <cellStyle name="Normal 5 60" xfId="1475" xr:uid="{00000000-0005-0000-0000-0000B8070000}"/>
    <cellStyle name="Normal 5 61" xfId="1476" xr:uid="{00000000-0005-0000-0000-0000B9070000}"/>
    <cellStyle name="Normal 5 62" xfId="1477" xr:uid="{00000000-0005-0000-0000-0000BA070000}"/>
    <cellStyle name="Normal 5 63" xfId="1478" xr:uid="{00000000-0005-0000-0000-0000BB070000}"/>
    <cellStyle name="Normal 5 64" xfId="1479" xr:uid="{00000000-0005-0000-0000-0000BC070000}"/>
    <cellStyle name="Normal 5 65" xfId="1480" xr:uid="{00000000-0005-0000-0000-0000BD070000}"/>
    <cellStyle name="Normal 5 66" xfId="1481" xr:uid="{00000000-0005-0000-0000-0000BE070000}"/>
    <cellStyle name="Normal 5 67" xfId="1482" xr:uid="{00000000-0005-0000-0000-0000BF070000}"/>
    <cellStyle name="Normal 5 68" xfId="1483" xr:uid="{00000000-0005-0000-0000-0000C0070000}"/>
    <cellStyle name="Normal 5 69" xfId="1484" xr:uid="{00000000-0005-0000-0000-0000C1070000}"/>
    <cellStyle name="Normal 5 7" xfId="1485" xr:uid="{00000000-0005-0000-0000-0000C2070000}"/>
    <cellStyle name="Normal 5 70" xfId="1486" xr:uid="{00000000-0005-0000-0000-0000C3070000}"/>
    <cellStyle name="Normal 5 71" xfId="1487" xr:uid="{00000000-0005-0000-0000-0000C4070000}"/>
    <cellStyle name="Normal 5 72" xfId="1488" xr:uid="{00000000-0005-0000-0000-0000C5070000}"/>
    <cellStyle name="Normal 5 73" xfId="1489" xr:uid="{00000000-0005-0000-0000-0000C6070000}"/>
    <cellStyle name="Normal 5 74" xfId="1490" xr:uid="{00000000-0005-0000-0000-0000C7070000}"/>
    <cellStyle name="Normal 5 75" xfId="1491" xr:uid="{00000000-0005-0000-0000-0000C8070000}"/>
    <cellStyle name="Normal 5 76" xfId="1492" xr:uid="{00000000-0005-0000-0000-0000C9070000}"/>
    <cellStyle name="Normal 5 77" xfId="1493" xr:uid="{00000000-0005-0000-0000-0000CA070000}"/>
    <cellStyle name="Normal 5 78" xfId="1494" xr:uid="{00000000-0005-0000-0000-0000CB070000}"/>
    <cellStyle name="Normal 5 79" xfId="1495" xr:uid="{00000000-0005-0000-0000-0000CC070000}"/>
    <cellStyle name="Normal 5 8" xfId="1496" xr:uid="{00000000-0005-0000-0000-0000CD070000}"/>
    <cellStyle name="Normal 5 80" xfId="1497" xr:uid="{00000000-0005-0000-0000-0000CE070000}"/>
    <cellStyle name="Normal 5 81" xfId="1498" xr:uid="{00000000-0005-0000-0000-0000CF070000}"/>
    <cellStyle name="Normal 5 82" xfId="1499" xr:uid="{00000000-0005-0000-0000-0000D0070000}"/>
    <cellStyle name="Normal 5 83" xfId="1500" xr:uid="{00000000-0005-0000-0000-0000D1070000}"/>
    <cellStyle name="Normal 5 84" xfId="1501" xr:uid="{00000000-0005-0000-0000-0000D2070000}"/>
    <cellStyle name="Normal 5 85" xfId="1502" xr:uid="{00000000-0005-0000-0000-0000D3070000}"/>
    <cellStyle name="Normal 5 86" xfId="1503" xr:uid="{00000000-0005-0000-0000-0000D4070000}"/>
    <cellStyle name="Normal 5 87" xfId="1504" xr:uid="{00000000-0005-0000-0000-0000D5070000}"/>
    <cellStyle name="Normal 5 88" xfId="1505" xr:uid="{00000000-0005-0000-0000-0000D6070000}"/>
    <cellStyle name="Normal 5 89" xfId="1506" xr:uid="{00000000-0005-0000-0000-0000D7070000}"/>
    <cellStyle name="Normal 5 9" xfId="1507" xr:uid="{00000000-0005-0000-0000-0000D8070000}"/>
    <cellStyle name="Normal 5 90" xfId="1508" xr:uid="{00000000-0005-0000-0000-0000D9070000}"/>
    <cellStyle name="Normal 5 91" xfId="1509" xr:uid="{00000000-0005-0000-0000-0000DA070000}"/>
    <cellStyle name="Normal 5 92" xfId="1510" xr:uid="{00000000-0005-0000-0000-0000DB070000}"/>
    <cellStyle name="Normal 5 93" xfId="1511" xr:uid="{00000000-0005-0000-0000-0000DC070000}"/>
    <cellStyle name="Normal 5 94" xfId="1512" xr:uid="{00000000-0005-0000-0000-0000DD070000}"/>
    <cellStyle name="Normal 5 95" xfId="1513" xr:uid="{00000000-0005-0000-0000-0000DE070000}"/>
    <cellStyle name="Normal 5 96" xfId="1514" xr:uid="{00000000-0005-0000-0000-0000DF070000}"/>
    <cellStyle name="Normal 5 97" xfId="1515" xr:uid="{00000000-0005-0000-0000-0000E0070000}"/>
    <cellStyle name="Normal 5 98" xfId="1516" xr:uid="{00000000-0005-0000-0000-0000E1070000}"/>
    <cellStyle name="Normal 5 99" xfId="1517" xr:uid="{00000000-0005-0000-0000-0000E2070000}"/>
    <cellStyle name="Normal 50" xfId="1518" xr:uid="{00000000-0005-0000-0000-0000E3070000}"/>
    <cellStyle name="Normal 51" xfId="1519" xr:uid="{00000000-0005-0000-0000-0000E4070000}"/>
    <cellStyle name="Normal 52" xfId="1520" xr:uid="{00000000-0005-0000-0000-0000E5070000}"/>
    <cellStyle name="Normal 53" xfId="1521" xr:uid="{00000000-0005-0000-0000-0000E6070000}"/>
    <cellStyle name="Normal 54" xfId="1522" xr:uid="{00000000-0005-0000-0000-0000E7070000}"/>
    <cellStyle name="Normal 55" xfId="1523" xr:uid="{00000000-0005-0000-0000-0000E8070000}"/>
    <cellStyle name="Normal 56" xfId="1524" xr:uid="{00000000-0005-0000-0000-0000E9070000}"/>
    <cellStyle name="Normal 57" xfId="1525" xr:uid="{00000000-0005-0000-0000-0000EA070000}"/>
    <cellStyle name="Normal 58" xfId="1526" xr:uid="{00000000-0005-0000-0000-0000EB070000}"/>
    <cellStyle name="Normal 59" xfId="1527" xr:uid="{00000000-0005-0000-0000-0000EC070000}"/>
    <cellStyle name="Normal 6" xfId="1528" xr:uid="{00000000-0005-0000-0000-0000ED070000}"/>
    <cellStyle name="Normal 6 10" xfId="1529" xr:uid="{00000000-0005-0000-0000-0000EE070000}"/>
    <cellStyle name="Normal 6 11" xfId="1530" xr:uid="{00000000-0005-0000-0000-0000EF070000}"/>
    <cellStyle name="Normal 6 12" xfId="1531" xr:uid="{00000000-0005-0000-0000-0000F0070000}"/>
    <cellStyle name="Normal 6 13" xfId="1532" xr:uid="{00000000-0005-0000-0000-0000F1070000}"/>
    <cellStyle name="Normal 6 14" xfId="1533" xr:uid="{00000000-0005-0000-0000-0000F2070000}"/>
    <cellStyle name="Normal 6 15" xfId="1534" xr:uid="{00000000-0005-0000-0000-0000F3070000}"/>
    <cellStyle name="Normal 6 16" xfId="1535" xr:uid="{00000000-0005-0000-0000-0000F4070000}"/>
    <cellStyle name="Normal 6 17" xfId="1536" xr:uid="{00000000-0005-0000-0000-0000F5070000}"/>
    <cellStyle name="Normal 6 18" xfId="1537" xr:uid="{00000000-0005-0000-0000-0000F6070000}"/>
    <cellStyle name="Normal 6 19" xfId="1538" xr:uid="{00000000-0005-0000-0000-0000F7070000}"/>
    <cellStyle name="Normal 6 2" xfId="1539" xr:uid="{00000000-0005-0000-0000-0000F8070000}"/>
    <cellStyle name="Normal 6 20" xfId="1540" xr:uid="{00000000-0005-0000-0000-0000F9070000}"/>
    <cellStyle name="Normal 6 21" xfId="1541" xr:uid="{00000000-0005-0000-0000-0000FA070000}"/>
    <cellStyle name="Normal 6 22" xfId="1542" xr:uid="{00000000-0005-0000-0000-0000FB070000}"/>
    <cellStyle name="Normal 6 23" xfId="1543" xr:uid="{00000000-0005-0000-0000-0000FC070000}"/>
    <cellStyle name="Normal 6 24" xfId="1544" xr:uid="{00000000-0005-0000-0000-0000FD070000}"/>
    <cellStyle name="Normal 6 25" xfId="1545" xr:uid="{00000000-0005-0000-0000-0000FE070000}"/>
    <cellStyle name="Normal 6 26" xfId="1546" xr:uid="{00000000-0005-0000-0000-0000FF070000}"/>
    <cellStyle name="Normal 6 27" xfId="1547" xr:uid="{00000000-0005-0000-0000-000000080000}"/>
    <cellStyle name="Normal 6 28" xfId="1548" xr:uid="{00000000-0005-0000-0000-000001080000}"/>
    <cellStyle name="Normal 6 29" xfId="1549" xr:uid="{00000000-0005-0000-0000-000002080000}"/>
    <cellStyle name="Normal 6 3" xfId="1550" xr:uid="{00000000-0005-0000-0000-000003080000}"/>
    <cellStyle name="Normal 6 30" xfId="1551" xr:uid="{00000000-0005-0000-0000-000004080000}"/>
    <cellStyle name="Normal 6 31" xfId="1552" xr:uid="{00000000-0005-0000-0000-000005080000}"/>
    <cellStyle name="Normal 6 32" xfId="1553" xr:uid="{00000000-0005-0000-0000-000006080000}"/>
    <cellStyle name="Normal 6 33" xfId="1554" xr:uid="{00000000-0005-0000-0000-000007080000}"/>
    <cellStyle name="Normal 6 34" xfId="1555" xr:uid="{00000000-0005-0000-0000-000008080000}"/>
    <cellStyle name="Normal 6 35" xfId="1556" xr:uid="{00000000-0005-0000-0000-000009080000}"/>
    <cellStyle name="Normal 6 36" xfId="1557" xr:uid="{00000000-0005-0000-0000-00000A080000}"/>
    <cellStyle name="Normal 6 37" xfId="1558" xr:uid="{00000000-0005-0000-0000-00000B080000}"/>
    <cellStyle name="Normal 6 38" xfId="1559" xr:uid="{00000000-0005-0000-0000-00000C080000}"/>
    <cellStyle name="Normal 6 39" xfId="1560" xr:uid="{00000000-0005-0000-0000-00000D080000}"/>
    <cellStyle name="Normal 6 4" xfId="1561" xr:uid="{00000000-0005-0000-0000-00000E080000}"/>
    <cellStyle name="Normal 6 40" xfId="1562" xr:uid="{00000000-0005-0000-0000-00000F080000}"/>
    <cellStyle name="Normal 6 41" xfId="1563" xr:uid="{00000000-0005-0000-0000-000010080000}"/>
    <cellStyle name="Normal 6 42" xfId="1564" xr:uid="{00000000-0005-0000-0000-000011080000}"/>
    <cellStyle name="Normal 6 43" xfId="1565" xr:uid="{00000000-0005-0000-0000-000012080000}"/>
    <cellStyle name="Normal 6 44" xfId="1566" xr:uid="{00000000-0005-0000-0000-000013080000}"/>
    <cellStyle name="Normal 6 45" xfId="1567" xr:uid="{00000000-0005-0000-0000-000014080000}"/>
    <cellStyle name="Normal 6 46" xfId="1568" xr:uid="{00000000-0005-0000-0000-000015080000}"/>
    <cellStyle name="Normal 6 47" xfId="1569" xr:uid="{00000000-0005-0000-0000-000016080000}"/>
    <cellStyle name="Normal 6 48" xfId="1570" xr:uid="{00000000-0005-0000-0000-000017080000}"/>
    <cellStyle name="Normal 6 49" xfId="1571" xr:uid="{00000000-0005-0000-0000-000018080000}"/>
    <cellStyle name="Normal 6 5" xfId="1572" xr:uid="{00000000-0005-0000-0000-000019080000}"/>
    <cellStyle name="Normal 6 50" xfId="1573" xr:uid="{00000000-0005-0000-0000-00001A080000}"/>
    <cellStyle name="Normal 6 51" xfId="1574" xr:uid="{00000000-0005-0000-0000-00001B080000}"/>
    <cellStyle name="Normal 6 52" xfId="1575" xr:uid="{00000000-0005-0000-0000-00001C080000}"/>
    <cellStyle name="Normal 6 53" xfId="1576" xr:uid="{00000000-0005-0000-0000-00001D080000}"/>
    <cellStyle name="Normal 6 54" xfId="1577" xr:uid="{00000000-0005-0000-0000-00001E080000}"/>
    <cellStyle name="Normal 6 55" xfId="1578" xr:uid="{00000000-0005-0000-0000-00001F080000}"/>
    <cellStyle name="Normal 6 56" xfId="1579" xr:uid="{00000000-0005-0000-0000-000020080000}"/>
    <cellStyle name="Normal 6 57" xfId="1580" xr:uid="{00000000-0005-0000-0000-000021080000}"/>
    <cellStyle name="Normal 6 58" xfId="1581" xr:uid="{00000000-0005-0000-0000-000022080000}"/>
    <cellStyle name="Normal 6 59" xfId="1582" xr:uid="{00000000-0005-0000-0000-000023080000}"/>
    <cellStyle name="Normal 6 6" xfId="1583" xr:uid="{00000000-0005-0000-0000-000024080000}"/>
    <cellStyle name="Normal 6 60" xfId="1584" xr:uid="{00000000-0005-0000-0000-000025080000}"/>
    <cellStyle name="Normal 6 61" xfId="1585" xr:uid="{00000000-0005-0000-0000-000026080000}"/>
    <cellStyle name="Normal 6 62" xfId="1586" xr:uid="{00000000-0005-0000-0000-000027080000}"/>
    <cellStyle name="Normal 6 63" xfId="1587" xr:uid="{00000000-0005-0000-0000-000028080000}"/>
    <cellStyle name="Normal 6 64" xfId="1588" xr:uid="{00000000-0005-0000-0000-000029080000}"/>
    <cellStyle name="Normal 6 65" xfId="1589" xr:uid="{00000000-0005-0000-0000-00002A080000}"/>
    <cellStyle name="Normal 6 66" xfId="1590" xr:uid="{00000000-0005-0000-0000-00002B080000}"/>
    <cellStyle name="Normal 6 67" xfId="1591" xr:uid="{00000000-0005-0000-0000-00002C080000}"/>
    <cellStyle name="Normal 6 68" xfId="1592" xr:uid="{00000000-0005-0000-0000-00002D080000}"/>
    <cellStyle name="Normal 6 69" xfId="1593" xr:uid="{00000000-0005-0000-0000-00002E080000}"/>
    <cellStyle name="Normal 6 7" xfId="1594" xr:uid="{00000000-0005-0000-0000-00002F080000}"/>
    <cellStyle name="Normal 6 70" xfId="1595" xr:uid="{00000000-0005-0000-0000-000030080000}"/>
    <cellStyle name="Normal 6 71" xfId="1596" xr:uid="{00000000-0005-0000-0000-000031080000}"/>
    <cellStyle name="Normal 6 72" xfId="1597" xr:uid="{00000000-0005-0000-0000-000032080000}"/>
    <cellStyle name="Normal 6 73" xfId="1598" xr:uid="{00000000-0005-0000-0000-000033080000}"/>
    <cellStyle name="Normal 6 74" xfId="1599" xr:uid="{00000000-0005-0000-0000-000034080000}"/>
    <cellStyle name="Normal 6 75" xfId="1600" xr:uid="{00000000-0005-0000-0000-000035080000}"/>
    <cellStyle name="Normal 6 76" xfId="1601" xr:uid="{00000000-0005-0000-0000-000036080000}"/>
    <cellStyle name="Normal 6 77" xfId="1602" xr:uid="{00000000-0005-0000-0000-000037080000}"/>
    <cellStyle name="Normal 6 78" xfId="1603" xr:uid="{00000000-0005-0000-0000-000038080000}"/>
    <cellStyle name="Normal 6 79" xfId="1604" xr:uid="{00000000-0005-0000-0000-000039080000}"/>
    <cellStyle name="Normal 6 8" xfId="1605" xr:uid="{00000000-0005-0000-0000-00003A080000}"/>
    <cellStyle name="Normal 6 80" xfId="1606" xr:uid="{00000000-0005-0000-0000-00003B080000}"/>
    <cellStyle name="Normal 6 81" xfId="1607" xr:uid="{00000000-0005-0000-0000-00003C080000}"/>
    <cellStyle name="Normal 6 82" xfId="1608" xr:uid="{00000000-0005-0000-0000-00003D080000}"/>
    <cellStyle name="Normal 6 83" xfId="1609" xr:uid="{00000000-0005-0000-0000-00003E080000}"/>
    <cellStyle name="Normal 6 84" xfId="1610" xr:uid="{00000000-0005-0000-0000-00003F080000}"/>
    <cellStyle name="Normal 6 85" xfId="1611" xr:uid="{00000000-0005-0000-0000-000040080000}"/>
    <cellStyle name="Normal 6 86" xfId="1612" xr:uid="{00000000-0005-0000-0000-000041080000}"/>
    <cellStyle name="Normal 6 87" xfId="1613" xr:uid="{00000000-0005-0000-0000-000042080000}"/>
    <cellStyle name="Normal 6 88" xfId="1614" xr:uid="{00000000-0005-0000-0000-000043080000}"/>
    <cellStyle name="Normal 6 89" xfId="1615" xr:uid="{00000000-0005-0000-0000-000044080000}"/>
    <cellStyle name="Normal 6 9" xfId="1616" xr:uid="{00000000-0005-0000-0000-000045080000}"/>
    <cellStyle name="Normal 6 90" xfId="1617" xr:uid="{00000000-0005-0000-0000-000046080000}"/>
    <cellStyle name="Normal 6 91" xfId="1618" xr:uid="{00000000-0005-0000-0000-000047080000}"/>
    <cellStyle name="Normal 6 92" xfId="1619" xr:uid="{00000000-0005-0000-0000-000048080000}"/>
    <cellStyle name="Normal 6 93" xfId="1620" xr:uid="{00000000-0005-0000-0000-000049080000}"/>
    <cellStyle name="Normal 6 94" xfId="1621" xr:uid="{00000000-0005-0000-0000-00004A080000}"/>
    <cellStyle name="Normal 6 95" xfId="1622" xr:uid="{00000000-0005-0000-0000-00004B080000}"/>
    <cellStyle name="Normal 6 96" xfId="1623" xr:uid="{00000000-0005-0000-0000-00004C080000}"/>
    <cellStyle name="Normal 60" xfId="1624" xr:uid="{00000000-0005-0000-0000-00004D080000}"/>
    <cellStyle name="Normal 61" xfId="1625" xr:uid="{00000000-0005-0000-0000-00004E080000}"/>
    <cellStyle name="Normal 62" xfId="1626" xr:uid="{00000000-0005-0000-0000-00004F080000}"/>
    <cellStyle name="Normal 63" xfId="1627" xr:uid="{00000000-0005-0000-0000-000050080000}"/>
    <cellStyle name="Normal 64" xfId="1628" xr:uid="{00000000-0005-0000-0000-000051080000}"/>
    <cellStyle name="Normal 65" xfId="1629" xr:uid="{00000000-0005-0000-0000-000052080000}"/>
    <cellStyle name="Normal 66" xfId="1630" xr:uid="{00000000-0005-0000-0000-000053080000}"/>
    <cellStyle name="Normal 67" xfId="1631" xr:uid="{00000000-0005-0000-0000-000054080000}"/>
    <cellStyle name="Normal 68" xfId="1632" xr:uid="{00000000-0005-0000-0000-000055080000}"/>
    <cellStyle name="Normal 69" xfId="1633" xr:uid="{00000000-0005-0000-0000-000056080000}"/>
    <cellStyle name="Normal 7" xfId="10" xr:uid="{00000000-0005-0000-0000-000057080000}"/>
    <cellStyle name="Normal 7 10" xfId="1634" xr:uid="{00000000-0005-0000-0000-000058080000}"/>
    <cellStyle name="Normal 7 11" xfId="1635" xr:uid="{00000000-0005-0000-0000-000059080000}"/>
    <cellStyle name="Normal 7 12" xfId="1636" xr:uid="{00000000-0005-0000-0000-00005A080000}"/>
    <cellStyle name="Normal 7 13" xfId="1637" xr:uid="{00000000-0005-0000-0000-00005B080000}"/>
    <cellStyle name="Normal 7 14" xfId="1638" xr:uid="{00000000-0005-0000-0000-00005C080000}"/>
    <cellStyle name="Normal 7 15" xfId="1639" xr:uid="{00000000-0005-0000-0000-00005D080000}"/>
    <cellStyle name="Normal 7 16" xfId="1640" xr:uid="{00000000-0005-0000-0000-00005E080000}"/>
    <cellStyle name="Normal 7 17" xfId="1641" xr:uid="{00000000-0005-0000-0000-00005F080000}"/>
    <cellStyle name="Normal 7 18" xfId="1642" xr:uid="{00000000-0005-0000-0000-000060080000}"/>
    <cellStyle name="Normal 7 19" xfId="1643" xr:uid="{00000000-0005-0000-0000-000061080000}"/>
    <cellStyle name="Normal 7 2" xfId="1644" xr:uid="{00000000-0005-0000-0000-000062080000}"/>
    <cellStyle name="Normal 7 20" xfId="1645" xr:uid="{00000000-0005-0000-0000-000063080000}"/>
    <cellStyle name="Normal 7 21" xfId="1646" xr:uid="{00000000-0005-0000-0000-000064080000}"/>
    <cellStyle name="Normal 7 22" xfId="1647" xr:uid="{00000000-0005-0000-0000-000065080000}"/>
    <cellStyle name="Normal 7 23" xfId="1648" xr:uid="{00000000-0005-0000-0000-000066080000}"/>
    <cellStyle name="Normal 7 24" xfId="1649" xr:uid="{00000000-0005-0000-0000-000067080000}"/>
    <cellStyle name="Normal 7 25" xfId="1650" xr:uid="{00000000-0005-0000-0000-000068080000}"/>
    <cellStyle name="Normal 7 26" xfId="1651" xr:uid="{00000000-0005-0000-0000-000069080000}"/>
    <cellStyle name="Normal 7 27" xfId="1652" xr:uid="{00000000-0005-0000-0000-00006A080000}"/>
    <cellStyle name="Normal 7 28" xfId="1653" xr:uid="{00000000-0005-0000-0000-00006B080000}"/>
    <cellStyle name="Normal 7 29" xfId="1654" xr:uid="{00000000-0005-0000-0000-00006C080000}"/>
    <cellStyle name="Normal 7 3" xfId="1655" xr:uid="{00000000-0005-0000-0000-00006D080000}"/>
    <cellStyle name="Normal 7 30" xfId="1656" xr:uid="{00000000-0005-0000-0000-00006E080000}"/>
    <cellStyle name="Normal 7 31" xfId="1657" xr:uid="{00000000-0005-0000-0000-00006F080000}"/>
    <cellStyle name="Normal 7 32" xfId="1658" xr:uid="{00000000-0005-0000-0000-000070080000}"/>
    <cellStyle name="Normal 7 33" xfId="1659" xr:uid="{00000000-0005-0000-0000-000071080000}"/>
    <cellStyle name="Normal 7 34" xfId="1660" xr:uid="{00000000-0005-0000-0000-000072080000}"/>
    <cellStyle name="Normal 7 35" xfId="1661" xr:uid="{00000000-0005-0000-0000-000073080000}"/>
    <cellStyle name="Normal 7 36" xfId="1662" xr:uid="{00000000-0005-0000-0000-000074080000}"/>
    <cellStyle name="Normal 7 37" xfId="1663" xr:uid="{00000000-0005-0000-0000-000075080000}"/>
    <cellStyle name="Normal 7 38" xfId="1664" xr:uid="{00000000-0005-0000-0000-000076080000}"/>
    <cellStyle name="Normal 7 4" xfId="1665" xr:uid="{00000000-0005-0000-0000-000077080000}"/>
    <cellStyle name="Normal 7 5" xfId="1666" xr:uid="{00000000-0005-0000-0000-000078080000}"/>
    <cellStyle name="Normal 7 6" xfId="1667" xr:uid="{00000000-0005-0000-0000-000079080000}"/>
    <cellStyle name="Normal 7 7" xfId="1668" xr:uid="{00000000-0005-0000-0000-00007A080000}"/>
    <cellStyle name="Normal 7 8" xfId="1669" xr:uid="{00000000-0005-0000-0000-00007B080000}"/>
    <cellStyle name="Normal 7 9" xfId="1670" xr:uid="{00000000-0005-0000-0000-00007C080000}"/>
    <cellStyle name="Normal 70" xfId="1671" xr:uid="{00000000-0005-0000-0000-00007D080000}"/>
    <cellStyle name="Normal 71" xfId="1672" xr:uid="{00000000-0005-0000-0000-00007E080000}"/>
    <cellStyle name="Normal 72" xfId="1673" xr:uid="{00000000-0005-0000-0000-00007F080000}"/>
    <cellStyle name="Normal 73" xfId="1674" xr:uid="{00000000-0005-0000-0000-000080080000}"/>
    <cellStyle name="Normal 74" xfId="1675" xr:uid="{00000000-0005-0000-0000-000081080000}"/>
    <cellStyle name="Normal 75" xfId="1676" xr:uid="{00000000-0005-0000-0000-000082080000}"/>
    <cellStyle name="Normal 76" xfId="1677" xr:uid="{00000000-0005-0000-0000-000083080000}"/>
    <cellStyle name="Normal 77" xfId="1678" xr:uid="{00000000-0005-0000-0000-000084080000}"/>
    <cellStyle name="Normal 78" xfId="1679" xr:uid="{00000000-0005-0000-0000-000085080000}"/>
    <cellStyle name="Normal 79" xfId="1680" xr:uid="{00000000-0005-0000-0000-000086080000}"/>
    <cellStyle name="Normal 8" xfId="1681" xr:uid="{00000000-0005-0000-0000-000087080000}"/>
    <cellStyle name="Normal 8 10" xfId="1682" xr:uid="{00000000-0005-0000-0000-000088080000}"/>
    <cellStyle name="Normal 8 11" xfId="1683" xr:uid="{00000000-0005-0000-0000-000089080000}"/>
    <cellStyle name="Normal 8 12" xfId="1684" xr:uid="{00000000-0005-0000-0000-00008A080000}"/>
    <cellStyle name="Normal 8 13" xfId="1685" xr:uid="{00000000-0005-0000-0000-00008B080000}"/>
    <cellStyle name="Normal 8 14" xfId="1686" xr:uid="{00000000-0005-0000-0000-00008C080000}"/>
    <cellStyle name="Normal 8 15" xfId="1687" xr:uid="{00000000-0005-0000-0000-00008D080000}"/>
    <cellStyle name="Normal 8 16" xfId="1688" xr:uid="{00000000-0005-0000-0000-00008E080000}"/>
    <cellStyle name="Normal 8 17" xfId="1689" xr:uid="{00000000-0005-0000-0000-00008F080000}"/>
    <cellStyle name="Normal 8 18" xfId="1690" xr:uid="{00000000-0005-0000-0000-000090080000}"/>
    <cellStyle name="Normal 8 19" xfId="1691" xr:uid="{00000000-0005-0000-0000-000091080000}"/>
    <cellStyle name="Normal 8 2" xfId="1692" xr:uid="{00000000-0005-0000-0000-000092080000}"/>
    <cellStyle name="Normal 8 20" xfId="1693" xr:uid="{00000000-0005-0000-0000-000093080000}"/>
    <cellStyle name="Normal 8 21" xfId="1694" xr:uid="{00000000-0005-0000-0000-000094080000}"/>
    <cellStyle name="Normal 8 22" xfId="1695" xr:uid="{00000000-0005-0000-0000-000095080000}"/>
    <cellStyle name="Normal 8 23" xfId="1696" xr:uid="{00000000-0005-0000-0000-000096080000}"/>
    <cellStyle name="Normal 8 24" xfId="1697" xr:uid="{00000000-0005-0000-0000-000097080000}"/>
    <cellStyle name="Normal 8 25" xfId="1698" xr:uid="{00000000-0005-0000-0000-000098080000}"/>
    <cellStyle name="Normal 8 26" xfId="1699" xr:uid="{00000000-0005-0000-0000-000099080000}"/>
    <cellStyle name="Normal 8 27" xfId="1700" xr:uid="{00000000-0005-0000-0000-00009A080000}"/>
    <cellStyle name="Normal 8 28" xfId="1701" xr:uid="{00000000-0005-0000-0000-00009B080000}"/>
    <cellStyle name="Normal 8 3" xfId="1702" xr:uid="{00000000-0005-0000-0000-00009C080000}"/>
    <cellStyle name="Normal 8 4" xfId="1703" xr:uid="{00000000-0005-0000-0000-00009D080000}"/>
    <cellStyle name="Normal 8 5" xfId="1704" xr:uid="{00000000-0005-0000-0000-00009E080000}"/>
    <cellStyle name="Normal 8 6" xfId="1705" xr:uid="{00000000-0005-0000-0000-00009F080000}"/>
    <cellStyle name="Normal 8 7" xfId="1706" xr:uid="{00000000-0005-0000-0000-0000A0080000}"/>
    <cellStyle name="Normal 8 8" xfId="1707" xr:uid="{00000000-0005-0000-0000-0000A1080000}"/>
    <cellStyle name="Normal 8 9" xfId="1708" xr:uid="{00000000-0005-0000-0000-0000A2080000}"/>
    <cellStyle name="Normal 80" xfId="1709" xr:uid="{00000000-0005-0000-0000-0000A3080000}"/>
    <cellStyle name="Normal 81" xfId="1710" xr:uid="{00000000-0005-0000-0000-0000A4080000}"/>
    <cellStyle name="Normal 82" xfId="1711" xr:uid="{00000000-0005-0000-0000-0000A5080000}"/>
    <cellStyle name="Normal 83" xfId="1712" xr:uid="{00000000-0005-0000-0000-0000A6080000}"/>
    <cellStyle name="Normal 84" xfId="1713" xr:uid="{00000000-0005-0000-0000-0000A7080000}"/>
    <cellStyle name="Normal 85" xfId="1714" xr:uid="{00000000-0005-0000-0000-0000A8080000}"/>
    <cellStyle name="Normal 86" xfId="1715" xr:uid="{00000000-0005-0000-0000-0000A9080000}"/>
    <cellStyle name="Normal 87" xfId="1716" xr:uid="{00000000-0005-0000-0000-0000AA080000}"/>
    <cellStyle name="Normal 88" xfId="1717" xr:uid="{00000000-0005-0000-0000-0000AB080000}"/>
    <cellStyle name="Normal 89" xfId="1718" xr:uid="{00000000-0005-0000-0000-0000AC080000}"/>
    <cellStyle name="Normal 9" xfId="4" xr:uid="{00000000-0005-0000-0000-0000AD080000}"/>
    <cellStyle name="Normal 9 2" xfId="1719" xr:uid="{00000000-0005-0000-0000-0000AE080000}"/>
    <cellStyle name="Normal 9 3" xfId="1720" xr:uid="{00000000-0005-0000-0000-0000AF080000}"/>
    <cellStyle name="Normal 90" xfId="1721" xr:uid="{00000000-0005-0000-0000-0000B0080000}"/>
    <cellStyle name="Normal 91" xfId="1722" xr:uid="{00000000-0005-0000-0000-0000B1080000}"/>
    <cellStyle name="Normal 92" xfId="1723" xr:uid="{00000000-0005-0000-0000-0000B2080000}"/>
    <cellStyle name="Normal 93" xfId="1724" xr:uid="{00000000-0005-0000-0000-0000B3080000}"/>
    <cellStyle name="Normal 94" xfId="1725" xr:uid="{00000000-0005-0000-0000-0000B4080000}"/>
    <cellStyle name="Normal 95" xfId="1726" xr:uid="{00000000-0005-0000-0000-0000B5080000}"/>
    <cellStyle name="Normal 96" xfId="1727" xr:uid="{00000000-0005-0000-0000-0000B6080000}"/>
    <cellStyle name="Normal 97" xfId="1728" xr:uid="{00000000-0005-0000-0000-0000B7080000}"/>
    <cellStyle name="Normal 98" xfId="1729" xr:uid="{00000000-0005-0000-0000-0000B8080000}"/>
    <cellStyle name="Normal 99" xfId="1730" xr:uid="{00000000-0005-0000-0000-0000B9080000}"/>
    <cellStyle name="Normal Bold" xfId="1731" xr:uid="{00000000-0005-0000-0000-0000BA080000}"/>
    <cellStyle name="Normal Bold 2" xfId="1732" xr:uid="{00000000-0005-0000-0000-0000BB080000}"/>
    <cellStyle name="Normal gras souligné" xfId="1733" xr:uid="{00000000-0005-0000-0000-0000BC080000}"/>
    <cellStyle name="Normal Pct" xfId="1734" xr:uid="{00000000-0005-0000-0000-0000BD080000}"/>
    <cellStyle name="Normal Pct 2" xfId="1735" xr:uid="{00000000-0005-0000-0000-0000BE080000}"/>
    <cellStyle name="Normal souligné" xfId="1736" xr:uid="{00000000-0005-0000-0000-0000BF080000}"/>
    <cellStyle name="NORMAL1" xfId="1737" xr:uid="{00000000-0005-0000-0000-0000C0080000}"/>
    <cellStyle name="Normal2" xfId="1738" xr:uid="{00000000-0005-0000-0000-0000C1080000}"/>
    <cellStyle name="Normale_Tarif" xfId="1739" xr:uid="{00000000-0005-0000-0000-0000C2080000}"/>
    <cellStyle name="NormalGB" xfId="1740" xr:uid="{00000000-0005-0000-0000-0000C3080000}"/>
    <cellStyle name="Normal-HelBold" xfId="1741" xr:uid="{00000000-0005-0000-0000-0000C4080000}"/>
    <cellStyle name="Normal-HelUnderline" xfId="1742" xr:uid="{00000000-0005-0000-0000-0000C5080000}"/>
    <cellStyle name="NormalHelv" xfId="1743" xr:uid="{00000000-0005-0000-0000-0000C6080000}"/>
    <cellStyle name="NormalHelv 2" xfId="1744" xr:uid="{00000000-0005-0000-0000-0000C7080000}"/>
    <cellStyle name="NormalHelv 2 2" xfId="1745" xr:uid="{00000000-0005-0000-0000-0000C8080000}"/>
    <cellStyle name="Normal-Helvetica" xfId="1746" xr:uid="{00000000-0005-0000-0000-0000C9080000}"/>
    <cellStyle name="NormalMultiple" xfId="1747" xr:uid="{00000000-0005-0000-0000-0000CA080000}"/>
    <cellStyle name="NormalMultiple 2" xfId="1748" xr:uid="{00000000-0005-0000-0000-0000CB080000}"/>
    <cellStyle name="Normalny_56.Podstawowe dane o woj.(1)" xfId="1749" xr:uid="{00000000-0005-0000-0000-0000CC080000}"/>
    <cellStyle name="NormalX" xfId="1750" xr:uid="{00000000-0005-0000-0000-0000CD080000}"/>
    <cellStyle name="Nota 2" xfId="1751" xr:uid="{00000000-0005-0000-0000-0000CE080000}"/>
    <cellStyle name="Nota 2 2" xfId="1752" xr:uid="{00000000-0005-0000-0000-0000CF080000}"/>
    <cellStyle name="Nota 2 3" xfId="1753" xr:uid="{00000000-0005-0000-0000-0000D0080000}"/>
    <cellStyle name="Nota 3" xfId="1754" xr:uid="{00000000-0005-0000-0000-0000D1080000}"/>
    <cellStyle name="Note" xfId="1755" xr:uid="{00000000-0005-0000-0000-0000D2080000}"/>
    <cellStyle name="Note 2" xfId="1756" xr:uid="{00000000-0005-0000-0000-0000D3080000}"/>
    <cellStyle name="Note 2 2" xfId="1757" xr:uid="{00000000-0005-0000-0000-0000D4080000}"/>
    <cellStyle name="Note 3" xfId="1758" xr:uid="{00000000-0005-0000-0000-0000D5080000}"/>
    <cellStyle name="NPPESalesPct" xfId="1759" xr:uid="{00000000-0005-0000-0000-0000D6080000}"/>
    <cellStyle name="NPPESalesPct 2" xfId="1760" xr:uid="{00000000-0005-0000-0000-0000D7080000}"/>
    <cellStyle name="Number" xfId="1761" xr:uid="{00000000-0005-0000-0000-0000D8080000}"/>
    <cellStyle name="Number [0]" xfId="1762" xr:uid="{00000000-0005-0000-0000-0000D9080000}"/>
    <cellStyle name="Number [1]" xfId="1763" xr:uid="{00000000-0005-0000-0000-0000DA080000}"/>
    <cellStyle name="Number [2]" xfId="1764" xr:uid="{00000000-0005-0000-0000-0000DB080000}"/>
    <cellStyle name="Number 2" xfId="1765" xr:uid="{00000000-0005-0000-0000-0000DC080000}"/>
    <cellStyle name="Numberi" xfId="1766" xr:uid="{00000000-0005-0000-0000-0000DD080000}"/>
    <cellStyle name="Numbers" xfId="1767" xr:uid="{00000000-0005-0000-0000-0000DE080000}"/>
    <cellStyle name="Numbers - Bold" xfId="1768" xr:uid="{00000000-0005-0000-0000-0000DF080000}"/>
    <cellStyle name="Numbers_Changed Comps 2.11.04" xfId="1769" xr:uid="{00000000-0005-0000-0000-0000E0080000}"/>
    <cellStyle name="NUMEROS" xfId="1770" xr:uid="{00000000-0005-0000-0000-0000E1080000}"/>
    <cellStyle name="NWI%S" xfId="1771" xr:uid="{00000000-0005-0000-0000-0000E2080000}"/>
    <cellStyle name="NWI%S 2" xfId="1772" xr:uid="{00000000-0005-0000-0000-0000E3080000}"/>
    <cellStyle name="Onedec" xfId="1773" xr:uid="{00000000-0005-0000-0000-0000E4080000}"/>
    <cellStyle name="onedec 2" xfId="1774" xr:uid="{00000000-0005-0000-0000-0000E5080000}"/>
    <cellStyle name="Out_range" xfId="1775" xr:uid="{00000000-0005-0000-0000-0000E6080000}"/>
    <cellStyle name="Output" xfId="1776" xr:uid="{00000000-0005-0000-0000-0000E7080000}"/>
    <cellStyle name="Output 2" xfId="1777" xr:uid="{00000000-0005-0000-0000-0000E8080000}"/>
    <cellStyle name="Output 2 2" xfId="1778" xr:uid="{00000000-0005-0000-0000-0000E9080000}"/>
    <cellStyle name="P&amp;L Numbers" xfId="1779" xr:uid="{00000000-0005-0000-0000-0000EA080000}"/>
    <cellStyle name="P&amp;L Numbers 2" xfId="1780" xr:uid="{00000000-0005-0000-0000-0000EB080000}"/>
    <cellStyle name="Page Heading" xfId="1781" xr:uid="{00000000-0005-0000-0000-0000EC080000}"/>
    <cellStyle name="Page Heading 2" xfId="1782" xr:uid="{00000000-0005-0000-0000-0000ED080000}"/>
    <cellStyle name="Page Heading 2 2" xfId="1783" xr:uid="{00000000-0005-0000-0000-0000EE080000}"/>
    <cellStyle name="Page Heading Large" xfId="1784" xr:uid="{00000000-0005-0000-0000-0000EF080000}"/>
    <cellStyle name="Page Heading Large 2" xfId="1785" xr:uid="{00000000-0005-0000-0000-0000F0080000}"/>
    <cellStyle name="Page Heading Large 2 2" xfId="1786" xr:uid="{00000000-0005-0000-0000-0000F1080000}"/>
    <cellStyle name="Page Heading Small" xfId="1787" xr:uid="{00000000-0005-0000-0000-0000F2080000}"/>
    <cellStyle name="Page Heading Small 2" xfId="1788" xr:uid="{00000000-0005-0000-0000-0000F3080000}"/>
    <cellStyle name="Page Heading Small 2 2" xfId="1789" xr:uid="{00000000-0005-0000-0000-0000F4080000}"/>
    <cellStyle name="Page Number" xfId="1790" xr:uid="{00000000-0005-0000-0000-0000F5080000}"/>
    <cellStyle name="Page_Header" xfId="1791" xr:uid="{00000000-0005-0000-0000-0000F6080000}"/>
    <cellStyle name="pc1" xfId="1792" xr:uid="{00000000-0005-0000-0000-0000F7080000}"/>
    <cellStyle name="pc1 2" xfId="1793" xr:uid="{00000000-0005-0000-0000-0000F8080000}"/>
    <cellStyle name="pcent" xfId="1794" xr:uid="{00000000-0005-0000-0000-0000F9080000}"/>
    <cellStyle name="pcent 2" xfId="1795" xr:uid="{00000000-0005-0000-0000-0000FA080000}"/>
    <cellStyle name="pct_sub" xfId="1796" xr:uid="{00000000-0005-0000-0000-0000FB080000}"/>
    <cellStyle name="Percen - Estilo1" xfId="1797" xr:uid="{00000000-0005-0000-0000-0000FC080000}"/>
    <cellStyle name="Percen - Estilo2" xfId="1798" xr:uid="{00000000-0005-0000-0000-0000FD080000}"/>
    <cellStyle name="Percent" xfId="1799" xr:uid="{00000000-0005-0000-0000-0000FE080000}"/>
    <cellStyle name="Percent (0)" xfId="1800" xr:uid="{00000000-0005-0000-0000-0000FF080000}"/>
    <cellStyle name="Percent [0%]" xfId="12" xr:uid="{00000000-0005-0000-0000-000000090000}"/>
    <cellStyle name="Percent [0%] 2" xfId="1801" xr:uid="{00000000-0005-0000-0000-000001090000}"/>
    <cellStyle name="Percent [0.00%]" xfId="1802" xr:uid="{00000000-0005-0000-0000-000002090000}"/>
    <cellStyle name="Percent [0.00%] 2" xfId="1803" xr:uid="{00000000-0005-0000-0000-000003090000}"/>
    <cellStyle name="Percent [0]" xfId="1804" xr:uid="{00000000-0005-0000-0000-000004090000}"/>
    <cellStyle name="Percent [0] 2" xfId="1805" xr:uid="{00000000-0005-0000-0000-000005090000}"/>
    <cellStyle name="Percent [1]" xfId="1806" xr:uid="{00000000-0005-0000-0000-000006090000}"/>
    <cellStyle name="Percent [1] 2" xfId="1807" xr:uid="{00000000-0005-0000-0000-000007090000}"/>
    <cellStyle name="Percent [2]" xfId="1808" xr:uid="{00000000-0005-0000-0000-000008090000}"/>
    <cellStyle name="Percent [2] 2" xfId="1809" xr:uid="{00000000-0005-0000-0000-000009090000}"/>
    <cellStyle name="Percent 10" xfId="1810" xr:uid="{00000000-0005-0000-0000-00000A090000}"/>
    <cellStyle name="Percent 10 10" xfId="1811" xr:uid="{00000000-0005-0000-0000-00000B090000}"/>
    <cellStyle name="Percent 10 11" xfId="1812" xr:uid="{00000000-0005-0000-0000-00000C090000}"/>
    <cellStyle name="Percent 10 12" xfId="1813" xr:uid="{00000000-0005-0000-0000-00000D090000}"/>
    <cellStyle name="Percent 10 13" xfId="1814" xr:uid="{00000000-0005-0000-0000-00000E090000}"/>
    <cellStyle name="Percent 10 14" xfId="1815" xr:uid="{00000000-0005-0000-0000-00000F090000}"/>
    <cellStyle name="Percent 10 15" xfId="1816" xr:uid="{00000000-0005-0000-0000-000010090000}"/>
    <cellStyle name="Percent 10 2" xfId="1817" xr:uid="{00000000-0005-0000-0000-000011090000}"/>
    <cellStyle name="Percent 10 3" xfId="1818" xr:uid="{00000000-0005-0000-0000-000012090000}"/>
    <cellStyle name="Percent 10 4" xfId="1819" xr:uid="{00000000-0005-0000-0000-000013090000}"/>
    <cellStyle name="Percent 10 5" xfId="1820" xr:uid="{00000000-0005-0000-0000-000014090000}"/>
    <cellStyle name="Percent 10 6" xfId="1821" xr:uid="{00000000-0005-0000-0000-000015090000}"/>
    <cellStyle name="Percent 10 7" xfId="1822" xr:uid="{00000000-0005-0000-0000-000016090000}"/>
    <cellStyle name="Percent 10 8" xfId="1823" xr:uid="{00000000-0005-0000-0000-000017090000}"/>
    <cellStyle name="Percent 10 9" xfId="1824" xr:uid="{00000000-0005-0000-0000-000018090000}"/>
    <cellStyle name="Percent 11" xfId="1825" xr:uid="{00000000-0005-0000-0000-000019090000}"/>
    <cellStyle name="Percent 2" xfId="1826" xr:uid="{00000000-0005-0000-0000-00001A090000}"/>
    <cellStyle name="Percent 2 2" xfId="1827" xr:uid="{00000000-0005-0000-0000-00001B090000}"/>
    <cellStyle name="Percent 2 3" xfId="1828" xr:uid="{00000000-0005-0000-0000-00001C090000}"/>
    <cellStyle name="Percent 21" xfId="1829" xr:uid="{00000000-0005-0000-0000-00001D090000}"/>
    <cellStyle name="Percent 22" xfId="1830" xr:uid="{00000000-0005-0000-0000-00001E090000}"/>
    <cellStyle name="Percent 3" xfId="1831" xr:uid="{00000000-0005-0000-0000-00001F090000}"/>
    <cellStyle name="Percent 3 2" xfId="1832" xr:uid="{00000000-0005-0000-0000-000020090000}"/>
    <cellStyle name="Percent 4" xfId="1833" xr:uid="{00000000-0005-0000-0000-000021090000}"/>
    <cellStyle name="Percent 4 2" xfId="1834" xr:uid="{00000000-0005-0000-0000-000022090000}"/>
    <cellStyle name="Percent 5" xfId="1835" xr:uid="{00000000-0005-0000-0000-000023090000}"/>
    <cellStyle name="Percent 5 10" xfId="1836" xr:uid="{00000000-0005-0000-0000-000024090000}"/>
    <cellStyle name="Percent 5 11" xfId="1837" xr:uid="{00000000-0005-0000-0000-000025090000}"/>
    <cellStyle name="Percent 5 12" xfId="1838" xr:uid="{00000000-0005-0000-0000-000026090000}"/>
    <cellStyle name="Percent 5 13" xfId="1839" xr:uid="{00000000-0005-0000-0000-000027090000}"/>
    <cellStyle name="Percent 5 14" xfId="1840" xr:uid="{00000000-0005-0000-0000-000028090000}"/>
    <cellStyle name="Percent 5 15" xfId="1841" xr:uid="{00000000-0005-0000-0000-000029090000}"/>
    <cellStyle name="Percent 5 16" xfId="1842" xr:uid="{00000000-0005-0000-0000-00002A090000}"/>
    <cellStyle name="Percent 5 2" xfId="1843" xr:uid="{00000000-0005-0000-0000-00002B090000}"/>
    <cellStyle name="Percent 5 2 10" xfId="1844" xr:uid="{00000000-0005-0000-0000-00002C090000}"/>
    <cellStyle name="Percent 5 2 11" xfId="1845" xr:uid="{00000000-0005-0000-0000-00002D090000}"/>
    <cellStyle name="Percent 5 2 12" xfId="1846" xr:uid="{00000000-0005-0000-0000-00002E090000}"/>
    <cellStyle name="Percent 5 2 13" xfId="1847" xr:uid="{00000000-0005-0000-0000-00002F090000}"/>
    <cellStyle name="Percent 5 2 14" xfId="1848" xr:uid="{00000000-0005-0000-0000-000030090000}"/>
    <cellStyle name="Percent 5 2 15" xfId="1849" xr:uid="{00000000-0005-0000-0000-000031090000}"/>
    <cellStyle name="Percent 5 2 2" xfId="1850" xr:uid="{00000000-0005-0000-0000-000032090000}"/>
    <cellStyle name="Percent 5 2 3" xfId="1851" xr:uid="{00000000-0005-0000-0000-000033090000}"/>
    <cellStyle name="Percent 5 2 4" xfId="1852" xr:uid="{00000000-0005-0000-0000-000034090000}"/>
    <cellStyle name="Percent 5 2 5" xfId="1853" xr:uid="{00000000-0005-0000-0000-000035090000}"/>
    <cellStyle name="Percent 5 2 6" xfId="1854" xr:uid="{00000000-0005-0000-0000-000036090000}"/>
    <cellStyle name="Percent 5 2 7" xfId="1855" xr:uid="{00000000-0005-0000-0000-000037090000}"/>
    <cellStyle name="Percent 5 2 8" xfId="1856" xr:uid="{00000000-0005-0000-0000-000038090000}"/>
    <cellStyle name="Percent 5 2 9" xfId="1857" xr:uid="{00000000-0005-0000-0000-000039090000}"/>
    <cellStyle name="Percent 5 3" xfId="1858" xr:uid="{00000000-0005-0000-0000-00003A090000}"/>
    <cellStyle name="Percent 5 4" xfId="1859" xr:uid="{00000000-0005-0000-0000-00003B090000}"/>
    <cellStyle name="Percent 5 5" xfId="1860" xr:uid="{00000000-0005-0000-0000-00003C090000}"/>
    <cellStyle name="Percent 5 6" xfId="1861" xr:uid="{00000000-0005-0000-0000-00003D090000}"/>
    <cellStyle name="Percent 5 7" xfId="1862" xr:uid="{00000000-0005-0000-0000-00003E090000}"/>
    <cellStyle name="Percent 5 8" xfId="1863" xr:uid="{00000000-0005-0000-0000-00003F090000}"/>
    <cellStyle name="Percent 5 9" xfId="1864" xr:uid="{00000000-0005-0000-0000-000040090000}"/>
    <cellStyle name="Percent 6" xfId="1865" xr:uid="{00000000-0005-0000-0000-000041090000}"/>
    <cellStyle name="Percent 7" xfId="1866" xr:uid="{00000000-0005-0000-0000-000042090000}"/>
    <cellStyle name="Percent 7 2" xfId="1867" xr:uid="{00000000-0005-0000-0000-000043090000}"/>
    <cellStyle name="Percent 7 3" xfId="1868" xr:uid="{00000000-0005-0000-0000-000044090000}"/>
    <cellStyle name="Percent 8" xfId="1869" xr:uid="{00000000-0005-0000-0000-000045090000}"/>
    <cellStyle name="Percent 9" xfId="1870" xr:uid="{00000000-0005-0000-0000-000046090000}"/>
    <cellStyle name="Percent Comma" xfId="1871" xr:uid="{00000000-0005-0000-0000-000047090000}"/>
    <cellStyle name="Percent Hard" xfId="1872" xr:uid="{00000000-0005-0000-0000-000048090000}"/>
    <cellStyle name="Percent Hard 2" xfId="1873" xr:uid="{00000000-0005-0000-0000-000049090000}"/>
    <cellStyle name="Percent_GrupoRohr_ModeloAvalEconFin_v.80" xfId="1874" xr:uid="{00000000-0005-0000-0000-00004A090000}"/>
    <cellStyle name="Percent1" xfId="1875" xr:uid="{00000000-0005-0000-0000-00004B090000}"/>
    <cellStyle name="Percentage" xfId="1876" xr:uid="{00000000-0005-0000-0000-00004C090000}"/>
    <cellStyle name="Percentagem 2" xfId="1877" xr:uid="{00000000-0005-0000-0000-00004D090000}"/>
    <cellStyle name="Percentagem 3" xfId="1878" xr:uid="{00000000-0005-0000-0000-00004E090000}"/>
    <cellStyle name="Percenti" xfId="1879" xr:uid="{00000000-0005-0000-0000-00004F090000}"/>
    <cellStyle name="PercentSales" xfId="1880" xr:uid="{00000000-0005-0000-0000-000050090000}"/>
    <cellStyle name="PercentSales 2" xfId="1881" xr:uid="{00000000-0005-0000-0000-000051090000}"/>
    <cellStyle name="Percentual" xfId="1882" xr:uid="{00000000-0005-0000-0000-000052090000}"/>
    <cellStyle name="Perlong" xfId="1883" xr:uid="{00000000-0005-0000-0000-000053090000}"/>
    <cellStyle name="Ponto" xfId="1884" xr:uid="{00000000-0005-0000-0000-000054090000}"/>
    <cellStyle name="Porcentagem" xfId="2" builtinId="5"/>
    <cellStyle name="Porcentagem 10" xfId="1885" xr:uid="{00000000-0005-0000-0000-000056090000}"/>
    <cellStyle name="Porcentagem 11" xfId="1886" xr:uid="{00000000-0005-0000-0000-000057090000}"/>
    <cellStyle name="Porcentagem 12" xfId="1887" xr:uid="{00000000-0005-0000-0000-000058090000}"/>
    <cellStyle name="Porcentagem 12 2" xfId="1888" xr:uid="{00000000-0005-0000-0000-000059090000}"/>
    <cellStyle name="Porcentagem 13" xfId="1889" xr:uid="{00000000-0005-0000-0000-00005A090000}"/>
    <cellStyle name="Porcentagem 14" xfId="1890" xr:uid="{00000000-0005-0000-0000-00005B090000}"/>
    <cellStyle name="Porcentagem 15" xfId="17" xr:uid="{00000000-0005-0000-0000-00005C090000}"/>
    <cellStyle name="Porcentagem 2" xfId="5" xr:uid="{00000000-0005-0000-0000-00005D090000}"/>
    <cellStyle name="Porcentagem 2 2" xfId="1891" xr:uid="{00000000-0005-0000-0000-00005E090000}"/>
    <cellStyle name="Porcentagem 2 2 2" xfId="23" xr:uid="{00000000-0005-0000-0000-00005F090000}"/>
    <cellStyle name="Porcentagem 2 3" xfId="1892" xr:uid="{00000000-0005-0000-0000-000060090000}"/>
    <cellStyle name="Porcentagem 2 4" xfId="1893" xr:uid="{00000000-0005-0000-0000-000061090000}"/>
    <cellStyle name="Porcentagem 2 5" xfId="1894" xr:uid="{00000000-0005-0000-0000-000062090000}"/>
    <cellStyle name="Porcentagem 2 6" xfId="1895" xr:uid="{00000000-0005-0000-0000-000063090000}"/>
    <cellStyle name="Porcentagem 2 7" xfId="1896" xr:uid="{00000000-0005-0000-0000-000064090000}"/>
    <cellStyle name="Porcentagem 3" xfId="1897" xr:uid="{00000000-0005-0000-0000-000065090000}"/>
    <cellStyle name="Porcentagem 3 2" xfId="1898" xr:uid="{00000000-0005-0000-0000-000066090000}"/>
    <cellStyle name="Porcentagem 3 2 2" xfId="1899" xr:uid="{00000000-0005-0000-0000-000067090000}"/>
    <cellStyle name="Porcentagem 3 3" xfId="1900" xr:uid="{00000000-0005-0000-0000-000068090000}"/>
    <cellStyle name="Porcentagem 3 4" xfId="1901" xr:uid="{00000000-0005-0000-0000-000069090000}"/>
    <cellStyle name="Porcentagem 3 5" xfId="1902" xr:uid="{00000000-0005-0000-0000-00006A090000}"/>
    <cellStyle name="Porcentagem 4" xfId="1903" xr:uid="{00000000-0005-0000-0000-00006B090000}"/>
    <cellStyle name="Porcentagem 4 2" xfId="1904" xr:uid="{00000000-0005-0000-0000-00006C090000}"/>
    <cellStyle name="Porcentagem 4 2 2" xfId="1905" xr:uid="{00000000-0005-0000-0000-00006D090000}"/>
    <cellStyle name="Porcentagem 4 3" xfId="1906" xr:uid="{00000000-0005-0000-0000-00006E090000}"/>
    <cellStyle name="Porcentagem 4 3 2" xfId="1907" xr:uid="{00000000-0005-0000-0000-00006F090000}"/>
    <cellStyle name="Porcentagem 4 4" xfId="1908" xr:uid="{00000000-0005-0000-0000-000070090000}"/>
    <cellStyle name="Porcentagem 4 4 2" xfId="1909" xr:uid="{00000000-0005-0000-0000-000071090000}"/>
    <cellStyle name="Porcentagem 4 5" xfId="1910" xr:uid="{00000000-0005-0000-0000-000072090000}"/>
    <cellStyle name="Porcentagem 4 5 2" xfId="1911" xr:uid="{00000000-0005-0000-0000-000073090000}"/>
    <cellStyle name="Porcentagem 5" xfId="1912" xr:uid="{00000000-0005-0000-0000-000074090000}"/>
    <cellStyle name="Porcentagem 5 2" xfId="6" xr:uid="{00000000-0005-0000-0000-000075090000}"/>
    <cellStyle name="Porcentagem 6" xfId="1913" xr:uid="{00000000-0005-0000-0000-000076090000}"/>
    <cellStyle name="Porcentagem 6 2" xfId="1914" xr:uid="{00000000-0005-0000-0000-000077090000}"/>
    <cellStyle name="Porcentagem 6 3" xfId="1915" xr:uid="{00000000-0005-0000-0000-000078090000}"/>
    <cellStyle name="Porcentagem 6 4" xfId="1916" xr:uid="{00000000-0005-0000-0000-000079090000}"/>
    <cellStyle name="Porcentagem 6 5" xfId="1917" xr:uid="{00000000-0005-0000-0000-00007A090000}"/>
    <cellStyle name="Porcentagem 6 6" xfId="24" xr:uid="{00000000-0005-0000-0000-00007B090000}"/>
    <cellStyle name="Porcentagem 7" xfId="13" xr:uid="{00000000-0005-0000-0000-00007C090000}"/>
    <cellStyle name="Porcentagem 8" xfId="1918" xr:uid="{00000000-0005-0000-0000-00007D090000}"/>
    <cellStyle name="Porcentagem 8 2" xfId="1919" xr:uid="{00000000-0005-0000-0000-00007E090000}"/>
    <cellStyle name="Porcentagem 9" xfId="1920" xr:uid="{00000000-0005-0000-0000-00007F090000}"/>
    <cellStyle name="Porcentagem 9 2" xfId="1921" xr:uid="{00000000-0005-0000-0000-000080090000}"/>
    <cellStyle name="Porcentual [0]" xfId="1922" xr:uid="{00000000-0005-0000-0000-000081090000}"/>
    <cellStyle name="Porcentual [0] 2" xfId="1923" xr:uid="{00000000-0005-0000-0000-000082090000}"/>
    <cellStyle name="Porcentual 2" xfId="1924" xr:uid="{00000000-0005-0000-0000-000083090000}"/>
    <cellStyle name="Porcentual 2 10" xfId="1925" xr:uid="{00000000-0005-0000-0000-000084090000}"/>
    <cellStyle name="Porcentual 2 11" xfId="1926" xr:uid="{00000000-0005-0000-0000-000085090000}"/>
    <cellStyle name="Porcentual 2 12" xfId="1927" xr:uid="{00000000-0005-0000-0000-000086090000}"/>
    <cellStyle name="Porcentual 2 13" xfId="1928" xr:uid="{00000000-0005-0000-0000-000087090000}"/>
    <cellStyle name="Porcentual 2 14" xfId="1929" xr:uid="{00000000-0005-0000-0000-000088090000}"/>
    <cellStyle name="Porcentual 2 2" xfId="1930" xr:uid="{00000000-0005-0000-0000-000089090000}"/>
    <cellStyle name="Porcentual 2 3" xfId="1931" xr:uid="{00000000-0005-0000-0000-00008A090000}"/>
    <cellStyle name="Porcentual 2 4" xfId="1932" xr:uid="{00000000-0005-0000-0000-00008B090000}"/>
    <cellStyle name="Porcentual 2 5" xfId="1933" xr:uid="{00000000-0005-0000-0000-00008C090000}"/>
    <cellStyle name="Porcentual 2 6" xfId="1934" xr:uid="{00000000-0005-0000-0000-00008D090000}"/>
    <cellStyle name="Porcentual 2 7" xfId="1935" xr:uid="{00000000-0005-0000-0000-00008E090000}"/>
    <cellStyle name="Porcentual 2 8" xfId="1936" xr:uid="{00000000-0005-0000-0000-00008F090000}"/>
    <cellStyle name="Porcentual 2 9" xfId="1937" xr:uid="{00000000-0005-0000-0000-000090090000}"/>
    <cellStyle name="Porcentual_ADELBCO" xfId="1938" xr:uid="{00000000-0005-0000-0000-000091090000}"/>
    <cellStyle name="Pounds" xfId="1939" xr:uid="{00000000-0005-0000-0000-000092090000}"/>
    <cellStyle name="Pounds (0)" xfId="1940" xr:uid="{00000000-0005-0000-0000-000093090000}"/>
    <cellStyle name="Pounds (0) 2" xfId="1941" xr:uid="{00000000-0005-0000-0000-000094090000}"/>
    <cellStyle name="Pounds 2" xfId="1942" xr:uid="{00000000-0005-0000-0000-000095090000}"/>
    <cellStyle name="Pounds 3" xfId="1943" xr:uid="{00000000-0005-0000-0000-000096090000}"/>
    <cellStyle name="Pounds_Cópia de Projeções Termocauca-COLfin" xfId="1944" xr:uid="{00000000-0005-0000-0000-000097090000}"/>
    <cellStyle name="Premissas" xfId="1945" xr:uid="{00000000-0005-0000-0000-000098090000}"/>
    <cellStyle name="Price" xfId="1946" xr:uid="{00000000-0005-0000-0000-000099090000}"/>
    <cellStyle name="Private" xfId="1947" xr:uid="{00000000-0005-0000-0000-00009A090000}"/>
    <cellStyle name="Private 2" xfId="1948" xr:uid="{00000000-0005-0000-0000-00009B090000}"/>
    <cellStyle name="Private 2 2" xfId="1949" xr:uid="{00000000-0005-0000-0000-00009C090000}"/>
    <cellStyle name="Private1" xfId="1950" xr:uid="{00000000-0005-0000-0000-00009D090000}"/>
    <cellStyle name="Private1 2" xfId="1951" xr:uid="{00000000-0005-0000-0000-00009E090000}"/>
    <cellStyle name="Projeções" xfId="1952" xr:uid="{00000000-0005-0000-0000-00009F090000}"/>
    <cellStyle name="Prozent_Anadat" xfId="1953" xr:uid="{00000000-0005-0000-0000-0000A0090000}"/>
    <cellStyle name="PSChar" xfId="1954" xr:uid="{00000000-0005-0000-0000-0000A1090000}"/>
    <cellStyle name="PSDate" xfId="1955" xr:uid="{00000000-0005-0000-0000-0000A2090000}"/>
    <cellStyle name="PSDec" xfId="1956" xr:uid="{00000000-0005-0000-0000-0000A3090000}"/>
    <cellStyle name="PSHeading" xfId="1957" xr:uid="{00000000-0005-0000-0000-0000A4090000}"/>
    <cellStyle name="PSInt" xfId="1958" xr:uid="{00000000-0005-0000-0000-0000A5090000}"/>
    <cellStyle name="PSSpacer" xfId="1959" xr:uid="{00000000-0005-0000-0000-0000A6090000}"/>
    <cellStyle name="Punto0" xfId="1960" xr:uid="{00000000-0005-0000-0000-0000A7090000}"/>
    <cellStyle name="r" xfId="1961" xr:uid="{00000000-0005-0000-0000-0000A8090000}"/>
    <cellStyle name="r_Public Comps 1.1.02" xfId="1962" xr:uid="{00000000-0005-0000-0000-0000A9090000}"/>
    <cellStyle name="rate" xfId="1963" xr:uid="{00000000-0005-0000-0000-0000AA090000}"/>
    <cellStyle name="Ratio" xfId="1964" xr:uid="{00000000-0005-0000-0000-0000AB090000}"/>
    <cellStyle name="Ratio Comma" xfId="1965" xr:uid="{00000000-0005-0000-0000-0000AC090000}"/>
    <cellStyle name="Ratio_bigtexmodel14" xfId="1966" xr:uid="{00000000-0005-0000-0000-0000AD090000}"/>
    <cellStyle name="Red" xfId="1967" xr:uid="{00000000-0005-0000-0000-0000AE090000}"/>
    <cellStyle name="Red font" xfId="1968" xr:uid="{00000000-0005-0000-0000-0000AF090000}"/>
    <cellStyle name="Red font 2" xfId="1969" xr:uid="{00000000-0005-0000-0000-0000B0090000}"/>
    <cellStyle name="Red Text" xfId="1970" xr:uid="{00000000-0005-0000-0000-0000B1090000}"/>
    <cellStyle name="results" xfId="1971" xr:uid="{00000000-0005-0000-0000-0000B2090000}"/>
    <cellStyle name="Results % 3 dp" xfId="1972" xr:uid="{00000000-0005-0000-0000-0000B3090000}"/>
    <cellStyle name="Results % 3 dp 2" xfId="1973" xr:uid="{00000000-0005-0000-0000-0000B4090000}"/>
    <cellStyle name="results 2" xfId="1974" xr:uid="{00000000-0005-0000-0000-0000B5090000}"/>
    <cellStyle name="results 3" xfId="1975" xr:uid="{00000000-0005-0000-0000-0000B6090000}"/>
    <cellStyle name="Results 3 dp" xfId="1976" xr:uid="{00000000-0005-0000-0000-0000B7090000}"/>
    <cellStyle name="Results 3 dp 2" xfId="1977" xr:uid="{00000000-0005-0000-0000-0000B8090000}"/>
    <cellStyle name="results_estrategia_equity_20101004" xfId="1978" xr:uid="{00000000-0005-0000-0000-0000B9090000}"/>
    <cellStyle name="Ricardo" xfId="1979" xr:uid="{00000000-0005-0000-0000-0000BA090000}"/>
    <cellStyle name="Right" xfId="1980" xr:uid="{00000000-0005-0000-0000-0000BB090000}"/>
    <cellStyle name="Right 2" xfId="1981" xr:uid="{00000000-0005-0000-0000-0000BC090000}"/>
    <cellStyle name="rodape" xfId="1982" xr:uid="{00000000-0005-0000-0000-0000BD090000}"/>
    <cellStyle name="Rouge" xfId="1983" xr:uid="{00000000-0005-0000-0000-0000BE090000}"/>
    <cellStyle name="Row Headings" xfId="1984" xr:uid="{00000000-0005-0000-0000-0000BF090000}"/>
    <cellStyle name="Row Headings 2" xfId="1985" xr:uid="{00000000-0005-0000-0000-0000C0090000}"/>
    <cellStyle name="Row Headings 2 2" xfId="1986" xr:uid="{00000000-0005-0000-0000-0000C1090000}"/>
    <cellStyle name="s]_x000d__x000a_spooler=yes_x000d__x000a_load=nwpopup.exe_x000d__x000a_run=_x000d__x000a_Beep=No_x000d__x000a_NullPort=None_x000d__x000a_BorderWidth=3_x000d__x000a_CursorBlinkRate=345_x000d__x000a_DoubleClickSpeed=3" xfId="1987" xr:uid="{00000000-0005-0000-0000-0000C2090000}"/>
    <cellStyle name="Saída 2" xfId="1988" xr:uid="{00000000-0005-0000-0000-0000C3090000}"/>
    <cellStyle name="Saída 2 2" xfId="1989" xr:uid="{00000000-0005-0000-0000-0000C4090000}"/>
    <cellStyle name="Salomon Logo" xfId="1990" xr:uid="{00000000-0005-0000-0000-0000C5090000}"/>
    <cellStyle name="Section" xfId="1991" xr:uid="{00000000-0005-0000-0000-0000C6090000}"/>
    <cellStyle name="Section name" xfId="1992" xr:uid="{00000000-0005-0000-0000-0000C7090000}"/>
    <cellStyle name="sem virg." xfId="1993" xr:uid="{00000000-0005-0000-0000-0000C8090000}"/>
    <cellStyle name="Sensitivity" xfId="1994" xr:uid="{00000000-0005-0000-0000-0000C9090000}"/>
    <cellStyle name="Sensitivity 2" xfId="1995" xr:uid="{00000000-0005-0000-0000-0000CA090000}"/>
    <cellStyle name="Sensitivity 2 2" xfId="1996" xr:uid="{00000000-0005-0000-0000-0000CB090000}"/>
    <cellStyle name="sensitivity format" xfId="1997" xr:uid="{00000000-0005-0000-0000-0000CC090000}"/>
    <cellStyle name="sensitivity format 2" xfId="1998" xr:uid="{00000000-0005-0000-0000-0000CD090000}"/>
    <cellStyle name="Sep. milhar [0]" xfId="1999" xr:uid="{00000000-0005-0000-0000-0000CE090000}"/>
    <cellStyle name="Separador de milhares 10" xfId="2000" xr:uid="{00000000-0005-0000-0000-0000CF090000}"/>
    <cellStyle name="Separador de milhares 10 2" xfId="2001" xr:uid="{00000000-0005-0000-0000-0000D0090000}"/>
    <cellStyle name="Separador de milhares 11" xfId="2002" xr:uid="{00000000-0005-0000-0000-0000D1090000}"/>
    <cellStyle name="Separador de milhares 11 2" xfId="2003" xr:uid="{00000000-0005-0000-0000-0000D2090000}"/>
    <cellStyle name="Separador de milhares 12" xfId="15" xr:uid="{00000000-0005-0000-0000-0000D3090000}"/>
    <cellStyle name="Separador de milhares 12 2" xfId="19" xr:uid="{00000000-0005-0000-0000-0000D4090000}"/>
    <cellStyle name="Separador de milhares 13" xfId="2004" xr:uid="{00000000-0005-0000-0000-0000D5090000}"/>
    <cellStyle name="Separador de milhares 14" xfId="2005" xr:uid="{00000000-0005-0000-0000-0000D6090000}"/>
    <cellStyle name="Separador de milhares 15" xfId="2006" xr:uid="{00000000-0005-0000-0000-0000D7090000}"/>
    <cellStyle name="Separador de milhares 16" xfId="2007" xr:uid="{00000000-0005-0000-0000-0000D8090000}"/>
    <cellStyle name="Separador de milhares 17" xfId="2008" xr:uid="{00000000-0005-0000-0000-0000D9090000}"/>
    <cellStyle name="Separador de milhares 18" xfId="2798" xr:uid="{00000000-0005-0000-0000-0000DA090000}"/>
    <cellStyle name="Separador de milhares 18 2" xfId="2799" xr:uid="{00000000-0005-0000-0000-0000DB090000}"/>
    <cellStyle name="Separador de milhares 2" xfId="7" xr:uid="{00000000-0005-0000-0000-0000DC090000}"/>
    <cellStyle name="Separador de milhares 2 2" xfId="2009" xr:uid="{00000000-0005-0000-0000-0000DD090000}"/>
    <cellStyle name="Separador de milhares 2 2 2" xfId="2010" xr:uid="{00000000-0005-0000-0000-0000DE090000}"/>
    <cellStyle name="Separador de milhares 2 2 3" xfId="2011" xr:uid="{00000000-0005-0000-0000-0000DF090000}"/>
    <cellStyle name="Separador de milhares 2 3" xfId="2012" xr:uid="{00000000-0005-0000-0000-0000E0090000}"/>
    <cellStyle name="Separador de milhares 2 4" xfId="2013" xr:uid="{00000000-0005-0000-0000-0000E1090000}"/>
    <cellStyle name="Separador de milhares 2 5" xfId="2014" xr:uid="{00000000-0005-0000-0000-0000E2090000}"/>
    <cellStyle name="Separador de milhares 2 6" xfId="2015" xr:uid="{00000000-0005-0000-0000-0000E3090000}"/>
    <cellStyle name="Separador de milhares 2 7" xfId="2016" xr:uid="{00000000-0005-0000-0000-0000E4090000}"/>
    <cellStyle name="Separador de milhares 2 8" xfId="2017" xr:uid="{00000000-0005-0000-0000-0000E5090000}"/>
    <cellStyle name="Separador de milhares 2_Modelo - Manuel_Salvador 2014.v2" xfId="2018" xr:uid="{00000000-0005-0000-0000-0000E6090000}"/>
    <cellStyle name="Separador de milhares 3" xfId="2019" xr:uid="{00000000-0005-0000-0000-0000E7090000}"/>
    <cellStyle name="Separador de milhares 3 2" xfId="2020" xr:uid="{00000000-0005-0000-0000-0000E8090000}"/>
    <cellStyle name="Separador de milhares 3 2 2" xfId="2021" xr:uid="{00000000-0005-0000-0000-0000E9090000}"/>
    <cellStyle name="Separador de milhares 3 2 3" xfId="2022" xr:uid="{00000000-0005-0000-0000-0000EA090000}"/>
    <cellStyle name="Separador de milhares 3 2 4" xfId="21" xr:uid="{00000000-0005-0000-0000-0000EB090000}"/>
    <cellStyle name="Separador de milhares 3 3" xfId="2023" xr:uid="{00000000-0005-0000-0000-0000EC090000}"/>
    <cellStyle name="Separador de milhares 3 4" xfId="2024" xr:uid="{00000000-0005-0000-0000-0000ED090000}"/>
    <cellStyle name="Separador de milhares 3 5" xfId="2025" xr:uid="{00000000-0005-0000-0000-0000EE090000}"/>
    <cellStyle name="Separador de milhares 3 6" xfId="2026" xr:uid="{00000000-0005-0000-0000-0000EF090000}"/>
    <cellStyle name="Separador de milhares 3 7" xfId="2027" xr:uid="{00000000-0005-0000-0000-0000F0090000}"/>
    <cellStyle name="Separador de milhares 3 7 2" xfId="2028" xr:uid="{00000000-0005-0000-0000-0000F1090000}"/>
    <cellStyle name="Separador de milhares 4" xfId="2029" xr:uid="{00000000-0005-0000-0000-0000F2090000}"/>
    <cellStyle name="Separador de milhares 4 2" xfId="2030" xr:uid="{00000000-0005-0000-0000-0000F3090000}"/>
    <cellStyle name="Separador de milhares 4 2 2" xfId="2031" xr:uid="{00000000-0005-0000-0000-0000F4090000}"/>
    <cellStyle name="Separador de milhares 4 3" xfId="2032" xr:uid="{00000000-0005-0000-0000-0000F5090000}"/>
    <cellStyle name="Separador de milhares 4 3 2" xfId="2033" xr:uid="{00000000-0005-0000-0000-0000F6090000}"/>
    <cellStyle name="Separador de milhares 4 4" xfId="2034" xr:uid="{00000000-0005-0000-0000-0000F7090000}"/>
    <cellStyle name="Separador de milhares 4 4 2" xfId="2035" xr:uid="{00000000-0005-0000-0000-0000F8090000}"/>
    <cellStyle name="Separador de milhares 4 5" xfId="2036" xr:uid="{00000000-0005-0000-0000-0000F9090000}"/>
    <cellStyle name="Separador de milhares 4 5 2" xfId="2037" xr:uid="{00000000-0005-0000-0000-0000FA090000}"/>
    <cellStyle name="Separador de milhares 4 6" xfId="2038" xr:uid="{00000000-0005-0000-0000-0000FB090000}"/>
    <cellStyle name="Separador de milhares 4 7" xfId="2039" xr:uid="{00000000-0005-0000-0000-0000FC090000}"/>
    <cellStyle name="Separador de milhares 4 8" xfId="2040" xr:uid="{00000000-0005-0000-0000-0000FD090000}"/>
    <cellStyle name="Separador de milhares 5" xfId="2041" xr:uid="{00000000-0005-0000-0000-0000FE090000}"/>
    <cellStyle name="Separador de milhares 5 2" xfId="2042" xr:uid="{00000000-0005-0000-0000-0000FF090000}"/>
    <cellStyle name="Separador de milhares 5 3" xfId="2043" xr:uid="{00000000-0005-0000-0000-0000000A0000}"/>
    <cellStyle name="Separador de milhares 5 4" xfId="2044" xr:uid="{00000000-0005-0000-0000-0000010A0000}"/>
    <cellStyle name="Separador de milhares 5 5" xfId="2045" xr:uid="{00000000-0005-0000-0000-0000020A0000}"/>
    <cellStyle name="Separador de milhares 5 6" xfId="2046" xr:uid="{00000000-0005-0000-0000-0000030A0000}"/>
    <cellStyle name="Separador de milhares 6" xfId="2047" xr:uid="{00000000-0005-0000-0000-0000040A0000}"/>
    <cellStyle name="Separador de milhares 6 2" xfId="2048" xr:uid="{00000000-0005-0000-0000-0000050A0000}"/>
    <cellStyle name="Separador de milhares 6 3" xfId="2049" xr:uid="{00000000-0005-0000-0000-0000060A0000}"/>
    <cellStyle name="Separador de milhares 7" xfId="2050" xr:uid="{00000000-0005-0000-0000-0000070A0000}"/>
    <cellStyle name="Separador de milhares 7 2" xfId="2051" xr:uid="{00000000-0005-0000-0000-0000080A0000}"/>
    <cellStyle name="Separador de milhares 7 3" xfId="2052" xr:uid="{00000000-0005-0000-0000-0000090A0000}"/>
    <cellStyle name="Separador de milhares 8" xfId="2053" xr:uid="{00000000-0005-0000-0000-00000A0A0000}"/>
    <cellStyle name="Separador de milhares 8 2" xfId="2054" xr:uid="{00000000-0005-0000-0000-00000B0A0000}"/>
    <cellStyle name="Separador de milhares 8 3" xfId="2055" xr:uid="{00000000-0005-0000-0000-00000C0A0000}"/>
    <cellStyle name="Separador de milhares 9" xfId="2056" xr:uid="{00000000-0005-0000-0000-00000D0A0000}"/>
    <cellStyle name="Separador de milhares 9 2" xfId="2057" xr:uid="{00000000-0005-0000-0000-00000E0A0000}"/>
    <cellStyle name="Separador de milhares 9 2 2" xfId="2058" xr:uid="{00000000-0005-0000-0000-00000F0A0000}"/>
    <cellStyle name="shade" xfId="2059" xr:uid="{00000000-0005-0000-0000-0000100A0000}"/>
    <cellStyle name="Shaded" xfId="2060" xr:uid="{00000000-0005-0000-0000-0000110A0000}"/>
    <cellStyle name="Shaded 2" xfId="2061" xr:uid="{00000000-0005-0000-0000-0000120A0000}"/>
    <cellStyle name="Shaded 2 2" xfId="2062" xr:uid="{00000000-0005-0000-0000-0000130A0000}"/>
    <cellStyle name="Shaded 3" xfId="2063" xr:uid="{00000000-0005-0000-0000-0000140A0000}"/>
    <cellStyle name="Sheetmult" xfId="2064" xr:uid="{00000000-0005-0000-0000-0000150A0000}"/>
    <cellStyle name="Shtmultx" xfId="2065" xr:uid="{00000000-0005-0000-0000-0000160A0000}"/>
    <cellStyle name="Single Accounting" xfId="2066" xr:uid="{00000000-0005-0000-0000-0000170A0000}"/>
    <cellStyle name="Standaard_2 clubs MW-09.215 Business model Estádio Fonte Nova" xfId="2067" xr:uid="{00000000-0005-0000-0000-0000180A0000}"/>
    <cellStyle name="Standard__Utopia Index Index und Guidance (Deutsch)" xfId="2068" xr:uid="{00000000-0005-0000-0000-0000190A0000}"/>
    <cellStyle name="Stock Comma" xfId="2069" xr:uid="{00000000-0005-0000-0000-00001A0A0000}"/>
    <cellStyle name="Stock Price" xfId="2070" xr:uid="{00000000-0005-0000-0000-00001B0A0000}"/>
    <cellStyle name="STYL1 - Estilo8" xfId="2071" xr:uid="{00000000-0005-0000-0000-00001C0A0000}"/>
    <cellStyle name="STYL1 - Style1" xfId="2072" xr:uid="{00000000-0005-0000-0000-00001D0A0000}"/>
    <cellStyle name="Style 1" xfId="2073" xr:uid="{00000000-0005-0000-0000-00001E0A0000}"/>
    <cellStyle name="Style 1 2" xfId="2074" xr:uid="{00000000-0005-0000-0000-00001F0A0000}"/>
    <cellStyle name="Style 1 3" xfId="2075" xr:uid="{00000000-0005-0000-0000-0000200A0000}"/>
    <cellStyle name="Style 34" xfId="2076" xr:uid="{00000000-0005-0000-0000-0000210A0000}"/>
    <cellStyle name="SUBTOTAIS" xfId="2077" xr:uid="{00000000-0005-0000-0000-0000220A0000}"/>
    <cellStyle name="Sum" xfId="2078" xr:uid="{00000000-0005-0000-0000-0000230A0000}"/>
    <cellStyle name="Sum 2" xfId="2079" xr:uid="{00000000-0005-0000-0000-0000240A0000}"/>
    <cellStyle name="Sum 2 2" xfId="2080" xr:uid="{00000000-0005-0000-0000-0000250A0000}"/>
    <cellStyle name="Sum 3" xfId="2081" xr:uid="{00000000-0005-0000-0000-0000260A0000}"/>
    <cellStyle name="SUMA PARCIAL" xfId="2082" xr:uid="{00000000-0005-0000-0000-0000270A0000}"/>
    <cellStyle name="Summary" xfId="2083" xr:uid="{00000000-0005-0000-0000-0000280A0000}"/>
    <cellStyle name="Summary 2" xfId="2084" xr:uid="{00000000-0005-0000-0000-0000290A0000}"/>
    <cellStyle name="Summary 2 2" xfId="2085" xr:uid="{00000000-0005-0000-0000-00002A0A0000}"/>
    <cellStyle name="t2" xfId="2086" xr:uid="{00000000-0005-0000-0000-00002B0A0000}"/>
    <cellStyle name="Table Col Head" xfId="2087" xr:uid="{00000000-0005-0000-0000-00002C0A0000}"/>
    <cellStyle name="Table Col Head 2" xfId="2088" xr:uid="{00000000-0005-0000-0000-00002D0A0000}"/>
    <cellStyle name="Table Col Head 2 2" xfId="2089" xr:uid="{00000000-0005-0000-0000-00002E0A0000}"/>
    <cellStyle name="Table Head" xfId="2090" xr:uid="{00000000-0005-0000-0000-00002F0A0000}"/>
    <cellStyle name="Table Head Aligned" xfId="2091" xr:uid="{00000000-0005-0000-0000-0000300A0000}"/>
    <cellStyle name="Table Head Aligned 2" xfId="2092" xr:uid="{00000000-0005-0000-0000-0000310A0000}"/>
    <cellStyle name="Table Head Aligned 3" xfId="2093" xr:uid="{00000000-0005-0000-0000-0000320A0000}"/>
    <cellStyle name="Table Head Aligned 4" xfId="2094" xr:uid="{00000000-0005-0000-0000-0000330A0000}"/>
    <cellStyle name="Table Head Blue" xfId="2095" xr:uid="{00000000-0005-0000-0000-0000340A0000}"/>
    <cellStyle name="Table Head Green" xfId="2096" xr:uid="{00000000-0005-0000-0000-0000350A0000}"/>
    <cellStyle name="Table Head Green 2" xfId="2097" xr:uid="{00000000-0005-0000-0000-0000360A0000}"/>
    <cellStyle name="Table Head Green 3" xfId="2098" xr:uid="{00000000-0005-0000-0000-0000370A0000}"/>
    <cellStyle name="Table Head_AES LatAm v12" xfId="2099" xr:uid="{00000000-0005-0000-0000-0000380A0000}"/>
    <cellStyle name="Table Heading" xfId="2100" xr:uid="{00000000-0005-0000-0000-0000390A0000}"/>
    <cellStyle name="Table Sub Head" xfId="2101" xr:uid="{00000000-0005-0000-0000-00003A0A0000}"/>
    <cellStyle name="Table Sub Head 2" xfId="2102" xr:uid="{00000000-0005-0000-0000-00003B0A0000}"/>
    <cellStyle name="Table Sub Head 2 2" xfId="2103" xr:uid="{00000000-0005-0000-0000-00003C0A0000}"/>
    <cellStyle name="Table Text" xfId="2104" xr:uid="{00000000-0005-0000-0000-00003D0A0000}"/>
    <cellStyle name="Table Title" xfId="2105" xr:uid="{00000000-0005-0000-0000-00003E0A0000}"/>
    <cellStyle name="Table Title 2" xfId="2106" xr:uid="{00000000-0005-0000-0000-00003F0A0000}"/>
    <cellStyle name="Table Title 2 2" xfId="2107" xr:uid="{00000000-0005-0000-0000-0000400A0000}"/>
    <cellStyle name="Table Units" xfId="2108" xr:uid="{00000000-0005-0000-0000-0000410A0000}"/>
    <cellStyle name="Table Units 10" xfId="2109" xr:uid="{00000000-0005-0000-0000-0000420A0000}"/>
    <cellStyle name="Table Units 11" xfId="2110" xr:uid="{00000000-0005-0000-0000-0000430A0000}"/>
    <cellStyle name="Table Units 2" xfId="2111" xr:uid="{00000000-0005-0000-0000-0000440A0000}"/>
    <cellStyle name="Table Units 2 2" xfId="2112" xr:uid="{00000000-0005-0000-0000-0000450A0000}"/>
    <cellStyle name="Table Units 3" xfId="2113" xr:uid="{00000000-0005-0000-0000-0000460A0000}"/>
    <cellStyle name="Table Units 4" xfId="2114" xr:uid="{00000000-0005-0000-0000-0000470A0000}"/>
    <cellStyle name="Table Units 5" xfId="2115" xr:uid="{00000000-0005-0000-0000-0000480A0000}"/>
    <cellStyle name="Table Units 6" xfId="2116" xr:uid="{00000000-0005-0000-0000-0000490A0000}"/>
    <cellStyle name="Table Units 7" xfId="2117" xr:uid="{00000000-0005-0000-0000-00004A0A0000}"/>
    <cellStyle name="Table Units 8" xfId="2118" xr:uid="{00000000-0005-0000-0000-00004B0A0000}"/>
    <cellStyle name="Table Units 9" xfId="2119" xr:uid="{00000000-0005-0000-0000-00004C0A0000}"/>
    <cellStyle name="Table_Header" xfId="2120" xr:uid="{00000000-0005-0000-0000-00004D0A0000}"/>
    <cellStyle name="TableBase" xfId="2121" xr:uid="{00000000-0005-0000-0000-00004E0A0000}"/>
    <cellStyle name="TableBase 2" xfId="2122" xr:uid="{00000000-0005-0000-0000-00004F0A0000}"/>
    <cellStyle name="TableBase 2 2" xfId="2123" xr:uid="{00000000-0005-0000-0000-0000500A0000}"/>
    <cellStyle name="TableHead" xfId="2124" xr:uid="{00000000-0005-0000-0000-0000510A0000}"/>
    <cellStyle name="TableHead 2" xfId="2125" xr:uid="{00000000-0005-0000-0000-0000520A0000}"/>
    <cellStyle name="TableHead 2 2" xfId="2126" xr:uid="{00000000-0005-0000-0000-0000530A0000}"/>
    <cellStyle name="Tag" xfId="2127" xr:uid="{00000000-0005-0000-0000-0000540A0000}"/>
    <cellStyle name="taples Plaza" xfId="2128" xr:uid="{00000000-0005-0000-0000-0000550A0000}"/>
    <cellStyle name="taples Plaza 2" xfId="2129" xr:uid="{00000000-0005-0000-0000-0000560A0000}"/>
    <cellStyle name="test" xfId="2130" xr:uid="{00000000-0005-0000-0000-0000570A0000}"/>
    <cellStyle name="Test 2" xfId="2131" xr:uid="{00000000-0005-0000-0000-0000580A0000}"/>
    <cellStyle name="test 2 2" xfId="2132" xr:uid="{00000000-0005-0000-0000-0000590A0000}"/>
    <cellStyle name="Text" xfId="2133" xr:uid="{00000000-0005-0000-0000-00005A0A0000}"/>
    <cellStyle name="Text 1" xfId="2134" xr:uid="{00000000-0005-0000-0000-00005B0A0000}"/>
    <cellStyle name="Text 10" xfId="2135" xr:uid="{00000000-0005-0000-0000-00005C0A0000}"/>
    <cellStyle name="Text 11" xfId="2136" xr:uid="{00000000-0005-0000-0000-00005D0A0000}"/>
    <cellStyle name="TEXT 12" xfId="2137" xr:uid="{00000000-0005-0000-0000-00005E0A0000}"/>
    <cellStyle name="TEXT 13" xfId="2138" xr:uid="{00000000-0005-0000-0000-00005F0A0000}"/>
    <cellStyle name="TEXT 14" xfId="2139" xr:uid="{00000000-0005-0000-0000-0000600A0000}"/>
    <cellStyle name="TEXT 15" xfId="2140" xr:uid="{00000000-0005-0000-0000-0000610A0000}"/>
    <cellStyle name="TEXT 16" xfId="2141" xr:uid="{00000000-0005-0000-0000-0000620A0000}"/>
    <cellStyle name="TEXT 17" xfId="2142" xr:uid="{00000000-0005-0000-0000-0000630A0000}"/>
    <cellStyle name="TEXT 18" xfId="2143" xr:uid="{00000000-0005-0000-0000-0000640A0000}"/>
    <cellStyle name="TEXT 19" xfId="2144" xr:uid="{00000000-0005-0000-0000-0000650A0000}"/>
    <cellStyle name="Text 2" xfId="2145" xr:uid="{00000000-0005-0000-0000-0000660A0000}"/>
    <cellStyle name="Text 2 2" xfId="2146" xr:uid="{00000000-0005-0000-0000-0000670A0000}"/>
    <cellStyle name="TEXT 20" xfId="2147" xr:uid="{00000000-0005-0000-0000-0000680A0000}"/>
    <cellStyle name="TEXT 21" xfId="2148" xr:uid="{00000000-0005-0000-0000-0000690A0000}"/>
    <cellStyle name="TEXT 22" xfId="2149" xr:uid="{00000000-0005-0000-0000-00006A0A0000}"/>
    <cellStyle name="TEXT 23" xfId="2150" xr:uid="{00000000-0005-0000-0000-00006B0A0000}"/>
    <cellStyle name="TEXT 24" xfId="2151" xr:uid="{00000000-0005-0000-0000-00006C0A0000}"/>
    <cellStyle name="TEXT 25" xfId="2152" xr:uid="{00000000-0005-0000-0000-00006D0A0000}"/>
    <cellStyle name="Text 3" xfId="2153" xr:uid="{00000000-0005-0000-0000-00006E0A0000}"/>
    <cellStyle name="Text 4" xfId="2154" xr:uid="{00000000-0005-0000-0000-00006F0A0000}"/>
    <cellStyle name="Text 5" xfId="2155" xr:uid="{00000000-0005-0000-0000-0000700A0000}"/>
    <cellStyle name="Text 6" xfId="2156" xr:uid="{00000000-0005-0000-0000-0000710A0000}"/>
    <cellStyle name="Text 7" xfId="2157" xr:uid="{00000000-0005-0000-0000-0000720A0000}"/>
    <cellStyle name="Text 8" xfId="2158" xr:uid="{00000000-0005-0000-0000-0000730A0000}"/>
    <cellStyle name="Text 9" xfId="2159" xr:uid="{00000000-0005-0000-0000-0000740A0000}"/>
    <cellStyle name="Text Head" xfId="2160" xr:uid="{00000000-0005-0000-0000-0000750A0000}"/>
    <cellStyle name="Text Head 1" xfId="2161" xr:uid="{00000000-0005-0000-0000-0000760A0000}"/>
    <cellStyle name="TextNormal" xfId="2162" xr:uid="{00000000-0005-0000-0000-0000770A0000}"/>
    <cellStyle name="Texto de Aviso 2" xfId="2163" xr:uid="{00000000-0005-0000-0000-0000780A0000}"/>
    <cellStyle name="Texto Explicativo 2" xfId="2164" xr:uid="{00000000-0005-0000-0000-0000790A0000}"/>
    <cellStyle name="TFCF" xfId="2165" xr:uid="{00000000-0005-0000-0000-00007A0A0000}"/>
    <cellStyle name="þ_x001d_ð'_x000c_ïþ÷_x000c_âþU_x0001_o_x0014_x_x001c__x0007__x0001__x0001_" xfId="2166" xr:uid="{00000000-0005-0000-0000-00007B0A0000}"/>
    <cellStyle name="þ_x001d_ð'_x000c_ïþ÷_x000c_âþU_x0001_o_x0014_x_x001c__x0007__x0001__x0001_ 2" xfId="2167" xr:uid="{00000000-0005-0000-0000-00007C0A0000}"/>
    <cellStyle name="Tickmark" xfId="2168" xr:uid="{00000000-0005-0000-0000-00007D0A0000}"/>
    <cellStyle name="Time" xfId="2169" xr:uid="{00000000-0005-0000-0000-00007E0A0000}"/>
    <cellStyle name="Time 2" xfId="2170" xr:uid="{00000000-0005-0000-0000-00007F0A0000}"/>
    <cellStyle name="times" xfId="2171" xr:uid="{00000000-0005-0000-0000-0000800A0000}"/>
    <cellStyle name="Times 10" xfId="2172" xr:uid="{00000000-0005-0000-0000-0000810A0000}"/>
    <cellStyle name="Times 10 2" xfId="2173" xr:uid="{00000000-0005-0000-0000-0000820A0000}"/>
    <cellStyle name="Times 10 2 2" xfId="2174" xr:uid="{00000000-0005-0000-0000-0000830A0000}"/>
    <cellStyle name="Times 12" xfId="2175" xr:uid="{00000000-0005-0000-0000-0000840A0000}"/>
    <cellStyle name="Times 12 2" xfId="2176" xr:uid="{00000000-0005-0000-0000-0000850A0000}"/>
    <cellStyle name="Times 12 2 2" xfId="2177" xr:uid="{00000000-0005-0000-0000-0000860A0000}"/>
    <cellStyle name="Title" xfId="2178" xr:uid="{00000000-0005-0000-0000-0000870A0000}"/>
    <cellStyle name="Title - Underline" xfId="2179" xr:uid="{00000000-0005-0000-0000-0000880A0000}"/>
    <cellStyle name="Title 2" xfId="2180" xr:uid="{00000000-0005-0000-0000-0000890A0000}"/>
    <cellStyle name="Title 2 2" xfId="2181" xr:uid="{00000000-0005-0000-0000-00008A0A0000}"/>
    <cellStyle name="Titles" xfId="2182" xr:uid="{00000000-0005-0000-0000-00008B0A0000}"/>
    <cellStyle name="Titles - Other" xfId="2183" xr:uid="{00000000-0005-0000-0000-00008C0A0000}"/>
    <cellStyle name="Titles 2" xfId="2184" xr:uid="{00000000-0005-0000-0000-00008D0A0000}"/>
    <cellStyle name="Titles 2 2" xfId="2185" xr:uid="{00000000-0005-0000-0000-00008E0A0000}"/>
    <cellStyle name="Titre 1" xfId="2186" xr:uid="{00000000-0005-0000-0000-00008F0A0000}"/>
    <cellStyle name="Titre_6194 G 0002 E EST -AE annexe A-1-2 -solution prog- invest-02_11_CHIFFRAGE ENGAGEMENT au 22-01-10" xfId="2187" xr:uid="{00000000-0005-0000-0000-0000900A0000}"/>
    <cellStyle name="Titulo" xfId="2188" xr:uid="{00000000-0005-0000-0000-0000910A0000}"/>
    <cellStyle name="Título 1 2" xfId="2189" xr:uid="{00000000-0005-0000-0000-0000920A0000}"/>
    <cellStyle name="Título 2 2" xfId="2190" xr:uid="{00000000-0005-0000-0000-0000930A0000}"/>
    <cellStyle name="Título 3 2" xfId="2191" xr:uid="{00000000-0005-0000-0000-0000940A0000}"/>
    <cellStyle name="Título 4 2" xfId="2192" xr:uid="{00000000-0005-0000-0000-0000950A0000}"/>
    <cellStyle name="Título 5" xfId="2193" xr:uid="{00000000-0005-0000-0000-0000960A0000}"/>
    <cellStyle name="Título datas" xfId="2194" xr:uid="{00000000-0005-0000-0000-0000970A0000}"/>
    <cellStyle name="Título totais" xfId="2195" xr:uid="{00000000-0005-0000-0000-0000980A0000}"/>
    <cellStyle name="Titulo_Abertura_Despesas (3)" xfId="2196" xr:uid="{00000000-0005-0000-0000-0000990A0000}"/>
    <cellStyle name="Titulo1" xfId="2197" xr:uid="{00000000-0005-0000-0000-00009A0A0000}"/>
    <cellStyle name="Titulo1 2" xfId="2198" xr:uid="{00000000-0005-0000-0000-00009B0A0000}"/>
    <cellStyle name="Titulo2" xfId="2199" xr:uid="{00000000-0005-0000-0000-00009C0A0000}"/>
    <cellStyle name="Titulo2 2" xfId="2200" xr:uid="{00000000-0005-0000-0000-00009D0A0000}"/>
    <cellStyle name="TITULOS" xfId="2201" xr:uid="{00000000-0005-0000-0000-00009E0A0000}"/>
    <cellStyle name="To Financials" xfId="2202" xr:uid="{00000000-0005-0000-0000-00009F0A0000}"/>
    <cellStyle name="To_Financial_statements" xfId="2203" xr:uid="{00000000-0005-0000-0000-0000A00A0000}"/>
    <cellStyle name="Tocopilla" xfId="2204" xr:uid="{00000000-0005-0000-0000-0000A10A0000}"/>
    <cellStyle name="Top Edge" xfId="2205" xr:uid="{00000000-0005-0000-0000-0000A20A0000}"/>
    <cellStyle name="TopGrey" xfId="2206" xr:uid="{00000000-0005-0000-0000-0000A30A0000}"/>
    <cellStyle name="Topline" xfId="2207" xr:uid="{00000000-0005-0000-0000-0000A40A0000}"/>
    <cellStyle name="Topline 2" xfId="2208" xr:uid="{00000000-0005-0000-0000-0000A50A0000}"/>
    <cellStyle name="Topline 3" xfId="2209" xr:uid="{00000000-0005-0000-0000-0000A60A0000}"/>
    <cellStyle name="topline x2" xfId="2210" xr:uid="{00000000-0005-0000-0000-0000A70A0000}"/>
    <cellStyle name="Topline_Abertura_Despesas (3)" xfId="2211" xr:uid="{00000000-0005-0000-0000-0000A80A0000}"/>
    <cellStyle name="Total 2" xfId="2212" xr:uid="{00000000-0005-0000-0000-0000A90A0000}"/>
    <cellStyle name="Total 2 2" xfId="2213" xr:uid="{00000000-0005-0000-0000-0000AA0A0000}"/>
    <cellStyle name="Total 3" xfId="2214" xr:uid="{00000000-0005-0000-0000-0000AB0A0000}"/>
    <cellStyle name="TotalCurrency" xfId="2215" xr:uid="{00000000-0005-0000-0000-0000AC0A0000}"/>
    <cellStyle name="TOTALSl" xfId="2216" xr:uid="{00000000-0005-0000-0000-0000AD0A0000}"/>
    <cellStyle name="ubordinated Debt" xfId="2217" xr:uid="{00000000-0005-0000-0000-0000AE0A0000}"/>
    <cellStyle name="Uhrzeit" xfId="2218" xr:uid="{00000000-0005-0000-0000-0000AF0A0000}"/>
    <cellStyle name="Undefined" xfId="2219" xr:uid="{00000000-0005-0000-0000-0000B00A0000}"/>
    <cellStyle name="Undefined 2" xfId="2220" xr:uid="{00000000-0005-0000-0000-0000B10A0000}"/>
    <cellStyle name="Undefined 2 2" xfId="2221" xr:uid="{00000000-0005-0000-0000-0000B20A0000}"/>
    <cellStyle name="Underline_Single" xfId="2222" xr:uid="{00000000-0005-0000-0000-0000B30A0000}"/>
    <cellStyle name="UNITS" xfId="2223" xr:uid="{00000000-0005-0000-0000-0000B40A0000}"/>
    <cellStyle name="UNITS 2" xfId="2224" xr:uid="{00000000-0005-0000-0000-0000B50A0000}"/>
    <cellStyle name="UNITS 2 2" xfId="2225" xr:uid="{00000000-0005-0000-0000-0000B60A0000}"/>
    <cellStyle name="Unlocked" xfId="2226" xr:uid="{00000000-0005-0000-0000-0000B70A0000}"/>
    <cellStyle name="Unlocked 2" xfId="2227" xr:uid="{00000000-0005-0000-0000-0000B80A0000}"/>
    <cellStyle name="Unprot" xfId="2228" xr:uid="{00000000-0005-0000-0000-0000B90A0000}"/>
    <cellStyle name="Unprot 2" xfId="2229" xr:uid="{00000000-0005-0000-0000-0000BA0A0000}"/>
    <cellStyle name="Unprot$" xfId="2230" xr:uid="{00000000-0005-0000-0000-0000BB0A0000}"/>
    <cellStyle name="Unprot$ 2" xfId="2231" xr:uid="{00000000-0005-0000-0000-0000BC0A0000}"/>
    <cellStyle name="Unprot_COPE DIS Sep 14" xfId="2232" xr:uid="{00000000-0005-0000-0000-0000BD0A0000}"/>
    <cellStyle name="Unprotect" xfId="2233" xr:uid="{00000000-0005-0000-0000-0000BE0A0000}"/>
    <cellStyle name="User_Defined_A" xfId="2234" xr:uid="{00000000-0005-0000-0000-0000BF0A0000}"/>
    <cellStyle name="V¡rgula" xfId="2235" xr:uid="{00000000-0005-0000-0000-0000C00A0000}"/>
    <cellStyle name="V¡rgula 2" xfId="2236" xr:uid="{00000000-0005-0000-0000-0000C10A0000}"/>
    <cellStyle name="V¡rgula0" xfId="2237" xr:uid="{00000000-0005-0000-0000-0000C20A0000}"/>
    <cellStyle name="V¡rgula0 2" xfId="2238" xr:uid="{00000000-0005-0000-0000-0000C30A0000}"/>
    <cellStyle name="Valuta [0]_Blad1" xfId="2239" xr:uid="{00000000-0005-0000-0000-0000C40A0000}"/>
    <cellStyle name="Valuta_Blad1" xfId="2240" xr:uid="{00000000-0005-0000-0000-0000C50A0000}"/>
    <cellStyle name="VENDOR" xfId="2241" xr:uid="{00000000-0005-0000-0000-0000C60A0000}"/>
    <cellStyle name="ventas" xfId="2242" xr:uid="{00000000-0005-0000-0000-0000C70A0000}"/>
    <cellStyle name="Vírgula" xfId="3" builtinId="3"/>
    <cellStyle name="Vírgula 2" xfId="16" xr:uid="{00000000-0005-0000-0000-0000C90A0000}"/>
    <cellStyle name="Vírgula 2 2 2" xfId="2794" xr:uid="{00000000-0005-0000-0000-0000CA0A0000}"/>
    <cellStyle name="Vírgula 3" xfId="22" xr:uid="{00000000-0005-0000-0000-0000CB0A0000}"/>
    <cellStyle name="Vírgula 4" xfId="2243" xr:uid="{00000000-0005-0000-0000-0000CC0A0000}"/>
    <cellStyle name="Vírgula 4 2" xfId="2244" xr:uid="{00000000-0005-0000-0000-0000CD0A0000}"/>
    <cellStyle name="Vírgula 5" xfId="2245" xr:uid="{00000000-0005-0000-0000-0000CE0A0000}"/>
    <cellStyle name="Vírgula0" xfId="2246" xr:uid="{00000000-0005-0000-0000-0000CF0A0000}"/>
    <cellStyle name="Vírgula0 2" xfId="2247" xr:uid="{00000000-0005-0000-0000-0000D00A0000}"/>
    <cellStyle name="Währung [0]_revenue" xfId="2248" xr:uid="{00000000-0005-0000-0000-0000D10A0000}"/>
    <cellStyle name="Währung_airt-rev" xfId="2249" xr:uid="{00000000-0005-0000-0000-0000D20A0000}"/>
    <cellStyle name="Warning Text" xfId="2250" xr:uid="{00000000-0005-0000-0000-0000D30A0000}"/>
    <cellStyle name="Warning Text 2" xfId="2251" xr:uid="{00000000-0005-0000-0000-0000D40A0000}"/>
    <cellStyle name="Warning Text 2 2" xfId="2252" xr:uid="{00000000-0005-0000-0000-0000D50A0000}"/>
    <cellStyle name="White" xfId="2253" xr:uid="{00000000-0005-0000-0000-0000D60A0000}"/>
    <cellStyle name="White 2" xfId="2254" xr:uid="{00000000-0005-0000-0000-0000D70A0000}"/>
    <cellStyle name="White 2 2" xfId="2255" xr:uid="{00000000-0005-0000-0000-0000D80A0000}"/>
    <cellStyle name="WhitePattern" xfId="2256" xr:uid="{00000000-0005-0000-0000-0000D90A0000}"/>
    <cellStyle name="WhitePattern 2" xfId="2257" xr:uid="{00000000-0005-0000-0000-0000DA0A0000}"/>
    <cellStyle name="WhitePattern 2 2" xfId="2258" xr:uid="{00000000-0005-0000-0000-0000DB0A0000}"/>
    <cellStyle name="WhitePattern1" xfId="2259" xr:uid="{00000000-0005-0000-0000-0000DC0A0000}"/>
    <cellStyle name="WhitePattern1 2" xfId="2260" xr:uid="{00000000-0005-0000-0000-0000DD0A0000}"/>
    <cellStyle name="WhitePattern1 2 2" xfId="2261" xr:uid="{00000000-0005-0000-0000-0000DE0A0000}"/>
    <cellStyle name="WhiteText" xfId="2262" xr:uid="{00000000-0005-0000-0000-0000DF0A0000}"/>
    <cellStyle name="WhiteText 2" xfId="2263" xr:uid="{00000000-0005-0000-0000-0000E00A0000}"/>
    <cellStyle name="WhiteText 2 2" xfId="2264" xr:uid="{00000000-0005-0000-0000-0000E10A0000}"/>
    <cellStyle name="year" xfId="2265" xr:uid="{00000000-0005-0000-0000-0000E20A0000}"/>
    <cellStyle name="Year 10" xfId="2266" xr:uid="{00000000-0005-0000-0000-0000E30A0000}"/>
    <cellStyle name="year 2" xfId="2267" xr:uid="{00000000-0005-0000-0000-0000E40A0000}"/>
    <cellStyle name="year 3" xfId="2268" xr:uid="{00000000-0005-0000-0000-0000E50A0000}"/>
    <cellStyle name="year 4" xfId="2269" xr:uid="{00000000-0005-0000-0000-0000E60A0000}"/>
    <cellStyle name="Year 5" xfId="2270" xr:uid="{00000000-0005-0000-0000-0000E70A0000}"/>
    <cellStyle name="Year 6" xfId="2271" xr:uid="{00000000-0005-0000-0000-0000E80A0000}"/>
    <cellStyle name="Year 7" xfId="2272" xr:uid="{00000000-0005-0000-0000-0000E90A0000}"/>
    <cellStyle name="Year 8" xfId="2273" xr:uid="{00000000-0005-0000-0000-0000EA0A0000}"/>
    <cellStyle name="Year 9" xfId="2274" xr:uid="{00000000-0005-0000-0000-0000EB0A0000}"/>
    <cellStyle name="YearlyColumn" xfId="2275" xr:uid="{00000000-0005-0000-0000-0000EC0A0000}"/>
    <cellStyle name="Years" xfId="2276" xr:uid="{00000000-0005-0000-0000-0000ED0A0000}"/>
    <cellStyle name="Yen" xfId="2277" xr:uid="{00000000-0005-0000-0000-0000EE0A0000}"/>
    <cellStyle name="Обычный_AmoTotApr" xfId="2278" xr:uid="{00000000-0005-0000-0000-0000EF0A0000}"/>
  </cellStyles>
  <dxfs count="84"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top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00FF00"/>
      <color rgb="FF308430"/>
      <color rgb="FF3250CE"/>
      <color rgb="FF40AE40"/>
      <color rgb="FFFF40FF"/>
      <color rgb="FFFF8AD8"/>
      <color rgb="FFFF6A47"/>
      <color rgb="FFFFCC99"/>
      <color rgb="FFFF9933"/>
      <color rgb="FF00D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0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6.xml"/><Relationship Id="rId84" Type="http://schemas.openxmlformats.org/officeDocument/2006/relationships/externalLink" Target="externalLinks/externalLink37.xml"/><Relationship Id="rId138" Type="http://schemas.openxmlformats.org/officeDocument/2006/relationships/externalLink" Target="externalLinks/externalLink91.xml"/><Relationship Id="rId159" Type="http://schemas.openxmlformats.org/officeDocument/2006/relationships/externalLink" Target="externalLinks/externalLink112.xml"/><Relationship Id="rId170" Type="http://schemas.openxmlformats.org/officeDocument/2006/relationships/externalLink" Target="externalLinks/externalLink123.xml"/><Relationship Id="rId107" Type="http://schemas.openxmlformats.org/officeDocument/2006/relationships/externalLink" Target="externalLinks/externalLink6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6.xml"/><Relationship Id="rId74" Type="http://schemas.openxmlformats.org/officeDocument/2006/relationships/externalLink" Target="externalLinks/externalLink27.xml"/><Relationship Id="rId128" Type="http://schemas.openxmlformats.org/officeDocument/2006/relationships/externalLink" Target="externalLinks/externalLink81.xml"/><Relationship Id="rId149" Type="http://schemas.openxmlformats.org/officeDocument/2006/relationships/externalLink" Target="externalLinks/externalLink10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48.xml"/><Relationship Id="rId160" Type="http://schemas.openxmlformats.org/officeDocument/2006/relationships/externalLink" Target="externalLinks/externalLink11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7.xml"/><Relationship Id="rId118" Type="http://schemas.openxmlformats.org/officeDocument/2006/relationships/externalLink" Target="externalLinks/externalLink71.xml"/><Relationship Id="rId139" Type="http://schemas.openxmlformats.org/officeDocument/2006/relationships/externalLink" Target="externalLinks/externalLink92.xml"/><Relationship Id="rId85" Type="http://schemas.openxmlformats.org/officeDocument/2006/relationships/externalLink" Target="externalLinks/externalLink38.xml"/><Relationship Id="rId150" Type="http://schemas.openxmlformats.org/officeDocument/2006/relationships/externalLink" Target="externalLinks/externalLink103.xml"/><Relationship Id="rId171" Type="http://schemas.openxmlformats.org/officeDocument/2006/relationships/externalLink" Target="externalLinks/externalLink12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61.xml"/><Relationship Id="rId129" Type="http://schemas.openxmlformats.org/officeDocument/2006/relationships/externalLink" Target="externalLinks/externalLink82.xml"/><Relationship Id="rId54" Type="http://schemas.openxmlformats.org/officeDocument/2006/relationships/externalLink" Target="externalLinks/externalLink7.xml"/><Relationship Id="rId75" Type="http://schemas.openxmlformats.org/officeDocument/2006/relationships/externalLink" Target="externalLinks/externalLink28.xml"/><Relationship Id="rId96" Type="http://schemas.openxmlformats.org/officeDocument/2006/relationships/externalLink" Target="externalLinks/externalLink49.xml"/><Relationship Id="rId140" Type="http://schemas.openxmlformats.org/officeDocument/2006/relationships/externalLink" Target="externalLinks/externalLink93.xml"/><Relationship Id="rId161" Type="http://schemas.openxmlformats.org/officeDocument/2006/relationships/externalLink" Target="externalLinks/externalLink114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2.xml"/><Relationship Id="rId114" Type="http://schemas.openxmlformats.org/officeDocument/2006/relationships/externalLink" Target="externalLinks/externalLink67.xml"/><Relationship Id="rId119" Type="http://schemas.openxmlformats.org/officeDocument/2006/relationships/externalLink" Target="externalLinks/externalLink72.xml"/><Relationship Id="rId44" Type="http://schemas.openxmlformats.org/officeDocument/2006/relationships/worksheet" Target="worksheets/sheet44.xml"/><Relationship Id="rId60" Type="http://schemas.openxmlformats.org/officeDocument/2006/relationships/externalLink" Target="externalLinks/externalLink13.xml"/><Relationship Id="rId65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34.xml"/><Relationship Id="rId86" Type="http://schemas.openxmlformats.org/officeDocument/2006/relationships/externalLink" Target="externalLinks/externalLink39.xml"/><Relationship Id="rId130" Type="http://schemas.openxmlformats.org/officeDocument/2006/relationships/externalLink" Target="externalLinks/externalLink83.xml"/><Relationship Id="rId135" Type="http://schemas.openxmlformats.org/officeDocument/2006/relationships/externalLink" Target="externalLinks/externalLink88.xml"/><Relationship Id="rId151" Type="http://schemas.openxmlformats.org/officeDocument/2006/relationships/externalLink" Target="externalLinks/externalLink104.xml"/><Relationship Id="rId156" Type="http://schemas.openxmlformats.org/officeDocument/2006/relationships/externalLink" Target="externalLinks/externalLink109.xml"/><Relationship Id="rId177" Type="http://schemas.openxmlformats.org/officeDocument/2006/relationships/sheetMetadata" Target="metadata.xml"/><Relationship Id="rId172" Type="http://schemas.openxmlformats.org/officeDocument/2006/relationships/externalLink" Target="externalLinks/externalLink12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6" Type="http://schemas.openxmlformats.org/officeDocument/2006/relationships/externalLink" Target="externalLinks/externalLink29.xml"/><Relationship Id="rId97" Type="http://schemas.openxmlformats.org/officeDocument/2006/relationships/externalLink" Target="externalLinks/externalLink50.xml"/><Relationship Id="rId104" Type="http://schemas.openxmlformats.org/officeDocument/2006/relationships/externalLink" Target="externalLinks/externalLink57.xml"/><Relationship Id="rId120" Type="http://schemas.openxmlformats.org/officeDocument/2006/relationships/externalLink" Target="externalLinks/externalLink73.xml"/><Relationship Id="rId125" Type="http://schemas.openxmlformats.org/officeDocument/2006/relationships/externalLink" Target="externalLinks/externalLink78.xml"/><Relationship Id="rId141" Type="http://schemas.openxmlformats.org/officeDocument/2006/relationships/externalLink" Target="externalLinks/externalLink94.xml"/><Relationship Id="rId146" Type="http://schemas.openxmlformats.org/officeDocument/2006/relationships/externalLink" Target="externalLinks/externalLink99.xml"/><Relationship Id="rId167" Type="http://schemas.openxmlformats.org/officeDocument/2006/relationships/externalLink" Target="externalLinks/externalLink12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4.xml"/><Relationship Id="rId92" Type="http://schemas.openxmlformats.org/officeDocument/2006/relationships/externalLink" Target="externalLinks/externalLink45.xml"/><Relationship Id="rId162" Type="http://schemas.openxmlformats.org/officeDocument/2006/relationships/externalLink" Target="externalLinks/externalLink11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9.xml"/><Relationship Id="rId87" Type="http://schemas.openxmlformats.org/officeDocument/2006/relationships/externalLink" Target="externalLinks/externalLink40.xml"/><Relationship Id="rId110" Type="http://schemas.openxmlformats.org/officeDocument/2006/relationships/externalLink" Target="externalLinks/externalLink63.xml"/><Relationship Id="rId115" Type="http://schemas.openxmlformats.org/officeDocument/2006/relationships/externalLink" Target="externalLinks/externalLink68.xml"/><Relationship Id="rId131" Type="http://schemas.openxmlformats.org/officeDocument/2006/relationships/externalLink" Target="externalLinks/externalLink84.xml"/><Relationship Id="rId136" Type="http://schemas.openxmlformats.org/officeDocument/2006/relationships/externalLink" Target="externalLinks/externalLink89.xml"/><Relationship Id="rId157" Type="http://schemas.openxmlformats.org/officeDocument/2006/relationships/externalLink" Target="externalLinks/externalLink110.xml"/><Relationship Id="rId178" Type="http://schemas.openxmlformats.org/officeDocument/2006/relationships/calcChain" Target="calcChain.xml"/><Relationship Id="rId61" Type="http://schemas.openxmlformats.org/officeDocument/2006/relationships/externalLink" Target="externalLinks/externalLink14.xml"/><Relationship Id="rId82" Type="http://schemas.openxmlformats.org/officeDocument/2006/relationships/externalLink" Target="externalLinks/externalLink35.xml"/><Relationship Id="rId152" Type="http://schemas.openxmlformats.org/officeDocument/2006/relationships/externalLink" Target="externalLinks/externalLink105.xml"/><Relationship Id="rId173" Type="http://schemas.openxmlformats.org/officeDocument/2006/relationships/externalLink" Target="externalLinks/externalLink1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9.xml"/><Relationship Id="rId77" Type="http://schemas.openxmlformats.org/officeDocument/2006/relationships/externalLink" Target="externalLinks/externalLink30.xml"/><Relationship Id="rId100" Type="http://schemas.openxmlformats.org/officeDocument/2006/relationships/externalLink" Target="externalLinks/externalLink53.xml"/><Relationship Id="rId105" Type="http://schemas.openxmlformats.org/officeDocument/2006/relationships/externalLink" Target="externalLinks/externalLink58.xml"/><Relationship Id="rId126" Type="http://schemas.openxmlformats.org/officeDocument/2006/relationships/externalLink" Target="externalLinks/externalLink79.xml"/><Relationship Id="rId147" Type="http://schemas.openxmlformats.org/officeDocument/2006/relationships/externalLink" Target="externalLinks/externalLink100.xml"/><Relationship Id="rId168" Type="http://schemas.openxmlformats.org/officeDocument/2006/relationships/externalLink" Target="externalLinks/externalLink12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72" Type="http://schemas.openxmlformats.org/officeDocument/2006/relationships/externalLink" Target="externalLinks/externalLink25.xml"/><Relationship Id="rId93" Type="http://schemas.openxmlformats.org/officeDocument/2006/relationships/externalLink" Target="externalLinks/externalLink46.xml"/><Relationship Id="rId98" Type="http://schemas.openxmlformats.org/officeDocument/2006/relationships/externalLink" Target="externalLinks/externalLink51.xml"/><Relationship Id="rId121" Type="http://schemas.openxmlformats.org/officeDocument/2006/relationships/externalLink" Target="externalLinks/externalLink74.xml"/><Relationship Id="rId142" Type="http://schemas.openxmlformats.org/officeDocument/2006/relationships/externalLink" Target="externalLinks/externalLink95.xml"/><Relationship Id="rId163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20.xml"/><Relationship Id="rId116" Type="http://schemas.openxmlformats.org/officeDocument/2006/relationships/externalLink" Target="externalLinks/externalLink69.xml"/><Relationship Id="rId137" Type="http://schemas.openxmlformats.org/officeDocument/2006/relationships/externalLink" Target="externalLinks/externalLink90.xml"/><Relationship Id="rId158" Type="http://schemas.openxmlformats.org/officeDocument/2006/relationships/externalLink" Target="externalLinks/externalLink1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5.xml"/><Relationship Id="rId83" Type="http://schemas.openxmlformats.org/officeDocument/2006/relationships/externalLink" Target="externalLinks/externalLink36.xml"/><Relationship Id="rId88" Type="http://schemas.openxmlformats.org/officeDocument/2006/relationships/externalLink" Target="externalLinks/externalLink41.xml"/><Relationship Id="rId111" Type="http://schemas.openxmlformats.org/officeDocument/2006/relationships/externalLink" Target="externalLinks/externalLink64.xml"/><Relationship Id="rId132" Type="http://schemas.openxmlformats.org/officeDocument/2006/relationships/externalLink" Target="externalLinks/externalLink85.xml"/><Relationship Id="rId153" Type="http://schemas.openxmlformats.org/officeDocument/2006/relationships/externalLink" Target="externalLinks/externalLink106.xml"/><Relationship Id="rId17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0.xml"/><Relationship Id="rId106" Type="http://schemas.openxmlformats.org/officeDocument/2006/relationships/externalLink" Target="externalLinks/externalLink59.xml"/><Relationship Id="rId127" Type="http://schemas.openxmlformats.org/officeDocument/2006/relationships/externalLink" Target="externalLinks/externalLink8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5.xml"/><Relationship Id="rId73" Type="http://schemas.openxmlformats.org/officeDocument/2006/relationships/externalLink" Target="externalLinks/externalLink26.xml"/><Relationship Id="rId78" Type="http://schemas.openxmlformats.org/officeDocument/2006/relationships/externalLink" Target="externalLinks/externalLink31.xml"/><Relationship Id="rId94" Type="http://schemas.openxmlformats.org/officeDocument/2006/relationships/externalLink" Target="externalLinks/externalLink47.xml"/><Relationship Id="rId99" Type="http://schemas.openxmlformats.org/officeDocument/2006/relationships/externalLink" Target="externalLinks/externalLink52.xml"/><Relationship Id="rId101" Type="http://schemas.openxmlformats.org/officeDocument/2006/relationships/externalLink" Target="externalLinks/externalLink54.xml"/><Relationship Id="rId122" Type="http://schemas.openxmlformats.org/officeDocument/2006/relationships/externalLink" Target="externalLinks/externalLink75.xml"/><Relationship Id="rId143" Type="http://schemas.openxmlformats.org/officeDocument/2006/relationships/externalLink" Target="externalLinks/externalLink96.xml"/><Relationship Id="rId148" Type="http://schemas.openxmlformats.org/officeDocument/2006/relationships/externalLink" Target="externalLinks/externalLink101.xml"/><Relationship Id="rId164" Type="http://schemas.openxmlformats.org/officeDocument/2006/relationships/externalLink" Target="externalLinks/externalLink117.xml"/><Relationship Id="rId169" Type="http://schemas.openxmlformats.org/officeDocument/2006/relationships/externalLink" Target="externalLinks/externalLink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21.xml"/><Relationship Id="rId89" Type="http://schemas.openxmlformats.org/officeDocument/2006/relationships/externalLink" Target="externalLinks/externalLink42.xml"/><Relationship Id="rId112" Type="http://schemas.openxmlformats.org/officeDocument/2006/relationships/externalLink" Target="externalLinks/externalLink65.xml"/><Relationship Id="rId133" Type="http://schemas.openxmlformats.org/officeDocument/2006/relationships/externalLink" Target="externalLinks/externalLink86.xml"/><Relationship Id="rId154" Type="http://schemas.openxmlformats.org/officeDocument/2006/relationships/externalLink" Target="externalLinks/externalLink107.xml"/><Relationship Id="rId175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1.xml"/><Relationship Id="rId79" Type="http://schemas.openxmlformats.org/officeDocument/2006/relationships/externalLink" Target="externalLinks/externalLink32.xml"/><Relationship Id="rId102" Type="http://schemas.openxmlformats.org/officeDocument/2006/relationships/externalLink" Target="externalLinks/externalLink55.xml"/><Relationship Id="rId123" Type="http://schemas.openxmlformats.org/officeDocument/2006/relationships/externalLink" Target="externalLinks/externalLink76.xml"/><Relationship Id="rId144" Type="http://schemas.openxmlformats.org/officeDocument/2006/relationships/externalLink" Target="externalLinks/externalLink97.xml"/><Relationship Id="rId90" Type="http://schemas.openxmlformats.org/officeDocument/2006/relationships/externalLink" Target="externalLinks/externalLink43.xml"/><Relationship Id="rId165" Type="http://schemas.openxmlformats.org/officeDocument/2006/relationships/externalLink" Target="externalLinks/externalLink118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1.xml"/><Relationship Id="rId69" Type="http://schemas.openxmlformats.org/officeDocument/2006/relationships/externalLink" Target="externalLinks/externalLink22.xml"/><Relationship Id="rId113" Type="http://schemas.openxmlformats.org/officeDocument/2006/relationships/externalLink" Target="externalLinks/externalLink66.xml"/><Relationship Id="rId134" Type="http://schemas.openxmlformats.org/officeDocument/2006/relationships/externalLink" Target="externalLinks/externalLink87.xml"/><Relationship Id="rId80" Type="http://schemas.openxmlformats.org/officeDocument/2006/relationships/externalLink" Target="externalLinks/externalLink33.xml"/><Relationship Id="rId155" Type="http://schemas.openxmlformats.org/officeDocument/2006/relationships/externalLink" Target="externalLinks/externalLink108.xml"/><Relationship Id="rId176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2.xml"/><Relationship Id="rId103" Type="http://schemas.openxmlformats.org/officeDocument/2006/relationships/externalLink" Target="externalLinks/externalLink56.xml"/><Relationship Id="rId124" Type="http://schemas.openxmlformats.org/officeDocument/2006/relationships/externalLink" Target="externalLinks/externalLink77.xml"/><Relationship Id="rId70" Type="http://schemas.openxmlformats.org/officeDocument/2006/relationships/externalLink" Target="externalLinks/externalLink23.xml"/><Relationship Id="rId91" Type="http://schemas.openxmlformats.org/officeDocument/2006/relationships/externalLink" Target="externalLinks/externalLink44.xml"/><Relationship Id="rId145" Type="http://schemas.openxmlformats.org/officeDocument/2006/relationships/externalLink" Target="externalLinks/externalLink98.xml"/><Relationship Id="rId166" Type="http://schemas.openxmlformats.org/officeDocument/2006/relationships/externalLink" Target="externalLinks/externalLink119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Evolução Populacional Sede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409201233611949"/>
          <c:y val="0.16245370370370371"/>
          <c:w val="0.80146347945319174"/>
          <c:h val="0.58807923207424972"/>
        </c:manualLayout>
      </c:layout>
      <c:lineChart>
        <c:grouping val="standard"/>
        <c:varyColors val="0"/>
        <c:ser>
          <c:idx val="0"/>
          <c:order val="0"/>
          <c:tx>
            <c:v>População Sede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'Projeção de População'!$B$4:$B$36</c:f>
              <c:numCache>
                <c:formatCode>General</c:formatCode>
                <c:ptCount val="3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</c:numCache>
            </c:numRef>
          </c:cat>
          <c:val>
            <c:numRef>
              <c:f>'Projeção de População'!$D$4:$D$36</c:f>
              <c:numCache>
                <c:formatCode>#,##0</c:formatCode>
                <c:ptCount val="33"/>
                <c:pt idx="0">
                  <c:v>101045</c:v>
                </c:pt>
                <c:pt idx="1">
                  <c:v>102520</c:v>
                </c:pt>
                <c:pt idx="2">
                  <c:v>103996</c:v>
                </c:pt>
                <c:pt idx="3">
                  <c:v>105469</c:v>
                </c:pt>
                <c:pt idx="4">
                  <c:v>106942</c:v>
                </c:pt>
                <c:pt idx="5">
                  <c:v>108415</c:v>
                </c:pt>
                <c:pt idx="6">
                  <c:v>109888</c:v>
                </c:pt>
                <c:pt idx="7">
                  <c:v>111361</c:v>
                </c:pt>
                <c:pt idx="8">
                  <c:v>112835</c:v>
                </c:pt>
                <c:pt idx="9">
                  <c:v>114308</c:v>
                </c:pt>
                <c:pt idx="10">
                  <c:v>115781</c:v>
                </c:pt>
                <c:pt idx="11">
                  <c:v>117254</c:v>
                </c:pt>
                <c:pt idx="12">
                  <c:v>118727</c:v>
                </c:pt>
                <c:pt idx="13">
                  <c:v>120200</c:v>
                </c:pt>
                <c:pt idx="14">
                  <c:v>121673</c:v>
                </c:pt>
                <c:pt idx="15">
                  <c:v>123146</c:v>
                </c:pt>
                <c:pt idx="16">
                  <c:v>124619</c:v>
                </c:pt>
                <c:pt idx="17">
                  <c:v>126093</c:v>
                </c:pt>
                <c:pt idx="18">
                  <c:v>127566</c:v>
                </c:pt>
                <c:pt idx="19">
                  <c:v>129039</c:v>
                </c:pt>
                <c:pt idx="20">
                  <c:v>130523</c:v>
                </c:pt>
                <c:pt idx="21">
                  <c:v>132024</c:v>
                </c:pt>
                <c:pt idx="22">
                  <c:v>133542</c:v>
                </c:pt>
                <c:pt idx="23">
                  <c:v>135078</c:v>
                </c:pt>
                <c:pt idx="24">
                  <c:v>136631</c:v>
                </c:pt>
                <c:pt idx="25">
                  <c:v>138202</c:v>
                </c:pt>
                <c:pt idx="26">
                  <c:v>139792</c:v>
                </c:pt>
                <c:pt idx="27">
                  <c:v>141401</c:v>
                </c:pt>
                <c:pt idx="28">
                  <c:v>143027</c:v>
                </c:pt>
                <c:pt idx="29">
                  <c:v>144672</c:v>
                </c:pt>
                <c:pt idx="30">
                  <c:v>146336</c:v>
                </c:pt>
                <c:pt idx="31">
                  <c:v>148019</c:v>
                </c:pt>
                <c:pt idx="32">
                  <c:v>149722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A-4AB8-9868-B4A1FB9B1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8092144"/>
        <c:axId val="-1418091056"/>
      </c:lineChart>
      <c:catAx>
        <c:axId val="-141809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18091056"/>
        <c:crosses val="autoZero"/>
        <c:auto val="1"/>
        <c:lblAlgn val="ctr"/>
        <c:lblOffset val="100"/>
        <c:tickLblSkip val="5"/>
        <c:noMultiLvlLbl val="0"/>
      </c:catAx>
      <c:valAx>
        <c:axId val="-141809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1809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5508289588801397"/>
          <c:y val="0.88007546932063241"/>
          <c:w val="0.25755770358656838"/>
          <c:h val="7.0958039818666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Evolução</a:t>
            </a:r>
            <a:r>
              <a:rPr lang="pt-BR" baseline="0"/>
              <a:t> Populacional dos Distritos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465593490036696"/>
          <c:y val="0.12349526674608304"/>
          <c:w val="0.79891571899009362"/>
          <c:h val="0.62176734411178525"/>
        </c:manualLayout>
      </c:layout>
      <c:lineChart>
        <c:grouping val="stacked"/>
        <c:varyColors val="0"/>
        <c:ser>
          <c:idx val="0"/>
          <c:order val="0"/>
          <c:tx>
            <c:strRef>
              <c:f>'Projeção de População'!$E$3</c:f>
              <c:strCache>
                <c:ptCount val="1"/>
                <c:pt idx="0">
                  <c:v>População Distrito Capo-Erê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'Projeção de População'!$B$4:$B$36</c:f>
              <c:numCache>
                <c:formatCode>General</c:formatCode>
                <c:ptCount val="3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</c:numCache>
            </c:numRef>
          </c:cat>
          <c:val>
            <c:numRef>
              <c:f>'Projeção de População'!$E$4:$E$36</c:f>
              <c:numCache>
                <c:formatCode>#,##0</c:formatCode>
                <c:ptCount val="33"/>
                <c:pt idx="0">
                  <c:v>300</c:v>
                </c:pt>
                <c:pt idx="1">
                  <c:v>304</c:v>
                </c:pt>
                <c:pt idx="2">
                  <c:v>308</c:v>
                </c:pt>
                <c:pt idx="3">
                  <c:v>312</c:v>
                </c:pt>
                <c:pt idx="4">
                  <c:v>316</c:v>
                </c:pt>
                <c:pt idx="5">
                  <c:v>320</c:v>
                </c:pt>
                <c:pt idx="6">
                  <c:v>324</c:v>
                </c:pt>
                <c:pt idx="7">
                  <c:v>328</c:v>
                </c:pt>
                <c:pt idx="8">
                  <c:v>332</c:v>
                </c:pt>
                <c:pt idx="9">
                  <c:v>336</c:v>
                </c:pt>
                <c:pt idx="10">
                  <c:v>340</c:v>
                </c:pt>
                <c:pt idx="11">
                  <c:v>344</c:v>
                </c:pt>
                <c:pt idx="12">
                  <c:v>348</c:v>
                </c:pt>
                <c:pt idx="13">
                  <c:v>352</c:v>
                </c:pt>
                <c:pt idx="14">
                  <c:v>356</c:v>
                </c:pt>
                <c:pt idx="15">
                  <c:v>360</c:v>
                </c:pt>
                <c:pt idx="16">
                  <c:v>364</c:v>
                </c:pt>
                <c:pt idx="17">
                  <c:v>368</c:v>
                </c:pt>
                <c:pt idx="18">
                  <c:v>372</c:v>
                </c:pt>
                <c:pt idx="19">
                  <c:v>376</c:v>
                </c:pt>
                <c:pt idx="20">
                  <c:v>380</c:v>
                </c:pt>
                <c:pt idx="21">
                  <c:v>384</c:v>
                </c:pt>
                <c:pt idx="22">
                  <c:v>388</c:v>
                </c:pt>
                <c:pt idx="23">
                  <c:v>392</c:v>
                </c:pt>
                <c:pt idx="24">
                  <c:v>397</c:v>
                </c:pt>
                <c:pt idx="25">
                  <c:v>402</c:v>
                </c:pt>
                <c:pt idx="26">
                  <c:v>407</c:v>
                </c:pt>
                <c:pt idx="27">
                  <c:v>412</c:v>
                </c:pt>
                <c:pt idx="28">
                  <c:v>417</c:v>
                </c:pt>
                <c:pt idx="29">
                  <c:v>422</c:v>
                </c:pt>
                <c:pt idx="30">
                  <c:v>427</c:v>
                </c:pt>
                <c:pt idx="31">
                  <c:v>432</c:v>
                </c:pt>
                <c:pt idx="32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2-43F7-B44D-1EE9844AE745}"/>
            </c:ext>
          </c:extLst>
        </c:ser>
        <c:ser>
          <c:idx val="1"/>
          <c:order val="1"/>
          <c:tx>
            <c:strRef>
              <c:f>'Projeção de População'!$F$3</c:f>
              <c:strCache>
                <c:ptCount val="1"/>
                <c:pt idx="0">
                  <c:v>População Distrito Jaguaretê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'Projeção de População'!$B$4:$B$36</c:f>
              <c:numCache>
                <c:formatCode>General</c:formatCode>
                <c:ptCount val="3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  <c:pt idx="29">
                  <c:v>2051</c:v>
                </c:pt>
                <c:pt idx="30">
                  <c:v>2052</c:v>
                </c:pt>
                <c:pt idx="31">
                  <c:v>2053</c:v>
                </c:pt>
                <c:pt idx="32">
                  <c:v>2054</c:v>
                </c:pt>
              </c:numCache>
            </c:numRef>
          </c:cat>
          <c:val>
            <c:numRef>
              <c:f>'Projeção de População'!$F$4:$F$36</c:f>
              <c:numCache>
                <c:formatCode>#,##0</c:formatCode>
                <c:ptCount val="33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2-43F7-B44D-1EE9844A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38832"/>
        <c:axId val="-19345360"/>
      </c:lineChart>
      <c:catAx>
        <c:axId val="-1933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9345360"/>
        <c:crosses val="autoZero"/>
        <c:auto val="1"/>
        <c:lblAlgn val="ctr"/>
        <c:lblOffset val="100"/>
        <c:tickLblSkip val="5"/>
        <c:noMultiLvlLbl val="0"/>
      </c:catAx>
      <c:valAx>
        <c:axId val="-1934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933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1665135608049E-2"/>
          <c:y val="0.83448964712744245"/>
          <c:w val="0.74611264216972872"/>
          <c:h val="8.565033537474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Investimento SI - Esgoto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455826108110422"/>
          <c:y val="0.13590067603642467"/>
          <c:w val="0.72780575820587212"/>
          <c:h val="0.6877473837952933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Investimento!$D$3:$AG$3</c:f>
              <c:numCache>
                <c:formatCode>#,##0;\-#,##0;;@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E-CA43-9E60-4491D6D1AB6E}"/>
            </c:ext>
          </c:extLst>
        </c:ser>
        <c:ser>
          <c:idx val="1"/>
          <c:order val="1"/>
          <c:invertIfNegative val="0"/>
          <c:val>
            <c:numRef>
              <c:f>Investimento!#REF!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E-CA43-9E60-4491D6D1A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51804320"/>
        <c:axId val="-1851801600"/>
      </c:barChart>
      <c:catAx>
        <c:axId val="-185180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Horizonte de Projeto</a:t>
                </a:r>
              </a:p>
            </c:rich>
          </c:tx>
          <c:layout>
            <c:manualLayout>
              <c:xMode val="edge"/>
              <c:yMode val="edge"/>
              <c:x val="0.11410726392193667"/>
              <c:y val="0.91864556012096266"/>
            </c:manualLayout>
          </c:layout>
          <c:overlay val="0"/>
        </c:title>
        <c:majorTickMark val="out"/>
        <c:minorTickMark val="none"/>
        <c:tickLblPos val="nextTo"/>
        <c:crossAx val="-1851801600"/>
        <c:crosses val="autoZero"/>
        <c:auto val="1"/>
        <c:lblAlgn val="ctr"/>
        <c:lblOffset val="100"/>
        <c:noMultiLvlLbl val="0"/>
      </c:catAx>
      <c:valAx>
        <c:axId val="-1851801600"/>
        <c:scaling>
          <c:orientation val="minMax"/>
        </c:scaling>
        <c:delete val="0"/>
        <c:axPos val="l"/>
        <c:majorGridlines>
          <c:spPr>
            <a:ln>
              <a:solidFill>
                <a:sysClr val="windowText" lastClr="000000">
                  <a:alpha val="13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Sistema Individual (R$)</a:t>
                </a:r>
              </a:p>
            </c:rich>
          </c:tx>
          <c:overlay val="0"/>
        </c:title>
        <c:numFmt formatCode="#,##0;\-#,##0;;@" sourceLinked="1"/>
        <c:majorTickMark val="out"/>
        <c:minorTickMark val="none"/>
        <c:tickLblPos val="nextTo"/>
        <c:crossAx val="-1851804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147" footer="0.3149606200000014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322003499562619"/>
          <c:y val="0.19721055701370688"/>
          <c:w val="0.87733552055993003"/>
          <c:h val="0.777361111111110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'Fluxo Sem Financiamento'!#REF!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'Fluxo Sem Financiamento'!#REF!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BC0-9243-9246-7B6797CB5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851801056"/>
        <c:axId val="-1851802144"/>
      </c:barChart>
      <c:catAx>
        <c:axId val="-1851801056"/>
        <c:scaling>
          <c:orientation val="minMax"/>
        </c:scaling>
        <c:delete val="0"/>
        <c:axPos val="b"/>
        <c:numFmt formatCode="#,##0;\-#,##0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51802144"/>
        <c:crosses val="autoZero"/>
        <c:auto val="1"/>
        <c:lblAlgn val="ctr"/>
        <c:lblOffset val="100"/>
        <c:noMultiLvlLbl val="0"/>
      </c:catAx>
      <c:valAx>
        <c:axId val="-185180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5180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380999</xdr:colOff>
      <xdr:row>34</xdr:row>
      <xdr:rowOff>145142</xdr:rowOff>
    </xdr:from>
    <xdr:to>
      <xdr:col>14</xdr:col>
      <xdr:colOff>1596571</xdr:colOff>
      <xdr:row>48</xdr:row>
      <xdr:rowOff>0</xdr:rowOff>
    </xdr:to>
    <xdr:sp macro="" textlink="">
      <xdr:nvSpPr>
        <xdr:cNvPr id="2" name="Seta para Cim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1372285" y="7728856"/>
          <a:ext cx="3755572" cy="264885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ESTE VALOR UNITÁRIO ME PARECE MUITO ALTO PARA</a:t>
          </a:r>
          <a:r>
            <a:rPr lang="pt-BR" sz="1100" baseline="0"/>
            <a:t> SMO</a:t>
          </a:r>
        </a:p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483870</xdr:colOff>
      <xdr:row>1</xdr:row>
      <xdr:rowOff>47625</xdr:rowOff>
    </xdr:from>
    <xdr:to>
      <xdr:col>12</xdr:col>
      <xdr:colOff>527050</xdr:colOff>
      <xdr:row>5</xdr:row>
      <xdr:rowOff>119380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98820" y="209550"/>
          <a:ext cx="1814830" cy="7194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76238</xdr:colOff>
      <xdr:row>0</xdr:row>
      <xdr:rowOff>0</xdr:rowOff>
    </xdr:from>
    <xdr:ext cx="8900795" cy="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238" y="0"/>
          <a:ext cx="8900795" cy="0"/>
        </a:xfrm>
        <a:custGeom>
          <a:avLst/>
          <a:gdLst/>
          <a:ahLst/>
          <a:cxnLst/>
          <a:rect l="0" t="0" r="0" b="0"/>
          <a:pathLst>
            <a:path w="8900795">
              <a:moveTo>
                <a:pt x="2247671" y="0"/>
              </a:moveTo>
              <a:lnTo>
                <a:pt x="3757269" y="0"/>
              </a:lnTo>
            </a:path>
            <a:path w="8900795">
              <a:moveTo>
                <a:pt x="3757269" y="0"/>
              </a:moveTo>
              <a:lnTo>
                <a:pt x="4828717" y="0"/>
              </a:lnTo>
            </a:path>
            <a:path w="8900795">
              <a:moveTo>
                <a:pt x="4828717" y="0"/>
              </a:moveTo>
              <a:lnTo>
                <a:pt x="5995416" y="0"/>
              </a:lnTo>
            </a:path>
            <a:path w="8900795">
              <a:moveTo>
                <a:pt x="5995416" y="0"/>
              </a:moveTo>
              <a:lnTo>
                <a:pt x="7381201" y="0"/>
              </a:lnTo>
            </a:path>
            <a:path w="8900795">
              <a:moveTo>
                <a:pt x="7381201" y="0"/>
              </a:moveTo>
              <a:lnTo>
                <a:pt x="8900325" y="0"/>
              </a:lnTo>
            </a:path>
            <a:path w="8900795">
              <a:moveTo>
                <a:pt x="0" y="0"/>
              </a:moveTo>
              <a:lnTo>
                <a:pt x="2247671" y="0"/>
              </a:lnTo>
            </a:path>
          </a:pathLst>
        </a:custGeom>
        <a:ln w="19050">
          <a:solidFill>
            <a:srgbClr val="000000"/>
          </a:solidFill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18</xdr:row>
      <xdr:rowOff>0</xdr:rowOff>
    </xdr:from>
    <xdr:to>
      <xdr:col>7</xdr:col>
      <xdr:colOff>12700</xdr:colOff>
      <xdr:row>18</xdr:row>
      <xdr:rowOff>12700</xdr:rowOff>
    </xdr:to>
    <xdr:pic>
      <xdr:nvPicPr>
        <xdr:cNvPr id="2" name="Imagem 1" descr="page28image157982873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64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12700</xdr:colOff>
      <xdr:row>18</xdr:row>
      <xdr:rowOff>12700</xdr:rowOff>
    </xdr:to>
    <xdr:pic>
      <xdr:nvPicPr>
        <xdr:cNvPr id="3" name="Imagem 2" descr="page28image157982912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64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12700</xdr:colOff>
      <xdr:row>20</xdr:row>
      <xdr:rowOff>12700</xdr:rowOff>
    </xdr:to>
    <xdr:pic>
      <xdr:nvPicPr>
        <xdr:cNvPr id="4" name="Imagem 3" descr="page28image157993529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12700</xdr:colOff>
      <xdr:row>20</xdr:row>
      <xdr:rowOff>12700</xdr:rowOff>
    </xdr:to>
    <xdr:pic>
      <xdr:nvPicPr>
        <xdr:cNvPr id="5" name="Imagem 4" descr="page28image157992665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12700</xdr:colOff>
      <xdr:row>21</xdr:row>
      <xdr:rowOff>12700</xdr:rowOff>
    </xdr:to>
    <xdr:pic>
      <xdr:nvPicPr>
        <xdr:cNvPr id="6" name="Imagem 5" descr="page28image157984064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4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12700</xdr:colOff>
      <xdr:row>21</xdr:row>
      <xdr:rowOff>12700</xdr:rowOff>
    </xdr:to>
    <xdr:pic>
      <xdr:nvPicPr>
        <xdr:cNvPr id="7" name="Imagem 6" descr="page28image157984102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4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12700</xdr:colOff>
      <xdr:row>22</xdr:row>
      <xdr:rowOff>12700</xdr:rowOff>
    </xdr:to>
    <xdr:pic>
      <xdr:nvPicPr>
        <xdr:cNvPr id="8" name="Imagem 7" descr="page28image157984160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66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12700</xdr:colOff>
      <xdr:row>22</xdr:row>
      <xdr:rowOff>12700</xdr:rowOff>
    </xdr:to>
    <xdr:pic>
      <xdr:nvPicPr>
        <xdr:cNvPr id="9" name="Imagem 8" descr="page28image157984198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66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12700</xdr:colOff>
      <xdr:row>23</xdr:row>
      <xdr:rowOff>12700</xdr:rowOff>
    </xdr:to>
    <xdr:pic>
      <xdr:nvPicPr>
        <xdr:cNvPr id="10" name="Imagem 9" descr="page28image157981427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91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12700</xdr:colOff>
      <xdr:row>23</xdr:row>
      <xdr:rowOff>12700</xdr:rowOff>
    </xdr:to>
    <xdr:pic>
      <xdr:nvPicPr>
        <xdr:cNvPr id="11" name="Imagem 10" descr="page28image157981465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591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12700</xdr:colOff>
      <xdr:row>24</xdr:row>
      <xdr:rowOff>12700</xdr:rowOff>
    </xdr:to>
    <xdr:pic>
      <xdr:nvPicPr>
        <xdr:cNvPr id="12" name="Imagem 11" descr="page28image157981830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1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12700</xdr:colOff>
      <xdr:row>24</xdr:row>
      <xdr:rowOff>12700</xdr:rowOff>
    </xdr:to>
    <xdr:pic>
      <xdr:nvPicPr>
        <xdr:cNvPr id="13" name="Imagem 12" descr="page28image1579818688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1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12700</xdr:colOff>
      <xdr:row>25</xdr:row>
      <xdr:rowOff>12700</xdr:rowOff>
    </xdr:to>
    <xdr:pic>
      <xdr:nvPicPr>
        <xdr:cNvPr id="14" name="Imagem 13" descr="page28image157982406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42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12700</xdr:colOff>
      <xdr:row>25</xdr:row>
      <xdr:rowOff>12700</xdr:rowOff>
    </xdr:to>
    <xdr:pic>
      <xdr:nvPicPr>
        <xdr:cNvPr id="15" name="Imagem 14" descr="page28image1579824448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42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12700</xdr:colOff>
      <xdr:row>26</xdr:row>
      <xdr:rowOff>12700</xdr:rowOff>
    </xdr:to>
    <xdr:pic>
      <xdr:nvPicPr>
        <xdr:cNvPr id="16" name="Imagem 15" descr="page28image15798250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68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12700</xdr:colOff>
      <xdr:row>26</xdr:row>
      <xdr:rowOff>12700</xdr:rowOff>
    </xdr:to>
    <xdr:pic>
      <xdr:nvPicPr>
        <xdr:cNvPr id="17" name="Imagem 16" descr="page28image1579825408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68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12700</xdr:colOff>
      <xdr:row>27</xdr:row>
      <xdr:rowOff>12700</xdr:rowOff>
    </xdr:to>
    <xdr:pic>
      <xdr:nvPicPr>
        <xdr:cNvPr id="18" name="Imagem 17" descr="page28image1579864768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93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12700</xdr:colOff>
      <xdr:row>27</xdr:row>
      <xdr:rowOff>12700</xdr:rowOff>
    </xdr:to>
    <xdr:pic>
      <xdr:nvPicPr>
        <xdr:cNvPr id="19" name="Imagem 18" descr="page28image157986515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693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12700</xdr:colOff>
      <xdr:row>28</xdr:row>
      <xdr:rowOff>12700</xdr:rowOff>
    </xdr:to>
    <xdr:pic>
      <xdr:nvPicPr>
        <xdr:cNvPr id="20" name="Imagem 19" descr="page28image1579865728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718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12700</xdr:colOff>
      <xdr:row>28</xdr:row>
      <xdr:rowOff>12700</xdr:rowOff>
    </xdr:to>
    <xdr:pic>
      <xdr:nvPicPr>
        <xdr:cNvPr id="21" name="Imagem 20" descr="page28image157986611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718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2" name="Imagem 21" descr="page28image1579871104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25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3" name="Imagem 22" descr="page28image1579871488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25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4" name="Imagem 23" descr="page28image1579875136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50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5" name="Imagem 24" descr="page28image1579875520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50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6" name="Imagem 25" descr="page28image1579940864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76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7" name="Imagem 26" descr="page28image157994163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176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8" name="Imagem 27" descr="page28image1579881728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01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29" name="Imagem 28" descr="page28image157988211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01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0" name="Imagem 29" descr="page28image1579887488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26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1" name="Imagem 30" descr="page28image157988787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26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2" name="Imagem 31" descr="page28image1579888448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52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3" name="Imagem 32" descr="page28image15798888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52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4" name="Imagem 33" descr="page28image1580185472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77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5" name="Imagem 34" descr="page28image1580180480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277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6" name="Imagem 35" descr="page28image1579927424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03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7" name="Imagem 36" descr="page28image1579939328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03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8" name="Imagem 37" descr="page28image1579845120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28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39" name="Imagem 38" descr="page28image1579845504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28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0" name="Imagem 39" descr="page28image1579846080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633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1" name="Imagem 40" descr="page28image1579846464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633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42" name="Imagem 41" descr="page28image1579853184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79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12700</xdr:colOff>
      <xdr:row>34</xdr:row>
      <xdr:rowOff>12700</xdr:rowOff>
    </xdr:to>
    <xdr:pic>
      <xdr:nvPicPr>
        <xdr:cNvPr id="43" name="Imagem 42" descr="page28image1579853568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379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4" name="Imagem 43" descr="page28image1579854144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1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5" name="Imagem 44" descr="page28image1579854528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1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6" name="Imagem 45" descr="page28image62938896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8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7" name="Imagem 46" descr="page28image1579856640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8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8" name="Imagem 47" descr="page28image1579857216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8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49" name="Imagem 48" descr="page28image157985779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8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50" name="Imagem 49" descr="page28image1579858176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88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12700</xdr:colOff>
      <xdr:row>35</xdr:row>
      <xdr:rowOff>12700</xdr:rowOff>
    </xdr:to>
    <xdr:pic>
      <xdr:nvPicPr>
        <xdr:cNvPr id="52" name="Imagem 51" descr="page28image1579859328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1363" y="93864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6</xdr:row>
      <xdr:rowOff>0</xdr:rowOff>
    </xdr:from>
    <xdr:ext cx="12700" cy="12700"/>
    <xdr:pic>
      <xdr:nvPicPr>
        <xdr:cNvPr id="53" name="Imagem 52" descr="page28image1579828736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60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</xdr:row>
      <xdr:rowOff>0</xdr:rowOff>
    </xdr:from>
    <xdr:ext cx="12700" cy="12700"/>
    <xdr:pic>
      <xdr:nvPicPr>
        <xdr:cNvPr id="54" name="Imagem 53" descr="page28image1579829120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60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</xdr:row>
      <xdr:rowOff>0</xdr:rowOff>
    </xdr:from>
    <xdr:ext cx="12700" cy="12700"/>
    <xdr:pic>
      <xdr:nvPicPr>
        <xdr:cNvPr id="55" name="Imagem 54" descr="page28image1579935296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210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</xdr:row>
      <xdr:rowOff>0</xdr:rowOff>
    </xdr:from>
    <xdr:ext cx="12700" cy="12700"/>
    <xdr:pic>
      <xdr:nvPicPr>
        <xdr:cNvPr id="56" name="Imagem 55" descr="page28image1579926656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210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</xdr:row>
      <xdr:rowOff>0</xdr:rowOff>
    </xdr:from>
    <xdr:ext cx="12700" cy="12700"/>
    <xdr:pic>
      <xdr:nvPicPr>
        <xdr:cNvPr id="57" name="Imagem 56" descr="page28image1579840640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236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9</xdr:row>
      <xdr:rowOff>0</xdr:rowOff>
    </xdr:from>
    <xdr:ext cx="12700" cy="12700"/>
    <xdr:pic>
      <xdr:nvPicPr>
        <xdr:cNvPr id="58" name="Imagem 57" descr="page28image1579841024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236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12700" cy="12700"/>
    <xdr:pic>
      <xdr:nvPicPr>
        <xdr:cNvPr id="59" name="Imagem 58" descr="page28image1579841600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261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12700" cy="12700"/>
    <xdr:pic>
      <xdr:nvPicPr>
        <xdr:cNvPr id="60" name="Imagem 59" descr="page28image1579841984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261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12700" cy="12700"/>
    <xdr:pic>
      <xdr:nvPicPr>
        <xdr:cNvPr id="61" name="Imagem 60" descr="page28image157981427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287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12700" cy="12700"/>
    <xdr:pic>
      <xdr:nvPicPr>
        <xdr:cNvPr id="63" name="Imagem 62" descr="page28image1579818304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12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12700" cy="12700"/>
    <xdr:pic>
      <xdr:nvPicPr>
        <xdr:cNvPr id="64" name="Imagem 63" descr="page28image1579818688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81062">
          <a:off x="9468971" y="386602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</xdr:row>
      <xdr:rowOff>0</xdr:rowOff>
    </xdr:from>
    <xdr:ext cx="12700" cy="12700"/>
    <xdr:pic>
      <xdr:nvPicPr>
        <xdr:cNvPr id="65" name="Imagem 64" descr="page28image15798240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7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</xdr:row>
      <xdr:rowOff>0</xdr:rowOff>
    </xdr:from>
    <xdr:ext cx="12700" cy="12700"/>
    <xdr:pic>
      <xdr:nvPicPr>
        <xdr:cNvPr id="66" name="Imagem 65" descr="page28image1579824448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7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14</xdr:row>
      <xdr:rowOff>0</xdr:rowOff>
    </xdr:from>
    <xdr:ext cx="12700" cy="12700"/>
    <xdr:pic>
      <xdr:nvPicPr>
        <xdr:cNvPr id="67" name="Imagem 66" descr="page28image1579825024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3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14</xdr:row>
      <xdr:rowOff>0</xdr:rowOff>
    </xdr:from>
    <xdr:ext cx="12700" cy="12700"/>
    <xdr:pic>
      <xdr:nvPicPr>
        <xdr:cNvPr id="68" name="Imagem 67" descr="page28image1579825408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3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</xdr:row>
      <xdr:rowOff>0</xdr:rowOff>
    </xdr:from>
    <xdr:ext cx="12700" cy="12700"/>
    <xdr:pic>
      <xdr:nvPicPr>
        <xdr:cNvPr id="69" name="Imagem 68" descr="page28image15798647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8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</xdr:row>
      <xdr:rowOff>0</xdr:rowOff>
    </xdr:from>
    <xdr:ext cx="12700" cy="12700"/>
    <xdr:pic>
      <xdr:nvPicPr>
        <xdr:cNvPr id="70" name="Imagem 69" descr="page28image1579865152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8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</xdr:row>
      <xdr:rowOff>0</xdr:rowOff>
    </xdr:from>
    <xdr:ext cx="12700" cy="12700"/>
    <xdr:pic>
      <xdr:nvPicPr>
        <xdr:cNvPr id="71" name="Imagem 70" descr="page28image1579865728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14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</xdr:row>
      <xdr:rowOff>0</xdr:rowOff>
    </xdr:from>
    <xdr:ext cx="12700" cy="12700"/>
    <xdr:pic>
      <xdr:nvPicPr>
        <xdr:cNvPr id="72" name="Imagem 71" descr="page28image1579866112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14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17</xdr:row>
      <xdr:rowOff>0</xdr:rowOff>
    </xdr:from>
    <xdr:ext cx="12700" cy="12700"/>
    <xdr:pic>
      <xdr:nvPicPr>
        <xdr:cNvPr id="73" name="Imagem 72" descr="page28image1579871104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39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17</xdr:row>
      <xdr:rowOff>0</xdr:rowOff>
    </xdr:from>
    <xdr:ext cx="12700" cy="12700"/>
    <xdr:pic>
      <xdr:nvPicPr>
        <xdr:cNvPr id="74" name="Imagem 73" descr="page28image1579871488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39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</xdr:row>
      <xdr:rowOff>0</xdr:rowOff>
    </xdr:from>
    <xdr:ext cx="12700" cy="12700"/>
    <xdr:pic>
      <xdr:nvPicPr>
        <xdr:cNvPr id="75" name="Imagem 74" descr="page28image1579875136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64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18</xdr:row>
      <xdr:rowOff>0</xdr:rowOff>
    </xdr:from>
    <xdr:ext cx="12700" cy="12700"/>
    <xdr:pic>
      <xdr:nvPicPr>
        <xdr:cNvPr id="76" name="Imagem 75" descr="page28image1579875520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64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19</xdr:row>
      <xdr:rowOff>0</xdr:rowOff>
    </xdr:from>
    <xdr:ext cx="12700" cy="12700"/>
    <xdr:pic>
      <xdr:nvPicPr>
        <xdr:cNvPr id="77" name="Imagem 76" descr="page28image1579940864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90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19</xdr:row>
      <xdr:rowOff>0</xdr:rowOff>
    </xdr:from>
    <xdr:ext cx="12700" cy="12700"/>
    <xdr:pic>
      <xdr:nvPicPr>
        <xdr:cNvPr id="78" name="Imagem 77" descr="page28image1579941632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90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20</xdr:row>
      <xdr:rowOff>0</xdr:rowOff>
    </xdr:from>
    <xdr:ext cx="12700" cy="12700"/>
    <xdr:pic>
      <xdr:nvPicPr>
        <xdr:cNvPr id="79" name="Imagem 78" descr="page28image157988172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20</xdr:row>
      <xdr:rowOff>0</xdr:rowOff>
    </xdr:from>
    <xdr:ext cx="12700" cy="12700"/>
    <xdr:pic>
      <xdr:nvPicPr>
        <xdr:cNvPr id="80" name="Imagem 79" descr="page28image1579882112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515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21</xdr:row>
      <xdr:rowOff>0</xdr:rowOff>
    </xdr:from>
    <xdr:ext cx="12700" cy="12700"/>
    <xdr:pic>
      <xdr:nvPicPr>
        <xdr:cNvPr id="81" name="Imagem 80" descr="page28image1579887488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54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21</xdr:row>
      <xdr:rowOff>0</xdr:rowOff>
    </xdr:from>
    <xdr:ext cx="12700" cy="12700"/>
    <xdr:pic>
      <xdr:nvPicPr>
        <xdr:cNvPr id="82" name="Imagem 81" descr="page28image1579887872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541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22</xdr:row>
      <xdr:rowOff>0</xdr:rowOff>
    </xdr:from>
    <xdr:ext cx="12700" cy="12700"/>
    <xdr:pic>
      <xdr:nvPicPr>
        <xdr:cNvPr id="83" name="Imagem 82" descr="page28image1579888448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566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22</xdr:row>
      <xdr:rowOff>0</xdr:rowOff>
    </xdr:from>
    <xdr:ext cx="12700" cy="12700"/>
    <xdr:pic>
      <xdr:nvPicPr>
        <xdr:cNvPr id="84" name="Imagem 83" descr="page28image1579888832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566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23</xdr:row>
      <xdr:rowOff>0</xdr:rowOff>
    </xdr:from>
    <xdr:ext cx="12700" cy="12700"/>
    <xdr:pic>
      <xdr:nvPicPr>
        <xdr:cNvPr id="85" name="Imagem 84" descr="page28image158018547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591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23</xdr:row>
      <xdr:rowOff>0</xdr:rowOff>
    </xdr:from>
    <xdr:ext cx="12700" cy="12700"/>
    <xdr:pic>
      <xdr:nvPicPr>
        <xdr:cNvPr id="86" name="Imagem 85" descr="page28image1580180480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591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12700" cy="12700"/>
    <xdr:pic>
      <xdr:nvPicPr>
        <xdr:cNvPr id="87" name="Imagem 86" descr="page28image1579927424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61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24</xdr:row>
      <xdr:rowOff>0</xdr:rowOff>
    </xdr:from>
    <xdr:ext cx="12700" cy="12700"/>
    <xdr:pic>
      <xdr:nvPicPr>
        <xdr:cNvPr id="88" name="Imagem 87" descr="page28image1579939328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617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25</xdr:row>
      <xdr:rowOff>0</xdr:rowOff>
    </xdr:from>
    <xdr:ext cx="12700" cy="12700"/>
    <xdr:pic>
      <xdr:nvPicPr>
        <xdr:cNvPr id="89" name="Imagem 88" descr="page28image1579845120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642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25</xdr:row>
      <xdr:rowOff>0</xdr:rowOff>
    </xdr:from>
    <xdr:ext cx="12700" cy="12700"/>
    <xdr:pic>
      <xdr:nvPicPr>
        <xdr:cNvPr id="90" name="Imagem 89" descr="page28image1579845504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642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27</xdr:row>
      <xdr:rowOff>0</xdr:rowOff>
    </xdr:from>
    <xdr:ext cx="12700" cy="12700"/>
    <xdr:pic>
      <xdr:nvPicPr>
        <xdr:cNvPr id="91" name="Imagem 90" descr="page28image1579853184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693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27</xdr:row>
      <xdr:rowOff>0</xdr:rowOff>
    </xdr:from>
    <xdr:ext cx="12700" cy="12700"/>
    <xdr:pic>
      <xdr:nvPicPr>
        <xdr:cNvPr id="92" name="Imagem 91" descr="page28image1579853568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693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96" name="Imagem 95" descr="page28image1579828736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97" name="Imagem 96" descr="page28image1579829120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98" name="Imagem 97" descr="page28image1579935296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99" name="Imagem 98" descr="page28image1579926656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0" name="Imagem 99" descr="page28image1579840640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1" name="Imagem 100" descr="page28image1579841024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2" name="Imagem 101" descr="page28image1579841600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3" name="Imagem 102" descr="page28image1579841984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4" name="Imagem 103" descr="page28image1579814272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5" name="Imagem 104" descr="page28image1579814656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6" name="Imagem 105" descr="page28image1579818304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7" name="Imagem 106" descr="page28image1579818688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8" name="Imagem 107" descr="page28image1579824064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09" name="Imagem 108" descr="page28image157982444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0" name="Imagem 109" descr="page28image1579825024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1" name="Imagem 110" descr="page28image1579825408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2" name="Imagem 111" descr="page28image1579864768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3" name="Imagem 112" descr="page28image157986515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4" name="Imagem 113" descr="page28image1579865728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15" name="Imagem 114" descr="page28image157986611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12700" cy="12700"/>
    <xdr:pic>
      <xdr:nvPicPr>
        <xdr:cNvPr id="116" name="Imagem 115" descr="page28image1579825024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744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</xdr:row>
      <xdr:rowOff>0</xdr:rowOff>
    </xdr:from>
    <xdr:ext cx="12700" cy="12700"/>
    <xdr:pic>
      <xdr:nvPicPr>
        <xdr:cNvPr id="117" name="Imagem 116" descr="page28image1579825408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744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</xdr:row>
      <xdr:rowOff>254000</xdr:rowOff>
    </xdr:from>
    <xdr:ext cx="12700" cy="12700"/>
    <xdr:pic>
      <xdr:nvPicPr>
        <xdr:cNvPr id="118" name="Imagem 117" descr="page28image1579864768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1" y="76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29</xdr:row>
      <xdr:rowOff>254000</xdr:rowOff>
    </xdr:from>
    <xdr:ext cx="12700" cy="12700"/>
    <xdr:pic>
      <xdr:nvPicPr>
        <xdr:cNvPr id="119" name="Imagem 118" descr="page28image157986515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76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</xdr:row>
      <xdr:rowOff>0</xdr:rowOff>
    </xdr:from>
    <xdr:ext cx="12700" cy="12700"/>
    <xdr:pic>
      <xdr:nvPicPr>
        <xdr:cNvPr id="120" name="Imagem 119" descr="page28image1579865728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795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21" name="Imagem 120" descr="page28image1579871104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20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22" name="Imagem 121" descr="page28image1579871488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20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3" name="Imagem 122" descr="page28image1579875136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4" name="Imagem 123" descr="page28image1579875520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5" name="Imagem 124" descr="page28image157994086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71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6" name="Imagem 125" descr="page28image1579941632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71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7" name="Imagem 126" descr="page28image1579881728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8" name="Imagem 127" descr="page28image1579882112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29" name="Imagem 128" descr="page28image157988748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0" name="Imagem 129" descr="page28image1579887872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1" name="Imagem 130" descr="page28image1579888448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2" name="Imagem 131" descr="page28image1579888832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3" name="Imagem 132" descr="page28image158018547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4" name="Imagem 133" descr="page28image1580180480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5" name="Imagem 134" descr="page28image157992742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6" name="Imagem 135" descr="page28image1579939328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7" name="Imagem 136" descr="page28image1579845120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8" name="Imagem 137" descr="page28image1579845504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39" name="Imagem 138" descr="page28image1579853184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0" name="Imagem 139" descr="page28image1579853568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1" name="Imagem 140" descr="page28image1579824064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2" name="Imagem 141" descr="page28image1579824448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3" name="Imagem 142" descr="page28image1579824064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4" name="Imagem 143" descr="page28image1579824448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5" name="Imagem 144" descr="page28image157982406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46" name="Imagem 145" descr="page28image1579824448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</xdr:row>
      <xdr:rowOff>0</xdr:rowOff>
    </xdr:from>
    <xdr:ext cx="12700" cy="12700"/>
    <xdr:pic>
      <xdr:nvPicPr>
        <xdr:cNvPr id="147" name="Imagem 146" descr="page28image1579825024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76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30</xdr:row>
      <xdr:rowOff>0</xdr:rowOff>
    </xdr:from>
    <xdr:ext cx="12700" cy="12700"/>
    <xdr:pic>
      <xdr:nvPicPr>
        <xdr:cNvPr id="148" name="Imagem 147" descr="page28image1579825408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769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</xdr:row>
      <xdr:rowOff>0</xdr:rowOff>
    </xdr:from>
    <xdr:ext cx="12700" cy="12700"/>
    <xdr:pic>
      <xdr:nvPicPr>
        <xdr:cNvPr id="149" name="Imagem 148" descr="page28image1579825024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795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31</xdr:row>
      <xdr:rowOff>0</xdr:rowOff>
    </xdr:from>
    <xdr:ext cx="12700" cy="12700"/>
    <xdr:pic>
      <xdr:nvPicPr>
        <xdr:cNvPr id="150" name="Imagem 149" descr="page28image1579825408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795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51" name="Imagem 150" descr="page28image1579825024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20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32</xdr:row>
      <xdr:rowOff>0</xdr:rowOff>
    </xdr:from>
    <xdr:ext cx="12700" cy="12700"/>
    <xdr:pic>
      <xdr:nvPicPr>
        <xdr:cNvPr id="152" name="Imagem 151" descr="page28image1579825408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20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3" name="Imagem 152" descr="page28image1579825024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4" name="Imagem 153" descr="page28image1579825408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45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5" name="Imagem 154" descr="page28image1579825024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71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6" name="Imagem 155" descr="page28image1579825408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71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7" name="Imagem 156" descr="page28image1579825024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8" name="Imagem 157" descr="page28image1579825408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896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59" name="Imagem 158" descr="page28image1579825024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0" name="Imagem 159" descr="page28image1579825408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22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1" name="Imagem 160" descr="page28image1579825024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2" name="Imagem 161" descr="page28image1579825408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47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3" name="Imagem 162" descr="page28image1579825024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4" name="Imagem 163" descr="page28image1579825408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72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5" name="Imagem 164" descr="page28image1579825024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6" name="Imagem 165" descr="page28image1579825408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9982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7" name="Imagem 166" descr="page28image1579825024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8" name="Imagem 167" descr="page28image1579825408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36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69" name="Imagem 168" descr="page28image1579825024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70" name="Imagem 169" descr="page28image1579825408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490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71" name="Imagem 170" descr="page28image1579825024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72" name="Imagem 171" descr="page28image1579825408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744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73" name="Imagem 172" descr="page28image1579825024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34</xdr:row>
      <xdr:rowOff>0</xdr:rowOff>
    </xdr:from>
    <xdr:ext cx="12700" cy="12700"/>
    <xdr:pic>
      <xdr:nvPicPr>
        <xdr:cNvPr id="174" name="Imagem 173" descr="page28image1579825408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998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75" name="Imagem 174" descr="page28image1579828736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76" name="Imagem 175" descr="page28image1579829120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77" name="Imagem 176" descr="page28image1579935296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78" name="Imagem 177" descr="page28image1579926656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79" name="Imagem 178" descr="page28image1579840640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0" name="Imagem 179" descr="page28image1579841024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1" name="Imagem 180" descr="page28image157984160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2" name="Imagem 181" descr="page28image1579841984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3" name="Imagem 182" descr="page28image1579814272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4" name="Imagem 183" descr="page28image1579814656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5" name="Imagem 184" descr="page28image1579818304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6" name="Imagem 185" descr="page28image1579818688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7" name="Imagem 186" descr="page28image1579824064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8" name="Imagem 187" descr="page28image1579824448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89" name="Imagem 188" descr="page28image1579825024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0" name="Imagem 189" descr="page28image1579825408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1" name="Imagem 190" descr="page28image1579864768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2" name="Imagem 191" descr="page28image1579865152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3" name="Imagem 192" descr="page28image1579865728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4" name="Imagem 193" descr="page28image1579866112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5" name="Imagem 194" descr="page28image1579828736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6" name="Imagem 195" descr="page28image1579829120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7" name="Imagem 196" descr="page28image157993529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8" name="Imagem 197" descr="page28image1579926656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199" name="Imagem 198" descr="page28image1579840640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0" name="Imagem 199" descr="page28image1579841024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1" name="Imagem 200" descr="page28image1579841600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2" name="Imagem 201" descr="page28image1579841984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3" name="Imagem 202" descr="page28image1579814272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4" name="Imagem 203" descr="page28image1579814656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5" name="Imagem 204" descr="page28image1579818304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6" name="Imagem 205" descr="page28image1579818688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291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7" name="Imagem 206" descr="page28image1579824064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8" name="Imagem 207" descr="page28image1579824448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09" name="Imagem 208" descr="page28image1579825024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0" name="Imagem 209" descr="page28image1579825408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1" name="Imagem 210" descr="page28image1579864768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2" name="Imagem 211" descr="page28image1579865152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3" name="Imagem 212" descr="page28image1579865728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4" name="Imagem 213" descr="page28image1579866112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5" name="Imagem 214" descr="page28image1579871104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6" name="Imagem 215" descr="page28image1579871488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7" name="Imagem 216" descr="page28image1579875136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8" name="Imagem 217" descr="page28image1579875520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19" name="Imagem 218" descr="page28image1579940864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0" name="Imagem 219" descr="page28image1579941632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1" name="Imagem 220" descr="page28image1579881728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2" name="Imagem 221" descr="page28image1579882112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3" name="Imagem 222" descr="page28image1579887488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4" name="Imagem 223" descr="page28image1579887872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5" name="Imagem 224" descr="page28image1579888448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6" name="Imagem 225" descr="page28image1579888832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7" name="Imagem 226" descr="page28image1580185472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8" name="Imagem 227" descr="page28image1580180480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29" name="Imagem 228" descr="page28image1579927424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0" name="Imagem 229" descr="page28image1579939328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1" name="Imagem 230" descr="page28image157984512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2" name="Imagem 231" descr="page28image1579845504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3" name="Imagem 232" descr="page28image1579853184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4" name="Imagem 233" descr="page28image1579853568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5" name="Imagem 234" descr="page28image1579828736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6" name="Imagem 235" descr="page28image1579829120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7" name="Imagem 236" descr="page28image1579935296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8" name="Imagem 237" descr="page28image1579926656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39" name="Imagem 238" descr="page28image1579840640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0" name="Imagem 239" descr="page28image1579841024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1" name="Imagem 240" descr="page28image1579841600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2" name="Imagem 241" descr="page28image1579841984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3" name="Imagem 242" descr="page28image1579814272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4" name="Imagem 243" descr="page28image1579814656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5" name="Imagem 244" descr="page28image1579818304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6" name="Imagem 245" descr="page28image1579818688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7" name="Imagem 246" descr="page28image1579824064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8" name="Imagem 247" descr="page28image1579824448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49" name="Imagem 248" descr="page28image1579825024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0" name="Imagem 249" descr="page28image1579825408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1" name="Imagem 250" descr="page28image1579864768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2" name="Imagem 251" descr="page28image1579865152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3" name="Imagem 252" descr="page28image1579865728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4" name="Imagem 253" descr="page28image1579866112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5" name="Imagem 254" descr="page28image157982502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6" name="Imagem 255" descr="page28image1579825408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7" name="Imagem 256" descr="page28image1579864768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1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8" name="Imagem 257" descr="page28image1579865152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59" name="Imagem 258" descr="page28image1579865728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0" name="Imagem 259" descr="page28image1579871104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1" name="Imagem 260" descr="page28image1579871488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2" name="Imagem 261" descr="page28image1579875136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3" name="Imagem 262" descr="page28image1579875520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4" name="Imagem 263" descr="page28image1579940864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5" name="Imagem 264" descr="page28image1579941632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6" name="Imagem 265" descr="page28image1579881728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7" name="Imagem 266" descr="page28image1579882112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8" name="Imagem 267" descr="page28image1579887488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69" name="Imagem 268" descr="page28image1579887872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0" name="Imagem 269" descr="page28image1579888448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1" name="Imagem 270" descr="page28image1579888832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2" name="Imagem 271" descr="page28image1580185472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3" name="Imagem 272" descr="page28image1580180480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4" name="Imagem 273" descr="page28image1579927424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5" name="Imagem 274" descr="page28image1579939328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6" name="Imagem 275" descr="page28image1579845120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7" name="Imagem 276" descr="page28image1579845504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8" name="Imagem 277" descr="page28image1579853184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79" name="Imagem 278" descr="page28image157985356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0" name="Imagem 279" descr="page28image1579824064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1" name="Imagem 280" descr="page28image1579824448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2" name="Imagem 281" descr="page28image1579824064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3" name="Imagem 282" descr="page28image1579824448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4" name="Imagem 283" descr="page28image1579824064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5" name="Imagem 284" descr="page28image1579824448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6" name="Imagem 285" descr="page28image1579825024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7" name="Imagem 286" descr="page28image1579825408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8" name="Imagem 287" descr="page28image1579825024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89" name="Imagem 288" descr="page28image1579825408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0" name="Imagem 289" descr="page28image1579825024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1" name="Imagem 290" descr="page28image1579825408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2" name="Imagem 291" descr="page28image1579825024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3" name="Imagem 292" descr="page28image1579825408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4" name="Imagem 293" descr="page28image1579825024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5" name="Imagem 294" descr="page28image1579825408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6" name="Imagem 295" descr="page28image1579825024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7" name="Imagem 296" descr="page28image1579825408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8" name="Imagem 297" descr="page28image1579825024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299" name="Imagem 298" descr="page28image1579825408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0" name="Imagem 299" descr="page28image1579825024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1" name="Imagem 300" descr="page28image1579825408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2" name="Imagem 301" descr="page28image1579825024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3" name="Imagem 302" descr="page28image1579825408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4" name="Imagem 303" descr="page28image1579825024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5" name="Imagem 304" descr="page28image1579825408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6" name="Imagem 305" descr="page28image1579825024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7" name="Imagem 306" descr="page28image1579825408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8" name="Imagem 307" descr="page28image1579825024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09" name="Imagem 308" descr="page28image1579825408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0" name="Imagem 309" descr="page28image1579825024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1" name="Imagem 310" descr="page28image1579825408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2" name="Imagem 311" descr="page28image1579825024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3" name="Imagem 312" descr="page28image1579825408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4" name="Imagem 313" descr="page28image1579828736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5" name="Imagem 314" descr="page28image1579829120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6" name="Imagem 315" descr="page28image1579935296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7" name="Imagem 316" descr="page28image1579926656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8" name="Imagem 317" descr="page28image1579840640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19" name="Imagem 318" descr="page28image1579841024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0" name="Imagem 319" descr="page28image1579841600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1" name="Imagem 320" descr="page28image1579841984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2" name="Imagem 321" descr="page28image1579814272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3" name="Imagem 322" descr="page28image1579814656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4" name="Imagem 323" descr="page28image1579818304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5" name="Imagem 324" descr="page28image1579818688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17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6" name="Imagem 325" descr="page28image1579828736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7" name="Imagem 326" descr="page28image1579829120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8" name="Imagem 327" descr="page28image1579935296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29" name="Imagem 328" descr="page28image1579926656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0" name="Imagem 329" descr="page28image1579840640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1" name="Imagem 330" descr="page28image1579841024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2" name="Imagem 331" descr="page28image1579841600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3" name="Imagem 332" descr="page28image1579841984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4" name="Imagem 333" descr="page28image1579814272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5" name="Imagem 334" descr="page28image1579814656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6" name="Imagem 335" descr="page28image1579818304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7" name="Imagem 336" descr="page28image1579818688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42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8" name="Imagem 337" descr="page28image1579828736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39" name="Imagem 338" descr="page28image1579829120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0" name="Imagem 339" descr="page28image1579935296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1" name="Imagem 340" descr="page28image1579926656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2" name="Imagem 341" descr="page28image1579840640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3" name="Imagem 342" descr="page28image1579841024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4" name="Imagem 343" descr="page28image1579841600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5" name="Imagem 344" descr="page28image1579841984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6" name="Imagem 345" descr="page28image1579814272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7" name="Imagem 346" descr="page28image1579814656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8" name="Imagem 347" descr="page28image1579818304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49" name="Imagem 348" descr="page28image1579818688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68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0" name="Imagem 349" descr="page28image1579828736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1" name="Imagem 350" descr="page28image1579829120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2" name="Imagem 351" descr="page28image1579935296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3" name="Imagem 352" descr="page28image1579926656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4" name="Imagem 353" descr="page28image1579840640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5" name="Imagem 354" descr="page28image1579841024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6" name="Imagem 355" descr="page28image1579841600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7" name="Imagem 356" descr="page28image1579841984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8" name="Imagem 357" descr="page28image1579814272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59" name="Imagem 358" descr="page28image1579814656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0" name="Imagem 359" descr="page28image1579818304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1" name="Imagem 360" descr="page28image1579818688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393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2" name="Imagem 361" descr="page28image1579828736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3" name="Imagem 362" descr="page28image1579829120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4" name="Imagem 363" descr="page28image1579935296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5" name="Imagem 364" descr="page28image1579926656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6" name="Imagem 365" descr="page28image1579840640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7" name="Imagem 366" descr="page28image1579841024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8" name="Imagem 367" descr="page28image1579841600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69" name="Imagem 368" descr="page28image1579841984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0" name="Imagem 369" descr="page28image1579814272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1" name="Imagem 370" descr="page28image1579814656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2" name="Imagem 371" descr="page28image1579818304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3" name="Imagem 372" descr="page28image1579818688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18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4" name="Imagem 373" descr="page28image1579828736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5" name="Imagem 374" descr="page28image1579829120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6" name="Imagem 375" descr="page28image1579935296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7" name="Imagem 376" descr="page28image1579926656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8" name="Imagem 377" descr="page28image1579840640">
          <a:extLst>
            <a:ext uri="{FF2B5EF4-FFF2-40B4-BE49-F238E27FC236}">
              <a16:creationId xmlns:a16="http://schemas.microsoft.com/office/drawing/2014/main" id="{00000000-0008-0000-07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79" name="Imagem 378" descr="page28image1579841024">
          <a:extLst>
            <a:ext uri="{FF2B5EF4-FFF2-40B4-BE49-F238E27FC236}">
              <a16:creationId xmlns:a16="http://schemas.microsoft.com/office/drawing/2014/main" id="{00000000-0008-0000-07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0" name="Imagem 379" descr="page28image1579841600">
          <a:extLst>
            <a:ext uri="{FF2B5EF4-FFF2-40B4-BE49-F238E27FC236}">
              <a16:creationId xmlns:a16="http://schemas.microsoft.com/office/drawing/2014/main" id="{00000000-0008-0000-07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1" name="Imagem 380" descr="page28image1579841984">
          <a:extLst>
            <a:ext uri="{FF2B5EF4-FFF2-40B4-BE49-F238E27FC236}">
              <a16:creationId xmlns:a16="http://schemas.microsoft.com/office/drawing/2014/main" id="{00000000-0008-0000-07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2" name="Imagem 381" descr="page28image1579814272">
          <a:extLst>
            <a:ext uri="{FF2B5EF4-FFF2-40B4-BE49-F238E27FC236}">
              <a16:creationId xmlns:a16="http://schemas.microsoft.com/office/drawing/2014/main" id="{00000000-0008-0000-07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3" name="Imagem 382" descr="page28image1579814656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4" name="Imagem 383" descr="page28image1579818304">
          <a:extLst>
            <a:ext uri="{FF2B5EF4-FFF2-40B4-BE49-F238E27FC236}">
              <a16:creationId xmlns:a16="http://schemas.microsoft.com/office/drawing/2014/main" id="{00000000-0008-0000-07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5" name="Imagem 384" descr="page28image1579818688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44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6" name="Imagem 385" descr="page28image1579828736">
          <a:extLst>
            <a:ext uri="{FF2B5EF4-FFF2-40B4-BE49-F238E27FC236}">
              <a16:creationId xmlns:a16="http://schemas.microsoft.com/office/drawing/2014/main" id="{00000000-0008-0000-07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7" name="Imagem 386" descr="page28image1579829120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8" name="Imagem 387" descr="page28image1579935296">
          <a:extLst>
            <a:ext uri="{FF2B5EF4-FFF2-40B4-BE49-F238E27FC236}">
              <a16:creationId xmlns:a16="http://schemas.microsoft.com/office/drawing/2014/main" id="{00000000-0008-0000-07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89" name="Imagem 388" descr="page28image1579926656">
          <a:extLst>
            <a:ext uri="{FF2B5EF4-FFF2-40B4-BE49-F238E27FC236}">
              <a16:creationId xmlns:a16="http://schemas.microsoft.com/office/drawing/2014/main" id="{00000000-0008-0000-07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0" name="Imagem 389" descr="page28image1579840640">
          <a:extLst>
            <a:ext uri="{FF2B5EF4-FFF2-40B4-BE49-F238E27FC236}">
              <a16:creationId xmlns:a16="http://schemas.microsoft.com/office/drawing/2014/main" id="{00000000-0008-0000-07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1" name="Imagem 390" descr="page28image1579841024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2" name="Imagem 391" descr="page28image1579841600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3" name="Imagem 392" descr="page28image1579841984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4" name="Imagem 393" descr="page28image1579814272">
          <a:extLst>
            <a:ext uri="{FF2B5EF4-FFF2-40B4-BE49-F238E27FC236}">
              <a16:creationId xmlns:a16="http://schemas.microsoft.com/office/drawing/2014/main" id="{00000000-0008-0000-07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5" name="Imagem 394" descr="page28image1579814656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6" name="Imagem 395" descr="page28image1579818304">
          <a:extLst>
            <a:ext uri="{FF2B5EF4-FFF2-40B4-BE49-F238E27FC236}">
              <a16:creationId xmlns:a16="http://schemas.microsoft.com/office/drawing/2014/main" id="{00000000-0008-0000-07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7" name="Imagem 396" descr="page28image1579818688">
          <a:extLst>
            <a:ext uri="{FF2B5EF4-FFF2-40B4-BE49-F238E27FC236}">
              <a16:creationId xmlns:a16="http://schemas.microsoft.com/office/drawing/2014/main" id="{00000000-0008-0000-07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69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8" name="Imagem 397" descr="page28image1579828736">
          <a:extLst>
            <a:ext uri="{FF2B5EF4-FFF2-40B4-BE49-F238E27FC236}">
              <a16:creationId xmlns:a16="http://schemas.microsoft.com/office/drawing/2014/main" id="{00000000-0008-0000-07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399" name="Imagem 398" descr="page28image1579829120">
          <a:extLst>
            <a:ext uri="{FF2B5EF4-FFF2-40B4-BE49-F238E27FC236}">
              <a16:creationId xmlns:a16="http://schemas.microsoft.com/office/drawing/2014/main" id="{00000000-0008-0000-07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0" name="Imagem 399" descr="page28image1579935296">
          <a:extLst>
            <a:ext uri="{FF2B5EF4-FFF2-40B4-BE49-F238E27FC236}">
              <a16:creationId xmlns:a16="http://schemas.microsoft.com/office/drawing/2014/main" id="{00000000-0008-0000-07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1" name="Imagem 400" descr="page28image1579926656">
          <a:extLst>
            <a:ext uri="{FF2B5EF4-FFF2-40B4-BE49-F238E27FC236}">
              <a16:creationId xmlns:a16="http://schemas.microsoft.com/office/drawing/2014/main" id="{00000000-0008-0000-07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2" name="Imagem 401" descr="page28image1579840640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3" name="Imagem 402" descr="page28image1579841024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4" name="Imagem 403" descr="page28image1579841600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5" name="Imagem 404" descr="page28image1579841984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6" name="Imagem 405" descr="page28image1579814272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7" name="Imagem 406" descr="page28image1579814656">
          <a:extLst>
            <a:ext uri="{FF2B5EF4-FFF2-40B4-BE49-F238E27FC236}">
              <a16:creationId xmlns:a16="http://schemas.microsoft.com/office/drawing/2014/main" id="{00000000-0008-0000-07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8" name="Imagem 407" descr="page28image1579818304">
          <a:extLst>
            <a:ext uri="{FF2B5EF4-FFF2-40B4-BE49-F238E27FC236}">
              <a16:creationId xmlns:a16="http://schemas.microsoft.com/office/drawing/2014/main" id="{00000000-0008-0000-07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09" name="Imagem 408" descr="page28image1579818688">
          <a:extLst>
            <a:ext uri="{FF2B5EF4-FFF2-40B4-BE49-F238E27FC236}">
              <a16:creationId xmlns:a16="http://schemas.microsoft.com/office/drawing/2014/main" id="{00000000-0008-0000-07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495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0" name="Imagem 409" descr="page28image1579828736">
          <a:extLst>
            <a:ext uri="{FF2B5EF4-FFF2-40B4-BE49-F238E27FC236}">
              <a16:creationId xmlns:a16="http://schemas.microsoft.com/office/drawing/2014/main" id="{00000000-0008-0000-07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1" name="Imagem 410" descr="page28image1579829120">
          <a:extLst>
            <a:ext uri="{FF2B5EF4-FFF2-40B4-BE49-F238E27FC236}">
              <a16:creationId xmlns:a16="http://schemas.microsoft.com/office/drawing/2014/main" id="{00000000-0008-0000-07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2" name="Imagem 411" descr="page28image1579935296">
          <a:extLst>
            <a:ext uri="{FF2B5EF4-FFF2-40B4-BE49-F238E27FC236}">
              <a16:creationId xmlns:a16="http://schemas.microsoft.com/office/drawing/2014/main" id="{00000000-0008-0000-07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3" name="Imagem 412" descr="page28image1579926656">
          <a:extLst>
            <a:ext uri="{FF2B5EF4-FFF2-40B4-BE49-F238E27FC236}">
              <a16:creationId xmlns:a16="http://schemas.microsoft.com/office/drawing/2014/main" id="{00000000-0008-0000-07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4" name="Imagem 413" descr="page28image1579840640">
          <a:extLst>
            <a:ext uri="{FF2B5EF4-FFF2-40B4-BE49-F238E27FC236}">
              <a16:creationId xmlns:a16="http://schemas.microsoft.com/office/drawing/2014/main" id="{00000000-0008-0000-07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5" name="Imagem 414" descr="page28image1579841024">
          <a:extLst>
            <a:ext uri="{FF2B5EF4-FFF2-40B4-BE49-F238E27FC236}">
              <a16:creationId xmlns:a16="http://schemas.microsoft.com/office/drawing/2014/main" id="{00000000-0008-0000-07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6" name="Imagem 415" descr="page28image1579841600">
          <a:extLst>
            <a:ext uri="{FF2B5EF4-FFF2-40B4-BE49-F238E27FC236}">
              <a16:creationId xmlns:a16="http://schemas.microsoft.com/office/drawing/2014/main" id="{00000000-0008-0000-07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7" name="Imagem 416" descr="page28image1579841984">
          <a:extLst>
            <a:ext uri="{FF2B5EF4-FFF2-40B4-BE49-F238E27FC236}">
              <a16:creationId xmlns:a16="http://schemas.microsoft.com/office/drawing/2014/main" id="{00000000-0008-0000-07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8" name="Imagem 417" descr="page28image1579814272">
          <a:extLst>
            <a:ext uri="{FF2B5EF4-FFF2-40B4-BE49-F238E27FC236}">
              <a16:creationId xmlns:a16="http://schemas.microsoft.com/office/drawing/2014/main" id="{00000000-0008-0000-07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19" name="Imagem 418" descr="page28image1579814656">
          <a:extLst>
            <a:ext uri="{FF2B5EF4-FFF2-40B4-BE49-F238E27FC236}">
              <a16:creationId xmlns:a16="http://schemas.microsoft.com/office/drawing/2014/main" id="{00000000-0008-0000-07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0" name="Imagem 419" descr="page28image1579818304">
          <a:extLst>
            <a:ext uri="{FF2B5EF4-FFF2-40B4-BE49-F238E27FC236}">
              <a16:creationId xmlns:a16="http://schemas.microsoft.com/office/drawing/2014/main" id="{00000000-0008-0000-07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1" name="Imagem 420" descr="page28image1579818688">
          <a:extLst>
            <a:ext uri="{FF2B5EF4-FFF2-40B4-BE49-F238E27FC236}">
              <a16:creationId xmlns:a16="http://schemas.microsoft.com/office/drawing/2014/main" id="{00000000-0008-0000-07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20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2" name="Imagem 421" descr="page28image1579828736">
          <a:extLst>
            <a:ext uri="{FF2B5EF4-FFF2-40B4-BE49-F238E27FC236}">
              <a16:creationId xmlns:a16="http://schemas.microsoft.com/office/drawing/2014/main" id="{00000000-0008-0000-07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3" name="Imagem 422" descr="page28image1579829120">
          <a:extLst>
            <a:ext uri="{FF2B5EF4-FFF2-40B4-BE49-F238E27FC236}">
              <a16:creationId xmlns:a16="http://schemas.microsoft.com/office/drawing/2014/main" id="{00000000-0008-0000-07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4" name="Imagem 423" descr="page28image1579935296">
          <a:extLst>
            <a:ext uri="{FF2B5EF4-FFF2-40B4-BE49-F238E27FC236}">
              <a16:creationId xmlns:a16="http://schemas.microsoft.com/office/drawing/2014/main" id="{00000000-0008-0000-07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5" name="Imagem 424" descr="page28image1579926656">
          <a:extLst>
            <a:ext uri="{FF2B5EF4-FFF2-40B4-BE49-F238E27FC236}">
              <a16:creationId xmlns:a16="http://schemas.microsoft.com/office/drawing/2014/main" id="{00000000-0008-0000-0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6" name="Imagem 425" descr="page28image1579840640">
          <a:extLst>
            <a:ext uri="{FF2B5EF4-FFF2-40B4-BE49-F238E27FC236}">
              <a16:creationId xmlns:a16="http://schemas.microsoft.com/office/drawing/2014/main" id="{00000000-0008-0000-0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7" name="Imagem 426" descr="page28image1579841024">
          <a:extLst>
            <a:ext uri="{FF2B5EF4-FFF2-40B4-BE49-F238E27FC236}">
              <a16:creationId xmlns:a16="http://schemas.microsoft.com/office/drawing/2014/main" id="{00000000-0008-0000-0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8" name="Imagem 427" descr="page28image1579841600">
          <a:extLst>
            <a:ext uri="{FF2B5EF4-FFF2-40B4-BE49-F238E27FC236}">
              <a16:creationId xmlns:a16="http://schemas.microsoft.com/office/drawing/2014/main" id="{00000000-0008-0000-0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29" name="Imagem 428" descr="page28image1579841984">
          <a:extLst>
            <a:ext uri="{FF2B5EF4-FFF2-40B4-BE49-F238E27FC236}">
              <a16:creationId xmlns:a16="http://schemas.microsoft.com/office/drawing/2014/main" id="{00000000-0008-0000-0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0" name="Imagem 429" descr="page28image1579814272">
          <a:extLst>
            <a:ext uri="{FF2B5EF4-FFF2-40B4-BE49-F238E27FC236}">
              <a16:creationId xmlns:a16="http://schemas.microsoft.com/office/drawing/2014/main" id="{00000000-0008-0000-0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1" name="Imagem 430" descr="page28image1579814656">
          <a:extLst>
            <a:ext uri="{FF2B5EF4-FFF2-40B4-BE49-F238E27FC236}">
              <a16:creationId xmlns:a16="http://schemas.microsoft.com/office/drawing/2014/main" id="{00000000-0008-0000-0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2" name="Imagem 431" descr="page28image1579818304">
          <a:extLst>
            <a:ext uri="{FF2B5EF4-FFF2-40B4-BE49-F238E27FC236}">
              <a16:creationId xmlns:a16="http://schemas.microsoft.com/office/drawing/2014/main" id="{00000000-0008-0000-0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3" name="Imagem 432" descr="page28image1579818688">
          <a:extLst>
            <a:ext uri="{FF2B5EF4-FFF2-40B4-BE49-F238E27FC236}">
              <a16:creationId xmlns:a16="http://schemas.microsoft.com/office/drawing/2014/main" id="{00000000-0008-0000-0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45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4" name="Imagem 433" descr="page28image1579828736">
          <a:extLst>
            <a:ext uri="{FF2B5EF4-FFF2-40B4-BE49-F238E27FC236}">
              <a16:creationId xmlns:a16="http://schemas.microsoft.com/office/drawing/2014/main" id="{00000000-0008-0000-0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5" name="Imagem 434" descr="page28image1579829120">
          <a:extLst>
            <a:ext uri="{FF2B5EF4-FFF2-40B4-BE49-F238E27FC236}">
              <a16:creationId xmlns:a16="http://schemas.microsoft.com/office/drawing/2014/main" id="{00000000-0008-0000-0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6" name="Imagem 435" descr="page28image1579935296">
          <a:extLst>
            <a:ext uri="{FF2B5EF4-FFF2-40B4-BE49-F238E27FC236}">
              <a16:creationId xmlns:a16="http://schemas.microsoft.com/office/drawing/2014/main" id="{00000000-0008-0000-0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7" name="Imagem 436" descr="page28image1579926656">
          <a:extLst>
            <a:ext uri="{FF2B5EF4-FFF2-40B4-BE49-F238E27FC236}">
              <a16:creationId xmlns:a16="http://schemas.microsoft.com/office/drawing/2014/main" id="{00000000-0008-0000-0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8" name="Imagem 437" descr="page28image1579840640">
          <a:extLst>
            <a:ext uri="{FF2B5EF4-FFF2-40B4-BE49-F238E27FC236}">
              <a16:creationId xmlns:a16="http://schemas.microsoft.com/office/drawing/2014/main" id="{00000000-0008-0000-0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39" name="Imagem 438" descr="page28image1579841024">
          <a:extLst>
            <a:ext uri="{FF2B5EF4-FFF2-40B4-BE49-F238E27FC236}">
              <a16:creationId xmlns:a16="http://schemas.microsoft.com/office/drawing/2014/main" id="{00000000-0008-0000-0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0" name="Imagem 439" descr="page28image1579841600">
          <a:extLst>
            <a:ext uri="{FF2B5EF4-FFF2-40B4-BE49-F238E27FC236}">
              <a16:creationId xmlns:a16="http://schemas.microsoft.com/office/drawing/2014/main" id="{00000000-0008-0000-0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1" name="Imagem 440" descr="page28image1579841984">
          <a:extLst>
            <a:ext uri="{FF2B5EF4-FFF2-40B4-BE49-F238E27FC236}">
              <a16:creationId xmlns:a16="http://schemas.microsoft.com/office/drawing/2014/main" id="{00000000-0008-0000-0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2" name="Imagem 441" descr="page28image1579814272">
          <a:extLst>
            <a:ext uri="{FF2B5EF4-FFF2-40B4-BE49-F238E27FC236}">
              <a16:creationId xmlns:a16="http://schemas.microsoft.com/office/drawing/2014/main" id="{00000000-0008-0000-0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3" name="Imagem 442" descr="page28image1579814656">
          <a:extLst>
            <a:ext uri="{FF2B5EF4-FFF2-40B4-BE49-F238E27FC236}">
              <a16:creationId xmlns:a16="http://schemas.microsoft.com/office/drawing/2014/main" id="{00000000-0008-0000-0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4" name="Imagem 443" descr="page28image1579818304">
          <a:extLst>
            <a:ext uri="{FF2B5EF4-FFF2-40B4-BE49-F238E27FC236}">
              <a16:creationId xmlns:a16="http://schemas.microsoft.com/office/drawing/2014/main" id="{00000000-0008-0000-0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5" name="Imagem 444" descr="page28image1579818688">
          <a:extLst>
            <a:ext uri="{FF2B5EF4-FFF2-40B4-BE49-F238E27FC236}">
              <a16:creationId xmlns:a16="http://schemas.microsoft.com/office/drawing/2014/main" id="{00000000-0008-0000-0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71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6" name="Imagem 445" descr="page28image1579828736">
          <a:extLst>
            <a:ext uri="{FF2B5EF4-FFF2-40B4-BE49-F238E27FC236}">
              <a16:creationId xmlns:a16="http://schemas.microsoft.com/office/drawing/2014/main" id="{00000000-0008-0000-0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7" name="Imagem 446" descr="page28image1579829120">
          <a:extLst>
            <a:ext uri="{FF2B5EF4-FFF2-40B4-BE49-F238E27FC236}">
              <a16:creationId xmlns:a16="http://schemas.microsoft.com/office/drawing/2014/main" id="{00000000-0008-0000-0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8" name="Imagem 447" descr="page28image1579935296">
          <a:extLst>
            <a:ext uri="{FF2B5EF4-FFF2-40B4-BE49-F238E27FC236}">
              <a16:creationId xmlns:a16="http://schemas.microsoft.com/office/drawing/2014/main" id="{00000000-0008-0000-0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49" name="Imagem 448" descr="page28image1579926656">
          <a:extLst>
            <a:ext uri="{FF2B5EF4-FFF2-40B4-BE49-F238E27FC236}">
              <a16:creationId xmlns:a16="http://schemas.microsoft.com/office/drawing/2014/main" id="{00000000-0008-0000-0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0" name="Imagem 449" descr="page28image1579840640">
          <a:extLst>
            <a:ext uri="{FF2B5EF4-FFF2-40B4-BE49-F238E27FC236}">
              <a16:creationId xmlns:a16="http://schemas.microsoft.com/office/drawing/2014/main" id="{00000000-0008-0000-0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1" name="Imagem 450" descr="page28image1579841024">
          <a:extLst>
            <a:ext uri="{FF2B5EF4-FFF2-40B4-BE49-F238E27FC236}">
              <a16:creationId xmlns:a16="http://schemas.microsoft.com/office/drawing/2014/main" id="{00000000-0008-0000-0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2" name="Imagem 451" descr="page28image1579841600">
          <a:extLst>
            <a:ext uri="{FF2B5EF4-FFF2-40B4-BE49-F238E27FC236}">
              <a16:creationId xmlns:a16="http://schemas.microsoft.com/office/drawing/2014/main" id="{00000000-0008-0000-0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3" name="Imagem 452" descr="page28image1579841984">
          <a:extLst>
            <a:ext uri="{FF2B5EF4-FFF2-40B4-BE49-F238E27FC236}">
              <a16:creationId xmlns:a16="http://schemas.microsoft.com/office/drawing/2014/main" id="{00000000-0008-0000-0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4" name="Imagem 453" descr="page28image1579814272">
          <a:extLst>
            <a:ext uri="{FF2B5EF4-FFF2-40B4-BE49-F238E27FC236}">
              <a16:creationId xmlns:a16="http://schemas.microsoft.com/office/drawing/2014/main" id="{00000000-0008-0000-0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5" name="Imagem 454" descr="page28image1579814656">
          <a:extLst>
            <a:ext uri="{FF2B5EF4-FFF2-40B4-BE49-F238E27FC236}">
              <a16:creationId xmlns:a16="http://schemas.microsoft.com/office/drawing/2014/main" id="{00000000-0008-0000-0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6" name="Imagem 455" descr="page28image1579818304">
          <a:extLst>
            <a:ext uri="{FF2B5EF4-FFF2-40B4-BE49-F238E27FC236}">
              <a16:creationId xmlns:a16="http://schemas.microsoft.com/office/drawing/2014/main" id="{00000000-0008-0000-0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7" name="Imagem 456" descr="page28image1579818688">
          <a:extLst>
            <a:ext uri="{FF2B5EF4-FFF2-40B4-BE49-F238E27FC236}">
              <a16:creationId xmlns:a16="http://schemas.microsoft.com/office/drawing/2014/main" id="{00000000-0008-0000-0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596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8" name="Imagem 457" descr="page28image1579828736">
          <a:extLst>
            <a:ext uri="{FF2B5EF4-FFF2-40B4-BE49-F238E27FC236}">
              <a16:creationId xmlns:a16="http://schemas.microsoft.com/office/drawing/2014/main" id="{00000000-0008-0000-0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59" name="Imagem 458" descr="page28image1579829120">
          <a:extLst>
            <a:ext uri="{FF2B5EF4-FFF2-40B4-BE49-F238E27FC236}">
              <a16:creationId xmlns:a16="http://schemas.microsoft.com/office/drawing/2014/main" id="{00000000-0008-0000-0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0" name="Imagem 459" descr="page28image1579935296">
          <a:extLst>
            <a:ext uri="{FF2B5EF4-FFF2-40B4-BE49-F238E27FC236}">
              <a16:creationId xmlns:a16="http://schemas.microsoft.com/office/drawing/2014/main" id="{00000000-0008-0000-0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1" name="Imagem 460" descr="page28image1579926656">
          <a:extLst>
            <a:ext uri="{FF2B5EF4-FFF2-40B4-BE49-F238E27FC236}">
              <a16:creationId xmlns:a16="http://schemas.microsoft.com/office/drawing/2014/main" id="{00000000-0008-0000-0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2" name="Imagem 461" descr="page28image1579840640">
          <a:extLst>
            <a:ext uri="{FF2B5EF4-FFF2-40B4-BE49-F238E27FC236}">
              <a16:creationId xmlns:a16="http://schemas.microsoft.com/office/drawing/2014/main" id="{00000000-0008-0000-0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3" name="Imagem 462" descr="page28image1579841024">
          <a:extLst>
            <a:ext uri="{FF2B5EF4-FFF2-40B4-BE49-F238E27FC236}">
              <a16:creationId xmlns:a16="http://schemas.microsoft.com/office/drawing/2014/main" id="{00000000-0008-0000-07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4" name="Imagem 463" descr="page28image1579841600">
          <a:extLst>
            <a:ext uri="{FF2B5EF4-FFF2-40B4-BE49-F238E27FC236}">
              <a16:creationId xmlns:a16="http://schemas.microsoft.com/office/drawing/2014/main" id="{00000000-0008-0000-0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5" name="Imagem 464" descr="page28image1579841984">
          <a:extLst>
            <a:ext uri="{FF2B5EF4-FFF2-40B4-BE49-F238E27FC236}">
              <a16:creationId xmlns:a16="http://schemas.microsoft.com/office/drawing/2014/main" id="{00000000-0008-0000-0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6" name="Imagem 465" descr="page28image1579814272">
          <a:extLst>
            <a:ext uri="{FF2B5EF4-FFF2-40B4-BE49-F238E27FC236}">
              <a16:creationId xmlns:a16="http://schemas.microsoft.com/office/drawing/2014/main" id="{00000000-0008-0000-0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7" name="Imagem 466" descr="page28image1579814656">
          <a:extLst>
            <a:ext uri="{FF2B5EF4-FFF2-40B4-BE49-F238E27FC236}">
              <a16:creationId xmlns:a16="http://schemas.microsoft.com/office/drawing/2014/main" id="{00000000-0008-0000-0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8" name="Imagem 467" descr="page28image1579818304">
          <a:extLst>
            <a:ext uri="{FF2B5EF4-FFF2-40B4-BE49-F238E27FC236}">
              <a16:creationId xmlns:a16="http://schemas.microsoft.com/office/drawing/2014/main" id="{00000000-0008-0000-0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69" name="Imagem 468" descr="page28image1579818688">
          <a:extLst>
            <a:ext uri="{FF2B5EF4-FFF2-40B4-BE49-F238E27FC236}">
              <a16:creationId xmlns:a16="http://schemas.microsoft.com/office/drawing/2014/main" id="{00000000-0008-0000-0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22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0" name="Imagem 469" descr="page28image1579828736">
          <a:extLst>
            <a:ext uri="{FF2B5EF4-FFF2-40B4-BE49-F238E27FC236}">
              <a16:creationId xmlns:a16="http://schemas.microsoft.com/office/drawing/2014/main" id="{00000000-0008-0000-0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1" name="Imagem 470" descr="page28image1579829120">
          <a:extLst>
            <a:ext uri="{FF2B5EF4-FFF2-40B4-BE49-F238E27FC236}">
              <a16:creationId xmlns:a16="http://schemas.microsoft.com/office/drawing/2014/main" id="{00000000-0008-0000-0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2" name="Imagem 471" descr="page28image1579935296">
          <a:extLst>
            <a:ext uri="{FF2B5EF4-FFF2-40B4-BE49-F238E27FC236}">
              <a16:creationId xmlns:a16="http://schemas.microsoft.com/office/drawing/2014/main" id="{00000000-0008-0000-0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3" name="Imagem 472" descr="page28image1579926656">
          <a:extLst>
            <a:ext uri="{FF2B5EF4-FFF2-40B4-BE49-F238E27FC236}">
              <a16:creationId xmlns:a16="http://schemas.microsoft.com/office/drawing/2014/main" id="{00000000-0008-0000-0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4" name="Imagem 473" descr="page28image1579840640">
          <a:extLst>
            <a:ext uri="{FF2B5EF4-FFF2-40B4-BE49-F238E27FC236}">
              <a16:creationId xmlns:a16="http://schemas.microsoft.com/office/drawing/2014/main" id="{00000000-0008-0000-0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5" name="Imagem 474" descr="page28image1579841024">
          <a:extLst>
            <a:ext uri="{FF2B5EF4-FFF2-40B4-BE49-F238E27FC236}">
              <a16:creationId xmlns:a16="http://schemas.microsoft.com/office/drawing/2014/main" id="{00000000-0008-0000-0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6" name="Imagem 475" descr="page28image1579841600">
          <a:extLst>
            <a:ext uri="{FF2B5EF4-FFF2-40B4-BE49-F238E27FC236}">
              <a16:creationId xmlns:a16="http://schemas.microsoft.com/office/drawing/2014/main" id="{00000000-0008-0000-0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7" name="Imagem 476" descr="page28image1579841984">
          <a:extLst>
            <a:ext uri="{FF2B5EF4-FFF2-40B4-BE49-F238E27FC236}">
              <a16:creationId xmlns:a16="http://schemas.microsoft.com/office/drawing/2014/main" id="{00000000-0008-0000-0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8" name="Imagem 477" descr="page28image1579814272">
          <a:extLst>
            <a:ext uri="{FF2B5EF4-FFF2-40B4-BE49-F238E27FC236}">
              <a16:creationId xmlns:a16="http://schemas.microsoft.com/office/drawing/2014/main" id="{00000000-0008-0000-0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79" name="Imagem 478" descr="page28image1579814656">
          <a:extLst>
            <a:ext uri="{FF2B5EF4-FFF2-40B4-BE49-F238E27FC236}">
              <a16:creationId xmlns:a16="http://schemas.microsoft.com/office/drawing/2014/main" id="{00000000-0008-0000-0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0" name="Imagem 479" descr="page28image1579818304">
          <a:extLst>
            <a:ext uri="{FF2B5EF4-FFF2-40B4-BE49-F238E27FC236}">
              <a16:creationId xmlns:a16="http://schemas.microsoft.com/office/drawing/2014/main" id="{00000000-0008-0000-0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1" name="Imagem 480" descr="page28image1579818688">
          <a:extLst>
            <a:ext uri="{FF2B5EF4-FFF2-40B4-BE49-F238E27FC236}">
              <a16:creationId xmlns:a16="http://schemas.microsoft.com/office/drawing/2014/main" id="{00000000-0008-0000-0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47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2" name="Imagem 481" descr="page28image1579828736">
          <a:extLst>
            <a:ext uri="{FF2B5EF4-FFF2-40B4-BE49-F238E27FC236}">
              <a16:creationId xmlns:a16="http://schemas.microsoft.com/office/drawing/2014/main" id="{00000000-0008-0000-0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3" name="Imagem 482" descr="page28image1579829120">
          <a:extLst>
            <a:ext uri="{FF2B5EF4-FFF2-40B4-BE49-F238E27FC236}">
              <a16:creationId xmlns:a16="http://schemas.microsoft.com/office/drawing/2014/main" id="{00000000-0008-0000-0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4" name="Imagem 483" descr="page28image1579935296">
          <a:extLst>
            <a:ext uri="{FF2B5EF4-FFF2-40B4-BE49-F238E27FC236}">
              <a16:creationId xmlns:a16="http://schemas.microsoft.com/office/drawing/2014/main" id="{00000000-0008-0000-0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5" name="Imagem 484" descr="page28image1579926656">
          <a:extLst>
            <a:ext uri="{FF2B5EF4-FFF2-40B4-BE49-F238E27FC236}">
              <a16:creationId xmlns:a16="http://schemas.microsoft.com/office/drawing/2014/main" id="{00000000-0008-0000-0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6" name="Imagem 485" descr="page28image1579840640">
          <a:extLst>
            <a:ext uri="{FF2B5EF4-FFF2-40B4-BE49-F238E27FC236}">
              <a16:creationId xmlns:a16="http://schemas.microsoft.com/office/drawing/2014/main" id="{00000000-0008-0000-0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7" name="Imagem 486" descr="page28image1579841024">
          <a:extLst>
            <a:ext uri="{FF2B5EF4-FFF2-40B4-BE49-F238E27FC236}">
              <a16:creationId xmlns:a16="http://schemas.microsoft.com/office/drawing/2014/main" id="{00000000-0008-0000-0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8" name="Imagem 487" descr="page28image1579841600">
          <a:extLst>
            <a:ext uri="{FF2B5EF4-FFF2-40B4-BE49-F238E27FC236}">
              <a16:creationId xmlns:a16="http://schemas.microsoft.com/office/drawing/2014/main" id="{00000000-0008-0000-0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89" name="Imagem 488" descr="page28image1579841984">
          <a:extLst>
            <a:ext uri="{FF2B5EF4-FFF2-40B4-BE49-F238E27FC236}">
              <a16:creationId xmlns:a16="http://schemas.microsoft.com/office/drawing/2014/main" id="{00000000-0008-0000-0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0" name="Imagem 489" descr="page28image1579814272">
          <a:extLst>
            <a:ext uri="{FF2B5EF4-FFF2-40B4-BE49-F238E27FC236}">
              <a16:creationId xmlns:a16="http://schemas.microsoft.com/office/drawing/2014/main" id="{00000000-0008-0000-0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1" name="Imagem 490" descr="page28image1579814656">
          <a:extLst>
            <a:ext uri="{FF2B5EF4-FFF2-40B4-BE49-F238E27FC236}">
              <a16:creationId xmlns:a16="http://schemas.microsoft.com/office/drawing/2014/main" id="{00000000-0008-0000-0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2" name="Imagem 491" descr="page28image1579818304">
          <a:extLst>
            <a:ext uri="{FF2B5EF4-FFF2-40B4-BE49-F238E27FC236}">
              <a16:creationId xmlns:a16="http://schemas.microsoft.com/office/drawing/2014/main" id="{00000000-0008-0000-0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3" name="Imagem 492" descr="page28image1579818688">
          <a:extLst>
            <a:ext uri="{FF2B5EF4-FFF2-40B4-BE49-F238E27FC236}">
              <a16:creationId xmlns:a16="http://schemas.microsoft.com/office/drawing/2014/main" id="{00000000-0008-0000-0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72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4" name="Imagem 493" descr="page28image1579828736">
          <a:extLst>
            <a:ext uri="{FF2B5EF4-FFF2-40B4-BE49-F238E27FC236}">
              <a16:creationId xmlns:a16="http://schemas.microsoft.com/office/drawing/2014/main" id="{00000000-0008-0000-0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5" name="Imagem 494" descr="page28image1579829120">
          <a:extLst>
            <a:ext uri="{FF2B5EF4-FFF2-40B4-BE49-F238E27FC236}">
              <a16:creationId xmlns:a16="http://schemas.microsoft.com/office/drawing/2014/main" id="{00000000-0008-0000-0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6" name="Imagem 495" descr="page28image1579935296">
          <a:extLst>
            <a:ext uri="{FF2B5EF4-FFF2-40B4-BE49-F238E27FC236}">
              <a16:creationId xmlns:a16="http://schemas.microsoft.com/office/drawing/2014/main" id="{00000000-0008-0000-0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7" name="Imagem 496" descr="page28image1579926656">
          <a:extLst>
            <a:ext uri="{FF2B5EF4-FFF2-40B4-BE49-F238E27FC236}">
              <a16:creationId xmlns:a16="http://schemas.microsoft.com/office/drawing/2014/main" id="{00000000-0008-0000-0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8" name="Imagem 497" descr="page28image1579840640">
          <a:extLst>
            <a:ext uri="{FF2B5EF4-FFF2-40B4-BE49-F238E27FC236}">
              <a16:creationId xmlns:a16="http://schemas.microsoft.com/office/drawing/2014/main" id="{00000000-0008-0000-0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499" name="Imagem 498" descr="page28image1579841024">
          <a:extLst>
            <a:ext uri="{FF2B5EF4-FFF2-40B4-BE49-F238E27FC236}">
              <a16:creationId xmlns:a16="http://schemas.microsoft.com/office/drawing/2014/main" id="{00000000-0008-0000-0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0" name="Imagem 499" descr="page28image1579841600">
          <a:extLst>
            <a:ext uri="{FF2B5EF4-FFF2-40B4-BE49-F238E27FC236}">
              <a16:creationId xmlns:a16="http://schemas.microsoft.com/office/drawing/2014/main" id="{00000000-0008-0000-0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1" name="Imagem 500" descr="page28image1579841984">
          <a:extLst>
            <a:ext uri="{FF2B5EF4-FFF2-40B4-BE49-F238E27FC236}">
              <a16:creationId xmlns:a16="http://schemas.microsoft.com/office/drawing/2014/main" id="{00000000-0008-0000-0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2" name="Imagem 501" descr="page28image1579814272">
          <a:extLst>
            <a:ext uri="{FF2B5EF4-FFF2-40B4-BE49-F238E27FC236}">
              <a16:creationId xmlns:a16="http://schemas.microsoft.com/office/drawing/2014/main" id="{00000000-0008-0000-0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3" name="Imagem 502" descr="page28image1579814656">
          <a:extLst>
            <a:ext uri="{FF2B5EF4-FFF2-40B4-BE49-F238E27FC236}">
              <a16:creationId xmlns:a16="http://schemas.microsoft.com/office/drawing/2014/main" id="{00000000-0008-0000-0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4" name="Imagem 503" descr="page28image1579818304">
          <a:extLst>
            <a:ext uri="{FF2B5EF4-FFF2-40B4-BE49-F238E27FC236}">
              <a16:creationId xmlns:a16="http://schemas.microsoft.com/office/drawing/2014/main" id="{00000000-0008-0000-0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5" name="Imagem 504" descr="page28image1579818688">
          <a:extLst>
            <a:ext uri="{FF2B5EF4-FFF2-40B4-BE49-F238E27FC236}">
              <a16:creationId xmlns:a16="http://schemas.microsoft.com/office/drawing/2014/main" id="{00000000-0008-0000-0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698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6" name="Imagem 505" descr="page28image1579828736">
          <a:extLst>
            <a:ext uri="{FF2B5EF4-FFF2-40B4-BE49-F238E27FC236}">
              <a16:creationId xmlns:a16="http://schemas.microsoft.com/office/drawing/2014/main" id="{00000000-0008-0000-0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7" name="Imagem 506" descr="page28image1579829120">
          <a:extLst>
            <a:ext uri="{FF2B5EF4-FFF2-40B4-BE49-F238E27FC236}">
              <a16:creationId xmlns:a16="http://schemas.microsoft.com/office/drawing/2014/main" id="{00000000-0008-0000-0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8" name="Imagem 507" descr="page28image1579935296">
          <a:extLst>
            <a:ext uri="{FF2B5EF4-FFF2-40B4-BE49-F238E27FC236}">
              <a16:creationId xmlns:a16="http://schemas.microsoft.com/office/drawing/2014/main" id="{00000000-0008-0000-0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09" name="Imagem 508" descr="page28image1579926656">
          <a:extLst>
            <a:ext uri="{FF2B5EF4-FFF2-40B4-BE49-F238E27FC236}">
              <a16:creationId xmlns:a16="http://schemas.microsoft.com/office/drawing/2014/main" id="{00000000-0008-0000-0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0" name="Imagem 509" descr="page28image1579840640">
          <a:extLst>
            <a:ext uri="{FF2B5EF4-FFF2-40B4-BE49-F238E27FC236}">
              <a16:creationId xmlns:a16="http://schemas.microsoft.com/office/drawing/2014/main" id="{00000000-0008-0000-0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1" name="Imagem 510" descr="page28image1579841024">
          <a:extLst>
            <a:ext uri="{FF2B5EF4-FFF2-40B4-BE49-F238E27FC236}">
              <a16:creationId xmlns:a16="http://schemas.microsoft.com/office/drawing/2014/main" id="{00000000-0008-0000-0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2" name="Imagem 511" descr="page28image1579841600">
          <a:extLst>
            <a:ext uri="{FF2B5EF4-FFF2-40B4-BE49-F238E27FC236}">
              <a16:creationId xmlns:a16="http://schemas.microsoft.com/office/drawing/2014/main" id="{00000000-0008-0000-0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3" name="Imagem 512" descr="page28image1579841984">
          <a:extLst>
            <a:ext uri="{FF2B5EF4-FFF2-40B4-BE49-F238E27FC236}">
              <a16:creationId xmlns:a16="http://schemas.microsoft.com/office/drawing/2014/main" id="{00000000-0008-0000-0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4" name="Imagem 513" descr="page28image1579814272">
          <a:extLst>
            <a:ext uri="{FF2B5EF4-FFF2-40B4-BE49-F238E27FC236}">
              <a16:creationId xmlns:a16="http://schemas.microsoft.com/office/drawing/2014/main" id="{00000000-0008-0000-0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5" name="Imagem 514" descr="page28image1579814656">
          <a:extLst>
            <a:ext uri="{FF2B5EF4-FFF2-40B4-BE49-F238E27FC236}">
              <a16:creationId xmlns:a16="http://schemas.microsoft.com/office/drawing/2014/main" id="{00000000-0008-0000-0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6" name="Imagem 515" descr="page28image1579818304">
          <a:extLst>
            <a:ext uri="{FF2B5EF4-FFF2-40B4-BE49-F238E27FC236}">
              <a16:creationId xmlns:a16="http://schemas.microsoft.com/office/drawing/2014/main" id="{00000000-0008-0000-0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7" name="Imagem 516" descr="page28image1579818688">
          <a:extLst>
            <a:ext uri="{FF2B5EF4-FFF2-40B4-BE49-F238E27FC236}">
              <a16:creationId xmlns:a16="http://schemas.microsoft.com/office/drawing/2014/main" id="{00000000-0008-0000-0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23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8" name="Imagem 517" descr="page28image1579828736">
          <a:extLst>
            <a:ext uri="{FF2B5EF4-FFF2-40B4-BE49-F238E27FC236}">
              <a16:creationId xmlns:a16="http://schemas.microsoft.com/office/drawing/2014/main" id="{00000000-0008-0000-0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19" name="Imagem 518" descr="page28image1579829120">
          <a:extLst>
            <a:ext uri="{FF2B5EF4-FFF2-40B4-BE49-F238E27FC236}">
              <a16:creationId xmlns:a16="http://schemas.microsoft.com/office/drawing/2014/main" id="{00000000-0008-0000-0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0" name="Imagem 519" descr="page28image1579935296">
          <a:extLst>
            <a:ext uri="{FF2B5EF4-FFF2-40B4-BE49-F238E27FC236}">
              <a16:creationId xmlns:a16="http://schemas.microsoft.com/office/drawing/2014/main" id="{00000000-0008-0000-0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1" name="Imagem 520" descr="page28image1579926656">
          <a:extLst>
            <a:ext uri="{FF2B5EF4-FFF2-40B4-BE49-F238E27FC236}">
              <a16:creationId xmlns:a16="http://schemas.microsoft.com/office/drawing/2014/main" id="{00000000-0008-0000-0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2" name="Imagem 521" descr="page28image1579840640">
          <a:extLst>
            <a:ext uri="{FF2B5EF4-FFF2-40B4-BE49-F238E27FC236}">
              <a16:creationId xmlns:a16="http://schemas.microsoft.com/office/drawing/2014/main" id="{00000000-0008-0000-0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3" name="Imagem 522" descr="page28image1579841024">
          <a:extLst>
            <a:ext uri="{FF2B5EF4-FFF2-40B4-BE49-F238E27FC236}">
              <a16:creationId xmlns:a16="http://schemas.microsoft.com/office/drawing/2014/main" id="{00000000-0008-0000-0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4" name="Imagem 523" descr="page28image1579841600">
          <a:extLst>
            <a:ext uri="{FF2B5EF4-FFF2-40B4-BE49-F238E27FC236}">
              <a16:creationId xmlns:a16="http://schemas.microsoft.com/office/drawing/2014/main" id="{00000000-0008-0000-0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5" name="Imagem 524" descr="page28image1579841984">
          <a:extLst>
            <a:ext uri="{FF2B5EF4-FFF2-40B4-BE49-F238E27FC236}">
              <a16:creationId xmlns:a16="http://schemas.microsoft.com/office/drawing/2014/main" id="{00000000-0008-0000-0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6" name="Imagem 525" descr="page28image1579814272">
          <a:extLst>
            <a:ext uri="{FF2B5EF4-FFF2-40B4-BE49-F238E27FC236}">
              <a16:creationId xmlns:a16="http://schemas.microsoft.com/office/drawing/2014/main" id="{00000000-0008-0000-0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7" name="Imagem 526" descr="page28image1579814656">
          <a:extLst>
            <a:ext uri="{FF2B5EF4-FFF2-40B4-BE49-F238E27FC236}">
              <a16:creationId xmlns:a16="http://schemas.microsoft.com/office/drawing/2014/main" id="{00000000-0008-0000-0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8" name="Imagem 527" descr="page28image1579818304">
          <a:extLst>
            <a:ext uri="{FF2B5EF4-FFF2-40B4-BE49-F238E27FC236}">
              <a16:creationId xmlns:a16="http://schemas.microsoft.com/office/drawing/2014/main" id="{00000000-0008-0000-0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29" name="Imagem 528" descr="page28image1579818688">
          <a:extLst>
            <a:ext uri="{FF2B5EF4-FFF2-40B4-BE49-F238E27FC236}">
              <a16:creationId xmlns:a16="http://schemas.microsoft.com/office/drawing/2014/main" id="{00000000-0008-0000-0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49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0" name="Imagem 529" descr="page28image1579828736">
          <a:extLst>
            <a:ext uri="{FF2B5EF4-FFF2-40B4-BE49-F238E27FC236}">
              <a16:creationId xmlns:a16="http://schemas.microsoft.com/office/drawing/2014/main" id="{00000000-0008-0000-0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1" name="Imagem 530" descr="page28image1579829120">
          <a:extLst>
            <a:ext uri="{FF2B5EF4-FFF2-40B4-BE49-F238E27FC236}">
              <a16:creationId xmlns:a16="http://schemas.microsoft.com/office/drawing/2014/main" id="{00000000-0008-0000-07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2" name="Imagem 531" descr="page28image1579935296">
          <a:extLst>
            <a:ext uri="{FF2B5EF4-FFF2-40B4-BE49-F238E27FC236}">
              <a16:creationId xmlns:a16="http://schemas.microsoft.com/office/drawing/2014/main" id="{00000000-0008-0000-07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3" name="Imagem 532" descr="page28image1579926656">
          <a:extLst>
            <a:ext uri="{FF2B5EF4-FFF2-40B4-BE49-F238E27FC236}">
              <a16:creationId xmlns:a16="http://schemas.microsoft.com/office/drawing/2014/main" id="{00000000-0008-0000-0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4" name="Imagem 533" descr="page28image1579840640">
          <a:extLst>
            <a:ext uri="{FF2B5EF4-FFF2-40B4-BE49-F238E27FC236}">
              <a16:creationId xmlns:a16="http://schemas.microsoft.com/office/drawing/2014/main" id="{00000000-0008-0000-07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5" name="Imagem 534" descr="page28image1579841024">
          <a:extLst>
            <a:ext uri="{FF2B5EF4-FFF2-40B4-BE49-F238E27FC236}">
              <a16:creationId xmlns:a16="http://schemas.microsoft.com/office/drawing/2014/main" id="{00000000-0008-0000-07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6" name="Imagem 535" descr="page28image1579841600">
          <a:extLst>
            <a:ext uri="{FF2B5EF4-FFF2-40B4-BE49-F238E27FC236}">
              <a16:creationId xmlns:a16="http://schemas.microsoft.com/office/drawing/2014/main" id="{00000000-0008-0000-07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7" name="Imagem 536" descr="page28image1579841984">
          <a:extLst>
            <a:ext uri="{FF2B5EF4-FFF2-40B4-BE49-F238E27FC236}">
              <a16:creationId xmlns:a16="http://schemas.microsoft.com/office/drawing/2014/main" id="{00000000-0008-0000-07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8" name="Imagem 537" descr="page28image1579814272">
          <a:extLst>
            <a:ext uri="{FF2B5EF4-FFF2-40B4-BE49-F238E27FC236}">
              <a16:creationId xmlns:a16="http://schemas.microsoft.com/office/drawing/2014/main" id="{00000000-0008-0000-0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39" name="Imagem 538" descr="page28image1579814656">
          <a:extLst>
            <a:ext uri="{FF2B5EF4-FFF2-40B4-BE49-F238E27FC236}">
              <a16:creationId xmlns:a16="http://schemas.microsoft.com/office/drawing/2014/main" id="{00000000-0008-0000-0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0" name="Imagem 539" descr="page28image1579818304">
          <a:extLst>
            <a:ext uri="{FF2B5EF4-FFF2-40B4-BE49-F238E27FC236}">
              <a16:creationId xmlns:a16="http://schemas.microsoft.com/office/drawing/2014/main" id="{00000000-0008-0000-0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1" name="Imagem 540" descr="page28image1579818688">
          <a:extLst>
            <a:ext uri="{FF2B5EF4-FFF2-40B4-BE49-F238E27FC236}">
              <a16:creationId xmlns:a16="http://schemas.microsoft.com/office/drawing/2014/main" id="{00000000-0008-0000-0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74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2" name="Imagem 541" descr="page28image1579828736">
          <a:extLst>
            <a:ext uri="{FF2B5EF4-FFF2-40B4-BE49-F238E27FC236}">
              <a16:creationId xmlns:a16="http://schemas.microsoft.com/office/drawing/2014/main" id="{00000000-0008-0000-0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3" name="Imagem 542" descr="page28image1579829120">
          <a:extLst>
            <a:ext uri="{FF2B5EF4-FFF2-40B4-BE49-F238E27FC236}">
              <a16:creationId xmlns:a16="http://schemas.microsoft.com/office/drawing/2014/main" id="{00000000-0008-0000-0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4" name="Imagem 543" descr="page28image1579935296">
          <a:extLst>
            <a:ext uri="{FF2B5EF4-FFF2-40B4-BE49-F238E27FC236}">
              <a16:creationId xmlns:a16="http://schemas.microsoft.com/office/drawing/2014/main" id="{00000000-0008-0000-0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5" name="Imagem 544" descr="page28image1579926656">
          <a:extLst>
            <a:ext uri="{FF2B5EF4-FFF2-40B4-BE49-F238E27FC236}">
              <a16:creationId xmlns:a16="http://schemas.microsoft.com/office/drawing/2014/main" id="{00000000-0008-0000-0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6" name="Imagem 545" descr="page28image1579840640">
          <a:extLst>
            <a:ext uri="{FF2B5EF4-FFF2-40B4-BE49-F238E27FC236}">
              <a16:creationId xmlns:a16="http://schemas.microsoft.com/office/drawing/2014/main" id="{00000000-0008-0000-0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7" name="Imagem 546" descr="page28image1579841024">
          <a:extLst>
            <a:ext uri="{FF2B5EF4-FFF2-40B4-BE49-F238E27FC236}">
              <a16:creationId xmlns:a16="http://schemas.microsoft.com/office/drawing/2014/main" id="{00000000-0008-0000-0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8" name="Imagem 547" descr="page28image1579841600">
          <a:extLst>
            <a:ext uri="{FF2B5EF4-FFF2-40B4-BE49-F238E27FC236}">
              <a16:creationId xmlns:a16="http://schemas.microsoft.com/office/drawing/2014/main" id="{00000000-0008-0000-0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49" name="Imagem 548" descr="page28image1579841984">
          <a:extLst>
            <a:ext uri="{FF2B5EF4-FFF2-40B4-BE49-F238E27FC236}">
              <a16:creationId xmlns:a16="http://schemas.microsoft.com/office/drawing/2014/main" id="{00000000-0008-0000-0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0" name="Imagem 549" descr="page28image1579814272">
          <a:extLst>
            <a:ext uri="{FF2B5EF4-FFF2-40B4-BE49-F238E27FC236}">
              <a16:creationId xmlns:a16="http://schemas.microsoft.com/office/drawing/2014/main" id="{00000000-0008-0000-0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1" name="Imagem 550" descr="page28image1579814656">
          <a:extLst>
            <a:ext uri="{FF2B5EF4-FFF2-40B4-BE49-F238E27FC236}">
              <a16:creationId xmlns:a16="http://schemas.microsoft.com/office/drawing/2014/main" id="{00000000-0008-0000-0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2" name="Imagem 551" descr="page28image1579818304">
          <a:extLst>
            <a:ext uri="{FF2B5EF4-FFF2-40B4-BE49-F238E27FC236}">
              <a16:creationId xmlns:a16="http://schemas.microsoft.com/office/drawing/2014/main" id="{00000000-0008-0000-0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3" name="Imagem 552" descr="page28image1579818688">
          <a:extLst>
            <a:ext uri="{FF2B5EF4-FFF2-40B4-BE49-F238E27FC236}">
              <a16:creationId xmlns:a16="http://schemas.microsoft.com/office/drawing/2014/main" id="{00000000-0008-0000-0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799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4" name="Imagem 553" descr="page28image1579828736">
          <a:extLst>
            <a:ext uri="{FF2B5EF4-FFF2-40B4-BE49-F238E27FC236}">
              <a16:creationId xmlns:a16="http://schemas.microsoft.com/office/drawing/2014/main" id="{00000000-0008-0000-0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5" name="Imagem 554" descr="page28image1579829120">
          <a:extLst>
            <a:ext uri="{FF2B5EF4-FFF2-40B4-BE49-F238E27FC236}">
              <a16:creationId xmlns:a16="http://schemas.microsoft.com/office/drawing/2014/main" id="{00000000-0008-0000-0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6" name="Imagem 555" descr="page28image1579935296">
          <a:extLst>
            <a:ext uri="{FF2B5EF4-FFF2-40B4-BE49-F238E27FC236}">
              <a16:creationId xmlns:a16="http://schemas.microsoft.com/office/drawing/2014/main" id="{00000000-0008-0000-0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7" name="Imagem 556" descr="page28image1579926656">
          <a:extLst>
            <a:ext uri="{FF2B5EF4-FFF2-40B4-BE49-F238E27FC236}">
              <a16:creationId xmlns:a16="http://schemas.microsoft.com/office/drawing/2014/main" id="{00000000-0008-0000-0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8" name="Imagem 557" descr="page28image1579840640">
          <a:extLst>
            <a:ext uri="{FF2B5EF4-FFF2-40B4-BE49-F238E27FC236}">
              <a16:creationId xmlns:a16="http://schemas.microsoft.com/office/drawing/2014/main" id="{00000000-0008-0000-0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59" name="Imagem 558" descr="page28image1579841024">
          <a:extLst>
            <a:ext uri="{FF2B5EF4-FFF2-40B4-BE49-F238E27FC236}">
              <a16:creationId xmlns:a16="http://schemas.microsoft.com/office/drawing/2014/main" id="{00000000-0008-0000-0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0" name="Imagem 559" descr="page28image1579841600">
          <a:extLst>
            <a:ext uri="{FF2B5EF4-FFF2-40B4-BE49-F238E27FC236}">
              <a16:creationId xmlns:a16="http://schemas.microsoft.com/office/drawing/2014/main" id="{00000000-0008-0000-0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1" name="Imagem 560" descr="page28image1579841984">
          <a:extLst>
            <a:ext uri="{FF2B5EF4-FFF2-40B4-BE49-F238E27FC236}">
              <a16:creationId xmlns:a16="http://schemas.microsoft.com/office/drawing/2014/main" id="{00000000-0008-0000-0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2" name="Imagem 561" descr="page28image1579814272">
          <a:extLst>
            <a:ext uri="{FF2B5EF4-FFF2-40B4-BE49-F238E27FC236}">
              <a16:creationId xmlns:a16="http://schemas.microsoft.com/office/drawing/2014/main" id="{00000000-0008-0000-0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3" name="Imagem 562" descr="page28image1579814656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4" name="Imagem 563" descr="page28image1579818304">
          <a:extLst>
            <a:ext uri="{FF2B5EF4-FFF2-40B4-BE49-F238E27FC236}">
              <a16:creationId xmlns:a16="http://schemas.microsoft.com/office/drawing/2014/main" id="{00000000-0008-0000-0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5" name="Imagem 564" descr="page28image1579818688">
          <a:extLst>
            <a:ext uri="{FF2B5EF4-FFF2-40B4-BE49-F238E27FC236}">
              <a16:creationId xmlns:a16="http://schemas.microsoft.com/office/drawing/2014/main" id="{00000000-0008-0000-0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25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6" name="Imagem 565" descr="page28image1579828736">
          <a:extLst>
            <a:ext uri="{FF2B5EF4-FFF2-40B4-BE49-F238E27FC236}">
              <a16:creationId xmlns:a16="http://schemas.microsoft.com/office/drawing/2014/main" id="{00000000-0008-0000-0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7" name="Imagem 566" descr="page28image1579829120">
          <a:extLst>
            <a:ext uri="{FF2B5EF4-FFF2-40B4-BE49-F238E27FC236}">
              <a16:creationId xmlns:a16="http://schemas.microsoft.com/office/drawing/2014/main" id="{00000000-0008-0000-0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8" name="Imagem 567" descr="page28image1579935296">
          <a:extLst>
            <a:ext uri="{FF2B5EF4-FFF2-40B4-BE49-F238E27FC236}">
              <a16:creationId xmlns:a16="http://schemas.microsoft.com/office/drawing/2014/main" id="{00000000-0008-0000-0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69" name="Imagem 568" descr="page28image1579926656">
          <a:extLst>
            <a:ext uri="{FF2B5EF4-FFF2-40B4-BE49-F238E27FC236}">
              <a16:creationId xmlns:a16="http://schemas.microsoft.com/office/drawing/2014/main" id="{00000000-0008-0000-0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0" name="Imagem 569" descr="page28image1579840640">
          <a:extLst>
            <a:ext uri="{FF2B5EF4-FFF2-40B4-BE49-F238E27FC236}">
              <a16:creationId xmlns:a16="http://schemas.microsoft.com/office/drawing/2014/main" id="{00000000-0008-0000-0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1" name="Imagem 570" descr="page28image1579841024">
          <a:extLst>
            <a:ext uri="{FF2B5EF4-FFF2-40B4-BE49-F238E27FC236}">
              <a16:creationId xmlns:a16="http://schemas.microsoft.com/office/drawing/2014/main" id="{00000000-0008-0000-0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2" name="Imagem 571" descr="page28image1579841600">
          <a:extLst>
            <a:ext uri="{FF2B5EF4-FFF2-40B4-BE49-F238E27FC236}">
              <a16:creationId xmlns:a16="http://schemas.microsoft.com/office/drawing/2014/main" id="{00000000-0008-0000-0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3" name="Imagem 572" descr="page28image1579841984">
          <a:extLst>
            <a:ext uri="{FF2B5EF4-FFF2-40B4-BE49-F238E27FC236}">
              <a16:creationId xmlns:a16="http://schemas.microsoft.com/office/drawing/2014/main" id="{00000000-0008-0000-0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4" name="Imagem 573" descr="page28image1579814272">
          <a:extLst>
            <a:ext uri="{FF2B5EF4-FFF2-40B4-BE49-F238E27FC236}">
              <a16:creationId xmlns:a16="http://schemas.microsoft.com/office/drawing/2014/main" id="{00000000-0008-0000-0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5" name="Imagem 574" descr="page28image1579814656">
          <a:extLst>
            <a:ext uri="{FF2B5EF4-FFF2-40B4-BE49-F238E27FC236}">
              <a16:creationId xmlns:a16="http://schemas.microsoft.com/office/drawing/2014/main" id="{00000000-0008-0000-0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6" name="Imagem 575" descr="page28image1579818304">
          <a:extLst>
            <a:ext uri="{FF2B5EF4-FFF2-40B4-BE49-F238E27FC236}">
              <a16:creationId xmlns:a16="http://schemas.microsoft.com/office/drawing/2014/main" id="{00000000-0008-0000-0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7" name="Imagem 576" descr="page28image1579818688">
          <a:extLst>
            <a:ext uri="{FF2B5EF4-FFF2-40B4-BE49-F238E27FC236}">
              <a16:creationId xmlns:a16="http://schemas.microsoft.com/office/drawing/2014/main" id="{00000000-0008-0000-0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50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8" name="Imagem 577" descr="page28image1579828736">
          <a:extLst>
            <a:ext uri="{FF2B5EF4-FFF2-40B4-BE49-F238E27FC236}">
              <a16:creationId xmlns:a16="http://schemas.microsoft.com/office/drawing/2014/main" id="{00000000-0008-0000-0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79" name="Imagem 578" descr="page28image1579829120">
          <a:extLst>
            <a:ext uri="{FF2B5EF4-FFF2-40B4-BE49-F238E27FC236}">
              <a16:creationId xmlns:a16="http://schemas.microsoft.com/office/drawing/2014/main" id="{00000000-0008-0000-0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0" name="Imagem 579" descr="page28image1579935296">
          <a:extLst>
            <a:ext uri="{FF2B5EF4-FFF2-40B4-BE49-F238E27FC236}">
              <a16:creationId xmlns:a16="http://schemas.microsoft.com/office/drawing/2014/main" id="{00000000-0008-0000-0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1" name="Imagem 580" descr="page28image1579926656">
          <a:extLst>
            <a:ext uri="{FF2B5EF4-FFF2-40B4-BE49-F238E27FC236}">
              <a16:creationId xmlns:a16="http://schemas.microsoft.com/office/drawing/2014/main" id="{00000000-0008-0000-0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2" name="Imagem 581" descr="page28image1579840640">
          <a:extLst>
            <a:ext uri="{FF2B5EF4-FFF2-40B4-BE49-F238E27FC236}">
              <a16:creationId xmlns:a16="http://schemas.microsoft.com/office/drawing/2014/main" id="{00000000-0008-0000-0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3" name="Imagem 582" descr="page28image1579841024">
          <a:extLst>
            <a:ext uri="{FF2B5EF4-FFF2-40B4-BE49-F238E27FC236}">
              <a16:creationId xmlns:a16="http://schemas.microsoft.com/office/drawing/2014/main" id="{00000000-0008-0000-0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4" name="Imagem 583" descr="page28image1579841600">
          <a:extLst>
            <a:ext uri="{FF2B5EF4-FFF2-40B4-BE49-F238E27FC236}">
              <a16:creationId xmlns:a16="http://schemas.microsoft.com/office/drawing/2014/main" id="{00000000-0008-0000-0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5" name="Imagem 584" descr="page28image1579841984">
          <a:extLst>
            <a:ext uri="{FF2B5EF4-FFF2-40B4-BE49-F238E27FC236}">
              <a16:creationId xmlns:a16="http://schemas.microsoft.com/office/drawing/2014/main" id="{00000000-0008-0000-0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6" name="Imagem 585" descr="page28image1579814272">
          <a:extLst>
            <a:ext uri="{FF2B5EF4-FFF2-40B4-BE49-F238E27FC236}">
              <a16:creationId xmlns:a16="http://schemas.microsoft.com/office/drawing/2014/main" id="{00000000-0008-0000-0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7" name="Imagem 586" descr="page28image1579814656">
          <a:extLst>
            <a:ext uri="{FF2B5EF4-FFF2-40B4-BE49-F238E27FC236}">
              <a16:creationId xmlns:a16="http://schemas.microsoft.com/office/drawing/2014/main" id="{00000000-0008-0000-0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8" name="Imagem 587" descr="page28image1579818304">
          <a:extLst>
            <a:ext uri="{FF2B5EF4-FFF2-40B4-BE49-F238E27FC236}">
              <a16:creationId xmlns:a16="http://schemas.microsoft.com/office/drawing/2014/main" id="{00000000-0008-0000-0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89" name="Imagem 588" descr="page28image1579818688">
          <a:extLst>
            <a:ext uri="{FF2B5EF4-FFF2-40B4-BE49-F238E27FC236}">
              <a16:creationId xmlns:a16="http://schemas.microsoft.com/office/drawing/2014/main" id="{00000000-0008-0000-0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876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0" name="Imagem 589" descr="page28image1579828736">
          <a:extLst>
            <a:ext uri="{FF2B5EF4-FFF2-40B4-BE49-F238E27FC236}">
              <a16:creationId xmlns:a16="http://schemas.microsoft.com/office/drawing/2014/main" id="{00000000-0008-0000-0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1" name="Imagem 590" descr="page28image1579829120">
          <a:extLst>
            <a:ext uri="{FF2B5EF4-FFF2-40B4-BE49-F238E27FC236}">
              <a16:creationId xmlns:a16="http://schemas.microsoft.com/office/drawing/2014/main" id="{00000000-0008-0000-0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2" name="Imagem 591" descr="page28image1579935296">
          <a:extLst>
            <a:ext uri="{FF2B5EF4-FFF2-40B4-BE49-F238E27FC236}">
              <a16:creationId xmlns:a16="http://schemas.microsoft.com/office/drawing/2014/main" id="{00000000-0008-0000-0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3" name="Imagem 592" descr="page28image1579926656">
          <a:extLst>
            <a:ext uri="{FF2B5EF4-FFF2-40B4-BE49-F238E27FC236}">
              <a16:creationId xmlns:a16="http://schemas.microsoft.com/office/drawing/2014/main" id="{00000000-0008-0000-0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4" name="Imagem 593" descr="page28image1579840640">
          <a:extLst>
            <a:ext uri="{FF2B5EF4-FFF2-40B4-BE49-F238E27FC236}">
              <a16:creationId xmlns:a16="http://schemas.microsoft.com/office/drawing/2014/main" id="{00000000-0008-0000-0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5" name="Imagem 594" descr="page28image1579841024">
          <a:extLst>
            <a:ext uri="{FF2B5EF4-FFF2-40B4-BE49-F238E27FC236}">
              <a16:creationId xmlns:a16="http://schemas.microsoft.com/office/drawing/2014/main" id="{00000000-0008-0000-0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6" name="Imagem 595" descr="page28image1579841600">
          <a:extLst>
            <a:ext uri="{FF2B5EF4-FFF2-40B4-BE49-F238E27FC236}">
              <a16:creationId xmlns:a16="http://schemas.microsoft.com/office/drawing/2014/main" id="{00000000-0008-0000-0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7" name="Imagem 596" descr="page28image1579841984">
          <a:extLst>
            <a:ext uri="{FF2B5EF4-FFF2-40B4-BE49-F238E27FC236}">
              <a16:creationId xmlns:a16="http://schemas.microsoft.com/office/drawing/2014/main" id="{00000000-0008-0000-0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8" name="Imagem 597" descr="page28image1579814272">
          <a:extLst>
            <a:ext uri="{FF2B5EF4-FFF2-40B4-BE49-F238E27FC236}">
              <a16:creationId xmlns:a16="http://schemas.microsoft.com/office/drawing/2014/main" id="{00000000-0008-0000-0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599" name="Imagem 598" descr="page28image1579814656">
          <a:extLst>
            <a:ext uri="{FF2B5EF4-FFF2-40B4-BE49-F238E27FC236}">
              <a16:creationId xmlns:a16="http://schemas.microsoft.com/office/drawing/2014/main" id="{00000000-0008-0000-0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0" name="Imagem 599" descr="page28image1579818304">
          <a:extLst>
            <a:ext uri="{FF2B5EF4-FFF2-40B4-BE49-F238E27FC236}">
              <a16:creationId xmlns:a16="http://schemas.microsoft.com/office/drawing/2014/main" id="{00000000-0008-0000-0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1" name="Imagem 600" descr="page28image1579818688">
          <a:extLst>
            <a:ext uri="{FF2B5EF4-FFF2-40B4-BE49-F238E27FC236}">
              <a16:creationId xmlns:a16="http://schemas.microsoft.com/office/drawing/2014/main" id="{00000000-0008-0000-0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01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2" name="Imagem 601" descr="page28image1579828736">
          <a:extLst>
            <a:ext uri="{FF2B5EF4-FFF2-40B4-BE49-F238E27FC236}">
              <a16:creationId xmlns:a16="http://schemas.microsoft.com/office/drawing/2014/main" id="{00000000-0008-0000-0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3" name="Imagem 602" descr="page28image1579829120">
          <a:extLst>
            <a:ext uri="{FF2B5EF4-FFF2-40B4-BE49-F238E27FC236}">
              <a16:creationId xmlns:a16="http://schemas.microsoft.com/office/drawing/2014/main" id="{00000000-0008-0000-0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4" name="Imagem 603" descr="page28image1579935296">
          <a:extLst>
            <a:ext uri="{FF2B5EF4-FFF2-40B4-BE49-F238E27FC236}">
              <a16:creationId xmlns:a16="http://schemas.microsoft.com/office/drawing/2014/main" id="{00000000-0008-0000-0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5" name="Imagem 604" descr="page28image1579926656">
          <a:extLst>
            <a:ext uri="{FF2B5EF4-FFF2-40B4-BE49-F238E27FC236}">
              <a16:creationId xmlns:a16="http://schemas.microsoft.com/office/drawing/2014/main" id="{00000000-0008-0000-0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6" name="Imagem 605" descr="page28image1579840640">
          <a:extLst>
            <a:ext uri="{FF2B5EF4-FFF2-40B4-BE49-F238E27FC236}">
              <a16:creationId xmlns:a16="http://schemas.microsoft.com/office/drawing/2014/main" id="{00000000-0008-0000-0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7" name="Imagem 606" descr="page28image1579841024">
          <a:extLst>
            <a:ext uri="{FF2B5EF4-FFF2-40B4-BE49-F238E27FC236}">
              <a16:creationId xmlns:a16="http://schemas.microsoft.com/office/drawing/2014/main" id="{00000000-0008-0000-0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8" name="Imagem 607" descr="page28image1579841600">
          <a:extLst>
            <a:ext uri="{FF2B5EF4-FFF2-40B4-BE49-F238E27FC236}">
              <a16:creationId xmlns:a16="http://schemas.microsoft.com/office/drawing/2014/main" id="{00000000-0008-0000-0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09" name="Imagem 608" descr="page28image1579841984">
          <a:extLst>
            <a:ext uri="{FF2B5EF4-FFF2-40B4-BE49-F238E27FC236}">
              <a16:creationId xmlns:a16="http://schemas.microsoft.com/office/drawing/2014/main" id="{00000000-0008-0000-0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0" name="Imagem 609" descr="page28image1579814272">
          <a:extLst>
            <a:ext uri="{FF2B5EF4-FFF2-40B4-BE49-F238E27FC236}">
              <a16:creationId xmlns:a16="http://schemas.microsoft.com/office/drawing/2014/main" id="{00000000-0008-0000-0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1" name="Imagem 610" descr="page28image1579814656">
          <a:extLst>
            <a:ext uri="{FF2B5EF4-FFF2-40B4-BE49-F238E27FC236}">
              <a16:creationId xmlns:a16="http://schemas.microsoft.com/office/drawing/2014/main" id="{00000000-0008-0000-0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2" name="Imagem 611" descr="page28image1579818304">
          <a:extLst>
            <a:ext uri="{FF2B5EF4-FFF2-40B4-BE49-F238E27FC236}">
              <a16:creationId xmlns:a16="http://schemas.microsoft.com/office/drawing/2014/main" id="{00000000-0008-0000-0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3" name="Imagem 612" descr="page28image1579818688">
          <a:extLst>
            <a:ext uri="{FF2B5EF4-FFF2-40B4-BE49-F238E27FC236}">
              <a16:creationId xmlns:a16="http://schemas.microsoft.com/office/drawing/2014/main" id="{00000000-0008-0000-0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26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4" name="Imagem 613" descr="page28image1579828736">
          <a:extLst>
            <a:ext uri="{FF2B5EF4-FFF2-40B4-BE49-F238E27FC236}">
              <a16:creationId xmlns:a16="http://schemas.microsoft.com/office/drawing/2014/main" id="{00000000-0008-0000-0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5" name="Imagem 614" descr="page28image1579829120">
          <a:extLst>
            <a:ext uri="{FF2B5EF4-FFF2-40B4-BE49-F238E27FC236}">
              <a16:creationId xmlns:a16="http://schemas.microsoft.com/office/drawing/2014/main" id="{00000000-0008-0000-0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6" name="Imagem 615" descr="page28image1579935296">
          <a:extLst>
            <a:ext uri="{FF2B5EF4-FFF2-40B4-BE49-F238E27FC236}">
              <a16:creationId xmlns:a16="http://schemas.microsoft.com/office/drawing/2014/main" id="{00000000-0008-0000-0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7" name="Imagem 616" descr="page28image1579926656">
          <a:extLst>
            <a:ext uri="{FF2B5EF4-FFF2-40B4-BE49-F238E27FC236}">
              <a16:creationId xmlns:a16="http://schemas.microsoft.com/office/drawing/2014/main" id="{00000000-0008-0000-0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8" name="Imagem 617" descr="page28image1579840640">
          <a:extLst>
            <a:ext uri="{FF2B5EF4-FFF2-40B4-BE49-F238E27FC236}">
              <a16:creationId xmlns:a16="http://schemas.microsoft.com/office/drawing/2014/main" id="{00000000-0008-0000-0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19" name="Imagem 618" descr="page28image1579841024">
          <a:extLst>
            <a:ext uri="{FF2B5EF4-FFF2-40B4-BE49-F238E27FC236}">
              <a16:creationId xmlns:a16="http://schemas.microsoft.com/office/drawing/2014/main" id="{00000000-0008-0000-0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0" name="Imagem 619" descr="page28image1579841600">
          <a:extLst>
            <a:ext uri="{FF2B5EF4-FFF2-40B4-BE49-F238E27FC236}">
              <a16:creationId xmlns:a16="http://schemas.microsoft.com/office/drawing/2014/main" id="{00000000-0008-0000-0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1" name="Imagem 620" descr="page28image1579841984">
          <a:extLst>
            <a:ext uri="{FF2B5EF4-FFF2-40B4-BE49-F238E27FC236}">
              <a16:creationId xmlns:a16="http://schemas.microsoft.com/office/drawing/2014/main" id="{00000000-0008-0000-0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2" name="Imagem 621" descr="page28image1579814272">
          <a:extLst>
            <a:ext uri="{FF2B5EF4-FFF2-40B4-BE49-F238E27FC236}">
              <a16:creationId xmlns:a16="http://schemas.microsoft.com/office/drawing/2014/main" id="{00000000-0008-0000-0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3" name="Imagem 622" descr="page28image1579814656">
          <a:extLst>
            <a:ext uri="{FF2B5EF4-FFF2-40B4-BE49-F238E27FC236}">
              <a16:creationId xmlns:a16="http://schemas.microsoft.com/office/drawing/2014/main" id="{00000000-0008-0000-0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4" name="Imagem 623" descr="page28image1579818304">
          <a:extLst>
            <a:ext uri="{FF2B5EF4-FFF2-40B4-BE49-F238E27FC236}">
              <a16:creationId xmlns:a16="http://schemas.microsoft.com/office/drawing/2014/main" id="{00000000-0008-0000-0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5" name="Imagem 624" descr="page28image1579818688">
          <a:extLst>
            <a:ext uri="{FF2B5EF4-FFF2-40B4-BE49-F238E27FC236}">
              <a16:creationId xmlns:a16="http://schemas.microsoft.com/office/drawing/2014/main" id="{00000000-0008-0000-0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5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6" name="Imagem 625" descr="page28image1579828736">
          <a:extLst>
            <a:ext uri="{FF2B5EF4-FFF2-40B4-BE49-F238E27FC236}">
              <a16:creationId xmlns:a16="http://schemas.microsoft.com/office/drawing/2014/main" id="{00000000-0008-0000-0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7" name="Imagem 626" descr="page28image1579829120">
          <a:extLst>
            <a:ext uri="{FF2B5EF4-FFF2-40B4-BE49-F238E27FC236}">
              <a16:creationId xmlns:a16="http://schemas.microsoft.com/office/drawing/2014/main" id="{00000000-0008-0000-0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8" name="Imagem 627" descr="page28image1579935296">
          <a:extLst>
            <a:ext uri="{FF2B5EF4-FFF2-40B4-BE49-F238E27FC236}">
              <a16:creationId xmlns:a16="http://schemas.microsoft.com/office/drawing/2014/main" id="{00000000-0008-0000-0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29" name="Imagem 628" descr="page28image1579926656">
          <a:extLst>
            <a:ext uri="{FF2B5EF4-FFF2-40B4-BE49-F238E27FC236}">
              <a16:creationId xmlns:a16="http://schemas.microsoft.com/office/drawing/2014/main" id="{00000000-0008-0000-07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0" name="Imagem 629" descr="page28image1579840640">
          <a:extLst>
            <a:ext uri="{FF2B5EF4-FFF2-40B4-BE49-F238E27FC236}">
              <a16:creationId xmlns:a16="http://schemas.microsoft.com/office/drawing/2014/main" id="{00000000-0008-0000-0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1" name="Imagem 630" descr="page28image1579841024">
          <a:extLst>
            <a:ext uri="{FF2B5EF4-FFF2-40B4-BE49-F238E27FC236}">
              <a16:creationId xmlns:a16="http://schemas.microsoft.com/office/drawing/2014/main" id="{00000000-0008-0000-0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2" name="Imagem 631" descr="page28image1579841600">
          <a:extLst>
            <a:ext uri="{FF2B5EF4-FFF2-40B4-BE49-F238E27FC236}">
              <a16:creationId xmlns:a16="http://schemas.microsoft.com/office/drawing/2014/main" id="{00000000-0008-0000-0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3" name="Imagem 632" descr="page28image1579841984">
          <a:extLst>
            <a:ext uri="{FF2B5EF4-FFF2-40B4-BE49-F238E27FC236}">
              <a16:creationId xmlns:a16="http://schemas.microsoft.com/office/drawing/2014/main" id="{00000000-0008-0000-0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4" name="Imagem 633" descr="page28image1579814272">
          <a:extLst>
            <a:ext uri="{FF2B5EF4-FFF2-40B4-BE49-F238E27FC236}">
              <a16:creationId xmlns:a16="http://schemas.microsoft.com/office/drawing/2014/main" id="{00000000-0008-0000-0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5" name="Imagem 634" descr="page28image1579814656">
          <a:extLst>
            <a:ext uri="{FF2B5EF4-FFF2-40B4-BE49-F238E27FC236}">
              <a16:creationId xmlns:a16="http://schemas.microsoft.com/office/drawing/2014/main" id="{00000000-0008-0000-0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6" name="Imagem 635" descr="page28image1579818304">
          <a:extLst>
            <a:ext uri="{FF2B5EF4-FFF2-40B4-BE49-F238E27FC236}">
              <a16:creationId xmlns:a16="http://schemas.microsoft.com/office/drawing/2014/main" id="{00000000-0008-0000-0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7" name="Imagem 636" descr="page28image1579818688">
          <a:extLst>
            <a:ext uri="{FF2B5EF4-FFF2-40B4-BE49-F238E27FC236}">
              <a16:creationId xmlns:a16="http://schemas.microsoft.com/office/drawing/2014/main" id="{00000000-0008-0000-0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39776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8" name="Imagem 637" descr="page28image1579828736">
          <a:extLst>
            <a:ext uri="{FF2B5EF4-FFF2-40B4-BE49-F238E27FC236}">
              <a16:creationId xmlns:a16="http://schemas.microsoft.com/office/drawing/2014/main" id="{00000000-0008-0000-0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39" name="Imagem 638" descr="page28image1579829120">
          <a:extLst>
            <a:ext uri="{FF2B5EF4-FFF2-40B4-BE49-F238E27FC236}">
              <a16:creationId xmlns:a16="http://schemas.microsoft.com/office/drawing/2014/main" id="{00000000-0008-0000-0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0" name="Imagem 639" descr="page28image1579935296">
          <a:extLst>
            <a:ext uri="{FF2B5EF4-FFF2-40B4-BE49-F238E27FC236}">
              <a16:creationId xmlns:a16="http://schemas.microsoft.com/office/drawing/2014/main" id="{00000000-0008-0000-0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1" name="Imagem 640" descr="page28image1579926656">
          <a:extLst>
            <a:ext uri="{FF2B5EF4-FFF2-40B4-BE49-F238E27FC236}">
              <a16:creationId xmlns:a16="http://schemas.microsoft.com/office/drawing/2014/main" id="{00000000-0008-0000-07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2" name="Imagem 641" descr="page28image1579840640">
          <a:extLst>
            <a:ext uri="{FF2B5EF4-FFF2-40B4-BE49-F238E27FC236}">
              <a16:creationId xmlns:a16="http://schemas.microsoft.com/office/drawing/2014/main" id="{00000000-0008-0000-0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3" name="Imagem 642" descr="page28image1579841024">
          <a:extLst>
            <a:ext uri="{FF2B5EF4-FFF2-40B4-BE49-F238E27FC236}">
              <a16:creationId xmlns:a16="http://schemas.microsoft.com/office/drawing/2014/main" id="{00000000-0008-0000-0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4" name="Imagem 643" descr="page28image1579841600">
          <a:extLst>
            <a:ext uri="{FF2B5EF4-FFF2-40B4-BE49-F238E27FC236}">
              <a16:creationId xmlns:a16="http://schemas.microsoft.com/office/drawing/2014/main" id="{00000000-0008-0000-0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5" name="Imagem 644" descr="page28image1579841984">
          <a:extLst>
            <a:ext uri="{FF2B5EF4-FFF2-40B4-BE49-F238E27FC236}">
              <a16:creationId xmlns:a16="http://schemas.microsoft.com/office/drawing/2014/main" id="{00000000-0008-0000-0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6" name="Imagem 645" descr="page28image1579814272">
          <a:extLst>
            <a:ext uri="{FF2B5EF4-FFF2-40B4-BE49-F238E27FC236}">
              <a16:creationId xmlns:a16="http://schemas.microsoft.com/office/drawing/2014/main" id="{00000000-0008-0000-0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7" name="Imagem 646" descr="page28image1579814656">
          <a:extLst>
            <a:ext uri="{FF2B5EF4-FFF2-40B4-BE49-F238E27FC236}">
              <a16:creationId xmlns:a16="http://schemas.microsoft.com/office/drawing/2014/main" id="{00000000-0008-0000-0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8" name="Imagem 647" descr="page28image1579818304">
          <a:extLst>
            <a:ext uri="{FF2B5EF4-FFF2-40B4-BE49-F238E27FC236}">
              <a16:creationId xmlns:a16="http://schemas.microsoft.com/office/drawing/2014/main" id="{00000000-0008-0000-0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49" name="Imagem 648" descr="page28image1579818688">
          <a:extLst>
            <a:ext uri="{FF2B5EF4-FFF2-40B4-BE49-F238E27FC236}">
              <a16:creationId xmlns:a16="http://schemas.microsoft.com/office/drawing/2014/main" id="{00000000-0008-0000-0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030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0" name="Imagem 649" descr="page28image1579828736">
          <a:extLst>
            <a:ext uri="{FF2B5EF4-FFF2-40B4-BE49-F238E27FC236}">
              <a16:creationId xmlns:a16="http://schemas.microsoft.com/office/drawing/2014/main" id="{00000000-0008-0000-0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1" name="Imagem 650" descr="page28image1579829120">
          <a:extLst>
            <a:ext uri="{FF2B5EF4-FFF2-40B4-BE49-F238E27FC236}">
              <a16:creationId xmlns:a16="http://schemas.microsoft.com/office/drawing/2014/main" id="{00000000-0008-0000-0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2" name="Imagem 651" descr="page28image1579935296">
          <a:extLst>
            <a:ext uri="{FF2B5EF4-FFF2-40B4-BE49-F238E27FC236}">
              <a16:creationId xmlns:a16="http://schemas.microsoft.com/office/drawing/2014/main" id="{00000000-0008-0000-0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3" name="Imagem 652" descr="page28image1579926656">
          <a:extLst>
            <a:ext uri="{FF2B5EF4-FFF2-40B4-BE49-F238E27FC236}">
              <a16:creationId xmlns:a16="http://schemas.microsoft.com/office/drawing/2014/main" id="{00000000-0008-0000-0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4" name="Imagem 653" descr="page28image1579840640">
          <a:extLst>
            <a:ext uri="{FF2B5EF4-FFF2-40B4-BE49-F238E27FC236}">
              <a16:creationId xmlns:a16="http://schemas.microsoft.com/office/drawing/2014/main" id="{00000000-0008-0000-0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5" name="Imagem 654" descr="page28image1579841024">
          <a:extLst>
            <a:ext uri="{FF2B5EF4-FFF2-40B4-BE49-F238E27FC236}">
              <a16:creationId xmlns:a16="http://schemas.microsoft.com/office/drawing/2014/main" id="{00000000-0008-0000-0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6" name="Imagem 655" descr="page28image1579841600">
          <a:extLst>
            <a:ext uri="{FF2B5EF4-FFF2-40B4-BE49-F238E27FC236}">
              <a16:creationId xmlns:a16="http://schemas.microsoft.com/office/drawing/2014/main" id="{00000000-0008-0000-0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7" name="Imagem 656" descr="page28image1579841984">
          <a:extLst>
            <a:ext uri="{FF2B5EF4-FFF2-40B4-BE49-F238E27FC236}">
              <a16:creationId xmlns:a16="http://schemas.microsoft.com/office/drawing/2014/main" id="{00000000-0008-0000-0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8" name="Imagem 657" descr="page28image1579814272">
          <a:extLst>
            <a:ext uri="{FF2B5EF4-FFF2-40B4-BE49-F238E27FC236}">
              <a16:creationId xmlns:a16="http://schemas.microsoft.com/office/drawing/2014/main" id="{00000000-0008-0000-0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59" name="Imagem 658" descr="page28image1579814656">
          <a:extLst>
            <a:ext uri="{FF2B5EF4-FFF2-40B4-BE49-F238E27FC236}">
              <a16:creationId xmlns:a16="http://schemas.microsoft.com/office/drawing/2014/main" id="{00000000-0008-0000-0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0" name="Imagem 659" descr="page28image1579818304">
          <a:extLst>
            <a:ext uri="{FF2B5EF4-FFF2-40B4-BE49-F238E27FC236}">
              <a16:creationId xmlns:a16="http://schemas.microsoft.com/office/drawing/2014/main" id="{00000000-0008-0000-0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1" name="Imagem 660" descr="page28image1579818688">
          <a:extLst>
            <a:ext uri="{FF2B5EF4-FFF2-40B4-BE49-F238E27FC236}">
              <a16:creationId xmlns:a16="http://schemas.microsoft.com/office/drawing/2014/main" id="{00000000-0008-0000-0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284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2" name="Imagem 661" descr="page28image1579828736">
          <a:extLst>
            <a:ext uri="{FF2B5EF4-FFF2-40B4-BE49-F238E27FC236}">
              <a16:creationId xmlns:a16="http://schemas.microsoft.com/office/drawing/2014/main" id="{00000000-0008-0000-0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3" name="Imagem 662" descr="page28image1579829120">
          <a:extLst>
            <a:ext uri="{FF2B5EF4-FFF2-40B4-BE49-F238E27FC236}">
              <a16:creationId xmlns:a16="http://schemas.microsoft.com/office/drawing/2014/main" id="{00000000-0008-0000-0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4" name="Imagem 663" descr="page28image1579935296">
          <a:extLst>
            <a:ext uri="{FF2B5EF4-FFF2-40B4-BE49-F238E27FC236}">
              <a16:creationId xmlns:a16="http://schemas.microsoft.com/office/drawing/2014/main" id="{00000000-0008-0000-0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5" name="Imagem 664" descr="page28image1579926656">
          <a:extLst>
            <a:ext uri="{FF2B5EF4-FFF2-40B4-BE49-F238E27FC236}">
              <a16:creationId xmlns:a16="http://schemas.microsoft.com/office/drawing/2014/main" id="{00000000-0008-0000-0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6" name="Imagem 665" descr="page28image1579840640">
          <a:extLst>
            <a:ext uri="{FF2B5EF4-FFF2-40B4-BE49-F238E27FC236}">
              <a16:creationId xmlns:a16="http://schemas.microsoft.com/office/drawing/2014/main" id="{00000000-0008-0000-0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7" name="Imagem 666" descr="page28image1579841024">
          <a:extLst>
            <a:ext uri="{FF2B5EF4-FFF2-40B4-BE49-F238E27FC236}">
              <a16:creationId xmlns:a16="http://schemas.microsoft.com/office/drawing/2014/main" id="{00000000-0008-0000-0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8" name="Imagem 667" descr="page28image1579841600">
          <a:extLst>
            <a:ext uri="{FF2B5EF4-FFF2-40B4-BE49-F238E27FC236}">
              <a16:creationId xmlns:a16="http://schemas.microsoft.com/office/drawing/2014/main" id="{00000000-0008-0000-0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69" name="Imagem 668" descr="page28image1579841984">
          <a:extLst>
            <a:ext uri="{FF2B5EF4-FFF2-40B4-BE49-F238E27FC236}">
              <a16:creationId xmlns:a16="http://schemas.microsoft.com/office/drawing/2014/main" id="{00000000-0008-0000-0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0" name="Imagem 669" descr="page28image1579814272">
          <a:extLst>
            <a:ext uri="{FF2B5EF4-FFF2-40B4-BE49-F238E27FC236}">
              <a16:creationId xmlns:a16="http://schemas.microsoft.com/office/drawing/2014/main" id="{00000000-0008-0000-0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1" name="Imagem 670" descr="page28image1579814656">
          <a:extLst>
            <a:ext uri="{FF2B5EF4-FFF2-40B4-BE49-F238E27FC236}">
              <a16:creationId xmlns:a16="http://schemas.microsoft.com/office/drawing/2014/main" id="{00000000-0008-0000-0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2" name="Imagem 671" descr="page28image1579818304">
          <a:extLst>
            <a:ext uri="{FF2B5EF4-FFF2-40B4-BE49-F238E27FC236}">
              <a16:creationId xmlns:a16="http://schemas.microsoft.com/office/drawing/2014/main" id="{00000000-0008-0000-0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3" name="Imagem 672" descr="page28image1579818688">
          <a:extLst>
            <a:ext uri="{FF2B5EF4-FFF2-40B4-BE49-F238E27FC236}">
              <a16:creationId xmlns:a16="http://schemas.microsoft.com/office/drawing/2014/main" id="{00000000-0008-0000-0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5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4" name="Imagem 673" descr="page28image1579828736">
          <a:extLst>
            <a:ext uri="{FF2B5EF4-FFF2-40B4-BE49-F238E27FC236}">
              <a16:creationId xmlns:a16="http://schemas.microsoft.com/office/drawing/2014/main" id="{00000000-0008-0000-0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5" name="Imagem 674" descr="page28image1579829120">
          <a:extLst>
            <a:ext uri="{FF2B5EF4-FFF2-40B4-BE49-F238E27FC236}">
              <a16:creationId xmlns:a16="http://schemas.microsoft.com/office/drawing/2014/main" id="{00000000-0008-0000-0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6" name="Imagem 675" descr="page28image1579935296">
          <a:extLst>
            <a:ext uri="{FF2B5EF4-FFF2-40B4-BE49-F238E27FC236}">
              <a16:creationId xmlns:a16="http://schemas.microsoft.com/office/drawing/2014/main" id="{00000000-0008-0000-0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7" name="Imagem 676" descr="page28image1579926656">
          <a:extLst>
            <a:ext uri="{FF2B5EF4-FFF2-40B4-BE49-F238E27FC236}">
              <a16:creationId xmlns:a16="http://schemas.microsoft.com/office/drawing/2014/main" id="{00000000-0008-0000-0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8" name="Imagem 677" descr="page28image1579840640">
          <a:extLst>
            <a:ext uri="{FF2B5EF4-FFF2-40B4-BE49-F238E27FC236}">
              <a16:creationId xmlns:a16="http://schemas.microsoft.com/office/drawing/2014/main" id="{00000000-0008-0000-0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79" name="Imagem 678" descr="page28image1579841024">
          <a:extLst>
            <a:ext uri="{FF2B5EF4-FFF2-40B4-BE49-F238E27FC236}">
              <a16:creationId xmlns:a16="http://schemas.microsoft.com/office/drawing/2014/main" id="{00000000-0008-0000-0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0" name="Imagem 679" descr="page28image1579841600">
          <a:extLst>
            <a:ext uri="{FF2B5EF4-FFF2-40B4-BE49-F238E27FC236}">
              <a16:creationId xmlns:a16="http://schemas.microsoft.com/office/drawing/2014/main" id="{00000000-0008-0000-0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1" name="Imagem 680" descr="page28image1579841984">
          <a:extLst>
            <a:ext uri="{FF2B5EF4-FFF2-40B4-BE49-F238E27FC236}">
              <a16:creationId xmlns:a16="http://schemas.microsoft.com/office/drawing/2014/main" id="{00000000-0008-0000-0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2" name="Imagem 681" descr="page28image1579814272">
          <a:extLst>
            <a:ext uri="{FF2B5EF4-FFF2-40B4-BE49-F238E27FC236}">
              <a16:creationId xmlns:a16="http://schemas.microsoft.com/office/drawing/2014/main" id="{00000000-0008-0000-0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3" name="Imagem 682" descr="page28image1579814656">
          <a:extLst>
            <a:ext uri="{FF2B5EF4-FFF2-40B4-BE49-F238E27FC236}">
              <a16:creationId xmlns:a16="http://schemas.microsoft.com/office/drawing/2014/main" id="{00000000-0008-0000-0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4" name="Imagem 683" descr="page28image1579818304">
          <a:extLst>
            <a:ext uri="{FF2B5EF4-FFF2-40B4-BE49-F238E27FC236}">
              <a16:creationId xmlns:a16="http://schemas.microsoft.com/office/drawing/2014/main" id="{00000000-0008-0000-0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74</xdr:row>
      <xdr:rowOff>0</xdr:rowOff>
    </xdr:from>
    <xdr:ext cx="12700" cy="12700"/>
    <xdr:pic>
      <xdr:nvPicPr>
        <xdr:cNvPr id="685" name="Imagem 684" descr="page28image1579818688">
          <a:extLst>
            <a:ext uri="{FF2B5EF4-FFF2-40B4-BE49-F238E27FC236}">
              <a16:creationId xmlns:a16="http://schemas.microsoft.com/office/drawing/2014/main" id="{00000000-0008-0000-0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4079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676563</xdr:colOff>
      <xdr:row>2</xdr:row>
      <xdr:rowOff>43872</xdr:rowOff>
    </xdr:from>
    <xdr:to>
      <xdr:col>15</xdr:col>
      <xdr:colOff>385618</xdr:colOff>
      <xdr:row>13</xdr:row>
      <xdr:rowOff>217055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780473</xdr:colOff>
      <xdr:row>16</xdr:row>
      <xdr:rowOff>39254</xdr:rowOff>
    </xdr:from>
    <xdr:to>
      <xdr:col>15</xdr:col>
      <xdr:colOff>503383</xdr:colOff>
      <xdr:row>29</xdr:row>
      <xdr:rowOff>122380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0</xdr:colOff>
      <xdr:row>18</xdr:row>
      <xdr:rowOff>0</xdr:rowOff>
    </xdr:from>
    <xdr:ext cx="12700" cy="12700"/>
    <xdr:pic>
      <xdr:nvPicPr>
        <xdr:cNvPr id="93" name="Imagem 92" descr="page28image1579828736">
          <a:extLst>
            <a:ext uri="{FF2B5EF4-FFF2-40B4-BE49-F238E27FC236}">
              <a16:creationId xmlns:a16="http://schemas.microsoft.com/office/drawing/2014/main" id="{1D4696FF-4E8B-4E23-85DA-FCAA87AA9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1538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18</xdr:row>
      <xdr:rowOff>0</xdr:rowOff>
    </xdr:from>
    <xdr:ext cx="12700" cy="12700"/>
    <xdr:pic>
      <xdr:nvPicPr>
        <xdr:cNvPr id="94" name="Imagem 93" descr="page28image1579829120">
          <a:extLst>
            <a:ext uri="{FF2B5EF4-FFF2-40B4-BE49-F238E27FC236}">
              <a16:creationId xmlns:a16="http://schemas.microsoft.com/office/drawing/2014/main" id="{0C5D58BF-58B1-4DD6-8B95-187AC7EE8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1538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20</xdr:row>
      <xdr:rowOff>0</xdr:rowOff>
    </xdr:from>
    <xdr:ext cx="12700" cy="12700"/>
    <xdr:pic>
      <xdr:nvPicPr>
        <xdr:cNvPr id="95" name="Imagem 94" descr="page28image1579935296">
          <a:extLst>
            <a:ext uri="{FF2B5EF4-FFF2-40B4-BE49-F238E27FC236}">
              <a16:creationId xmlns:a16="http://schemas.microsoft.com/office/drawing/2014/main" id="{09A5AAF9-630D-4AB7-A862-B1221F301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6526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20</xdr:row>
      <xdr:rowOff>0</xdr:rowOff>
    </xdr:from>
    <xdr:ext cx="12700" cy="12700"/>
    <xdr:pic>
      <xdr:nvPicPr>
        <xdr:cNvPr id="686" name="Imagem 685" descr="page28image1579926656">
          <a:extLst>
            <a:ext uri="{FF2B5EF4-FFF2-40B4-BE49-F238E27FC236}">
              <a16:creationId xmlns:a16="http://schemas.microsoft.com/office/drawing/2014/main" id="{DCE55B1B-5052-4AE2-96C6-895237235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6526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12700" cy="12700"/>
    <xdr:pic>
      <xdr:nvPicPr>
        <xdr:cNvPr id="687" name="Imagem 686" descr="page28image1579840640">
          <a:extLst>
            <a:ext uri="{FF2B5EF4-FFF2-40B4-BE49-F238E27FC236}">
              <a16:creationId xmlns:a16="http://schemas.microsoft.com/office/drawing/2014/main" id="{36B7D594-6D26-4B02-959A-806003D54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9020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12700" cy="12700"/>
    <xdr:pic>
      <xdr:nvPicPr>
        <xdr:cNvPr id="688" name="Imagem 687" descr="page28image1579841024">
          <a:extLst>
            <a:ext uri="{FF2B5EF4-FFF2-40B4-BE49-F238E27FC236}">
              <a16:creationId xmlns:a16="http://schemas.microsoft.com/office/drawing/2014/main" id="{6CA51727-3F01-4513-88FB-DF2CC4C20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9020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</xdr:row>
      <xdr:rowOff>0</xdr:rowOff>
    </xdr:from>
    <xdr:ext cx="12700" cy="12700"/>
    <xdr:pic>
      <xdr:nvPicPr>
        <xdr:cNvPr id="689" name="Imagem 688" descr="page28image1579841600">
          <a:extLst>
            <a:ext uri="{FF2B5EF4-FFF2-40B4-BE49-F238E27FC236}">
              <a16:creationId xmlns:a16="http://schemas.microsoft.com/office/drawing/2014/main" id="{DBD303EE-7B75-4142-BEEE-98895C71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15141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</xdr:row>
      <xdr:rowOff>0</xdr:rowOff>
    </xdr:from>
    <xdr:ext cx="12700" cy="12700"/>
    <xdr:pic>
      <xdr:nvPicPr>
        <xdr:cNvPr id="690" name="Imagem 689" descr="page28image1579841984">
          <a:extLst>
            <a:ext uri="{FF2B5EF4-FFF2-40B4-BE49-F238E27FC236}">
              <a16:creationId xmlns:a16="http://schemas.microsoft.com/office/drawing/2014/main" id="{0CC8C912-EC2F-4984-A090-87FCC91E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15141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12700" cy="12700"/>
    <xdr:pic>
      <xdr:nvPicPr>
        <xdr:cNvPr id="691" name="Imagem 690" descr="page28image1579814272">
          <a:extLst>
            <a:ext uri="{FF2B5EF4-FFF2-40B4-BE49-F238E27FC236}">
              <a16:creationId xmlns:a16="http://schemas.microsoft.com/office/drawing/2014/main" id="{58C97CF1-5803-4704-BE27-F6F339CAA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40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12700" cy="12700"/>
    <xdr:pic>
      <xdr:nvPicPr>
        <xdr:cNvPr id="692" name="Imagem 691" descr="page28image1579814656">
          <a:extLst>
            <a:ext uri="{FF2B5EF4-FFF2-40B4-BE49-F238E27FC236}">
              <a16:creationId xmlns:a16="http://schemas.microsoft.com/office/drawing/2014/main" id="{6C85A118-60CA-4402-8A37-340F32D76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40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24</xdr:row>
      <xdr:rowOff>0</xdr:rowOff>
    </xdr:from>
    <xdr:ext cx="12700" cy="12700"/>
    <xdr:pic>
      <xdr:nvPicPr>
        <xdr:cNvPr id="693" name="Imagem 692" descr="page28image1579818304">
          <a:extLst>
            <a:ext uri="{FF2B5EF4-FFF2-40B4-BE49-F238E27FC236}">
              <a16:creationId xmlns:a16="http://schemas.microsoft.com/office/drawing/2014/main" id="{1D8D2DD3-6F87-44AF-991A-38F89F07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6501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24</xdr:row>
      <xdr:rowOff>0</xdr:rowOff>
    </xdr:from>
    <xdr:ext cx="12700" cy="12700"/>
    <xdr:pic>
      <xdr:nvPicPr>
        <xdr:cNvPr id="694" name="Imagem 693" descr="page28image1579818688">
          <a:extLst>
            <a:ext uri="{FF2B5EF4-FFF2-40B4-BE49-F238E27FC236}">
              <a16:creationId xmlns:a16="http://schemas.microsoft.com/office/drawing/2014/main" id="{DEFF7628-D59E-4999-B304-8DD36A8AD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6501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0</xdr:rowOff>
    </xdr:from>
    <xdr:ext cx="12700" cy="12700"/>
    <xdr:pic>
      <xdr:nvPicPr>
        <xdr:cNvPr id="695" name="Imagem 694" descr="page28image1579824064">
          <a:extLst>
            <a:ext uri="{FF2B5EF4-FFF2-40B4-BE49-F238E27FC236}">
              <a16:creationId xmlns:a16="http://schemas.microsoft.com/office/drawing/2014/main" id="{E445FF22-F839-4760-B606-F0E55708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8995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0</xdr:rowOff>
    </xdr:from>
    <xdr:ext cx="12700" cy="12700"/>
    <xdr:pic>
      <xdr:nvPicPr>
        <xdr:cNvPr id="696" name="Imagem 695" descr="page28image1579824448">
          <a:extLst>
            <a:ext uri="{FF2B5EF4-FFF2-40B4-BE49-F238E27FC236}">
              <a16:creationId xmlns:a16="http://schemas.microsoft.com/office/drawing/2014/main" id="{69DA08BB-CA66-486F-905C-8CB29BBA8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8995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12700" cy="12700"/>
    <xdr:pic>
      <xdr:nvPicPr>
        <xdr:cNvPr id="697" name="Imagem 696" descr="page28image1579825024">
          <a:extLst>
            <a:ext uri="{FF2B5EF4-FFF2-40B4-BE49-F238E27FC236}">
              <a16:creationId xmlns:a16="http://schemas.microsoft.com/office/drawing/2014/main" id="{9D021580-AC7C-43FB-8984-AEC19A2F4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14894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12700" cy="12700"/>
    <xdr:pic>
      <xdr:nvPicPr>
        <xdr:cNvPr id="698" name="Imagem 697" descr="page28image1579825408">
          <a:extLst>
            <a:ext uri="{FF2B5EF4-FFF2-40B4-BE49-F238E27FC236}">
              <a16:creationId xmlns:a16="http://schemas.microsoft.com/office/drawing/2014/main" id="{CB228F26-B72F-44F9-A62D-48102143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14894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27</xdr:row>
      <xdr:rowOff>0</xdr:rowOff>
    </xdr:from>
    <xdr:ext cx="12700" cy="12700"/>
    <xdr:pic>
      <xdr:nvPicPr>
        <xdr:cNvPr id="699" name="Imagem 698" descr="page28image1579864768">
          <a:extLst>
            <a:ext uri="{FF2B5EF4-FFF2-40B4-BE49-F238E27FC236}">
              <a16:creationId xmlns:a16="http://schemas.microsoft.com/office/drawing/2014/main" id="{AF432B6D-AD1A-4331-A1A5-290D42ABB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3983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27</xdr:row>
      <xdr:rowOff>0</xdr:rowOff>
    </xdr:from>
    <xdr:ext cx="12700" cy="12700"/>
    <xdr:pic>
      <xdr:nvPicPr>
        <xdr:cNvPr id="700" name="Imagem 699" descr="page28image1579865152">
          <a:extLst>
            <a:ext uri="{FF2B5EF4-FFF2-40B4-BE49-F238E27FC236}">
              <a16:creationId xmlns:a16="http://schemas.microsoft.com/office/drawing/2014/main" id="{AF079279-CA1F-409A-A461-C9128799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3983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28</xdr:row>
      <xdr:rowOff>0</xdr:rowOff>
    </xdr:from>
    <xdr:ext cx="12700" cy="12700"/>
    <xdr:pic>
      <xdr:nvPicPr>
        <xdr:cNvPr id="701" name="Imagem 700" descr="page28image1579865728">
          <a:extLst>
            <a:ext uri="{FF2B5EF4-FFF2-40B4-BE49-F238E27FC236}">
              <a16:creationId xmlns:a16="http://schemas.microsoft.com/office/drawing/2014/main" id="{AB49D3B7-404B-4086-8CD4-9BD3586A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6477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28</xdr:row>
      <xdr:rowOff>0</xdr:rowOff>
    </xdr:from>
    <xdr:ext cx="12700" cy="12700"/>
    <xdr:pic>
      <xdr:nvPicPr>
        <xdr:cNvPr id="702" name="Imagem 701" descr="page28image1579866112">
          <a:extLst>
            <a:ext uri="{FF2B5EF4-FFF2-40B4-BE49-F238E27FC236}">
              <a16:creationId xmlns:a16="http://schemas.microsoft.com/office/drawing/2014/main" id="{B1A0FC17-BD08-4584-9A1D-818F3DC9F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6477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3" name="Imagem 702" descr="page28image1579871104">
          <a:extLst>
            <a:ext uri="{FF2B5EF4-FFF2-40B4-BE49-F238E27FC236}">
              <a16:creationId xmlns:a16="http://schemas.microsoft.com/office/drawing/2014/main" id="{881DCEF4-E296-40E2-94A9-B7AADD4A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4" name="Imagem 703" descr="page28image1579871488">
          <a:extLst>
            <a:ext uri="{FF2B5EF4-FFF2-40B4-BE49-F238E27FC236}">
              <a16:creationId xmlns:a16="http://schemas.microsoft.com/office/drawing/2014/main" id="{2B7C4C80-2778-4D82-AD5A-843FB8F57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5" name="Imagem 704" descr="page28image1579875136">
          <a:extLst>
            <a:ext uri="{FF2B5EF4-FFF2-40B4-BE49-F238E27FC236}">
              <a16:creationId xmlns:a16="http://schemas.microsoft.com/office/drawing/2014/main" id="{976B58A7-E096-487B-92BE-2D54E3CC1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6" name="Imagem 705" descr="page28image1579875520">
          <a:extLst>
            <a:ext uri="{FF2B5EF4-FFF2-40B4-BE49-F238E27FC236}">
              <a16:creationId xmlns:a16="http://schemas.microsoft.com/office/drawing/2014/main" id="{221A850A-1C40-44E9-8A65-1F517F326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7" name="Imagem 706" descr="page28image1579940864">
          <a:extLst>
            <a:ext uri="{FF2B5EF4-FFF2-40B4-BE49-F238E27FC236}">
              <a16:creationId xmlns:a16="http://schemas.microsoft.com/office/drawing/2014/main" id="{F3B8D7A9-DDFC-4131-B896-186DBCAA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8" name="Imagem 707" descr="page28image1579941632">
          <a:extLst>
            <a:ext uri="{FF2B5EF4-FFF2-40B4-BE49-F238E27FC236}">
              <a16:creationId xmlns:a16="http://schemas.microsoft.com/office/drawing/2014/main" id="{2B9746E1-6958-4D36-82DA-B51750A96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09" name="Imagem 708" descr="page28image1579881728">
          <a:extLst>
            <a:ext uri="{FF2B5EF4-FFF2-40B4-BE49-F238E27FC236}">
              <a16:creationId xmlns:a16="http://schemas.microsoft.com/office/drawing/2014/main" id="{70E5620B-FF07-469B-BB93-DEDDEF009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0" name="Imagem 709" descr="page28image1579882112">
          <a:extLst>
            <a:ext uri="{FF2B5EF4-FFF2-40B4-BE49-F238E27FC236}">
              <a16:creationId xmlns:a16="http://schemas.microsoft.com/office/drawing/2014/main" id="{4C0F09F0-F83A-4728-A5D8-252A9E0EC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1" name="Imagem 710" descr="page28image1579887488">
          <a:extLst>
            <a:ext uri="{FF2B5EF4-FFF2-40B4-BE49-F238E27FC236}">
              <a16:creationId xmlns:a16="http://schemas.microsoft.com/office/drawing/2014/main" id="{5D47CED0-201B-43A8-9EEE-BB30EEC4A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2" name="Imagem 711" descr="page28image1579887872">
          <a:extLst>
            <a:ext uri="{FF2B5EF4-FFF2-40B4-BE49-F238E27FC236}">
              <a16:creationId xmlns:a16="http://schemas.microsoft.com/office/drawing/2014/main" id="{24FF3E69-D093-498B-8894-E8C7DE0ED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3" name="Imagem 712" descr="page28image1579888448">
          <a:extLst>
            <a:ext uri="{FF2B5EF4-FFF2-40B4-BE49-F238E27FC236}">
              <a16:creationId xmlns:a16="http://schemas.microsoft.com/office/drawing/2014/main" id="{D836E86A-DFBC-493E-8E25-433F0B334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4" name="Imagem 713" descr="page28image1579888832">
          <a:extLst>
            <a:ext uri="{FF2B5EF4-FFF2-40B4-BE49-F238E27FC236}">
              <a16:creationId xmlns:a16="http://schemas.microsoft.com/office/drawing/2014/main" id="{D83CE521-8D27-410D-AA18-CE4BB70C5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5" name="Imagem 714" descr="page28image1580185472">
          <a:extLst>
            <a:ext uri="{FF2B5EF4-FFF2-40B4-BE49-F238E27FC236}">
              <a16:creationId xmlns:a16="http://schemas.microsoft.com/office/drawing/2014/main" id="{9A7EEA30-7E0C-4FFB-9401-BACEDE90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6" name="Imagem 715" descr="page28image1580180480">
          <a:extLst>
            <a:ext uri="{FF2B5EF4-FFF2-40B4-BE49-F238E27FC236}">
              <a16:creationId xmlns:a16="http://schemas.microsoft.com/office/drawing/2014/main" id="{BB2B740D-3209-421D-B5A4-53BF18CFD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7" name="Imagem 716" descr="page28image1579927424">
          <a:extLst>
            <a:ext uri="{FF2B5EF4-FFF2-40B4-BE49-F238E27FC236}">
              <a16:creationId xmlns:a16="http://schemas.microsoft.com/office/drawing/2014/main" id="{3A313D8C-BB68-43CA-9DA5-0340D44C0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8" name="Imagem 717" descr="page28image1579939328">
          <a:extLst>
            <a:ext uri="{FF2B5EF4-FFF2-40B4-BE49-F238E27FC236}">
              <a16:creationId xmlns:a16="http://schemas.microsoft.com/office/drawing/2014/main" id="{3A8F86A4-720A-41D0-B0FE-CBBEFAF28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19" name="Imagem 718" descr="page28image1579845120">
          <a:extLst>
            <a:ext uri="{FF2B5EF4-FFF2-40B4-BE49-F238E27FC236}">
              <a16:creationId xmlns:a16="http://schemas.microsoft.com/office/drawing/2014/main" id="{3455B9DE-0C40-45D4-9716-443B3437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20" name="Imagem 719" descr="page28image1579845504">
          <a:extLst>
            <a:ext uri="{FF2B5EF4-FFF2-40B4-BE49-F238E27FC236}">
              <a16:creationId xmlns:a16="http://schemas.microsoft.com/office/drawing/2014/main" id="{32B1D0D2-DE87-43EA-A288-5F0CA4A0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1" name="Imagem 720" descr="page28image1579846080">
          <a:extLst>
            <a:ext uri="{FF2B5EF4-FFF2-40B4-BE49-F238E27FC236}">
              <a16:creationId xmlns:a16="http://schemas.microsoft.com/office/drawing/2014/main" id="{855F0801-1FD2-4BCE-94AB-92B8B2764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2" name="Imagem 721" descr="page28image1579846464">
          <a:extLst>
            <a:ext uri="{FF2B5EF4-FFF2-40B4-BE49-F238E27FC236}">
              <a16:creationId xmlns:a16="http://schemas.microsoft.com/office/drawing/2014/main" id="{73F59401-7B4D-4BAD-9BA4-CB4FE406A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23" name="Imagem 722" descr="page28image1579853184">
          <a:extLst>
            <a:ext uri="{FF2B5EF4-FFF2-40B4-BE49-F238E27FC236}">
              <a16:creationId xmlns:a16="http://schemas.microsoft.com/office/drawing/2014/main" id="{80AE5B6D-E36C-4A0C-A84A-1CB89559C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24" name="Imagem 723" descr="page28image1579853568">
          <a:extLst>
            <a:ext uri="{FF2B5EF4-FFF2-40B4-BE49-F238E27FC236}">
              <a16:creationId xmlns:a16="http://schemas.microsoft.com/office/drawing/2014/main" id="{D92E4CB6-D6C7-4B45-BB19-1DF3174DF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5" name="Imagem 724" descr="page28image1579854144">
          <a:extLst>
            <a:ext uri="{FF2B5EF4-FFF2-40B4-BE49-F238E27FC236}">
              <a16:creationId xmlns:a16="http://schemas.microsoft.com/office/drawing/2014/main" id="{70BCD53E-595B-44E6-94FA-87CD4F78A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6" name="Imagem 725" descr="page28image1579854528">
          <a:extLst>
            <a:ext uri="{FF2B5EF4-FFF2-40B4-BE49-F238E27FC236}">
              <a16:creationId xmlns:a16="http://schemas.microsoft.com/office/drawing/2014/main" id="{47F58556-94A3-4B63-BD1A-5E53171A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7" name="Imagem 726" descr="page28image62938896">
          <a:extLst>
            <a:ext uri="{FF2B5EF4-FFF2-40B4-BE49-F238E27FC236}">
              <a16:creationId xmlns:a16="http://schemas.microsoft.com/office/drawing/2014/main" id="{99D46749-6337-4ECC-B5CB-8B6E6D5D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8" name="Imagem 727" descr="page28image1579856640">
          <a:extLst>
            <a:ext uri="{FF2B5EF4-FFF2-40B4-BE49-F238E27FC236}">
              <a16:creationId xmlns:a16="http://schemas.microsoft.com/office/drawing/2014/main" id="{1C9A9D05-551C-4DCC-A282-DA122A159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29" name="Imagem 728" descr="page28image1579857216">
          <a:extLst>
            <a:ext uri="{FF2B5EF4-FFF2-40B4-BE49-F238E27FC236}">
              <a16:creationId xmlns:a16="http://schemas.microsoft.com/office/drawing/2014/main" id="{F68C2CB8-1772-4620-84FF-E2093559A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30" name="Imagem 729" descr="page28image1579857792">
          <a:extLst>
            <a:ext uri="{FF2B5EF4-FFF2-40B4-BE49-F238E27FC236}">
              <a16:creationId xmlns:a16="http://schemas.microsoft.com/office/drawing/2014/main" id="{F7AEC1F6-84D0-4D4B-9B05-611601AEE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12700" cy="12700"/>
    <xdr:pic>
      <xdr:nvPicPr>
        <xdr:cNvPr id="731" name="Imagem 730" descr="page28image1579858176">
          <a:extLst>
            <a:ext uri="{FF2B5EF4-FFF2-40B4-BE49-F238E27FC236}">
              <a16:creationId xmlns:a16="http://schemas.microsoft.com/office/drawing/2014/main" id="{9F2C4F28-6A31-4FA7-8905-92299068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173181</xdr:colOff>
      <xdr:row>35</xdr:row>
      <xdr:rowOff>0</xdr:rowOff>
    </xdr:from>
    <xdr:ext cx="12700" cy="12700"/>
    <xdr:pic>
      <xdr:nvPicPr>
        <xdr:cNvPr id="732" name="Imagem 731" descr="page28image1579859328">
          <a:extLst>
            <a:ext uri="{FF2B5EF4-FFF2-40B4-BE49-F238E27FC236}">
              <a16:creationId xmlns:a16="http://schemas.microsoft.com/office/drawing/2014/main" id="{E14F28D3-84F9-4788-9353-976D9F169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8708" y="93933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6</xdr:row>
      <xdr:rowOff>0</xdr:rowOff>
    </xdr:from>
    <xdr:ext cx="12700" cy="12700"/>
    <xdr:pic>
      <xdr:nvPicPr>
        <xdr:cNvPr id="733" name="Imagem 732" descr="page28image1579828736">
          <a:extLst>
            <a:ext uri="{FF2B5EF4-FFF2-40B4-BE49-F238E27FC236}">
              <a16:creationId xmlns:a16="http://schemas.microsoft.com/office/drawing/2014/main" id="{20EBA896-ED5E-4226-85D6-1B1699648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1613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6</xdr:row>
      <xdr:rowOff>0</xdr:rowOff>
    </xdr:from>
    <xdr:ext cx="12700" cy="12700"/>
    <xdr:pic>
      <xdr:nvPicPr>
        <xdr:cNvPr id="734" name="Imagem 733" descr="page28image1579829120">
          <a:extLst>
            <a:ext uri="{FF2B5EF4-FFF2-40B4-BE49-F238E27FC236}">
              <a16:creationId xmlns:a16="http://schemas.microsoft.com/office/drawing/2014/main" id="{3602466C-CB1D-4491-9A0A-2E380FC68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1613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8</xdr:row>
      <xdr:rowOff>0</xdr:rowOff>
    </xdr:from>
    <xdr:ext cx="12700" cy="12700"/>
    <xdr:pic>
      <xdr:nvPicPr>
        <xdr:cNvPr id="735" name="Imagem 734" descr="page28image1579935296">
          <a:extLst>
            <a:ext uri="{FF2B5EF4-FFF2-40B4-BE49-F238E27FC236}">
              <a16:creationId xmlns:a16="http://schemas.microsoft.com/office/drawing/2014/main" id="{ED2ED717-2FCB-4FBA-8234-DFB86D9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6600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8</xdr:row>
      <xdr:rowOff>0</xdr:rowOff>
    </xdr:from>
    <xdr:ext cx="12700" cy="12700"/>
    <xdr:pic>
      <xdr:nvPicPr>
        <xdr:cNvPr id="736" name="Imagem 735" descr="page28image1579926656">
          <a:extLst>
            <a:ext uri="{FF2B5EF4-FFF2-40B4-BE49-F238E27FC236}">
              <a16:creationId xmlns:a16="http://schemas.microsoft.com/office/drawing/2014/main" id="{45125998-5E62-42C5-A900-0638A937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6600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9</xdr:row>
      <xdr:rowOff>0</xdr:rowOff>
    </xdr:from>
    <xdr:ext cx="12700" cy="12700"/>
    <xdr:pic>
      <xdr:nvPicPr>
        <xdr:cNvPr id="737" name="Imagem 736" descr="page28image1579840640">
          <a:extLst>
            <a:ext uri="{FF2B5EF4-FFF2-40B4-BE49-F238E27FC236}">
              <a16:creationId xmlns:a16="http://schemas.microsoft.com/office/drawing/2014/main" id="{9B925D55-12D0-419F-BB8C-8FF821020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9094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9</xdr:row>
      <xdr:rowOff>0</xdr:rowOff>
    </xdr:from>
    <xdr:ext cx="12700" cy="12700"/>
    <xdr:pic>
      <xdr:nvPicPr>
        <xdr:cNvPr id="738" name="Imagem 737" descr="page28image1579841024">
          <a:extLst>
            <a:ext uri="{FF2B5EF4-FFF2-40B4-BE49-F238E27FC236}">
              <a16:creationId xmlns:a16="http://schemas.microsoft.com/office/drawing/2014/main" id="{4F2002DD-E184-4A46-8217-DE5AC3F9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29094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12700" cy="12700"/>
    <xdr:pic>
      <xdr:nvPicPr>
        <xdr:cNvPr id="739" name="Imagem 738" descr="page28image1579841600">
          <a:extLst>
            <a:ext uri="{FF2B5EF4-FFF2-40B4-BE49-F238E27FC236}">
              <a16:creationId xmlns:a16="http://schemas.microsoft.com/office/drawing/2014/main" id="{1D15F896-6222-45AC-9ADB-2FE38FB8B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1588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12700" cy="12700"/>
    <xdr:pic>
      <xdr:nvPicPr>
        <xdr:cNvPr id="740" name="Imagem 739" descr="page28image1579841984">
          <a:extLst>
            <a:ext uri="{FF2B5EF4-FFF2-40B4-BE49-F238E27FC236}">
              <a16:creationId xmlns:a16="http://schemas.microsoft.com/office/drawing/2014/main" id="{382D6012-4678-484D-ACFE-DB0B70200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1588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12700" cy="12700"/>
    <xdr:pic>
      <xdr:nvPicPr>
        <xdr:cNvPr id="741" name="Imagem 740" descr="page28image1579814272">
          <a:extLst>
            <a:ext uri="{FF2B5EF4-FFF2-40B4-BE49-F238E27FC236}">
              <a16:creationId xmlns:a16="http://schemas.microsoft.com/office/drawing/2014/main" id="{6EA7D7F4-A2C0-4B68-AF90-71D3822E6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40821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12</xdr:row>
      <xdr:rowOff>0</xdr:rowOff>
    </xdr:from>
    <xdr:ext cx="12700" cy="12700"/>
    <xdr:pic>
      <xdr:nvPicPr>
        <xdr:cNvPr id="742" name="Imagem 741" descr="page28image1579818304">
          <a:extLst>
            <a:ext uri="{FF2B5EF4-FFF2-40B4-BE49-F238E27FC236}">
              <a16:creationId xmlns:a16="http://schemas.microsoft.com/office/drawing/2014/main" id="{FC786D5B-C9A1-4E6E-910B-B079DE9B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657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12</xdr:row>
      <xdr:rowOff>0</xdr:rowOff>
    </xdr:from>
    <xdr:ext cx="12700" cy="12700"/>
    <xdr:pic>
      <xdr:nvPicPr>
        <xdr:cNvPr id="743" name="Imagem 742" descr="page28image1579818688">
          <a:extLst>
            <a:ext uri="{FF2B5EF4-FFF2-40B4-BE49-F238E27FC236}">
              <a16:creationId xmlns:a16="http://schemas.microsoft.com/office/drawing/2014/main" id="{CDC30D54-ACDB-4C5E-87DE-5A2F39C5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81062">
          <a:off x="19285527" y="3657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12700" cy="12700"/>
    <xdr:pic>
      <xdr:nvPicPr>
        <xdr:cNvPr id="744" name="Imagem 743" descr="page28image1579824064">
          <a:extLst>
            <a:ext uri="{FF2B5EF4-FFF2-40B4-BE49-F238E27FC236}">
              <a16:creationId xmlns:a16="http://schemas.microsoft.com/office/drawing/2014/main" id="{AC80E7E0-8D8A-40E7-84DA-954386C5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9069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12700" cy="12700"/>
    <xdr:pic>
      <xdr:nvPicPr>
        <xdr:cNvPr id="745" name="Imagem 744" descr="page28image1579824448">
          <a:extLst>
            <a:ext uri="{FF2B5EF4-FFF2-40B4-BE49-F238E27FC236}">
              <a16:creationId xmlns:a16="http://schemas.microsoft.com/office/drawing/2014/main" id="{7EFC7585-A02D-4CC1-A346-6F3BAE1F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39069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14</xdr:row>
      <xdr:rowOff>0</xdr:rowOff>
    </xdr:from>
    <xdr:ext cx="12700" cy="12700"/>
    <xdr:pic>
      <xdr:nvPicPr>
        <xdr:cNvPr id="746" name="Imagem 745" descr="page28image1579825024">
          <a:extLst>
            <a:ext uri="{FF2B5EF4-FFF2-40B4-BE49-F238E27FC236}">
              <a16:creationId xmlns:a16="http://schemas.microsoft.com/office/drawing/2014/main" id="{DA0B01B8-2F8B-4BDB-B165-77A1A0A87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1563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14</xdr:row>
      <xdr:rowOff>0</xdr:rowOff>
    </xdr:from>
    <xdr:ext cx="12700" cy="12700"/>
    <xdr:pic>
      <xdr:nvPicPr>
        <xdr:cNvPr id="747" name="Imagem 746" descr="page28image1579825408">
          <a:extLst>
            <a:ext uri="{FF2B5EF4-FFF2-40B4-BE49-F238E27FC236}">
              <a16:creationId xmlns:a16="http://schemas.microsoft.com/office/drawing/2014/main" id="{7CC27580-7DAE-4186-9182-56CD1F20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1563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15</xdr:row>
      <xdr:rowOff>0</xdr:rowOff>
    </xdr:from>
    <xdr:ext cx="12700" cy="12700"/>
    <xdr:pic>
      <xdr:nvPicPr>
        <xdr:cNvPr id="748" name="Imagem 747" descr="page28image1579864768">
          <a:extLst>
            <a:ext uri="{FF2B5EF4-FFF2-40B4-BE49-F238E27FC236}">
              <a16:creationId xmlns:a16="http://schemas.microsoft.com/office/drawing/2014/main" id="{84753307-891B-46E6-B4EF-BAF94DBC0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40574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15</xdr:row>
      <xdr:rowOff>0</xdr:rowOff>
    </xdr:from>
    <xdr:ext cx="12700" cy="12700"/>
    <xdr:pic>
      <xdr:nvPicPr>
        <xdr:cNvPr id="749" name="Imagem 748" descr="page28image1579865152">
          <a:extLst>
            <a:ext uri="{FF2B5EF4-FFF2-40B4-BE49-F238E27FC236}">
              <a16:creationId xmlns:a16="http://schemas.microsoft.com/office/drawing/2014/main" id="{B7D1E9FC-1D86-40F7-B33F-EBE7C6B8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40574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16</xdr:row>
      <xdr:rowOff>0</xdr:rowOff>
    </xdr:from>
    <xdr:ext cx="12700" cy="12700"/>
    <xdr:pic>
      <xdr:nvPicPr>
        <xdr:cNvPr id="750" name="Imagem 749" descr="page28image1579865728">
          <a:extLst>
            <a:ext uri="{FF2B5EF4-FFF2-40B4-BE49-F238E27FC236}">
              <a16:creationId xmlns:a16="http://schemas.microsoft.com/office/drawing/2014/main" id="{2BECC060-215C-40A7-894D-83812CC4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6551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16</xdr:row>
      <xdr:rowOff>0</xdr:rowOff>
    </xdr:from>
    <xdr:ext cx="12700" cy="12700"/>
    <xdr:pic>
      <xdr:nvPicPr>
        <xdr:cNvPr id="751" name="Imagem 750" descr="page28image1579866112">
          <a:extLst>
            <a:ext uri="{FF2B5EF4-FFF2-40B4-BE49-F238E27FC236}">
              <a16:creationId xmlns:a16="http://schemas.microsoft.com/office/drawing/2014/main" id="{5F2F308D-FDB0-4719-9A5C-8E3800978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6551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</xdr:row>
      <xdr:rowOff>0</xdr:rowOff>
    </xdr:from>
    <xdr:ext cx="12700" cy="12700"/>
    <xdr:pic>
      <xdr:nvPicPr>
        <xdr:cNvPr id="752" name="Imagem 751" descr="page28image1579871104">
          <a:extLst>
            <a:ext uri="{FF2B5EF4-FFF2-40B4-BE49-F238E27FC236}">
              <a16:creationId xmlns:a16="http://schemas.microsoft.com/office/drawing/2014/main" id="{3C849E6D-7E0A-4816-8534-E6F7167A2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9045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</xdr:row>
      <xdr:rowOff>0</xdr:rowOff>
    </xdr:from>
    <xdr:ext cx="12700" cy="12700"/>
    <xdr:pic>
      <xdr:nvPicPr>
        <xdr:cNvPr id="753" name="Imagem 752" descr="page28image1579871488">
          <a:extLst>
            <a:ext uri="{FF2B5EF4-FFF2-40B4-BE49-F238E27FC236}">
              <a16:creationId xmlns:a16="http://schemas.microsoft.com/office/drawing/2014/main" id="{35E9BC0F-6166-41A3-BBB3-48192DA74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4904509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18</xdr:row>
      <xdr:rowOff>0</xdr:rowOff>
    </xdr:from>
    <xdr:ext cx="12700" cy="12700"/>
    <xdr:pic>
      <xdr:nvPicPr>
        <xdr:cNvPr id="754" name="Imagem 753" descr="page28image1579875136">
          <a:extLst>
            <a:ext uri="{FF2B5EF4-FFF2-40B4-BE49-F238E27FC236}">
              <a16:creationId xmlns:a16="http://schemas.microsoft.com/office/drawing/2014/main" id="{DB0A02DC-7B0B-402C-830C-23D57E17B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1538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18</xdr:row>
      <xdr:rowOff>0</xdr:rowOff>
    </xdr:from>
    <xdr:ext cx="12700" cy="12700"/>
    <xdr:pic>
      <xdr:nvPicPr>
        <xdr:cNvPr id="755" name="Imagem 754" descr="page28image1579875520">
          <a:extLst>
            <a:ext uri="{FF2B5EF4-FFF2-40B4-BE49-F238E27FC236}">
              <a16:creationId xmlns:a16="http://schemas.microsoft.com/office/drawing/2014/main" id="{75558D0E-C5A3-47A8-BCDF-15FB5215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1538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19</xdr:row>
      <xdr:rowOff>0</xdr:rowOff>
    </xdr:from>
    <xdr:ext cx="12700" cy="12700"/>
    <xdr:pic>
      <xdr:nvPicPr>
        <xdr:cNvPr id="756" name="Imagem 755" descr="page28image1579940864">
          <a:extLst>
            <a:ext uri="{FF2B5EF4-FFF2-40B4-BE49-F238E27FC236}">
              <a16:creationId xmlns:a16="http://schemas.microsoft.com/office/drawing/2014/main" id="{C72A3A4B-FCF0-432E-8210-0FB646994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4032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19</xdr:row>
      <xdr:rowOff>0</xdr:rowOff>
    </xdr:from>
    <xdr:ext cx="12700" cy="12700"/>
    <xdr:pic>
      <xdr:nvPicPr>
        <xdr:cNvPr id="757" name="Imagem 756" descr="page28image1579941632">
          <a:extLst>
            <a:ext uri="{FF2B5EF4-FFF2-40B4-BE49-F238E27FC236}">
              <a16:creationId xmlns:a16="http://schemas.microsoft.com/office/drawing/2014/main" id="{B8201A14-9B4F-4E15-A6BC-4D92D9DF6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4032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20</xdr:row>
      <xdr:rowOff>0</xdr:rowOff>
    </xdr:from>
    <xdr:ext cx="12700" cy="12700"/>
    <xdr:pic>
      <xdr:nvPicPr>
        <xdr:cNvPr id="758" name="Imagem 757" descr="page28image1579881728">
          <a:extLst>
            <a:ext uri="{FF2B5EF4-FFF2-40B4-BE49-F238E27FC236}">
              <a16:creationId xmlns:a16="http://schemas.microsoft.com/office/drawing/2014/main" id="{F3AD9971-6D97-4809-A3BC-968556D80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6526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20</xdr:row>
      <xdr:rowOff>0</xdr:rowOff>
    </xdr:from>
    <xdr:ext cx="12700" cy="12700"/>
    <xdr:pic>
      <xdr:nvPicPr>
        <xdr:cNvPr id="759" name="Imagem 758" descr="page28image1579882112">
          <a:extLst>
            <a:ext uri="{FF2B5EF4-FFF2-40B4-BE49-F238E27FC236}">
              <a16:creationId xmlns:a16="http://schemas.microsoft.com/office/drawing/2014/main" id="{3A607C92-DE2A-4AD2-9BA0-256A68B0C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6526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12700" cy="12700"/>
    <xdr:pic>
      <xdr:nvPicPr>
        <xdr:cNvPr id="760" name="Imagem 759" descr="page28image1579887488">
          <a:extLst>
            <a:ext uri="{FF2B5EF4-FFF2-40B4-BE49-F238E27FC236}">
              <a16:creationId xmlns:a16="http://schemas.microsoft.com/office/drawing/2014/main" id="{23AB79E2-8E62-4853-A63B-B2A17601A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9020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12700" cy="12700"/>
    <xdr:pic>
      <xdr:nvPicPr>
        <xdr:cNvPr id="761" name="Imagem 760" descr="page28image1579887872">
          <a:extLst>
            <a:ext uri="{FF2B5EF4-FFF2-40B4-BE49-F238E27FC236}">
              <a16:creationId xmlns:a16="http://schemas.microsoft.com/office/drawing/2014/main" id="{239E30E2-1961-4CFC-9905-3D16EEF3A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59020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</xdr:row>
      <xdr:rowOff>0</xdr:rowOff>
    </xdr:from>
    <xdr:ext cx="12700" cy="12700"/>
    <xdr:pic>
      <xdr:nvPicPr>
        <xdr:cNvPr id="762" name="Imagem 761" descr="page28image1579888448">
          <a:extLst>
            <a:ext uri="{FF2B5EF4-FFF2-40B4-BE49-F238E27FC236}">
              <a16:creationId xmlns:a16="http://schemas.microsoft.com/office/drawing/2014/main" id="{A77E7B7C-C397-479E-84A3-C4317006B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15141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</xdr:row>
      <xdr:rowOff>0</xdr:rowOff>
    </xdr:from>
    <xdr:ext cx="12700" cy="12700"/>
    <xdr:pic>
      <xdr:nvPicPr>
        <xdr:cNvPr id="763" name="Imagem 762" descr="page28image1579888832">
          <a:extLst>
            <a:ext uri="{FF2B5EF4-FFF2-40B4-BE49-F238E27FC236}">
              <a16:creationId xmlns:a16="http://schemas.microsoft.com/office/drawing/2014/main" id="{4D6C5B1F-CB49-400A-AA98-C2585D8C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151418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12700" cy="12700"/>
    <xdr:pic>
      <xdr:nvPicPr>
        <xdr:cNvPr id="764" name="Imagem 763" descr="page28image1580185472">
          <a:extLst>
            <a:ext uri="{FF2B5EF4-FFF2-40B4-BE49-F238E27FC236}">
              <a16:creationId xmlns:a16="http://schemas.microsoft.com/office/drawing/2014/main" id="{DD6FB403-E701-4986-8FAC-F9B59AD1B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40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12700" cy="12700"/>
    <xdr:pic>
      <xdr:nvPicPr>
        <xdr:cNvPr id="765" name="Imagem 764" descr="page28image1580180480">
          <a:extLst>
            <a:ext uri="{FF2B5EF4-FFF2-40B4-BE49-F238E27FC236}">
              <a16:creationId xmlns:a16="http://schemas.microsoft.com/office/drawing/2014/main" id="{0882E33B-6FF6-41DC-AE96-14C0105A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40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24</xdr:row>
      <xdr:rowOff>0</xdr:rowOff>
    </xdr:from>
    <xdr:ext cx="12700" cy="12700"/>
    <xdr:pic>
      <xdr:nvPicPr>
        <xdr:cNvPr id="766" name="Imagem 765" descr="page28image1579927424">
          <a:extLst>
            <a:ext uri="{FF2B5EF4-FFF2-40B4-BE49-F238E27FC236}">
              <a16:creationId xmlns:a16="http://schemas.microsoft.com/office/drawing/2014/main" id="{4055ECE8-D272-45B4-8323-DCCAF72A8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6501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24</xdr:row>
      <xdr:rowOff>0</xdr:rowOff>
    </xdr:from>
    <xdr:ext cx="12700" cy="12700"/>
    <xdr:pic>
      <xdr:nvPicPr>
        <xdr:cNvPr id="767" name="Imagem 766" descr="page28image1579939328">
          <a:extLst>
            <a:ext uri="{FF2B5EF4-FFF2-40B4-BE49-F238E27FC236}">
              <a16:creationId xmlns:a16="http://schemas.microsoft.com/office/drawing/2014/main" id="{B6BAC33C-5BB8-4DFA-AA47-3FE18AEE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650182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0</xdr:rowOff>
    </xdr:from>
    <xdr:ext cx="12700" cy="12700"/>
    <xdr:pic>
      <xdr:nvPicPr>
        <xdr:cNvPr id="768" name="Imagem 767" descr="page28image1579845120">
          <a:extLst>
            <a:ext uri="{FF2B5EF4-FFF2-40B4-BE49-F238E27FC236}">
              <a16:creationId xmlns:a16="http://schemas.microsoft.com/office/drawing/2014/main" id="{4D33C1C7-4D76-49F6-A5CB-AB9311C27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8995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0</xdr:rowOff>
    </xdr:from>
    <xdr:ext cx="12700" cy="12700"/>
    <xdr:pic>
      <xdr:nvPicPr>
        <xdr:cNvPr id="769" name="Imagem 768" descr="page28image1579845504">
          <a:extLst>
            <a:ext uri="{FF2B5EF4-FFF2-40B4-BE49-F238E27FC236}">
              <a16:creationId xmlns:a16="http://schemas.microsoft.com/office/drawing/2014/main" id="{C9817441-DA66-4B95-8764-67C5FC547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6899564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27</xdr:row>
      <xdr:rowOff>0</xdr:rowOff>
    </xdr:from>
    <xdr:ext cx="12700" cy="12700"/>
    <xdr:pic>
      <xdr:nvPicPr>
        <xdr:cNvPr id="770" name="Imagem 769" descr="page28image1579853184">
          <a:extLst>
            <a:ext uri="{FF2B5EF4-FFF2-40B4-BE49-F238E27FC236}">
              <a16:creationId xmlns:a16="http://schemas.microsoft.com/office/drawing/2014/main" id="{67C8D093-C5A4-4B7B-B61E-22256E4B8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3983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27</xdr:row>
      <xdr:rowOff>0</xdr:rowOff>
    </xdr:from>
    <xdr:ext cx="12700" cy="12700"/>
    <xdr:pic>
      <xdr:nvPicPr>
        <xdr:cNvPr id="771" name="Imagem 770" descr="page28image1579853568">
          <a:extLst>
            <a:ext uri="{FF2B5EF4-FFF2-40B4-BE49-F238E27FC236}">
              <a16:creationId xmlns:a16="http://schemas.microsoft.com/office/drawing/2014/main" id="{22BA5531-2361-4ABF-A78E-344EEF43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398327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2" name="Imagem 771" descr="page28image1579828736">
          <a:extLst>
            <a:ext uri="{FF2B5EF4-FFF2-40B4-BE49-F238E27FC236}">
              <a16:creationId xmlns:a16="http://schemas.microsoft.com/office/drawing/2014/main" id="{87D19948-E54E-41C0-8B41-6C9F10B27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3" name="Imagem 772" descr="page28image1579829120">
          <a:extLst>
            <a:ext uri="{FF2B5EF4-FFF2-40B4-BE49-F238E27FC236}">
              <a16:creationId xmlns:a16="http://schemas.microsoft.com/office/drawing/2014/main" id="{5E504D6F-D5F7-4130-B43E-F7C521DE1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4" name="Imagem 773" descr="page28image1579935296">
          <a:extLst>
            <a:ext uri="{FF2B5EF4-FFF2-40B4-BE49-F238E27FC236}">
              <a16:creationId xmlns:a16="http://schemas.microsoft.com/office/drawing/2014/main" id="{C75911B8-3E86-4AAB-A657-891FB2D7F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5" name="Imagem 774" descr="page28image1579926656">
          <a:extLst>
            <a:ext uri="{FF2B5EF4-FFF2-40B4-BE49-F238E27FC236}">
              <a16:creationId xmlns:a16="http://schemas.microsoft.com/office/drawing/2014/main" id="{2FE5169D-AD72-4472-9986-59613336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6" name="Imagem 775" descr="page28image1579840640">
          <a:extLst>
            <a:ext uri="{FF2B5EF4-FFF2-40B4-BE49-F238E27FC236}">
              <a16:creationId xmlns:a16="http://schemas.microsoft.com/office/drawing/2014/main" id="{D01F2296-2E8E-4643-B30E-2EA32BAC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7" name="Imagem 776" descr="page28image1579841024">
          <a:extLst>
            <a:ext uri="{FF2B5EF4-FFF2-40B4-BE49-F238E27FC236}">
              <a16:creationId xmlns:a16="http://schemas.microsoft.com/office/drawing/2014/main" id="{5081E37A-655C-4EF9-8B37-01D0FF145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8" name="Imagem 777" descr="page28image1579841600">
          <a:extLst>
            <a:ext uri="{FF2B5EF4-FFF2-40B4-BE49-F238E27FC236}">
              <a16:creationId xmlns:a16="http://schemas.microsoft.com/office/drawing/2014/main" id="{F5974DF2-C1A0-43B5-B1E7-3257C9FDB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79" name="Imagem 778" descr="page28image1579841984">
          <a:extLst>
            <a:ext uri="{FF2B5EF4-FFF2-40B4-BE49-F238E27FC236}">
              <a16:creationId xmlns:a16="http://schemas.microsoft.com/office/drawing/2014/main" id="{E8E40077-7D67-4A49-9A39-1FD1B61B7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0" name="Imagem 779" descr="page28image1579814272">
          <a:extLst>
            <a:ext uri="{FF2B5EF4-FFF2-40B4-BE49-F238E27FC236}">
              <a16:creationId xmlns:a16="http://schemas.microsoft.com/office/drawing/2014/main" id="{9AC94F00-7828-498C-AEBA-E3B53CA7F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1" name="Imagem 780" descr="page28image1579814656">
          <a:extLst>
            <a:ext uri="{FF2B5EF4-FFF2-40B4-BE49-F238E27FC236}">
              <a16:creationId xmlns:a16="http://schemas.microsoft.com/office/drawing/2014/main" id="{32DB9C89-AC22-4F67-8801-7641B3E3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2" name="Imagem 781" descr="page28image1579818304">
          <a:extLst>
            <a:ext uri="{FF2B5EF4-FFF2-40B4-BE49-F238E27FC236}">
              <a16:creationId xmlns:a16="http://schemas.microsoft.com/office/drawing/2014/main" id="{F3EC09FD-1416-44FE-B54B-464AEF8C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3" name="Imagem 782" descr="page28image1579818688">
          <a:extLst>
            <a:ext uri="{FF2B5EF4-FFF2-40B4-BE49-F238E27FC236}">
              <a16:creationId xmlns:a16="http://schemas.microsoft.com/office/drawing/2014/main" id="{F2E3E914-1E1C-4DDA-9A8D-F0D6E51E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4" name="Imagem 783" descr="page28image1579824064">
          <a:extLst>
            <a:ext uri="{FF2B5EF4-FFF2-40B4-BE49-F238E27FC236}">
              <a16:creationId xmlns:a16="http://schemas.microsoft.com/office/drawing/2014/main" id="{8565539A-7833-4CF6-BFF5-D8B1324C4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5" name="Imagem 784" descr="page28image1579824448">
          <a:extLst>
            <a:ext uri="{FF2B5EF4-FFF2-40B4-BE49-F238E27FC236}">
              <a16:creationId xmlns:a16="http://schemas.microsoft.com/office/drawing/2014/main" id="{F3092FF3-D177-4D2A-AE96-5355C20A7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6" name="Imagem 785" descr="page28image1579825024">
          <a:extLst>
            <a:ext uri="{FF2B5EF4-FFF2-40B4-BE49-F238E27FC236}">
              <a16:creationId xmlns:a16="http://schemas.microsoft.com/office/drawing/2014/main" id="{9AC32BC2-3761-4347-B8E0-ADBDBE1EF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7" name="Imagem 786" descr="page28image1579825408">
          <a:extLst>
            <a:ext uri="{FF2B5EF4-FFF2-40B4-BE49-F238E27FC236}">
              <a16:creationId xmlns:a16="http://schemas.microsoft.com/office/drawing/2014/main" id="{68D33E5B-09AD-4316-A49D-173F63A8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8" name="Imagem 787" descr="page28image1579864768">
          <a:extLst>
            <a:ext uri="{FF2B5EF4-FFF2-40B4-BE49-F238E27FC236}">
              <a16:creationId xmlns:a16="http://schemas.microsoft.com/office/drawing/2014/main" id="{21918248-8E79-4FD7-8445-C6FF5360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89" name="Imagem 788" descr="page28image1579865152">
          <a:extLst>
            <a:ext uri="{FF2B5EF4-FFF2-40B4-BE49-F238E27FC236}">
              <a16:creationId xmlns:a16="http://schemas.microsoft.com/office/drawing/2014/main" id="{E0D02345-D3FB-46D8-B460-8C3DDD75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90" name="Imagem 789" descr="page28image1579865728">
          <a:extLst>
            <a:ext uri="{FF2B5EF4-FFF2-40B4-BE49-F238E27FC236}">
              <a16:creationId xmlns:a16="http://schemas.microsoft.com/office/drawing/2014/main" id="{6E63B8E0-0857-4B41-8302-285D56985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91" name="Imagem 790" descr="page28image1579866112">
          <a:extLst>
            <a:ext uri="{FF2B5EF4-FFF2-40B4-BE49-F238E27FC236}">
              <a16:creationId xmlns:a16="http://schemas.microsoft.com/office/drawing/2014/main" id="{967CC7DE-32E6-463E-8D58-5100BEF7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</xdr:row>
      <xdr:rowOff>0</xdr:rowOff>
    </xdr:from>
    <xdr:ext cx="12700" cy="12700"/>
    <xdr:pic>
      <xdr:nvPicPr>
        <xdr:cNvPr id="792" name="Imagem 791" descr="page28image1579825024">
          <a:extLst>
            <a:ext uri="{FF2B5EF4-FFF2-40B4-BE49-F238E27FC236}">
              <a16:creationId xmlns:a16="http://schemas.microsoft.com/office/drawing/2014/main" id="{4A72A0F6-D7D8-4060-81FF-04BD8506E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8970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</xdr:row>
      <xdr:rowOff>0</xdr:rowOff>
    </xdr:from>
    <xdr:ext cx="12700" cy="12700"/>
    <xdr:pic>
      <xdr:nvPicPr>
        <xdr:cNvPr id="793" name="Imagem 792" descr="page28image1579825408">
          <a:extLst>
            <a:ext uri="{FF2B5EF4-FFF2-40B4-BE49-F238E27FC236}">
              <a16:creationId xmlns:a16="http://schemas.microsoft.com/office/drawing/2014/main" id="{786A4DE1-A3BC-4295-9975-361AC2DA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78970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</xdr:row>
      <xdr:rowOff>254000</xdr:rowOff>
    </xdr:from>
    <xdr:ext cx="12700" cy="12700"/>
    <xdr:pic>
      <xdr:nvPicPr>
        <xdr:cNvPr id="794" name="Imagem 793" descr="page28image1579864768">
          <a:extLst>
            <a:ext uri="{FF2B5EF4-FFF2-40B4-BE49-F238E27FC236}">
              <a16:creationId xmlns:a16="http://schemas.microsoft.com/office/drawing/2014/main" id="{4B4AF67D-2B9F-4B53-835F-6D33E6DB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1510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29</xdr:row>
      <xdr:rowOff>254000</xdr:rowOff>
    </xdr:from>
    <xdr:ext cx="12700" cy="12700"/>
    <xdr:pic>
      <xdr:nvPicPr>
        <xdr:cNvPr id="795" name="Imagem 794" descr="page28image1579865152">
          <a:extLst>
            <a:ext uri="{FF2B5EF4-FFF2-40B4-BE49-F238E27FC236}">
              <a16:creationId xmlns:a16="http://schemas.microsoft.com/office/drawing/2014/main" id="{E1AAFA1D-E583-49C3-9B25-C4B396513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151091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</xdr:row>
      <xdr:rowOff>0</xdr:rowOff>
    </xdr:from>
    <xdr:ext cx="12700" cy="12700"/>
    <xdr:pic>
      <xdr:nvPicPr>
        <xdr:cNvPr id="796" name="Imagem 795" descr="page28image1579865728">
          <a:extLst>
            <a:ext uri="{FF2B5EF4-FFF2-40B4-BE49-F238E27FC236}">
              <a16:creationId xmlns:a16="http://schemas.microsoft.com/office/drawing/2014/main" id="{EC4A5E1E-47A1-482C-832E-6D6E39FF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3958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</xdr:row>
      <xdr:rowOff>0</xdr:rowOff>
    </xdr:from>
    <xdr:ext cx="12700" cy="12700"/>
    <xdr:pic>
      <xdr:nvPicPr>
        <xdr:cNvPr id="797" name="Imagem 796" descr="page28image1579871104">
          <a:extLst>
            <a:ext uri="{FF2B5EF4-FFF2-40B4-BE49-F238E27FC236}">
              <a16:creationId xmlns:a16="http://schemas.microsoft.com/office/drawing/2014/main" id="{763864FD-6313-4957-BDAC-5C76E3239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6452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</xdr:row>
      <xdr:rowOff>0</xdr:rowOff>
    </xdr:from>
    <xdr:ext cx="12700" cy="12700"/>
    <xdr:pic>
      <xdr:nvPicPr>
        <xdr:cNvPr id="798" name="Imagem 797" descr="page28image1579871488">
          <a:extLst>
            <a:ext uri="{FF2B5EF4-FFF2-40B4-BE49-F238E27FC236}">
              <a16:creationId xmlns:a16="http://schemas.microsoft.com/office/drawing/2014/main" id="{714512E3-BF2C-4858-ADF3-7203525C6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6452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799" name="Imagem 798" descr="page28image1579875136">
          <a:extLst>
            <a:ext uri="{FF2B5EF4-FFF2-40B4-BE49-F238E27FC236}">
              <a16:creationId xmlns:a16="http://schemas.microsoft.com/office/drawing/2014/main" id="{B28CF496-6122-41FD-9EFD-849C8404B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0" name="Imagem 799" descr="page28image1579875520">
          <a:extLst>
            <a:ext uri="{FF2B5EF4-FFF2-40B4-BE49-F238E27FC236}">
              <a16:creationId xmlns:a16="http://schemas.microsoft.com/office/drawing/2014/main" id="{2F0EAFDB-0505-4ED8-91B9-BEF4FE63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1" name="Imagem 800" descr="page28image1579940864">
          <a:extLst>
            <a:ext uri="{FF2B5EF4-FFF2-40B4-BE49-F238E27FC236}">
              <a16:creationId xmlns:a16="http://schemas.microsoft.com/office/drawing/2014/main" id="{A5575B96-A7B0-4D51-B299-D1C2F41D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2" name="Imagem 801" descr="page28image1579941632">
          <a:extLst>
            <a:ext uri="{FF2B5EF4-FFF2-40B4-BE49-F238E27FC236}">
              <a16:creationId xmlns:a16="http://schemas.microsoft.com/office/drawing/2014/main" id="{6A3D7BEA-18BE-4934-B31F-ECEE1DFC2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3" name="Imagem 802" descr="page28image1579881728">
          <a:extLst>
            <a:ext uri="{FF2B5EF4-FFF2-40B4-BE49-F238E27FC236}">
              <a16:creationId xmlns:a16="http://schemas.microsoft.com/office/drawing/2014/main" id="{CC80F28C-E52C-4390-96D3-F62F9E6BC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4" name="Imagem 803" descr="page28image1579882112">
          <a:extLst>
            <a:ext uri="{FF2B5EF4-FFF2-40B4-BE49-F238E27FC236}">
              <a16:creationId xmlns:a16="http://schemas.microsoft.com/office/drawing/2014/main" id="{4289AF4B-529C-4669-A71C-F5098D760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5" name="Imagem 804" descr="page28image1579887488">
          <a:extLst>
            <a:ext uri="{FF2B5EF4-FFF2-40B4-BE49-F238E27FC236}">
              <a16:creationId xmlns:a16="http://schemas.microsoft.com/office/drawing/2014/main" id="{6A5F9188-81E6-4E59-8A5F-6B4A337C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6" name="Imagem 805" descr="page28image1579887872">
          <a:extLst>
            <a:ext uri="{FF2B5EF4-FFF2-40B4-BE49-F238E27FC236}">
              <a16:creationId xmlns:a16="http://schemas.microsoft.com/office/drawing/2014/main" id="{ECF92E63-9465-4313-83C9-FCA627E34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7" name="Imagem 806" descr="page28image1579888448">
          <a:extLst>
            <a:ext uri="{FF2B5EF4-FFF2-40B4-BE49-F238E27FC236}">
              <a16:creationId xmlns:a16="http://schemas.microsoft.com/office/drawing/2014/main" id="{3B396BA1-F4D1-4E1D-94EC-3F6FA0B6E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8" name="Imagem 807" descr="page28image1579888832">
          <a:extLst>
            <a:ext uri="{FF2B5EF4-FFF2-40B4-BE49-F238E27FC236}">
              <a16:creationId xmlns:a16="http://schemas.microsoft.com/office/drawing/2014/main" id="{1956CBAE-89A7-4069-B3CC-23F9C3FB8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09" name="Imagem 808" descr="page28image1580185472">
          <a:extLst>
            <a:ext uri="{FF2B5EF4-FFF2-40B4-BE49-F238E27FC236}">
              <a16:creationId xmlns:a16="http://schemas.microsoft.com/office/drawing/2014/main" id="{D0E63BF5-3ACD-4C42-A646-B59093CF7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0" name="Imagem 809" descr="page28image1580180480">
          <a:extLst>
            <a:ext uri="{FF2B5EF4-FFF2-40B4-BE49-F238E27FC236}">
              <a16:creationId xmlns:a16="http://schemas.microsoft.com/office/drawing/2014/main" id="{D1151CFD-A4DA-46D5-83D9-233755E01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1" name="Imagem 810" descr="page28image1579927424">
          <a:extLst>
            <a:ext uri="{FF2B5EF4-FFF2-40B4-BE49-F238E27FC236}">
              <a16:creationId xmlns:a16="http://schemas.microsoft.com/office/drawing/2014/main" id="{830885A2-4D05-497D-B5F2-A6E4AFF9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2" name="Imagem 811" descr="page28image1579939328">
          <a:extLst>
            <a:ext uri="{FF2B5EF4-FFF2-40B4-BE49-F238E27FC236}">
              <a16:creationId xmlns:a16="http://schemas.microsoft.com/office/drawing/2014/main" id="{B61E9E8C-300D-4261-A8C9-9332DE231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3" name="Imagem 812" descr="page28image1579845120">
          <a:extLst>
            <a:ext uri="{FF2B5EF4-FFF2-40B4-BE49-F238E27FC236}">
              <a16:creationId xmlns:a16="http://schemas.microsoft.com/office/drawing/2014/main" id="{50336ABC-9871-4DD0-A704-93D216FD6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4" name="Imagem 813" descr="page28image1579845504">
          <a:extLst>
            <a:ext uri="{FF2B5EF4-FFF2-40B4-BE49-F238E27FC236}">
              <a16:creationId xmlns:a16="http://schemas.microsoft.com/office/drawing/2014/main" id="{EE46EAEF-0EFC-4D21-80BF-1344749EC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5" name="Imagem 814" descr="page28image1579853184">
          <a:extLst>
            <a:ext uri="{FF2B5EF4-FFF2-40B4-BE49-F238E27FC236}">
              <a16:creationId xmlns:a16="http://schemas.microsoft.com/office/drawing/2014/main" id="{364F8E8D-861B-4F55-90D4-9603AF17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6" name="Imagem 815" descr="page28image1579853568">
          <a:extLst>
            <a:ext uri="{FF2B5EF4-FFF2-40B4-BE49-F238E27FC236}">
              <a16:creationId xmlns:a16="http://schemas.microsoft.com/office/drawing/2014/main" id="{B6CC868E-B30C-48EC-A4D6-6978758E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7" name="Imagem 816" descr="page28image1579824064">
          <a:extLst>
            <a:ext uri="{FF2B5EF4-FFF2-40B4-BE49-F238E27FC236}">
              <a16:creationId xmlns:a16="http://schemas.microsoft.com/office/drawing/2014/main" id="{33EB1F8F-899A-4995-829D-2BCB8562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8" name="Imagem 817" descr="page28image1579824448">
          <a:extLst>
            <a:ext uri="{FF2B5EF4-FFF2-40B4-BE49-F238E27FC236}">
              <a16:creationId xmlns:a16="http://schemas.microsoft.com/office/drawing/2014/main" id="{2D0C708A-DC75-44AD-81A5-06464B7B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19" name="Imagem 818" descr="page28image1579824064">
          <a:extLst>
            <a:ext uri="{FF2B5EF4-FFF2-40B4-BE49-F238E27FC236}">
              <a16:creationId xmlns:a16="http://schemas.microsoft.com/office/drawing/2014/main" id="{D0AC76B5-FC9E-444E-9632-407317E13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20" name="Imagem 819" descr="page28image1579824448">
          <a:extLst>
            <a:ext uri="{FF2B5EF4-FFF2-40B4-BE49-F238E27FC236}">
              <a16:creationId xmlns:a16="http://schemas.microsoft.com/office/drawing/2014/main" id="{72C89E66-40D4-4ADD-8E83-AE4F8CD89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21" name="Imagem 820" descr="page28image1579824064">
          <a:extLst>
            <a:ext uri="{FF2B5EF4-FFF2-40B4-BE49-F238E27FC236}">
              <a16:creationId xmlns:a16="http://schemas.microsoft.com/office/drawing/2014/main" id="{FBA80222-C7FB-4FA5-971D-BD23DBC6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22" name="Imagem 821" descr="page28image1579824448">
          <a:extLst>
            <a:ext uri="{FF2B5EF4-FFF2-40B4-BE49-F238E27FC236}">
              <a16:creationId xmlns:a16="http://schemas.microsoft.com/office/drawing/2014/main" id="{8D6F8867-AA69-496C-A77E-71F49EBFB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</xdr:row>
      <xdr:rowOff>0</xdr:rowOff>
    </xdr:from>
    <xdr:ext cx="12700" cy="12700"/>
    <xdr:pic>
      <xdr:nvPicPr>
        <xdr:cNvPr id="823" name="Imagem 822" descr="page28image1579825024">
          <a:extLst>
            <a:ext uri="{FF2B5EF4-FFF2-40B4-BE49-F238E27FC236}">
              <a16:creationId xmlns:a16="http://schemas.microsoft.com/office/drawing/2014/main" id="{F98CBBFD-3D3B-411F-868D-0FAA32701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1464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30</xdr:row>
      <xdr:rowOff>0</xdr:rowOff>
    </xdr:from>
    <xdr:ext cx="12700" cy="12700"/>
    <xdr:pic>
      <xdr:nvPicPr>
        <xdr:cNvPr id="824" name="Imagem 823" descr="page28image1579825408">
          <a:extLst>
            <a:ext uri="{FF2B5EF4-FFF2-40B4-BE49-F238E27FC236}">
              <a16:creationId xmlns:a16="http://schemas.microsoft.com/office/drawing/2014/main" id="{816E557F-E8BA-4B9B-A967-CFF2CDEA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146473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</xdr:row>
      <xdr:rowOff>0</xdr:rowOff>
    </xdr:from>
    <xdr:ext cx="12700" cy="12700"/>
    <xdr:pic>
      <xdr:nvPicPr>
        <xdr:cNvPr id="825" name="Imagem 824" descr="page28image1579825024">
          <a:extLst>
            <a:ext uri="{FF2B5EF4-FFF2-40B4-BE49-F238E27FC236}">
              <a16:creationId xmlns:a16="http://schemas.microsoft.com/office/drawing/2014/main" id="{B02BA91E-96A7-41C3-956F-2E201865D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3958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31</xdr:row>
      <xdr:rowOff>0</xdr:rowOff>
    </xdr:from>
    <xdr:ext cx="12700" cy="12700"/>
    <xdr:pic>
      <xdr:nvPicPr>
        <xdr:cNvPr id="826" name="Imagem 825" descr="page28image1579825408">
          <a:extLst>
            <a:ext uri="{FF2B5EF4-FFF2-40B4-BE49-F238E27FC236}">
              <a16:creationId xmlns:a16="http://schemas.microsoft.com/office/drawing/2014/main" id="{0EE65A56-B99D-4130-817F-D9E89911A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395855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</xdr:row>
      <xdr:rowOff>0</xdr:rowOff>
    </xdr:from>
    <xdr:ext cx="12700" cy="12700"/>
    <xdr:pic>
      <xdr:nvPicPr>
        <xdr:cNvPr id="827" name="Imagem 826" descr="page28image1579825024">
          <a:extLst>
            <a:ext uri="{FF2B5EF4-FFF2-40B4-BE49-F238E27FC236}">
              <a16:creationId xmlns:a16="http://schemas.microsoft.com/office/drawing/2014/main" id="{112C22D1-4E80-43C9-8E00-7E6C6BE5F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6452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32</xdr:row>
      <xdr:rowOff>0</xdr:rowOff>
    </xdr:from>
    <xdr:ext cx="12700" cy="12700"/>
    <xdr:pic>
      <xdr:nvPicPr>
        <xdr:cNvPr id="828" name="Imagem 827" descr="page28image1579825408">
          <a:extLst>
            <a:ext uri="{FF2B5EF4-FFF2-40B4-BE49-F238E27FC236}">
              <a16:creationId xmlns:a16="http://schemas.microsoft.com/office/drawing/2014/main" id="{7056FB98-582B-4D80-95D0-0117F8161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8645236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29" name="Imagem 828" descr="page28image1579825024">
          <a:extLst>
            <a:ext uri="{FF2B5EF4-FFF2-40B4-BE49-F238E27FC236}">
              <a16:creationId xmlns:a16="http://schemas.microsoft.com/office/drawing/2014/main" id="{550BC74F-73B6-41CB-97BA-522AA7EE1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0" name="Imagem 829" descr="page28image1579825408">
          <a:extLst>
            <a:ext uri="{FF2B5EF4-FFF2-40B4-BE49-F238E27FC236}">
              <a16:creationId xmlns:a16="http://schemas.microsoft.com/office/drawing/2014/main" id="{7AF01E63-7180-412C-8278-67E3F7B4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1" name="Imagem 830" descr="page28image1579825024">
          <a:extLst>
            <a:ext uri="{FF2B5EF4-FFF2-40B4-BE49-F238E27FC236}">
              <a16:creationId xmlns:a16="http://schemas.microsoft.com/office/drawing/2014/main" id="{C1CD8FEC-30B7-457B-A2B8-4DCAE258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2" name="Imagem 831" descr="page28image1579825408">
          <a:extLst>
            <a:ext uri="{FF2B5EF4-FFF2-40B4-BE49-F238E27FC236}">
              <a16:creationId xmlns:a16="http://schemas.microsoft.com/office/drawing/2014/main" id="{4DD1F7F1-E890-4BF2-B021-824A16EB4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3" name="Imagem 832" descr="page28image1579825024">
          <a:extLst>
            <a:ext uri="{FF2B5EF4-FFF2-40B4-BE49-F238E27FC236}">
              <a16:creationId xmlns:a16="http://schemas.microsoft.com/office/drawing/2014/main" id="{40F269E5-50F6-4818-86CA-BDEDDE538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4" name="Imagem 833" descr="page28image1579825408">
          <a:extLst>
            <a:ext uri="{FF2B5EF4-FFF2-40B4-BE49-F238E27FC236}">
              <a16:creationId xmlns:a16="http://schemas.microsoft.com/office/drawing/2014/main" id="{3252E87C-9F71-4126-91BA-E658859D2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5" name="Imagem 834" descr="page28image1579825024">
          <a:extLst>
            <a:ext uri="{FF2B5EF4-FFF2-40B4-BE49-F238E27FC236}">
              <a16:creationId xmlns:a16="http://schemas.microsoft.com/office/drawing/2014/main" id="{3F2981E0-E944-4A99-A28E-A543C98F9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6" name="Imagem 835" descr="page28image1579825408">
          <a:extLst>
            <a:ext uri="{FF2B5EF4-FFF2-40B4-BE49-F238E27FC236}">
              <a16:creationId xmlns:a16="http://schemas.microsoft.com/office/drawing/2014/main" id="{BF8B6CC6-F24C-4A96-B42A-9B338BD56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7" name="Imagem 836" descr="page28image1579825024">
          <a:extLst>
            <a:ext uri="{FF2B5EF4-FFF2-40B4-BE49-F238E27FC236}">
              <a16:creationId xmlns:a16="http://schemas.microsoft.com/office/drawing/2014/main" id="{A8D872B3-3053-4272-B5B1-FDCA42B8D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8" name="Imagem 837" descr="page28image1579825408">
          <a:extLst>
            <a:ext uri="{FF2B5EF4-FFF2-40B4-BE49-F238E27FC236}">
              <a16:creationId xmlns:a16="http://schemas.microsoft.com/office/drawing/2014/main" id="{CD6F4115-AE0D-49DF-B3F8-D7C1D846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39" name="Imagem 838" descr="page28image1579825024">
          <a:extLst>
            <a:ext uri="{FF2B5EF4-FFF2-40B4-BE49-F238E27FC236}">
              <a16:creationId xmlns:a16="http://schemas.microsoft.com/office/drawing/2014/main" id="{1ADC7724-BA39-476D-9BBE-03654BE00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0" name="Imagem 839" descr="page28image1579825408">
          <a:extLst>
            <a:ext uri="{FF2B5EF4-FFF2-40B4-BE49-F238E27FC236}">
              <a16:creationId xmlns:a16="http://schemas.microsoft.com/office/drawing/2014/main" id="{E5D3CD40-9187-4D72-B57D-856CFD8AD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1" name="Imagem 840" descr="page28image1579825024">
          <a:extLst>
            <a:ext uri="{FF2B5EF4-FFF2-40B4-BE49-F238E27FC236}">
              <a16:creationId xmlns:a16="http://schemas.microsoft.com/office/drawing/2014/main" id="{DADAEBBB-2D23-47B4-B4AF-A2721AA54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2" name="Imagem 841" descr="page28image1579825408">
          <a:extLst>
            <a:ext uri="{FF2B5EF4-FFF2-40B4-BE49-F238E27FC236}">
              <a16:creationId xmlns:a16="http://schemas.microsoft.com/office/drawing/2014/main" id="{1F5F1230-4619-4851-AEBF-D072B781A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3" name="Imagem 842" descr="page28image1579825024">
          <a:extLst>
            <a:ext uri="{FF2B5EF4-FFF2-40B4-BE49-F238E27FC236}">
              <a16:creationId xmlns:a16="http://schemas.microsoft.com/office/drawing/2014/main" id="{F9E093A2-5F1F-4E4B-9625-A7400A9CB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4" name="Imagem 843" descr="page28image1579825408">
          <a:extLst>
            <a:ext uri="{FF2B5EF4-FFF2-40B4-BE49-F238E27FC236}">
              <a16:creationId xmlns:a16="http://schemas.microsoft.com/office/drawing/2014/main" id="{DE0227DE-90EA-42D1-84AB-767199702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5" name="Imagem 844" descr="page28image1579825024">
          <a:extLst>
            <a:ext uri="{FF2B5EF4-FFF2-40B4-BE49-F238E27FC236}">
              <a16:creationId xmlns:a16="http://schemas.microsoft.com/office/drawing/2014/main" id="{EAAC4521-9205-4448-8240-3313896DF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6" name="Imagem 845" descr="page28image1579825408">
          <a:extLst>
            <a:ext uri="{FF2B5EF4-FFF2-40B4-BE49-F238E27FC236}">
              <a16:creationId xmlns:a16="http://schemas.microsoft.com/office/drawing/2014/main" id="{0D134379-AF23-4C4F-9417-ACBD979F7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7" name="Imagem 846" descr="page28image1579825024">
          <a:extLst>
            <a:ext uri="{FF2B5EF4-FFF2-40B4-BE49-F238E27FC236}">
              <a16:creationId xmlns:a16="http://schemas.microsoft.com/office/drawing/2014/main" id="{09D2F1A6-ED5D-4734-B9B0-230EA164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8" name="Imagem 847" descr="page28image1579825408">
          <a:extLst>
            <a:ext uri="{FF2B5EF4-FFF2-40B4-BE49-F238E27FC236}">
              <a16:creationId xmlns:a16="http://schemas.microsoft.com/office/drawing/2014/main" id="{D12A93E3-8AA4-4F3C-BFAB-38E9A2EA7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49" name="Imagem 848" descr="page28image1579825024">
          <a:extLst>
            <a:ext uri="{FF2B5EF4-FFF2-40B4-BE49-F238E27FC236}">
              <a16:creationId xmlns:a16="http://schemas.microsoft.com/office/drawing/2014/main" id="{B63E1745-E198-44F6-BF1A-E49F5CE5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34</xdr:row>
      <xdr:rowOff>0</xdr:rowOff>
    </xdr:from>
    <xdr:ext cx="12700" cy="12700"/>
    <xdr:pic>
      <xdr:nvPicPr>
        <xdr:cNvPr id="850" name="Imagem 849" descr="page28image1579825408">
          <a:extLst>
            <a:ext uri="{FF2B5EF4-FFF2-40B4-BE49-F238E27FC236}">
              <a16:creationId xmlns:a16="http://schemas.microsoft.com/office/drawing/2014/main" id="{9FE89EAE-DFB7-4493-A2E4-82FE5DFAE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527" y="914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787400</xdr:colOff>
      <xdr:row>0</xdr:row>
      <xdr:rowOff>12700</xdr:rowOff>
    </xdr:from>
    <xdr:to>
      <xdr:col>20</xdr:col>
      <xdr:colOff>304800</xdr:colOff>
      <xdr:row>14</xdr:row>
      <xdr:rowOff>119710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3ABD25-EAE6-8F14-F57D-48631BBE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7600" y="12700"/>
          <a:ext cx="7772400" cy="31804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970931</xdr:colOff>
      <xdr:row>65</xdr:row>
      <xdr:rowOff>166255</xdr:rowOff>
    </xdr:from>
    <xdr:to>
      <xdr:col>22</xdr:col>
      <xdr:colOff>69272</xdr:colOff>
      <xdr:row>86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254000</xdr:colOff>
      <xdr:row>70</xdr:row>
      <xdr:rowOff>139700</xdr:rowOff>
    </xdr:from>
    <xdr:to>
      <xdr:col>32</xdr:col>
      <xdr:colOff>0</xdr:colOff>
      <xdr:row>96</xdr:row>
      <xdr:rowOff>25400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Impala\Compco\Mining%20Comp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trata-03/Projeto/2006/CRS%20616%20-%20Projeto%20Basico%20Restauracao%20-%20BR-430-030%20BA%20-%20DERBA/campo/Brumado-Sussuarana/lead/CARACT%20PAV%20EXISTENT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4F9FBBFE\Or&#231;amento%20-%20Eletromec&#226;nica%20(5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Company\BSB\Brasilia%20Sector%20Comercial%20Sul%20Vers&#227;o%20I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Company\BSB\Brasilia%20Sector%20Comercial%20Sul%20Vers&#227;o%20I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05%20-%20VIANORTE\SIMULADOR%20FINAL%20(EXCEL%20+%20WORD%20+%20PDF)\L05%20-%20Simulador%20Vianorte%20-%20Final%20para%20Processo%20-%20Procuradoria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38DABB0\Proje&#231;&#227;o%20Guaratingueta%2013-11-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Analise\EMPRESAS\Water\Sanepar\prjbrs20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:\TEMP\Aggregates%202-21-9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dpolano\AppData\Local\Microsoft\Windows\Temporary%20Internet%20Files\Content.Outlook\NFBYQ03J\RESERVA%20REAL%20CCI%2019.12.201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Samantha\Models\Beven%20Base%20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nfra\1.%20FUNDOS\2.%20INFRA%20SANEAMENTO%20FIP\19.%20Prospec&#231;&#227;o%20de%20Neg&#243;cios\TRX\Documentos%20Iniciais\&#193;guas%20de%20Itapema\&#193;guas%20de%20Itapema%20-%20Proje&#231;&#227;o%20Financeir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JOAO\PERFIL\COMPLEMENTO%20-%20PERFI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Newsquest\Valuation%20min\local%20newspaper%20coco%202.0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mgarcia\Meus%20documentos\2007\modelo%20finance%20lotes\CD_RDO\RDO_Fluxo_p\RDO_TIR%2015_Out%203%20anos_Oeste_p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09%20-%20TRI&#194;NGULO%20DO%20SOL\SIMULADOR%20FINAL%20(EXCEL%20+%20WORD%20+%20PDF)\L09%20-%20Simulador%20Tri&#226;ngulo%20do%20Sol%20-%20corrigido%20para%2022%20anos%20e%208%20mes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elipe\Desktop\SIMULADORES%20FINAIS%202006\L12%20-%20Simulador%20Viaoeste%20-%20Final%20para%20Processo%20para%20impress&#227;o%20-%20procuradori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Users\MCLARI~1.CAB\AppData\Local\Temp\projetos\Empresas\Water%20&amp;%20Sewage\CAB\Mirassol&amp;Palestina\Acompanhamento\Aprova&#231;&#227;o%20BNDES\Comprova&#231;&#227;o_BNDES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Users\MCLARI~1.CAB\AppData\Local\Temp\projetos\Empresas\Oil%20&amp;%20Gas\MDC%20par\Dados%20Recebidos\Modelo%20Novos%20Projeto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Joinvile\dimensionamento01.10_021007_rev_CAB_Consix_051007(1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MULADOR%20-%20FINAL\LOTE%2006\Simulador%20-%20Intervias%20Final%20para%20Process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Startup" Target="Data/Clientes/Unipar/2002/Imobilizado%20DQ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:\Shared\@Liem\U_Material\@Home\Project%20X\Merger%20Model%20T%20-%20UMG%20-%20TWX%204-1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Startup" Target="Data/Clientes/Biosint&#233;tica/31.12.03/Administra&#231;&#227;o%20do%20JOB/Comparativo%20dez02%20x%20dez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la&#231;&#245;es%20Investidores/Plano%20de%20Neg&#243;cios/CAB%20Mato%20Grosso/Worksheet%20in%20(C)%201202%20Rev%20anal&#237;tica%20outras%20contas%20Set.02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Rela&#231;&#245;es%20Investidores/Plano%20de%20Neg&#243;cios/CAB%20Mato%20Grosso/Worksheet%20in%20(C)%205610%20Imobilizado%20Leadsheet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Combined%20Leadsheet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elipe\Desktop\SIMULADORES%20FINAIS%202006\L13%20-%20Simulador%20Colinas%20-%20Final%20para%20Processo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ngelog\Controle%20de%20Contratos%20atualizado%20at&#233;%2025.05.2005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0001/00000/&#37096;&#20869;&#20849;&#26377;/Project/M/&#19977;&#33777;&#26481;&#20140;FG/2006.3/&#20449;&#29992;&#20445;&#35388;/&#20225;&#26989;&#35413;&#20385;/01&#12511;&#12469;&#12527;&#36039;&#26009;&#931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Users\mclarisse.CABAMBIENTAL\AppData\Local\Microsoft\Windows\Temporary%20Internet%20Files\Content.Outlook\O9TRMASY\Modelagem%20v21_banco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tuais/acompanhamento/AM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DOR/Engenharia/Planejamento/MODELO/Graf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ULTA\PROPOSTA\BDPRO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CIBD%20NRG\Whipple\Talisman\Compcos\Gas%20processor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TYWKBKS\LA\MEX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491;&#21029;&#12499;&#12523;&#35413;&#20385;/&#26087;&#35413;&#20385;&#65404;&#65405;&#65411;&#65425;/0911&#25913;&#33391;&#26087;12&#24180;&#35413;&#20385;&#12471;&#12473;&#12486;&#12512;/H14&#24180;&#24230;/&#35336;&#31639;/user2/&#26087;&#35413;&#20385;&#65404;&#65405;&#65411;&#65425;/0911&#25913;&#33391;&#26087;12&#24180;&#35413;&#20385;&#12471;&#12473;&#12486;&#12512;/My%20Documents/12&#24180;&#25913;&#33391;&#20491;&#21029;&#35413;&#20385;&#12471;&#12473;&#12486;&#12512;/'0422/&#32207;&#21512;&#65288;&#22235;&#26376;&#21313;&#20108;&#26085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Mining\Comps\Backup\Base%20Metal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209722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sbrsp3799/Sfinance/Projeto%20Encinar/Modelo/Rio%20Barra/(09-08-07)%20Modelo%20Pep&#234;_FINAL_Alterad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Documents%20and%20Settings\fcarvalho\Configura&#231;&#245;es%20locais\Temporary%20Internet%20Files\Content.Outlook\HLF4V54P\Modelo_Gerencial%20(Valora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sbrsp3799/Sfinance/RFLOCAL/Deb&#234;ntures/INDIPO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Desenvolvimento%20de%20Neg&#243;cios\AProjetos\SP-19-09\Econ&#244;mico%20Financeiro\Plano%20de%20neg&#243;cio%20Andradina\Plano%20de%20Neg&#243;cio_12032010\An&#225;lise_Riscos\Mat_Riscos_Andradina_0403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s00000111/&#23529;&#26619;&#65301;&#65332;/&#26495;&#27211;001/&#12304;&#9314;&#12305;&#21462;&#24341;&#20808;&#36039;&#26009;/01&#12511;&#12469;&#12527;&#12507;&#12540;&#12512;&#12849;/01&#12511;&#12469;&#12527;&#36039;&#26009;&#931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SergioRobles/Library/Containers/com.apple.mail/Data/Library/Mail%20Downloads/12CB16FB-9CE1-47C4-A553-B50AE620A132/bhzagc-fls001/usuarios/bretas/Petrolina/PETROLINA/valuation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WINDOWS\TEMP\Gerasul\Valuation\Model\lending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o.boschiero/AppData/Local/Microsoft/Windows/INetCache/Content.Outlook/13F69KNV/Estudo%20viabilidade%20Mau&#225;%20-%20Acompanhamento%20contrat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A:\XCELDATA\ECOLAB\CRYSTAL\DCF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Mining\North%20American%20Palladium\Overvi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MULADOR%20-%20FINAL\LOTE%2003\Simulador%20Tebe%20-%20Final%20para%20Process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r$DIa0.026/Planej_estrat&#233;gico_Bertiog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AGMG012/Aplic/Documents%20and%20Settings/raimundo/Meus%20documentos/USB/Balan&#231;o%20Energia%20USB/Energeticos-GGUS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12%20-%20VIAOESTE\SIMULADOR%20FINAL%20(EXCEL%20+%20WORD%20+%20PDF)\L12%20-%20Simulador%20Viaoeste%20-%20Final%20para%20Process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windows\TEMP\Elektr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D646D67\02012000_GasMat_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46194F4\BRP_1Q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riz.dauzacker/AppData/Local/Microsoft/Windows/INetCache/Content.Outlook/PXEWBMUH/QueenOfAngels%20Model%20v12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WINDOWS\DESKTOP\Five%20Year%20Plan\Other%20Companies\Output_Cuiaba_V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Mining\Comps\Base%20Meta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Users\MCLARI~1.CAB\AppData\Local\Temp\projetos\Empresas\Water%20&amp;%20Sewage\CAB\Mirassol&amp;Palestina\BNDES\Proje&#231;&#245;es\Sanessol%201404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:\CIBD%20Media\Joi\Loews\Lights%20Operating%20Model%20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Mining\Lonmin\Sons%20of%20Gwalia\Base%20Metals%20Comps_sg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Temp\COPEL%20DIS%20Sep%20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/C/X/Documents%20and%20Settings/lcobo/Local%20Settings/Temporary%20Internet%20Files/OLK4/An&#225;lise%20de%20balan&#231;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Dobson\Dobson%20Comp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uanF\Downloads\Ativos%20Olimp&#237;a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lpac\Downloads\S&#227;o%20Miguel%20do%20Oeste%20ATIVO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lpac\Downloads\Ativos%20Olimp&#237;a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Brad\Autobahn%20%20H%20drive\with%20BS%20inf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fra/1.%20FUNDOS/2.%20INFRA%20SANEAMENTO%20FIP/19.%20Prospec&#231;&#227;o%20de%20Neg&#243;cios/Monte%20Equity/Documentos%20Iniciais/6.%20Alegrete/Modelo%20PPP_Alegrete_20170519_46_fluxo%20SJM_Debenture_BRL12mn%20+%20REV%2012%20Juganu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ML\Models\SEN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fra/1.%20FUNDOS/2.%20INFRA%20SANEAMENTO%20FIP/19.%20Prospec&#231;&#227;o%20de%20Neg&#243;cios/Monte%20Equity/Documentos%20Iniciais/7.%20CaraguaLuz/PPP%20CaraguaLuz%20-%20FN%20-%202017.03.22_CEF_Finisa_2017.04.10_v_envioCEF_TermSheetFinisa_2017.05.03_v2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ra/1.%20FUNDOS/2.%20INFRA%20SANEAMENTO%20FIP/19.%20Prospec&#231;&#227;o%20de%20Neg&#243;cios/Monte%20Equity/Contraproposta/Modelos/Fluxos%20de%20Caixa%20-%20Cen&#225;rio%20PN%20-%20Final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Server\projetos\Pasta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bsbrsp3799/Sfinance/Clientes/Igu&#225;%20Saneamento/Cariacica%20-%20CESAN/4.%20Modelo%20Financeiro/Modelo%20Completo/2020.07.22_MF_Cariacica%20v2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D646D67\02012000_Epe_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Mining\Diamet\Project%20Clarity\Dia%20Met_Final_PreRecap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2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/AppData/Local/Microsoft/Windows/Temporary%20Internet%20Files/Content.Outlook/F49TUBQF/Users/CAROL%20E%20GUI/Downloads/Or&#231;amento%20-%20Gest&#227;o%20de%20Contratos%201012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.UNIAO/Desktop/Planejamento%202013/SANESALTO/Or&#231;amento/BKP%20Gest&#227;o%20Financeira%20Sanesalto%20Maio%202013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JOSECA~1\CONFIG~1\Temp\03.21%20-%203&#170;%20adeq%20rev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IBD\_PF\EGCO\Comps\comps0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INVEST\_M&amp;A\NRG\Copel\Copel%20Telecom\DCF\Copel%20Telecom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_Nova%20Organizacao%20da%20Rede/01.%20Projetos/02.%20Valuation/01.%20Abertos/Channel%202/Conasa_Nov14/05.%20Aval/Envimax/Aval%20Envimax%20v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029EBF0\Concess&#227;o%20C%20Grande_Vers&#227;o_17_11_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cc_ciro/dg-ccc%20cs/CGSN/Planilha%20Ders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VISITORS\Summer\Models\CALME\Value%20Calme\Value_%20SECL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bambiental-my.sharepoint.com/pw_files/dms32437/QC-305007-00071-00-2%20-%20ADMINISTRATIVO.xlsb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:\CIBD%20Buenos%20Aires\GRUPO%20CLARIN\Private%20Equity\The%20Group\FinModels\MULTICA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WINDOWS\TEMP\~003808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elipe\Desktop\SIMULADORES%20FINAIS%202006\L20%20-%20Simulador%20SPVias%20-%20Final%20Definitiv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Brad\Autobahn%20%20H%20drive\Mergercon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\JOAO\PERFIL\BAL.PERFI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STG-INOVA-01/Inova-Grupo/Users/felipe.braga/Downloads/Simulador-PRT-REFIS-2017-v0-3-13-02-1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elipe\Desktop\SIMULADORES%20FINAIS%202006\L22%20-%20Simulador%20Ecovias%20-%20CDHU%20como%20Fator%201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TELECOM\MODELS\PUBLISHED_MODELS\COL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.%20FUNDOS\2.%20INFRA%20SANEAMENTO%20FIP\7.%20VALUATION\05.%20Avalia&#231;&#227;o%202015\03.%20PrintOut\Santo%20Ant&#244;nio\C&#225;lculo%20de%20D&#237;vida_DP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D646D67\02012000_Tbs_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J:\OSTRAS%20NOVO2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Common\sa_rac\Valuations\USGAAP\Trds%20%20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:\transfer\energy\compacq\compacq%20(under%20revision%20mfv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4EAD5F47\Key%20Analyst%20Data%20(standard)%20U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L12%20-%20VIAOESTE\SIMULADOR%20FINAL%20(EXCEL%20+%20WORD%20+%20PDF)\L12%20-%20Simulador%20Viaoeste%20-%20Final%20para%20Processo%20para%20impress&#227;o%20-%20procuradori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Startup" Target="doug/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SERVIDORWIN\engenharia\Engenharia\Planilha%20Padr&#227;o\Precifica&#231;&#227;o%20para%20impress&#227;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A:\ANALISE\Working\ANALISTAS\Santos_Gustavo\Sabesp\SBSP%203Q00%20Revis&#227;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:\Applications\Microsoft%20Office%202008\Office\Startup\Excel\RELATORI\PRONOR\PROPTES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O%20SERVIDOR\PROJETOS%20ATIVOS\E&#211;LICA\Jericoacoara_CE177\Junco%201\B%20-%20T&#201;CNICO\04%20-%20Estudos%20energ&#233;ticos\04.04%20-%20Simula&#231;&#245;es%20de%20produ&#231;&#227;o%20e%20dados%20t&#233;cnicos%20das%20turbinas\Vestas\Vestas%20consolidado\Cen&#225;rio%20Inter%20v.02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Common\sa_rac\Valuations\USGAAP\base%20templete%20mode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W:\Excel\ChristmasTree\DCF\DCF_ver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leblanc/Desktop/Chemicals/Chemicals%20Presentation%20Data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elipe\Desktop\SIMULADORES%20FINAIS%202006\L11%20-%20Simulador%20Renovias%20-%20Final%20para%20Process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Mari&#226;ngela\Dropbox\03_Projetos\PETROLINA-PE\000-SEGUNDA%20RODADA\PLANILHAS%20DA%20JULIANA\Users\bbarletta\Desktop\AP5\arquivos%20de%20apoio\c%20Opex%20capex%20evolu&#231;&#227;o%20casal%20maio%202011%20(RH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ba\AppData\Local\Microsoft\Windows\Temporary%20Internet%20Files\Content.Outlook\3K6RE0I3\WW%20Model%20-%20v27.4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\Euro\Monoton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TEMP\clec%20co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caprock2\Comps%20in%20progress\CLECa10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Users/Rodrigo%20Bueno/Documents/Sanesalto%20-%20Gest&#227;o%20Financeira/BKP%20Gest&#227;o%20Financeira%20Sanesalto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SERVIDORWIN\TRABALHO\pce\planilha\Cota&#231;&#245;es\planilha%20para%20cota&#231;&#227;o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corp\depto\WINDOWS\TEMP\Gaspart%20020300_30yrsc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Shared\Pacificorp\CompcoPP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alter/Estudos/PPP%20Pres&#237;dios/SP/Modelagem%202012/Estudo%20Financeiro/final/FLUXO%20DE%20CAIXA%202012%2007%2024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01_PROJETOS/PETROLINA%20-%203%20FASE/000_VERS&#195;O_OUTUBRO_2020/REVIS&#195;O%203/CAPEX_OPEX_QUEEN_OF_ANGELS_30_10_2020%20Rev%200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esaraugustoarenhart\Library\Mobile%20Documents\com~apple~CloudDocs\2017\BSA\1.%20CLIENTES%20\CLIENTES%201\2.%20SAMAE%20Brusque\PMSB\Valoraserver\projetos\Chakrapani\Asarco\ARNIE%20Model%2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 Pag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aux"/>
      <sheetName val="graficos"/>
      <sheetName val="graficos (2)"/>
      <sheetName val="Remoção de Solo Mole BR-153"/>
      <sheetName val="$Conserva BR-116 RJ"/>
      <sheetName val="$Conserva BR-116 SP"/>
      <sheetName val="$Conserva BR-101 RJ"/>
      <sheetName val="$Conserva BR-101 SP"/>
      <sheetName val="Assum"/>
      <sheetName val="CARACT PAV EXISTENTE"/>
      <sheetName val="graficos_(2)"/>
      <sheetName val="CARACT_PAV_EXISTENTE"/>
      <sheetName val="Remoção_de_Solo_Mole_BR-153"/>
      <sheetName val="$Conserva_BR-116_RJ"/>
      <sheetName val="$Conserva_BR-116_SP"/>
      <sheetName val="$Conserva_BR-101_RJ"/>
      <sheetName val="$Conserva_BR-101_SP"/>
      <sheetName val="A"/>
      <sheetName val="Premissas"/>
      <sheetName val="Tabela"/>
      <sheetName val="elétrica"/>
      <sheetName val="painel de controle"/>
      <sheetName val="EAIGESEN"/>
      <sheetName val="DADOS"/>
      <sheetName val="p a t o 99 b"/>
    </sheetNames>
    <sheetDataSet>
      <sheetData sheetId="0" refreshError="1"/>
      <sheetData sheetId="1" refreshError="1">
        <row r="6">
          <cell r="B6">
            <v>32.307692307692307</v>
          </cell>
        </row>
        <row r="8">
          <cell r="B8">
            <v>97.307692307692307</v>
          </cell>
          <cell r="C8">
            <v>2.6923076923076925</v>
          </cell>
          <cell r="D8">
            <v>0</v>
          </cell>
          <cell r="E8">
            <v>0</v>
          </cell>
          <cell r="F8">
            <v>0</v>
          </cell>
        </row>
        <row r="10">
          <cell r="B10">
            <v>29.615384615384617</v>
          </cell>
          <cell r="C10">
            <v>31.538461538461537</v>
          </cell>
          <cell r="D10">
            <v>14.615384615384617</v>
          </cell>
          <cell r="E10">
            <v>6.9230769230769234</v>
          </cell>
          <cell r="F10">
            <v>17.307692307692307</v>
          </cell>
        </row>
        <row r="12">
          <cell r="B12">
            <v>9.2307692307692317</v>
          </cell>
          <cell r="C12">
            <v>61.53846153846154</v>
          </cell>
          <cell r="D12">
            <v>21.153846153846153</v>
          </cell>
          <cell r="E12">
            <v>8.0769230769230766</v>
          </cell>
          <cell r="F12">
            <v>0</v>
          </cell>
        </row>
        <row r="13">
          <cell r="B13" t="str">
            <v>0 - 20</v>
          </cell>
          <cell r="C13" t="str">
            <v>20 - 40</v>
          </cell>
          <cell r="D13" t="str">
            <v>40 -  80</v>
          </cell>
          <cell r="E13" t="str">
            <v xml:space="preserve"> 80 - 150</v>
          </cell>
          <cell r="F13" t="str">
            <v>&gt; 150</v>
          </cell>
        </row>
        <row r="14">
          <cell r="B14">
            <v>9.2307692307692317</v>
          </cell>
          <cell r="C14">
            <v>63.84615384615384</v>
          </cell>
          <cell r="D14">
            <v>18.846153846153847</v>
          </cell>
          <cell r="E14">
            <v>8.0769230769230766</v>
          </cell>
          <cell r="F14">
            <v>0</v>
          </cell>
          <cell r="I14">
            <v>0.48</v>
          </cell>
          <cell r="J14">
            <v>3.3200000000000003</v>
          </cell>
          <cell r="K14">
            <v>0.98</v>
          </cell>
          <cell r="L14">
            <v>0.42</v>
          </cell>
          <cell r="M14">
            <v>0</v>
          </cell>
        </row>
        <row r="15">
          <cell r="B15" t="str">
            <v xml:space="preserve">  4 - 5</v>
          </cell>
          <cell r="C15" t="str">
            <v xml:space="preserve">  3 -   4</v>
          </cell>
          <cell r="D15" t="str">
            <v xml:space="preserve">  2 -   3</v>
          </cell>
          <cell r="E15" t="str">
            <v xml:space="preserve">  1 -   2</v>
          </cell>
          <cell r="F15" t="str">
            <v>0 -  1</v>
          </cell>
        </row>
        <row r="16">
          <cell r="B16">
            <v>69.230769230769226</v>
          </cell>
          <cell r="C16">
            <v>16.923076923076923</v>
          </cell>
          <cell r="D16">
            <v>13.846153846153847</v>
          </cell>
          <cell r="E16">
            <v>0</v>
          </cell>
          <cell r="F16">
            <v>0</v>
          </cell>
          <cell r="I16">
            <v>3.6</v>
          </cell>
          <cell r="J16">
            <v>0.88</v>
          </cell>
          <cell r="K16">
            <v>0.72</v>
          </cell>
          <cell r="L16">
            <v>0</v>
          </cell>
          <cell r="M16">
            <v>0</v>
          </cell>
        </row>
        <row r="17">
          <cell r="B17" t="str">
            <v>0 -  5</v>
          </cell>
          <cell r="C17" t="str">
            <v xml:space="preserve"> 5 - 10</v>
          </cell>
          <cell r="D17" t="str">
            <v>10 - 15</v>
          </cell>
          <cell r="E17" t="str">
            <v>15 - 20</v>
          </cell>
          <cell r="F17" t="str">
            <v>&gt; 20</v>
          </cell>
        </row>
        <row r="18">
          <cell r="B18">
            <v>0.76923076923076927</v>
          </cell>
          <cell r="C18">
            <v>59.615384615384613</v>
          </cell>
          <cell r="D18">
            <v>26.923076923076923</v>
          </cell>
          <cell r="E18">
            <v>12.692307692307692</v>
          </cell>
          <cell r="F18">
            <v>0</v>
          </cell>
          <cell r="I18">
            <v>0.04</v>
          </cell>
          <cell r="J18">
            <v>3.1</v>
          </cell>
          <cell r="K18">
            <v>1.4000000000000001</v>
          </cell>
          <cell r="L18">
            <v>0.66</v>
          </cell>
          <cell r="M18">
            <v>0</v>
          </cell>
        </row>
        <row r="19">
          <cell r="B19" t="str">
            <v>0 - 20</v>
          </cell>
          <cell r="C19" t="str">
            <v>20 - 40</v>
          </cell>
          <cell r="D19" t="str">
            <v>40 - 60</v>
          </cell>
          <cell r="E19" t="str">
            <v>60 - 80</v>
          </cell>
          <cell r="F19" t="str">
            <v>&gt; 80</v>
          </cell>
        </row>
        <row r="20">
          <cell r="B20">
            <v>0</v>
          </cell>
          <cell r="C20">
            <v>7.6923076923076925</v>
          </cell>
          <cell r="D20">
            <v>92.307692307692307</v>
          </cell>
          <cell r="E20">
            <v>0</v>
          </cell>
          <cell r="F20">
            <v>0</v>
          </cell>
          <cell r="I20">
            <v>0</v>
          </cell>
          <cell r="J20">
            <v>0.4</v>
          </cell>
          <cell r="K20">
            <v>4.8</v>
          </cell>
          <cell r="L20">
            <v>0</v>
          </cell>
          <cell r="M20">
            <v>0</v>
          </cell>
        </row>
        <row r="21">
          <cell r="B21" t="str">
            <v>0 - 20</v>
          </cell>
          <cell r="C21" t="str">
            <v>20 - 40</v>
          </cell>
          <cell r="D21" t="str">
            <v>40 - 80</v>
          </cell>
          <cell r="E21" t="str">
            <v>80 - 120</v>
          </cell>
          <cell r="F21" t="str">
            <v>&gt; 120</v>
          </cell>
        </row>
        <row r="22">
          <cell r="B22">
            <v>0</v>
          </cell>
          <cell r="C22">
            <v>93.07692307692308</v>
          </cell>
          <cell r="D22">
            <v>6.9230769230769234</v>
          </cell>
          <cell r="E22">
            <v>0</v>
          </cell>
          <cell r="F22">
            <v>0</v>
          </cell>
          <cell r="I22">
            <v>0</v>
          </cell>
          <cell r="J22">
            <v>4.84</v>
          </cell>
          <cell r="K22">
            <v>0.36</v>
          </cell>
          <cell r="L22">
            <v>0</v>
          </cell>
          <cell r="M22">
            <v>0</v>
          </cell>
        </row>
        <row r="23">
          <cell r="B23" t="str">
            <v xml:space="preserve">  4 - 5</v>
          </cell>
          <cell r="C23" t="str">
            <v xml:space="preserve">  3 -   4</v>
          </cell>
          <cell r="D23" t="str">
            <v xml:space="preserve">  2 -   3</v>
          </cell>
          <cell r="E23" t="str">
            <v xml:space="preserve">  1 -   2</v>
          </cell>
          <cell r="F23" t="str">
            <v>0 -  1</v>
          </cell>
        </row>
        <row r="24">
          <cell r="B24">
            <v>81.92307692307692</v>
          </cell>
          <cell r="C24">
            <v>18.076923076923077</v>
          </cell>
          <cell r="D24">
            <v>0</v>
          </cell>
          <cell r="E24">
            <v>0</v>
          </cell>
          <cell r="F24">
            <v>0</v>
          </cell>
        </row>
        <row r="25">
          <cell r="B25" t="str">
            <v xml:space="preserve">  4 - 5</v>
          </cell>
          <cell r="C25" t="str">
            <v xml:space="preserve">  3 -   4</v>
          </cell>
          <cell r="D25" t="str">
            <v xml:space="preserve">  2 -   3</v>
          </cell>
          <cell r="E25" t="str">
            <v xml:space="preserve">  1 -   2</v>
          </cell>
          <cell r="F25" t="str">
            <v>0 -  1</v>
          </cell>
        </row>
        <row r="26">
          <cell r="B26">
            <v>36.538461538461533</v>
          </cell>
          <cell r="C26">
            <v>55.769230769230774</v>
          </cell>
          <cell r="D26">
            <v>7.6923076923076925</v>
          </cell>
          <cell r="E26">
            <v>0</v>
          </cell>
          <cell r="F26">
            <v>0</v>
          </cell>
          <cell r="I26">
            <v>1.9000000000000001</v>
          </cell>
          <cell r="J26">
            <v>2.9</v>
          </cell>
          <cell r="K26">
            <v>0.4</v>
          </cell>
          <cell r="L26">
            <v>0</v>
          </cell>
          <cell r="M26">
            <v>0</v>
          </cell>
        </row>
        <row r="27">
          <cell r="B27" t="str">
            <v xml:space="preserve">  4 - 5</v>
          </cell>
          <cell r="C27" t="str">
            <v xml:space="preserve">  3 -   4</v>
          </cell>
          <cell r="D27" t="str">
            <v xml:space="preserve">  2 -   3</v>
          </cell>
          <cell r="E27" t="str">
            <v xml:space="preserve">  1 -   2</v>
          </cell>
          <cell r="F27" t="str">
            <v>0 -  1</v>
          </cell>
        </row>
        <row r="28">
          <cell r="B28">
            <v>0</v>
          </cell>
          <cell r="C28">
            <v>45.384615384615387</v>
          </cell>
          <cell r="D28">
            <v>54.615384615384613</v>
          </cell>
          <cell r="E28">
            <v>0</v>
          </cell>
          <cell r="F28">
            <v>0</v>
          </cell>
          <cell r="I28">
            <v>0</v>
          </cell>
          <cell r="J28">
            <v>2.36</v>
          </cell>
          <cell r="K28">
            <v>2.84</v>
          </cell>
          <cell r="L28">
            <v>0</v>
          </cell>
          <cell r="M28">
            <v>0</v>
          </cell>
        </row>
        <row r="29">
          <cell r="B29" t="str">
            <v xml:space="preserve">  4 - 5</v>
          </cell>
          <cell r="C29" t="str">
            <v xml:space="preserve">  3 -   4</v>
          </cell>
          <cell r="D29" t="str">
            <v xml:space="preserve">  2 -   3</v>
          </cell>
          <cell r="E29" t="str">
            <v xml:space="preserve">  1 -   2</v>
          </cell>
          <cell r="F29" t="str">
            <v>0 -  1</v>
          </cell>
        </row>
      </sheetData>
      <sheetData sheetId="2" refreshError="1"/>
      <sheetData sheetId="3" refreshError="1"/>
      <sheetData sheetId="4">
        <row r="6">
          <cell r="B6">
            <v>361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"/>
      <sheetName val="Orcamento ago 2010"/>
      <sheetName val="Orcamento 2010"/>
      <sheetName val="Orc 2010 x ago2010"/>
      <sheetName val="Plano aprovado"/>
      <sheetName val="Salários"/>
      <sheetName val="Auxiliar"/>
      <sheetName val="Técnica"/>
      <sheetName val="Consultorias"/>
      <sheetName val="Veículos"/>
      <sheetName val="Viagens"/>
      <sheetName val="Comunicação"/>
      <sheetName val="Despesas Gerais"/>
      <sheetName val="Treinamentos "/>
      <sheetName val="Plan1"/>
    </sheetNames>
    <sheetDataSet>
      <sheetData sheetId="0">
        <row r="27">
          <cell r="G27">
            <v>1663.34</v>
          </cell>
        </row>
      </sheetData>
      <sheetData sheetId="1"/>
      <sheetData sheetId="2"/>
      <sheetData sheetId="3"/>
      <sheetData sheetId="4"/>
      <sheetData sheetId="5" refreshError="1">
        <row r="27">
          <cell r="G27">
            <v>1663.34</v>
          </cell>
        </row>
        <row r="41">
          <cell r="AB41">
            <v>7.0000000000000007E-2</v>
          </cell>
          <cell r="AI41">
            <v>0.09</v>
          </cell>
        </row>
      </sheetData>
      <sheetData sheetId="6">
        <row r="4">
          <cell r="B4">
            <v>1649.877763965367</v>
          </cell>
        </row>
      </sheetData>
      <sheetData sheetId="7">
        <row r="3">
          <cell r="D3">
            <v>145890</v>
          </cell>
        </row>
      </sheetData>
      <sheetData sheetId="8">
        <row r="2">
          <cell r="F2">
            <v>21550</v>
          </cell>
        </row>
      </sheetData>
      <sheetData sheetId="9">
        <row r="9">
          <cell r="C9">
            <v>2110</v>
          </cell>
        </row>
      </sheetData>
      <sheetData sheetId="10">
        <row r="2">
          <cell r="B2">
            <v>1474.8166666666666</v>
          </cell>
        </row>
      </sheetData>
      <sheetData sheetId="11">
        <row r="22">
          <cell r="C22">
            <v>1820</v>
          </cell>
        </row>
      </sheetData>
      <sheetData sheetId="12">
        <row r="9">
          <cell r="B9">
            <v>9283.3333333333321</v>
          </cell>
        </row>
      </sheetData>
      <sheetData sheetId="13">
        <row r="3">
          <cell r="F3">
            <v>27856</v>
          </cell>
        </row>
      </sheetData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al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al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Comparativo de Mercado "/>
      <sheetName val="FLUXO + DRE  Original 20 anos"/>
      <sheetName val="Fatores 20 anos - Cenário 1"/>
      <sheetName val="Fatores 20 anos - Cenário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VIANORTE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7514.6823631986481</v>
          </cell>
          <cell r="H67">
            <v>30075.007272783801</v>
          </cell>
          <cell r="I67">
            <v>0.19014348497107461</v>
          </cell>
        </row>
        <row r="68">
          <cell r="B68" t="str">
            <v>FATOR 2</v>
          </cell>
          <cell r="C68" t="str">
            <v>2ª Adequação - Investimentos</v>
          </cell>
          <cell r="G68">
            <v>-968.07551951358198</v>
          </cell>
          <cell r="H68">
            <v>-3874.3990607717578</v>
          </cell>
          <cell r="I68">
            <v>0.17592080412206704</v>
          </cell>
        </row>
        <row r="69">
          <cell r="B69" t="str">
            <v>FATOR 3</v>
          </cell>
          <cell r="C69" t="str">
            <v>3ª Adequação - Investimentos</v>
          </cell>
          <cell r="G69">
            <v>10540.102209628472</v>
          </cell>
          <cell r="H69">
            <v>42183.240127734636</v>
          </cell>
          <cell r="I69">
            <v>0.19415551669029996</v>
          </cell>
        </row>
        <row r="70">
          <cell r="B70" t="str">
            <v>FATOR 4</v>
          </cell>
          <cell r="C70" t="str">
            <v>Perda de Receita - Rod. SP 322 (Sertãozinho e Pitangueiras)</v>
          </cell>
          <cell r="G70">
            <v>-7707.0295386821581</v>
          </cell>
          <cell r="H70">
            <v>-30844.812624756611</v>
          </cell>
          <cell r="I70">
            <v>0.16671352352911342</v>
          </cell>
        </row>
        <row r="71">
          <cell r="B71" t="str">
            <v>FATOR 5</v>
          </cell>
          <cell r="C71" t="str">
            <v>Perda de Receita - Rod. SP 330 (Salles de Oliveria e Ituverava)</v>
          </cell>
          <cell r="G71">
            <v>-2624.3005277807911</v>
          </cell>
          <cell r="H71">
            <v>-10502.886701572124</v>
          </cell>
          <cell r="I71">
            <v>0.17370082893621805</v>
          </cell>
        </row>
        <row r="72">
          <cell r="B72" t="str">
            <v>FATOR 6</v>
          </cell>
          <cell r="C72" t="str">
            <v>Perda de Receita - Parcelamento do Reajuste Tarifário de Julho de 2003.</v>
          </cell>
          <cell r="G72">
            <v>-399.74066185194283</v>
          </cell>
          <cell r="H72">
            <v>-1599.8285398329601</v>
          </cell>
          <cell r="I72">
            <v>0.17684933954202317</v>
          </cell>
        </row>
        <row r="73">
          <cell r="B73" t="str">
            <v>FATOR 7</v>
          </cell>
          <cell r="C73" t="str">
            <v>Majoração do COFINS</v>
          </cell>
          <cell r="G73">
            <v>-2532.7644866627447</v>
          </cell>
          <cell r="H73">
            <v>-10136.544257634776</v>
          </cell>
          <cell r="I73">
            <v>0.17375266882072771</v>
          </cell>
        </row>
        <row r="74">
          <cell r="B74" t="str">
            <v>FATOR 8</v>
          </cell>
          <cell r="C74" t="str">
            <v>Majoração do PIS</v>
          </cell>
          <cell r="G74">
            <v>-76.355201902803415</v>
          </cell>
          <cell r="H74">
            <v>-305.58620332213559</v>
          </cell>
          <cell r="I74">
            <v>0.17731865679947265</v>
          </cell>
        </row>
        <row r="75">
          <cell r="B75" t="str">
            <v>FATOR 9</v>
          </cell>
          <cell r="C75" t="str">
            <v>Alteração do ISSQN</v>
          </cell>
          <cell r="G75">
            <v>2910.1898973679658</v>
          </cell>
          <cell r="H75">
            <v>11647.063455023888</v>
          </cell>
          <cell r="I75">
            <v>0.18175162333857517</v>
          </cell>
        </row>
        <row r="76">
          <cell r="B76" t="str">
            <v>FATOR 10</v>
          </cell>
          <cell r="C76" t="str">
            <v>4ª Adequação de Investimentos</v>
          </cell>
          <cell r="G76">
            <v>504.74300341849727</v>
          </cell>
          <cell r="H76">
            <v>2020.06535539535</v>
          </cell>
          <cell r="I76">
            <v>0.17816814986071636</v>
          </cell>
        </row>
        <row r="77">
          <cell r="B77" t="str">
            <v>FATOR 11</v>
          </cell>
          <cell r="C77" t="str">
            <v>5ª Adequação de Investimentos</v>
          </cell>
          <cell r="G77">
            <v>-615.50007412060336</v>
          </cell>
          <cell r="H77">
            <v>-2463.3335530228292</v>
          </cell>
          <cell r="I77">
            <v>0.17653263155895724</v>
          </cell>
        </row>
        <row r="78">
          <cell r="B78" t="str">
            <v>FATOR 12</v>
          </cell>
          <cell r="C78" t="str">
            <v>6ª Adequação - Investimentos</v>
          </cell>
          <cell r="G78">
            <v>-41.294014877559249</v>
          </cell>
          <cell r="H78">
            <v>-165.26550794043285</v>
          </cell>
          <cell r="I78">
            <v>0.17736956010188518</v>
          </cell>
        </row>
        <row r="79">
          <cell r="B79" t="str">
            <v>FATOR 13</v>
          </cell>
          <cell r="C79" t="str">
            <v>Compensação da CSLL e IR - Referente ao Resultado Negativo do Ano 1</v>
          </cell>
          <cell r="G79">
            <v>-168.42515927098086</v>
          </cell>
          <cell r="H79">
            <v>-674.06546879493408</v>
          </cell>
          <cell r="I79">
            <v>0.17718516474440044</v>
          </cell>
        </row>
        <row r="80">
          <cell r="B80" t="str">
            <v>FATOR 14</v>
          </cell>
          <cell r="C80">
            <v>0</v>
          </cell>
          <cell r="G80">
            <v>4.1688632533956627E-9</v>
          </cell>
          <cell r="H80">
            <v>1.6684483336132377E-8</v>
          </cell>
          <cell r="I80">
            <v>0.17742957902740991</v>
          </cell>
        </row>
        <row r="81">
          <cell r="B81" t="str">
            <v>FATOR 15</v>
          </cell>
          <cell r="C81">
            <v>0</v>
          </cell>
          <cell r="G81">
            <v>4.1688632533956627E-9</v>
          </cell>
          <cell r="H81">
            <v>1.6684483336132377E-8</v>
          </cell>
          <cell r="I81">
            <v>0.17742957902740991</v>
          </cell>
        </row>
        <row r="82">
          <cell r="B82" t="str">
            <v>TOTAL GERAL</v>
          </cell>
          <cell r="G82">
            <v>6336.2322889587558</v>
          </cell>
          <cell r="H82">
            <v>25358.654293322477</v>
          </cell>
          <cell r="I82">
            <v>0.18982213783124235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20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0.16659921324178484</v>
          </cell>
        </row>
        <row r="98">
          <cell r="B98" t="str">
            <v>TIR Resultante dos Desequilibrio no Contrato Original (ao ano)</v>
          </cell>
          <cell r="J98">
            <v>0.18982213783124235</v>
          </cell>
        </row>
        <row r="100">
          <cell r="B100" t="str">
            <v>Diferença entre a TIR Original x TIR Desequilibrios</v>
          </cell>
          <cell r="J100">
            <v>2.3222924589457516E-2</v>
          </cell>
        </row>
        <row r="102">
          <cell r="B102" t="str">
            <v>TIR Resultante das Alternativas Utilizadas para o Reequilibrio (ao ano)</v>
          </cell>
          <cell r="J102">
            <v>0.17620790554204696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4.1688632533956627E-9</v>
          </cell>
          <cell r="G136">
            <v>0.17742957902740991</v>
          </cell>
          <cell r="H136">
            <v>-53113.702610000008</v>
          </cell>
          <cell r="I136">
            <v>-38972.265699999989</v>
          </cell>
          <cell r="J136">
            <v>-9685.0957900000067</v>
          </cell>
          <cell r="K136">
            <v>-5331.7469350000028</v>
          </cell>
          <cell r="L136">
            <v>6939.1072899999999</v>
          </cell>
          <cell r="M136">
            <v>23846.519660000005</v>
          </cell>
          <cell r="N136">
            <v>28130.936645000002</v>
          </cell>
          <cell r="O136">
            <v>29179.350245000001</v>
          </cell>
          <cell r="P136">
            <v>32451.524010000001</v>
          </cell>
          <cell r="Q136">
            <v>7921.2669900000037</v>
          </cell>
          <cell r="R136">
            <v>34662.341165000005</v>
          </cell>
          <cell r="S136">
            <v>37055.540544999996</v>
          </cell>
          <cell r="T136">
            <v>37716.619440000009</v>
          </cell>
          <cell r="U136">
            <v>49728.537524999992</v>
          </cell>
          <cell r="V136">
            <v>50820.402954999998</v>
          </cell>
          <cell r="W136">
            <v>63172.189444999996</v>
          </cell>
          <cell r="X136">
            <v>70726.082170000009</v>
          </cell>
          <cell r="Y136">
            <v>45170.430209999991</v>
          </cell>
          <cell r="Z136">
            <v>88542.664919999996</v>
          </cell>
          <cell r="AA136">
            <v>97660.847844999997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33562.5</v>
          </cell>
          <cell r="I139">
            <v>1902.5299999999988</v>
          </cell>
          <cell r="J139">
            <v>-23560.2</v>
          </cell>
          <cell r="K139">
            <v>-3432.1239999999998</v>
          </cell>
          <cell r="L139">
            <v>-13711</v>
          </cell>
          <cell r="M139">
            <v>-218</v>
          </cell>
          <cell r="N139">
            <v>-945</v>
          </cell>
          <cell r="O139">
            <v>384</v>
          </cell>
          <cell r="P139">
            <v>-2109</v>
          </cell>
          <cell r="Q139">
            <v>11512</v>
          </cell>
          <cell r="R139">
            <v>-6571</v>
          </cell>
          <cell r="S139">
            <v>-4188</v>
          </cell>
          <cell r="T139">
            <v>-1086</v>
          </cell>
          <cell r="U139">
            <v>1443</v>
          </cell>
          <cell r="V139">
            <v>946</v>
          </cell>
          <cell r="W139">
            <v>-3897</v>
          </cell>
          <cell r="X139">
            <v>-6180</v>
          </cell>
          <cell r="Y139">
            <v>20862</v>
          </cell>
          <cell r="Z139">
            <v>-4880</v>
          </cell>
          <cell r="AA139">
            <v>-5256</v>
          </cell>
        </row>
        <row r="140">
          <cell r="B140" t="str">
            <v>Somatoria com Projeto Original</v>
          </cell>
          <cell r="F140">
            <v>7514.6823631986481</v>
          </cell>
          <cell r="G140">
            <v>0.19014348497107461</v>
          </cell>
          <cell r="H140">
            <v>-19551.202610000008</v>
          </cell>
          <cell r="I140">
            <v>-37069.73569999999</v>
          </cell>
          <cell r="J140">
            <v>-33245.295790000004</v>
          </cell>
          <cell r="K140">
            <v>-8763.8709350000026</v>
          </cell>
          <cell r="L140">
            <v>-6771.8927100000001</v>
          </cell>
          <cell r="M140">
            <v>23628.519660000005</v>
          </cell>
          <cell r="N140">
            <v>27185.936645000002</v>
          </cell>
          <cell r="O140">
            <v>29563.350245000001</v>
          </cell>
          <cell r="P140">
            <v>30342.524010000001</v>
          </cell>
          <cell r="Q140">
            <v>19433.266990000004</v>
          </cell>
          <cell r="R140">
            <v>28091.341165000005</v>
          </cell>
          <cell r="S140">
            <v>32867.540544999996</v>
          </cell>
          <cell r="T140">
            <v>36630.619440000009</v>
          </cell>
          <cell r="U140">
            <v>51171.537524999992</v>
          </cell>
          <cell r="V140">
            <v>51766.402954999998</v>
          </cell>
          <cell r="W140">
            <v>59275.189444999996</v>
          </cell>
          <cell r="X140">
            <v>64546.082170000009</v>
          </cell>
          <cell r="Y140">
            <v>66032.430209999991</v>
          </cell>
          <cell r="Z140">
            <v>83662.664919999996</v>
          </cell>
          <cell r="AA140">
            <v>92404.847844999997</v>
          </cell>
        </row>
        <row r="141">
          <cell r="B141" t="str">
            <v>2ª Adequação - Investimentos</v>
          </cell>
        </row>
        <row r="142">
          <cell r="B142" t="str">
            <v>Fluxo de Caixa do Fator</v>
          </cell>
          <cell r="H142">
            <v>-779</v>
          </cell>
          <cell r="I142">
            <v>21841.260000000002</v>
          </cell>
          <cell r="J142">
            <v>12229.47</v>
          </cell>
          <cell r="K142">
            <v>-11194.406000000003</v>
          </cell>
          <cell r="L142">
            <v>-23361.129999999997</v>
          </cell>
          <cell r="M142">
            <v>-10653</v>
          </cell>
          <cell r="N142">
            <v>-12811</v>
          </cell>
          <cell r="O142">
            <v>-4732</v>
          </cell>
          <cell r="P142">
            <v>2109</v>
          </cell>
          <cell r="Q142">
            <v>12773</v>
          </cell>
          <cell r="R142">
            <v>-660</v>
          </cell>
          <cell r="S142">
            <v>-16108</v>
          </cell>
          <cell r="T142">
            <v>5410</v>
          </cell>
          <cell r="U142">
            <v>1093</v>
          </cell>
          <cell r="V142">
            <v>-883</v>
          </cell>
          <cell r="W142">
            <v>3472</v>
          </cell>
          <cell r="X142">
            <v>4577</v>
          </cell>
          <cell r="Y142">
            <v>-859</v>
          </cell>
          <cell r="Z142">
            <v>-440</v>
          </cell>
          <cell r="AA142">
            <v>5256</v>
          </cell>
        </row>
        <row r="143">
          <cell r="B143" t="str">
            <v>Somatoria com Projeto Original</v>
          </cell>
          <cell r="F143">
            <v>-968.07551951358198</v>
          </cell>
          <cell r="G143">
            <v>0.17592080412206704</v>
          </cell>
          <cell r="H143">
            <v>-53892.702610000008</v>
          </cell>
          <cell r="I143">
            <v>-17131.005699999987</v>
          </cell>
          <cell r="J143">
            <v>2544.3742099999927</v>
          </cell>
          <cell r="K143">
            <v>-16526.152935000006</v>
          </cell>
          <cell r="L143">
            <v>-16422.022709999997</v>
          </cell>
          <cell r="M143">
            <v>13193.519660000005</v>
          </cell>
          <cell r="N143">
            <v>15319.936645000002</v>
          </cell>
          <cell r="O143">
            <v>24447.350245000001</v>
          </cell>
          <cell r="P143">
            <v>34560.524010000001</v>
          </cell>
          <cell r="Q143">
            <v>20694.266990000004</v>
          </cell>
          <cell r="R143">
            <v>34002.341165000005</v>
          </cell>
          <cell r="S143">
            <v>20947.540544999996</v>
          </cell>
          <cell r="T143">
            <v>43126.619440000009</v>
          </cell>
          <cell r="U143">
            <v>50821.537524999992</v>
          </cell>
          <cell r="V143">
            <v>49937.402954999998</v>
          </cell>
          <cell r="W143">
            <v>66644.189444999996</v>
          </cell>
          <cell r="X143">
            <v>75303.082170000009</v>
          </cell>
          <cell r="Y143">
            <v>44311.430209999991</v>
          </cell>
          <cell r="Z143">
            <v>88102.664919999996</v>
          </cell>
          <cell r="AA143">
            <v>102916.847845</v>
          </cell>
        </row>
        <row r="144">
          <cell r="B144" t="str">
            <v>3ª Adequação - Investimentos</v>
          </cell>
        </row>
        <row r="145">
          <cell r="B145" t="str">
            <v>Fluxo de Caixa do Fator</v>
          </cell>
          <cell r="H145">
            <v>-534.02199999999993</v>
          </cell>
          <cell r="I145">
            <v>-942.57294736842141</v>
          </cell>
          <cell r="J145">
            <v>3635.0597192982459</v>
          </cell>
          <cell r="K145">
            <v>17082.089901651187</v>
          </cell>
          <cell r="L145">
            <v>35762.644776651192</v>
          </cell>
          <cell r="M145">
            <v>-14761.459223348815</v>
          </cell>
          <cell r="N145">
            <v>-15943.200016205958</v>
          </cell>
          <cell r="O145">
            <v>-13832.850177744416</v>
          </cell>
          <cell r="P145">
            <v>-9527.8039277444168</v>
          </cell>
          <cell r="Q145">
            <v>-5605.8199277444173</v>
          </cell>
          <cell r="R145">
            <v>1228.3630722555822</v>
          </cell>
          <cell r="S145">
            <v>17330.216405588915</v>
          </cell>
          <cell r="T145">
            <v>4154.7664055889163</v>
          </cell>
          <cell r="U145">
            <v>-1165.8787372682266</v>
          </cell>
          <cell r="V145">
            <v>-4871.9107372682265</v>
          </cell>
          <cell r="W145">
            <v>1633.6652627317728</v>
          </cell>
          <cell r="X145">
            <v>-4051.9282372682273</v>
          </cell>
          <cell r="Y145">
            <v>3780.0357627317726</v>
          </cell>
          <cell r="Z145">
            <v>-2336.1872372682274</v>
          </cell>
          <cell r="AA145">
            <v>-4144.8072372682273</v>
          </cell>
        </row>
        <row r="146">
          <cell r="B146" t="str">
            <v>Somatoria com Projeto Original</v>
          </cell>
          <cell r="F146">
            <v>10540.102209628472</v>
          </cell>
          <cell r="G146">
            <v>0.19415551669029996</v>
          </cell>
          <cell r="H146">
            <v>-53647.724610000005</v>
          </cell>
          <cell r="I146">
            <v>-39914.838647368408</v>
          </cell>
          <cell r="J146">
            <v>-6050.0360707017608</v>
          </cell>
          <cell r="K146">
            <v>11750.342966651184</v>
          </cell>
          <cell r="L146">
            <v>42701.752066651192</v>
          </cell>
          <cell r="M146">
            <v>9085.0604366511907</v>
          </cell>
          <cell r="N146">
            <v>12187.736628794044</v>
          </cell>
          <cell r="O146">
            <v>15346.500067255585</v>
          </cell>
          <cell r="P146">
            <v>22923.720082255582</v>
          </cell>
          <cell r="Q146">
            <v>2315.4470622555864</v>
          </cell>
          <cell r="R146">
            <v>35890.704237255588</v>
          </cell>
          <cell r="S146">
            <v>54385.756950588911</v>
          </cell>
          <cell r="T146">
            <v>41871.385845588928</v>
          </cell>
          <cell r="U146">
            <v>48562.658787731765</v>
          </cell>
          <cell r="V146">
            <v>45948.492217731771</v>
          </cell>
          <cell r="W146">
            <v>64805.854707731771</v>
          </cell>
          <cell r="X146">
            <v>66674.153932731788</v>
          </cell>
          <cell r="Y146">
            <v>48950.465972731763</v>
          </cell>
          <cell r="Z146">
            <v>86206.477682731769</v>
          </cell>
          <cell r="AA146">
            <v>93516.040607731775</v>
          </cell>
        </row>
        <row r="147">
          <cell r="B147" t="str">
            <v>Perda de Receita - Rod. SP 322 (Sertãozinho e Pitangueiras)</v>
          </cell>
        </row>
        <row r="148">
          <cell r="B148" t="str">
            <v>Fluxo de Caixa do Fator</v>
          </cell>
          <cell r="H148">
            <v>-2872.6691704830919</v>
          </cell>
          <cell r="I148">
            <v>-2792.8034431599999</v>
          </cell>
          <cell r="J148">
            <v>-1454.9602635714521</v>
          </cell>
          <cell r="K148">
            <v>0</v>
          </cell>
          <cell r="L148">
            <v>-1317.5939985225002</v>
          </cell>
          <cell r="M148">
            <v>-1390.7927172525001</v>
          </cell>
          <cell r="N148">
            <v>-1464.1898868000001</v>
          </cell>
          <cell r="O148">
            <v>-1541.4791468150001</v>
          </cell>
          <cell r="P148">
            <v>-1622.8706216925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B149" t="str">
            <v>Somatoria com Projeto Original</v>
          </cell>
          <cell r="F149">
            <v>-7707.0295386821581</v>
          </cell>
          <cell r="G149">
            <v>0.16671352352911342</v>
          </cell>
          <cell r="H149">
            <v>-55986.371780483096</v>
          </cell>
          <cell r="I149">
            <v>-41765.069143159992</v>
          </cell>
          <cell r="J149">
            <v>-11140.056053571459</v>
          </cell>
          <cell r="K149">
            <v>-5331.7469350000028</v>
          </cell>
          <cell r="L149">
            <v>5621.5132914774995</v>
          </cell>
          <cell r="M149">
            <v>22455.726942747504</v>
          </cell>
          <cell r="N149">
            <v>26666.746758200003</v>
          </cell>
          <cell r="O149">
            <v>27637.871098185002</v>
          </cell>
          <cell r="P149">
            <v>30828.653388307503</v>
          </cell>
          <cell r="Q149">
            <v>7921.2669900000037</v>
          </cell>
          <cell r="R149">
            <v>34662.341165000005</v>
          </cell>
          <cell r="S149">
            <v>37055.540544999996</v>
          </cell>
          <cell r="T149">
            <v>37716.619440000009</v>
          </cell>
          <cell r="U149">
            <v>49728.537524999992</v>
          </cell>
          <cell r="V149">
            <v>50820.402954999998</v>
          </cell>
          <cell r="W149">
            <v>63172.189444999996</v>
          </cell>
          <cell r="X149">
            <v>70726.082170000009</v>
          </cell>
          <cell r="Y149">
            <v>45170.430209999991</v>
          </cell>
          <cell r="Z149">
            <v>88542.664919999996</v>
          </cell>
          <cell r="AA149">
            <v>97660.847844999997</v>
          </cell>
        </row>
        <row r="150">
          <cell r="B150" t="str">
            <v>Perda de Receita - Rod. SP 330 (Salles de Oliveria e Ituverava)</v>
          </cell>
        </row>
        <row r="151">
          <cell r="B151" t="str">
            <v>Fluxo de Caixa do Fator</v>
          </cell>
          <cell r="H151">
            <v>-3089.9290656712496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B152" t="str">
            <v>Somatoria com Projeto Original</v>
          </cell>
          <cell r="F152">
            <v>-2624.3005277807911</v>
          </cell>
          <cell r="G152">
            <v>0.17370082893621805</v>
          </cell>
          <cell r="H152">
            <v>-56203.631675671255</v>
          </cell>
          <cell r="I152">
            <v>-38972.265699999989</v>
          </cell>
          <cell r="J152">
            <v>-9685.0957900000067</v>
          </cell>
          <cell r="K152">
            <v>-5331.7469350000028</v>
          </cell>
          <cell r="L152">
            <v>6939.1072899999999</v>
          </cell>
          <cell r="M152">
            <v>23846.519660000005</v>
          </cell>
          <cell r="N152">
            <v>28130.936645000002</v>
          </cell>
          <cell r="O152">
            <v>29179.350245000001</v>
          </cell>
          <cell r="P152">
            <v>32451.524010000001</v>
          </cell>
          <cell r="Q152">
            <v>7921.2669900000037</v>
          </cell>
          <cell r="R152">
            <v>34662.341165000005</v>
          </cell>
          <cell r="S152">
            <v>37055.540544999996</v>
          </cell>
          <cell r="T152">
            <v>37716.619440000009</v>
          </cell>
          <cell r="U152">
            <v>49728.537524999992</v>
          </cell>
          <cell r="V152">
            <v>50820.402954999998</v>
          </cell>
          <cell r="W152">
            <v>63172.189444999996</v>
          </cell>
          <cell r="X152">
            <v>70726.082170000009</v>
          </cell>
          <cell r="Y152">
            <v>45170.430209999991</v>
          </cell>
          <cell r="Z152">
            <v>88542.664919999996</v>
          </cell>
          <cell r="AA152">
            <v>97660.847844999997</v>
          </cell>
        </row>
        <row r="153">
          <cell r="B153" t="str">
            <v>Perda de Receita - Parcelamento do Reajuste Tarifário de Julho de 2003.</v>
          </cell>
        </row>
        <row r="154">
          <cell r="B154" t="str">
            <v>Fluxo de Caixa do Fator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-1065.0940980534756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B155" t="str">
            <v>Somatoria com Projeto Original</v>
          </cell>
          <cell r="F155">
            <v>-399.74066185194283</v>
          </cell>
          <cell r="G155">
            <v>0.17684933954202317</v>
          </cell>
          <cell r="H155">
            <v>-53113.702610000008</v>
          </cell>
          <cell r="I155">
            <v>-38972.265699999989</v>
          </cell>
          <cell r="J155">
            <v>-9685.0957900000067</v>
          </cell>
          <cell r="K155">
            <v>-5331.7469350000028</v>
          </cell>
          <cell r="L155">
            <v>6939.1072899999999</v>
          </cell>
          <cell r="M155">
            <v>22781.425561946529</v>
          </cell>
          <cell r="N155">
            <v>28130.936645000002</v>
          </cell>
          <cell r="O155">
            <v>29179.350245000001</v>
          </cell>
          <cell r="P155">
            <v>32451.524010000001</v>
          </cell>
          <cell r="Q155">
            <v>7921.2669900000037</v>
          </cell>
          <cell r="R155">
            <v>34662.341165000005</v>
          </cell>
          <cell r="S155">
            <v>37055.540544999996</v>
          </cell>
          <cell r="T155">
            <v>37716.619440000009</v>
          </cell>
          <cell r="U155">
            <v>49728.537524999992</v>
          </cell>
          <cell r="V155">
            <v>50820.402954999998</v>
          </cell>
          <cell r="W155">
            <v>63172.189444999996</v>
          </cell>
          <cell r="X155">
            <v>70726.082170000009</v>
          </cell>
          <cell r="Y155">
            <v>45170.430209999991</v>
          </cell>
          <cell r="Z155">
            <v>88542.664919999996</v>
          </cell>
          <cell r="AA155">
            <v>97660.847844999997</v>
          </cell>
        </row>
        <row r="156">
          <cell r="B156" t="str">
            <v>Majoração do COFINS</v>
          </cell>
        </row>
        <row r="157">
          <cell r="B157" t="str">
            <v>Fluxo de Caixa do Fator</v>
          </cell>
          <cell r="H157">
            <v>-15.310528962736107</v>
          </cell>
          <cell r="I157">
            <v>-374.60230639999997</v>
          </cell>
          <cell r="J157">
            <v>-407.95346940602747</v>
          </cell>
          <cell r="K157">
            <v>-443.53999999999996</v>
          </cell>
          <cell r="L157">
            <v>-464.45096464999989</v>
          </cell>
          <cell r="M157">
            <v>-580.32642566684376</v>
          </cell>
          <cell r="N157">
            <v>-970.68879088184735</v>
          </cell>
          <cell r="O157">
            <v>-532.67715509999982</v>
          </cell>
          <cell r="P157">
            <v>-557.63492644999997</v>
          </cell>
          <cell r="Q157">
            <v>-602.07539999999995</v>
          </cell>
          <cell r="R157">
            <v>-629.64589999999998</v>
          </cell>
          <cell r="S157">
            <v>-658.0874</v>
          </cell>
          <cell r="T157">
            <v>-687.90910000000008</v>
          </cell>
          <cell r="U157">
            <v>-719.19810000000007</v>
          </cell>
          <cell r="V157">
            <v>-750.92930000000001</v>
          </cell>
          <cell r="W157">
            <v>-784.16800000000012</v>
          </cell>
          <cell r="X157">
            <v>-818.39160000000004</v>
          </cell>
          <cell r="Y157">
            <v>-854.22990000000004</v>
          </cell>
          <cell r="Z157">
            <v>-891.7432</v>
          </cell>
          <cell r="AA157">
            <v>-931.03199999999993</v>
          </cell>
        </row>
        <row r="158">
          <cell r="B158" t="str">
            <v>Somatoria com Projeto Original</v>
          </cell>
          <cell r="F158">
            <v>-2532.7644866627447</v>
          </cell>
          <cell r="G158">
            <v>0.17375266882072771</v>
          </cell>
          <cell r="H158">
            <v>-53129.013138962742</v>
          </cell>
          <cell r="I158">
            <v>-39346.868006399985</v>
          </cell>
          <cell r="J158">
            <v>-10093.049259406034</v>
          </cell>
          <cell r="K158">
            <v>-5775.2869350000028</v>
          </cell>
          <cell r="L158">
            <v>6474.6563253499999</v>
          </cell>
          <cell r="M158">
            <v>23266.193234333161</v>
          </cell>
          <cell r="N158">
            <v>27160.247854118155</v>
          </cell>
          <cell r="O158">
            <v>28646.673089900003</v>
          </cell>
          <cell r="P158">
            <v>31893.889083550002</v>
          </cell>
          <cell r="Q158">
            <v>7319.191590000004</v>
          </cell>
          <cell r="R158">
            <v>34032.695265000002</v>
          </cell>
          <cell r="S158">
            <v>36397.453144999999</v>
          </cell>
          <cell r="T158">
            <v>37028.710340000012</v>
          </cell>
          <cell r="U158">
            <v>49009.339424999991</v>
          </cell>
          <cell r="V158">
            <v>50069.473654999994</v>
          </cell>
          <cell r="W158">
            <v>62388.021444999998</v>
          </cell>
          <cell r="X158">
            <v>69907.690570000006</v>
          </cell>
          <cell r="Y158">
            <v>44316.200309999993</v>
          </cell>
          <cell r="Z158">
            <v>87650.921719999998</v>
          </cell>
          <cell r="AA158">
            <v>96729.81584499999</v>
          </cell>
        </row>
        <row r="159">
          <cell r="B159" t="str">
            <v>Majoração do PIS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-33.06881802103711</v>
          </cell>
          <cell r="M160">
            <v>-125.58409235085909</v>
          </cell>
          <cell r="N160">
            <v>-45.831791867488789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B161" t="str">
            <v>Somatoria com Projeto Original</v>
          </cell>
          <cell r="F161">
            <v>-76.355201902803415</v>
          </cell>
          <cell r="G161">
            <v>0.17731865679947265</v>
          </cell>
          <cell r="H161">
            <v>-53113.702610000008</v>
          </cell>
          <cell r="I161">
            <v>-38972.265699999989</v>
          </cell>
          <cell r="J161">
            <v>-9685.0957900000067</v>
          </cell>
          <cell r="K161">
            <v>-5331.7469350000028</v>
          </cell>
          <cell r="L161">
            <v>6906.0384719789627</v>
          </cell>
          <cell r="M161">
            <v>23720.935567649147</v>
          </cell>
          <cell r="N161">
            <v>28085.104853132514</v>
          </cell>
          <cell r="O161">
            <v>29179.350245000001</v>
          </cell>
          <cell r="P161">
            <v>32451.524010000001</v>
          </cell>
          <cell r="Q161">
            <v>7921.2669900000037</v>
          </cell>
          <cell r="R161">
            <v>34662.341165000005</v>
          </cell>
          <cell r="S161">
            <v>37055.540544999996</v>
          </cell>
          <cell r="T161">
            <v>37716.619440000009</v>
          </cell>
          <cell r="U161">
            <v>49728.537524999992</v>
          </cell>
          <cell r="V161">
            <v>50820.402954999998</v>
          </cell>
          <cell r="W161">
            <v>63172.189444999996</v>
          </cell>
          <cell r="X161">
            <v>70726.082170000009</v>
          </cell>
          <cell r="Y161">
            <v>45170.430209999991</v>
          </cell>
          <cell r="Z161">
            <v>88542.664919999996</v>
          </cell>
          <cell r="AA161">
            <v>97660.847844999997</v>
          </cell>
        </row>
        <row r="162">
          <cell r="B162" t="str">
            <v>Alteração do ISSQN</v>
          </cell>
        </row>
        <row r="163">
          <cell r="B163" t="str">
            <v>Fluxo de Caixa do Fator</v>
          </cell>
          <cell r="H163">
            <v>918.6317377641667</v>
          </cell>
          <cell r="I163">
            <v>1808.3948866949333</v>
          </cell>
          <cell r="J163">
            <v>1347.562029271244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B164" t="str">
            <v>Somatoria com Projeto Original</v>
          </cell>
          <cell r="F164">
            <v>2910.1898973679658</v>
          </cell>
          <cell r="G164">
            <v>0.18175162333857517</v>
          </cell>
          <cell r="H164">
            <v>-52195.070872235839</v>
          </cell>
          <cell r="I164">
            <v>-37163.870813305053</v>
          </cell>
          <cell r="J164">
            <v>-8337.533760728762</v>
          </cell>
          <cell r="K164">
            <v>-5331.7469350000028</v>
          </cell>
          <cell r="L164">
            <v>6939.1072899999999</v>
          </cell>
          <cell r="M164">
            <v>23846.519660000005</v>
          </cell>
          <cell r="N164">
            <v>28130.936645000002</v>
          </cell>
          <cell r="O164">
            <v>29179.350245000001</v>
          </cell>
          <cell r="P164">
            <v>32451.524010000001</v>
          </cell>
          <cell r="Q164">
            <v>7921.2669900000037</v>
          </cell>
          <cell r="R164">
            <v>34662.341165000005</v>
          </cell>
          <cell r="S164">
            <v>37055.540544999996</v>
          </cell>
          <cell r="T164">
            <v>37716.619440000009</v>
          </cell>
          <cell r="U164">
            <v>49728.537524999992</v>
          </cell>
          <cell r="V164">
            <v>50820.402954999998</v>
          </cell>
          <cell r="W164">
            <v>63172.189444999996</v>
          </cell>
          <cell r="X164">
            <v>70726.082170000009</v>
          </cell>
          <cell r="Y164">
            <v>45170.430209999991</v>
          </cell>
          <cell r="Z164">
            <v>88542.664919999996</v>
          </cell>
          <cell r="AA164">
            <v>97660.847844999997</v>
          </cell>
        </row>
        <row r="165">
          <cell r="B165" t="str">
            <v>4ª Adequação de Investimentos</v>
          </cell>
        </row>
        <row r="166">
          <cell r="B166" t="str">
            <v>Fluxo de Caixa do Fator</v>
          </cell>
          <cell r="H166">
            <v>0</v>
          </cell>
          <cell r="I166">
            <v>-7.6421052631667407E-3</v>
          </cell>
          <cell r="J166">
            <v>-8.7421052633908404E-3</v>
          </cell>
          <cell r="K166">
            <v>279.33569907120733</v>
          </cell>
          <cell r="L166">
            <v>-5.5320321787929423</v>
          </cell>
          <cell r="M166">
            <v>2872.3120678212072</v>
          </cell>
          <cell r="N166">
            <v>3816.0038106783504</v>
          </cell>
          <cell r="O166">
            <v>-1638.0398816293427</v>
          </cell>
          <cell r="P166">
            <v>-6990.8988566293428</v>
          </cell>
          <cell r="Q166">
            <v>-2033.8975566293418</v>
          </cell>
          <cell r="R166">
            <v>1927.3488633706581</v>
          </cell>
          <cell r="S166">
            <v>3897.8155300373232</v>
          </cell>
          <cell r="T166">
            <v>-395.84910746267633</v>
          </cell>
          <cell r="U166">
            <v>-1639.4801217483907</v>
          </cell>
          <cell r="V166">
            <v>219.73487825160936</v>
          </cell>
          <cell r="W166">
            <v>-417.00772174838983</v>
          </cell>
          <cell r="X166">
            <v>-1690.226421748391</v>
          </cell>
          <cell r="Y166">
            <v>-366.90442174838921</v>
          </cell>
          <cell r="Z166">
            <v>-807.29452174838957</v>
          </cell>
          <cell r="AA166">
            <v>870.24547825160926</v>
          </cell>
        </row>
        <row r="167">
          <cell r="B167" t="str">
            <v>Somatoria com Projeto Original</v>
          </cell>
          <cell r="F167">
            <v>504.74300341849727</v>
          </cell>
          <cell r="G167">
            <v>0.17816814986071636</v>
          </cell>
          <cell r="H167">
            <v>-53113.702610000008</v>
          </cell>
          <cell r="I167">
            <v>-38972.273342105254</v>
          </cell>
          <cell r="J167">
            <v>-9685.1045321052698</v>
          </cell>
          <cell r="K167">
            <v>-5052.4112359287956</v>
          </cell>
          <cell r="L167">
            <v>6933.5752578212068</v>
          </cell>
          <cell r="M167">
            <v>26718.831727821213</v>
          </cell>
          <cell r="N167">
            <v>31946.940455678352</v>
          </cell>
          <cell r="O167">
            <v>27541.31036337066</v>
          </cell>
          <cell r="P167">
            <v>25460.62515337066</v>
          </cell>
          <cell r="Q167">
            <v>5887.3694333706617</v>
          </cell>
          <cell r="R167">
            <v>36589.690028370664</v>
          </cell>
          <cell r="S167">
            <v>40953.356075037322</v>
          </cell>
          <cell r="T167">
            <v>37320.77033253733</v>
          </cell>
          <cell r="U167">
            <v>48089.057403251601</v>
          </cell>
          <cell r="V167">
            <v>51040.137833251611</v>
          </cell>
          <cell r="W167">
            <v>62755.181723251604</v>
          </cell>
          <cell r="X167">
            <v>69035.855748251619</v>
          </cell>
          <cell r="Y167">
            <v>44803.525788251602</v>
          </cell>
          <cell r="Z167">
            <v>87735.370398251602</v>
          </cell>
          <cell r="AA167">
            <v>98531.093323251611</v>
          </cell>
        </row>
        <row r="168">
          <cell r="B168" t="str">
            <v>5ª Adequação de Investimentos</v>
          </cell>
        </row>
        <row r="169">
          <cell r="B169" t="str">
            <v>Fluxo de Caixa do Fator</v>
          </cell>
          <cell r="H169">
            <v>0</v>
          </cell>
          <cell r="I169">
            <v>151.75762105263178</v>
          </cell>
          <cell r="J169">
            <v>-2.6823789473682247</v>
          </cell>
          <cell r="K169">
            <v>225.46127987616094</v>
          </cell>
          <cell r="L169">
            <v>-7.1987201238387568</v>
          </cell>
          <cell r="M169">
            <v>-7.1987201238387568</v>
          </cell>
          <cell r="N169">
            <v>38.302851304730993</v>
          </cell>
          <cell r="O169">
            <v>1958.4572051508867</v>
          </cell>
          <cell r="P169">
            <v>-3097.4766448491137</v>
          </cell>
          <cell r="Q169">
            <v>-4320.1963448491142</v>
          </cell>
          <cell r="R169">
            <v>160.8136551508868</v>
          </cell>
          <cell r="S169">
            <v>160.8136551508868</v>
          </cell>
          <cell r="T169">
            <v>160.8136551508868</v>
          </cell>
          <cell r="U169">
            <v>160.8136551508868</v>
          </cell>
          <cell r="V169">
            <v>674.89365515088764</v>
          </cell>
          <cell r="W169">
            <v>130.89365515088761</v>
          </cell>
          <cell r="X169">
            <v>130.8936551508888</v>
          </cell>
          <cell r="Y169">
            <v>130.89365515088642</v>
          </cell>
          <cell r="Z169">
            <v>130.89365515088761</v>
          </cell>
          <cell r="AA169">
            <v>130.89365515088642</v>
          </cell>
        </row>
        <row r="170">
          <cell r="B170" t="str">
            <v>Somatoria com Projeto Original</v>
          </cell>
          <cell r="F170">
            <v>-615.50007412060336</v>
          </cell>
          <cell r="G170">
            <v>0.17653263155895724</v>
          </cell>
          <cell r="H170">
            <v>-53113.702610000008</v>
          </cell>
          <cell r="I170">
            <v>-38820.508078947358</v>
          </cell>
          <cell r="J170">
            <v>-9687.7781689473741</v>
          </cell>
          <cell r="K170">
            <v>-5106.2856551238419</v>
          </cell>
          <cell r="L170">
            <v>6931.908569876161</v>
          </cell>
          <cell r="M170">
            <v>23839.320939876168</v>
          </cell>
          <cell r="N170">
            <v>28169.239496304734</v>
          </cell>
          <cell r="O170">
            <v>31137.807450150889</v>
          </cell>
          <cell r="P170">
            <v>29354.047365150887</v>
          </cell>
          <cell r="Q170">
            <v>3601.0706451508895</v>
          </cell>
          <cell r="R170">
            <v>34823.154820150892</v>
          </cell>
          <cell r="S170">
            <v>37216.354200150883</v>
          </cell>
          <cell r="T170">
            <v>37877.433095150896</v>
          </cell>
          <cell r="U170">
            <v>49889.351180150879</v>
          </cell>
          <cell r="V170">
            <v>51495.296610150886</v>
          </cell>
          <cell r="W170">
            <v>63303.083100150885</v>
          </cell>
          <cell r="X170">
            <v>70856.975825150905</v>
          </cell>
          <cell r="Y170">
            <v>45301.32386515088</v>
          </cell>
          <cell r="Z170">
            <v>88673.558575150877</v>
          </cell>
          <cell r="AA170">
            <v>97791.741500150878</v>
          </cell>
        </row>
        <row r="171">
          <cell r="B171" t="str">
            <v>6ª Adequação - Investimentos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3.6666666654127766E-4</v>
          </cell>
          <cell r="K172">
            <v>1.7254901970773062E-4</v>
          </cell>
          <cell r="L172">
            <v>1.7254901940759736E-4</v>
          </cell>
          <cell r="M172">
            <v>1.7254902000786389E-4</v>
          </cell>
          <cell r="N172">
            <v>1.7254901940759736E-4</v>
          </cell>
          <cell r="O172">
            <v>1.7254901940759736E-4</v>
          </cell>
          <cell r="P172">
            <v>-14.402552450981311</v>
          </cell>
          <cell r="Q172">
            <v>1008.4993475490199</v>
          </cell>
          <cell r="R172">
            <v>-1500.6106524509801</v>
          </cell>
          <cell r="S172">
            <v>19.389347549019913</v>
          </cell>
          <cell r="T172">
            <v>19.389347549018712</v>
          </cell>
          <cell r="U172">
            <v>19.389347549019913</v>
          </cell>
          <cell r="V172">
            <v>19.389347549018712</v>
          </cell>
          <cell r="W172">
            <v>19.389347549018712</v>
          </cell>
          <cell r="X172">
            <v>19.389347549018712</v>
          </cell>
          <cell r="Y172">
            <v>19.389347549018712</v>
          </cell>
          <cell r="Z172">
            <v>19.389347549018712</v>
          </cell>
          <cell r="AA172">
            <v>19.389347549018712</v>
          </cell>
        </row>
        <row r="173">
          <cell r="B173" t="str">
            <v>Somatoria com Projeto Original</v>
          </cell>
          <cell r="F173">
            <v>-41.294014877559249</v>
          </cell>
          <cell r="G173">
            <v>0.17736956010188518</v>
          </cell>
          <cell r="H173">
            <v>-53113.702610000008</v>
          </cell>
          <cell r="I173">
            <v>-38972.265699999989</v>
          </cell>
          <cell r="J173">
            <v>-9685.0954233333396</v>
          </cell>
          <cell r="K173">
            <v>-5331.7467624509827</v>
          </cell>
          <cell r="L173">
            <v>6939.1074625490191</v>
          </cell>
          <cell r="M173">
            <v>23846.519832549024</v>
          </cell>
          <cell r="N173">
            <v>28130.93681754902</v>
          </cell>
          <cell r="O173">
            <v>29179.35041754902</v>
          </cell>
          <cell r="P173">
            <v>32437.121457549019</v>
          </cell>
          <cell r="Q173">
            <v>8929.7663375490229</v>
          </cell>
          <cell r="R173">
            <v>33161.730512549024</v>
          </cell>
          <cell r="S173">
            <v>37074.929892549015</v>
          </cell>
          <cell r="T173">
            <v>37736.008787549028</v>
          </cell>
          <cell r="U173">
            <v>49747.926872549011</v>
          </cell>
          <cell r="V173">
            <v>50839.792302549016</v>
          </cell>
          <cell r="W173">
            <v>63191.578792549015</v>
          </cell>
          <cell r="X173">
            <v>70745.471517549027</v>
          </cell>
          <cell r="Y173">
            <v>45189.81955754901</v>
          </cell>
          <cell r="Z173">
            <v>88562.054267549014</v>
          </cell>
          <cell r="AA173">
            <v>97680.237192549015</v>
          </cell>
        </row>
        <row r="174">
          <cell r="B174" t="str">
            <v>Compensação da CSLL e IR - Referente ao Resultado Negativo do Ano 1</v>
          </cell>
        </row>
        <row r="175">
          <cell r="B175" t="str">
            <v>Fluxo de Caixa do Fator</v>
          </cell>
          <cell r="H175">
            <v>0</v>
          </cell>
          <cell r="I175">
            <v>-233.49460496486574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-168.42515927098086</v>
          </cell>
          <cell r="G176">
            <v>0.17718516474440044</v>
          </cell>
          <cell r="H176">
            <v>-53113.702610000008</v>
          </cell>
          <cell r="I176">
            <v>-39205.760304964853</v>
          </cell>
          <cell r="J176">
            <v>-9685.0957900000067</v>
          </cell>
          <cell r="K176">
            <v>-5331.7469350000028</v>
          </cell>
          <cell r="L176">
            <v>6939.1072899999999</v>
          </cell>
          <cell r="M176">
            <v>23846.519660000005</v>
          </cell>
          <cell r="N176">
            <v>28130.936645000002</v>
          </cell>
          <cell r="O176">
            <v>29179.350245000001</v>
          </cell>
          <cell r="P176">
            <v>32451.524010000001</v>
          </cell>
          <cell r="Q176">
            <v>7921.2669900000037</v>
          </cell>
          <cell r="R176">
            <v>34662.341165000005</v>
          </cell>
          <cell r="S176">
            <v>37055.540544999996</v>
          </cell>
          <cell r="T176">
            <v>37716.619440000009</v>
          </cell>
          <cell r="U176">
            <v>49728.537524999992</v>
          </cell>
          <cell r="V176">
            <v>50820.402954999998</v>
          </cell>
          <cell r="W176">
            <v>63172.189444999996</v>
          </cell>
          <cell r="X176">
            <v>70726.082170000009</v>
          </cell>
          <cell r="Y176">
            <v>45170.430209999991</v>
          </cell>
          <cell r="Z176">
            <v>88542.664919999996</v>
          </cell>
          <cell r="AA176">
            <v>97660.847844999997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4.1688632533956627E-9</v>
          </cell>
          <cell r="G179">
            <v>0.17742957902740991</v>
          </cell>
          <cell r="H179">
            <v>-53113.702610000008</v>
          </cell>
          <cell r="I179">
            <v>-38972.265699999989</v>
          </cell>
          <cell r="J179">
            <v>-9685.0957900000067</v>
          </cell>
          <cell r="K179">
            <v>-5331.7469350000028</v>
          </cell>
          <cell r="L179">
            <v>6939.1072899999999</v>
          </cell>
          <cell r="M179">
            <v>23846.519660000005</v>
          </cell>
          <cell r="N179">
            <v>28130.936645000002</v>
          </cell>
          <cell r="O179">
            <v>29179.350245000001</v>
          </cell>
          <cell r="P179">
            <v>32451.524010000001</v>
          </cell>
          <cell r="Q179">
            <v>7921.2669900000037</v>
          </cell>
          <cell r="R179">
            <v>34662.341165000005</v>
          </cell>
          <cell r="S179">
            <v>37055.540544999996</v>
          </cell>
          <cell r="T179">
            <v>37716.619440000009</v>
          </cell>
          <cell r="U179">
            <v>49728.537524999992</v>
          </cell>
          <cell r="V179">
            <v>50820.402954999998</v>
          </cell>
          <cell r="W179">
            <v>63172.189444999996</v>
          </cell>
          <cell r="X179">
            <v>70726.082170000009</v>
          </cell>
          <cell r="Y179">
            <v>45170.430209999991</v>
          </cell>
          <cell r="Z179">
            <v>88542.664919999996</v>
          </cell>
          <cell r="AA179">
            <v>97660.847844999997</v>
          </cell>
        </row>
        <row r="180">
          <cell r="B180">
            <v>0</v>
          </cell>
        </row>
        <row r="181">
          <cell r="B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>
            <v>0</v>
          </cell>
          <cell r="F182">
            <v>4.1688632533956627E-9</v>
          </cell>
          <cell r="G182">
            <v>0.17742957902740991</v>
          </cell>
          <cell r="H182">
            <v>-53113.702610000008</v>
          </cell>
          <cell r="I182">
            <v>-38972.265699999989</v>
          </cell>
          <cell r="J182">
            <v>-9685.0957900000067</v>
          </cell>
          <cell r="K182">
            <v>-5331.7469350000028</v>
          </cell>
          <cell r="L182">
            <v>6939.1072899999999</v>
          </cell>
          <cell r="M182">
            <v>23846.519660000005</v>
          </cell>
          <cell r="N182">
            <v>28130.936645000002</v>
          </cell>
          <cell r="O182">
            <v>29179.350245000001</v>
          </cell>
          <cell r="P182">
            <v>32451.524010000001</v>
          </cell>
          <cell r="Q182">
            <v>7921.2669900000037</v>
          </cell>
          <cell r="R182">
            <v>34662.341165000005</v>
          </cell>
          <cell r="S182">
            <v>37055.540544999996</v>
          </cell>
          <cell r="T182">
            <v>37716.619440000009</v>
          </cell>
          <cell r="U182">
            <v>49728.537524999992</v>
          </cell>
          <cell r="V182">
            <v>50820.402954999998</v>
          </cell>
          <cell r="W182">
            <v>63172.189444999996</v>
          </cell>
          <cell r="X182">
            <v>70726.082170000009</v>
          </cell>
          <cell r="Y182">
            <v>45170.430209999991</v>
          </cell>
          <cell r="Z182">
            <v>88542.664919999996</v>
          </cell>
          <cell r="AA182">
            <v>97660.847844999997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27190.20097264709</v>
          </cell>
          <cell r="I184">
            <v>21360.461563749017</v>
          </cell>
          <cell r="J184">
            <v>-8213.7127387939545</v>
          </cell>
          <cell r="K184">
            <v>2516.8170531475721</v>
          </cell>
          <cell r="L184">
            <v>-3137.329584295956</v>
          </cell>
          <cell r="M184">
            <v>-25929.143036426107</v>
          </cell>
          <cell r="N184">
            <v>-28325.603651223188</v>
          </cell>
          <cell r="O184">
            <v>-19934.588983588852</v>
          </cell>
          <cell r="P184">
            <v>-21811.087529816356</v>
          </cell>
          <cell r="Q184">
            <v>12731.510118326143</v>
          </cell>
          <cell r="R184">
            <v>-6044.7309616738512</v>
          </cell>
          <cell r="S184">
            <v>454.14753832614531</v>
          </cell>
          <cell r="T184">
            <v>7575.2112008261456</v>
          </cell>
          <cell r="U184">
            <v>-808.35395631671065</v>
          </cell>
          <cell r="V184">
            <v>-4645.8221563167108</v>
          </cell>
          <cell r="W184">
            <v>157.7725436832892</v>
          </cell>
          <cell r="X184">
            <v>-8013.2632563167108</v>
          </cell>
          <cell r="Y184">
            <v>22712.184443683287</v>
          </cell>
          <cell r="Z184">
            <v>-9204.9419563167121</v>
          </cell>
          <cell r="AA184">
            <v>-4055.3107563167127</v>
          </cell>
        </row>
        <row r="185">
          <cell r="B185" t="str">
            <v>Somatoria com Projeto Original</v>
          </cell>
          <cell r="F185">
            <v>6336.2322889004354</v>
          </cell>
          <cell r="G185">
            <v>0.18982213783124235</v>
          </cell>
          <cell r="H185">
            <v>-25923.501637352918</v>
          </cell>
          <cell r="I185">
            <v>-17611.804136250972</v>
          </cell>
          <cell r="J185">
            <v>-17898.808528793961</v>
          </cell>
          <cell r="K185">
            <v>-2814.9298818524308</v>
          </cell>
          <cell r="L185">
            <v>3801.7777057040439</v>
          </cell>
          <cell r="M185">
            <v>-2082.6233764261015</v>
          </cell>
          <cell r="N185">
            <v>-194.66700622318604</v>
          </cell>
          <cell r="O185">
            <v>9244.7612614111495</v>
          </cell>
          <cell r="P185">
            <v>10640.436480183645</v>
          </cell>
          <cell r="Q185">
            <v>20652.777108326147</v>
          </cell>
          <cell r="R185">
            <v>28617.610203326156</v>
          </cell>
          <cell r="S185">
            <v>37509.688083326138</v>
          </cell>
          <cell r="T185">
            <v>45291.830640826156</v>
          </cell>
          <cell r="U185">
            <v>48920.183568683278</v>
          </cell>
          <cell r="V185">
            <v>46174.580798683288</v>
          </cell>
          <cell r="W185">
            <v>63329.961988683288</v>
          </cell>
          <cell r="X185">
            <v>62712.818913683295</v>
          </cell>
          <cell r="Y185">
            <v>67882.614653683282</v>
          </cell>
          <cell r="Z185">
            <v>79337.722963683278</v>
          </cell>
          <cell r="AA185">
            <v>93605.537088683282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27421.842918333336</v>
          </cell>
          <cell r="H191">
            <v>55910.792000000001</v>
          </cell>
          <cell r="I191">
            <v>60888.577523287669</v>
          </cell>
          <cell r="J191">
            <v>66200</v>
          </cell>
          <cell r="K191">
            <v>69321.039499999999</v>
          </cell>
          <cell r="L191">
            <v>70408.848765550327</v>
          </cell>
          <cell r="M191">
            <v>75958.16</v>
          </cell>
          <cell r="N191">
            <v>79504.053</v>
          </cell>
          <cell r="O191">
            <v>83229.093500000003</v>
          </cell>
          <cell r="P191">
            <v>89862</v>
          </cell>
          <cell r="Q191">
            <v>93977</v>
          </cell>
          <cell r="R191">
            <v>98222</v>
          </cell>
          <cell r="S191">
            <v>102673</v>
          </cell>
          <cell r="T191">
            <v>107343</v>
          </cell>
          <cell r="U191">
            <v>112079</v>
          </cell>
          <cell r="V191">
            <v>117040</v>
          </cell>
          <cell r="W191">
            <v>122148</v>
          </cell>
          <cell r="X191">
            <v>127497</v>
          </cell>
          <cell r="Y191">
            <v>133096</v>
          </cell>
          <cell r="Z191">
            <v>138960</v>
          </cell>
          <cell r="AA191">
            <v>1831739.4072071714</v>
          </cell>
        </row>
        <row r="192">
          <cell r="B192" t="str">
            <v>1.1 - Operacionais    (1.1.1 + 1.1.2)</v>
          </cell>
          <cell r="G192">
            <v>27421.842918333336</v>
          </cell>
          <cell r="H192">
            <v>55910.792000000001</v>
          </cell>
          <cell r="I192">
            <v>60888.577523287669</v>
          </cell>
          <cell r="J192">
            <v>66200</v>
          </cell>
          <cell r="K192">
            <v>69321.039499999999</v>
          </cell>
          <cell r="L192">
            <v>70408.848765550327</v>
          </cell>
          <cell r="M192">
            <v>75958.16</v>
          </cell>
          <cell r="N192">
            <v>79504.053</v>
          </cell>
          <cell r="O192">
            <v>83229.093500000003</v>
          </cell>
          <cell r="P192">
            <v>89862</v>
          </cell>
          <cell r="Q192">
            <v>93977</v>
          </cell>
          <cell r="R192">
            <v>98222</v>
          </cell>
          <cell r="S192">
            <v>102673</v>
          </cell>
          <cell r="T192">
            <v>107343</v>
          </cell>
          <cell r="U192">
            <v>112079</v>
          </cell>
          <cell r="V192">
            <v>117040</v>
          </cell>
          <cell r="W192">
            <v>122148</v>
          </cell>
          <cell r="X192">
            <v>127497</v>
          </cell>
          <cell r="Y192">
            <v>133096</v>
          </cell>
          <cell r="Z192">
            <v>138960</v>
          </cell>
          <cell r="AA192">
            <v>1831739.4072071714</v>
          </cell>
        </row>
        <row r="193">
          <cell r="B193" t="str">
            <v>1.1.1 - Receitas de  Pedágios    (Transp. Qd.2.1.1.2)</v>
          </cell>
          <cell r="G193">
            <v>27421.842918333336</v>
          </cell>
          <cell r="H193">
            <v>55910.792000000001</v>
          </cell>
          <cell r="I193">
            <v>60888.577523287669</v>
          </cell>
          <cell r="J193">
            <v>66200</v>
          </cell>
          <cell r="K193">
            <v>69321.039499999999</v>
          </cell>
          <cell r="L193">
            <v>70408.848765550327</v>
          </cell>
          <cell r="M193">
            <v>75958.16</v>
          </cell>
          <cell r="N193">
            <v>79504.053</v>
          </cell>
          <cell r="O193">
            <v>83229.093500000003</v>
          </cell>
          <cell r="P193">
            <v>89862</v>
          </cell>
          <cell r="Q193">
            <v>93977</v>
          </cell>
          <cell r="R193">
            <v>98222</v>
          </cell>
          <cell r="S193">
            <v>102673</v>
          </cell>
          <cell r="T193">
            <v>107343</v>
          </cell>
          <cell r="U193">
            <v>112079</v>
          </cell>
          <cell r="V193">
            <v>117040</v>
          </cell>
          <cell r="W193">
            <v>122148</v>
          </cell>
          <cell r="X193">
            <v>127497</v>
          </cell>
          <cell r="Y193">
            <v>133096</v>
          </cell>
          <cell r="Z193">
            <v>138960</v>
          </cell>
          <cell r="AA193">
            <v>1831739.4072071714</v>
          </cell>
        </row>
        <row r="194">
          <cell r="B194" t="str">
            <v>1.1.2 - Outras Receitas Operacionais    (calculado 2.1.2.)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5">
          <cell r="B195" t="str">
            <v>2 -  DEDUÇÕES DA RECEITA    (2.1)</v>
          </cell>
          <cell r="G195">
            <v>749.53037310111108</v>
          </cell>
          <cell r="H195">
            <v>2137.1866621866666</v>
          </cell>
          <cell r="I195">
            <v>3255.575344911781</v>
          </cell>
          <cell r="J195">
            <v>5726.3</v>
          </cell>
          <cell r="K195">
            <v>6045.626361557519</v>
          </cell>
          <cell r="L195">
            <v>6439.8747186507253</v>
          </cell>
          <cell r="M195">
            <v>7327.9941396258746</v>
          </cell>
          <cell r="N195">
            <v>6877.1005845</v>
          </cell>
          <cell r="O195">
            <v>7199.3165877499996</v>
          </cell>
          <cell r="P195">
            <v>7773.063000000001</v>
          </cell>
          <cell r="Q195">
            <v>8129.0105000000003</v>
          </cell>
          <cell r="R195">
            <v>8496.2029999999995</v>
          </cell>
          <cell r="S195">
            <v>8881.2145</v>
          </cell>
          <cell r="T195">
            <v>9285.1695</v>
          </cell>
          <cell r="U195">
            <v>9694.8335000000006</v>
          </cell>
          <cell r="V195">
            <v>10123.960000000001</v>
          </cell>
          <cell r="W195">
            <v>10565.802</v>
          </cell>
          <cell r="X195">
            <v>11028.4905</v>
          </cell>
          <cell r="Y195">
            <v>11512.804</v>
          </cell>
          <cell r="Z195">
            <v>12020.039999999999</v>
          </cell>
          <cell r="AA195">
            <v>153269.09527228368</v>
          </cell>
        </row>
        <row r="196">
          <cell r="B196" t="str">
            <v>2.1 - Tributos sobre Faturamento    (2.1.1+ .... + 2.1.4)</v>
          </cell>
          <cell r="G196">
            <v>749.53037310111108</v>
          </cell>
          <cell r="H196">
            <v>2137.1866621866666</v>
          </cell>
          <cell r="I196">
            <v>3255.575344911781</v>
          </cell>
          <cell r="J196">
            <v>5726.3</v>
          </cell>
          <cell r="K196">
            <v>6045.626361557519</v>
          </cell>
          <cell r="L196">
            <v>6439.8747186507253</v>
          </cell>
          <cell r="M196">
            <v>7327.9941396258746</v>
          </cell>
          <cell r="N196">
            <v>6877.1005845</v>
          </cell>
          <cell r="O196">
            <v>7199.3165877499996</v>
          </cell>
          <cell r="P196">
            <v>7773.063000000001</v>
          </cell>
          <cell r="Q196">
            <v>8129.0105000000003</v>
          </cell>
          <cell r="R196">
            <v>8496.2029999999995</v>
          </cell>
          <cell r="S196">
            <v>8881.2145</v>
          </cell>
          <cell r="T196">
            <v>9285.1695</v>
          </cell>
          <cell r="U196">
            <v>9694.8335000000006</v>
          </cell>
          <cell r="V196">
            <v>10123.960000000001</v>
          </cell>
          <cell r="W196">
            <v>10565.802</v>
          </cell>
          <cell r="X196">
            <v>11028.4905</v>
          </cell>
          <cell r="Y196">
            <v>11512.804</v>
          </cell>
          <cell r="Z196">
            <v>12020.039999999999</v>
          </cell>
          <cell r="AA196">
            <v>153269.09527228368</v>
          </cell>
        </row>
        <row r="197">
          <cell r="B197" t="str">
            <v>2.1.1 - I.S.S    (transp. Qd  1.3.)</v>
          </cell>
          <cell r="G197">
            <v>0</v>
          </cell>
          <cell r="H197">
            <v>96.442754186666662</v>
          </cell>
          <cell r="I197">
            <v>1033.1422653117809</v>
          </cell>
          <cell r="J197">
            <v>3310</v>
          </cell>
          <cell r="K197">
            <v>3466.0519750000003</v>
          </cell>
          <cell r="L197">
            <v>3520.4424382775173</v>
          </cell>
          <cell r="M197">
            <v>3797.9080000000004</v>
          </cell>
          <cell r="N197">
            <v>3975.2026499999997</v>
          </cell>
          <cell r="O197">
            <v>4161.454675</v>
          </cell>
          <cell r="P197">
            <v>4493.1000000000004</v>
          </cell>
          <cell r="Q197">
            <v>4698.8500000000004</v>
          </cell>
          <cell r="R197">
            <v>4911.1000000000004</v>
          </cell>
          <cell r="S197">
            <v>5133.6500000000005</v>
          </cell>
          <cell r="T197">
            <v>5367.1500000000005</v>
          </cell>
          <cell r="U197">
            <v>5603.9500000000007</v>
          </cell>
          <cell r="V197">
            <v>5852</v>
          </cell>
          <cell r="W197">
            <v>6107.4000000000005</v>
          </cell>
          <cell r="X197">
            <v>6374.85</v>
          </cell>
          <cell r="Y197">
            <v>6654.8</v>
          </cell>
          <cell r="Z197">
            <v>6948</v>
          </cell>
          <cell r="AA197">
            <v>85505.494757775974</v>
          </cell>
        </row>
        <row r="198">
          <cell r="B198" t="str">
            <v>2.1.2 - Cofins    (transp. Qd 1.3.)</v>
          </cell>
          <cell r="G198">
            <v>571.28839413194441</v>
          </cell>
          <cell r="H198">
            <v>1677.32376</v>
          </cell>
          <cell r="I198">
            <v>1826.6573256986303</v>
          </cell>
          <cell r="J198">
            <v>1986</v>
          </cell>
          <cell r="K198">
            <v>2079.6311850000002</v>
          </cell>
          <cell r="L198">
            <v>2274.3358195898782</v>
          </cell>
          <cell r="M198">
            <v>2967.9524401221602</v>
          </cell>
          <cell r="N198">
            <v>2385.1215899999997</v>
          </cell>
          <cell r="O198">
            <v>2496.872805</v>
          </cell>
          <cell r="P198">
            <v>2695.86</v>
          </cell>
          <cell r="Q198">
            <v>2819.31</v>
          </cell>
          <cell r="R198">
            <v>2946.66</v>
          </cell>
          <cell r="S198">
            <v>3080.19</v>
          </cell>
          <cell r="T198">
            <v>3220.29</v>
          </cell>
          <cell r="U198">
            <v>3362.37</v>
          </cell>
          <cell r="V198">
            <v>3511.2000000000003</v>
          </cell>
          <cell r="W198">
            <v>3664.44</v>
          </cell>
          <cell r="X198">
            <v>3824.91</v>
          </cell>
          <cell r="Y198">
            <v>3992.88</v>
          </cell>
          <cell r="Z198">
            <v>4168.8</v>
          </cell>
          <cell r="AA198">
            <v>55552.093319542611</v>
          </cell>
        </row>
        <row r="199">
          <cell r="B199" t="str">
            <v>2.1.3 - Pis / Pasep    (transp. Qd 1.3.)</v>
          </cell>
          <cell r="G199">
            <v>178.24197896916664</v>
          </cell>
          <cell r="H199">
            <v>363.42014799999998</v>
          </cell>
          <cell r="I199">
            <v>395.77575390136985</v>
          </cell>
          <cell r="J199">
            <v>430.29999999999995</v>
          </cell>
          <cell r="K199">
            <v>499.94320155751802</v>
          </cell>
          <cell r="L199">
            <v>645.09646078332958</v>
          </cell>
          <cell r="M199">
            <v>562.13369950371452</v>
          </cell>
          <cell r="N199">
            <v>516.77634450000005</v>
          </cell>
          <cell r="O199">
            <v>540.98910775000002</v>
          </cell>
          <cell r="P199">
            <v>584.10299999999995</v>
          </cell>
          <cell r="Q199">
            <v>610.85050000000001</v>
          </cell>
          <cell r="R199">
            <v>638.44299999999998</v>
          </cell>
          <cell r="S199">
            <v>667.37450000000001</v>
          </cell>
          <cell r="T199">
            <v>697.72949999999992</v>
          </cell>
          <cell r="U199">
            <v>728.51350000000002</v>
          </cell>
          <cell r="V199">
            <v>760.76</v>
          </cell>
          <cell r="W199">
            <v>793.96199999999999</v>
          </cell>
          <cell r="X199">
            <v>828.73050000000001</v>
          </cell>
          <cell r="Y199">
            <v>865.12399999999991</v>
          </cell>
          <cell r="Z199">
            <v>903.24</v>
          </cell>
          <cell r="AA199">
            <v>12211.507194965097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26672.312545232224</v>
          </cell>
          <cell r="H201">
            <v>53773.605337813337</v>
          </cell>
          <cell r="I201">
            <v>57633.002178375886</v>
          </cell>
          <cell r="J201">
            <v>60473.7</v>
          </cell>
          <cell r="K201">
            <v>63275.413138442484</v>
          </cell>
          <cell r="L201">
            <v>63968.974046899602</v>
          </cell>
          <cell r="M201">
            <v>68630.165860374123</v>
          </cell>
          <cell r="N201">
            <v>72626.952415499996</v>
          </cell>
          <cell r="O201">
            <v>76029.776912250003</v>
          </cell>
          <cell r="P201">
            <v>82088.937000000005</v>
          </cell>
          <cell r="Q201">
            <v>85847.989499999996</v>
          </cell>
          <cell r="R201">
            <v>89725.797000000006</v>
          </cell>
          <cell r="S201">
            <v>93791.785499999998</v>
          </cell>
          <cell r="T201">
            <v>98057.830499999996</v>
          </cell>
          <cell r="U201">
            <v>102384.16649999999</v>
          </cell>
          <cell r="V201">
            <v>106916.04</v>
          </cell>
          <cell r="W201">
            <v>111582.198</v>
          </cell>
          <cell r="X201">
            <v>116468.5095</v>
          </cell>
          <cell r="Y201">
            <v>121583.196</v>
          </cell>
          <cell r="Z201">
            <v>126939.96</v>
          </cell>
          <cell r="AA201">
            <v>1678470.3119348877</v>
          </cell>
        </row>
        <row r="202">
          <cell r="B202" t="str">
            <v>4 -  DESPESAS    (4.1)</v>
          </cell>
          <cell r="G202">
            <v>27379.871954216665</v>
          </cell>
          <cell r="H202">
            <v>37579.111654736844</v>
          </cell>
          <cell r="I202">
            <v>39782.842998213251</v>
          </cell>
          <cell r="J202">
            <v>41241.621947024425</v>
          </cell>
          <cell r="K202">
            <v>42432.984173691089</v>
          </cell>
          <cell r="L202">
            <v>43697.80919698911</v>
          </cell>
          <cell r="M202">
            <v>45983.319931548234</v>
          </cell>
          <cell r="N202">
            <v>47704.091336932848</v>
          </cell>
          <cell r="O202">
            <v>49717.209218599513</v>
          </cell>
          <cell r="P202">
            <v>51452.598534811637</v>
          </cell>
          <cell r="Q202">
            <v>52719.289201478299</v>
          </cell>
          <cell r="R202">
            <v>53475.394757033864</v>
          </cell>
          <cell r="S202">
            <v>53924.541007033855</v>
          </cell>
          <cell r="T202">
            <v>54475.895768938622</v>
          </cell>
          <cell r="U202">
            <v>56735.449102271952</v>
          </cell>
          <cell r="V202">
            <v>57109.565768938613</v>
          </cell>
          <cell r="W202">
            <v>59495.119102271958</v>
          </cell>
          <cell r="X202">
            <v>64284.989102271953</v>
          </cell>
          <cell r="Y202">
            <v>69006.702435605286</v>
          </cell>
          <cell r="Z202">
            <v>75189.849102271954</v>
          </cell>
          <cell r="AA202">
            <v>1023388.2562948801</v>
          </cell>
        </row>
        <row r="203">
          <cell r="B203" t="str">
            <v>4.1 - Operacionais    (4.1.1+ .... + 4.1.10)</v>
          </cell>
          <cell r="G203">
            <v>27379.871954216665</v>
          </cell>
          <cell r="H203">
            <v>37579.111654736844</v>
          </cell>
          <cell r="I203">
            <v>39782.842998213251</v>
          </cell>
          <cell r="J203">
            <v>41241.621947024425</v>
          </cell>
          <cell r="K203">
            <v>42432.984173691089</v>
          </cell>
          <cell r="L203">
            <v>43697.80919698911</v>
          </cell>
          <cell r="M203">
            <v>45983.319931548234</v>
          </cell>
          <cell r="N203">
            <v>47704.091336932848</v>
          </cell>
          <cell r="O203">
            <v>49717.209218599513</v>
          </cell>
          <cell r="P203">
            <v>51452.598534811637</v>
          </cell>
          <cell r="Q203">
            <v>52719.289201478299</v>
          </cell>
          <cell r="R203">
            <v>53475.394757033864</v>
          </cell>
          <cell r="S203">
            <v>53924.541007033855</v>
          </cell>
          <cell r="T203">
            <v>54475.895768938622</v>
          </cell>
          <cell r="U203">
            <v>56735.449102271952</v>
          </cell>
          <cell r="V203">
            <v>57109.565768938613</v>
          </cell>
          <cell r="W203">
            <v>59495.119102271958</v>
          </cell>
          <cell r="X203">
            <v>64284.989102271953</v>
          </cell>
          <cell r="Y203">
            <v>69006.702435605286</v>
          </cell>
          <cell r="Z203">
            <v>75189.849102271954</v>
          </cell>
          <cell r="AA203">
            <v>1023388.2562948801</v>
          </cell>
        </row>
        <row r="204">
          <cell r="B204" t="str">
            <v>4.1.1  -  Pessoal e Administradores    (Transp. Qd. 1.3.)</v>
          </cell>
          <cell r="G204">
            <v>6418</v>
          </cell>
          <cell r="H204">
            <v>12386</v>
          </cell>
          <cell r="I204">
            <v>12386</v>
          </cell>
          <cell r="J204">
            <v>12386</v>
          </cell>
          <cell r="K204">
            <v>12386</v>
          </cell>
          <cell r="L204">
            <v>12386</v>
          </cell>
          <cell r="M204">
            <v>12386</v>
          </cell>
          <cell r="N204">
            <v>12386</v>
          </cell>
          <cell r="O204">
            <v>12386</v>
          </cell>
          <cell r="P204">
            <v>12386</v>
          </cell>
          <cell r="Q204">
            <v>12386</v>
          </cell>
          <cell r="R204">
            <v>12386</v>
          </cell>
          <cell r="S204">
            <v>12386</v>
          </cell>
          <cell r="T204">
            <v>12386</v>
          </cell>
          <cell r="U204">
            <v>12386</v>
          </cell>
          <cell r="V204">
            <v>12386</v>
          </cell>
          <cell r="W204">
            <v>12386</v>
          </cell>
          <cell r="X204">
            <v>12386</v>
          </cell>
          <cell r="Y204">
            <v>12386</v>
          </cell>
          <cell r="Z204">
            <v>12386</v>
          </cell>
          <cell r="AA204">
            <v>241752</v>
          </cell>
        </row>
        <row r="205">
          <cell r="B205" t="str">
            <v>4.1.2  -  Conservação de Rotina    (Transp. Qd. 1.3.)</v>
          </cell>
          <cell r="G205">
            <v>3915</v>
          </cell>
          <cell r="H205">
            <v>3915</v>
          </cell>
          <cell r="I205">
            <v>3915</v>
          </cell>
          <cell r="J205">
            <v>3915</v>
          </cell>
          <cell r="K205">
            <v>3915</v>
          </cell>
          <cell r="L205">
            <v>3915</v>
          </cell>
          <cell r="M205">
            <v>3915</v>
          </cell>
          <cell r="N205">
            <v>3915</v>
          </cell>
          <cell r="O205">
            <v>3915</v>
          </cell>
          <cell r="P205">
            <v>3915</v>
          </cell>
          <cell r="Q205">
            <v>3915</v>
          </cell>
          <cell r="R205">
            <v>3915</v>
          </cell>
          <cell r="S205">
            <v>3915</v>
          </cell>
          <cell r="T205">
            <v>3915</v>
          </cell>
          <cell r="U205">
            <v>3915</v>
          </cell>
          <cell r="V205">
            <v>3915</v>
          </cell>
          <cell r="W205">
            <v>3915</v>
          </cell>
          <cell r="X205">
            <v>3915</v>
          </cell>
          <cell r="Y205">
            <v>3915</v>
          </cell>
          <cell r="Z205">
            <v>3915</v>
          </cell>
          <cell r="AA205">
            <v>78300</v>
          </cell>
        </row>
        <row r="206">
          <cell r="B206" t="str">
            <v>4.1.3  -  Consumo    (Transp. Qd. 1.3.)</v>
          </cell>
          <cell r="G206">
            <v>616</v>
          </cell>
          <cell r="H206">
            <v>1097</v>
          </cell>
          <cell r="I206">
            <v>1097</v>
          </cell>
          <cell r="J206">
            <v>1097</v>
          </cell>
          <cell r="K206">
            <v>1097</v>
          </cell>
          <cell r="L206">
            <v>1097</v>
          </cell>
          <cell r="M206">
            <v>1097</v>
          </cell>
          <cell r="N206">
            <v>1097</v>
          </cell>
          <cell r="O206">
            <v>1097</v>
          </cell>
          <cell r="P206">
            <v>1097</v>
          </cell>
          <cell r="Q206">
            <v>1097</v>
          </cell>
          <cell r="R206">
            <v>1097</v>
          </cell>
          <cell r="S206">
            <v>1097</v>
          </cell>
          <cell r="T206">
            <v>1097</v>
          </cell>
          <cell r="U206">
            <v>1097</v>
          </cell>
          <cell r="V206">
            <v>1097</v>
          </cell>
          <cell r="W206">
            <v>1097</v>
          </cell>
          <cell r="X206">
            <v>1097</v>
          </cell>
          <cell r="Y206">
            <v>1097</v>
          </cell>
          <cell r="Z206">
            <v>1097</v>
          </cell>
          <cell r="AA206">
            <v>21459</v>
          </cell>
        </row>
        <row r="207">
          <cell r="B207" t="str">
            <v>4.1.4  -  Transportes    (Transp. Qd. 1.3.)</v>
          </cell>
          <cell r="G207">
            <v>304</v>
          </cell>
          <cell r="H207">
            <v>1549</v>
          </cell>
          <cell r="I207">
            <v>1549</v>
          </cell>
          <cell r="J207">
            <v>1549</v>
          </cell>
          <cell r="K207">
            <v>1549</v>
          </cell>
          <cell r="L207">
            <v>1549</v>
          </cell>
          <cell r="M207">
            <v>1549</v>
          </cell>
          <cell r="N207">
            <v>1549</v>
          </cell>
          <cell r="O207">
            <v>1549</v>
          </cell>
          <cell r="P207">
            <v>1549</v>
          </cell>
          <cell r="Q207">
            <v>1549</v>
          </cell>
          <cell r="R207">
            <v>1549</v>
          </cell>
          <cell r="S207">
            <v>1549</v>
          </cell>
          <cell r="T207">
            <v>1549</v>
          </cell>
          <cell r="U207">
            <v>1549</v>
          </cell>
          <cell r="V207">
            <v>1549</v>
          </cell>
          <cell r="W207">
            <v>1549</v>
          </cell>
          <cell r="X207">
            <v>1549</v>
          </cell>
          <cell r="Y207">
            <v>1549</v>
          </cell>
          <cell r="Z207">
            <v>1549</v>
          </cell>
          <cell r="AA207">
            <v>29735</v>
          </cell>
        </row>
        <row r="208">
          <cell r="B208" t="str">
            <v>4.1.5  -  Diversas    (Transp. Qd. 1.3.)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</row>
        <row r="209">
          <cell r="B209" t="str">
            <v>4.1.6  -  Depreciação/Amortização    (Transp. Qd. 1.3.)</v>
          </cell>
          <cell r="G209">
            <v>945.2166666666667</v>
          </cell>
          <cell r="H209">
            <v>2872.7878947368431</v>
          </cell>
          <cell r="I209">
            <v>4879.185672514619</v>
          </cell>
          <cell r="J209">
            <v>6224.6219470244259</v>
          </cell>
          <cell r="K209">
            <v>7380.352988691091</v>
          </cell>
          <cell r="L209">
            <v>9114.5896553577568</v>
          </cell>
          <cell r="M209">
            <v>10849.575131548232</v>
          </cell>
          <cell r="N209">
            <v>12447.969746932848</v>
          </cell>
          <cell r="O209">
            <v>14349.336413599513</v>
          </cell>
          <cell r="P209">
            <v>15850.738534811635</v>
          </cell>
          <cell r="Q209">
            <v>16966.979201478302</v>
          </cell>
          <cell r="R209">
            <v>17607.734757033861</v>
          </cell>
          <cell r="S209">
            <v>17916.351007033856</v>
          </cell>
          <cell r="T209">
            <v>18337.605768938622</v>
          </cell>
          <cell r="U209">
            <v>20421.07910227195</v>
          </cell>
          <cell r="V209">
            <v>20645.36576893862</v>
          </cell>
          <cell r="W209">
            <v>22991.679102271952</v>
          </cell>
          <cell r="X209">
            <v>27602.07910227195</v>
          </cell>
          <cell r="Y209">
            <v>32150.822435605285</v>
          </cell>
          <cell r="Z209">
            <v>38153.049102271943</v>
          </cell>
          <cell r="AA209">
            <v>317707.12</v>
          </cell>
        </row>
        <row r="210">
          <cell r="B210" t="str">
            <v>4.1.7  -  Seguros    (transp. Qd 1.3.)</v>
          </cell>
          <cell r="G210">
            <v>951</v>
          </cell>
          <cell r="H210">
            <v>842</v>
          </cell>
          <cell r="I210">
            <v>984</v>
          </cell>
          <cell r="J210">
            <v>1007</v>
          </cell>
          <cell r="K210">
            <v>966</v>
          </cell>
          <cell r="L210">
            <v>851</v>
          </cell>
          <cell r="M210">
            <v>859</v>
          </cell>
          <cell r="N210">
            <v>875</v>
          </cell>
          <cell r="O210">
            <v>876</v>
          </cell>
          <cell r="P210">
            <v>911</v>
          </cell>
          <cell r="Q210">
            <v>939</v>
          </cell>
          <cell r="R210">
            <v>927</v>
          </cell>
          <cell r="S210">
            <v>934</v>
          </cell>
          <cell r="T210">
            <v>925</v>
          </cell>
          <cell r="U210">
            <v>959</v>
          </cell>
          <cell r="V210">
            <v>961</v>
          </cell>
          <cell r="W210">
            <v>964</v>
          </cell>
          <cell r="X210">
            <v>983</v>
          </cell>
          <cell r="Y210">
            <v>988</v>
          </cell>
          <cell r="Z210">
            <v>993</v>
          </cell>
          <cell r="AA210">
            <v>18695</v>
          </cell>
        </row>
        <row r="211">
          <cell r="B211" t="str">
            <v xml:space="preserve">4.1.8  -  Garantias  (transp. Qd 1.3.)  </v>
          </cell>
          <cell r="G211">
            <v>858</v>
          </cell>
          <cell r="H211">
            <v>690</v>
          </cell>
          <cell r="I211">
            <v>596</v>
          </cell>
          <cell r="J211">
            <v>527</v>
          </cell>
          <cell r="K211">
            <v>510</v>
          </cell>
          <cell r="L211">
            <v>499</v>
          </cell>
          <cell r="M211">
            <v>499</v>
          </cell>
          <cell r="N211">
            <v>499</v>
          </cell>
          <cell r="O211">
            <v>498</v>
          </cell>
          <cell r="P211">
            <v>498</v>
          </cell>
          <cell r="Q211">
            <v>497</v>
          </cell>
          <cell r="R211">
            <v>497</v>
          </cell>
          <cell r="S211">
            <v>497</v>
          </cell>
          <cell r="T211">
            <v>496</v>
          </cell>
          <cell r="U211">
            <v>496</v>
          </cell>
          <cell r="V211">
            <v>495</v>
          </cell>
          <cell r="W211">
            <v>378</v>
          </cell>
          <cell r="X211">
            <v>378</v>
          </cell>
          <cell r="Y211">
            <v>378</v>
          </cell>
          <cell r="Z211">
            <v>378</v>
          </cell>
          <cell r="AA211">
            <v>10164</v>
          </cell>
        </row>
        <row r="212">
          <cell r="B212" t="str">
            <v xml:space="preserve">4.1.9  -  Parc.Variável da Concessão   </v>
          </cell>
          <cell r="G212">
            <v>822.65528755000014</v>
          </cell>
          <cell r="H212">
            <v>1677.32376</v>
          </cell>
          <cell r="I212">
            <v>1826.6573256986301</v>
          </cell>
          <cell r="J212">
            <v>1986</v>
          </cell>
          <cell r="K212">
            <v>2079.6311849999997</v>
          </cell>
          <cell r="L212">
            <v>2112.2654629665099</v>
          </cell>
          <cell r="M212">
            <v>2278.7447999999999</v>
          </cell>
          <cell r="N212">
            <v>2385.1215899999997</v>
          </cell>
          <cell r="O212">
            <v>2496.872805</v>
          </cell>
          <cell r="P212">
            <v>2695.86</v>
          </cell>
          <cell r="Q212">
            <v>2819.31</v>
          </cell>
          <cell r="R212">
            <v>2946.66</v>
          </cell>
          <cell r="S212">
            <v>3080.19</v>
          </cell>
          <cell r="T212">
            <v>3220.29</v>
          </cell>
          <cell r="U212">
            <v>3362.37</v>
          </cell>
          <cell r="V212">
            <v>3511.2</v>
          </cell>
          <cell r="W212">
            <v>3664.44</v>
          </cell>
          <cell r="X212">
            <v>3824.91</v>
          </cell>
          <cell r="Y212">
            <v>3992.8799999999997</v>
          </cell>
          <cell r="Z212">
            <v>4168.8</v>
          </cell>
          <cell r="AA212">
            <v>54952.182216215144</v>
          </cell>
        </row>
        <row r="213">
          <cell r="B213" t="str">
            <v xml:space="preserve">4.1.10 - Parcela Fixa da Concessão   </v>
          </cell>
          <cell r="G213">
            <v>12550</v>
          </cell>
          <cell r="H213">
            <v>12550</v>
          </cell>
          <cell r="I213">
            <v>12550</v>
          </cell>
          <cell r="J213">
            <v>12550</v>
          </cell>
          <cell r="K213">
            <v>12550</v>
          </cell>
          <cell r="L213">
            <v>12173.95407866485</v>
          </cell>
          <cell r="M213">
            <v>12550</v>
          </cell>
          <cell r="N213">
            <v>12550</v>
          </cell>
          <cell r="O213">
            <v>12550</v>
          </cell>
          <cell r="P213">
            <v>12550</v>
          </cell>
          <cell r="Q213">
            <v>12550</v>
          </cell>
          <cell r="R213">
            <v>12550</v>
          </cell>
          <cell r="S213">
            <v>12550</v>
          </cell>
          <cell r="T213">
            <v>12550</v>
          </cell>
          <cell r="U213">
            <v>12550</v>
          </cell>
          <cell r="V213">
            <v>12550</v>
          </cell>
          <cell r="W213">
            <v>12550</v>
          </cell>
          <cell r="X213">
            <v>12550</v>
          </cell>
          <cell r="Y213">
            <v>12550</v>
          </cell>
          <cell r="Z213">
            <v>12550</v>
          </cell>
          <cell r="AA213">
            <v>250623.95407866486</v>
          </cell>
        </row>
        <row r="214">
          <cell r="B214" t="str">
            <v>5 -  RESULTADO BRUTO OPERACIONAL     (3 - 4)</v>
          </cell>
          <cell r="G214">
            <v>-707.55940898444169</v>
          </cell>
          <cell r="H214">
            <v>16194.493683076493</v>
          </cell>
          <cell r="I214">
            <v>17850.159180162635</v>
          </cell>
          <cell r="J214">
            <v>19232.078052975572</v>
          </cell>
          <cell r="K214">
            <v>20842.428964751394</v>
          </cell>
          <cell r="L214">
            <v>20271.164849910492</v>
          </cell>
          <cell r="M214">
            <v>22646.845928825889</v>
          </cell>
          <cell r="N214">
            <v>24922.861078567148</v>
          </cell>
          <cell r="O214">
            <v>26312.56769365049</v>
          </cell>
          <cell r="P214">
            <v>30636.338465188368</v>
          </cell>
          <cell r="Q214">
            <v>33128.700298521697</v>
          </cell>
          <cell r="R214">
            <v>36250.402242966142</v>
          </cell>
          <cell r="S214">
            <v>39867.244492966143</v>
          </cell>
          <cell r="T214">
            <v>43581.934731061374</v>
          </cell>
          <cell r="U214">
            <v>45648.71739772804</v>
          </cell>
          <cell r="V214">
            <v>49806.47423106138</v>
          </cell>
          <cell r="W214">
            <v>52087.078897728046</v>
          </cell>
          <cell r="X214">
            <v>52183.520397728047</v>
          </cell>
          <cell r="Y214">
            <v>52576.49356439471</v>
          </cell>
          <cell r="Z214">
            <v>51750.110897728053</v>
          </cell>
          <cell r="AA214">
            <v>655082.0556400076</v>
          </cell>
        </row>
        <row r="215">
          <cell r="B215" t="str">
            <v>6 -  RESULTADO FINANCEIRO    (6.1)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B216" t="str">
            <v>6.1 - Receitas    (Transp. Qd. 2B)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B217" t="str">
            <v>7 -  RESULTADO OPERACIONAL    (5 + 6)</v>
          </cell>
          <cell r="G217">
            <v>-707.55940898444169</v>
          </cell>
          <cell r="H217">
            <v>16194.493683076493</v>
          </cell>
          <cell r="I217">
            <v>17850.159180162635</v>
          </cell>
          <cell r="J217">
            <v>19232.078052975572</v>
          </cell>
          <cell r="K217">
            <v>20842.428964751394</v>
          </cell>
          <cell r="L217">
            <v>20271.164849910492</v>
          </cell>
          <cell r="M217">
            <v>22646.845928825889</v>
          </cell>
          <cell r="N217">
            <v>24922.861078567148</v>
          </cell>
          <cell r="O217">
            <v>26312.56769365049</v>
          </cell>
          <cell r="P217">
            <v>30636.338465188368</v>
          </cell>
          <cell r="Q217">
            <v>33128.700298521697</v>
          </cell>
          <cell r="R217">
            <v>36250.402242966142</v>
          </cell>
          <cell r="S217">
            <v>39867.244492966143</v>
          </cell>
          <cell r="T217">
            <v>43581.934731061374</v>
          </cell>
          <cell r="U217">
            <v>45648.71739772804</v>
          </cell>
          <cell r="V217">
            <v>49806.47423106138</v>
          </cell>
          <cell r="W217">
            <v>52087.078897728046</v>
          </cell>
          <cell r="X217">
            <v>52183.520397728047</v>
          </cell>
          <cell r="Y217">
            <v>52576.49356439471</v>
          </cell>
          <cell r="Z217">
            <v>51750.110897728053</v>
          </cell>
          <cell r="AA217">
            <v>655082.0556400076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-707.55940898444169</v>
          </cell>
          <cell r="H219">
            <v>16194.493683076493</v>
          </cell>
          <cell r="I219">
            <v>17850.159180162635</v>
          </cell>
          <cell r="J219">
            <v>19232.078052975572</v>
          </cell>
          <cell r="K219">
            <v>20842.428964751394</v>
          </cell>
          <cell r="L219">
            <v>20271.164849910492</v>
          </cell>
          <cell r="M219">
            <v>22646.845928825889</v>
          </cell>
          <cell r="N219">
            <v>24922.861078567148</v>
          </cell>
          <cell r="O219">
            <v>26312.56769365049</v>
          </cell>
          <cell r="P219">
            <v>30636.338465188368</v>
          </cell>
          <cell r="Q219">
            <v>33128.700298521697</v>
          </cell>
          <cell r="R219">
            <v>36250.402242966142</v>
          </cell>
          <cell r="S219">
            <v>39867.244492966143</v>
          </cell>
          <cell r="T219">
            <v>43581.934731061374</v>
          </cell>
          <cell r="U219">
            <v>45648.71739772804</v>
          </cell>
          <cell r="V219">
            <v>49806.47423106138</v>
          </cell>
          <cell r="W219">
            <v>52087.078897728046</v>
          </cell>
          <cell r="X219">
            <v>52183.520397728047</v>
          </cell>
          <cell r="Y219">
            <v>52576.49356439471</v>
          </cell>
          <cell r="Z219">
            <v>51750.110897728053</v>
          </cell>
          <cell r="AA219">
            <v>655082.0556400076</v>
          </cell>
        </row>
        <row r="220">
          <cell r="B220" t="str">
            <v>10- CONTRIBUIÇÃO SOCIAL (Legislação vigente)</v>
          </cell>
          <cell r="G220">
            <v>0</v>
          </cell>
          <cell r="H220">
            <v>1238.9547419273638</v>
          </cell>
          <cell r="I220">
            <v>1428.012734413011</v>
          </cell>
          <cell r="J220">
            <v>1538.566244238046</v>
          </cell>
          <cell r="K220">
            <v>1667.3943171801104</v>
          </cell>
          <cell r="L220">
            <v>1621.6931879928397</v>
          </cell>
          <cell r="M220">
            <v>1811.7476743060713</v>
          </cell>
          <cell r="N220">
            <v>1993.8288862853726</v>
          </cell>
          <cell r="O220">
            <v>2105.005415492039</v>
          </cell>
          <cell r="P220">
            <v>2450.9070772150699</v>
          </cell>
          <cell r="Q220">
            <v>2650.2960238817363</v>
          </cell>
          <cell r="R220">
            <v>2900.0321794372899</v>
          </cell>
          <cell r="S220">
            <v>3189.3795594372914</v>
          </cell>
          <cell r="T220">
            <v>3486.5547784849105</v>
          </cell>
          <cell r="U220">
            <v>3651.8973918182442</v>
          </cell>
          <cell r="V220">
            <v>3984.5179384849112</v>
          </cell>
          <cell r="W220">
            <v>4166.9663118182443</v>
          </cell>
          <cell r="X220">
            <v>4174.6816318182437</v>
          </cell>
          <cell r="Y220">
            <v>4206.1194851515766</v>
          </cell>
          <cell r="Z220">
            <v>4140.0088718182442</v>
          </cell>
          <cell r="AA220">
            <v>52406.564451200618</v>
          </cell>
        </row>
        <row r="221">
          <cell r="B221" t="str">
            <v>11- RESULTADO ANTES IMPOSTO DE RENDA    (9 - 10)</v>
          </cell>
          <cell r="G221">
            <v>-707.55940898444169</v>
          </cell>
          <cell r="H221">
            <v>14955.538941149129</v>
          </cell>
          <cell r="I221">
            <v>16422.146445749622</v>
          </cell>
          <cell r="J221">
            <v>17693.511808737527</v>
          </cell>
          <cell r="K221">
            <v>19175.034647571283</v>
          </cell>
          <cell r="L221">
            <v>18649.471661917654</v>
          </cell>
          <cell r="M221">
            <v>20835.098254519817</v>
          </cell>
          <cell r="N221">
            <v>22929.032192281775</v>
          </cell>
          <cell r="O221">
            <v>24207.56227815845</v>
          </cell>
          <cell r="P221">
            <v>28185.431387973298</v>
          </cell>
          <cell r="Q221">
            <v>30478.404274639961</v>
          </cell>
          <cell r="R221">
            <v>33350.370063528855</v>
          </cell>
          <cell r="S221">
            <v>36677.86493352885</v>
          </cell>
          <cell r="T221">
            <v>40095.379952576463</v>
          </cell>
          <cell r="U221">
            <v>41996.820005909794</v>
          </cell>
          <cell r="V221">
            <v>45821.956292576469</v>
          </cell>
          <cell r="W221">
            <v>47920.112585909803</v>
          </cell>
          <cell r="X221">
            <v>48008.838765909801</v>
          </cell>
          <cell r="Y221">
            <v>48370.374079243134</v>
          </cell>
          <cell r="Z221">
            <v>47610.102025909808</v>
          </cell>
          <cell r="AA221">
            <v>602675.49118880695</v>
          </cell>
        </row>
        <row r="222">
          <cell r="B222" t="str">
            <v>12- IMPOSTO DE RENDA (Legislação vigente)</v>
          </cell>
          <cell r="G222">
            <v>0</v>
          </cell>
          <cell r="H222">
            <v>3847.7335685230128</v>
          </cell>
          <cell r="I222">
            <v>4438.5397950406605</v>
          </cell>
          <cell r="J222">
            <v>4784.0195132438939</v>
          </cell>
          <cell r="K222">
            <v>5186.6072411878449</v>
          </cell>
          <cell r="L222">
            <v>5043.791212477623</v>
          </cell>
          <cell r="M222">
            <v>5637.7114822064723</v>
          </cell>
          <cell r="N222">
            <v>6206.7152696417888</v>
          </cell>
          <cell r="O222">
            <v>6554.1419234126206</v>
          </cell>
          <cell r="P222">
            <v>7635.0846162970929</v>
          </cell>
          <cell r="Q222">
            <v>8258.1750746304278</v>
          </cell>
          <cell r="R222">
            <v>9038.6005607415318</v>
          </cell>
          <cell r="S222">
            <v>9942.8111232415322</v>
          </cell>
          <cell r="T222">
            <v>10871.483682765345</v>
          </cell>
          <cell r="U222">
            <v>11388.179349432012</v>
          </cell>
          <cell r="V222">
            <v>12427.618557765345</v>
          </cell>
          <cell r="W222">
            <v>12997.76972443201</v>
          </cell>
          <cell r="X222">
            <v>13021.88009943201</v>
          </cell>
          <cell r="Y222">
            <v>13120.123391098678</v>
          </cell>
          <cell r="Z222">
            <v>12913.527724432013</v>
          </cell>
          <cell r="AA222">
            <v>163314.5139100019</v>
          </cell>
        </row>
        <row r="223">
          <cell r="B223" t="str">
            <v>13- RESULTADO DE EXERCÍCIO    (11 - 12)</v>
          </cell>
          <cell r="G223">
            <v>-707.55940898444169</v>
          </cell>
          <cell r="H223">
            <v>11107.805372626117</v>
          </cell>
          <cell r="I223">
            <v>11983.606650708962</v>
          </cell>
          <cell r="J223">
            <v>12909.492295493634</v>
          </cell>
          <cell r="K223">
            <v>13988.427406383438</v>
          </cell>
          <cell r="L223">
            <v>13605.680449440031</v>
          </cell>
          <cell r="M223">
            <v>15197.386772313344</v>
          </cell>
          <cell r="N223">
            <v>16722.316922639984</v>
          </cell>
          <cell r="O223">
            <v>17653.420354745831</v>
          </cell>
          <cell r="P223">
            <v>20550.346771676206</v>
          </cell>
          <cell r="Q223">
            <v>22220.229200009533</v>
          </cell>
          <cell r="R223">
            <v>24311.769502787323</v>
          </cell>
          <cell r="S223">
            <v>26735.053810287318</v>
          </cell>
          <cell r="T223">
            <v>29223.896269811117</v>
          </cell>
          <cell r="U223">
            <v>30608.640656477783</v>
          </cell>
          <cell r="V223">
            <v>33394.337734811124</v>
          </cell>
          <cell r="W223">
            <v>34922.342861477795</v>
          </cell>
          <cell r="X223">
            <v>34986.958666477789</v>
          </cell>
          <cell r="Y223">
            <v>35250.250688144457</v>
          </cell>
          <cell r="Z223">
            <v>34696.574301477798</v>
          </cell>
          <cell r="AA223">
            <v>439360.97727880505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</row>
        <row r="230">
          <cell r="B230" t="str">
            <v>1.1 - Operacionais    (1.1.1 + 1.1.2)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</row>
        <row r="231">
          <cell r="B231" t="str">
            <v>1.1.1 - Receitas de  Pedágios    (Transp. Qd.2.1.1.2)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</row>
        <row r="232">
          <cell r="B232" t="str">
            <v>1.1.2 - Outras Receitas Operacionais    (calculado 2.1.2.)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</row>
        <row r="233">
          <cell r="B233" t="str">
            <v>2 -  DEDUÇÕES DA RECEITA    (2.1)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</row>
        <row r="234">
          <cell r="B234" t="str">
            <v>2.1 - Tributos sobre Faturamento    (2.1.1+ .... + 2.1.4)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</row>
        <row r="235">
          <cell r="B235" t="str">
            <v>2.1.1 - I.S.S    (transp. Qd  1.3.)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</row>
        <row r="236">
          <cell r="B236" t="str">
            <v>2.1.2 - Cofins    (transp. Qd 1.3.)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</row>
        <row r="237">
          <cell r="B237" t="str">
            <v>2.1.3 - Pis / Pasep    (transp. Qd 1.3.)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</row>
        <row r="240">
          <cell r="B240" t="str">
            <v>4 -  DESPESAS    (4.1)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</row>
        <row r="241">
          <cell r="B241" t="str">
            <v>4.1 - Operacionais    (4.1.1+ .... + 4.1.10)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</row>
        <row r="242">
          <cell r="B242" t="str">
            <v>4.1.1  -  Pessoal e Administradores    (Transp. Qd. 1.3.)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</row>
        <row r="243">
          <cell r="B243" t="str">
            <v>4.1.2  -  Conservação de Rotina    (Transp. Qd. 1.3.)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</row>
        <row r="244">
          <cell r="B244" t="str">
            <v>4.1.3  -  Consumo    (Transp. Qd. 1.3.)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</row>
        <row r="245">
          <cell r="B245" t="str">
            <v>4.1.4  -  Transportes    (Transp. Qd. 1.3.)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B246" t="str">
            <v>4.1.5  -  Diversas    (Transp. Qd. 1.3.)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B249" t="str">
            <v xml:space="preserve">4.1.8  -  Garantias  (transp. Qd 1.3.)  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B250" t="str">
            <v xml:space="preserve">4.1.9  -  Parc.Variável da Concessão   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B253" t="str">
            <v>6 -  RESULTADO FINANCEIRO    (6.1)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B254" t="str">
            <v>6.1 - Receitas    (Transp. Qd. 2B)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B255" t="str">
            <v>7 -  RESULTADO OPERACIONAL    (5 + 6)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</row>
        <row r="258">
          <cell r="B258" t="str">
            <v>10- CONTRIBUIÇÃO SOCIAL (Legislação vigente)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</row>
        <row r="259">
          <cell r="B259" t="str">
            <v>11- RESULTADO ANTES IMPOSTO DE RENDA    (9 - 10)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B260" t="str">
            <v>12- IMPOSTO DE RENDA (Legislação vigente)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B261" t="str">
            <v>13- RESULTADO DE EXERCÍCIO    (11 - 12)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27421.842918333336</v>
          </cell>
          <cell r="H267">
            <v>55910.792000000001</v>
          </cell>
          <cell r="I267">
            <v>60888.577523287669</v>
          </cell>
          <cell r="J267">
            <v>66200</v>
          </cell>
          <cell r="K267">
            <v>69321.039499999999</v>
          </cell>
          <cell r="L267">
            <v>70408.848765550327</v>
          </cell>
          <cell r="M267">
            <v>75958.16</v>
          </cell>
          <cell r="N267">
            <v>79504.053</v>
          </cell>
          <cell r="O267">
            <v>83229.093500000003</v>
          </cell>
          <cell r="P267">
            <v>89862</v>
          </cell>
          <cell r="Q267">
            <v>93977</v>
          </cell>
          <cell r="R267">
            <v>98222</v>
          </cell>
          <cell r="S267">
            <v>102673</v>
          </cell>
          <cell r="T267">
            <v>107343</v>
          </cell>
          <cell r="U267">
            <v>112079</v>
          </cell>
          <cell r="V267">
            <v>117040</v>
          </cell>
          <cell r="W267">
            <v>122148</v>
          </cell>
          <cell r="X267">
            <v>127497</v>
          </cell>
          <cell r="Y267">
            <v>133096</v>
          </cell>
          <cell r="Z267">
            <v>138960</v>
          </cell>
          <cell r="AA267">
            <v>1831739.4072071714</v>
          </cell>
        </row>
        <row r="268">
          <cell r="B268" t="str">
            <v>1.1.  RECEITAS     (1.1.1.+ ... + 1.1.4)</v>
          </cell>
          <cell r="G268">
            <v>27421.842918333336</v>
          </cell>
          <cell r="H268">
            <v>55910.792000000001</v>
          </cell>
          <cell r="I268">
            <v>60888.577523287669</v>
          </cell>
          <cell r="J268">
            <v>66200</v>
          </cell>
          <cell r="K268">
            <v>69321.039499999999</v>
          </cell>
          <cell r="L268">
            <v>70408.848765550327</v>
          </cell>
          <cell r="M268">
            <v>75958.16</v>
          </cell>
          <cell r="N268">
            <v>79504.053</v>
          </cell>
          <cell r="O268">
            <v>83229.093500000003</v>
          </cell>
          <cell r="P268">
            <v>89862</v>
          </cell>
          <cell r="Q268">
            <v>93977</v>
          </cell>
          <cell r="R268">
            <v>98222</v>
          </cell>
          <cell r="S268">
            <v>102673</v>
          </cell>
          <cell r="T268">
            <v>107343</v>
          </cell>
          <cell r="U268">
            <v>112079</v>
          </cell>
          <cell r="V268">
            <v>117040</v>
          </cell>
          <cell r="W268">
            <v>122148</v>
          </cell>
          <cell r="X268">
            <v>127497</v>
          </cell>
          <cell r="Y268">
            <v>133096</v>
          </cell>
          <cell r="Z268">
            <v>138960</v>
          </cell>
          <cell r="AA268">
            <v>1831739.4072071714</v>
          </cell>
        </row>
        <row r="269">
          <cell r="B269" t="str">
            <v>1.1.1   Receitas de Pedágio</v>
          </cell>
          <cell r="G269">
            <v>27421.842918333336</v>
          </cell>
          <cell r="H269">
            <v>55910.792000000001</v>
          </cell>
          <cell r="I269">
            <v>60888.577523287669</v>
          </cell>
          <cell r="J269">
            <v>66200</v>
          </cell>
          <cell r="K269">
            <v>69321.039499999999</v>
          </cell>
          <cell r="L269">
            <v>70408.848765550327</v>
          </cell>
          <cell r="M269">
            <v>75958.16</v>
          </cell>
          <cell r="N269">
            <v>79504.053</v>
          </cell>
          <cell r="O269">
            <v>83229.093500000003</v>
          </cell>
          <cell r="P269">
            <v>89862</v>
          </cell>
          <cell r="Q269">
            <v>93977</v>
          </cell>
          <cell r="R269">
            <v>98222</v>
          </cell>
          <cell r="S269">
            <v>102673</v>
          </cell>
          <cell r="T269">
            <v>107343</v>
          </cell>
          <cell r="U269">
            <v>112079</v>
          </cell>
          <cell r="V269">
            <v>117040</v>
          </cell>
          <cell r="W269">
            <v>122148</v>
          </cell>
          <cell r="X269">
            <v>127497</v>
          </cell>
          <cell r="Y269">
            <v>133096</v>
          </cell>
          <cell r="Z269">
            <v>138960</v>
          </cell>
          <cell r="AA269">
            <v>1831739.4072071714</v>
          </cell>
        </row>
        <row r="270">
          <cell r="B270" t="str">
            <v>1.1.2   Outras Receitas Operacionais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</row>
        <row r="273">
          <cell r="B273" t="str">
            <v>2.  DESEMBOLSOS     (2.1.+ ... + 2.4)</v>
          </cell>
          <cell r="G273">
            <v>53246.185660651114</v>
          </cell>
          <cell r="H273">
            <v>72942.671449610716</v>
          </cell>
          <cell r="I273">
            <v>79166.281205758525</v>
          </cell>
          <cell r="J273">
            <v>69386.762309761354</v>
          </cell>
          <cell r="K273">
            <v>65823.607087425466</v>
          </cell>
          <cell r="L273">
            <v>72813.864149689281</v>
          </cell>
          <cell r="M273">
            <v>76464.38849203127</v>
          </cell>
          <cell r="N273">
            <v>70577.454463600239</v>
          </cell>
          <cell r="O273">
            <v>72898.794660404659</v>
          </cell>
          <cell r="P273">
            <v>69922.23585101217</v>
          </cell>
          <cell r="Q273">
            <v>66007.308404762152</v>
          </cell>
          <cell r="R273">
            <v>61939.766561706594</v>
          </cell>
          <cell r="S273">
            <v>60344.870048928824</v>
          </cell>
          <cell r="T273">
            <v>63177.629409464542</v>
          </cell>
          <cell r="U273">
            <v>73506.96356791693</v>
          </cell>
          <cell r="V273">
            <v>64072.266125000257</v>
          </cell>
          <cell r="W273">
            <v>73463.819391250261</v>
          </cell>
          <cell r="X273">
            <v>78554.70194833359</v>
          </cell>
          <cell r="Y273">
            <v>74424.453147500259</v>
          </cell>
          <cell r="Z273">
            <v>71534.251186250258</v>
          </cell>
          <cell r="AA273">
            <v>1390268.2751210583</v>
          </cell>
        </row>
        <row r="274">
          <cell r="B274" t="str">
            <v>2.1.  OPERACIONAIS     (2.1.1.+ ... + 2.1.8)</v>
          </cell>
          <cell r="G274">
            <v>13454.530373101112</v>
          </cell>
          <cell r="H274">
            <v>22379.186662186665</v>
          </cell>
          <cell r="I274">
            <v>23782.57534491178</v>
          </cell>
          <cell r="J274">
            <v>26207.3</v>
          </cell>
          <cell r="K274">
            <v>26468.626361557519</v>
          </cell>
          <cell r="L274">
            <v>26736.874718650724</v>
          </cell>
          <cell r="M274">
            <v>27632.994139625873</v>
          </cell>
          <cell r="N274">
            <v>27198.1005845</v>
          </cell>
          <cell r="O274">
            <v>27520.31658775</v>
          </cell>
          <cell r="P274">
            <v>28129.063000000002</v>
          </cell>
          <cell r="Q274">
            <v>28512.0105</v>
          </cell>
          <cell r="R274">
            <v>28867.203000000001</v>
          </cell>
          <cell r="S274">
            <v>29259.214500000002</v>
          </cell>
          <cell r="T274">
            <v>29653.1695</v>
          </cell>
          <cell r="U274">
            <v>30096.833500000001</v>
          </cell>
          <cell r="V274">
            <v>30526.959999999999</v>
          </cell>
          <cell r="W274">
            <v>30854.802</v>
          </cell>
          <cell r="X274">
            <v>31336.4905</v>
          </cell>
          <cell r="Y274">
            <v>31825.804</v>
          </cell>
          <cell r="Z274">
            <v>32338.04</v>
          </cell>
          <cell r="AA274">
            <v>552780.09527228365</v>
          </cell>
        </row>
        <row r="275">
          <cell r="B275" t="str">
            <v xml:space="preserve">2.1.1.  Pessoal / Administradores   </v>
          </cell>
          <cell r="G275">
            <v>6061</v>
          </cell>
          <cell r="H275">
            <v>12149</v>
          </cell>
          <cell r="I275">
            <v>12386</v>
          </cell>
          <cell r="J275">
            <v>12386</v>
          </cell>
          <cell r="K275">
            <v>12386</v>
          </cell>
          <cell r="L275">
            <v>12386</v>
          </cell>
          <cell r="M275">
            <v>12386</v>
          </cell>
          <cell r="N275">
            <v>12386</v>
          </cell>
          <cell r="O275">
            <v>12386</v>
          </cell>
          <cell r="P275">
            <v>12386</v>
          </cell>
          <cell r="Q275">
            <v>12386</v>
          </cell>
          <cell r="R275">
            <v>12386</v>
          </cell>
          <cell r="S275">
            <v>12386</v>
          </cell>
          <cell r="T275">
            <v>12386</v>
          </cell>
          <cell r="U275">
            <v>12386</v>
          </cell>
          <cell r="V275">
            <v>12386</v>
          </cell>
          <cell r="W275">
            <v>12386</v>
          </cell>
          <cell r="X275">
            <v>12386</v>
          </cell>
          <cell r="Y275">
            <v>12386</v>
          </cell>
          <cell r="Z275">
            <v>12386</v>
          </cell>
          <cell r="AA275">
            <v>241158</v>
          </cell>
        </row>
        <row r="276">
          <cell r="B276" t="str">
            <v xml:space="preserve">2.1.2.  Conservação de Rotina  </v>
          </cell>
          <cell r="G276">
            <v>3915</v>
          </cell>
          <cell r="H276">
            <v>3915</v>
          </cell>
          <cell r="I276">
            <v>3915</v>
          </cell>
          <cell r="J276">
            <v>3915</v>
          </cell>
          <cell r="K276">
            <v>3915</v>
          </cell>
          <cell r="L276">
            <v>3915</v>
          </cell>
          <cell r="M276">
            <v>3915</v>
          </cell>
          <cell r="N276">
            <v>3915</v>
          </cell>
          <cell r="O276">
            <v>3915</v>
          </cell>
          <cell r="P276">
            <v>3915</v>
          </cell>
          <cell r="Q276">
            <v>3915</v>
          </cell>
          <cell r="R276">
            <v>3915</v>
          </cell>
          <cell r="S276">
            <v>3915</v>
          </cell>
          <cell r="T276">
            <v>3915</v>
          </cell>
          <cell r="U276">
            <v>3915</v>
          </cell>
          <cell r="V276">
            <v>3915</v>
          </cell>
          <cell r="W276">
            <v>3915</v>
          </cell>
          <cell r="X276">
            <v>3915</v>
          </cell>
          <cell r="Y276">
            <v>3915</v>
          </cell>
          <cell r="Z276">
            <v>3915</v>
          </cell>
          <cell r="AA276">
            <v>78300</v>
          </cell>
        </row>
        <row r="277">
          <cell r="B277" t="str">
            <v xml:space="preserve">2.1.3.  Consumo   </v>
          </cell>
          <cell r="G277">
            <v>616</v>
          </cell>
          <cell r="H277">
            <v>1097</v>
          </cell>
          <cell r="I277">
            <v>1097</v>
          </cell>
          <cell r="J277">
            <v>1097</v>
          </cell>
          <cell r="K277">
            <v>1097</v>
          </cell>
          <cell r="L277">
            <v>1097</v>
          </cell>
          <cell r="M277">
            <v>1097</v>
          </cell>
          <cell r="N277">
            <v>1097</v>
          </cell>
          <cell r="O277">
            <v>1097</v>
          </cell>
          <cell r="P277">
            <v>1097</v>
          </cell>
          <cell r="Q277">
            <v>1097</v>
          </cell>
          <cell r="R277">
            <v>1097</v>
          </cell>
          <cell r="S277">
            <v>1097</v>
          </cell>
          <cell r="T277">
            <v>1097</v>
          </cell>
          <cell r="U277">
            <v>1097</v>
          </cell>
          <cell r="V277">
            <v>1097</v>
          </cell>
          <cell r="W277">
            <v>1097</v>
          </cell>
          <cell r="X277">
            <v>1097</v>
          </cell>
          <cell r="Y277">
            <v>1097</v>
          </cell>
          <cell r="Z277">
            <v>1097</v>
          </cell>
          <cell r="AA277">
            <v>21459</v>
          </cell>
        </row>
        <row r="278">
          <cell r="B278" t="str">
            <v>2.1.4.  Transportes</v>
          </cell>
          <cell r="G278">
            <v>304</v>
          </cell>
          <cell r="H278">
            <v>1549</v>
          </cell>
          <cell r="I278">
            <v>1549</v>
          </cell>
          <cell r="J278">
            <v>1549</v>
          </cell>
          <cell r="K278">
            <v>1549</v>
          </cell>
          <cell r="L278">
            <v>1549</v>
          </cell>
          <cell r="M278">
            <v>1549</v>
          </cell>
          <cell r="N278">
            <v>1549</v>
          </cell>
          <cell r="O278">
            <v>1549</v>
          </cell>
          <cell r="P278">
            <v>1549</v>
          </cell>
          <cell r="Q278">
            <v>1549</v>
          </cell>
          <cell r="R278">
            <v>1549</v>
          </cell>
          <cell r="S278">
            <v>1549</v>
          </cell>
          <cell r="T278">
            <v>1549</v>
          </cell>
          <cell r="U278">
            <v>1549</v>
          </cell>
          <cell r="V278">
            <v>1549</v>
          </cell>
          <cell r="W278">
            <v>1549</v>
          </cell>
          <cell r="X278">
            <v>1549</v>
          </cell>
          <cell r="Y278">
            <v>1549</v>
          </cell>
          <cell r="Z278">
            <v>1549</v>
          </cell>
          <cell r="AA278">
            <v>29735</v>
          </cell>
        </row>
        <row r="279">
          <cell r="B279" t="str">
            <v>2.1.5.  Diversas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</row>
        <row r="280">
          <cell r="B280" t="str">
            <v>2.1.6.  Tributos s/ Faturamento</v>
          </cell>
          <cell r="G280">
            <v>749.53037310111108</v>
          </cell>
          <cell r="H280">
            <v>2137.1866621866666</v>
          </cell>
          <cell r="I280">
            <v>3255.575344911781</v>
          </cell>
          <cell r="J280">
            <v>5726.3</v>
          </cell>
          <cell r="K280">
            <v>6045.626361557519</v>
          </cell>
          <cell r="L280">
            <v>6439.8747186507253</v>
          </cell>
          <cell r="M280">
            <v>7327.9941396258746</v>
          </cell>
          <cell r="N280">
            <v>6877.1005845</v>
          </cell>
          <cell r="O280">
            <v>7199.3165877499996</v>
          </cell>
          <cell r="P280">
            <v>7773.063000000001</v>
          </cell>
          <cell r="Q280">
            <v>8129.0105000000003</v>
          </cell>
          <cell r="R280">
            <v>8496.2029999999995</v>
          </cell>
          <cell r="S280">
            <v>8881.2145</v>
          </cell>
          <cell r="T280">
            <v>9285.1695</v>
          </cell>
          <cell r="U280">
            <v>9694.8335000000006</v>
          </cell>
          <cell r="V280">
            <v>10123.960000000001</v>
          </cell>
          <cell r="W280">
            <v>10565.802</v>
          </cell>
          <cell r="X280">
            <v>11028.4905</v>
          </cell>
          <cell r="Y280">
            <v>11512.804</v>
          </cell>
          <cell r="Z280">
            <v>12020.039999999999</v>
          </cell>
          <cell r="AA280">
            <v>153269.09527228368</v>
          </cell>
        </row>
        <row r="281">
          <cell r="B281" t="str">
            <v>2.1.7.  Seguros</v>
          </cell>
          <cell r="G281">
            <v>951</v>
          </cell>
          <cell r="H281">
            <v>842</v>
          </cell>
          <cell r="I281">
            <v>984</v>
          </cell>
          <cell r="J281">
            <v>1007</v>
          </cell>
          <cell r="K281">
            <v>966</v>
          </cell>
          <cell r="L281">
            <v>851</v>
          </cell>
          <cell r="M281">
            <v>859</v>
          </cell>
          <cell r="N281">
            <v>875</v>
          </cell>
          <cell r="O281">
            <v>876</v>
          </cell>
          <cell r="P281">
            <v>911</v>
          </cell>
          <cell r="Q281">
            <v>939</v>
          </cell>
          <cell r="R281">
            <v>927</v>
          </cell>
          <cell r="S281">
            <v>934</v>
          </cell>
          <cell r="T281">
            <v>925</v>
          </cell>
          <cell r="U281">
            <v>959</v>
          </cell>
          <cell r="V281">
            <v>961</v>
          </cell>
          <cell r="W281">
            <v>964</v>
          </cell>
          <cell r="X281">
            <v>983</v>
          </cell>
          <cell r="Y281">
            <v>988</v>
          </cell>
          <cell r="Z281">
            <v>993</v>
          </cell>
          <cell r="AA281">
            <v>18695</v>
          </cell>
        </row>
        <row r="282">
          <cell r="B282" t="str">
            <v xml:space="preserve">2.1.8.  Garantias </v>
          </cell>
          <cell r="G282">
            <v>858</v>
          </cell>
          <cell r="H282">
            <v>690</v>
          </cell>
          <cell r="I282">
            <v>596</v>
          </cell>
          <cell r="J282">
            <v>527</v>
          </cell>
          <cell r="K282">
            <v>510</v>
          </cell>
          <cell r="L282">
            <v>499</v>
          </cell>
          <cell r="M282">
            <v>499</v>
          </cell>
          <cell r="N282">
            <v>499</v>
          </cell>
          <cell r="O282">
            <v>498</v>
          </cell>
          <cell r="P282">
            <v>498</v>
          </cell>
          <cell r="Q282">
            <v>497</v>
          </cell>
          <cell r="R282">
            <v>497</v>
          </cell>
          <cell r="S282">
            <v>497</v>
          </cell>
          <cell r="T282">
            <v>496</v>
          </cell>
          <cell r="U282">
            <v>496</v>
          </cell>
          <cell r="V282">
            <v>495</v>
          </cell>
          <cell r="W282">
            <v>378</v>
          </cell>
          <cell r="X282">
            <v>378</v>
          </cell>
          <cell r="Y282">
            <v>378</v>
          </cell>
          <cell r="Z282">
            <v>378</v>
          </cell>
          <cell r="AA282">
            <v>10164</v>
          </cell>
        </row>
        <row r="283">
          <cell r="B283" t="str">
            <v>2.2.  INVESTIMENTOS / IMOBILIZADO     (2.2.1.+ ... + 2.2.7)</v>
          </cell>
          <cell r="G283">
            <v>16881</v>
          </cell>
          <cell r="H283">
            <v>32030.120000000003</v>
          </cell>
          <cell r="I283">
            <v>35663.94</v>
          </cell>
          <cell r="J283">
            <v>22851.359999999997</v>
          </cell>
          <cell r="K283">
            <v>18475.109999999997</v>
          </cell>
          <cell r="L283">
            <v>25692.55</v>
          </cell>
          <cell r="M283">
            <v>27144.010000000002</v>
          </cell>
          <cell r="N283">
            <v>20831.050000000003</v>
          </cell>
          <cell r="O283">
            <v>22265.480000000003</v>
          </cell>
          <cell r="P283">
            <v>16985.449999999997</v>
          </cell>
          <cell r="Q283">
            <v>11806.739999999998</v>
          </cell>
          <cell r="R283">
            <v>6227</v>
          </cell>
          <cell r="S283">
            <v>2901.13</v>
          </cell>
          <cell r="T283">
            <v>4005.13</v>
          </cell>
          <cell r="U283">
            <v>13039</v>
          </cell>
          <cell r="V283">
            <v>1690.9</v>
          </cell>
          <cell r="W283">
            <v>9861.4399999999987</v>
          </cell>
          <cell r="X283">
            <v>13931.2</v>
          </cell>
          <cell r="Y283">
            <v>9369.06</v>
          </cell>
          <cell r="Z283">
            <v>6070</v>
          </cell>
          <cell r="AA283">
            <v>317721.67</v>
          </cell>
        </row>
        <row r="284">
          <cell r="B284" t="str">
            <v xml:space="preserve">2.2.1.  Ampliação Principal </v>
          </cell>
          <cell r="G284">
            <v>2530</v>
          </cell>
          <cell r="H284">
            <v>7839.5600000000013</v>
          </cell>
          <cell r="I284">
            <v>14566.64</v>
          </cell>
          <cell r="J284">
            <v>6326.2000000000007</v>
          </cell>
          <cell r="K284">
            <v>4028</v>
          </cell>
          <cell r="L284">
            <v>1496.35</v>
          </cell>
          <cell r="M284">
            <v>5289.4</v>
          </cell>
          <cell r="N284">
            <v>4404.6000000000004</v>
          </cell>
          <cell r="O284">
            <v>2000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48480.75</v>
          </cell>
        </row>
        <row r="285">
          <cell r="B285" t="str">
            <v>2.2.2.  Demais Obras de Ampliação/Melhoramentos</v>
          </cell>
          <cell r="G285">
            <v>7300</v>
          </cell>
          <cell r="H285">
            <v>5017.5600000000004</v>
          </cell>
          <cell r="I285">
            <v>8662.2999999999993</v>
          </cell>
          <cell r="J285">
            <v>9787.3599999999988</v>
          </cell>
          <cell r="K285">
            <v>7839.1099999999969</v>
          </cell>
          <cell r="L285">
            <v>10468.98</v>
          </cell>
          <cell r="M285">
            <v>14015.78</v>
          </cell>
          <cell r="N285">
            <v>9415.0600000000013</v>
          </cell>
          <cell r="O285">
            <v>6961.7900000000009</v>
          </cell>
          <cell r="P285">
            <v>6572.2099999999991</v>
          </cell>
          <cell r="Q285">
            <v>1520</v>
          </cell>
          <cell r="R285">
            <v>0</v>
          </cell>
          <cell r="S285">
            <v>0</v>
          </cell>
          <cell r="T285">
            <v>0</v>
          </cell>
          <cell r="U285">
            <v>544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88104.15</v>
          </cell>
        </row>
        <row r="286">
          <cell r="B286" t="str">
            <v xml:space="preserve">2.2.3.  Equipamentos, Veiculos e Sist. Controle </v>
          </cell>
          <cell r="G286">
            <v>3663</v>
          </cell>
          <cell r="H286">
            <v>2369</v>
          </cell>
          <cell r="I286">
            <v>879</v>
          </cell>
          <cell r="J286">
            <v>2273</v>
          </cell>
          <cell r="K286">
            <v>439</v>
          </cell>
          <cell r="L286">
            <v>4608.6000000000004</v>
          </cell>
          <cell r="M286">
            <v>5330.31</v>
          </cell>
          <cell r="N286">
            <v>1785.8</v>
          </cell>
          <cell r="O286">
            <v>3480.69</v>
          </cell>
          <cell r="P286">
            <v>710</v>
          </cell>
          <cell r="Q286">
            <v>1956</v>
          </cell>
          <cell r="R286">
            <v>780</v>
          </cell>
          <cell r="S286">
            <v>529</v>
          </cell>
          <cell r="T286">
            <v>1083</v>
          </cell>
          <cell r="U286">
            <v>759</v>
          </cell>
          <cell r="V286">
            <v>1678.9</v>
          </cell>
          <cell r="W286">
            <v>4679.7</v>
          </cell>
          <cell r="X286">
            <v>975.2</v>
          </cell>
          <cell r="Y286">
            <v>1580.8</v>
          </cell>
          <cell r="Z286">
            <v>208</v>
          </cell>
          <cell r="AA286">
            <v>39768</v>
          </cell>
        </row>
        <row r="287">
          <cell r="B287" t="str">
            <v>2.2.4.  Desapropriações</v>
          </cell>
          <cell r="G287">
            <v>35</v>
          </cell>
          <cell r="H287">
            <v>15</v>
          </cell>
          <cell r="I287">
            <v>301</v>
          </cell>
          <cell r="J287">
            <v>146</v>
          </cell>
          <cell r="K287">
            <v>80</v>
          </cell>
          <cell r="L287">
            <v>40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617</v>
          </cell>
        </row>
        <row r="288">
          <cell r="B288" t="str">
            <v xml:space="preserve">2.2.5.  Conservação Especial </v>
          </cell>
          <cell r="G288">
            <v>2324</v>
          </cell>
          <cell r="H288">
            <v>14731</v>
          </cell>
          <cell r="I288">
            <v>10226</v>
          </cell>
          <cell r="J288">
            <v>4318.8</v>
          </cell>
          <cell r="K288">
            <v>6089</v>
          </cell>
          <cell r="L288">
            <v>9078.619999999999</v>
          </cell>
          <cell r="M288">
            <v>2508.5200000000004</v>
          </cell>
          <cell r="N288">
            <v>5225.59</v>
          </cell>
          <cell r="O288">
            <v>9823</v>
          </cell>
          <cell r="P288">
            <v>9703.239999999998</v>
          </cell>
          <cell r="Q288">
            <v>8330.739999999998</v>
          </cell>
          <cell r="R288">
            <v>5447</v>
          </cell>
          <cell r="S288">
            <v>2372.13</v>
          </cell>
          <cell r="T288">
            <v>2922.13</v>
          </cell>
          <cell r="U288">
            <v>11736</v>
          </cell>
          <cell r="V288">
            <v>12</v>
          </cell>
          <cell r="W288">
            <v>5181.74</v>
          </cell>
          <cell r="X288">
            <v>12956</v>
          </cell>
          <cell r="Y288">
            <v>7788.26</v>
          </cell>
          <cell r="Z288">
            <v>5862</v>
          </cell>
          <cell r="AA288">
            <v>136635.76999999999</v>
          </cell>
        </row>
        <row r="289">
          <cell r="B289" t="str">
            <v>2.2.6.  Contratos Sub-rogados</v>
          </cell>
          <cell r="G289">
            <v>1029</v>
          </cell>
          <cell r="H289">
            <v>2058</v>
          </cell>
          <cell r="I289">
            <v>1029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4116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22910.655287550006</v>
          </cell>
          <cell r="H291">
            <v>13725.323759999999</v>
          </cell>
          <cell r="I291">
            <v>13874.65732569863</v>
          </cell>
          <cell r="J291">
            <v>14034</v>
          </cell>
          <cell r="K291">
            <v>14127.631185</v>
          </cell>
          <cell r="L291">
            <v>13799.261378484767</v>
          </cell>
          <cell r="M291">
            <v>14326.7448</v>
          </cell>
          <cell r="N291">
            <v>14433.121589999999</v>
          </cell>
          <cell r="O291">
            <v>14544.872804999999</v>
          </cell>
          <cell r="P291">
            <v>14743.86</v>
          </cell>
          <cell r="Q291">
            <v>14867.31</v>
          </cell>
          <cell r="R291">
            <v>14994.66</v>
          </cell>
          <cell r="S291">
            <v>15128.19</v>
          </cell>
          <cell r="T291">
            <v>15268.29</v>
          </cell>
          <cell r="U291">
            <v>15410.369999999999</v>
          </cell>
          <cell r="V291">
            <v>15559.2</v>
          </cell>
          <cell r="W291">
            <v>15712.44</v>
          </cell>
          <cell r="X291">
            <v>15872.91</v>
          </cell>
          <cell r="Y291">
            <v>16040.88</v>
          </cell>
          <cell r="Z291">
            <v>16216.8</v>
          </cell>
          <cell r="AA291">
            <v>305591.17813173338</v>
          </cell>
        </row>
        <row r="292">
          <cell r="B292" t="str">
            <v>2.3.1.  Valor Variável da Concessão</v>
          </cell>
          <cell r="G292">
            <v>822.65528755000014</v>
          </cell>
          <cell r="H292">
            <v>1677.32376</v>
          </cell>
          <cell r="I292">
            <v>1826.6573256986301</v>
          </cell>
          <cell r="J292">
            <v>1986</v>
          </cell>
          <cell r="K292">
            <v>2079.6311849999997</v>
          </cell>
          <cell r="L292">
            <v>2112.2654629665099</v>
          </cell>
          <cell r="M292">
            <v>2278.7447999999999</v>
          </cell>
          <cell r="N292">
            <v>2385.1215899999997</v>
          </cell>
          <cell r="O292">
            <v>2496.872805</v>
          </cell>
          <cell r="P292">
            <v>2695.86</v>
          </cell>
          <cell r="Q292">
            <v>2819.31</v>
          </cell>
          <cell r="R292">
            <v>2946.66</v>
          </cell>
          <cell r="S292">
            <v>3080.19</v>
          </cell>
          <cell r="T292">
            <v>3220.29</v>
          </cell>
          <cell r="U292">
            <v>3362.37</v>
          </cell>
          <cell r="V292">
            <v>3511.2</v>
          </cell>
          <cell r="W292">
            <v>3664.44</v>
          </cell>
          <cell r="X292">
            <v>3824.91</v>
          </cell>
          <cell r="Y292">
            <v>3992.8799999999997</v>
          </cell>
          <cell r="Z292">
            <v>4168.8</v>
          </cell>
          <cell r="AA292">
            <v>54952.182216215144</v>
          </cell>
        </row>
        <row r="293">
          <cell r="B293" t="str">
            <v xml:space="preserve">2.3.2.  Valor Fixo da Concessão </v>
          </cell>
          <cell r="G293">
            <v>22088.000000000004</v>
          </cell>
          <cell r="H293">
            <v>12048</v>
          </cell>
          <cell r="I293">
            <v>12048</v>
          </cell>
          <cell r="J293">
            <v>12048</v>
          </cell>
          <cell r="K293">
            <v>12048</v>
          </cell>
          <cell r="L293">
            <v>11686.995915518257</v>
          </cell>
          <cell r="M293">
            <v>12048</v>
          </cell>
          <cell r="N293">
            <v>12048</v>
          </cell>
          <cell r="O293">
            <v>12048</v>
          </cell>
          <cell r="P293">
            <v>12048</v>
          </cell>
          <cell r="Q293">
            <v>12048</v>
          </cell>
          <cell r="R293">
            <v>12048</v>
          </cell>
          <cell r="S293">
            <v>12048</v>
          </cell>
          <cell r="T293">
            <v>12048</v>
          </cell>
          <cell r="U293">
            <v>12048</v>
          </cell>
          <cell r="V293">
            <v>12048</v>
          </cell>
          <cell r="W293">
            <v>12048</v>
          </cell>
          <cell r="X293">
            <v>12048</v>
          </cell>
          <cell r="Y293">
            <v>12048</v>
          </cell>
          <cell r="Z293">
            <v>12048</v>
          </cell>
          <cell r="AA293">
            <v>250638.99591551826</v>
          </cell>
        </row>
        <row r="294">
          <cell r="B294" t="str">
            <v>2.4.  DESEMBOLSOS  SOBRE O LUCRO     (2.4.1. + 2.4.2)</v>
          </cell>
          <cell r="G294">
            <v>0</v>
          </cell>
          <cell r="H294">
            <v>4808.0410274240612</v>
          </cell>
          <cell r="I294">
            <v>5845.1085351481161</v>
          </cell>
          <cell r="J294">
            <v>6294.1023097613515</v>
          </cell>
          <cell r="K294">
            <v>6752.2395408679558</v>
          </cell>
          <cell r="L294">
            <v>6585.1780525537961</v>
          </cell>
          <cell r="M294">
            <v>7360.6395524054014</v>
          </cell>
          <cell r="N294">
            <v>8115.1822891002375</v>
          </cell>
          <cell r="O294">
            <v>8568.125267654661</v>
          </cell>
          <cell r="P294">
            <v>10063.862851012163</v>
          </cell>
          <cell r="Q294">
            <v>10821.247904762164</v>
          </cell>
          <cell r="R294">
            <v>11850.9035617066</v>
          </cell>
          <cell r="S294">
            <v>13056.335548928824</v>
          </cell>
          <cell r="T294">
            <v>14251.03990946454</v>
          </cell>
          <cell r="U294">
            <v>14960.760067916923</v>
          </cell>
          <cell r="V294">
            <v>16295.206125000255</v>
          </cell>
          <cell r="W294">
            <v>17035.137391250253</v>
          </cell>
          <cell r="X294">
            <v>17414.101448333586</v>
          </cell>
          <cell r="Y294">
            <v>17188.709147500253</v>
          </cell>
          <cell r="Z294">
            <v>16909.411186250258</v>
          </cell>
          <cell r="AA294">
            <v>214175.33171704141</v>
          </cell>
        </row>
        <row r="295">
          <cell r="B295" t="str">
            <v xml:space="preserve">2.4.1.  Contribuição Social  </v>
          </cell>
          <cell r="G295">
            <v>0</v>
          </cell>
          <cell r="H295">
            <v>1238.9547419273638</v>
          </cell>
          <cell r="I295">
            <v>1428.012734413011</v>
          </cell>
          <cell r="J295">
            <v>1538.566244238046</v>
          </cell>
          <cell r="K295">
            <v>1667.3943171801104</v>
          </cell>
          <cell r="L295">
            <v>1621.6931879928397</v>
          </cell>
          <cell r="M295">
            <v>1811.7476743060713</v>
          </cell>
          <cell r="N295">
            <v>1993.8288862853726</v>
          </cell>
          <cell r="O295">
            <v>2105.005415492039</v>
          </cell>
          <cell r="P295">
            <v>2450.9070772150699</v>
          </cell>
          <cell r="Q295">
            <v>2650.2960238817363</v>
          </cell>
          <cell r="R295">
            <v>2900.0321794372899</v>
          </cell>
          <cell r="S295">
            <v>3189.3795594372914</v>
          </cell>
          <cell r="T295">
            <v>3486.5547784849105</v>
          </cell>
          <cell r="U295">
            <v>3651.8973918182442</v>
          </cell>
          <cell r="V295">
            <v>3984.5179384849112</v>
          </cell>
          <cell r="W295">
            <v>4166.9663118182443</v>
          </cell>
          <cell r="X295">
            <v>4174.6816318182437</v>
          </cell>
          <cell r="Y295">
            <v>4206.1194851515766</v>
          </cell>
          <cell r="Z295">
            <v>4140.0088718182442</v>
          </cell>
          <cell r="AA295">
            <v>52406.564451200618</v>
          </cell>
        </row>
        <row r="296">
          <cell r="B296" t="str">
            <v xml:space="preserve">2.4.2.  Imposto de Renda  </v>
          </cell>
          <cell r="G296">
            <v>0</v>
          </cell>
          <cell r="H296">
            <v>3569.0862854966972</v>
          </cell>
          <cell r="I296">
            <v>4417.0958007351046</v>
          </cell>
          <cell r="J296">
            <v>4755.5360655233053</v>
          </cell>
          <cell r="K296">
            <v>5084.8452236878456</v>
          </cell>
          <cell r="L296">
            <v>4963.4848645609563</v>
          </cell>
          <cell r="M296">
            <v>5548.8918780993299</v>
          </cell>
          <cell r="N296">
            <v>6121.3534028148651</v>
          </cell>
          <cell r="O296">
            <v>6463.1198521626211</v>
          </cell>
          <cell r="P296">
            <v>7612.9557737970927</v>
          </cell>
          <cell r="Q296">
            <v>8170.9518808804278</v>
          </cell>
          <cell r="R296">
            <v>8950.8713822693098</v>
          </cell>
          <cell r="S296">
            <v>9866.9559894915328</v>
          </cell>
          <cell r="T296">
            <v>10764.48513097963</v>
          </cell>
          <cell r="U296">
            <v>11308.862676098679</v>
          </cell>
          <cell r="V296">
            <v>12310.688186515345</v>
          </cell>
          <cell r="W296">
            <v>12868.17107943201</v>
          </cell>
          <cell r="X296">
            <v>13239.419816515343</v>
          </cell>
          <cell r="Y296">
            <v>12982.589662348677</v>
          </cell>
          <cell r="Z296">
            <v>12769.402314432013</v>
          </cell>
          <cell r="AA296">
            <v>161768.76726584078</v>
          </cell>
        </row>
        <row r="297">
          <cell r="B297" t="str">
            <v>3.  SALDO DO CAIXA     (1 - 2)</v>
          </cell>
          <cell r="G297">
            <v>-25824.342742317778</v>
          </cell>
          <cell r="H297">
            <v>-17031.879449610715</v>
          </cell>
          <cell r="I297">
            <v>-18277.703682470856</v>
          </cell>
          <cell r="J297">
            <v>-3186.7623097613541</v>
          </cell>
          <cell r="K297">
            <v>3497.4324125745334</v>
          </cell>
          <cell r="L297">
            <v>-2405.0153841389547</v>
          </cell>
          <cell r="M297">
            <v>-506.2284920312668</v>
          </cell>
          <cell r="N297">
            <v>8926.5985363997606</v>
          </cell>
          <cell r="O297">
            <v>10330.298839595343</v>
          </cell>
          <cell r="P297">
            <v>19939.76414898783</v>
          </cell>
          <cell r="Q297">
            <v>27969.691595237848</v>
          </cell>
          <cell r="R297">
            <v>36282.233438293406</v>
          </cell>
          <cell r="S297">
            <v>42328.129951071176</v>
          </cell>
          <cell r="T297">
            <v>44165.370590535458</v>
          </cell>
          <cell r="U297">
            <v>38572.03643208307</v>
          </cell>
          <cell r="V297">
            <v>52967.733874999743</v>
          </cell>
          <cell r="W297">
            <v>48684.180608749739</v>
          </cell>
          <cell r="X297">
            <v>48942.29805166641</v>
          </cell>
          <cell r="Y297">
            <v>58671.546852499741</v>
          </cell>
          <cell r="Z297">
            <v>67425.748813749742</v>
          </cell>
          <cell r="AA297">
            <v>441471.1320861131</v>
          </cell>
        </row>
        <row r="298">
          <cell r="B298" t="str">
            <v xml:space="preserve">4. T.I.R. (Taxa Interna de Retorno) Anual do Projeto     </v>
          </cell>
          <cell r="G298">
            <v>0.17620790554204696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B304" t="str">
            <v>1.1.  RECEITAS     (1.1.1.+ ... + 1.1.4)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B305" t="str">
            <v>1.1.1   Receitas de Pedágio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</row>
        <row r="306">
          <cell r="B306" t="str">
            <v>1.1.2   Outras Receitas Operacionais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B309" t="str">
            <v>2.  DESEMBOLSOS     (2.1.+ ... + 2.4)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B310" t="str">
            <v>2.1.  OPERACIONAIS     (2.1.1.+ ... + 2.1.8)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B311" t="str">
            <v xml:space="preserve">2.1.1.  Pessoal / Administradores   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</row>
        <row r="312">
          <cell r="B312" t="str">
            <v xml:space="preserve">2.1.2.  Conservação de Rotina  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</row>
        <row r="313">
          <cell r="B313" t="str">
            <v xml:space="preserve">2.1.3.  Consumo   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</row>
        <row r="314">
          <cell r="B314" t="str">
            <v>2.1.4.  Transportes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B315" t="str">
            <v>2.1.5.  Diversas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B316" t="str">
            <v>2.1.6.  Tributos s/ Faturamento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</row>
        <row r="317">
          <cell r="B317" t="str">
            <v>2.1.7.  Seguros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</row>
        <row r="318">
          <cell r="B318" t="str">
            <v xml:space="preserve">2.1.8.  Garantias 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</row>
        <row r="328">
          <cell r="B328" t="str">
            <v>2.3.1.  Valor Variável da Concessão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</row>
        <row r="331">
          <cell r="B331" t="str">
            <v xml:space="preserve">2.4.1.  Contribuição Social  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</row>
        <row r="332">
          <cell r="B332" t="str">
            <v xml:space="preserve">2.4.2.  Imposto de Renda  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</row>
        <row r="333">
          <cell r="B333" t="str">
            <v>3.  SALDO DO CAIXA     (1 - 2)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</row>
        <row r="334">
          <cell r="B334" t="str">
            <v xml:space="preserve">4. T.I.R. (Taxa Interna de Retorno) Anual do Projeto     </v>
          </cell>
          <cell r="G334">
            <v>0.17620790554204696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ção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  <sheetName val="Fluxo"/>
      <sheetName val="Anexo"/>
      <sheetName val="Plan1"/>
    </sheetNames>
    <sheetDataSet>
      <sheetData sheetId="0">
        <row r="4">
          <cell r="D4">
            <v>40896</v>
          </cell>
          <cell r="E4">
            <v>0</v>
          </cell>
        </row>
        <row r="5">
          <cell r="D5">
            <v>40927</v>
          </cell>
          <cell r="E5">
            <v>1.6299999999999999E-2</v>
          </cell>
        </row>
        <row r="6">
          <cell r="D6">
            <v>40958</v>
          </cell>
          <cell r="E6">
            <v>1.6500000000000001E-2</v>
          </cell>
        </row>
        <row r="7">
          <cell r="D7">
            <v>40987</v>
          </cell>
          <cell r="E7">
            <v>1.67E-2</v>
          </cell>
        </row>
        <row r="8">
          <cell r="D8">
            <v>41018</v>
          </cell>
          <cell r="E8">
            <v>1.6799999999999999E-2</v>
          </cell>
        </row>
        <row r="9">
          <cell r="D9">
            <v>41048</v>
          </cell>
          <cell r="E9">
            <v>1.7000000000000001E-2</v>
          </cell>
        </row>
        <row r="10">
          <cell r="D10">
            <v>41079</v>
          </cell>
          <cell r="E10">
            <v>1.72E-2</v>
          </cell>
        </row>
        <row r="11">
          <cell r="D11">
            <v>41109</v>
          </cell>
          <cell r="E11">
            <v>1.7299999999999999E-2</v>
          </cell>
        </row>
        <row r="12">
          <cell r="D12">
            <v>41140</v>
          </cell>
          <cell r="E12">
            <v>1.7500000000000002E-2</v>
          </cell>
        </row>
        <row r="13">
          <cell r="D13">
            <v>41171</v>
          </cell>
          <cell r="E13">
            <v>1.77E-2</v>
          </cell>
        </row>
        <row r="14">
          <cell r="D14">
            <v>41201</v>
          </cell>
          <cell r="E14">
            <v>1.7899999999999999E-2</v>
          </cell>
        </row>
        <row r="15">
          <cell r="D15">
            <v>41232</v>
          </cell>
          <cell r="E15">
            <v>1.7999999999999999E-2</v>
          </cell>
        </row>
        <row r="16">
          <cell r="D16">
            <v>41262</v>
          </cell>
          <cell r="E16">
            <v>1.8200000000000001E-2</v>
          </cell>
        </row>
        <row r="17">
          <cell r="D17">
            <v>41293</v>
          </cell>
          <cell r="E17">
            <v>1.84E-2</v>
          </cell>
        </row>
        <row r="18">
          <cell r="D18">
            <v>41324</v>
          </cell>
          <cell r="E18">
            <v>1.8599999999999998E-2</v>
          </cell>
        </row>
        <row r="19">
          <cell r="D19">
            <v>41352</v>
          </cell>
          <cell r="E19">
            <v>1.8800000000000001E-2</v>
          </cell>
        </row>
        <row r="20">
          <cell r="D20">
            <v>41383</v>
          </cell>
          <cell r="E20">
            <v>1.89E-2</v>
          </cell>
        </row>
        <row r="21">
          <cell r="D21">
            <v>41413</v>
          </cell>
          <cell r="E21">
            <v>1.9099999999999999E-2</v>
          </cell>
        </row>
        <row r="22">
          <cell r="D22">
            <v>41444</v>
          </cell>
          <cell r="E22">
            <v>1.9300000000000001E-2</v>
          </cell>
        </row>
        <row r="23">
          <cell r="D23">
            <v>41474</v>
          </cell>
          <cell r="E23">
            <v>1.95E-2</v>
          </cell>
        </row>
        <row r="24">
          <cell r="D24">
            <v>41505</v>
          </cell>
          <cell r="E24">
            <v>1.9699999999999999E-2</v>
          </cell>
        </row>
        <row r="25">
          <cell r="D25">
            <v>41536</v>
          </cell>
          <cell r="E25">
            <v>1.9900000000000001E-2</v>
          </cell>
        </row>
        <row r="26">
          <cell r="D26">
            <v>41566</v>
          </cell>
          <cell r="E26">
            <v>2.01E-2</v>
          </cell>
        </row>
        <row r="27">
          <cell r="D27">
            <v>41597</v>
          </cell>
          <cell r="E27">
            <v>2.0299999999999999E-2</v>
          </cell>
        </row>
        <row r="28">
          <cell r="D28">
            <v>41627</v>
          </cell>
          <cell r="E28">
            <v>2.0500000000000001E-2</v>
          </cell>
        </row>
        <row r="29">
          <cell r="D29">
            <v>41658</v>
          </cell>
          <cell r="E29">
            <v>2.07E-2</v>
          </cell>
        </row>
        <row r="30">
          <cell r="D30">
            <v>41689</v>
          </cell>
          <cell r="E30">
            <v>2.0899999999999998E-2</v>
          </cell>
        </row>
        <row r="31">
          <cell r="D31">
            <v>41717</v>
          </cell>
          <cell r="E31">
            <v>2.1100000000000001E-2</v>
          </cell>
        </row>
        <row r="32">
          <cell r="D32">
            <v>41748</v>
          </cell>
          <cell r="E32">
            <v>2.1299999999999999E-2</v>
          </cell>
        </row>
        <row r="33">
          <cell r="D33">
            <v>41778</v>
          </cell>
          <cell r="E33">
            <v>2.1499999999999998E-2</v>
          </cell>
        </row>
        <row r="34">
          <cell r="D34">
            <v>41809</v>
          </cell>
          <cell r="E34">
            <v>2.1700000000000001E-2</v>
          </cell>
        </row>
        <row r="35">
          <cell r="D35">
            <v>41839</v>
          </cell>
          <cell r="E35">
            <v>2.1999999999999999E-2</v>
          </cell>
        </row>
        <row r="36">
          <cell r="D36">
            <v>41870</v>
          </cell>
          <cell r="E36">
            <v>2.2200000000000001E-2</v>
          </cell>
        </row>
        <row r="37">
          <cell r="D37">
            <v>41901</v>
          </cell>
          <cell r="E37">
            <v>2.24E-2</v>
          </cell>
        </row>
        <row r="38">
          <cell r="D38">
            <v>41931</v>
          </cell>
          <cell r="E38">
            <v>2.2599999999999999E-2</v>
          </cell>
        </row>
        <row r="39">
          <cell r="D39">
            <v>41962</v>
          </cell>
          <cell r="E39">
            <v>2.2800000000000001E-2</v>
          </cell>
        </row>
        <row r="40">
          <cell r="D40">
            <v>41992</v>
          </cell>
          <cell r="E40">
            <v>2.3099999999999999E-2</v>
          </cell>
        </row>
        <row r="41">
          <cell r="D41">
            <v>42023</v>
          </cell>
          <cell r="E41">
            <v>2.3300000000000001E-2</v>
          </cell>
        </row>
        <row r="42">
          <cell r="D42">
            <v>42054</v>
          </cell>
          <cell r="E42">
            <v>2.35E-2</v>
          </cell>
        </row>
        <row r="43">
          <cell r="D43">
            <v>42082</v>
          </cell>
          <cell r="E43">
            <v>2.3699999999999999E-2</v>
          </cell>
        </row>
        <row r="44">
          <cell r="D44">
            <v>42113</v>
          </cell>
          <cell r="E44">
            <v>2.4E-2</v>
          </cell>
        </row>
        <row r="45">
          <cell r="D45">
            <v>42143</v>
          </cell>
          <cell r="E45">
            <v>2.4199999999999999E-2</v>
          </cell>
        </row>
        <row r="46">
          <cell r="D46">
            <v>42174</v>
          </cell>
          <cell r="E46">
            <v>2.4500000000000001E-2</v>
          </cell>
        </row>
        <row r="47">
          <cell r="D47">
            <v>42204</v>
          </cell>
          <cell r="E47">
            <v>2.47E-2</v>
          </cell>
        </row>
        <row r="48">
          <cell r="D48">
            <v>42235</v>
          </cell>
          <cell r="E48">
            <v>2.4899999999999999E-2</v>
          </cell>
        </row>
        <row r="49">
          <cell r="D49">
            <v>42266</v>
          </cell>
          <cell r="E49">
            <v>2.52E-2</v>
          </cell>
        </row>
        <row r="50">
          <cell r="D50">
            <v>42296</v>
          </cell>
          <cell r="E50">
            <v>2.5399999999999999E-2</v>
          </cell>
        </row>
        <row r="51">
          <cell r="D51">
            <v>42327</v>
          </cell>
          <cell r="E51">
            <v>2.5700000000000001E-2</v>
          </cell>
        </row>
        <row r="52">
          <cell r="D52">
            <v>42357</v>
          </cell>
          <cell r="E52">
            <v>2.8400000000000203E-2</v>
          </cell>
        </row>
      </sheetData>
      <sheetData sheetId="1">
        <row r="6">
          <cell r="F6">
            <v>32570000</v>
          </cell>
        </row>
      </sheetData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"/>
    </sheetNames>
    <sheetDataSet>
      <sheetData sheetId="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- Base Case"/>
      <sheetName val="Cash Flow - No inflation"/>
      <sheetName val="Tariff"/>
      <sheetName val="Water Consumption"/>
      <sheetName val="Connections"/>
      <sheetName val="Water Revenues"/>
      <sheetName val="CAPEX"/>
      <sheetName val="Depr-Amort"/>
      <sheetName val="Financial Statement - 2015"/>
      <sheetName val="Inflation"/>
      <sheetName val="BRDE"/>
      <sheetName val="Debêntures em estruturação"/>
    </sheetNames>
    <sheetDataSet>
      <sheetData sheetId="0"/>
      <sheetData sheetId="1" refreshError="1"/>
      <sheetData sheetId="2">
        <row r="3">
          <cell r="C3">
            <v>32.42</v>
          </cell>
        </row>
        <row r="11">
          <cell r="C11">
            <v>50.94</v>
          </cell>
        </row>
        <row r="27">
          <cell r="C27">
            <v>49.81</v>
          </cell>
        </row>
        <row r="35">
          <cell r="C35">
            <v>6.17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. 8 à 10"/>
      <sheetName val="Pag .11 À 13"/>
      <sheetName val="Pag.14"/>
      <sheetName val="Pag. 16 "/>
      <sheetName val="Pag. 17"/>
      <sheetName val="Pag. 18 à 21 e 24 à 28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put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t_Físicas"/>
      <sheetName val="Mod_Log"/>
      <sheetName val="Res_Fluxo_Caixa"/>
      <sheetName val="FLUXO DE CAIXA"/>
      <sheetName val="DEPRECIAÇÃO"/>
      <sheetName val="Receita"/>
      <sheetName val="DD_Dados"/>
      <sheetName val="DD_Finance"/>
      <sheetName val="EQUIPAM_ Fis"/>
      <sheetName val="EQUIPAM_Finance"/>
      <sheetName val="VEIC_RT"/>
      <sheetName val="VEI_ Fis"/>
      <sheetName val="VEI_Finance"/>
      <sheetName val="MDO_Perm"/>
      <sheetName val="MDO_Finance"/>
      <sheetName val="Resumo_Invest"/>
      <sheetName val="Oeste"/>
      <sheetName val="Dados Oeste"/>
      <sheetName val="Resumo 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E1">
            <v>0.14999963618726533</v>
          </cell>
        </row>
      </sheetData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Capa Simulador"/>
      <sheetName val="FLUXO + DRE  Original 20 anos"/>
      <sheetName val="Fatores 20 anos"/>
      <sheetName val="Prorrogação Fluxo 23 anos"/>
      <sheetName val="Comparativo de Mercado "/>
      <sheetName val="RELATA VÉ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TRIÂNGULO DO SOL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17531.025769499331</v>
          </cell>
          <cell r="H67">
            <v>100237.94899716858</v>
          </cell>
          <cell r="I67">
            <v>0.24696226534922128</v>
          </cell>
        </row>
        <row r="68">
          <cell r="B68" t="str">
            <v>FATOR 2</v>
          </cell>
          <cell r="C68" t="str">
            <v>2ª Adequação - Investimentos</v>
          </cell>
          <cell r="G68">
            <v>-17535.412516555556</v>
          </cell>
          <cell r="H68">
            <v>-100263.03130173347</v>
          </cell>
          <cell r="I68">
            <v>0.18665688885108117</v>
          </cell>
        </row>
        <row r="69">
          <cell r="B69" t="str">
            <v>FATOR 3</v>
          </cell>
          <cell r="C69" t="str">
            <v>3ª Adequação - Investimentos</v>
          </cell>
          <cell r="G69">
            <v>11672.668432667002</v>
          </cell>
          <cell r="H69">
            <v>66741.35092826061</v>
          </cell>
          <cell r="I69">
            <v>0.23205558086970621</v>
          </cell>
        </row>
        <row r="70">
          <cell r="B70" t="str">
            <v>FATOR 4</v>
          </cell>
          <cell r="C70" t="str">
            <v>Perda de Receita - Praça Jaboticabal - SP 333</v>
          </cell>
          <cell r="G70">
            <v>-8254.1137599353187</v>
          </cell>
          <cell r="H70">
            <v>-47194.924299563849</v>
          </cell>
          <cell r="I70">
            <v>0.20209534824846426</v>
          </cell>
        </row>
        <row r="71">
          <cell r="B71" t="str">
            <v>FATOR 5</v>
          </cell>
          <cell r="C71" t="str">
            <v>Perda de Receita - Parcelamento do Reajuste Tarifário de Julho de 2003.</v>
          </cell>
          <cell r="G71">
            <v>-562.64996557147754</v>
          </cell>
          <cell r="H71">
            <v>-3217.0894786051713</v>
          </cell>
          <cell r="I71">
            <v>0.21296315596990562</v>
          </cell>
        </row>
        <row r="72">
          <cell r="B72" t="str">
            <v>FATOR 6</v>
          </cell>
          <cell r="C72" t="str">
            <v>Majoração da COFINS</v>
          </cell>
          <cell r="G72">
            <v>-3172.0966653015266</v>
          </cell>
          <cell r="H72">
            <v>-18137.242391359723</v>
          </cell>
          <cell r="I72">
            <v>0.20922654010764014</v>
          </cell>
        </row>
        <row r="73">
          <cell r="B73" t="str">
            <v>FATOR 7</v>
          </cell>
          <cell r="C73" t="str">
            <v>Majoração do PIS</v>
          </cell>
          <cell r="G73">
            <v>-187.01112667205356</v>
          </cell>
          <cell r="H73">
            <v>-1069.2820844442633</v>
          </cell>
          <cell r="I73">
            <v>0.21350091488485656</v>
          </cell>
        </row>
        <row r="74">
          <cell r="B74" t="str">
            <v>FATOR 8</v>
          </cell>
          <cell r="C74" t="str">
            <v>Alteração do ISSQN</v>
          </cell>
          <cell r="G74">
            <v>-3169.02260989263</v>
          </cell>
          <cell r="H74">
            <v>-18119.665723950591</v>
          </cell>
          <cell r="I74">
            <v>0.20916542097622126</v>
          </cell>
        </row>
        <row r="75">
          <cell r="B75" t="str">
            <v>FATOR 9</v>
          </cell>
          <cell r="C75" t="str">
            <v>4ª Adequação - Investimentos</v>
          </cell>
          <cell r="G75">
            <v>127.1995200178546</v>
          </cell>
          <cell r="H75">
            <v>727.2945215902314</v>
          </cell>
          <cell r="I75">
            <v>0.21395204411495194</v>
          </cell>
        </row>
        <row r="76">
          <cell r="B76" t="str">
            <v>FATOR 10</v>
          </cell>
          <cell r="C76" t="str">
            <v>5ª Adequação - Investimentos</v>
          </cell>
          <cell r="G76">
            <v>264.65299830189173</v>
          </cell>
          <cell r="H76">
            <v>1513.2185700101443</v>
          </cell>
          <cell r="I76">
            <v>0.21414919614264244</v>
          </cell>
        </row>
        <row r="77">
          <cell r="B77" t="str">
            <v>FATOR 11</v>
          </cell>
          <cell r="C77" t="str">
            <v>6ª Adequação - Investimentos</v>
          </cell>
          <cell r="G77">
            <v>444.19799278732711</v>
          </cell>
          <cell r="H77">
            <v>2539.8112084876798</v>
          </cell>
          <cell r="I77">
            <v>0.2144076656800544</v>
          </cell>
        </row>
        <row r="78">
          <cell r="B78" t="str">
            <v>FATOR 12</v>
          </cell>
          <cell r="C78">
            <v>0</v>
          </cell>
          <cell r="G78">
            <v>6.7812953345933189E-11</v>
          </cell>
          <cell r="H78">
            <v>3.877372293105215E-10</v>
          </cell>
          <cell r="I78">
            <v>0.21376914659013574</v>
          </cell>
        </row>
        <row r="79">
          <cell r="B79" t="str">
            <v>FATOR 13</v>
          </cell>
          <cell r="C79">
            <v>0</v>
          </cell>
          <cell r="G79">
            <v>6.7812953345933189E-11</v>
          </cell>
          <cell r="H79">
            <v>3.877372293105215E-10</v>
          </cell>
          <cell r="I79">
            <v>0.21376914659013574</v>
          </cell>
        </row>
        <row r="80">
          <cell r="B80" t="str">
            <v>FATOR 14</v>
          </cell>
          <cell r="C80">
            <v>0</v>
          </cell>
          <cell r="G80">
            <v>6.7812953345933189E-11</v>
          </cell>
          <cell r="H80">
            <v>3.877372293105215E-10</v>
          </cell>
          <cell r="I80">
            <v>0.21376914659013574</v>
          </cell>
        </row>
        <row r="81">
          <cell r="B81" t="str">
            <v>FATOR 15</v>
          </cell>
          <cell r="C81">
            <v>0</v>
          </cell>
          <cell r="G81">
            <v>6.7812953345933189E-11</v>
          </cell>
          <cell r="H81">
            <v>3.877372293105215E-10</v>
          </cell>
          <cell r="I81">
            <v>0.21376914659013574</v>
          </cell>
        </row>
        <row r="82">
          <cell r="B82" t="str">
            <v>TOTAL GERAL</v>
          </cell>
          <cell r="G82">
            <v>-2840.5619306548856</v>
          </cell>
          <cell r="H82">
            <v>-16241.611054138271</v>
          </cell>
          <cell r="I82">
            <v>0.20714524689834499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23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0.21376914659013574</v>
          </cell>
        </row>
        <row r="98">
          <cell r="B98" t="str">
            <v>TIR Resultante dos Desequilibrio no Contrato Original (ao ano)</v>
          </cell>
          <cell r="J98">
            <v>0.20714524689834499</v>
          </cell>
        </row>
        <row r="100">
          <cell r="B100" t="str">
            <v>Diferença entre a TIR Original x TIR Desequilibrios</v>
          </cell>
          <cell r="J100">
            <v>-6.6238996917907522E-3</v>
          </cell>
        </row>
        <row r="102">
          <cell r="B102" t="str">
            <v>TIR Resultante das Alternativas Utilizadas para o Reequilibrio (ao ano)</v>
          </cell>
          <cell r="J102">
            <v>0.2144305147714714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6.7812953345933189E-11</v>
          </cell>
          <cell r="G136">
            <v>0.21376914659013574</v>
          </cell>
          <cell r="H136">
            <v>-55467.026100546813</v>
          </cell>
          <cell r="I136">
            <v>-58486.250509087418</v>
          </cell>
          <cell r="J136">
            <v>-14001.236301379788</v>
          </cell>
          <cell r="K136">
            <v>-5917.0385956415557</v>
          </cell>
          <cell r="L136">
            <v>27035.8482549498</v>
          </cell>
          <cell r="M136">
            <v>34070.156432472533</v>
          </cell>
          <cell r="N136">
            <v>33894.040008648139</v>
          </cell>
          <cell r="O136">
            <v>50832.46751669723</v>
          </cell>
          <cell r="P136">
            <v>57981.821582342178</v>
          </cell>
          <cell r="Q136">
            <v>25002.751737808605</v>
          </cell>
          <cell r="R136">
            <v>31834.672655489092</v>
          </cell>
          <cell r="S136">
            <v>68671.546088620467</v>
          </cell>
          <cell r="T136">
            <v>74573.848792032863</v>
          </cell>
          <cell r="U136">
            <v>78463.516217114549</v>
          </cell>
          <cell r="V136">
            <v>84062.017591921744</v>
          </cell>
          <cell r="W136">
            <v>92214.689488707387</v>
          </cell>
          <cell r="X136">
            <v>101596.24123737995</v>
          </cell>
          <cell r="Y136">
            <v>78058.178958428529</v>
          </cell>
          <cell r="Z136">
            <v>106665.7970964089</v>
          </cell>
          <cell r="AA136">
            <v>118165.46593119178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42262.428161025142</v>
          </cell>
          <cell r="I139">
            <v>16024.36196379851</v>
          </cell>
          <cell r="J139">
            <v>-26378.283655114079</v>
          </cell>
          <cell r="K139">
            <v>-1300.481216047009</v>
          </cell>
          <cell r="L139">
            <v>-17000.690211049132</v>
          </cell>
          <cell r="M139">
            <v>-6206.0199042755221</v>
          </cell>
          <cell r="N139">
            <v>-19746.91842338039</v>
          </cell>
          <cell r="O139">
            <v>-12153.528227805746</v>
          </cell>
          <cell r="P139">
            <v>-10534.130147978836</v>
          </cell>
          <cell r="Q139">
            <v>33329.311016682128</v>
          </cell>
          <cell r="R139">
            <v>19930.836153090862</v>
          </cell>
          <cell r="S139">
            <v>-5622.038220686024</v>
          </cell>
          <cell r="T139">
            <v>-8154.7591877442646</v>
          </cell>
          <cell r="U139">
            <v>-6870.0156325618227</v>
          </cell>
          <cell r="V139">
            <v>-10762.218307652065</v>
          </cell>
          <cell r="W139">
            <v>-7990.2987031465982</v>
          </cell>
          <cell r="X139">
            <v>-10504.109196462958</v>
          </cell>
          <cell r="Y139">
            <v>24079.638390378248</v>
          </cell>
          <cell r="Z139">
            <v>6551.3684429720797</v>
          </cell>
          <cell r="AA139">
            <v>1048.2212836289873</v>
          </cell>
        </row>
        <row r="140">
          <cell r="B140" t="str">
            <v>Somatoria com Projeto Original</v>
          </cell>
          <cell r="F140">
            <v>17531.025769499331</v>
          </cell>
          <cell r="G140">
            <v>0.24696226534922128</v>
          </cell>
          <cell r="H140">
            <v>-13204.597939521671</v>
          </cell>
          <cell r="I140">
            <v>-42461.888545288908</v>
          </cell>
          <cell r="J140">
            <v>-40379.519956493867</v>
          </cell>
          <cell r="K140">
            <v>-7217.5198116885649</v>
          </cell>
          <cell r="L140">
            <v>10035.158043900668</v>
          </cell>
          <cell r="M140">
            <v>27864.13652819701</v>
          </cell>
          <cell r="N140">
            <v>14147.121585267749</v>
          </cell>
          <cell r="O140">
            <v>38678.939288891488</v>
          </cell>
          <cell r="P140">
            <v>47447.69143436334</v>
          </cell>
          <cell r="Q140">
            <v>58332.062754490733</v>
          </cell>
          <cell r="R140">
            <v>51765.508808579951</v>
          </cell>
          <cell r="S140">
            <v>63049.507867934444</v>
          </cell>
          <cell r="T140">
            <v>66419.089604288602</v>
          </cell>
          <cell r="U140">
            <v>71593.500584552734</v>
          </cell>
          <cell r="V140">
            <v>73299.799284269684</v>
          </cell>
          <cell r="W140">
            <v>84224.390785560783</v>
          </cell>
          <cell r="X140">
            <v>91092.132040916986</v>
          </cell>
          <cell r="Y140">
            <v>102137.81734880677</v>
          </cell>
          <cell r="Z140">
            <v>113217.16553938098</v>
          </cell>
          <cell r="AA140">
            <v>119213.68721482076</v>
          </cell>
        </row>
        <row r="141">
          <cell r="B141" t="str">
            <v>2ª Adequação - Investimentos</v>
          </cell>
        </row>
        <row r="142">
          <cell r="B142" t="str">
            <v>Fluxo de Caixa do Fator</v>
          </cell>
          <cell r="H142">
            <v>-13964.230412711882</v>
          </cell>
          <cell r="I142">
            <v>19664.773443524718</v>
          </cell>
          <cell r="J142">
            <v>35615.04391094255</v>
          </cell>
          <cell r="K142">
            <v>-14101.716827123626</v>
          </cell>
          <cell r="L142">
            <v>-37757.71779790151</v>
          </cell>
          <cell r="M142">
            <v>-34152.429500505386</v>
          </cell>
          <cell r="N142">
            <v>-2177.5420061929626</v>
          </cell>
          <cell r="O142">
            <v>3918.7659983299491</v>
          </cell>
          <cell r="P142">
            <v>1814.6134037838492</v>
          </cell>
          <cell r="Q142">
            <v>-21270.966465748905</v>
          </cell>
          <cell r="R142">
            <v>-361.08312948269213</v>
          </cell>
          <cell r="S142">
            <v>-8066.6675783124665</v>
          </cell>
          <cell r="T142">
            <v>-9095.5196960275352</v>
          </cell>
          <cell r="U142">
            <v>-10058.159965981471</v>
          </cell>
          <cell r="V142">
            <v>-9704.0188395984587</v>
          </cell>
          <cell r="W142">
            <v>-12825.276265503999</v>
          </cell>
          <cell r="X142">
            <v>-12689.875690873012</v>
          </cell>
          <cell r="Y142">
            <v>-18360.134566336827</v>
          </cell>
          <cell r="Z142">
            <v>-22928.212367299617</v>
          </cell>
          <cell r="AA142">
            <v>-17166.307636289457</v>
          </cell>
        </row>
        <row r="143">
          <cell r="B143" t="str">
            <v>Somatoria com Projeto Original</v>
          </cell>
          <cell r="F143">
            <v>-17535.412516555556</v>
          </cell>
          <cell r="G143">
            <v>0.18665688885108117</v>
          </cell>
          <cell r="H143">
            <v>-69431.25651325869</v>
          </cell>
          <cell r="I143">
            <v>-38821.4770655627</v>
          </cell>
          <cell r="J143">
            <v>21613.807609562762</v>
          </cell>
          <cell r="K143">
            <v>-20018.755422765182</v>
          </cell>
          <cell r="L143">
            <v>-10721.86954295171</v>
          </cell>
          <cell r="M143">
            <v>-82.273068032853189</v>
          </cell>
          <cell r="N143">
            <v>31716.498002455177</v>
          </cell>
          <cell r="O143">
            <v>54751.233515027183</v>
          </cell>
          <cell r="P143">
            <v>59796.434986126027</v>
          </cell>
          <cell r="Q143">
            <v>3731.7852720597002</v>
          </cell>
          <cell r="R143">
            <v>31473.589526006399</v>
          </cell>
          <cell r="S143">
            <v>60604.878510308001</v>
          </cell>
          <cell r="T143">
            <v>65478.329096005327</v>
          </cell>
          <cell r="U143">
            <v>68405.356251133082</v>
          </cell>
          <cell r="V143">
            <v>74357.998752323285</v>
          </cell>
          <cell r="W143">
            <v>79389.413223203388</v>
          </cell>
          <cell r="X143">
            <v>88906.365546506931</v>
          </cell>
          <cell r="Y143">
            <v>59698.044392091702</v>
          </cell>
          <cell r="Z143">
            <v>83737.58472910928</v>
          </cell>
          <cell r="AA143">
            <v>100999.15829490233</v>
          </cell>
        </row>
        <row r="144">
          <cell r="B144" t="str">
            <v>3ª Adequação - Investimentos</v>
          </cell>
        </row>
        <row r="145">
          <cell r="B145" t="str">
            <v>Fluxo de Caixa do Fator</v>
          </cell>
          <cell r="H145">
            <v>170.24719000000078</v>
          </cell>
          <cell r="I145">
            <v>-337.66221578947506</v>
          </cell>
          <cell r="J145">
            <v>-4812.7715691228068</v>
          </cell>
          <cell r="K145">
            <v>18843.632815812627</v>
          </cell>
          <cell r="L145">
            <v>25195.526375451602</v>
          </cell>
          <cell r="M145">
            <v>28408.7077554516</v>
          </cell>
          <cell r="N145">
            <v>4774.5057583087446</v>
          </cell>
          <cell r="O145">
            <v>-27822.690921691261</v>
          </cell>
          <cell r="P145">
            <v>-23699.117520677435</v>
          </cell>
          <cell r="Q145">
            <v>-15375.080220677479</v>
          </cell>
          <cell r="R145">
            <v>-17568.949098116427</v>
          </cell>
          <cell r="S145">
            <v>-20525.311902721351</v>
          </cell>
          <cell r="T145">
            <v>10490.21664227865</v>
          </cell>
          <cell r="U145">
            <v>11258.249557992936</v>
          </cell>
          <cell r="V145">
            <v>9178.9208579929327</v>
          </cell>
          <cell r="W145">
            <v>11103.686520036857</v>
          </cell>
          <cell r="X145">
            <v>9118.4800600368562</v>
          </cell>
          <cell r="Y145">
            <v>-5225.8062599631412</v>
          </cell>
          <cell r="Z145">
            <v>-4806.3206399631435</v>
          </cell>
          <cell r="AA145">
            <v>-9671.7931399631379</v>
          </cell>
        </row>
        <row r="146">
          <cell r="B146" t="str">
            <v>Somatoria com Projeto Original</v>
          </cell>
          <cell r="F146">
            <v>11672.668432667002</v>
          </cell>
          <cell r="G146">
            <v>0.23205558086970621</v>
          </cell>
          <cell r="H146">
            <v>-55296.778910546811</v>
          </cell>
          <cell r="I146">
            <v>-58823.912724876893</v>
          </cell>
          <cell r="J146">
            <v>-18814.007870502595</v>
          </cell>
          <cell r="K146">
            <v>12926.594220171071</v>
          </cell>
          <cell r="L146">
            <v>52231.374630401406</v>
          </cell>
          <cell r="M146">
            <v>62478.864187924133</v>
          </cell>
          <cell r="N146">
            <v>38668.545766956886</v>
          </cell>
          <cell r="O146">
            <v>23009.776595005969</v>
          </cell>
          <cell r="P146">
            <v>34282.704061664743</v>
          </cell>
          <cell r="Q146">
            <v>9627.6715171311262</v>
          </cell>
          <cell r="R146">
            <v>14265.723557372665</v>
          </cell>
          <cell r="S146">
            <v>48146.234185899113</v>
          </cell>
          <cell r="T146">
            <v>85064.065434311517</v>
          </cell>
          <cell r="U146">
            <v>89721.765775107488</v>
          </cell>
          <cell r="V146">
            <v>93240.938449914684</v>
          </cell>
          <cell r="W146">
            <v>103318.37600874425</v>
          </cell>
          <cell r="X146">
            <v>110714.72129741681</v>
          </cell>
          <cell r="Y146">
            <v>72832.372698465391</v>
          </cell>
          <cell r="Z146">
            <v>101859.47645644576</v>
          </cell>
          <cell r="AA146">
            <v>108493.67279122864</v>
          </cell>
        </row>
        <row r="147">
          <cell r="B147" t="str">
            <v>Perda de Receita - Praça Jaboticabal - SP 333</v>
          </cell>
        </row>
        <row r="148">
          <cell r="B148" t="str">
            <v>Fluxo de Caixa do Fator</v>
          </cell>
          <cell r="H148">
            <v>0.28527238225049251</v>
          </cell>
          <cell r="I148">
            <v>-2083.9030580557492</v>
          </cell>
          <cell r="J148">
            <v>-2023.0396183230016</v>
          </cell>
          <cell r="K148">
            <v>-2051.7879186678756</v>
          </cell>
          <cell r="L148">
            <v>-2582.1492961503614</v>
          </cell>
          <cell r="M148">
            <v>-2816.5612772397931</v>
          </cell>
          <cell r="N148">
            <v>-2893.6240481820928</v>
          </cell>
          <cell r="O148">
            <v>-1779.4974223389879</v>
          </cell>
          <cell r="P148">
            <v>-1824.329394356791</v>
          </cell>
          <cell r="Q148">
            <v>-1872.2988442263511</v>
          </cell>
          <cell r="R148">
            <v>-1924.3900012786248</v>
          </cell>
          <cell r="S148">
            <v>-1978.8859422273736</v>
          </cell>
          <cell r="T148">
            <v>-2037.2553415904611</v>
          </cell>
          <cell r="U148">
            <v>-2098.6768294972871</v>
          </cell>
          <cell r="V148">
            <v>-2122.281728145766</v>
          </cell>
          <cell r="W148">
            <v>-2147.9986436639247</v>
          </cell>
          <cell r="X148">
            <v>-2175.4188520637681</v>
          </cell>
          <cell r="Y148">
            <v>-2204.1005563494305</v>
          </cell>
          <cell r="Z148">
            <v>-2235.0005829562901</v>
          </cell>
          <cell r="AA148">
            <v>-2267.6827058528447</v>
          </cell>
        </row>
        <row r="149">
          <cell r="B149" t="str">
            <v>Somatoria com Projeto Original</v>
          </cell>
          <cell r="F149">
            <v>-8254.1137599353187</v>
          </cell>
          <cell r="G149">
            <v>0.20209534824846426</v>
          </cell>
          <cell r="H149">
            <v>-55466.740828164562</v>
          </cell>
          <cell r="I149">
            <v>-60570.15356714317</v>
          </cell>
          <cell r="J149">
            <v>-16024.27591970279</v>
          </cell>
          <cell r="K149">
            <v>-7968.8265143094313</v>
          </cell>
          <cell r="L149">
            <v>24453.698958799439</v>
          </cell>
          <cell r="M149">
            <v>31253.595155232739</v>
          </cell>
          <cell r="N149">
            <v>31000.415960466045</v>
          </cell>
          <cell r="O149">
            <v>49052.970094358243</v>
          </cell>
          <cell r="P149">
            <v>56157.492187985386</v>
          </cell>
          <cell r="Q149">
            <v>23130.452893582253</v>
          </cell>
          <cell r="R149">
            <v>29910.282654210467</v>
          </cell>
          <cell r="S149">
            <v>66692.6601463931</v>
          </cell>
          <cell r="T149">
            <v>72536.593450442408</v>
          </cell>
          <cell r="U149">
            <v>76364.839387617263</v>
          </cell>
          <cell r="V149">
            <v>81939.735863775975</v>
          </cell>
          <cell r="W149">
            <v>90066.690845043457</v>
          </cell>
          <cell r="X149">
            <v>99420.822385316176</v>
          </cell>
          <cell r="Y149">
            <v>75854.078402079103</v>
          </cell>
          <cell r="Z149">
            <v>104430.79651345262</v>
          </cell>
          <cell r="AA149">
            <v>115897.78322533894</v>
          </cell>
        </row>
        <row r="150">
          <cell r="B150" t="str">
            <v>Perda de Receita - Parcelamento do Reajuste Tarifário de Julho de 2003.</v>
          </cell>
        </row>
        <row r="151">
          <cell r="B151" t="str">
            <v>Fluxo de Caixa do Fator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-1799.0981587926644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B152" t="str">
            <v>Somatoria com Projeto Original</v>
          </cell>
          <cell r="F152">
            <v>-562.64996557147754</v>
          </cell>
          <cell r="G152">
            <v>0.21296315596990562</v>
          </cell>
          <cell r="H152">
            <v>-55467.026100546813</v>
          </cell>
          <cell r="I152">
            <v>-58486.250509087418</v>
          </cell>
          <cell r="J152">
            <v>-14001.236301379788</v>
          </cell>
          <cell r="K152">
            <v>-5917.0385956415557</v>
          </cell>
          <cell r="L152">
            <v>27035.8482549498</v>
          </cell>
          <cell r="M152">
            <v>32271.058273679868</v>
          </cell>
          <cell r="N152">
            <v>33894.040008648139</v>
          </cell>
          <cell r="O152">
            <v>50832.46751669723</v>
          </cell>
          <cell r="P152">
            <v>57981.821582342178</v>
          </cell>
          <cell r="Q152">
            <v>25002.751737808605</v>
          </cell>
          <cell r="R152">
            <v>31834.672655489092</v>
          </cell>
          <cell r="S152">
            <v>68671.546088620467</v>
          </cell>
          <cell r="T152">
            <v>74573.848792032863</v>
          </cell>
          <cell r="U152">
            <v>78463.516217114549</v>
          </cell>
          <cell r="V152">
            <v>84062.017591921744</v>
          </cell>
          <cell r="W152">
            <v>92214.689488707387</v>
          </cell>
          <cell r="X152">
            <v>101596.24123737995</v>
          </cell>
          <cell r="Y152">
            <v>78058.178958428529</v>
          </cell>
          <cell r="Z152">
            <v>106665.7970964089</v>
          </cell>
          <cell r="AA152">
            <v>118165.46593119178</v>
          </cell>
        </row>
        <row r="153">
          <cell r="B153" t="str">
            <v>Majoração da COFINS</v>
          </cell>
        </row>
        <row r="154">
          <cell r="B154" t="str">
            <v>Fluxo de Caixa do Fator</v>
          </cell>
          <cell r="H154">
            <v>-125.28132084791665</v>
          </cell>
          <cell r="I154">
            <v>-560.10911799290091</v>
          </cell>
          <cell r="J154">
            <v>-667.05378633465943</v>
          </cell>
          <cell r="K154">
            <v>-644.72625716388598</v>
          </cell>
          <cell r="L154">
            <v>-640.26520483239665</v>
          </cell>
          <cell r="M154">
            <v>-1229.5349253983645</v>
          </cell>
          <cell r="N154">
            <v>-752.63350129534672</v>
          </cell>
          <cell r="O154">
            <v>-810.80156809149969</v>
          </cell>
          <cell r="P154">
            <v>-884.24850328839671</v>
          </cell>
          <cell r="Q154">
            <v>-966.570247962748</v>
          </cell>
          <cell r="R154">
            <v>-994.65326202277993</v>
          </cell>
          <cell r="S154">
            <v>-1033.0087115229862</v>
          </cell>
          <cell r="T154">
            <v>-1126.4646920250411</v>
          </cell>
          <cell r="U154">
            <v>-1224.0991988479725</v>
          </cell>
          <cell r="V154">
            <v>-1351.2055080062701</v>
          </cell>
          <cell r="W154">
            <v>-1477.0635825810498</v>
          </cell>
          <cell r="X154">
            <v>-1604.4696502822653</v>
          </cell>
          <cell r="Y154">
            <v>-1733.8818770536905</v>
          </cell>
          <cell r="Z154">
            <v>-1834.4238113288184</v>
          </cell>
          <cell r="AA154">
            <v>-1956.2677273626969</v>
          </cell>
        </row>
        <row r="155">
          <cell r="B155" t="str">
            <v>Somatoria com Projeto Original</v>
          </cell>
          <cell r="F155">
            <v>-3172.0966653015266</v>
          </cell>
          <cell r="G155">
            <v>0.20922654010764014</v>
          </cell>
          <cell r="H155">
            <v>-55592.307421394733</v>
          </cell>
          <cell r="I155">
            <v>-59046.359627080317</v>
          </cell>
          <cell r="J155">
            <v>-14668.290087714448</v>
          </cell>
          <cell r="K155">
            <v>-6561.7648528054415</v>
          </cell>
          <cell r="L155">
            <v>26395.583050117402</v>
          </cell>
          <cell r="M155">
            <v>32840.621507074167</v>
          </cell>
          <cell r="N155">
            <v>33141.406507352789</v>
          </cell>
          <cell r="O155">
            <v>50021.665948605732</v>
          </cell>
          <cell r="P155">
            <v>57097.573079053778</v>
          </cell>
          <cell r="Q155">
            <v>24036.181489845858</v>
          </cell>
          <cell r="R155">
            <v>30840.019393466311</v>
          </cell>
          <cell r="S155">
            <v>67638.537377097484</v>
          </cell>
          <cell r="T155">
            <v>73447.384100007825</v>
          </cell>
          <cell r="U155">
            <v>77239.417018266584</v>
          </cell>
          <cell r="V155">
            <v>82710.812083915473</v>
          </cell>
          <cell r="W155">
            <v>90737.625906126341</v>
          </cell>
          <cell r="X155">
            <v>99991.771587097683</v>
          </cell>
          <cell r="Y155">
            <v>76324.29708137484</v>
          </cell>
          <cell r="Z155">
            <v>104831.37328508009</v>
          </cell>
          <cell r="AA155">
            <v>116209.19820382909</v>
          </cell>
        </row>
        <row r="156">
          <cell r="B156" t="str">
            <v>Majoração do PIS</v>
          </cell>
        </row>
        <row r="157">
          <cell r="B157" t="str">
            <v>Fluxo de Caixa do Fator</v>
          </cell>
          <cell r="H157">
            <v>0</v>
          </cell>
          <cell r="I157">
            <v>-0.67501363321185859</v>
          </cell>
          <cell r="J157">
            <v>-16.102361386509592</v>
          </cell>
          <cell r="K157">
            <v>-6.8449237103837</v>
          </cell>
          <cell r="L157">
            <v>-107.50910573449309</v>
          </cell>
          <cell r="M157">
            <v>-195.26502660521874</v>
          </cell>
          <cell r="N157">
            <v>-14.348535085218465</v>
          </cell>
          <cell r="O157">
            <v>-19.718878331173414</v>
          </cell>
          <cell r="P157">
            <v>-31.111479116224128</v>
          </cell>
          <cell r="Q157">
            <v>-44.427050680340997</v>
          </cell>
          <cell r="R157">
            <v>-45.993316333571755</v>
          </cell>
          <cell r="S157">
            <v>-49.782208308469166</v>
          </cell>
          <cell r="T157">
            <v>-65.511370777903736</v>
          </cell>
          <cell r="U157">
            <v>-82.145790189951896</v>
          </cell>
          <cell r="V157">
            <v>-105.16559516748742</v>
          </cell>
          <cell r="W157">
            <v>-127.91263882876932</v>
          </cell>
          <cell r="X157">
            <v>-151.00053610110137</v>
          </cell>
          <cell r="Y157">
            <v>-174.52025415998023</v>
          </cell>
          <cell r="Z157">
            <v>-191.78268109637605</v>
          </cell>
          <cell r="AA157">
            <v>-213.66037073186209</v>
          </cell>
        </row>
        <row r="158">
          <cell r="B158" t="str">
            <v>Somatoria com Projeto Original</v>
          </cell>
          <cell r="F158">
            <v>-187.01112667205356</v>
          </cell>
          <cell r="G158">
            <v>0.21350091488485656</v>
          </cell>
          <cell r="H158">
            <v>-55467.026100546813</v>
          </cell>
          <cell r="I158">
            <v>-58486.92552272063</v>
          </cell>
          <cell r="J158">
            <v>-14017.338662766297</v>
          </cell>
          <cell r="K158">
            <v>-5923.8835193519399</v>
          </cell>
          <cell r="L158">
            <v>26928.339149215306</v>
          </cell>
          <cell r="M158">
            <v>33874.891405867311</v>
          </cell>
          <cell r="N158">
            <v>33879.691473562918</v>
          </cell>
          <cell r="O158">
            <v>50812.748638366058</v>
          </cell>
          <cell r="P158">
            <v>57950.710103225952</v>
          </cell>
          <cell r="Q158">
            <v>24958.324687128264</v>
          </cell>
          <cell r="R158">
            <v>31788.679339155522</v>
          </cell>
          <cell r="S158">
            <v>68621.763880311992</v>
          </cell>
          <cell r="T158">
            <v>74508.337421254953</v>
          </cell>
          <cell r="U158">
            <v>78381.370426924594</v>
          </cell>
          <cell r="V158">
            <v>83956.851996754252</v>
          </cell>
          <cell r="W158">
            <v>92086.776849878617</v>
          </cell>
          <cell r="X158">
            <v>101445.24070127885</v>
          </cell>
          <cell r="Y158">
            <v>77883.658704268542</v>
          </cell>
          <cell r="Z158">
            <v>106474.01441531253</v>
          </cell>
          <cell r="AA158">
            <v>117951.80556045992</v>
          </cell>
        </row>
        <row r="159">
          <cell r="B159" t="str">
            <v>Alteração do ISSQN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-2059.2284796291688</v>
          </cell>
          <cell r="O160">
            <v>-2159.3740812274827</v>
          </cell>
          <cell r="P160">
            <v>-2221.9711836405486</v>
          </cell>
          <cell r="Q160">
            <v>-2284.5669652373681</v>
          </cell>
          <cell r="R160">
            <v>-2347.129252218886</v>
          </cell>
          <cell r="S160">
            <v>-2409.7340195286188</v>
          </cell>
          <cell r="T160">
            <v>-2472.3135576118425</v>
          </cell>
          <cell r="U160">
            <v>-2534.8943477599692</v>
          </cell>
          <cell r="V160">
            <v>-2597.4775140074471</v>
          </cell>
          <cell r="W160">
            <v>-2660.0926716524987</v>
          </cell>
          <cell r="X160">
            <v>-2722.6322971392392</v>
          </cell>
          <cell r="Y160">
            <v>-2785.211342792114</v>
          </cell>
          <cell r="Z160">
            <v>-2847.8189264981711</v>
          </cell>
          <cell r="AA160">
            <v>-2910.4288181084617</v>
          </cell>
        </row>
        <row r="161">
          <cell r="B161" t="str">
            <v>Somatoria com Projeto Original</v>
          </cell>
          <cell r="F161">
            <v>-3169.02260989263</v>
          </cell>
          <cell r="G161">
            <v>0.20916542097622126</v>
          </cell>
          <cell r="H161">
            <v>-55467.026100546813</v>
          </cell>
          <cell r="I161">
            <v>-58486.250509087418</v>
          </cell>
          <cell r="J161">
            <v>-14001.236301379788</v>
          </cell>
          <cell r="K161">
            <v>-5917.0385956415557</v>
          </cell>
          <cell r="L161">
            <v>27035.8482549498</v>
          </cell>
          <cell r="M161">
            <v>34070.156432472533</v>
          </cell>
          <cell r="N161">
            <v>31834.811529018971</v>
          </cell>
          <cell r="O161">
            <v>48673.093435469746</v>
          </cell>
          <cell r="P161">
            <v>55759.85039870163</v>
          </cell>
          <cell r="Q161">
            <v>22718.184772571236</v>
          </cell>
          <cell r="R161">
            <v>29487.543403270207</v>
          </cell>
          <cell r="S161">
            <v>66261.812069091844</v>
          </cell>
          <cell r="T161">
            <v>72101.535234421026</v>
          </cell>
          <cell r="U161">
            <v>75928.621869354582</v>
          </cell>
          <cell r="V161">
            <v>81464.540077914295</v>
          </cell>
          <cell r="W161">
            <v>89554.596817054888</v>
          </cell>
          <cell r="X161">
            <v>98873.608940240709</v>
          </cell>
          <cell r="Y161">
            <v>75272.967615636415</v>
          </cell>
          <cell r="Z161">
            <v>103817.97816991073</v>
          </cell>
          <cell r="AA161">
            <v>115255.03711308332</v>
          </cell>
        </row>
        <row r="162">
          <cell r="B162" t="str">
            <v>4ª Adequação - Investimentos</v>
          </cell>
        </row>
        <row r="163">
          <cell r="B163" t="str">
            <v>Fluxo de Caixa do Fator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1021.1100000000006</v>
          </cell>
          <cell r="N163">
            <v>4602.1909785714288</v>
          </cell>
          <cell r="O163">
            <v>-4510.5748521978021</v>
          </cell>
          <cell r="P163">
            <v>-1908.6354271978023</v>
          </cell>
          <cell r="Q163">
            <v>-484.41702719780227</v>
          </cell>
          <cell r="R163">
            <v>-143.58758719780224</v>
          </cell>
          <cell r="S163">
            <v>-136.40092053113557</v>
          </cell>
          <cell r="T163">
            <v>67.684079468864439</v>
          </cell>
          <cell r="U163">
            <v>67.684079468864439</v>
          </cell>
          <cell r="V163">
            <v>67.684079468864439</v>
          </cell>
          <cell r="W163">
            <v>67.684079468864439</v>
          </cell>
          <cell r="X163">
            <v>67.684079468864439</v>
          </cell>
          <cell r="Y163">
            <v>-128.31592053113556</v>
          </cell>
          <cell r="Z163">
            <v>-95.975920531135557</v>
          </cell>
          <cell r="AA163">
            <v>33.384079468864456</v>
          </cell>
        </row>
        <row r="164">
          <cell r="B164" t="str">
            <v>Somatoria com Projeto Original</v>
          </cell>
          <cell r="F164">
            <v>127.1995200178546</v>
          </cell>
          <cell r="G164">
            <v>0.21395204411495194</v>
          </cell>
          <cell r="H164">
            <v>-55467.026100546813</v>
          </cell>
          <cell r="I164">
            <v>-58486.250509087418</v>
          </cell>
          <cell r="J164">
            <v>-14001.236301379788</v>
          </cell>
          <cell r="K164">
            <v>-5917.0385956415557</v>
          </cell>
          <cell r="L164">
            <v>27035.8482549498</v>
          </cell>
          <cell r="M164">
            <v>35091.266432472534</v>
          </cell>
          <cell r="N164">
            <v>38496.230987219569</v>
          </cell>
          <cell r="O164">
            <v>46321.892664499428</v>
          </cell>
          <cell r="P164">
            <v>56073.186155144373</v>
          </cell>
          <cell r="Q164">
            <v>24518.334710610801</v>
          </cell>
          <cell r="R164">
            <v>31691.08506829129</v>
          </cell>
          <cell r="S164">
            <v>68535.145168089337</v>
          </cell>
          <cell r="T164">
            <v>74641.532871501724</v>
          </cell>
          <cell r="U164">
            <v>78531.200296583411</v>
          </cell>
          <cell r="V164">
            <v>84129.701671390605</v>
          </cell>
          <cell r="W164">
            <v>92282.373568176248</v>
          </cell>
          <cell r="X164">
            <v>101663.92531684881</v>
          </cell>
          <cell r="Y164">
            <v>77929.86303789739</v>
          </cell>
          <cell r="Z164">
            <v>106569.82117587776</v>
          </cell>
          <cell r="AA164">
            <v>118198.85001066064</v>
          </cell>
        </row>
        <row r="165">
          <cell r="B165" t="str">
            <v>5ª Adequação - Investimentos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-203.15</v>
          </cell>
          <cell r="O166">
            <v>8170.1868846153857</v>
          </cell>
          <cell r="P166">
            <v>-8201.3514403846148</v>
          </cell>
          <cell r="Q166">
            <v>40.167659615384743</v>
          </cell>
          <cell r="R166">
            <v>19.414689615384592</v>
          </cell>
          <cell r="S166">
            <v>19.414689615384592</v>
          </cell>
          <cell r="T166">
            <v>19.414689615384592</v>
          </cell>
          <cell r="U166">
            <v>19.414689615384592</v>
          </cell>
          <cell r="V166">
            <v>19.414689615384592</v>
          </cell>
          <cell r="W166">
            <v>19.414689615384592</v>
          </cell>
          <cell r="X166">
            <v>19.414689615384592</v>
          </cell>
          <cell r="Y166">
            <v>19.414689615384592</v>
          </cell>
          <cell r="Z166">
            <v>19.414689615384592</v>
          </cell>
          <cell r="AA166">
            <v>19.414689615384592</v>
          </cell>
        </row>
        <row r="167">
          <cell r="B167" t="str">
            <v>Somatoria com Projeto Original</v>
          </cell>
          <cell r="F167">
            <v>264.65299830189173</v>
          </cell>
          <cell r="G167">
            <v>0.21414919614264244</v>
          </cell>
          <cell r="H167">
            <v>-55467.026100546813</v>
          </cell>
          <cell r="I167">
            <v>-58486.250509087418</v>
          </cell>
          <cell r="J167">
            <v>-14001.236301379788</v>
          </cell>
          <cell r="K167">
            <v>-5917.0385956415557</v>
          </cell>
          <cell r="L167">
            <v>27035.8482549498</v>
          </cell>
          <cell r="M167">
            <v>34070.156432472533</v>
          </cell>
          <cell r="N167">
            <v>33690.890008648137</v>
          </cell>
          <cell r="O167">
            <v>59002.654401312619</v>
          </cell>
          <cell r="P167">
            <v>49780.470141957565</v>
          </cell>
          <cell r="Q167">
            <v>25042.91939742399</v>
          </cell>
          <cell r="R167">
            <v>31854.087345104475</v>
          </cell>
          <cell r="S167">
            <v>68690.960778235851</v>
          </cell>
          <cell r="T167">
            <v>74593.263481648246</v>
          </cell>
          <cell r="U167">
            <v>78482.930906729933</v>
          </cell>
          <cell r="V167">
            <v>84081.432281537127</v>
          </cell>
          <cell r="W167">
            <v>92234.10417832277</v>
          </cell>
          <cell r="X167">
            <v>101615.65592699533</v>
          </cell>
          <cell r="Y167">
            <v>78077.593648043912</v>
          </cell>
          <cell r="Z167">
            <v>106685.21178602429</v>
          </cell>
          <cell r="AA167">
            <v>118184.88062080716</v>
          </cell>
        </row>
        <row r="168">
          <cell r="B168" t="str">
            <v>6ª Adequação - Investimentos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138.29</v>
          </cell>
          <cell r="N169">
            <v>585.39030714285855</v>
          </cell>
          <cell r="O169">
            <v>4175.6576532967028</v>
          </cell>
          <cell r="P169">
            <v>4800.0165032967052</v>
          </cell>
          <cell r="Q169">
            <v>-10459.569996703298</v>
          </cell>
          <cell r="R169">
            <v>54.33499329670326</v>
          </cell>
          <cell r="S169">
            <v>54.33499329670326</v>
          </cell>
          <cell r="T169">
            <v>54.33499329670326</v>
          </cell>
          <cell r="U169">
            <v>54.33499329670326</v>
          </cell>
          <cell r="V169">
            <v>54.33499329670326</v>
          </cell>
          <cell r="W169">
            <v>54.33499329670326</v>
          </cell>
          <cell r="X169">
            <v>54.33499329670326</v>
          </cell>
          <cell r="Y169">
            <v>54.33499329670326</v>
          </cell>
          <cell r="Z169">
            <v>54.33499329670326</v>
          </cell>
          <cell r="AA169">
            <v>54.33499329670326</v>
          </cell>
        </row>
        <row r="170">
          <cell r="B170" t="str">
            <v>Somatoria com Projeto Original</v>
          </cell>
          <cell r="F170">
            <v>444.19799278732711</v>
          </cell>
          <cell r="G170">
            <v>0.2144076656800544</v>
          </cell>
          <cell r="H170">
            <v>-55467.026100546813</v>
          </cell>
          <cell r="I170">
            <v>-58486.250509087418</v>
          </cell>
          <cell r="J170">
            <v>-14001.236301379788</v>
          </cell>
          <cell r="K170">
            <v>-5917.0385956415557</v>
          </cell>
          <cell r="L170">
            <v>27035.8482549498</v>
          </cell>
          <cell r="M170">
            <v>34208.446432472534</v>
          </cell>
          <cell r="N170">
            <v>34479.430315790996</v>
          </cell>
          <cell r="O170">
            <v>55008.125169993931</v>
          </cell>
          <cell r="P170">
            <v>62781.838085638883</v>
          </cell>
          <cell r="Q170">
            <v>14543.181741105307</v>
          </cell>
          <cell r="R170">
            <v>31889.007648785795</v>
          </cell>
          <cell r="S170">
            <v>68725.881081917178</v>
          </cell>
          <cell r="T170">
            <v>74628.183785329573</v>
          </cell>
          <cell r="U170">
            <v>78517.85121041126</v>
          </cell>
          <cell r="V170">
            <v>84116.352585218454</v>
          </cell>
          <cell r="W170">
            <v>92269.024482004097</v>
          </cell>
          <cell r="X170">
            <v>101650.57623067666</v>
          </cell>
          <cell r="Y170">
            <v>78112.513951725239</v>
          </cell>
          <cell r="Z170">
            <v>106720.13208970561</v>
          </cell>
          <cell r="AA170">
            <v>118219.80092448849</v>
          </cell>
        </row>
        <row r="171">
          <cell r="B171">
            <v>0</v>
          </cell>
        </row>
        <row r="172">
          <cell r="B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>
            <v>0</v>
          </cell>
          <cell r="F173">
            <v>6.7812953345933189E-11</v>
          </cell>
          <cell r="G173">
            <v>0.21376914659013574</v>
          </cell>
          <cell r="H173">
            <v>-55467.026100546813</v>
          </cell>
          <cell r="I173">
            <v>-58486.250509087418</v>
          </cell>
          <cell r="J173">
            <v>-14001.236301379788</v>
          </cell>
          <cell r="K173">
            <v>-5917.0385956415557</v>
          </cell>
          <cell r="L173">
            <v>27035.8482549498</v>
          </cell>
          <cell r="M173">
            <v>34070.156432472533</v>
          </cell>
          <cell r="N173">
            <v>33894.040008648139</v>
          </cell>
          <cell r="O173">
            <v>50832.46751669723</v>
          </cell>
          <cell r="P173">
            <v>57981.821582342178</v>
          </cell>
          <cell r="Q173">
            <v>25002.751737808605</v>
          </cell>
          <cell r="R173">
            <v>31834.672655489092</v>
          </cell>
          <cell r="S173">
            <v>68671.546088620467</v>
          </cell>
          <cell r="T173">
            <v>74573.848792032863</v>
          </cell>
          <cell r="U173">
            <v>78463.516217114549</v>
          </cell>
          <cell r="V173">
            <v>84062.017591921744</v>
          </cell>
          <cell r="W173">
            <v>92214.689488707387</v>
          </cell>
          <cell r="X173">
            <v>101596.24123737995</v>
          </cell>
          <cell r="Y173">
            <v>78058.178958428529</v>
          </cell>
          <cell r="Z173">
            <v>106665.7970964089</v>
          </cell>
          <cell r="AA173">
            <v>118165.46593119178</v>
          </cell>
        </row>
        <row r="174">
          <cell r="B174">
            <v>0</v>
          </cell>
        </row>
        <row r="175">
          <cell r="B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>
            <v>0</v>
          </cell>
          <cell r="F176">
            <v>6.7812953345933189E-11</v>
          </cell>
          <cell r="G176">
            <v>0.21376914659013574</v>
          </cell>
          <cell r="H176">
            <v>-55467.026100546813</v>
          </cell>
          <cell r="I176">
            <v>-58486.250509087418</v>
          </cell>
          <cell r="J176">
            <v>-14001.236301379788</v>
          </cell>
          <cell r="K176">
            <v>-5917.0385956415557</v>
          </cell>
          <cell r="L176">
            <v>27035.8482549498</v>
          </cell>
          <cell r="M176">
            <v>34070.156432472533</v>
          </cell>
          <cell r="N176">
            <v>33894.040008648139</v>
          </cell>
          <cell r="O176">
            <v>50832.46751669723</v>
          </cell>
          <cell r="P176">
            <v>57981.821582342178</v>
          </cell>
          <cell r="Q176">
            <v>25002.751737808605</v>
          </cell>
          <cell r="R176">
            <v>31834.672655489092</v>
          </cell>
          <cell r="S176">
            <v>68671.546088620467</v>
          </cell>
          <cell r="T176">
            <v>74573.848792032863</v>
          </cell>
          <cell r="U176">
            <v>78463.516217114549</v>
          </cell>
          <cell r="V176">
            <v>84062.017591921744</v>
          </cell>
          <cell r="W176">
            <v>92214.689488707387</v>
          </cell>
          <cell r="X176">
            <v>101596.24123737995</v>
          </cell>
          <cell r="Y176">
            <v>78058.178958428529</v>
          </cell>
          <cell r="Z176">
            <v>106665.7970964089</v>
          </cell>
          <cell r="AA176">
            <v>118165.46593119178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6.7812953345933189E-11</v>
          </cell>
          <cell r="G179">
            <v>0.21376914659013574</v>
          </cell>
          <cell r="H179">
            <v>-55467.026100546813</v>
          </cell>
          <cell r="I179">
            <v>-58486.250509087418</v>
          </cell>
          <cell r="J179">
            <v>-14001.236301379788</v>
          </cell>
          <cell r="K179">
            <v>-5917.0385956415557</v>
          </cell>
          <cell r="L179">
            <v>27035.8482549498</v>
          </cell>
          <cell r="M179">
            <v>34070.156432472533</v>
          </cell>
          <cell r="N179">
            <v>33894.040008648139</v>
          </cell>
          <cell r="O179">
            <v>50832.46751669723</v>
          </cell>
          <cell r="P179">
            <v>57981.821582342178</v>
          </cell>
          <cell r="Q179">
            <v>25002.751737808605</v>
          </cell>
          <cell r="R179">
            <v>31834.672655489092</v>
          </cell>
          <cell r="S179">
            <v>68671.546088620467</v>
          </cell>
          <cell r="T179">
            <v>74573.848792032863</v>
          </cell>
          <cell r="U179">
            <v>78463.516217114549</v>
          </cell>
          <cell r="V179">
            <v>84062.017591921744</v>
          </cell>
          <cell r="W179">
            <v>92214.689488707387</v>
          </cell>
          <cell r="X179">
            <v>101596.24123737995</v>
          </cell>
          <cell r="Y179">
            <v>78058.178958428529</v>
          </cell>
          <cell r="Z179">
            <v>106665.7970964089</v>
          </cell>
          <cell r="AA179">
            <v>118165.46593119178</v>
          </cell>
        </row>
        <row r="180">
          <cell r="B180">
            <v>0</v>
          </cell>
        </row>
        <row r="181">
          <cell r="B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>
            <v>0</v>
          </cell>
          <cell r="F182">
            <v>6.7812953345933189E-11</v>
          </cell>
          <cell r="G182">
            <v>0.21376914659013574</v>
          </cell>
          <cell r="H182">
            <v>-55467.026100546813</v>
          </cell>
          <cell r="I182">
            <v>-58486.250509087418</v>
          </cell>
          <cell r="J182">
            <v>-14001.236301379788</v>
          </cell>
          <cell r="K182">
            <v>-5917.0385956415557</v>
          </cell>
          <cell r="L182">
            <v>27035.8482549498</v>
          </cell>
          <cell r="M182">
            <v>34070.156432472533</v>
          </cell>
          <cell r="N182">
            <v>33894.040008648139</v>
          </cell>
          <cell r="O182">
            <v>50832.46751669723</v>
          </cell>
          <cell r="P182">
            <v>57981.821582342178</v>
          </cell>
          <cell r="Q182">
            <v>25002.751737808605</v>
          </cell>
          <cell r="R182">
            <v>31834.672655489092</v>
          </cell>
          <cell r="S182">
            <v>68671.546088620467</v>
          </cell>
          <cell r="T182">
            <v>74573.848792032863</v>
          </cell>
          <cell r="U182">
            <v>78463.516217114549</v>
          </cell>
          <cell r="V182">
            <v>84062.017591921744</v>
          </cell>
          <cell r="W182">
            <v>92214.689488707387</v>
          </cell>
          <cell r="X182">
            <v>101596.24123737995</v>
          </cell>
          <cell r="Y182">
            <v>78058.178958428529</v>
          </cell>
          <cell r="Z182">
            <v>106665.7970964089</v>
          </cell>
          <cell r="AA182">
            <v>118165.46593119178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28343.448889847594</v>
          </cell>
          <cell r="I184">
            <v>32706.786001851888</v>
          </cell>
          <cell r="J184">
            <v>1717.7929206614936</v>
          </cell>
          <cell r="K184">
            <v>738.07567309984756</v>
          </cell>
          <cell r="L184">
            <v>-32892.805240216294</v>
          </cell>
          <cell r="M184">
            <v>-16830.801037365345</v>
          </cell>
          <cell r="N184">
            <v>-17885.357949742145</v>
          </cell>
          <cell r="O184">
            <v>-32991.575415441912</v>
          </cell>
          <cell r="P184">
            <v>-42690.265189560101</v>
          </cell>
          <cell r="Q184">
            <v>-19388.418142136779</v>
          </cell>
          <cell r="R184">
            <v>-3381.199810647835</v>
          </cell>
          <cell r="S184">
            <v>-39748.079820926338</v>
          </cell>
          <cell r="T184">
            <v>-12320.173441117444</v>
          </cell>
          <cell r="U184">
            <v>-11468.308444464585</v>
          </cell>
          <cell r="V184">
            <v>-17322.012872203613</v>
          </cell>
          <cell r="W184">
            <v>-15983.522222959027</v>
          </cell>
          <cell r="X184">
            <v>-20587.592400504538</v>
          </cell>
          <cell r="Y184">
            <v>-6458.5827038959833</v>
          </cell>
          <cell r="Z184">
            <v>-28314.416803789383</v>
          </cell>
          <cell r="AA184">
            <v>-33030.785352298517</v>
          </cell>
        </row>
        <row r="185">
          <cell r="B185" t="str">
            <v>Somatoria com Projeto Original</v>
          </cell>
          <cell r="F185">
            <v>-2840.5619306559402</v>
          </cell>
          <cell r="G185">
            <v>0.20714524689834499</v>
          </cell>
          <cell r="H185">
            <v>-27123.577210699219</v>
          </cell>
          <cell r="I185">
            <v>-25779.464507235531</v>
          </cell>
          <cell r="J185">
            <v>-12283.443380718294</v>
          </cell>
          <cell r="K185">
            <v>-5178.9629225417084</v>
          </cell>
          <cell r="L185">
            <v>-5856.9569852664936</v>
          </cell>
          <cell r="M185">
            <v>17239.355395107188</v>
          </cell>
          <cell r="N185">
            <v>16008.682058905993</v>
          </cell>
          <cell r="O185">
            <v>17840.892101255318</v>
          </cell>
          <cell r="P185">
            <v>15291.556392782077</v>
          </cell>
          <cell r="Q185">
            <v>5614.3335956718256</v>
          </cell>
          <cell r="R185">
            <v>28453.472844841257</v>
          </cell>
          <cell r="S185">
            <v>28923.46626769413</v>
          </cell>
          <cell r="T185">
            <v>62253.675350915422</v>
          </cell>
          <cell r="U185">
            <v>66995.20777264997</v>
          </cell>
          <cell r="V185">
            <v>66740.004719718127</v>
          </cell>
          <cell r="W185">
            <v>76231.167265748358</v>
          </cell>
          <cell r="X185">
            <v>81008.648836875407</v>
          </cell>
          <cell r="Y185">
            <v>71599.596254532546</v>
          </cell>
          <cell r="Z185">
            <v>78351.38029261952</v>
          </cell>
          <cell r="AA185">
            <v>85134.680578893254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44876.126350046019</v>
          </cell>
          <cell r="H191">
            <v>83131.398650444127</v>
          </cell>
          <cell r="I191">
            <v>88473.361750120122</v>
          </cell>
          <cell r="J191">
            <v>91519.748175169181</v>
          </cell>
          <cell r="K191">
            <v>94567.681797462472</v>
          </cell>
          <cell r="L191">
            <v>96297.214571704681</v>
          </cell>
          <cell r="M191">
            <v>102450.2837416524</v>
          </cell>
          <cell r="N191">
            <v>107431.1593797255</v>
          </cell>
          <cell r="O191">
            <v>110542.86018178673</v>
          </cell>
          <cell r="P191">
            <v>113657.82687190398</v>
          </cell>
          <cell r="Q191">
            <v>116768.53916405304</v>
          </cell>
          <cell r="R191">
            <v>119884.65160314148</v>
          </cell>
          <cell r="S191">
            <v>122990.97095848343</v>
          </cell>
          <cell r="T191">
            <v>126113.65930490641</v>
          </cell>
          <cell r="U191">
            <v>129223.19926550398</v>
          </cell>
          <cell r="V191">
            <v>132338.41643784315</v>
          </cell>
          <cell r="W191">
            <v>135456.04164126591</v>
          </cell>
          <cell r="X191">
            <v>138569.36669713215</v>
          </cell>
          <cell r="Y191">
            <v>141680.01610662541</v>
          </cell>
          <cell r="Z191">
            <v>144796.91093723694</v>
          </cell>
          <cell r="AA191">
            <v>2240769.4335862077</v>
          </cell>
        </row>
        <row r="192">
          <cell r="B192" t="str">
            <v>1.1 - Operacionais    (1.1.1 + 1.1.2)</v>
          </cell>
          <cell r="G192">
            <v>44876.126350046019</v>
          </cell>
          <cell r="H192">
            <v>83131.398650444127</v>
          </cell>
          <cell r="I192">
            <v>88473.361750120122</v>
          </cell>
          <cell r="J192">
            <v>91519.748175169181</v>
          </cell>
          <cell r="K192">
            <v>94567.681797462472</v>
          </cell>
          <cell r="L192">
            <v>96297.214571704681</v>
          </cell>
          <cell r="M192">
            <v>102450.2837416524</v>
          </cell>
          <cell r="N192">
            <v>107431.1593797255</v>
          </cell>
          <cell r="O192">
            <v>110542.86018178673</v>
          </cell>
          <cell r="P192">
            <v>113657.82687190398</v>
          </cell>
          <cell r="Q192">
            <v>116768.53916405304</v>
          </cell>
          <cell r="R192">
            <v>119884.65160314148</v>
          </cell>
          <cell r="S192">
            <v>122990.97095848343</v>
          </cell>
          <cell r="T192">
            <v>126113.65930490641</v>
          </cell>
          <cell r="U192">
            <v>129223.19926550398</v>
          </cell>
          <cell r="V192">
            <v>132338.41643784315</v>
          </cell>
          <cell r="W192">
            <v>135456.04164126591</v>
          </cell>
          <cell r="X192">
            <v>138569.36669713215</v>
          </cell>
          <cell r="Y192">
            <v>141680.01610662541</v>
          </cell>
          <cell r="Z192">
            <v>144796.91093723694</v>
          </cell>
          <cell r="AA192">
            <v>2240769.4335862077</v>
          </cell>
        </row>
        <row r="193">
          <cell r="B193" t="str">
            <v>1.1.1 - Receitas de  Pedágios    (Transp. Qd.2.1.1.2)</v>
          </cell>
          <cell r="G193">
            <v>44652.711049999998</v>
          </cell>
          <cell r="H193">
            <v>82701.048649999997</v>
          </cell>
          <cell r="I193">
            <v>88017.844600000011</v>
          </cell>
          <cell r="J193">
            <v>91048.122325000018</v>
          </cell>
          <cell r="K193">
            <v>94077.015697499999</v>
          </cell>
          <cell r="L193">
            <v>95780.177321704687</v>
          </cell>
          <cell r="M193">
            <v>101917.52809100341</v>
          </cell>
          <cell r="N193">
            <v>106882.63132972551</v>
          </cell>
          <cell r="O193">
            <v>109977.59503186807</v>
          </cell>
          <cell r="P193">
            <v>113076.8080217596</v>
          </cell>
          <cell r="Q193">
            <v>116172.75961287991</v>
          </cell>
          <cell r="R193">
            <v>119272.16465316506</v>
          </cell>
          <cell r="S193">
            <v>122362.72950805182</v>
          </cell>
          <cell r="T193">
            <v>125469.70165472479</v>
          </cell>
          <cell r="U193">
            <v>128563.47201529586</v>
          </cell>
          <cell r="V193">
            <v>131661.94898768651</v>
          </cell>
          <cell r="W193">
            <v>134764.84314125564</v>
          </cell>
          <cell r="X193">
            <v>137862.4284971201</v>
          </cell>
          <cell r="Y193">
            <v>140957.33865662542</v>
          </cell>
          <cell r="Z193">
            <v>144057.48863723694</v>
          </cell>
          <cell r="AA193">
            <v>2229276.3574826038</v>
          </cell>
        </row>
        <row r="194">
          <cell r="B194" t="str">
            <v>1.1.2 - Outras Receitas Operacionais    (calculado 2.1.2.)</v>
          </cell>
          <cell r="G194">
            <v>223.41530004602367</v>
          </cell>
          <cell r="H194">
            <v>430.35000044412857</v>
          </cell>
          <cell r="I194">
            <v>455.51715012011624</v>
          </cell>
          <cell r="J194">
            <v>471.62585016916347</v>
          </cell>
          <cell r="K194">
            <v>490.66609996247593</v>
          </cell>
          <cell r="L194">
            <v>517.03724999999997</v>
          </cell>
          <cell r="M194">
            <v>532.75565064899286</v>
          </cell>
          <cell r="N194">
            <v>548.52805000000001</v>
          </cell>
          <cell r="O194">
            <v>565.26514991865963</v>
          </cell>
          <cell r="P194">
            <v>581.01885014437198</v>
          </cell>
          <cell r="Q194">
            <v>595.77955117313115</v>
          </cell>
          <cell r="R194">
            <v>612.48694997641076</v>
          </cell>
          <cell r="S194">
            <v>628.24145043161604</v>
          </cell>
          <cell r="T194">
            <v>643.95765018162285</v>
          </cell>
          <cell r="U194">
            <v>659.72725020812402</v>
          </cell>
          <cell r="V194">
            <v>676.46745015663453</v>
          </cell>
          <cell r="W194">
            <v>691.198500010271</v>
          </cell>
          <cell r="X194">
            <v>706.93820001204915</v>
          </cell>
          <cell r="Y194">
            <v>722.67744999999991</v>
          </cell>
          <cell r="Z194">
            <v>739.42230000000006</v>
          </cell>
          <cell r="AA194">
            <v>11493.076103603789</v>
          </cell>
        </row>
        <row r="195">
          <cell r="B195" t="str">
            <v>2 -  DEDUÇÕES DA RECEITA    (2.1)</v>
          </cell>
          <cell r="G195">
            <v>2068.2884213188067</v>
          </cell>
          <cell r="H195">
            <v>4768.1247784786565</v>
          </cell>
          <cell r="I195">
            <v>6050.860862755465</v>
          </cell>
          <cell r="J195">
            <v>6176.1185899577085</v>
          </cell>
          <cell r="K195">
            <v>6501.0397641296022</v>
          </cell>
          <cell r="L195">
            <v>7643.3200701269307</v>
          </cell>
          <cell r="M195">
            <v>10053.697844747634</v>
          </cell>
          <cell r="N195">
            <v>10560.355056903738</v>
          </cell>
          <cell r="O195">
            <v>10957.380828371246</v>
          </cell>
          <cell r="P195">
            <v>11371.533082200935</v>
          </cell>
          <cell r="Q195">
            <v>11684.761907807926</v>
          </cell>
          <cell r="R195">
            <v>12018.35008963574</v>
          </cell>
          <cell r="S195">
            <v>12450.738635263191</v>
          </cell>
          <cell r="T195">
            <v>12892.640943943661</v>
          </cell>
          <cell r="U195">
            <v>13385.801589996987</v>
          </cell>
          <cell r="V195">
            <v>13877.631831616896</v>
          </cell>
          <cell r="W195">
            <v>14372.094486352606</v>
          </cell>
          <cell r="X195">
            <v>14870.054796201397</v>
          </cell>
          <cell r="Y195">
            <v>15315.411053321317</v>
          </cell>
          <cell r="Z195">
            <v>15800.4181215711</v>
          </cell>
          <cell r="AA195">
            <v>212818.62275470159</v>
          </cell>
        </row>
        <row r="196">
          <cell r="B196" t="str">
            <v>2.1 - Tributos sobre Faturamento    (2.1.1+ .... + 2.1.4)</v>
          </cell>
          <cell r="G196">
            <v>2068.2884213188067</v>
          </cell>
          <cell r="H196">
            <v>4768.1247784786565</v>
          </cell>
          <cell r="I196">
            <v>6050.860862755465</v>
          </cell>
          <cell r="J196">
            <v>6176.1185899577085</v>
          </cell>
          <cell r="K196">
            <v>6501.0397641296022</v>
          </cell>
          <cell r="L196">
            <v>7643.3200701269307</v>
          </cell>
          <cell r="M196">
            <v>10053.697844747634</v>
          </cell>
          <cell r="N196">
            <v>10560.355056903738</v>
          </cell>
          <cell r="O196">
            <v>10957.380828371246</v>
          </cell>
          <cell r="P196">
            <v>11371.533082200935</v>
          </cell>
          <cell r="Q196">
            <v>11684.761907807926</v>
          </cell>
          <cell r="R196">
            <v>12018.35008963574</v>
          </cell>
          <cell r="S196">
            <v>12450.738635263191</v>
          </cell>
          <cell r="T196">
            <v>12892.640943943661</v>
          </cell>
          <cell r="U196">
            <v>13385.801589996987</v>
          </cell>
          <cell r="V196">
            <v>13877.631831616896</v>
          </cell>
          <cell r="W196">
            <v>14372.094486352606</v>
          </cell>
          <cell r="X196">
            <v>14870.054796201397</v>
          </cell>
          <cell r="Y196">
            <v>15315.411053321317</v>
          </cell>
          <cell r="Z196">
            <v>15800.4181215711</v>
          </cell>
          <cell r="AA196">
            <v>212818.62275470159</v>
          </cell>
        </row>
        <row r="197">
          <cell r="B197" t="str">
            <v>2.1.1 - I.S.S    (transp. Qd  1.3.)</v>
          </cell>
          <cell r="G197">
            <v>21.742527000920507</v>
          </cell>
          <cell r="H197">
            <v>1592.0079730088826</v>
          </cell>
          <cell r="I197">
            <v>2590.2472350024022</v>
          </cell>
          <cell r="J197">
            <v>2678.0749635033835</v>
          </cell>
          <cell r="K197">
            <v>2727.5736359492498</v>
          </cell>
          <cell r="L197">
            <v>2811.0442914340942</v>
          </cell>
          <cell r="M197">
            <v>6035.2810175631512</v>
          </cell>
          <cell r="N197">
            <v>6310.1295774862756</v>
          </cell>
          <cell r="O197">
            <v>6493.3521045917769</v>
          </cell>
          <cell r="P197">
            <v>6677.5779780908688</v>
          </cell>
          <cell r="Q197">
            <v>6859.5887716674588</v>
          </cell>
          <cell r="R197">
            <v>7043.5109716577826</v>
          </cell>
          <cell r="S197">
            <v>7226.2996544112248</v>
          </cell>
          <cell r="T197">
            <v>7411.0575857398735</v>
          </cell>
          <cell r="U197">
            <v>7591.9960957689564</v>
          </cell>
          <cell r="V197">
            <v>7773.9358983874572</v>
          </cell>
          <cell r="W197">
            <v>7955.7311270629889</v>
          </cell>
          <cell r="X197">
            <v>8137.4991888562454</v>
          </cell>
          <cell r="Y197">
            <v>8319.2163318312723</v>
          </cell>
          <cell r="Z197">
            <v>8501.9218278618464</v>
          </cell>
          <cell r="AA197">
            <v>114757.78875687612</v>
          </cell>
        </row>
        <row r="198">
          <cell r="B198" t="str">
            <v>2.1.2 - Cofins    (transp. Qd 1.3.)</v>
          </cell>
          <cell r="G198">
            <v>1406.7295730425872</v>
          </cell>
          <cell r="H198">
            <v>2578.9917312072421</v>
          </cell>
          <cell r="I198">
            <v>2837.8499011735357</v>
          </cell>
          <cell r="J198">
            <v>2868.3529592703776</v>
          </cell>
          <cell r="K198">
            <v>2961.1933446543194</v>
          </cell>
          <cell r="L198">
            <v>3877.1710457600111</v>
          </cell>
          <cell r="M198">
            <v>3292.1392588559538</v>
          </cell>
          <cell r="N198">
            <v>3482.3347817609279</v>
          </cell>
          <cell r="O198">
            <v>3657.7510891408042</v>
          </cell>
          <cell r="P198">
            <v>3846.4186985765095</v>
          </cell>
          <cell r="Q198">
            <v>3953.9678907777475</v>
          </cell>
          <cell r="R198">
            <v>4076.697079112063</v>
          </cell>
          <cell r="S198">
            <v>4281.5700042816698</v>
          </cell>
          <cell r="T198">
            <v>4492.6469157219681</v>
          </cell>
          <cell r="U198">
            <v>4748.8886241254077</v>
          </cell>
          <cell r="V198">
            <v>5003.2208400718628</v>
          </cell>
          <cell r="W198">
            <v>5259.8316541421318</v>
          </cell>
          <cell r="X198">
            <v>5519.3507325302407</v>
          </cell>
          <cell r="Y198">
            <v>5735.686309190447</v>
          </cell>
          <cell r="Z198">
            <v>5983.8007968980173</v>
          </cell>
          <cell r="AA198">
            <v>79864.593230293831</v>
          </cell>
        </row>
        <row r="199">
          <cell r="B199" t="str">
            <v>2.1.3 - Pis / Pasep    (transp. Qd 1.3.)</v>
          </cell>
          <cell r="G199">
            <v>396.41632127529914</v>
          </cell>
          <cell r="H199">
            <v>567.4850742625315</v>
          </cell>
          <cell r="I199">
            <v>622.76372657952641</v>
          </cell>
          <cell r="J199">
            <v>629.69066718394834</v>
          </cell>
          <cell r="K199">
            <v>812.27278352603298</v>
          </cell>
          <cell r="L199">
            <v>955.10473293282473</v>
          </cell>
          <cell r="M199">
            <v>726.27756832852924</v>
          </cell>
          <cell r="N199">
            <v>767.89069765653426</v>
          </cell>
          <cell r="O199">
            <v>806.27763463866461</v>
          </cell>
          <cell r="P199">
            <v>847.53640553355638</v>
          </cell>
          <cell r="Q199">
            <v>871.20524536272046</v>
          </cell>
          <cell r="R199">
            <v>898.14203886589598</v>
          </cell>
          <cell r="S199">
            <v>942.86897657029715</v>
          </cell>
          <cell r="T199">
            <v>988.93644248181988</v>
          </cell>
          <cell r="U199">
            <v>1044.9168701026229</v>
          </cell>
          <cell r="V199">
            <v>1100.4750931575763</v>
          </cell>
          <cell r="W199">
            <v>1156.5317051474842</v>
          </cell>
          <cell r="X199">
            <v>1213.2048748149114</v>
          </cell>
          <cell r="Y199">
            <v>1260.5084122995968</v>
          </cell>
          <cell r="Z199">
            <v>1314.6954968112373</v>
          </cell>
          <cell r="AA199">
            <v>17923.200767531609</v>
          </cell>
        </row>
        <row r="200">
          <cell r="B200" t="str">
            <v>2.1.4 - CPMF    (transp Qd 1.3.)</v>
          </cell>
          <cell r="G200">
            <v>243.4</v>
          </cell>
          <cell r="H200">
            <v>29.64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273.04000000000002</v>
          </cell>
        </row>
        <row r="201">
          <cell r="B201" t="str">
            <v>3 -  RECEITA LIQUIDA    (1 - 2)</v>
          </cell>
          <cell r="G201">
            <v>42807.837928727211</v>
          </cell>
          <cell r="H201">
            <v>78363.273871965474</v>
          </cell>
          <cell r="I201">
            <v>82422.500887364658</v>
          </cell>
          <cell r="J201">
            <v>85343.629585211471</v>
          </cell>
          <cell r="K201">
            <v>88066.642033332872</v>
          </cell>
          <cell r="L201">
            <v>88653.894501577743</v>
          </cell>
          <cell r="M201">
            <v>92396.585896904769</v>
          </cell>
          <cell r="N201">
            <v>96870.804322821772</v>
          </cell>
          <cell r="O201">
            <v>99585.479353415489</v>
          </cell>
          <cell r="P201">
            <v>102286.29378970305</v>
          </cell>
          <cell r="Q201">
            <v>105083.77725624511</v>
          </cell>
          <cell r="R201">
            <v>107866.30151350574</v>
          </cell>
          <cell r="S201">
            <v>110540.23232322025</v>
          </cell>
          <cell r="T201">
            <v>113221.01836096274</v>
          </cell>
          <cell r="U201">
            <v>115837.39767550699</v>
          </cell>
          <cell r="V201">
            <v>118460.78460622625</v>
          </cell>
          <cell r="W201">
            <v>121083.9471549133</v>
          </cell>
          <cell r="X201">
            <v>123699.31190093076</v>
          </cell>
          <cell r="Y201">
            <v>126364.60505330408</v>
          </cell>
          <cell r="Z201">
            <v>128996.49281566584</v>
          </cell>
          <cell r="AA201">
            <v>2027950.810831506</v>
          </cell>
        </row>
        <row r="202">
          <cell r="B202" t="str">
            <v>4 -  DESPESAS    (4.1)</v>
          </cell>
          <cell r="G202">
            <v>49834.130952550797</v>
          </cell>
          <cell r="H202">
            <v>54184.209823471952</v>
          </cell>
          <cell r="I202">
            <v>61505.816534884914</v>
          </cell>
          <cell r="J202">
            <v>63025.822129300002</v>
          </cell>
          <cell r="K202">
            <v>62622.85721059869</v>
          </cell>
          <cell r="L202">
            <v>59614.284392735724</v>
          </cell>
          <cell r="M202">
            <v>58595.701047724782</v>
          </cell>
          <cell r="N202">
            <v>58175.508890728408</v>
          </cell>
          <cell r="O202">
            <v>60620.72721512476</v>
          </cell>
          <cell r="P202">
            <v>72538.979610798808</v>
          </cell>
          <cell r="Q202">
            <v>81350.895268628927</v>
          </cell>
          <cell r="R202">
            <v>80511.731771445149</v>
          </cell>
          <cell r="S202">
            <v>78074.699220534269</v>
          </cell>
          <cell r="T202">
            <v>77349.166472317927</v>
          </cell>
          <cell r="U202">
            <v>66401.078319341133</v>
          </cell>
          <cell r="V202">
            <v>61958.947682707672</v>
          </cell>
          <cell r="W202">
            <v>60854.692783831822</v>
          </cell>
          <cell r="X202">
            <v>76654.134503182751</v>
          </cell>
          <cell r="Y202">
            <v>91117.543333465932</v>
          </cell>
          <cell r="Z202">
            <v>119457.81312354369</v>
          </cell>
          <cell r="AA202">
            <v>1394448.7402869177</v>
          </cell>
        </row>
        <row r="203">
          <cell r="B203" t="str">
            <v>4.1 - Operacionais    (4.1.1+ .... + 4.1.10)</v>
          </cell>
          <cell r="G203">
            <v>49834.130952550797</v>
          </cell>
          <cell r="H203">
            <v>54184.209823471952</v>
          </cell>
          <cell r="I203">
            <v>61505.816534884914</v>
          </cell>
          <cell r="J203">
            <v>63025.822129300002</v>
          </cell>
          <cell r="K203">
            <v>62622.85721059869</v>
          </cell>
          <cell r="L203">
            <v>59614.284392735724</v>
          </cell>
          <cell r="M203">
            <v>58595.701047724782</v>
          </cell>
          <cell r="N203">
            <v>58175.508890728408</v>
          </cell>
          <cell r="O203">
            <v>60620.72721512476</v>
          </cell>
          <cell r="P203">
            <v>72538.979610798808</v>
          </cell>
          <cell r="Q203">
            <v>81350.895268628927</v>
          </cell>
          <cell r="R203">
            <v>80511.731771445149</v>
          </cell>
          <cell r="S203">
            <v>78074.699220534269</v>
          </cell>
          <cell r="T203">
            <v>77349.166472317927</v>
          </cell>
          <cell r="U203">
            <v>66401.078319341133</v>
          </cell>
          <cell r="V203">
            <v>61958.947682707672</v>
          </cell>
          <cell r="W203">
            <v>60854.692783831822</v>
          </cell>
          <cell r="X203">
            <v>76654.134503182751</v>
          </cell>
          <cell r="Y203">
            <v>91117.543333465932</v>
          </cell>
          <cell r="Z203">
            <v>119457.81312354369</v>
          </cell>
          <cell r="AA203">
            <v>1394448.7402869177</v>
          </cell>
        </row>
        <row r="204">
          <cell r="B204" t="str">
            <v>4.1.1  -  Pessoal e Administradores    (Transp. Qd. 1.3.)</v>
          </cell>
          <cell r="G204">
            <v>13860.079999999998</v>
          </cell>
          <cell r="H204">
            <v>18033.05</v>
          </cell>
          <cell r="I204">
            <v>18505.14</v>
          </cell>
          <cell r="J204">
            <v>18658.769999999997</v>
          </cell>
          <cell r="K204">
            <v>18674.46</v>
          </cell>
          <cell r="L204">
            <v>18658.71</v>
          </cell>
          <cell r="M204">
            <v>18603.21</v>
          </cell>
          <cell r="N204">
            <v>18603.21</v>
          </cell>
          <cell r="O204">
            <v>18603.21</v>
          </cell>
          <cell r="P204">
            <v>18533.84</v>
          </cell>
          <cell r="Q204">
            <v>18533.84</v>
          </cell>
          <cell r="R204">
            <v>18533.84</v>
          </cell>
          <cell r="S204">
            <v>18464.47</v>
          </cell>
          <cell r="T204">
            <v>18395.09</v>
          </cell>
          <cell r="U204">
            <v>18339.599999999999</v>
          </cell>
          <cell r="V204">
            <v>18339.599999999999</v>
          </cell>
          <cell r="W204">
            <v>18339.599999999999</v>
          </cell>
          <cell r="X204">
            <v>18214.73</v>
          </cell>
          <cell r="Y204">
            <v>18214.73</v>
          </cell>
          <cell r="Z204">
            <v>18214.73</v>
          </cell>
          <cell r="AA204">
            <v>364323.90999999986</v>
          </cell>
        </row>
        <row r="205">
          <cell r="B205" t="str">
            <v>4.1.2  -  Conservação de Rotina    (Transp. Qd. 1.3.)</v>
          </cell>
          <cell r="G205">
            <v>12695.07</v>
          </cell>
          <cell r="H205">
            <v>7548</v>
          </cell>
          <cell r="I205">
            <v>7856.04</v>
          </cell>
          <cell r="J205">
            <v>8367.57</v>
          </cell>
          <cell r="K205">
            <v>9119.33</v>
          </cell>
          <cell r="L205">
            <v>9186.85</v>
          </cell>
          <cell r="M205">
            <v>9212.3000000000011</v>
          </cell>
          <cell r="N205">
            <v>9219.2999999999993</v>
          </cell>
          <cell r="O205">
            <v>9274.65</v>
          </cell>
          <cell r="P205">
            <v>9274.65</v>
          </cell>
          <cell r="Q205">
            <v>9274.65</v>
          </cell>
          <cell r="R205">
            <v>9274.65</v>
          </cell>
          <cell r="S205">
            <v>9274.65</v>
          </cell>
          <cell r="T205">
            <v>9274.65</v>
          </cell>
          <cell r="U205">
            <v>9274.65</v>
          </cell>
          <cell r="V205">
            <v>9274.65</v>
          </cell>
          <cell r="W205">
            <v>9274.65</v>
          </cell>
          <cell r="X205">
            <v>9274.65</v>
          </cell>
          <cell r="Y205">
            <v>9274.65</v>
          </cell>
          <cell r="Z205">
            <v>9274.65</v>
          </cell>
          <cell r="AA205">
            <v>184500.25999999995</v>
          </cell>
        </row>
        <row r="206">
          <cell r="B206" t="str">
            <v>4.1.3  -  Consumo    (Transp. Qd. 1.3.)</v>
          </cell>
          <cell r="G206">
            <v>1504.99</v>
          </cell>
          <cell r="H206">
            <v>981.02999999999986</v>
          </cell>
          <cell r="I206">
            <v>1026.74</v>
          </cell>
          <cell r="J206">
            <v>1019.6</v>
          </cell>
          <cell r="K206">
            <v>998.18000000000006</v>
          </cell>
          <cell r="L206">
            <v>1002.46</v>
          </cell>
          <cell r="M206">
            <v>996.75</v>
          </cell>
          <cell r="N206">
            <v>996.75</v>
          </cell>
          <cell r="O206">
            <v>996.75</v>
          </cell>
          <cell r="P206">
            <v>989.6099999999999</v>
          </cell>
          <cell r="Q206">
            <v>989.6099999999999</v>
          </cell>
          <cell r="R206">
            <v>989.6099999999999</v>
          </cell>
          <cell r="S206">
            <v>982.47</v>
          </cell>
          <cell r="T206">
            <v>975.03</v>
          </cell>
          <cell r="U206">
            <v>969.6099999999999</v>
          </cell>
          <cell r="V206">
            <v>969.6099999999999</v>
          </cell>
          <cell r="W206">
            <v>969.6099999999999</v>
          </cell>
          <cell r="X206">
            <v>956.76</v>
          </cell>
          <cell r="Y206">
            <v>956.76</v>
          </cell>
          <cell r="Z206">
            <v>956.76</v>
          </cell>
          <cell r="AA206">
            <v>20228.689999999999</v>
          </cell>
        </row>
        <row r="207">
          <cell r="B207" t="str">
            <v>4.1.4  -  Transportes    (Transp. Qd. 1.3.)</v>
          </cell>
          <cell r="G207">
            <v>900.4</v>
          </cell>
          <cell r="H207">
            <v>1434.83</v>
          </cell>
          <cell r="I207">
            <v>1492.56</v>
          </cell>
          <cell r="J207">
            <v>1492.56</v>
          </cell>
          <cell r="K207">
            <v>1492.56</v>
          </cell>
          <cell r="L207">
            <v>1492.56</v>
          </cell>
          <cell r="M207">
            <v>1492.56</v>
          </cell>
          <cell r="N207">
            <v>1492.56</v>
          </cell>
          <cell r="O207">
            <v>1492.56</v>
          </cell>
          <cell r="P207">
            <v>1492.56</v>
          </cell>
          <cell r="Q207">
            <v>1492.56</v>
          </cell>
          <cell r="R207">
            <v>1492.56</v>
          </cell>
          <cell r="S207">
            <v>1492.56</v>
          </cell>
          <cell r="T207">
            <v>1492.56</v>
          </cell>
          <cell r="U207">
            <v>1492.56</v>
          </cell>
          <cell r="V207">
            <v>1492.56</v>
          </cell>
          <cell r="W207">
            <v>1492.56</v>
          </cell>
          <cell r="X207">
            <v>1492.56</v>
          </cell>
          <cell r="Y207">
            <v>1492.56</v>
          </cell>
          <cell r="Z207">
            <v>1492.56</v>
          </cell>
          <cell r="AA207">
            <v>29201.310000000009</v>
          </cell>
        </row>
        <row r="208">
          <cell r="B208" t="str">
            <v>4.1.5  -  Diversas    (Transp. Qd. 1.3.)</v>
          </cell>
          <cell r="G208">
            <v>1741</v>
          </cell>
          <cell r="H208">
            <v>1741</v>
          </cell>
          <cell r="I208">
            <v>1741</v>
          </cell>
          <cell r="J208">
            <v>1741</v>
          </cell>
          <cell r="K208">
            <v>1741</v>
          </cell>
          <cell r="L208">
            <v>1741</v>
          </cell>
          <cell r="M208">
            <v>1741</v>
          </cell>
          <cell r="N208">
            <v>1741</v>
          </cell>
          <cell r="O208">
            <v>1741</v>
          </cell>
          <cell r="P208">
            <v>1741</v>
          </cell>
          <cell r="Q208">
            <v>1741</v>
          </cell>
          <cell r="R208">
            <v>1741</v>
          </cell>
          <cell r="S208">
            <v>1741</v>
          </cell>
          <cell r="T208">
            <v>1741</v>
          </cell>
          <cell r="U208">
            <v>1741</v>
          </cell>
          <cell r="V208">
            <v>1741</v>
          </cell>
          <cell r="W208">
            <v>1741</v>
          </cell>
          <cell r="X208">
            <v>1741</v>
          </cell>
          <cell r="Y208">
            <v>1741</v>
          </cell>
          <cell r="Z208">
            <v>1741</v>
          </cell>
          <cell r="AA208">
            <v>34820</v>
          </cell>
        </row>
        <row r="209">
          <cell r="B209" t="str">
            <v>4.1.6  -  Depreciação/Amortização    (Transp. Qd. 1.3.)</v>
          </cell>
          <cell r="G209">
            <v>3251.643657421746</v>
          </cell>
          <cell r="H209">
            <v>12442.808711860018</v>
          </cell>
          <cell r="I209">
            <v>18820.495194311748</v>
          </cell>
          <cell r="J209">
            <v>19654.676648504425</v>
          </cell>
          <cell r="K209">
            <v>18484.504373663367</v>
          </cell>
          <cell r="L209">
            <v>15582.660309131083</v>
          </cell>
          <cell r="M209">
            <v>14290.483204992803</v>
          </cell>
          <cell r="N209">
            <v>13978.811650002604</v>
          </cell>
          <cell r="O209">
            <v>16306.476550337109</v>
          </cell>
          <cell r="P209">
            <v>28236.501945307649</v>
          </cell>
          <cell r="Q209">
            <v>36984.808234373289</v>
          </cell>
          <cell r="R209">
            <v>36080.87336401685</v>
          </cell>
          <cell r="S209">
            <v>33655.873232445701</v>
          </cell>
          <cell r="T209">
            <v>32941.191833836689</v>
          </cell>
          <cell r="U209">
            <v>21990.439482041962</v>
          </cell>
          <cell r="V209">
            <v>17483.564330238336</v>
          </cell>
          <cell r="W209">
            <v>16314.4926752598</v>
          </cell>
          <cell r="X209">
            <v>32186.966642934742</v>
          </cell>
          <cell r="Y209">
            <v>46585.767990933135</v>
          </cell>
          <cell r="Z209">
            <v>74861.242936092545</v>
          </cell>
          <cell r="AA209">
            <v>510134.28296770563</v>
          </cell>
        </row>
        <row r="210">
          <cell r="B210" t="str">
            <v>4.1.7  -  Seguros    (transp. Qd 1.3.)</v>
          </cell>
          <cell r="G210">
            <v>1108.6094471276722</v>
          </cell>
          <cell r="H210">
            <v>1135.2353945986172</v>
          </cell>
          <cell r="I210">
            <v>1161.8613420695624</v>
          </cell>
          <cell r="J210">
            <v>1188.4872895405076</v>
          </cell>
          <cell r="K210">
            <v>1215.1132370114528</v>
          </cell>
          <cell r="L210">
            <v>1241.7391844823981</v>
          </cell>
          <cell r="M210">
            <v>1241.7391844823981</v>
          </cell>
          <cell r="N210">
            <v>1037.8076133340453</v>
          </cell>
          <cell r="O210">
            <v>1037.8076133340453</v>
          </cell>
          <cell r="P210">
            <v>1037.8076133340453</v>
          </cell>
          <cell r="Q210">
            <v>1037.8076133340453</v>
          </cell>
          <cell r="R210">
            <v>1037.8076133340453</v>
          </cell>
          <cell r="S210">
            <v>1037.8076133340453</v>
          </cell>
          <cell r="T210">
            <v>1037.8076133340453</v>
          </cell>
          <cell r="U210">
            <v>1037.8076133340453</v>
          </cell>
          <cell r="V210">
            <v>1037.8076133340453</v>
          </cell>
          <cell r="W210">
            <v>1037.8076133340453</v>
          </cell>
          <cell r="X210">
            <v>1037.8076133340453</v>
          </cell>
          <cell r="Y210">
            <v>1037.8076133340453</v>
          </cell>
          <cell r="Z210">
            <v>1037.8076133340453</v>
          </cell>
          <cell r="AA210">
            <v>21784.284052655192</v>
          </cell>
        </row>
        <row r="211">
          <cell r="B211" t="str">
            <v xml:space="preserve">4.1.8  -  Garantias  (transp. Qd 1.3.)  </v>
          </cell>
          <cell r="G211">
            <v>2602.0540575</v>
          </cell>
          <cell r="H211">
            <v>2470.3137575000001</v>
          </cell>
          <cell r="I211">
            <v>2343.7791459999999</v>
          </cell>
          <cell r="J211">
            <v>2253.5657460000002</v>
          </cell>
          <cell r="K211">
            <v>2156.6791460000004</v>
          </cell>
          <cell r="L211">
            <v>2092.2948459999998</v>
          </cell>
          <cell r="M211">
            <v>2040.1501460000002</v>
          </cell>
          <cell r="N211">
            <v>1979.1348460000002</v>
          </cell>
          <cell r="O211">
            <v>1947.9872460000001</v>
          </cell>
          <cell r="P211">
            <v>1919.2752459999999</v>
          </cell>
          <cell r="Q211">
            <v>1889.5632459999999</v>
          </cell>
          <cell r="R211">
            <v>1860.8512459999999</v>
          </cell>
          <cell r="S211">
            <v>1832.139246</v>
          </cell>
          <cell r="T211">
            <v>1804.427246</v>
          </cell>
          <cell r="U211">
            <v>1774.715246</v>
          </cell>
          <cell r="V211">
            <v>1746.003246</v>
          </cell>
          <cell r="W211">
            <v>1717.291246</v>
          </cell>
          <cell r="X211">
            <v>1688.579246</v>
          </cell>
          <cell r="Y211">
            <v>1659.867246</v>
          </cell>
          <cell r="Z211">
            <v>1631.155246</v>
          </cell>
          <cell r="AA211">
            <v>39409.826643</v>
          </cell>
        </row>
        <row r="212">
          <cell r="B212" t="str">
            <v xml:space="preserve">4.1.9  -  Parc.Variável da Concessão   </v>
          </cell>
          <cell r="G212">
            <v>1346.2837905013805</v>
          </cell>
          <cell r="H212">
            <v>2493.941959513324</v>
          </cell>
          <cell r="I212">
            <v>2654.2008525036031</v>
          </cell>
          <cell r="J212">
            <v>2745.5924452550753</v>
          </cell>
          <cell r="K212">
            <v>2837.0304539238741</v>
          </cell>
          <cell r="L212">
            <v>2888.9164371511401</v>
          </cell>
          <cell r="M212">
            <v>3073.508512249572</v>
          </cell>
          <cell r="N212">
            <v>3222.9347813917652</v>
          </cell>
          <cell r="O212">
            <v>3316.2858054536018</v>
          </cell>
          <cell r="P212">
            <v>3409.7348061571192</v>
          </cell>
          <cell r="Q212">
            <v>3503.0561749215913</v>
          </cell>
          <cell r="R212">
            <v>3596.5395480942439</v>
          </cell>
          <cell r="S212">
            <v>3689.7291287545027</v>
          </cell>
          <cell r="T212">
            <v>3783.4097791471927</v>
          </cell>
          <cell r="U212">
            <v>3876.6959779651188</v>
          </cell>
          <cell r="V212">
            <v>3970.1524931352938</v>
          </cell>
          <cell r="W212">
            <v>4063.6812492379768</v>
          </cell>
          <cell r="X212">
            <v>4157.081000913965</v>
          </cell>
          <cell r="Y212">
            <v>4250.4004831987622</v>
          </cell>
          <cell r="Z212">
            <v>4343.9073281171077</v>
          </cell>
          <cell r="AA212">
            <v>67223.083007586218</v>
          </cell>
        </row>
        <row r="213">
          <cell r="B213" t="str">
            <v xml:space="preserve">4.1.10 - Parcela Fixa da Concessão   </v>
          </cell>
          <cell r="G213">
            <v>10824</v>
          </cell>
          <cell r="H213">
            <v>5904</v>
          </cell>
          <cell r="I213">
            <v>5904</v>
          </cell>
          <cell r="J213">
            <v>5904</v>
          </cell>
          <cell r="K213">
            <v>5904</v>
          </cell>
          <cell r="L213">
            <v>5727.0936159710982</v>
          </cell>
          <cell r="M213">
            <v>5904</v>
          </cell>
          <cell r="N213">
            <v>5904</v>
          </cell>
          <cell r="O213">
            <v>5904</v>
          </cell>
          <cell r="P213">
            <v>5904</v>
          </cell>
          <cell r="Q213">
            <v>5904</v>
          </cell>
          <cell r="R213">
            <v>5904</v>
          </cell>
          <cell r="S213">
            <v>5904</v>
          </cell>
          <cell r="T213">
            <v>5904</v>
          </cell>
          <cell r="U213">
            <v>5904</v>
          </cell>
          <cell r="V213">
            <v>5904</v>
          </cell>
          <cell r="W213">
            <v>5904</v>
          </cell>
          <cell r="X213">
            <v>5904</v>
          </cell>
          <cell r="Y213">
            <v>5904</v>
          </cell>
          <cell r="Z213">
            <v>5904</v>
          </cell>
          <cell r="AA213">
            <v>122823.0936159711</v>
          </cell>
        </row>
        <row r="214">
          <cell r="B214" t="str">
            <v>5 -  RESULTADO BRUTO OPERACIONAL     (3 - 4)</v>
          </cell>
          <cell r="G214">
            <v>-7026.2930238235858</v>
          </cell>
          <cell r="H214">
            <v>24179.064048493521</v>
          </cell>
          <cell r="I214">
            <v>20916.684352479744</v>
          </cell>
          <cell r="J214">
            <v>22317.807455911468</v>
          </cell>
          <cell r="K214">
            <v>25443.784822734182</v>
          </cell>
          <cell r="L214">
            <v>29039.610108842018</v>
          </cell>
          <cell r="M214">
            <v>33800.884849179987</v>
          </cell>
          <cell r="N214">
            <v>38695.295432093364</v>
          </cell>
          <cell r="O214">
            <v>38964.752138290729</v>
          </cell>
          <cell r="P214">
            <v>29747.314178904242</v>
          </cell>
          <cell r="Q214">
            <v>23732.881987616187</v>
          </cell>
          <cell r="R214">
            <v>27354.569742060587</v>
          </cell>
          <cell r="S214">
            <v>32465.533102685979</v>
          </cell>
          <cell r="T214">
            <v>35871.851888644815</v>
          </cell>
          <cell r="U214">
            <v>49436.319356165855</v>
          </cell>
          <cell r="V214">
            <v>56501.836923518582</v>
          </cell>
          <cell r="W214">
            <v>60229.254371081479</v>
          </cell>
          <cell r="X214">
            <v>47045.177397748004</v>
          </cell>
          <cell r="Y214">
            <v>35247.061719838151</v>
          </cell>
          <cell r="Z214">
            <v>9538.6796921221539</v>
          </cell>
          <cell r="AA214">
            <v>633502.07054458838</v>
          </cell>
        </row>
        <row r="215">
          <cell r="B215" t="str">
            <v>6 -  RESULTADO FINANCEIRO    (6.1)</v>
          </cell>
          <cell r="G215">
            <v>0</v>
          </cell>
          <cell r="H215">
            <v>155.00719488363831</v>
          </cell>
          <cell r="I215">
            <v>3697.4159440637254</v>
          </cell>
          <cell r="J215">
            <v>1571.7259362661778</v>
          </cell>
          <cell r="K215">
            <v>330.49736205055183</v>
          </cell>
          <cell r="L215">
            <v>2008.0691112006443</v>
          </cell>
          <cell r="M215">
            <v>3294.5746860304371</v>
          </cell>
          <cell r="N215">
            <v>4527.939257753831</v>
          </cell>
          <cell r="O215">
            <v>7143.7845141003918</v>
          </cell>
          <cell r="P215">
            <v>10201.560407832787</v>
          </cell>
          <cell r="Q215">
            <v>10561.613803774664</v>
          </cell>
          <cell r="R215">
            <v>11430.987238601821</v>
          </cell>
          <cell r="S215">
            <v>15043.101208895438</v>
          </cell>
          <cell r="T215">
            <v>18861.986829151585</v>
          </cell>
          <cell r="U215">
            <v>24148.564301334871</v>
          </cell>
          <cell r="V215">
            <v>29371.853206032705</v>
          </cell>
          <cell r="W215">
            <v>34672.809770797234</v>
          </cell>
          <cell r="X215">
            <v>40073.397937636648</v>
          </cell>
          <cell r="Y215">
            <v>44037.137090839096</v>
          </cell>
          <cell r="Z215">
            <v>49060.166107964833</v>
          </cell>
          <cell r="AA215">
            <v>310192.19190921111</v>
          </cell>
        </row>
        <row r="216">
          <cell r="B216" t="str">
            <v>6.1 - Receitas    (Transp. Qd. 2B)</v>
          </cell>
          <cell r="G216">
            <v>0</v>
          </cell>
          <cell r="H216">
            <v>155.00719488363831</v>
          </cell>
          <cell r="I216">
            <v>3697.4159440637254</v>
          </cell>
          <cell r="J216">
            <v>1571.7259362661778</v>
          </cell>
          <cell r="K216">
            <v>330.49736205055183</v>
          </cell>
          <cell r="L216">
            <v>2008.0691112006443</v>
          </cell>
          <cell r="M216">
            <v>3294.5746860304371</v>
          </cell>
          <cell r="N216">
            <v>4527.939257753831</v>
          </cell>
          <cell r="O216">
            <v>7143.7845141003918</v>
          </cell>
          <cell r="P216">
            <v>10201.560407832787</v>
          </cell>
          <cell r="Q216">
            <v>10561.613803774664</v>
          </cell>
          <cell r="R216">
            <v>11430.987238601821</v>
          </cell>
          <cell r="S216">
            <v>15043.101208895438</v>
          </cell>
          <cell r="T216">
            <v>18861.986829151585</v>
          </cell>
          <cell r="U216">
            <v>24148.564301334871</v>
          </cell>
          <cell r="V216">
            <v>29371.853206032705</v>
          </cell>
          <cell r="W216">
            <v>34672.809770797234</v>
          </cell>
          <cell r="X216">
            <v>40073.397937636648</v>
          </cell>
          <cell r="Y216">
            <v>44037.137090839096</v>
          </cell>
          <cell r="Z216">
            <v>49060.166107964833</v>
          </cell>
          <cell r="AA216">
            <v>310192.19190921111</v>
          </cell>
        </row>
        <row r="217">
          <cell r="B217" t="str">
            <v>7 -  RESULTADO OPERACIONAL    (5 + 6)</v>
          </cell>
          <cell r="G217">
            <v>-7026.2930238235858</v>
          </cell>
          <cell r="H217">
            <v>24334.071243377159</v>
          </cell>
          <cell r="I217">
            <v>24614.100296543471</v>
          </cell>
          <cell r="J217">
            <v>23889.533392177647</v>
          </cell>
          <cell r="K217">
            <v>25774.282184784734</v>
          </cell>
          <cell r="L217">
            <v>31047.679220042664</v>
          </cell>
          <cell r="M217">
            <v>37095.459535210422</v>
          </cell>
          <cell r="N217">
            <v>43223.234689847195</v>
          </cell>
          <cell r="O217">
            <v>46108.536652391122</v>
          </cell>
          <cell r="P217">
            <v>39948.874586737031</v>
          </cell>
          <cell r="Q217">
            <v>34294.495791390851</v>
          </cell>
          <cell r="R217">
            <v>38785.556980662412</v>
          </cell>
          <cell r="S217">
            <v>47508.634311581416</v>
          </cell>
          <cell r="T217">
            <v>54733.838717796403</v>
          </cell>
          <cell r="U217">
            <v>73584.88365750073</v>
          </cell>
          <cell r="V217">
            <v>85873.69012955128</v>
          </cell>
          <cell r="W217">
            <v>94902.064141878713</v>
          </cell>
          <cell r="X217">
            <v>87118.575335384652</v>
          </cell>
          <cell r="Y217">
            <v>79284.198810677248</v>
          </cell>
          <cell r="Z217">
            <v>58598.845800086987</v>
          </cell>
          <cell r="AA217">
            <v>943694.26245379949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-7026.2930238235858</v>
          </cell>
          <cell r="H219">
            <v>24334.071243377159</v>
          </cell>
          <cell r="I219">
            <v>24614.100296543471</v>
          </cell>
          <cell r="J219">
            <v>23889.533392177647</v>
          </cell>
          <cell r="K219">
            <v>25774.282184784734</v>
          </cell>
          <cell r="L219">
            <v>31047.679220042664</v>
          </cell>
          <cell r="M219">
            <v>37095.459535210422</v>
          </cell>
          <cell r="N219">
            <v>43223.234689847195</v>
          </cell>
          <cell r="O219">
            <v>46108.536652391122</v>
          </cell>
          <cell r="P219">
            <v>39948.874586737031</v>
          </cell>
          <cell r="Q219">
            <v>34294.495791390851</v>
          </cell>
          <cell r="R219">
            <v>38785.556980662412</v>
          </cell>
          <cell r="S219">
            <v>47508.634311581416</v>
          </cell>
          <cell r="T219">
            <v>54733.838717796403</v>
          </cell>
          <cell r="U219">
            <v>73584.88365750073</v>
          </cell>
          <cell r="V219">
            <v>85873.69012955128</v>
          </cell>
          <cell r="W219">
            <v>94902.064141878713</v>
          </cell>
          <cell r="X219">
            <v>87118.575335384652</v>
          </cell>
          <cell r="Y219">
            <v>79284.198810677248</v>
          </cell>
          <cell r="Z219">
            <v>58598.845800086987</v>
          </cell>
          <cell r="AA219">
            <v>943694.26245379949</v>
          </cell>
        </row>
        <row r="220">
          <cell r="B220" t="str">
            <v>10- CONTRIBUIÇÃO SOCIAL (Legislação vigente)</v>
          </cell>
          <cell r="G220">
            <v>169.5841975394178</v>
          </cell>
          <cell r="H220">
            <v>2896.0089616459977</v>
          </cell>
          <cell r="I220">
            <v>2971.4443847071016</v>
          </cell>
          <cell r="J220">
            <v>2446.1712075590849</v>
          </cell>
          <cell r="K220">
            <v>2322.2065500316303</v>
          </cell>
          <cell r="L220">
            <v>2449.5719134835085</v>
          </cell>
          <cell r="M220">
            <v>2712.5364006817945</v>
          </cell>
          <cell r="N220">
            <v>2947.0192119562716</v>
          </cell>
          <cell r="O220">
            <v>3198.7161918800534</v>
          </cell>
          <cell r="P220">
            <v>3204.2019828781017</v>
          </cell>
          <cell r="Q220">
            <v>3220.6631626755766</v>
          </cell>
          <cell r="R220">
            <v>3559.0333047105614</v>
          </cell>
          <cell r="S220">
            <v>4236.0330469937935</v>
          </cell>
          <cell r="T220">
            <v>4852.3729800858891</v>
          </cell>
          <cell r="U220">
            <v>5821.8324718966569</v>
          </cell>
          <cell r="V220">
            <v>6439.5935535165891</v>
          </cell>
          <cell r="W220">
            <v>7031.9810321679952</v>
          </cell>
          <cell r="X220">
            <v>6978.3054126093984</v>
          </cell>
          <cell r="Y220">
            <v>6738.560890866208</v>
          </cell>
          <cell r="Z220">
            <v>2798.3883758347051</v>
          </cell>
          <cell r="AA220">
            <v>76994.225233720339</v>
          </cell>
        </row>
        <row r="221">
          <cell r="B221" t="str">
            <v>11- RESULTADO ANTES IMPOSTO DE RENDA    (9 - 10)</v>
          </cell>
          <cell r="G221">
            <v>-7195.8772213630036</v>
          </cell>
          <cell r="H221">
            <v>21438.06228173116</v>
          </cell>
          <cell r="I221">
            <v>21642.655911836369</v>
          </cell>
          <cell r="J221">
            <v>21443.362184618563</v>
          </cell>
          <cell r="K221">
            <v>23452.075634753102</v>
          </cell>
          <cell r="L221">
            <v>28598.107306559155</v>
          </cell>
          <cell r="M221">
            <v>34382.923134528624</v>
          </cell>
          <cell r="N221">
            <v>40276.215477890924</v>
          </cell>
          <cell r="O221">
            <v>42909.820460511066</v>
          </cell>
          <cell r="P221">
            <v>36744.672603858926</v>
          </cell>
          <cell r="Q221">
            <v>31073.832628715274</v>
          </cell>
          <cell r="R221">
            <v>35226.523675951852</v>
          </cell>
          <cell r="S221">
            <v>43272.601264587625</v>
          </cell>
          <cell r="T221">
            <v>49881.465737710518</v>
          </cell>
          <cell r="U221">
            <v>67763.051185604068</v>
          </cell>
          <cell r="V221">
            <v>79434.096576034688</v>
          </cell>
          <cell r="W221">
            <v>87870.083109710715</v>
          </cell>
          <cell r="X221">
            <v>80140.26992277526</v>
          </cell>
          <cell r="Y221">
            <v>72545.637919811037</v>
          </cell>
          <cell r="Z221">
            <v>55800.457424252279</v>
          </cell>
          <cell r="AA221">
            <v>866700.0372200791</v>
          </cell>
        </row>
        <row r="222">
          <cell r="B222" t="str">
            <v>12- IMPOSTO DE RENDA (Legislação vigente)</v>
          </cell>
          <cell r="G222">
            <v>524.4506173106804</v>
          </cell>
          <cell r="H222">
            <v>9255.9030051437421</v>
          </cell>
          <cell r="I222">
            <v>9028.6387022096897</v>
          </cell>
          <cell r="J222">
            <v>7612.0350236221393</v>
          </cell>
          <cell r="K222">
            <v>7231.1454688488457</v>
          </cell>
          <cell r="L222">
            <v>7631.9122296359637</v>
          </cell>
          <cell r="M222">
            <v>8452.6762521306064</v>
          </cell>
          <cell r="N222">
            <v>9184.5600373633497</v>
          </cell>
          <cell r="O222">
            <v>9970.8630996251668</v>
          </cell>
          <cell r="P222">
            <v>9990.7561964940724</v>
          </cell>
          <cell r="Q222">
            <v>10041.697383361174</v>
          </cell>
          <cell r="R222">
            <v>11100.104077220505</v>
          </cell>
          <cell r="S222">
            <v>13213.478271855607</v>
          </cell>
          <cell r="T222">
            <v>15138.540562768405</v>
          </cell>
          <cell r="U222">
            <v>18169.726474677052</v>
          </cell>
          <cell r="V222">
            <v>20098.979854739333</v>
          </cell>
          <cell r="W222">
            <v>21950.815725524993</v>
          </cell>
          <cell r="X222">
            <v>21784.329414404368</v>
          </cell>
          <cell r="Y222">
            <v>21033.627783956894</v>
          </cell>
          <cell r="Z222">
            <v>8728.0886744834534</v>
          </cell>
          <cell r="AA222">
            <v>240142.32885537602</v>
          </cell>
        </row>
        <row r="223">
          <cell r="B223" t="str">
            <v>13- RESULTADO DE EXERCÍCIO    (11 - 12)</v>
          </cell>
          <cell r="G223">
            <v>-7720.3278386736838</v>
          </cell>
          <cell r="H223">
            <v>12182.159276587417</v>
          </cell>
          <cell r="I223">
            <v>12614.01720962668</v>
          </cell>
          <cell r="J223">
            <v>13831.327160996425</v>
          </cell>
          <cell r="K223">
            <v>16220.930165904258</v>
          </cell>
          <cell r="L223">
            <v>20966.195076923192</v>
          </cell>
          <cell r="M223">
            <v>25930.246882398016</v>
          </cell>
          <cell r="N223">
            <v>31091.655440527575</v>
          </cell>
          <cell r="O223">
            <v>32938.957360885899</v>
          </cell>
          <cell r="P223">
            <v>26753.916407364854</v>
          </cell>
          <cell r="Q223">
            <v>21032.1352453541</v>
          </cell>
          <cell r="R223">
            <v>24126.419598731347</v>
          </cell>
          <cell r="S223">
            <v>30059.122992732016</v>
          </cell>
          <cell r="T223">
            <v>34742.925174942109</v>
          </cell>
          <cell r="U223">
            <v>49593.324710927016</v>
          </cell>
          <cell r="V223">
            <v>59335.116721295359</v>
          </cell>
          <cell r="W223">
            <v>65919.267384185718</v>
          </cell>
          <cell r="X223">
            <v>58355.940508370892</v>
          </cell>
          <cell r="Y223">
            <v>51512.010135854143</v>
          </cell>
          <cell r="Z223">
            <v>47072.368749768822</v>
          </cell>
          <cell r="AA223">
            <v>626557.70836470311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157776.52785000001</v>
          </cell>
          <cell r="H229">
            <v>162509.82368550001</v>
          </cell>
          <cell r="I229">
            <v>167385.11839606502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487671.46993156511</v>
          </cell>
        </row>
        <row r="230">
          <cell r="B230" t="str">
            <v>1.1 - Operacionais    (1.1.1 + 1.1.2)</v>
          </cell>
          <cell r="G230">
            <v>157776.52785000001</v>
          </cell>
          <cell r="H230">
            <v>162509.82368550001</v>
          </cell>
          <cell r="I230">
            <v>167385.11839606502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487671.46993156511</v>
          </cell>
        </row>
        <row r="231">
          <cell r="B231" t="str">
            <v>1.1.1 - Receitas de  Pedágios    (Transp. Qd.2.1.1.2)</v>
          </cell>
          <cell r="G231">
            <v>156991.57</v>
          </cell>
          <cell r="H231">
            <v>161701.31710000001</v>
          </cell>
          <cell r="I231">
            <v>166552.35661300001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485245.24371300009</v>
          </cell>
        </row>
        <row r="232">
          <cell r="B232" t="str">
            <v>1.1.2 - Outras Receitas Operacionais    (calculado 2.1.2.)</v>
          </cell>
          <cell r="G232">
            <v>784.95785000000001</v>
          </cell>
          <cell r="H232">
            <v>808.50658550000014</v>
          </cell>
          <cell r="I232">
            <v>832.76178306500003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2426.2262185650002</v>
          </cell>
        </row>
        <row r="233">
          <cell r="B233" t="str">
            <v>2 -  DEDUÇÕES DA RECEITA    (2.1)</v>
          </cell>
          <cell r="G233">
            <v>13647.669659024999</v>
          </cell>
          <cell r="H233">
            <v>14057.09974879575</v>
          </cell>
          <cell r="I233">
            <v>14478.812741259626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42183.582149080372</v>
          </cell>
        </row>
        <row r="234">
          <cell r="B234" t="str">
            <v>2.1 - Tributos sobre Faturamento    (2.1.1+ .... + 2.1.4)</v>
          </cell>
          <cell r="G234">
            <v>13647.669659024999</v>
          </cell>
          <cell r="H234">
            <v>14057.09974879575</v>
          </cell>
          <cell r="I234">
            <v>14478.812741259626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42183.582149080372</v>
          </cell>
        </row>
        <row r="235">
          <cell r="B235" t="str">
            <v>2.1.1 - I.S.S    (transp. Qd  1.3.)</v>
          </cell>
          <cell r="G235">
            <v>7888.826392500001</v>
          </cell>
          <cell r="H235">
            <v>8125.4911842750007</v>
          </cell>
          <cell r="I235">
            <v>8369.2559198032523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24383.573496578254</v>
          </cell>
        </row>
        <row r="236">
          <cell r="B236" t="str">
            <v>2.1.2 - Cofins    (transp. Qd 1.3.)</v>
          </cell>
          <cell r="G236">
            <v>4733.2958355000001</v>
          </cell>
          <cell r="H236">
            <v>4875.2947105650001</v>
          </cell>
          <cell r="I236">
            <v>5021.5535518819506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14630.14409794695</v>
          </cell>
        </row>
        <row r="237">
          <cell r="B237" t="str">
            <v>2.1.3 - Pis / Pasep    (transp. Qd 1.3.)</v>
          </cell>
          <cell r="G237">
            <v>1025.5474310250002</v>
          </cell>
          <cell r="H237">
            <v>1056.3138539557501</v>
          </cell>
          <cell r="I237">
            <v>1088.0032695744226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3169.8645545551731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144128.85819097501</v>
          </cell>
          <cell r="H239">
            <v>148452.72393670428</v>
          </cell>
          <cell r="I239">
            <v>152906.30565480539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445487.88778248476</v>
          </cell>
        </row>
        <row r="240">
          <cell r="B240" t="str">
            <v>4 -  DESPESAS    (4.1)</v>
          </cell>
          <cell r="G240">
            <v>38109.937589533518</v>
          </cell>
          <cell r="H240">
            <v>38254.435644799669</v>
          </cell>
          <cell r="I240">
            <v>38403.268641723793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114767.64187605699</v>
          </cell>
        </row>
        <row r="241">
          <cell r="B241" t="str">
            <v>4.1 - Operacionais    (4.1.1+ .... + 4.1.10)</v>
          </cell>
          <cell r="G241">
            <v>38109.937589533518</v>
          </cell>
          <cell r="H241">
            <v>38254.435644799669</v>
          </cell>
          <cell r="I241">
            <v>38403.268641723793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114767.64187605699</v>
          </cell>
        </row>
        <row r="242">
          <cell r="B242" t="str">
            <v>4.1.1  -  Pessoal e Administradores    (Transp. Qd. 1.3.)</v>
          </cell>
          <cell r="G242">
            <v>18214.73</v>
          </cell>
          <cell r="H242">
            <v>18214.73</v>
          </cell>
          <cell r="I242">
            <v>18214.73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54644.19</v>
          </cell>
        </row>
        <row r="243">
          <cell r="B243" t="str">
            <v>4.1.2  -  Conservação de Rotina    (Transp. Qd. 1.3.)</v>
          </cell>
          <cell r="G243">
            <v>9274.65</v>
          </cell>
          <cell r="H243">
            <v>9274.65</v>
          </cell>
          <cell r="I243">
            <v>9274.65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27823.949999999997</v>
          </cell>
        </row>
        <row r="244">
          <cell r="B244" t="str">
            <v>4.1.3  -  Consumo    (Transp. Qd. 1.3.)</v>
          </cell>
          <cell r="G244">
            <v>956.76</v>
          </cell>
          <cell r="H244">
            <v>956.76</v>
          </cell>
          <cell r="I244">
            <v>956.76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2870.2799999999997</v>
          </cell>
        </row>
        <row r="245">
          <cell r="B245" t="str">
            <v>4.1.4  -  Transportes    (Transp. Qd. 1.3.)</v>
          </cell>
          <cell r="G245">
            <v>1492.56</v>
          </cell>
          <cell r="H245">
            <v>1492.56</v>
          </cell>
          <cell r="I245">
            <v>1492.56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4477.68</v>
          </cell>
        </row>
        <row r="246">
          <cell r="B246" t="str">
            <v>4.1.5  -  Diversas    (Transp. Qd. 1.3.)</v>
          </cell>
          <cell r="G246">
            <v>1741</v>
          </cell>
          <cell r="H246">
            <v>1741</v>
          </cell>
          <cell r="I246">
            <v>1741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5223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1037.8076133340453</v>
          </cell>
          <cell r="H248">
            <v>1037.8076133340453</v>
          </cell>
          <cell r="I248">
            <v>1037.8076133340453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3113.4228400021357</v>
          </cell>
        </row>
        <row r="249">
          <cell r="B249" t="str">
            <v xml:space="preserve">4.1.8  -  Garantias  (transp. Qd 1.3.)  </v>
          </cell>
          <cell r="G249">
            <v>659.13414069947919</v>
          </cell>
          <cell r="H249">
            <v>661.63332090062318</v>
          </cell>
          <cell r="I249">
            <v>664.20747650780152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1984.9749381079037</v>
          </cell>
        </row>
        <row r="250">
          <cell r="B250" t="str">
            <v xml:space="preserve">4.1.9  -  Parc.Variável da Concessão   </v>
          </cell>
          <cell r="G250">
            <v>4733.2958355000001</v>
          </cell>
          <cell r="H250">
            <v>4875.2947105650001</v>
          </cell>
          <cell r="I250">
            <v>5021.5535518819506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14630.14409794695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106018.9206014415</v>
          </cell>
          <cell r="H252">
            <v>110198.28829190461</v>
          </cell>
          <cell r="I252">
            <v>114503.0370130816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330720.24590642774</v>
          </cell>
        </row>
        <row r="253">
          <cell r="B253" t="str">
            <v>6 -  RESULTADO FINANCEIRO    (6.1)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B254" t="str">
            <v>6.1 - Receitas    (Transp. Qd. 2B)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B255" t="str">
            <v>7 -  RESULTADO OPERACIONAL    (5 + 6)</v>
          </cell>
          <cell r="G255">
            <v>106018.9206014415</v>
          </cell>
          <cell r="H255">
            <v>110198.28829190461</v>
          </cell>
          <cell r="I255">
            <v>114503.0370130816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330720.24590642774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106018.9206014415</v>
          </cell>
          <cell r="H257">
            <v>110198.28829190461</v>
          </cell>
          <cell r="I257">
            <v>114503.0370130816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330720.24590642774</v>
          </cell>
        </row>
        <row r="258">
          <cell r="B258" t="str">
            <v>10- CONTRIBUIÇÃO SOCIAL (Legislação vigente)</v>
          </cell>
          <cell r="G258">
            <v>8481.5136481153204</v>
          </cell>
          <cell r="H258">
            <v>8815.8630633523699</v>
          </cell>
          <cell r="I258">
            <v>9160.2429610465279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26457.619672514214</v>
          </cell>
        </row>
        <row r="259">
          <cell r="B259" t="str">
            <v>11- RESULTADO ANTES IMPOSTO DE RENDA    (9 - 10)</v>
          </cell>
          <cell r="G259">
            <v>97537.406953326179</v>
          </cell>
          <cell r="H259">
            <v>101382.42522855224</v>
          </cell>
          <cell r="I259">
            <v>105342.79405203507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304262.62623391353</v>
          </cell>
        </row>
        <row r="260">
          <cell r="B260" t="str">
            <v>12- IMPOSTO DE RENDA (Legislação vigente)</v>
          </cell>
          <cell r="G260">
            <v>26480.730150360374</v>
          </cell>
          <cell r="H260">
            <v>27525.572072976152</v>
          </cell>
          <cell r="I260">
            <v>28601.7592532704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82608.061476606934</v>
          </cell>
        </row>
        <row r="261">
          <cell r="B261" t="str">
            <v>13- RESULTADO DE EXERCÍCIO    (11 - 12)</v>
          </cell>
          <cell r="G261">
            <v>71056.676802965812</v>
          </cell>
          <cell r="H261">
            <v>73856.853155576086</v>
          </cell>
          <cell r="I261">
            <v>76741.034798764667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221654.56475730659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44876.126350046019</v>
          </cell>
          <cell r="H267">
            <v>83286.405845327768</v>
          </cell>
          <cell r="I267">
            <v>92170.777694183853</v>
          </cell>
          <cell r="J267">
            <v>93091.474111435353</v>
          </cell>
          <cell r="K267">
            <v>94898.17915951302</v>
          </cell>
          <cell r="L267">
            <v>98305.283682905327</v>
          </cell>
          <cell r="M267">
            <v>105744.85842768283</v>
          </cell>
          <cell r="N267">
            <v>111959.09863747933</v>
          </cell>
          <cell r="O267">
            <v>117686.64469588712</v>
          </cell>
          <cell r="P267">
            <v>123859.38727973677</v>
          </cell>
          <cell r="Q267">
            <v>127330.15296782771</v>
          </cell>
          <cell r="R267">
            <v>131315.63884174329</v>
          </cell>
          <cell r="S267">
            <v>138034.07216737888</v>
          </cell>
          <cell r="T267">
            <v>144975.64613405798</v>
          </cell>
          <cell r="U267">
            <v>153371.76356683884</v>
          </cell>
          <cell r="V267">
            <v>161710.26964387586</v>
          </cell>
          <cell r="W267">
            <v>170128.85141206314</v>
          </cell>
          <cell r="X267">
            <v>178642.7646347688</v>
          </cell>
          <cell r="Y267">
            <v>185717.1531974645</v>
          </cell>
          <cell r="Z267">
            <v>193857.07704520179</v>
          </cell>
          <cell r="AA267">
            <v>2550961.6254954189</v>
          </cell>
        </row>
        <row r="268">
          <cell r="B268" t="str">
            <v>1.1.  RECEITAS     (1.1.1.+ ... + 1.1.4)</v>
          </cell>
          <cell r="G268">
            <v>44876.126350046019</v>
          </cell>
          <cell r="H268">
            <v>83286.405845327768</v>
          </cell>
          <cell r="I268">
            <v>92170.777694183853</v>
          </cell>
          <cell r="J268">
            <v>93091.474111435353</v>
          </cell>
          <cell r="K268">
            <v>94898.17915951302</v>
          </cell>
          <cell r="L268">
            <v>98305.283682905327</v>
          </cell>
          <cell r="M268">
            <v>105744.85842768283</v>
          </cell>
          <cell r="N268">
            <v>111959.09863747933</v>
          </cell>
          <cell r="O268">
            <v>117686.64469588712</v>
          </cell>
          <cell r="P268">
            <v>123859.38727973677</v>
          </cell>
          <cell r="Q268">
            <v>127330.15296782771</v>
          </cell>
          <cell r="R268">
            <v>131315.63884174329</v>
          </cell>
          <cell r="S268">
            <v>138034.07216737888</v>
          </cell>
          <cell r="T268">
            <v>144975.64613405798</v>
          </cell>
          <cell r="U268">
            <v>153371.76356683884</v>
          </cell>
          <cell r="V268">
            <v>161710.26964387586</v>
          </cell>
          <cell r="W268">
            <v>170128.85141206314</v>
          </cell>
          <cell r="X268">
            <v>178642.7646347688</v>
          </cell>
          <cell r="Y268">
            <v>185717.1531974645</v>
          </cell>
          <cell r="Z268">
            <v>193857.07704520179</v>
          </cell>
          <cell r="AA268">
            <v>2550961.6254954189</v>
          </cell>
        </row>
        <row r="269">
          <cell r="B269" t="str">
            <v>1.1.1   Receitas de Pedágio</v>
          </cell>
          <cell r="G269">
            <v>44652.711049999998</v>
          </cell>
          <cell r="H269">
            <v>82701.048649999997</v>
          </cell>
          <cell r="I269">
            <v>88017.844600000011</v>
          </cell>
          <cell r="J269">
            <v>91048.122325000018</v>
          </cell>
          <cell r="K269">
            <v>94077.015697499999</v>
          </cell>
          <cell r="L269">
            <v>95780.177321704687</v>
          </cell>
          <cell r="M269">
            <v>101917.52809100341</v>
          </cell>
          <cell r="N269">
            <v>106882.63132972551</v>
          </cell>
          <cell r="O269">
            <v>109977.59503186807</v>
          </cell>
          <cell r="P269">
            <v>113076.8080217596</v>
          </cell>
          <cell r="Q269">
            <v>116172.75961287991</v>
          </cell>
          <cell r="R269">
            <v>119272.16465316506</v>
          </cell>
          <cell r="S269">
            <v>122362.72950805182</v>
          </cell>
          <cell r="T269">
            <v>125469.70165472479</v>
          </cell>
          <cell r="U269">
            <v>128563.47201529586</v>
          </cell>
          <cell r="V269">
            <v>131661.94898768651</v>
          </cell>
          <cell r="W269">
            <v>134764.84314125564</v>
          </cell>
          <cell r="X269">
            <v>137862.4284971201</v>
          </cell>
          <cell r="Y269">
            <v>140957.33865662542</v>
          </cell>
          <cell r="Z269">
            <v>144057.48863723694</v>
          </cell>
          <cell r="AA269">
            <v>2229276.3574826038</v>
          </cell>
        </row>
        <row r="270">
          <cell r="B270" t="str">
            <v>1.1.2   Outras Receitas Operacionais</v>
          </cell>
          <cell r="G270">
            <v>223.41530004602367</v>
          </cell>
          <cell r="H270">
            <v>430.35000044412857</v>
          </cell>
          <cell r="I270">
            <v>455.51715012011624</v>
          </cell>
          <cell r="J270">
            <v>471.62585016916347</v>
          </cell>
          <cell r="K270">
            <v>490.66609996247593</v>
          </cell>
          <cell r="L270">
            <v>517.03724999999997</v>
          </cell>
          <cell r="M270">
            <v>532.75565064899286</v>
          </cell>
          <cell r="N270">
            <v>548.52805000000001</v>
          </cell>
          <cell r="O270">
            <v>565.26514991865963</v>
          </cell>
          <cell r="P270">
            <v>581.01885014437198</v>
          </cell>
          <cell r="Q270">
            <v>595.77955117313115</v>
          </cell>
          <cell r="R270">
            <v>612.48694997641076</v>
          </cell>
          <cell r="S270">
            <v>628.24145043161604</v>
          </cell>
          <cell r="T270">
            <v>643.95765018162285</v>
          </cell>
          <cell r="U270">
            <v>659.72725020812402</v>
          </cell>
          <cell r="V270">
            <v>676.46745015663453</v>
          </cell>
          <cell r="W270">
            <v>691.198500010271</v>
          </cell>
          <cell r="X270">
            <v>706.93820001204915</v>
          </cell>
          <cell r="Y270">
            <v>722.67744999999991</v>
          </cell>
          <cell r="Z270">
            <v>739.42230000000006</v>
          </cell>
          <cell r="AA270">
            <v>11493.076103603789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0</v>
          </cell>
          <cell r="H272">
            <v>155.00719488363831</v>
          </cell>
          <cell r="I272">
            <v>3697.4159440637254</v>
          </cell>
          <cell r="J272">
            <v>1571.7259362661778</v>
          </cell>
          <cell r="K272">
            <v>330.49736205055183</v>
          </cell>
          <cell r="L272">
            <v>2008.0691112006443</v>
          </cell>
          <cell r="M272">
            <v>3294.5746860304371</v>
          </cell>
          <cell r="N272">
            <v>4527.939257753831</v>
          </cell>
          <cell r="O272">
            <v>7143.7845141003918</v>
          </cell>
          <cell r="P272">
            <v>10201.560407832787</v>
          </cell>
          <cell r="Q272">
            <v>10561.613803774664</v>
          </cell>
          <cell r="R272">
            <v>11430.987238601821</v>
          </cell>
          <cell r="S272">
            <v>15043.101208895438</v>
          </cell>
          <cell r="T272">
            <v>18861.986829151585</v>
          </cell>
          <cell r="U272">
            <v>24148.564301334871</v>
          </cell>
          <cell r="V272">
            <v>29371.853206032705</v>
          </cell>
          <cell r="W272">
            <v>34672.809770797234</v>
          </cell>
          <cell r="X272">
            <v>40073.397937636648</v>
          </cell>
          <cell r="Y272">
            <v>44037.137090839096</v>
          </cell>
          <cell r="Z272">
            <v>49060.166107964833</v>
          </cell>
          <cell r="AA272">
            <v>310192.19190921111</v>
          </cell>
        </row>
        <row r="273">
          <cell r="B273" t="str">
            <v>2.  DESEMBOLSOS     (2.1.+ ... + 2.4)</v>
          </cell>
          <cell r="G273">
            <v>72001.633828788166</v>
          </cell>
          <cell r="H273">
            <v>109064.74947993986</v>
          </cell>
          <cell r="I273">
            <v>104452.65341445389</v>
          </cell>
          <cell r="J273">
            <v>98268.437895175608</v>
          </cell>
          <cell r="K273">
            <v>100756.62342604122</v>
          </cell>
          <cell r="L273">
            <v>81066.177843518672</v>
          </cell>
          <cell r="M273">
            <v>89737.584439486833</v>
          </cell>
          <cell r="N273">
            <v>94117.562079634517</v>
          </cell>
          <cell r="O273">
            <v>102396.55821879323</v>
          </cell>
          <cell r="P273">
            <v>118244.92148526334</v>
          </cell>
          <cell r="Q273">
            <v>98875.588797758508</v>
          </cell>
          <cell r="R273">
            <v>102393.45578447019</v>
          </cell>
          <cell r="S273">
            <v>75782.612195725742</v>
          </cell>
          <cell r="T273">
            <v>77981.321043130534</v>
          </cell>
          <cell r="U273">
            <v>86632.456528627648</v>
          </cell>
          <cell r="V273">
            <v>85479.74281596097</v>
          </cell>
          <cell r="W273">
            <v>89119.708869576774</v>
          </cell>
          <cell r="X273">
            <v>107042.87076153858</v>
          </cell>
          <cell r="Y273">
            <v>107367.02489627787</v>
          </cell>
          <cell r="Z273">
            <v>108723.11035884824</v>
          </cell>
          <cell r="AA273">
            <v>1909504.7941630101</v>
          </cell>
        </row>
        <row r="274">
          <cell r="B274" t="str">
            <v>2.1.  OPERACIONAIS     (2.1.1.+ ... + 2.1.8)</v>
          </cell>
          <cell r="G274">
            <v>36480.49192594648</v>
          </cell>
          <cell r="H274">
            <v>38111.583930577268</v>
          </cell>
          <cell r="I274">
            <v>40177.98135082503</v>
          </cell>
          <cell r="J274">
            <v>40897.671625498209</v>
          </cell>
          <cell r="K274">
            <v>41898.362147141059</v>
          </cell>
          <cell r="L274">
            <v>43058.934100609324</v>
          </cell>
          <cell r="M274">
            <v>45381.407175230037</v>
          </cell>
          <cell r="N274">
            <v>45630.117516237784</v>
          </cell>
          <cell r="O274">
            <v>46051.345687705289</v>
          </cell>
          <cell r="P274">
            <v>46360.275941534972</v>
          </cell>
          <cell r="Q274">
            <v>46643.792767141967</v>
          </cell>
          <cell r="R274">
            <v>46948.668948969782</v>
          </cell>
          <cell r="S274">
            <v>47275.835494597239</v>
          </cell>
          <cell r="T274">
            <v>47613.205803277699</v>
          </cell>
          <cell r="U274">
            <v>48015.744449331032</v>
          </cell>
          <cell r="V274">
            <v>48478.86269095094</v>
          </cell>
          <cell r="W274">
            <v>48944.613345686652</v>
          </cell>
          <cell r="X274">
            <v>49276.141655535437</v>
          </cell>
          <cell r="Y274">
            <v>49692.785912655359</v>
          </cell>
          <cell r="Z274">
            <v>50149.080980905142</v>
          </cell>
          <cell r="AA274">
            <v>907086.90345035656</v>
          </cell>
        </row>
        <row r="275">
          <cell r="B275" t="str">
            <v xml:space="preserve">2.1.1.  Pessoal / Administradores   </v>
          </cell>
          <cell r="G275">
            <v>13860.079999999998</v>
          </cell>
          <cell r="H275">
            <v>18033.05</v>
          </cell>
          <cell r="I275">
            <v>18505.14</v>
          </cell>
          <cell r="J275">
            <v>18658.769999999997</v>
          </cell>
          <cell r="K275">
            <v>18674.46</v>
          </cell>
          <cell r="L275">
            <v>18658.71</v>
          </cell>
          <cell r="M275">
            <v>18603.21</v>
          </cell>
          <cell r="N275">
            <v>18603.21</v>
          </cell>
          <cell r="O275">
            <v>18603.21</v>
          </cell>
          <cell r="P275">
            <v>18533.84</v>
          </cell>
          <cell r="Q275">
            <v>18533.84</v>
          </cell>
          <cell r="R275">
            <v>18533.84</v>
          </cell>
          <cell r="S275">
            <v>18464.47</v>
          </cell>
          <cell r="T275">
            <v>18395.09</v>
          </cell>
          <cell r="U275">
            <v>18339.599999999999</v>
          </cell>
          <cell r="V275">
            <v>18339.599999999999</v>
          </cell>
          <cell r="W275">
            <v>18339.599999999999</v>
          </cell>
          <cell r="X275">
            <v>18214.73</v>
          </cell>
          <cell r="Y275">
            <v>18214.73</v>
          </cell>
          <cell r="Z275">
            <v>18214.73</v>
          </cell>
          <cell r="AA275">
            <v>364323.90999999986</v>
          </cell>
        </row>
        <row r="276">
          <cell r="B276" t="str">
            <v xml:space="preserve">2.1.2.  Conservação de Rotina  </v>
          </cell>
          <cell r="G276">
            <v>12695.07</v>
          </cell>
          <cell r="H276">
            <v>7548</v>
          </cell>
          <cell r="I276">
            <v>7856.04</v>
          </cell>
          <cell r="J276">
            <v>8367.57</v>
          </cell>
          <cell r="K276">
            <v>9119.33</v>
          </cell>
          <cell r="L276">
            <v>9186.85</v>
          </cell>
          <cell r="M276">
            <v>9212.3000000000011</v>
          </cell>
          <cell r="N276">
            <v>9219.2999999999993</v>
          </cell>
          <cell r="O276">
            <v>9274.65</v>
          </cell>
          <cell r="P276">
            <v>9274.65</v>
          </cell>
          <cell r="Q276">
            <v>9274.65</v>
          </cell>
          <cell r="R276">
            <v>9274.65</v>
          </cell>
          <cell r="S276">
            <v>9274.65</v>
          </cell>
          <cell r="T276">
            <v>9274.65</v>
          </cell>
          <cell r="U276">
            <v>9274.65</v>
          </cell>
          <cell r="V276">
            <v>9274.65</v>
          </cell>
          <cell r="W276">
            <v>9274.65</v>
          </cell>
          <cell r="X276">
            <v>9274.65</v>
          </cell>
          <cell r="Y276">
            <v>9274.65</v>
          </cell>
          <cell r="Z276">
            <v>9274.65</v>
          </cell>
          <cell r="AA276">
            <v>184500.25999999995</v>
          </cell>
        </row>
        <row r="277">
          <cell r="B277" t="str">
            <v xml:space="preserve">2.1.3.  Consumo   </v>
          </cell>
          <cell r="G277">
            <v>1504.99</v>
          </cell>
          <cell r="H277">
            <v>981.02999999999986</v>
          </cell>
          <cell r="I277">
            <v>1026.74</v>
          </cell>
          <cell r="J277">
            <v>1019.6</v>
          </cell>
          <cell r="K277">
            <v>998.18000000000006</v>
          </cell>
          <cell r="L277">
            <v>1002.46</v>
          </cell>
          <cell r="M277">
            <v>996.75</v>
          </cell>
          <cell r="N277">
            <v>996.75</v>
          </cell>
          <cell r="O277">
            <v>996.75</v>
          </cell>
          <cell r="P277">
            <v>989.6099999999999</v>
          </cell>
          <cell r="Q277">
            <v>989.6099999999999</v>
          </cell>
          <cell r="R277">
            <v>989.6099999999999</v>
          </cell>
          <cell r="S277">
            <v>982.47</v>
          </cell>
          <cell r="T277">
            <v>975.03</v>
          </cell>
          <cell r="U277">
            <v>969.6099999999999</v>
          </cell>
          <cell r="V277">
            <v>969.6099999999999</v>
          </cell>
          <cell r="W277">
            <v>969.6099999999999</v>
          </cell>
          <cell r="X277">
            <v>956.76</v>
          </cell>
          <cell r="Y277">
            <v>956.76</v>
          </cell>
          <cell r="Z277">
            <v>956.76</v>
          </cell>
          <cell r="AA277">
            <v>20228.689999999999</v>
          </cell>
        </row>
        <row r="278">
          <cell r="B278" t="str">
            <v>2.1.4.  Transportes</v>
          </cell>
          <cell r="G278">
            <v>900.4</v>
          </cell>
          <cell r="H278">
            <v>1434.83</v>
          </cell>
          <cell r="I278">
            <v>1492.56</v>
          </cell>
          <cell r="J278">
            <v>1492.56</v>
          </cell>
          <cell r="K278">
            <v>1492.56</v>
          </cell>
          <cell r="L278">
            <v>1492.56</v>
          </cell>
          <cell r="M278">
            <v>1492.56</v>
          </cell>
          <cell r="N278">
            <v>1492.56</v>
          </cell>
          <cell r="O278">
            <v>1492.56</v>
          </cell>
          <cell r="P278">
            <v>1492.56</v>
          </cell>
          <cell r="Q278">
            <v>1492.56</v>
          </cell>
          <cell r="R278">
            <v>1492.56</v>
          </cell>
          <cell r="S278">
            <v>1492.56</v>
          </cell>
          <cell r="T278">
            <v>1492.56</v>
          </cell>
          <cell r="U278">
            <v>1492.56</v>
          </cell>
          <cell r="V278">
            <v>1492.56</v>
          </cell>
          <cell r="W278">
            <v>1492.56</v>
          </cell>
          <cell r="X278">
            <v>1492.56</v>
          </cell>
          <cell r="Y278">
            <v>1492.56</v>
          </cell>
          <cell r="Z278">
            <v>1492.56</v>
          </cell>
          <cell r="AA278">
            <v>29201.310000000009</v>
          </cell>
        </row>
        <row r="279">
          <cell r="B279" t="str">
            <v>2.1.5.  Diversas</v>
          </cell>
          <cell r="G279">
            <v>1741</v>
          </cell>
          <cell r="H279">
            <v>1741</v>
          </cell>
          <cell r="I279">
            <v>1741</v>
          </cell>
          <cell r="J279">
            <v>1741</v>
          </cell>
          <cell r="K279">
            <v>1741</v>
          </cell>
          <cell r="L279">
            <v>1741</v>
          </cell>
          <cell r="M279">
            <v>1741</v>
          </cell>
          <cell r="N279">
            <v>1741</v>
          </cell>
          <cell r="O279">
            <v>1741</v>
          </cell>
          <cell r="P279">
            <v>1741</v>
          </cell>
          <cell r="Q279">
            <v>1741</v>
          </cell>
          <cell r="R279">
            <v>1741</v>
          </cell>
          <cell r="S279">
            <v>1741</v>
          </cell>
          <cell r="T279">
            <v>1741</v>
          </cell>
          <cell r="U279">
            <v>1741</v>
          </cell>
          <cell r="V279">
            <v>1741</v>
          </cell>
          <cell r="W279">
            <v>1741</v>
          </cell>
          <cell r="X279">
            <v>1741</v>
          </cell>
          <cell r="Y279">
            <v>1741</v>
          </cell>
          <cell r="Z279">
            <v>1741</v>
          </cell>
          <cell r="AA279">
            <v>34820</v>
          </cell>
        </row>
        <row r="280">
          <cell r="B280" t="str">
            <v>2.1.6.  Tributos s/ Faturamento</v>
          </cell>
          <cell r="G280">
            <v>2068.2884213188067</v>
          </cell>
          <cell r="H280">
            <v>4768.1247784786565</v>
          </cell>
          <cell r="I280">
            <v>6050.860862755465</v>
          </cell>
          <cell r="J280">
            <v>6176.1185899577085</v>
          </cell>
          <cell r="K280">
            <v>6501.0397641296022</v>
          </cell>
          <cell r="L280">
            <v>7643.3200701269307</v>
          </cell>
          <cell r="M280">
            <v>10053.697844747634</v>
          </cell>
          <cell r="N280">
            <v>10560.355056903738</v>
          </cell>
          <cell r="O280">
            <v>10957.380828371246</v>
          </cell>
          <cell r="P280">
            <v>11371.533082200935</v>
          </cell>
          <cell r="Q280">
            <v>11684.761907807926</v>
          </cell>
          <cell r="R280">
            <v>12018.35008963574</v>
          </cell>
          <cell r="S280">
            <v>12450.738635263191</v>
          </cell>
          <cell r="T280">
            <v>12892.640943943661</v>
          </cell>
          <cell r="U280">
            <v>13385.801589996987</v>
          </cell>
          <cell r="V280">
            <v>13877.631831616896</v>
          </cell>
          <cell r="W280">
            <v>14372.094486352606</v>
          </cell>
          <cell r="X280">
            <v>14870.054796201397</v>
          </cell>
          <cell r="Y280">
            <v>15315.411053321317</v>
          </cell>
          <cell r="Z280">
            <v>15800.4181215711</v>
          </cell>
          <cell r="AA280">
            <v>212818.62275470159</v>
          </cell>
        </row>
        <row r="281">
          <cell r="B281" t="str">
            <v>2.1.7.  Seguros</v>
          </cell>
          <cell r="G281">
            <v>1108.6094471276722</v>
          </cell>
          <cell r="H281">
            <v>1135.2353945986172</v>
          </cell>
          <cell r="I281">
            <v>1161.8613420695624</v>
          </cell>
          <cell r="J281">
            <v>1188.4872895405076</v>
          </cell>
          <cell r="K281">
            <v>1215.1132370114528</v>
          </cell>
          <cell r="L281">
            <v>1241.7391844823981</v>
          </cell>
          <cell r="M281">
            <v>1241.7391844823981</v>
          </cell>
          <cell r="N281">
            <v>1037.8076133340453</v>
          </cell>
          <cell r="O281">
            <v>1037.8076133340453</v>
          </cell>
          <cell r="P281">
            <v>1037.8076133340453</v>
          </cell>
          <cell r="Q281">
            <v>1037.8076133340453</v>
          </cell>
          <cell r="R281">
            <v>1037.8076133340453</v>
          </cell>
          <cell r="S281">
            <v>1037.8076133340453</v>
          </cell>
          <cell r="T281">
            <v>1037.8076133340453</v>
          </cell>
          <cell r="U281">
            <v>1037.8076133340453</v>
          </cell>
          <cell r="V281">
            <v>1037.8076133340453</v>
          </cell>
          <cell r="W281">
            <v>1037.8076133340453</v>
          </cell>
          <cell r="X281">
            <v>1037.8076133340453</v>
          </cell>
          <cell r="Y281">
            <v>1037.8076133340453</v>
          </cell>
          <cell r="Z281">
            <v>1037.8076133340453</v>
          </cell>
          <cell r="AA281">
            <v>21784.284052655192</v>
          </cell>
        </row>
        <row r="282">
          <cell r="B282" t="str">
            <v xml:space="preserve">2.1.8.  Garantias </v>
          </cell>
          <cell r="G282">
            <v>2602.0540575</v>
          </cell>
          <cell r="H282">
            <v>2470.3137575000001</v>
          </cell>
          <cell r="I282">
            <v>2343.7791459999999</v>
          </cell>
          <cell r="J282">
            <v>2253.5657460000002</v>
          </cell>
          <cell r="K282">
            <v>2156.6791460000004</v>
          </cell>
          <cell r="L282">
            <v>2092.2948459999998</v>
          </cell>
          <cell r="M282">
            <v>2040.1501460000002</v>
          </cell>
          <cell r="N282">
            <v>1979.1348460000002</v>
          </cell>
          <cell r="O282">
            <v>1947.9872460000001</v>
          </cell>
          <cell r="P282">
            <v>1919.2752459999999</v>
          </cell>
          <cell r="Q282">
            <v>1889.5632459999999</v>
          </cell>
          <cell r="R282">
            <v>1860.8512459999999</v>
          </cell>
          <cell r="S282">
            <v>1832.139246</v>
          </cell>
          <cell r="T282">
            <v>1804.427246</v>
          </cell>
          <cell r="U282">
            <v>1774.715246</v>
          </cell>
          <cell r="V282">
            <v>1746.003246</v>
          </cell>
          <cell r="W282">
            <v>1717.291246</v>
          </cell>
          <cell r="X282">
            <v>1688.579246</v>
          </cell>
          <cell r="Y282">
            <v>1659.867246</v>
          </cell>
          <cell r="Z282">
            <v>1631.155246</v>
          </cell>
          <cell r="AA282">
            <v>39409.826643</v>
          </cell>
        </row>
        <row r="283">
          <cell r="B283" t="str">
            <v>2.2.  INVESTIMENTOS / IMOBILIZADO     (2.2.1.+ ... + 2.2.7)</v>
          </cell>
          <cell r="G283">
            <v>23241.86</v>
          </cell>
          <cell r="H283">
            <v>52268.719999999994</v>
          </cell>
          <cell r="I283">
            <v>43875.619999999995</v>
          </cell>
          <cell r="J283">
            <v>38373.089999999997</v>
          </cell>
          <cell r="K283">
            <v>40735.42</v>
          </cell>
          <cell r="L283">
            <v>19775.599999999999</v>
          </cell>
          <cell r="M283">
            <v>24936.399999999998</v>
          </cell>
          <cell r="N283">
            <v>27799.289999999997</v>
          </cell>
          <cell r="O283">
            <v>34458.879999999997</v>
          </cell>
          <cell r="P283">
            <v>49283.41</v>
          </cell>
          <cell r="Q283">
            <v>29631.149999999998</v>
          </cell>
          <cell r="R283">
            <v>31747</v>
          </cell>
          <cell r="S283">
            <v>2195.5800000000004</v>
          </cell>
          <cell r="T283">
            <v>1434.1299999999999</v>
          </cell>
          <cell r="U283">
            <v>6355.68</v>
          </cell>
          <cell r="V283">
            <v>1839.6299999999999</v>
          </cell>
          <cell r="W283">
            <v>2273.1800000000007</v>
          </cell>
          <cell r="X283">
            <v>19080.43</v>
          </cell>
          <cell r="Y283">
            <v>19958.82</v>
          </cell>
          <cell r="Z283">
            <v>25971.27</v>
          </cell>
          <cell r="AA283">
            <v>495235.16</v>
          </cell>
        </row>
        <row r="284">
          <cell r="B284" t="str">
            <v xml:space="preserve">2.2.1.  Ampliação Principal </v>
          </cell>
          <cell r="G284">
            <v>2807.22</v>
          </cell>
          <cell r="H284">
            <v>3763.21</v>
          </cell>
          <cell r="I284">
            <v>10309.209999999999</v>
          </cell>
          <cell r="J284">
            <v>6884.38</v>
          </cell>
          <cell r="K284">
            <v>4257.08</v>
          </cell>
          <cell r="L284">
            <v>3577.08</v>
          </cell>
          <cell r="M284">
            <v>3662.8599999999992</v>
          </cell>
          <cell r="N284">
            <v>10448.369999999999</v>
          </cell>
          <cell r="O284">
            <v>15704.349999999997</v>
          </cell>
          <cell r="P284">
            <v>15696.050000000001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77109.81</v>
          </cell>
        </row>
        <row r="285">
          <cell r="B285" t="str">
            <v>2.2.2.  Demais Obras de Ampliação/Melhoramentos</v>
          </cell>
          <cell r="G285">
            <v>10101.64</v>
          </cell>
          <cell r="H285">
            <v>18698.739999999994</v>
          </cell>
          <cell r="I285">
            <v>17203.8</v>
          </cell>
          <cell r="J285">
            <v>16500.919999999998</v>
          </cell>
          <cell r="K285">
            <v>5498.6399999999994</v>
          </cell>
          <cell r="L285">
            <v>8399.9799999999977</v>
          </cell>
          <cell r="M285">
            <v>14776.71</v>
          </cell>
          <cell r="N285">
            <v>14330.779999999999</v>
          </cell>
          <cell r="O285">
            <v>16720.28</v>
          </cell>
          <cell r="P285">
            <v>5385.16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1505.54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129122.18999999999</v>
          </cell>
        </row>
        <row r="286">
          <cell r="B286" t="str">
            <v xml:space="preserve">2.2.3.  Equipamentos, Veiculos e Sist. Controle </v>
          </cell>
          <cell r="G286">
            <v>7183</v>
          </cell>
          <cell r="H286">
            <v>7376</v>
          </cell>
          <cell r="I286">
            <v>609.29999999999995</v>
          </cell>
          <cell r="J286">
            <v>1354.3999999999996</v>
          </cell>
          <cell r="K286">
            <v>15259.49</v>
          </cell>
          <cell r="L286">
            <v>3253.4</v>
          </cell>
          <cell r="M286">
            <v>4451.66</v>
          </cell>
          <cell r="N286">
            <v>1274.3</v>
          </cell>
          <cell r="O286">
            <v>1088.4000000000001</v>
          </cell>
          <cell r="P286">
            <v>836.79999999999927</v>
          </cell>
          <cell r="Q286">
            <v>5888.23</v>
          </cell>
          <cell r="R286">
            <v>739.3</v>
          </cell>
          <cell r="S286">
            <v>1315.9</v>
          </cell>
          <cell r="T286">
            <v>609.29999999999995</v>
          </cell>
          <cell r="U286">
            <v>4001.44</v>
          </cell>
          <cell r="V286">
            <v>930.8</v>
          </cell>
          <cell r="W286">
            <v>1088.4000000000001</v>
          </cell>
          <cell r="X286">
            <v>609.29999999999995</v>
          </cell>
          <cell r="Y286">
            <v>836.8</v>
          </cell>
          <cell r="Z286">
            <v>609.29999999999995</v>
          </cell>
          <cell r="AA286">
            <v>59315.520000000019</v>
          </cell>
        </row>
        <row r="287">
          <cell r="B287" t="str">
            <v>2.2.4.  Desapropriações</v>
          </cell>
          <cell r="G287">
            <v>0</v>
          </cell>
          <cell r="H287">
            <v>0</v>
          </cell>
          <cell r="I287">
            <v>0</v>
          </cell>
          <cell r="J287">
            <v>1398</v>
          </cell>
          <cell r="K287">
            <v>1398</v>
          </cell>
          <cell r="L287">
            <v>1398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4194</v>
          </cell>
        </row>
        <row r="288">
          <cell r="B288" t="str">
            <v xml:space="preserve">2.2.5.  Conservação Especial </v>
          </cell>
          <cell r="G288">
            <v>3149.9999999999991</v>
          </cell>
          <cell r="H288">
            <v>22430.77</v>
          </cell>
          <cell r="I288">
            <v>15753.310000000001</v>
          </cell>
          <cell r="J288">
            <v>12235.39</v>
          </cell>
          <cell r="K288">
            <v>14322.21</v>
          </cell>
          <cell r="L288">
            <v>3147.1400000000003</v>
          </cell>
          <cell r="M288">
            <v>2045.1699999999998</v>
          </cell>
          <cell r="N288">
            <v>1745.8400000000001</v>
          </cell>
          <cell r="O288">
            <v>945.85000000000036</v>
          </cell>
          <cell r="P288">
            <v>27365.4</v>
          </cell>
          <cell r="Q288">
            <v>23742.92</v>
          </cell>
          <cell r="R288">
            <v>31007.7</v>
          </cell>
          <cell r="S288">
            <v>879.68000000000029</v>
          </cell>
          <cell r="T288">
            <v>824.82999999999993</v>
          </cell>
          <cell r="U288">
            <v>848.70000000000073</v>
          </cell>
          <cell r="V288">
            <v>908.82999999999993</v>
          </cell>
          <cell r="W288">
            <v>1184.7800000000007</v>
          </cell>
          <cell r="X288">
            <v>18471.13</v>
          </cell>
          <cell r="Y288">
            <v>19122.02</v>
          </cell>
          <cell r="Z288">
            <v>25361.97</v>
          </cell>
          <cell r="AA288">
            <v>225493.63999999996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12170.28379050138</v>
          </cell>
          <cell r="H291">
            <v>8397.941959513324</v>
          </cell>
          <cell r="I291">
            <v>8558.2008525036035</v>
          </cell>
          <cell r="J291">
            <v>8649.5924452550753</v>
          </cell>
          <cell r="K291">
            <v>8741.030453923875</v>
          </cell>
          <cell r="L291">
            <v>8616.0100531222379</v>
          </cell>
          <cell r="M291">
            <v>8977.508512249573</v>
          </cell>
          <cell r="N291">
            <v>9126.9347813917648</v>
          </cell>
          <cell r="O291">
            <v>9220.2858054536009</v>
          </cell>
          <cell r="P291">
            <v>9313.7348061571192</v>
          </cell>
          <cell r="Q291">
            <v>9407.0561749215922</v>
          </cell>
          <cell r="R291">
            <v>9500.5395480942443</v>
          </cell>
          <cell r="S291">
            <v>9593.7291287545031</v>
          </cell>
          <cell r="T291">
            <v>9687.4097791471922</v>
          </cell>
          <cell r="U291">
            <v>9780.6959779651188</v>
          </cell>
          <cell r="V291">
            <v>9874.1524931352942</v>
          </cell>
          <cell r="W291">
            <v>9967.6812492379759</v>
          </cell>
          <cell r="X291">
            <v>10061.081000913964</v>
          </cell>
          <cell r="Y291">
            <v>10154.400483198762</v>
          </cell>
          <cell r="Z291">
            <v>10247.907328117108</v>
          </cell>
          <cell r="AA291">
            <v>190046.17662355732</v>
          </cell>
        </row>
        <row r="292">
          <cell r="B292" t="str">
            <v>2.3.1.  Valor Variável da Concessão</v>
          </cell>
          <cell r="G292">
            <v>1346.2837905013805</v>
          </cell>
          <cell r="H292">
            <v>2493.941959513324</v>
          </cell>
          <cell r="I292">
            <v>2654.2008525036031</v>
          </cell>
          <cell r="J292">
            <v>2745.5924452550753</v>
          </cell>
          <cell r="K292">
            <v>2837.0304539238741</v>
          </cell>
          <cell r="L292">
            <v>2888.9164371511401</v>
          </cell>
          <cell r="M292">
            <v>3073.508512249572</v>
          </cell>
          <cell r="N292">
            <v>3222.9347813917652</v>
          </cell>
          <cell r="O292">
            <v>3316.2858054536018</v>
          </cell>
          <cell r="P292">
            <v>3409.7348061571192</v>
          </cell>
          <cell r="Q292">
            <v>3503.0561749215913</v>
          </cell>
          <cell r="R292">
            <v>3596.5395480942439</v>
          </cell>
          <cell r="S292">
            <v>3689.7291287545027</v>
          </cell>
          <cell r="T292">
            <v>3783.4097791471927</v>
          </cell>
          <cell r="U292">
            <v>3876.6959779651188</v>
          </cell>
          <cell r="V292">
            <v>3970.1524931352938</v>
          </cell>
          <cell r="W292">
            <v>4063.6812492379768</v>
          </cell>
          <cell r="X292">
            <v>4157.081000913965</v>
          </cell>
          <cell r="Y292">
            <v>4250.4004831987622</v>
          </cell>
          <cell r="Z292">
            <v>4343.9073281171077</v>
          </cell>
          <cell r="AA292">
            <v>67223.083007586218</v>
          </cell>
        </row>
        <row r="293">
          <cell r="B293" t="str">
            <v xml:space="preserve">2.3.2.  Valor Fixo da Concessão </v>
          </cell>
          <cell r="G293">
            <v>10824</v>
          </cell>
          <cell r="H293">
            <v>5904</v>
          </cell>
          <cell r="I293">
            <v>5904</v>
          </cell>
          <cell r="J293">
            <v>5904</v>
          </cell>
          <cell r="K293">
            <v>5904</v>
          </cell>
          <cell r="L293">
            <v>5727.0936159710982</v>
          </cell>
          <cell r="M293">
            <v>5904</v>
          </cell>
          <cell r="N293">
            <v>5904</v>
          </cell>
          <cell r="O293">
            <v>5904</v>
          </cell>
          <cell r="P293">
            <v>5904</v>
          </cell>
          <cell r="Q293">
            <v>5904</v>
          </cell>
          <cell r="R293">
            <v>5904</v>
          </cell>
          <cell r="S293">
            <v>5904</v>
          </cell>
          <cell r="T293">
            <v>5904</v>
          </cell>
          <cell r="U293">
            <v>5904</v>
          </cell>
          <cell r="V293">
            <v>5904</v>
          </cell>
          <cell r="W293">
            <v>5904</v>
          </cell>
          <cell r="X293">
            <v>5904</v>
          </cell>
          <cell r="Y293">
            <v>5904</v>
          </cell>
          <cell r="Z293">
            <v>5904</v>
          </cell>
          <cell r="AA293">
            <v>122823.0936159711</v>
          </cell>
        </row>
        <row r="294">
          <cell r="B294" t="str">
            <v>2.4.  DESEMBOLSOS  SOBRE O LUCRO     (2.4.1. + 2.4.2)</v>
          </cell>
          <cell r="G294">
            <v>108.99811234029431</v>
          </cell>
          <cell r="H294">
            <v>10286.503589849261</v>
          </cell>
          <cell r="I294">
            <v>11840.851211125262</v>
          </cell>
          <cell r="J294">
            <v>10348.083824422307</v>
          </cell>
          <cell r="K294">
            <v>9381.8108249762918</v>
          </cell>
          <cell r="L294">
            <v>9615.6336897871097</v>
          </cell>
          <cell r="M294">
            <v>10442.268752007232</v>
          </cell>
          <cell r="N294">
            <v>11561.219782004955</v>
          </cell>
          <cell r="O294">
            <v>12666.04672563434</v>
          </cell>
          <cell r="P294">
            <v>13287.50073757125</v>
          </cell>
          <cell r="Q294">
            <v>13193.589855694938</v>
          </cell>
          <cell r="R294">
            <v>14197.247287406179</v>
          </cell>
          <cell r="S294">
            <v>16717.467572374004</v>
          </cell>
          <cell r="T294">
            <v>19246.575460705641</v>
          </cell>
          <cell r="U294">
            <v>22480.336101331501</v>
          </cell>
          <cell r="V294">
            <v>25287.097631874742</v>
          </cell>
          <cell r="W294">
            <v>27934.234274652154</v>
          </cell>
          <cell r="X294">
            <v>28625.218105089185</v>
          </cell>
          <cell r="Y294">
            <v>27561.018500423754</v>
          </cell>
          <cell r="Z294">
            <v>22354.852049825975</v>
          </cell>
          <cell r="AA294">
            <v>317136.55408909637</v>
          </cell>
        </row>
        <row r="295">
          <cell r="B295" t="str">
            <v xml:space="preserve">2.4.1.  Contribuição Social  </v>
          </cell>
          <cell r="G295">
            <v>26.302572688556211</v>
          </cell>
          <cell r="H295">
            <v>2443.7887490543667</v>
          </cell>
          <cell r="I295">
            <v>2932.842717848549</v>
          </cell>
          <cell r="J295">
            <v>2516.4445634963167</v>
          </cell>
          <cell r="K295">
            <v>2280.6208060548583</v>
          </cell>
          <cell r="L295">
            <v>2336.6384702514206</v>
          </cell>
          <cell r="M295">
            <v>2537.2772732138747</v>
          </cell>
          <cell r="N295">
            <v>2808.7502501830195</v>
          </cell>
          <cell r="O295">
            <v>3076.6476910628703</v>
          </cell>
          <cell r="P295">
            <v>3226.6365424415139</v>
          </cell>
          <cell r="Q295">
            <v>3203.9914801684704</v>
          </cell>
          <cell r="R295">
            <v>3447.0599484621043</v>
          </cell>
          <cell r="S295">
            <v>4058.567896333092</v>
          </cell>
          <cell r="T295">
            <v>4671.9273844134877</v>
          </cell>
          <cell r="U295">
            <v>5455.4754185046058</v>
          </cell>
          <cell r="V295">
            <v>6136.2054865150903</v>
          </cell>
          <cell r="W295">
            <v>6777.7840665823396</v>
          </cell>
          <cell r="X295">
            <v>6944.9922679004076</v>
          </cell>
          <cell r="Y295">
            <v>6687.3681213148511</v>
          </cell>
          <cell r="Z295">
            <v>5424.9035272305409</v>
          </cell>
          <cell r="AA295">
            <v>76994.225233720324</v>
          </cell>
        </row>
        <row r="296">
          <cell r="B296" t="str">
            <v xml:space="preserve">2.4.2.  Imposto de Renda  </v>
          </cell>
          <cell r="G296">
            <v>82.695539651738102</v>
          </cell>
          <cell r="H296">
            <v>7842.7148407948944</v>
          </cell>
          <cell r="I296">
            <v>8908.0084932767131</v>
          </cell>
          <cell r="J296">
            <v>7831.6392609259901</v>
          </cell>
          <cell r="K296">
            <v>7101.190018921433</v>
          </cell>
          <cell r="L296">
            <v>7278.9952195356891</v>
          </cell>
          <cell r="M296">
            <v>7904.9914787933585</v>
          </cell>
          <cell r="N296">
            <v>8752.4695318219347</v>
          </cell>
          <cell r="O296">
            <v>9589.3990345714701</v>
          </cell>
          <cell r="P296">
            <v>10060.864195129736</v>
          </cell>
          <cell r="Q296">
            <v>9989.5983755264679</v>
          </cell>
          <cell r="R296">
            <v>10750.187338944075</v>
          </cell>
          <cell r="S296">
            <v>12658.899676040912</v>
          </cell>
          <cell r="T296">
            <v>14574.648076292153</v>
          </cell>
          <cell r="U296">
            <v>17024.860682826897</v>
          </cell>
          <cell r="V296">
            <v>19150.892145359652</v>
          </cell>
          <cell r="W296">
            <v>21156.450208069815</v>
          </cell>
          <cell r="X296">
            <v>21680.225837188776</v>
          </cell>
          <cell r="Y296">
            <v>20873.650379108902</v>
          </cell>
          <cell r="Z296">
            <v>16929.948522595434</v>
          </cell>
          <cell r="AA296">
            <v>240142.32885537602</v>
          </cell>
        </row>
        <row r="297">
          <cell r="B297" t="str">
            <v>3.  SALDO DO CAIXA     (1 - 2)</v>
          </cell>
          <cell r="G297">
            <v>-27125.507478742147</v>
          </cell>
          <cell r="H297">
            <v>-25778.343634612087</v>
          </cell>
          <cell r="I297">
            <v>-12281.875720270036</v>
          </cell>
          <cell r="J297">
            <v>-5176.9637837402552</v>
          </cell>
          <cell r="K297">
            <v>-5858.4442665281967</v>
          </cell>
          <cell r="L297">
            <v>17239.105839386655</v>
          </cell>
          <cell r="M297">
            <v>16007.273988196001</v>
          </cell>
          <cell r="N297">
            <v>17841.536557844811</v>
          </cell>
          <cell r="O297">
            <v>15290.086477093893</v>
          </cell>
          <cell r="P297">
            <v>5614.4657944734208</v>
          </cell>
          <cell r="Q297">
            <v>28454.564170069207</v>
          </cell>
          <cell r="R297">
            <v>28922.183057273098</v>
          </cell>
          <cell r="S297">
            <v>62251.459971653137</v>
          </cell>
          <cell r="T297">
            <v>66994.32509092745</v>
          </cell>
          <cell r="U297">
            <v>66739.307038211191</v>
          </cell>
          <cell r="V297">
            <v>76230.526827914888</v>
          </cell>
          <cell r="W297">
            <v>81009.14254248637</v>
          </cell>
          <cell r="X297">
            <v>71599.893873230219</v>
          </cell>
          <cell r="Y297">
            <v>78350.128301186633</v>
          </cell>
          <cell r="Z297">
            <v>85133.966686353553</v>
          </cell>
          <cell r="AA297">
            <v>641456.83133240882</v>
          </cell>
        </row>
        <row r="298">
          <cell r="B298" t="str">
            <v xml:space="preserve">4. T.I.R. (Taxa Interna de Retorno) Anual do Projeto     </v>
          </cell>
          <cell r="G298">
            <v>0.20714511843103009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157776.52785000001</v>
          </cell>
          <cell r="H303">
            <v>162509.82368550001</v>
          </cell>
          <cell r="I303">
            <v>167385.11839606502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487671.46993156511</v>
          </cell>
        </row>
        <row r="304">
          <cell r="B304" t="str">
            <v>1.1.  RECEITAS     (1.1.1.+ ... + 1.1.4)</v>
          </cell>
          <cell r="G304">
            <v>157776.52785000001</v>
          </cell>
          <cell r="H304">
            <v>162509.82368550001</v>
          </cell>
          <cell r="I304">
            <v>167385.11839606502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487671.46993156511</v>
          </cell>
        </row>
        <row r="305">
          <cell r="B305" t="str">
            <v>1.1.1   Receitas de Pedágio</v>
          </cell>
          <cell r="G305">
            <v>156991.57</v>
          </cell>
          <cell r="H305">
            <v>161701.31710000001</v>
          </cell>
          <cell r="I305">
            <v>166552.35661300001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485245.24371300009</v>
          </cell>
        </row>
        <row r="306">
          <cell r="B306" t="str">
            <v>1.1.2   Outras Receitas Operacionais</v>
          </cell>
          <cell r="G306">
            <v>784.95785000000001</v>
          </cell>
          <cell r="H306">
            <v>808.50658550000014</v>
          </cell>
          <cell r="I306">
            <v>832.76178306500003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2426.2262185650002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B309" t="str">
            <v>2.  DESEMBOLSOS     (2.1.+ ... + 2.4)</v>
          </cell>
          <cell r="G309">
            <v>86719.851047034215</v>
          </cell>
          <cell r="H309">
            <v>88652.970529923943</v>
          </cell>
          <cell r="I309">
            <v>90644.083597300341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266016.90517425851</v>
          </cell>
        </row>
        <row r="310">
          <cell r="B310" t="str">
            <v>2.1.  OPERACIONAIS     (2.1.1.+ ... + 2.1.8)</v>
          </cell>
          <cell r="G310">
            <v>47024.311413058516</v>
          </cell>
          <cell r="H310">
            <v>47436.240683030417</v>
          </cell>
          <cell r="I310">
            <v>47860.527831101463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142321.07992719044</v>
          </cell>
        </row>
        <row r="311">
          <cell r="B311" t="str">
            <v xml:space="preserve">2.1.1.  Pessoal / Administradores   </v>
          </cell>
          <cell r="G311">
            <v>18214.73</v>
          </cell>
          <cell r="H311">
            <v>18214.73</v>
          </cell>
          <cell r="I311">
            <v>18214.73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54644.19</v>
          </cell>
        </row>
        <row r="312">
          <cell r="B312" t="str">
            <v xml:space="preserve">2.1.2.  Conservação de Rotina  </v>
          </cell>
          <cell r="G312">
            <v>9274.65</v>
          </cell>
          <cell r="H312">
            <v>9274.65</v>
          </cell>
          <cell r="I312">
            <v>9274.65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27823.949999999997</v>
          </cell>
        </row>
        <row r="313">
          <cell r="B313" t="str">
            <v xml:space="preserve">2.1.3.  Consumo   </v>
          </cell>
          <cell r="G313">
            <v>956.76</v>
          </cell>
          <cell r="H313">
            <v>956.76</v>
          </cell>
          <cell r="I313">
            <v>956.76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2870.2799999999997</v>
          </cell>
        </row>
        <row r="314">
          <cell r="B314" t="str">
            <v>2.1.4.  Transportes</v>
          </cell>
          <cell r="G314">
            <v>1492.56</v>
          </cell>
          <cell r="H314">
            <v>1492.56</v>
          </cell>
          <cell r="I314">
            <v>1492.56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4477.68</v>
          </cell>
        </row>
        <row r="315">
          <cell r="B315" t="str">
            <v>2.1.5.  Diversas</v>
          </cell>
          <cell r="G315">
            <v>1741</v>
          </cell>
          <cell r="H315">
            <v>1741</v>
          </cell>
          <cell r="I315">
            <v>1741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5223</v>
          </cell>
        </row>
        <row r="316">
          <cell r="B316" t="str">
            <v>2.1.6.  Tributos s/ Faturamento</v>
          </cell>
          <cell r="G316">
            <v>13647.669659024999</v>
          </cell>
          <cell r="H316">
            <v>14057.09974879575</v>
          </cell>
          <cell r="I316">
            <v>14478.812741259626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42183.582149080379</v>
          </cell>
        </row>
        <row r="317">
          <cell r="B317" t="str">
            <v>2.1.7.  Seguros</v>
          </cell>
          <cell r="G317">
            <v>1037.8076133340453</v>
          </cell>
          <cell r="H317">
            <v>1037.8076133340453</v>
          </cell>
          <cell r="I317">
            <v>1037.8076133340453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3113.4228400021357</v>
          </cell>
        </row>
        <row r="318">
          <cell r="B318" t="str">
            <v xml:space="preserve">2.1.8.  Garantias </v>
          </cell>
          <cell r="G318">
            <v>659.13414069947919</v>
          </cell>
          <cell r="H318">
            <v>661.63332090062318</v>
          </cell>
          <cell r="I318">
            <v>664.20747650780152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1984.9749381079037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4733.2958355000001</v>
          </cell>
          <cell r="H327">
            <v>4875.2947105650001</v>
          </cell>
          <cell r="I327">
            <v>5021.5535518819506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14630.14409794695</v>
          </cell>
        </row>
        <row r="328">
          <cell r="B328" t="str">
            <v>2.3.1.  Valor Variável da Concessão</v>
          </cell>
          <cell r="G328">
            <v>4733.2958355000001</v>
          </cell>
          <cell r="H328">
            <v>4875.2947105650001</v>
          </cell>
          <cell r="I328">
            <v>5021.5535518819506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14630.14409794695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34962.243798475698</v>
          </cell>
          <cell r="H330">
            <v>36341.435136328524</v>
          </cell>
          <cell r="I330">
            <v>37762.002214316926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109065.68114912114</v>
          </cell>
        </row>
        <row r="331">
          <cell r="B331" t="str">
            <v xml:space="preserve">2.4.1.  Contribuição Social  </v>
          </cell>
          <cell r="G331">
            <v>8481.5136481153204</v>
          </cell>
          <cell r="H331">
            <v>8815.8630633523699</v>
          </cell>
          <cell r="I331">
            <v>9160.2429610465279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26457.619672514214</v>
          </cell>
        </row>
        <row r="332">
          <cell r="B332" t="str">
            <v xml:space="preserve">2.4.2.  Imposto de Renda  </v>
          </cell>
          <cell r="G332">
            <v>26480.730150360374</v>
          </cell>
          <cell r="H332">
            <v>27525.572072976152</v>
          </cell>
          <cell r="I332">
            <v>28601.7592532704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82608.061476606934</v>
          </cell>
        </row>
        <row r="333">
          <cell r="B333" t="str">
            <v>3.  SALDO DO CAIXA     (1 - 2)</v>
          </cell>
          <cell r="G333">
            <v>71056.676802965798</v>
          </cell>
          <cell r="H333">
            <v>73856.853155576071</v>
          </cell>
          <cell r="I333">
            <v>76741.034798764682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221654.56475730659</v>
          </cell>
        </row>
        <row r="334">
          <cell r="B334" t="str">
            <v xml:space="preserve">4. T.I.R. (Taxa Interna de Retorno) Anual do Projeto     </v>
          </cell>
          <cell r="G334">
            <v>0.2144305147714714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RELATA VÉIO"/>
      <sheetName val="ORIGINAL"/>
      <sheetName val="Equipamentos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5"/>
      <sheetName val="Comparativo de Mercado "/>
      <sheetName val="Capa Simulador"/>
      <sheetName val="FLUXO + DRE  Original 20 anos"/>
      <sheetName val="Fatores 20 anos"/>
      <sheetName val="Prorrogação Fluxo 25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4">
          <cell r="F54" t="str">
            <v>ESTUDO DO REEQUILÍBRIO ECONÔMICO-FINANCEIRO</v>
          </cell>
        </row>
        <row r="55">
          <cell r="F55" t="str">
            <v>DA CONCESSIONÁRIA VIAOESTE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25733.44526868036</v>
          </cell>
          <cell r="H67">
            <v>126225.66413471791</v>
          </cell>
          <cell r="I67">
            <v>0.20939254423031073</v>
          </cell>
        </row>
        <row r="68">
          <cell r="B68" t="str">
            <v>FATOR 2</v>
          </cell>
          <cell r="C68" t="str">
            <v>3ª Adequação - Investimentos</v>
          </cell>
          <cell r="G68">
            <v>1778.4553827698655</v>
          </cell>
          <cell r="H68">
            <v>8723.5389385388025</v>
          </cell>
          <cell r="I68">
            <v>0.19430100682593032</v>
          </cell>
        </row>
        <row r="69">
          <cell r="B69" t="str">
            <v>FATOR 3</v>
          </cell>
          <cell r="C69" t="str">
            <v>DIFERENÇA DE RECEITA DA SP-270</v>
          </cell>
          <cell r="G69">
            <v>-2965.2502231429698</v>
          </cell>
          <cell r="H69">
            <v>-14544.911294772615</v>
          </cell>
          <cell r="I69">
            <v>0.19164958126844359</v>
          </cell>
        </row>
        <row r="70">
          <cell r="B70" t="str">
            <v>FATOR 4</v>
          </cell>
          <cell r="C70" t="str">
            <v>DIFERENÇA DE RECEITA DA SP-075 X SP-270</v>
          </cell>
          <cell r="G70">
            <v>-1208.6874455252214</v>
          </cell>
          <cell r="H70">
            <v>-5928.7582346543904</v>
          </cell>
          <cell r="I70">
            <v>0.19260923388099299</v>
          </cell>
        </row>
        <row r="71">
          <cell r="B71" t="str">
            <v>FATOR 5</v>
          </cell>
          <cell r="C71" t="str">
            <v>Alteração de ISS-QN</v>
          </cell>
          <cell r="G71">
            <v>-9731.3297676935636</v>
          </cell>
          <cell r="H71">
            <v>-47733.350510048556</v>
          </cell>
          <cell r="I71">
            <v>0.18785617026087006</v>
          </cell>
        </row>
        <row r="72">
          <cell r="B72" t="str">
            <v>FATOR 6</v>
          </cell>
          <cell r="C72" t="str">
            <v>Majoração da COFINS</v>
          </cell>
          <cell r="G72">
            <v>-4562.4934014118271</v>
          </cell>
          <cell r="H72">
            <v>-22379.582434086136</v>
          </cell>
          <cell r="I72">
            <v>0.19076783767096686</v>
          </cell>
        </row>
        <row r="73">
          <cell r="B73" t="str">
            <v>FATOR 7</v>
          </cell>
          <cell r="C73">
            <v>0</v>
          </cell>
          <cell r="G73">
            <v>5.5798919494794395E-8</v>
          </cell>
          <cell r="H73">
            <v>2.7370045470756614E-7</v>
          </cell>
          <cell r="I73">
            <v>0.19327037557252341</v>
          </cell>
        </row>
        <row r="74">
          <cell r="B74" t="str">
            <v>FATOR 7</v>
          </cell>
          <cell r="C74" t="str">
            <v>DIFERENÇA PELO NÃO INÍCIO DA OPERAÇÃO DAS MARGINAIS - SP 280</v>
          </cell>
          <cell r="G74">
            <v>-19567.903452309554</v>
          </cell>
          <cell r="H74">
            <v>-95982.935172616155</v>
          </cell>
          <cell r="I74">
            <v>0.18293804140810907</v>
          </cell>
        </row>
        <row r="75">
          <cell r="B75" t="str">
            <v>FATOR 8</v>
          </cell>
          <cell r="C75" t="str">
            <v>4ª Adequação - Investimentos</v>
          </cell>
          <cell r="G75">
            <v>26590.71447300016</v>
          </cell>
          <cell r="H75">
            <v>130430.6733562856</v>
          </cell>
          <cell r="I75">
            <v>0.20829608837028563</v>
          </cell>
        </row>
        <row r="76">
          <cell r="B76" t="str">
            <v>FATOR 9</v>
          </cell>
          <cell r="C76" t="str">
            <v>REGIME TARIFÁRIO ESPECIAL DAS MARGINAIS DA SP-280</v>
          </cell>
          <cell r="G76">
            <v>-16534.230355471744</v>
          </cell>
          <cell r="H76">
            <v>-81102.401399626498</v>
          </cell>
          <cell r="I76">
            <v>0.18390646773845529</v>
          </cell>
        </row>
        <row r="77">
          <cell r="B77" t="str">
            <v>FATOR 10</v>
          </cell>
          <cell r="C77" t="str">
            <v>DIFERENÇA DE RECEITA DA SP-075 X SP-270 - 2</v>
          </cell>
          <cell r="G77">
            <v>-633.74691018944065</v>
          </cell>
          <cell r="H77">
            <v>-3108.6053109782379</v>
          </cell>
          <cell r="I77">
            <v>0.19292347618797812</v>
          </cell>
        </row>
        <row r="78">
          <cell r="B78" t="str">
            <v>FATOR 11</v>
          </cell>
          <cell r="C78" t="str">
            <v>DIFERENÇA DE RECEITA PELA POSTERGAÇÃO DA DUPLICAÇÃO</v>
          </cell>
          <cell r="G78">
            <v>-5701.1889491448674</v>
          </cell>
          <cell r="H78">
            <v>-27965.021937392106</v>
          </cell>
          <cell r="I78">
            <v>0.19012072224241236</v>
          </cell>
        </row>
        <row r="79">
          <cell r="B79" t="str">
            <v>FATOR 12</v>
          </cell>
          <cell r="C79" t="str">
            <v>DIFERENÇA DE IGPM 2003 - RECEITA REAL</v>
          </cell>
          <cell r="G79">
            <v>-688.00404272528317</v>
          </cell>
          <cell r="H79">
            <v>-3374.7431140153412</v>
          </cell>
          <cell r="I79">
            <v>0.19289373267658125</v>
          </cell>
        </row>
        <row r="80">
          <cell r="B80" t="str">
            <v>FATOR 14</v>
          </cell>
          <cell r="C80">
            <v>0</v>
          </cell>
          <cell r="G80">
            <v>5.5798919494794395E-8</v>
          </cell>
          <cell r="H80">
            <v>2.7370045470756614E-7</v>
          </cell>
          <cell r="I80">
            <v>0.19327037557252341</v>
          </cell>
        </row>
        <row r="81">
          <cell r="B81" t="str">
            <v>FATOR 13</v>
          </cell>
          <cell r="C81" t="str">
            <v>5ª Adequação - Investimentos</v>
          </cell>
          <cell r="G81">
            <v>-2176.5888463964843</v>
          </cell>
          <cell r="H81">
            <v>-10676.431772584985</v>
          </cell>
          <cell r="I81">
            <v>0.19208059764202703</v>
          </cell>
        </row>
        <row r="82">
          <cell r="B82" t="str">
            <v>TOTAL GERAL</v>
          </cell>
          <cell r="G82">
            <v>-9666.8082694489713</v>
          </cell>
          <cell r="H82">
            <v>-47416.864750685309</v>
          </cell>
          <cell r="I82">
            <v>0.18645436637078908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25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0.19327037557252341</v>
          </cell>
        </row>
        <row r="98">
          <cell r="B98" t="str">
            <v>TIR Resultante dos Desequilibrio no Contrato Original (ao ano)</v>
          </cell>
          <cell r="J98">
            <v>0.18645436637078908</v>
          </cell>
        </row>
        <row r="100">
          <cell r="B100" t="str">
            <v>Diferença entre a TIR Original x TIR Desequilibrios</v>
          </cell>
          <cell r="J100">
            <v>-6.8160092017343354E-3</v>
          </cell>
        </row>
        <row r="102">
          <cell r="B102" t="str">
            <v>TIR Resultante das Alternativas Utilizadas para o Reequilibrio (ao ano)</v>
          </cell>
          <cell r="J102">
            <v>0.19360997399325544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5.5798919494794395E-8</v>
          </cell>
          <cell r="G136">
            <v>0.19327037557252341</v>
          </cell>
          <cell r="H136">
            <v>-146068.54176000002</v>
          </cell>
          <cell r="I136">
            <v>-163024.19148499999</v>
          </cell>
          <cell r="J136">
            <v>-95881.515604999979</v>
          </cell>
          <cell r="K136">
            <v>39032.087509999998</v>
          </cell>
          <cell r="L136">
            <v>106526.57626999999</v>
          </cell>
          <cell r="M136">
            <v>106644.66430999996</v>
          </cell>
          <cell r="N136">
            <v>109145.42567499998</v>
          </cell>
          <cell r="O136">
            <v>104084.74404999999</v>
          </cell>
          <cell r="P136">
            <v>100262.04817999998</v>
          </cell>
          <cell r="Q136">
            <v>123874.85308500002</v>
          </cell>
          <cell r="R136">
            <v>101005.17119000001</v>
          </cell>
          <cell r="S136">
            <v>136260.60897500001</v>
          </cell>
          <cell r="T136">
            <v>119240.515145</v>
          </cell>
          <cell r="U136">
            <v>131747.38472</v>
          </cell>
          <cell r="V136">
            <v>121928.21519000002</v>
          </cell>
          <cell r="W136">
            <v>146150.786555</v>
          </cell>
          <cell r="X136">
            <v>152240.71505</v>
          </cell>
          <cell r="Y136">
            <v>147233.66691</v>
          </cell>
          <cell r="Z136">
            <v>147030.22589999999</v>
          </cell>
          <cell r="AA136">
            <v>155787.40448999999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72706.0625</v>
          </cell>
          <cell r="I139">
            <v>36766.289130000005</v>
          </cell>
          <cell r="J139">
            <v>-72807.668019999997</v>
          </cell>
          <cell r="K139">
            <v>-35306.57321000001</v>
          </cell>
          <cell r="L139">
            <v>-15478.82735</v>
          </cell>
          <cell r="M139">
            <v>4733.0540700000001</v>
          </cell>
          <cell r="N139">
            <v>8654.1</v>
          </cell>
          <cell r="O139">
            <v>7082.4160000000002</v>
          </cell>
          <cell r="P139">
            <v>1303.58214</v>
          </cell>
          <cell r="Q139">
            <v>-550.23214000000007</v>
          </cell>
          <cell r="R139">
            <v>3342.2550699999993</v>
          </cell>
          <cell r="S139">
            <v>-1860.079</v>
          </cell>
          <cell r="T139">
            <v>-3990.4539299999997</v>
          </cell>
          <cell r="U139">
            <v>-210.99</v>
          </cell>
          <cell r="V139">
            <v>242.26499999999999</v>
          </cell>
          <cell r="W139">
            <v>-4132.1959299999999</v>
          </cell>
          <cell r="X139">
            <v>-225.64999999999998</v>
          </cell>
          <cell r="Y139">
            <v>-220.08399999999995</v>
          </cell>
          <cell r="Z139">
            <v>1199.1624999999999</v>
          </cell>
          <cell r="AA139">
            <v>-1069.9375</v>
          </cell>
        </row>
        <row r="140">
          <cell r="B140" t="str">
            <v>Somatoria com Projeto Original</v>
          </cell>
          <cell r="F140">
            <v>25733.44526868036</v>
          </cell>
          <cell r="G140">
            <v>0.20939254423031073</v>
          </cell>
          <cell r="H140">
            <v>-73362.479260000022</v>
          </cell>
          <cell r="I140">
            <v>-126257.90235499998</v>
          </cell>
          <cell r="J140">
            <v>-168689.18362499998</v>
          </cell>
          <cell r="K140">
            <v>3725.514299999988</v>
          </cell>
          <cell r="L140">
            <v>91047.748919999984</v>
          </cell>
          <cell r="M140">
            <v>111377.71837999996</v>
          </cell>
          <cell r="N140">
            <v>117799.52567499998</v>
          </cell>
          <cell r="O140">
            <v>111167.16004999999</v>
          </cell>
          <cell r="P140">
            <v>101565.63031999998</v>
          </cell>
          <cell r="Q140">
            <v>123324.62094500003</v>
          </cell>
          <cell r="R140">
            <v>104347.42626000001</v>
          </cell>
          <cell r="S140">
            <v>134400.52997500001</v>
          </cell>
          <cell r="T140">
            <v>115250.06121499999</v>
          </cell>
          <cell r="U140">
            <v>131536.39472000001</v>
          </cell>
          <cell r="V140">
            <v>122170.48019000002</v>
          </cell>
          <cell r="W140">
            <v>142018.59062500001</v>
          </cell>
          <cell r="X140">
            <v>152015.06505</v>
          </cell>
          <cell r="Y140">
            <v>147013.58291</v>
          </cell>
          <cell r="Z140">
            <v>148229.3884</v>
          </cell>
          <cell r="AA140">
            <v>154717.46698999999</v>
          </cell>
        </row>
        <row r="141">
          <cell r="B141" t="str">
            <v>3ª Adequação - Investimentos</v>
          </cell>
        </row>
        <row r="142">
          <cell r="B142" t="str">
            <v>Fluxo de Caixa do Fator</v>
          </cell>
          <cell r="H142">
            <v>-231.29576864375031</v>
          </cell>
          <cell r="I142">
            <v>6080.3526833195565</v>
          </cell>
          <cell r="J142">
            <v>79686.847775654853</v>
          </cell>
          <cell r="K142">
            <v>-15606.036056441877</v>
          </cell>
          <cell r="L142">
            <v>-30741.278609232471</v>
          </cell>
          <cell r="M142">
            <v>-52950.702785041802</v>
          </cell>
          <cell r="N142">
            <v>-33805.394018680745</v>
          </cell>
          <cell r="O142">
            <v>-16188.901003732462</v>
          </cell>
          <cell r="P142">
            <v>10896.143145544609</v>
          </cell>
          <cell r="Q142">
            <v>-12431.627418080854</v>
          </cell>
          <cell r="R142">
            <v>-4020.8364311166497</v>
          </cell>
          <cell r="S142">
            <v>474.44344726845111</v>
          </cell>
          <cell r="T142">
            <v>5122.0182893240344</v>
          </cell>
          <cell r="U142">
            <v>13787.710893231633</v>
          </cell>
          <cell r="V142">
            <v>21918.596014579231</v>
          </cell>
          <cell r="W142">
            <v>1373.8504236792323</v>
          </cell>
          <cell r="X142">
            <v>2483.5654556363729</v>
          </cell>
          <cell r="Y142">
            <v>-3786.8134761664833</v>
          </cell>
          <cell r="Z142">
            <v>2838.2716307297687</v>
          </cell>
          <cell r="AA142">
            <v>11991.674966036016</v>
          </cell>
        </row>
        <row r="143">
          <cell r="B143" t="str">
            <v>Somatoria com Projeto Original</v>
          </cell>
          <cell r="F143">
            <v>1778.4553827698655</v>
          </cell>
          <cell r="G143">
            <v>0.19430100682593032</v>
          </cell>
          <cell r="H143">
            <v>-146299.83752864378</v>
          </cell>
          <cell r="I143">
            <v>-156943.83880168042</v>
          </cell>
          <cell r="J143">
            <v>-16194.667829345126</v>
          </cell>
          <cell r="K143">
            <v>23426.051453558121</v>
          </cell>
          <cell r="L143">
            <v>75785.297660767523</v>
          </cell>
          <cell r="M143">
            <v>53693.961524958162</v>
          </cell>
          <cell r="N143">
            <v>75340.031656319232</v>
          </cell>
          <cell r="O143">
            <v>87895.843046267531</v>
          </cell>
          <cell r="P143">
            <v>111158.1913255446</v>
          </cell>
          <cell r="Q143">
            <v>111443.22566691917</v>
          </cell>
          <cell r="R143">
            <v>96984.334758883357</v>
          </cell>
          <cell r="S143">
            <v>136735.05242226846</v>
          </cell>
          <cell r="T143">
            <v>124362.53343432402</v>
          </cell>
          <cell r="U143">
            <v>145535.09561323165</v>
          </cell>
          <cell r="V143">
            <v>143846.81120457925</v>
          </cell>
          <cell r="W143">
            <v>147524.63697867922</v>
          </cell>
          <cell r="X143">
            <v>154724.28050563636</v>
          </cell>
          <cell r="Y143">
            <v>143446.85343383352</v>
          </cell>
          <cell r="Z143">
            <v>149868.49753072977</v>
          </cell>
          <cell r="AA143">
            <v>167779.07945603601</v>
          </cell>
        </row>
        <row r="144">
          <cell r="B144" t="str">
            <v>DIFERENÇA DE RECEITA DA SP-270</v>
          </cell>
        </row>
        <row r="145">
          <cell r="B145" t="str">
            <v>Fluxo de Caixa do Fator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-3263.1747</v>
          </cell>
          <cell r="M145">
            <v>-3026.3967000000002</v>
          </cell>
          <cell r="N145">
            <v>-1957.1570999999999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B146" t="str">
            <v>Somatoria com Projeto Original</v>
          </cell>
          <cell r="F146">
            <v>-2965.2502231429698</v>
          </cell>
          <cell r="G146">
            <v>0.19164958126844359</v>
          </cell>
          <cell r="H146">
            <v>-146068.54176000002</v>
          </cell>
          <cell r="I146">
            <v>-163024.19148499999</v>
          </cell>
          <cell r="J146">
            <v>-95881.515604999979</v>
          </cell>
          <cell r="K146">
            <v>39032.087509999998</v>
          </cell>
          <cell r="L146">
            <v>103263.40156999999</v>
          </cell>
          <cell r="M146">
            <v>103618.26760999997</v>
          </cell>
          <cell r="N146">
            <v>107188.26857499998</v>
          </cell>
          <cell r="O146">
            <v>104084.74404999999</v>
          </cell>
          <cell r="P146">
            <v>100262.04817999998</v>
          </cell>
          <cell r="Q146">
            <v>123874.85308500002</v>
          </cell>
          <cell r="R146">
            <v>101005.17119000001</v>
          </cell>
          <cell r="S146">
            <v>136260.60897500001</v>
          </cell>
          <cell r="T146">
            <v>119240.515145</v>
          </cell>
          <cell r="U146">
            <v>131747.38472</v>
          </cell>
          <cell r="V146">
            <v>121928.21519000002</v>
          </cell>
          <cell r="W146">
            <v>146150.786555</v>
          </cell>
          <cell r="X146">
            <v>152240.71505</v>
          </cell>
          <cell r="Y146">
            <v>147233.66691</v>
          </cell>
          <cell r="Z146">
            <v>147030.22589999999</v>
          </cell>
          <cell r="AA146">
            <v>155787.40448999999</v>
          </cell>
        </row>
        <row r="147">
          <cell r="B147" t="str">
            <v>DIFERENÇA DE RECEITA DA SP-075 X SP-270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-2924.2083000000002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B149" t="str">
            <v>Somatoria com Projeto Original</v>
          </cell>
          <cell r="F149">
            <v>-1208.6874455252214</v>
          </cell>
          <cell r="G149">
            <v>0.19260923388099299</v>
          </cell>
          <cell r="H149">
            <v>-146068.54176000002</v>
          </cell>
          <cell r="I149">
            <v>-163024.19148499999</v>
          </cell>
          <cell r="J149">
            <v>-95881.515604999979</v>
          </cell>
          <cell r="K149">
            <v>39032.087509999998</v>
          </cell>
          <cell r="L149">
            <v>103602.36796999999</v>
          </cell>
          <cell r="M149">
            <v>106644.66430999996</v>
          </cell>
          <cell r="N149">
            <v>109145.42567499998</v>
          </cell>
          <cell r="O149">
            <v>104084.74404999999</v>
          </cell>
          <cell r="P149">
            <v>100262.04817999998</v>
          </cell>
          <cell r="Q149">
            <v>123874.85308500002</v>
          </cell>
          <cell r="R149">
            <v>101005.17119000001</v>
          </cell>
          <cell r="S149">
            <v>136260.60897500001</v>
          </cell>
          <cell r="T149">
            <v>119240.515145</v>
          </cell>
          <cell r="U149">
            <v>131747.38472</v>
          </cell>
          <cell r="V149">
            <v>121928.21519000002</v>
          </cell>
          <cell r="W149">
            <v>146150.786555</v>
          </cell>
          <cell r="X149">
            <v>152240.71505</v>
          </cell>
          <cell r="Y149">
            <v>147233.66691</v>
          </cell>
          <cell r="Z149">
            <v>147030.22589999999</v>
          </cell>
          <cell r="AA149">
            <v>155787.40448999999</v>
          </cell>
        </row>
        <row r="150">
          <cell r="B150" t="str">
            <v>Alteração de ISS-QN</v>
          </cell>
        </row>
        <row r="151">
          <cell r="B151" t="str">
            <v>Fluxo de Caixa do Fator</v>
          </cell>
          <cell r="H151">
            <v>996.31679999999994</v>
          </cell>
          <cell r="I151">
            <v>1107.8671100000001</v>
          </cell>
          <cell r="J151">
            <v>-201.56212999999997</v>
          </cell>
          <cell r="K151">
            <v>-4179.3863000000001</v>
          </cell>
          <cell r="L151">
            <v>-1386.1228000000001</v>
          </cell>
          <cell r="M151">
            <v>-670.15409999999997</v>
          </cell>
          <cell r="N151">
            <v>-4691.1523999999999</v>
          </cell>
          <cell r="O151">
            <v>-4846.1435000000001</v>
          </cell>
          <cell r="P151">
            <v>-4939.9903999999997</v>
          </cell>
          <cell r="Q151">
            <v>-5035.7467999999999</v>
          </cell>
          <cell r="R151">
            <v>-5118.6391999999996</v>
          </cell>
          <cell r="S151">
            <v>-5202.8179999999993</v>
          </cell>
          <cell r="T151">
            <v>-5288.4640999999992</v>
          </cell>
          <cell r="U151">
            <v>-5375.4971000000005</v>
          </cell>
          <cell r="V151">
            <v>-5463.9571999999998</v>
          </cell>
          <cell r="W151">
            <v>-5553.8444</v>
          </cell>
          <cell r="X151">
            <v>-5645.219000000001</v>
          </cell>
          <cell r="Y151">
            <v>-5738.1412999999993</v>
          </cell>
          <cell r="Z151">
            <v>-5832.5509999999995</v>
          </cell>
          <cell r="AA151">
            <v>-5928.5686999999998</v>
          </cell>
        </row>
        <row r="152">
          <cell r="B152" t="str">
            <v>Somatoria com Projeto Original</v>
          </cell>
          <cell r="F152">
            <v>-9731.3297676935636</v>
          </cell>
          <cell r="G152">
            <v>0.18785617026087006</v>
          </cell>
          <cell r="H152">
            <v>-145072.22496000002</v>
          </cell>
          <cell r="I152">
            <v>-161916.324375</v>
          </cell>
          <cell r="J152">
            <v>-96083.077734999984</v>
          </cell>
          <cell r="K152">
            <v>34852.701209999999</v>
          </cell>
          <cell r="L152">
            <v>105140.45346999999</v>
          </cell>
          <cell r="M152">
            <v>105974.51020999996</v>
          </cell>
          <cell r="N152">
            <v>104454.27327499997</v>
          </cell>
          <cell r="O152">
            <v>99238.600549999988</v>
          </cell>
          <cell r="P152">
            <v>95322.057779999988</v>
          </cell>
          <cell r="Q152">
            <v>118839.10628500003</v>
          </cell>
          <cell r="R152">
            <v>95886.531990000003</v>
          </cell>
          <cell r="S152">
            <v>131057.79097500001</v>
          </cell>
          <cell r="T152">
            <v>113952.051045</v>
          </cell>
          <cell r="U152">
            <v>126371.88761999999</v>
          </cell>
          <cell r="V152">
            <v>116464.25799000001</v>
          </cell>
          <cell r="W152">
            <v>140596.942155</v>
          </cell>
          <cell r="X152">
            <v>146595.49604999999</v>
          </cell>
          <cell r="Y152">
            <v>141495.52561000001</v>
          </cell>
          <cell r="Z152">
            <v>141197.67489999998</v>
          </cell>
          <cell r="AA152">
            <v>149858.83578999998</v>
          </cell>
        </row>
        <row r="153">
          <cell r="B153" t="str">
            <v>Majoração da COFINS</v>
          </cell>
        </row>
        <row r="154">
          <cell r="B154" t="str">
            <v>Fluxo de Caixa do Fator</v>
          </cell>
          <cell r="H154">
            <v>-79.242033333333893</v>
          </cell>
          <cell r="I154">
            <v>-603.75040000000001</v>
          </cell>
          <cell r="J154">
            <v>-916.94190000000003</v>
          </cell>
          <cell r="K154">
            <v>-1323.0825</v>
          </cell>
          <cell r="L154">
            <v>-389.28786666666667</v>
          </cell>
          <cell r="M154">
            <v>-150.604833333333</v>
          </cell>
          <cell r="N154">
            <v>-1490.9107999999999</v>
          </cell>
          <cell r="O154">
            <v>-1542.5477000000001</v>
          </cell>
          <cell r="P154">
            <v>-1573.8032000000001</v>
          </cell>
          <cell r="Q154">
            <v>-1605.6952000000001</v>
          </cell>
          <cell r="R154">
            <v>-1633.2992000000002</v>
          </cell>
          <cell r="S154">
            <v>-1661.3319999999999</v>
          </cell>
          <cell r="T154">
            <v>-1689.8539000000001</v>
          </cell>
          <cell r="U154">
            <v>-1718.8380999999999</v>
          </cell>
          <cell r="V154">
            <v>-1748.2980000000002</v>
          </cell>
          <cell r="W154">
            <v>-1778.2336</v>
          </cell>
          <cell r="X154">
            <v>-1808.665</v>
          </cell>
          <cell r="Y154">
            <v>-1839.6123</v>
          </cell>
          <cell r="Z154">
            <v>-1871.0554</v>
          </cell>
          <cell r="AA154">
            <v>-1903.0345</v>
          </cell>
        </row>
        <row r="155">
          <cell r="B155" t="str">
            <v>Somatoria com Projeto Original</v>
          </cell>
          <cell r="F155">
            <v>-4562.4934014118271</v>
          </cell>
          <cell r="G155">
            <v>0.19076783767096686</v>
          </cell>
          <cell r="H155">
            <v>-146147.78379333336</v>
          </cell>
          <cell r="I155">
            <v>-163627.94188499998</v>
          </cell>
          <cell r="J155">
            <v>-96798.457504999984</v>
          </cell>
          <cell r="K155">
            <v>37709.005010000001</v>
          </cell>
          <cell r="L155">
            <v>106137.28840333332</v>
          </cell>
          <cell r="M155">
            <v>106494.05947666663</v>
          </cell>
          <cell r="N155">
            <v>107654.51487499998</v>
          </cell>
          <cell r="O155">
            <v>102542.19635</v>
          </cell>
          <cell r="P155">
            <v>98688.244979999989</v>
          </cell>
          <cell r="Q155">
            <v>122269.15788500002</v>
          </cell>
          <cell r="R155">
            <v>99371.871990000014</v>
          </cell>
          <cell r="S155">
            <v>134599.27697500002</v>
          </cell>
          <cell r="T155">
            <v>117550.661245</v>
          </cell>
          <cell r="U155">
            <v>130028.54662000001</v>
          </cell>
          <cell r="V155">
            <v>120179.91719000002</v>
          </cell>
          <cell r="W155">
            <v>144372.55295499999</v>
          </cell>
          <cell r="X155">
            <v>150432.05004999999</v>
          </cell>
          <cell r="Y155">
            <v>145394.05460999999</v>
          </cell>
          <cell r="Z155">
            <v>145159.17049999998</v>
          </cell>
          <cell r="AA155">
            <v>153884.36998999998</v>
          </cell>
        </row>
        <row r="156">
          <cell r="B156">
            <v>0</v>
          </cell>
        </row>
        <row r="157">
          <cell r="B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B158">
            <v>0</v>
          </cell>
          <cell r="F158">
            <v>5.5798919494794395E-8</v>
          </cell>
          <cell r="G158">
            <v>0.19327037557252341</v>
          </cell>
          <cell r="H158">
            <v>-146068.54176000002</v>
          </cell>
          <cell r="I158">
            <v>-163024.19148499999</v>
          </cell>
          <cell r="J158">
            <v>-95881.515604999979</v>
          </cell>
          <cell r="K158">
            <v>39032.087509999998</v>
          </cell>
          <cell r="L158">
            <v>106526.57626999999</v>
          </cell>
          <cell r="M158">
            <v>106644.66430999996</v>
          </cell>
          <cell r="N158">
            <v>109145.42567499998</v>
          </cell>
          <cell r="O158">
            <v>104084.74404999999</v>
          </cell>
          <cell r="P158">
            <v>100262.04817999998</v>
          </cell>
          <cell r="Q158">
            <v>123874.85308500002</v>
          </cell>
          <cell r="R158">
            <v>101005.17119000001</v>
          </cell>
          <cell r="S158">
            <v>136260.60897500001</v>
          </cell>
          <cell r="T158">
            <v>119240.515145</v>
          </cell>
          <cell r="U158">
            <v>131747.38472</v>
          </cell>
          <cell r="V158">
            <v>121928.21519000002</v>
          </cell>
          <cell r="W158">
            <v>146150.786555</v>
          </cell>
          <cell r="X158">
            <v>152240.71505</v>
          </cell>
          <cell r="Y158">
            <v>147233.66691</v>
          </cell>
          <cell r="Z158">
            <v>147030.22589999999</v>
          </cell>
          <cell r="AA158">
            <v>155787.40448999999</v>
          </cell>
        </row>
        <row r="159">
          <cell r="B159" t="str">
            <v>DIFERENÇA PELO NÃO INÍCIO DA OPERAÇÃO DAS MARGINAIS - SP 280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-33247.643830000001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B161" t="str">
            <v>Somatoria com Projeto Original</v>
          </cell>
          <cell r="F161">
            <v>-19567.903452309554</v>
          </cell>
          <cell r="G161">
            <v>0.18293804140810907</v>
          </cell>
          <cell r="H161">
            <v>-146068.54176000002</v>
          </cell>
          <cell r="I161">
            <v>-163024.19148499999</v>
          </cell>
          <cell r="J161">
            <v>-129129.15943499998</v>
          </cell>
          <cell r="K161">
            <v>39032.087509999998</v>
          </cell>
          <cell r="L161">
            <v>106526.57626999999</v>
          </cell>
          <cell r="M161">
            <v>106644.66430999996</v>
          </cell>
          <cell r="N161">
            <v>109145.42567499998</v>
          </cell>
          <cell r="O161">
            <v>104084.74404999999</v>
          </cell>
          <cell r="P161">
            <v>100262.04817999998</v>
          </cell>
          <cell r="Q161">
            <v>123874.85308500002</v>
          </cell>
          <cell r="R161">
            <v>101005.17119000001</v>
          </cell>
          <cell r="S161">
            <v>136260.60897500001</v>
          </cell>
          <cell r="T161">
            <v>119240.515145</v>
          </cell>
          <cell r="U161">
            <v>131747.38472</v>
          </cell>
          <cell r="V161">
            <v>121928.21519000002</v>
          </cell>
          <cell r="W161">
            <v>146150.786555</v>
          </cell>
          <cell r="X161">
            <v>152240.71505</v>
          </cell>
          <cell r="Y161">
            <v>147233.66691</v>
          </cell>
          <cell r="Z161">
            <v>147030.22589999999</v>
          </cell>
          <cell r="AA161">
            <v>155787.40448999999</v>
          </cell>
        </row>
        <row r="162">
          <cell r="B162" t="str">
            <v>4ª Adequação - Investimentos</v>
          </cell>
        </row>
        <row r="163">
          <cell r="B163" t="str">
            <v>Fluxo de Caixa do Fator</v>
          </cell>
          <cell r="H163">
            <v>-511.10808647978018</v>
          </cell>
          <cell r="I163">
            <v>-167.77705492051876</v>
          </cell>
          <cell r="J163">
            <v>618.97384530058571</v>
          </cell>
          <cell r="K163">
            <v>2161.2874772078139</v>
          </cell>
          <cell r="L163">
            <v>27667.025176100331</v>
          </cell>
          <cell r="M163">
            <v>31712.880688786256</v>
          </cell>
          <cell r="N163">
            <v>19111.911574356753</v>
          </cell>
          <cell r="O163">
            <v>8427.3983512601189</v>
          </cell>
          <cell r="P163">
            <v>-10824.669053098758</v>
          </cell>
          <cell r="Q163">
            <v>2109.6555196277504</v>
          </cell>
          <cell r="R163">
            <v>17978.916899197615</v>
          </cell>
          <cell r="S163">
            <v>1263.9623038715072</v>
          </cell>
          <cell r="T163">
            <v>-4660.3257340271903</v>
          </cell>
          <cell r="U163">
            <v>-9566.8373873293458</v>
          </cell>
          <cell r="V163">
            <v>-23204.735786401103</v>
          </cell>
          <cell r="W163">
            <v>-33197.511816020931</v>
          </cell>
          <cell r="X163">
            <v>-9470.5231093187831</v>
          </cell>
          <cell r="Y163">
            <v>9107.4668117632591</v>
          </cell>
          <cell r="Z163">
            <v>-901.71930928458914</v>
          </cell>
          <cell r="AA163">
            <v>-6549.9477161736322</v>
          </cell>
        </row>
        <row r="164">
          <cell r="B164" t="str">
            <v>Somatoria com Projeto Original</v>
          </cell>
          <cell r="F164">
            <v>26590.71447300016</v>
          </cell>
          <cell r="G164">
            <v>0.20829608837028563</v>
          </cell>
          <cell r="H164">
            <v>-146579.64984647979</v>
          </cell>
          <cell r="I164">
            <v>-163191.96853992052</v>
          </cell>
          <cell r="J164">
            <v>-95262.541759699394</v>
          </cell>
          <cell r="K164">
            <v>41193.374987207812</v>
          </cell>
          <cell r="L164">
            <v>134193.60144610034</v>
          </cell>
          <cell r="M164">
            <v>138357.54499878621</v>
          </cell>
          <cell r="N164">
            <v>128257.33724935673</v>
          </cell>
          <cell r="O164">
            <v>112512.14240126012</v>
          </cell>
          <cell r="P164">
            <v>89437.379126901229</v>
          </cell>
          <cell r="Q164">
            <v>125984.50860462777</v>
          </cell>
          <cell r="R164">
            <v>118984.08808919763</v>
          </cell>
          <cell r="S164">
            <v>137524.5712788715</v>
          </cell>
          <cell r="T164">
            <v>114580.1894109728</v>
          </cell>
          <cell r="U164">
            <v>122180.54733267066</v>
          </cell>
          <cell r="V164">
            <v>98723.479403598918</v>
          </cell>
          <cell r="W164">
            <v>112953.27473897906</v>
          </cell>
          <cell r="X164">
            <v>142770.19194068122</v>
          </cell>
          <cell r="Y164">
            <v>156341.13372176327</v>
          </cell>
          <cell r="Z164">
            <v>146128.50659071541</v>
          </cell>
          <cell r="AA164">
            <v>149237.45677382636</v>
          </cell>
        </row>
        <row r="165">
          <cell r="B165" t="str">
            <v>REGIME TARIFÁRIO ESPECIAL DAS MARGINAIS DA SP-280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-8178.6143751711525</v>
          </cell>
          <cell r="O166">
            <v>-8798.3715978230102</v>
          </cell>
          <cell r="P166">
            <v>-9383.6817083732221</v>
          </cell>
          <cell r="Q166">
            <v>-9929.9919448196088</v>
          </cell>
          <cell r="R166">
            <v>-10432.449537227483</v>
          </cell>
          <cell r="S166">
            <v>-10745.423023344309</v>
          </cell>
          <cell r="T166">
            <v>-11067.785714044638</v>
          </cell>
          <cell r="U166">
            <v>-11399.819285465977</v>
          </cell>
          <cell r="V166">
            <v>-11741.813864029955</v>
          </cell>
          <cell r="W166">
            <v>-12094.068279950852</v>
          </cell>
          <cell r="X166">
            <v>-12456.890328349382</v>
          </cell>
          <cell r="Y166">
            <v>-12830.597038199863</v>
          </cell>
          <cell r="Z166">
            <v>-13215.514949345858</v>
          </cell>
          <cell r="AA166">
            <v>-13611.980397826233</v>
          </cell>
        </row>
        <row r="167">
          <cell r="B167" t="str">
            <v>Somatoria com Projeto Original</v>
          </cell>
          <cell r="F167">
            <v>-16534.230355471744</v>
          </cell>
          <cell r="G167">
            <v>0.18390646773845529</v>
          </cell>
          <cell r="H167">
            <v>-146068.54176000002</v>
          </cell>
          <cell r="I167">
            <v>-163024.19148499999</v>
          </cell>
          <cell r="J167">
            <v>-95881.515604999979</v>
          </cell>
          <cell r="K167">
            <v>39032.087509999998</v>
          </cell>
          <cell r="L167">
            <v>106526.57626999999</v>
          </cell>
          <cell r="M167">
            <v>106644.66430999996</v>
          </cell>
          <cell r="N167">
            <v>100966.81129982883</v>
          </cell>
          <cell r="O167">
            <v>95286.372452176991</v>
          </cell>
          <cell r="P167">
            <v>90878.366471626767</v>
          </cell>
          <cell r="Q167">
            <v>113944.86114018041</v>
          </cell>
          <cell r="R167">
            <v>90572.721652772525</v>
          </cell>
          <cell r="S167">
            <v>125515.1859516557</v>
          </cell>
          <cell r="T167">
            <v>108172.72943095535</v>
          </cell>
          <cell r="U167">
            <v>120347.56543453403</v>
          </cell>
          <cell r="V167">
            <v>110186.40132597006</v>
          </cell>
          <cell r="W167">
            <v>134056.71827504915</v>
          </cell>
          <cell r="X167">
            <v>139783.82472165063</v>
          </cell>
          <cell r="Y167">
            <v>134403.06987180014</v>
          </cell>
          <cell r="Z167">
            <v>133814.71095065415</v>
          </cell>
          <cell r="AA167">
            <v>142175.42409217375</v>
          </cell>
        </row>
        <row r="168">
          <cell r="B168" t="str">
            <v>DIFERENÇA DE RECEITA DA SP-075 X SP-270 - 2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-769.67909080799984</v>
          </cell>
          <cell r="M169">
            <v>-911.13464840099959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-633.74691018944065</v>
          </cell>
          <cell r="G170">
            <v>0.19292347618797812</v>
          </cell>
          <cell r="H170">
            <v>-146068.54176000002</v>
          </cell>
          <cell r="I170">
            <v>-163024.19148499999</v>
          </cell>
          <cell r="J170">
            <v>-95881.515604999979</v>
          </cell>
          <cell r="K170">
            <v>39032.087509999998</v>
          </cell>
          <cell r="L170">
            <v>105756.89717919199</v>
          </cell>
          <cell r="M170">
            <v>105733.52966159896</v>
          </cell>
          <cell r="N170">
            <v>109145.42567499998</v>
          </cell>
          <cell r="O170">
            <v>104084.74404999999</v>
          </cell>
          <cell r="P170">
            <v>100262.04817999998</v>
          </cell>
          <cell r="Q170">
            <v>123874.85308500002</v>
          </cell>
          <cell r="R170">
            <v>101005.17119000001</v>
          </cell>
          <cell r="S170">
            <v>136260.60897500001</v>
          </cell>
          <cell r="T170">
            <v>119240.515145</v>
          </cell>
          <cell r="U170">
            <v>131747.38472</v>
          </cell>
          <cell r="V170">
            <v>121928.21519000002</v>
          </cell>
          <cell r="W170">
            <v>146150.786555</v>
          </cell>
          <cell r="X170">
            <v>152240.71505</v>
          </cell>
          <cell r="Y170">
            <v>147233.66691</v>
          </cell>
          <cell r="Z170">
            <v>147030.22589999999</v>
          </cell>
          <cell r="AA170">
            <v>155787.40448999999</v>
          </cell>
        </row>
        <row r="171">
          <cell r="B171" t="str">
            <v>DIFERENÇA DE RECEITA PELA POSTERGAÇÃO DA DUPLICAÇÃO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-304.63454957400012</v>
          </cell>
          <cell r="M172">
            <v>-624.8313331979997</v>
          </cell>
          <cell r="N172">
            <v>-1738.5499235070001</v>
          </cell>
          <cell r="O172">
            <v>-3698.5593759149997</v>
          </cell>
          <cell r="P172">
            <v>-3802.0952919750002</v>
          </cell>
          <cell r="Q172">
            <v>-3908.560388673</v>
          </cell>
          <cell r="R172">
            <v>-3978.9340067759999</v>
          </cell>
          <cell r="S172">
            <v>-4050.607299321</v>
          </cell>
          <cell r="T172">
            <v>-4123.5963672119997</v>
          </cell>
          <cell r="U172">
            <v>-4197.9228756359998</v>
          </cell>
          <cell r="V172">
            <v>-4273.6293262440004</v>
          </cell>
          <cell r="W172">
            <v>-4350.6999732989998</v>
          </cell>
          <cell r="X172">
            <v>-2583.7020314122501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 t="str">
            <v>Somatoria com Projeto Original</v>
          </cell>
          <cell r="F173">
            <v>-5701.1889491448674</v>
          </cell>
          <cell r="G173">
            <v>0.19012072224241236</v>
          </cell>
          <cell r="H173">
            <v>-146068.54176000002</v>
          </cell>
          <cell r="I173">
            <v>-163024.19148499999</v>
          </cell>
          <cell r="J173">
            <v>-95881.515604999979</v>
          </cell>
          <cell r="K173">
            <v>39032.087509999998</v>
          </cell>
          <cell r="L173">
            <v>106221.941720426</v>
          </cell>
          <cell r="M173">
            <v>106019.83297680196</v>
          </cell>
          <cell r="N173">
            <v>107406.87575149297</v>
          </cell>
          <cell r="O173">
            <v>100386.184674085</v>
          </cell>
          <cell r="P173">
            <v>96459.952888024985</v>
          </cell>
          <cell r="Q173">
            <v>119966.29269632703</v>
          </cell>
          <cell r="R173">
            <v>97026.237183224002</v>
          </cell>
          <cell r="S173">
            <v>132210.001675679</v>
          </cell>
          <cell r="T173">
            <v>115116.918777788</v>
          </cell>
          <cell r="U173">
            <v>127549.46184436401</v>
          </cell>
          <cell r="V173">
            <v>117654.58586375602</v>
          </cell>
          <cell r="W173">
            <v>141800.08658170101</v>
          </cell>
          <cell r="X173">
            <v>149657.01301858775</v>
          </cell>
          <cell r="Y173">
            <v>147233.66691</v>
          </cell>
          <cell r="Z173">
            <v>147030.22589999999</v>
          </cell>
          <cell r="AA173">
            <v>155787.40448999999</v>
          </cell>
        </row>
        <row r="174">
          <cell r="B174" t="str">
            <v>DIFERENÇA DE IGPM 2003 - RECEITA REAL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-1986.205331559705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-688.00404272528317</v>
          </cell>
          <cell r="G176">
            <v>0.19289373267658125</v>
          </cell>
          <cell r="H176">
            <v>-146068.54176000002</v>
          </cell>
          <cell r="I176">
            <v>-163024.19148499999</v>
          </cell>
          <cell r="J176">
            <v>-95881.515604999979</v>
          </cell>
          <cell r="K176">
            <v>39032.087509999998</v>
          </cell>
          <cell r="L176">
            <v>106526.57626999999</v>
          </cell>
          <cell r="M176">
            <v>104658.45897844026</v>
          </cell>
          <cell r="N176">
            <v>109145.42567499998</v>
          </cell>
          <cell r="O176">
            <v>104084.74404999999</v>
          </cell>
          <cell r="P176">
            <v>100262.04817999998</v>
          </cell>
          <cell r="Q176">
            <v>123874.85308500002</v>
          </cell>
          <cell r="R176">
            <v>101005.17119000001</v>
          </cell>
          <cell r="S176">
            <v>136260.60897500001</v>
          </cell>
          <cell r="T176">
            <v>119240.515145</v>
          </cell>
          <cell r="U176">
            <v>131747.38472</v>
          </cell>
          <cell r="V176">
            <v>121928.21519000002</v>
          </cell>
          <cell r="W176">
            <v>146150.786555</v>
          </cell>
          <cell r="X176">
            <v>152240.71505</v>
          </cell>
          <cell r="Y176">
            <v>147233.66691</v>
          </cell>
          <cell r="Z176">
            <v>147030.22589999999</v>
          </cell>
          <cell r="AA176">
            <v>155787.40448999999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5.5798919494794395E-8</v>
          </cell>
          <cell r="G179">
            <v>0.19327037557252341</v>
          </cell>
          <cell r="H179">
            <v>-146068.54176000002</v>
          </cell>
          <cell r="I179">
            <v>-163024.19148499999</v>
          </cell>
          <cell r="J179">
            <v>-95881.515604999979</v>
          </cell>
          <cell r="K179">
            <v>39032.087509999998</v>
          </cell>
          <cell r="L179">
            <v>106526.57626999999</v>
          </cell>
          <cell r="M179">
            <v>106644.66430999996</v>
          </cell>
          <cell r="N179">
            <v>109145.42567499998</v>
          </cell>
          <cell r="O179">
            <v>104084.74404999999</v>
          </cell>
          <cell r="P179">
            <v>100262.04817999998</v>
          </cell>
          <cell r="Q179">
            <v>123874.85308500002</v>
          </cell>
          <cell r="R179">
            <v>101005.17119000001</v>
          </cell>
          <cell r="S179">
            <v>136260.60897500001</v>
          </cell>
          <cell r="T179">
            <v>119240.515145</v>
          </cell>
          <cell r="U179">
            <v>131747.38472</v>
          </cell>
          <cell r="V179">
            <v>121928.21519000002</v>
          </cell>
          <cell r="W179">
            <v>146150.786555</v>
          </cell>
          <cell r="X179">
            <v>152240.71505</v>
          </cell>
          <cell r="Y179">
            <v>147233.66691</v>
          </cell>
          <cell r="Z179">
            <v>147030.22589999999</v>
          </cell>
          <cell r="AA179">
            <v>155787.40448999999</v>
          </cell>
        </row>
        <row r="180">
          <cell r="B180" t="str">
            <v>5ª Adequação - Investimentos</v>
          </cell>
        </row>
        <row r="181">
          <cell r="B181" t="str">
            <v>Fluxo de Caixa do Fator</v>
          </cell>
          <cell r="H181">
            <v>-4.7545707411700278E-3</v>
          </cell>
          <cell r="I181">
            <v>-4.3047690141975181E-2</v>
          </cell>
          <cell r="J181">
            <v>1.2799929911125218E-2</v>
          </cell>
          <cell r="K181">
            <v>-8.8630168811505428E-3</v>
          </cell>
          <cell r="L181">
            <v>-1.6817437248732858E-2</v>
          </cell>
          <cell r="M181">
            <v>49.132733959264968</v>
          </cell>
          <cell r="N181">
            <v>427.42931750932394</v>
          </cell>
          <cell r="O181">
            <v>-1020.9408521737435</v>
          </cell>
          <cell r="P181">
            <v>-24841.842011920169</v>
          </cell>
          <cell r="Q181">
            <v>281.02712509579931</v>
          </cell>
          <cell r="R181">
            <v>12737.234363257021</v>
          </cell>
          <cell r="S181">
            <v>1096.4040134913676</v>
          </cell>
          <cell r="T181">
            <v>4660.7451778745108</v>
          </cell>
          <cell r="U181">
            <v>-324.98927756876861</v>
          </cell>
          <cell r="V181">
            <v>3724.3490021469506</v>
          </cell>
          <cell r="W181">
            <v>12213.988464310578</v>
          </cell>
          <cell r="X181">
            <v>218.38289198839925</v>
          </cell>
          <cell r="Y181">
            <v>-1972.5952578898077</v>
          </cell>
          <cell r="Z181">
            <v>-9043.6600218135482</v>
          </cell>
          <cell r="AA181">
            <v>-1678.9002256918711</v>
          </cell>
        </row>
        <row r="182">
          <cell r="B182" t="str">
            <v>Somatoria com Projeto Original</v>
          </cell>
          <cell r="F182">
            <v>-2176.5888463964843</v>
          </cell>
          <cell r="G182">
            <v>0.19208059764202703</v>
          </cell>
          <cell r="H182">
            <v>-146068.54651457077</v>
          </cell>
          <cell r="I182">
            <v>-163024.23453269014</v>
          </cell>
          <cell r="J182">
            <v>-95881.502805070064</v>
          </cell>
          <cell r="K182">
            <v>39032.078646983115</v>
          </cell>
          <cell r="L182">
            <v>106526.55945256274</v>
          </cell>
          <cell r="M182">
            <v>106693.79704395923</v>
          </cell>
          <cell r="N182">
            <v>109572.8549925093</v>
          </cell>
          <cell r="O182">
            <v>103063.80319782624</v>
          </cell>
          <cell r="P182">
            <v>75420.206168079807</v>
          </cell>
          <cell r="Q182">
            <v>124155.88021009583</v>
          </cell>
          <cell r="R182">
            <v>113742.40555325703</v>
          </cell>
          <cell r="S182">
            <v>137357.01298849139</v>
          </cell>
          <cell r="T182">
            <v>123901.26032287451</v>
          </cell>
          <cell r="U182">
            <v>131422.39544243124</v>
          </cell>
          <cell r="V182">
            <v>125652.56419214697</v>
          </cell>
          <cell r="W182">
            <v>158364.77501931059</v>
          </cell>
          <cell r="X182">
            <v>152459.09794198841</v>
          </cell>
          <cell r="Y182">
            <v>145261.0716521102</v>
          </cell>
          <cell r="Z182">
            <v>137986.56587818643</v>
          </cell>
          <cell r="AA182">
            <v>154108.50426430811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72880.728656972409</v>
          </cell>
          <cell r="I184">
            <v>43182.938420708902</v>
          </cell>
          <cell r="J184">
            <v>-26867.98145911465</v>
          </cell>
          <cell r="K184">
            <v>-54253.799452250947</v>
          </cell>
          <cell r="L184">
            <v>-27590.204907618056</v>
          </cell>
          <cell r="M184">
            <v>-23824.962238788314</v>
          </cell>
          <cell r="N184">
            <v>-23668.337725492824</v>
          </cell>
          <cell r="O184">
            <v>-20585.649678384096</v>
          </cell>
          <cell r="P184">
            <v>-43166.356379822537</v>
          </cell>
          <cell r="Q184">
            <v>-31071.171246849914</v>
          </cell>
          <cell r="R184">
            <v>8874.2479573345008</v>
          </cell>
          <cell r="S184">
            <v>-20685.449558033983</v>
          </cell>
          <cell r="T184">
            <v>-21037.716278085281</v>
          </cell>
          <cell r="U184">
            <v>-19007.183132768459</v>
          </cell>
          <cell r="V184">
            <v>-20547.224159948881</v>
          </cell>
          <cell r="W184">
            <v>-47518.715111280973</v>
          </cell>
          <cell r="X184">
            <v>-29488.701121455644</v>
          </cell>
          <cell r="Y184">
            <v>-17280.376560492896</v>
          </cell>
          <cell r="Z184">
            <v>-26827.066549714225</v>
          </cell>
          <cell r="AA184">
            <v>-18750.694073655719</v>
          </cell>
        </row>
        <row r="185">
          <cell r="B185" t="str">
            <v>Somatoria com Projeto Original</v>
          </cell>
          <cell r="F185">
            <v>-9666.8082702298179</v>
          </cell>
          <cell r="G185">
            <v>0.18645436637078908</v>
          </cell>
          <cell r="H185">
            <v>-73187.813103027613</v>
          </cell>
          <cell r="I185">
            <v>-119841.25306429109</v>
          </cell>
          <cell r="J185">
            <v>-122749.49706411464</v>
          </cell>
          <cell r="K185">
            <v>-15221.71194225095</v>
          </cell>
          <cell r="L185">
            <v>78936.371362381935</v>
          </cell>
          <cell r="M185">
            <v>82819.70207121165</v>
          </cell>
          <cell r="N185">
            <v>85477.087949507157</v>
          </cell>
          <cell r="O185">
            <v>83499.094371615894</v>
          </cell>
          <cell r="P185">
            <v>57095.691800177447</v>
          </cell>
          <cell r="Q185">
            <v>92803.681838150107</v>
          </cell>
          <cell r="R185">
            <v>109879.41914733451</v>
          </cell>
          <cell r="S185">
            <v>115575.15941696602</v>
          </cell>
          <cell r="T185">
            <v>98202.798866914716</v>
          </cell>
          <cell r="U185">
            <v>112740.20158723154</v>
          </cell>
          <cell r="V185">
            <v>101380.99103005114</v>
          </cell>
          <cell r="W185">
            <v>98632.071443719033</v>
          </cell>
          <cell r="X185">
            <v>122752.01392854436</v>
          </cell>
          <cell r="Y185">
            <v>129953.29034950711</v>
          </cell>
          <cell r="Z185">
            <v>120203.15935028577</v>
          </cell>
          <cell r="AA185">
            <v>137036.71041634426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74352</v>
          </cell>
          <cell r="H191">
            <v>99547</v>
          </cell>
          <cell r="I191">
            <v>106637</v>
          </cell>
          <cell r="J191">
            <v>220998</v>
          </cell>
          <cell r="K191">
            <v>229501.11239999998</v>
          </cell>
          <cell r="L191">
            <v>234830.83349270842</v>
          </cell>
          <cell r="M191">
            <v>230516.41174760429</v>
          </cell>
          <cell r="N191">
            <v>233540.70425958713</v>
          </cell>
          <cell r="O191">
            <v>237029.27272684977</v>
          </cell>
          <cell r="P191">
            <v>240676.75116454266</v>
          </cell>
          <cell r="Q191">
            <v>243822.58230852691</v>
          </cell>
          <cell r="R191">
            <v>247362.97268178276</v>
          </cell>
          <cell r="S191">
            <v>250958.19439623621</v>
          </cell>
          <cell r="T191">
            <v>254603.73247612332</v>
          </cell>
          <cell r="U191">
            <v>258301.02239440699</v>
          </cell>
          <cell r="V191">
            <v>262049.58324223923</v>
          </cell>
          <cell r="W191">
            <v>268969.46703550639</v>
          </cell>
          <cell r="X191">
            <v>277327.56110807159</v>
          </cell>
          <cell r="Y191">
            <v>281375.84794131375</v>
          </cell>
          <cell r="Z191">
            <v>285484.52337955317</v>
          </cell>
          <cell r="AA191">
            <v>4537884.5727550527</v>
          </cell>
        </row>
        <row r="192">
          <cell r="B192" t="str">
            <v>1.1 - Operacionais    (1.1.1 + 1.1.2)</v>
          </cell>
          <cell r="G192">
            <v>74352</v>
          </cell>
          <cell r="H192">
            <v>99547</v>
          </cell>
          <cell r="I192">
            <v>106637</v>
          </cell>
          <cell r="J192">
            <v>220998</v>
          </cell>
          <cell r="K192">
            <v>229501.11239999998</v>
          </cell>
          <cell r="L192">
            <v>234830.83349270842</v>
          </cell>
          <cell r="M192">
            <v>230516.41174760429</v>
          </cell>
          <cell r="N192">
            <v>233540.70425958713</v>
          </cell>
          <cell r="O192">
            <v>237029.27272684977</v>
          </cell>
          <cell r="P192">
            <v>240676.75116454266</v>
          </cell>
          <cell r="Q192">
            <v>243822.58230852691</v>
          </cell>
          <cell r="R192">
            <v>247362.97268178276</v>
          </cell>
          <cell r="S192">
            <v>250958.19439623621</v>
          </cell>
          <cell r="T192">
            <v>254603.73247612332</v>
          </cell>
          <cell r="U192">
            <v>258301.02239440699</v>
          </cell>
          <cell r="V192">
            <v>262049.58324223923</v>
          </cell>
          <cell r="W192">
            <v>268969.46703550639</v>
          </cell>
          <cell r="X192">
            <v>277327.56110807159</v>
          </cell>
          <cell r="Y192">
            <v>281375.84794131375</v>
          </cell>
          <cell r="Z192">
            <v>285484.52337955317</v>
          </cell>
          <cell r="AA192">
            <v>4537884.5727550527</v>
          </cell>
        </row>
        <row r="193">
          <cell r="B193" t="str">
            <v>1.1.1 - Receitas de  Pedágios    (Transp. Qd.2.1.1.2)</v>
          </cell>
          <cell r="G193">
            <v>73430</v>
          </cell>
          <cell r="H193">
            <v>96402</v>
          </cell>
          <cell r="I193">
            <v>98799</v>
          </cell>
          <cell r="J193">
            <v>213157</v>
          </cell>
          <cell r="K193">
            <v>221357.11239999998</v>
          </cell>
          <cell r="L193">
            <v>226683.83349270842</v>
          </cell>
          <cell r="M193">
            <v>222366.41174760429</v>
          </cell>
          <cell r="N193">
            <v>225387.70425958713</v>
          </cell>
          <cell r="O193">
            <v>228873.27272684977</v>
          </cell>
          <cell r="P193">
            <v>232517.75116454266</v>
          </cell>
          <cell r="Q193">
            <v>235660.58230852691</v>
          </cell>
          <cell r="R193">
            <v>239197.97268178276</v>
          </cell>
          <cell r="S193">
            <v>242790.19439623621</v>
          </cell>
          <cell r="T193">
            <v>246432.73247612332</v>
          </cell>
          <cell r="U193">
            <v>250127.02239440699</v>
          </cell>
          <cell r="V193">
            <v>253872.58324223923</v>
          </cell>
          <cell r="W193">
            <v>260789.46703550639</v>
          </cell>
          <cell r="X193">
            <v>269144.56110807159</v>
          </cell>
          <cell r="Y193">
            <v>273189.84794131375</v>
          </cell>
          <cell r="Z193">
            <v>277295.52337955317</v>
          </cell>
          <cell r="AA193">
            <v>4387474.5727550527</v>
          </cell>
        </row>
        <row r="194">
          <cell r="B194" t="str">
            <v>1.1.2 - Outras Receitas Operacionais    (calculado 2.1.2.)</v>
          </cell>
          <cell r="G194">
            <v>922</v>
          </cell>
          <cell r="H194">
            <v>3145</v>
          </cell>
          <cell r="I194">
            <v>7838</v>
          </cell>
          <cell r="J194">
            <v>7841</v>
          </cell>
          <cell r="K194">
            <v>8144</v>
          </cell>
          <cell r="L194">
            <v>8147.0000000000009</v>
          </cell>
          <cell r="M194">
            <v>8150</v>
          </cell>
          <cell r="N194">
            <v>8153</v>
          </cell>
          <cell r="O194">
            <v>8156</v>
          </cell>
          <cell r="P194">
            <v>8159</v>
          </cell>
          <cell r="Q194">
            <v>8162</v>
          </cell>
          <cell r="R194">
            <v>8165</v>
          </cell>
          <cell r="S194">
            <v>8168</v>
          </cell>
          <cell r="T194">
            <v>8170.9999999999991</v>
          </cell>
          <cell r="U194">
            <v>8174</v>
          </cell>
          <cell r="V194">
            <v>8177</v>
          </cell>
          <cell r="W194">
            <v>8180</v>
          </cell>
          <cell r="X194">
            <v>8183</v>
          </cell>
          <cell r="Y194">
            <v>8186.0000000000009</v>
          </cell>
          <cell r="Z194">
            <v>8189</v>
          </cell>
          <cell r="AA194">
            <v>150410</v>
          </cell>
        </row>
        <row r="195">
          <cell r="B195" t="str">
            <v>2 -  DEDUÇÕES DA RECEITA    (2.1)</v>
          </cell>
          <cell r="G195">
            <v>3457.3679999999999</v>
          </cell>
          <cell r="H195">
            <v>4628.9354999999996</v>
          </cell>
          <cell r="I195">
            <v>4958.6204999999991</v>
          </cell>
          <cell r="J195">
            <v>10276.406999999999</v>
          </cell>
          <cell r="K195">
            <v>10671.801726600001</v>
          </cell>
          <cell r="L195">
            <v>11063.396787475691</v>
          </cell>
          <cell r="M195">
            <v>19190.083929921766</v>
          </cell>
          <cell r="N195">
            <v>19875.150918454288</v>
          </cell>
          <cell r="O195">
            <v>20176.792090872506</v>
          </cell>
          <cell r="P195">
            <v>20492.178975732942</v>
          </cell>
          <cell r="Q195">
            <v>20764.173369687582</v>
          </cell>
          <cell r="R195">
            <v>21070.297136974208</v>
          </cell>
          <cell r="S195">
            <v>21381.163815274434</v>
          </cell>
          <cell r="T195">
            <v>21696.382859184665</v>
          </cell>
          <cell r="U195">
            <v>22016.078437116201</v>
          </cell>
          <cell r="V195">
            <v>22340.208950453693</v>
          </cell>
          <cell r="W195">
            <v>22938.658898571306</v>
          </cell>
          <cell r="X195">
            <v>23661.514035848195</v>
          </cell>
          <cell r="Y195">
            <v>24011.570846923642</v>
          </cell>
          <cell r="Z195">
            <v>24366.851272331354</v>
          </cell>
          <cell r="AA195">
            <v>349037.6350514224</v>
          </cell>
        </row>
        <row r="196">
          <cell r="B196" t="str">
            <v>2.1 - Tributos sobre Faturamento    (2.1.1+ .... + 2.1.4)</v>
          </cell>
          <cell r="G196">
            <v>3457.3679999999999</v>
          </cell>
          <cell r="H196">
            <v>4628.9354999999996</v>
          </cell>
          <cell r="I196">
            <v>4958.6204999999991</v>
          </cell>
          <cell r="J196">
            <v>10276.406999999999</v>
          </cell>
          <cell r="K196">
            <v>10671.801726600001</v>
          </cell>
          <cell r="L196">
            <v>11063.396787475691</v>
          </cell>
          <cell r="M196">
            <v>19190.083929921766</v>
          </cell>
          <cell r="N196">
            <v>19875.150918454288</v>
          </cell>
          <cell r="O196">
            <v>20176.792090872506</v>
          </cell>
          <cell r="P196">
            <v>20492.178975732942</v>
          </cell>
          <cell r="Q196">
            <v>20764.173369687582</v>
          </cell>
          <cell r="R196">
            <v>21070.297136974208</v>
          </cell>
          <cell r="S196">
            <v>21381.163815274434</v>
          </cell>
          <cell r="T196">
            <v>21696.382859184665</v>
          </cell>
          <cell r="U196">
            <v>22016.078437116201</v>
          </cell>
          <cell r="V196">
            <v>22340.208950453693</v>
          </cell>
          <cell r="W196">
            <v>22938.658898571306</v>
          </cell>
          <cell r="X196">
            <v>23661.514035848195</v>
          </cell>
          <cell r="Y196">
            <v>24011.570846923642</v>
          </cell>
          <cell r="Z196">
            <v>24366.851272331354</v>
          </cell>
          <cell r="AA196">
            <v>349037.6350514224</v>
          </cell>
        </row>
        <row r="197">
          <cell r="B197" t="str">
            <v>2.1.1 - I.S.S    (transp. Qd  1.3.)</v>
          </cell>
          <cell r="G197">
            <v>1487.04</v>
          </cell>
          <cell r="H197">
            <v>1990.94</v>
          </cell>
          <cell r="I197">
            <v>2132.7399999999998</v>
          </cell>
          <cell r="J197">
            <v>4419.96</v>
          </cell>
          <cell r="K197">
            <v>4590.0222480000002</v>
          </cell>
          <cell r="L197">
            <v>4804.4389424027304</v>
          </cell>
          <cell r="M197">
            <v>11003.362572695711</v>
          </cell>
          <cell r="N197">
            <v>11432.445212979357</v>
          </cell>
          <cell r="O197">
            <v>11606.78363634249</v>
          </cell>
          <cell r="P197">
            <v>11789.067558227134</v>
          </cell>
          <cell r="Q197">
            <v>11946.269115426347</v>
          </cell>
          <cell r="R197">
            <v>12123.198634089138</v>
          </cell>
          <cell r="S197">
            <v>12302.869719811812</v>
          </cell>
          <cell r="T197">
            <v>12485.056623806166</v>
          </cell>
          <cell r="U197">
            <v>12669.831119720349</v>
          </cell>
          <cell r="V197">
            <v>12857.169162111961</v>
          </cell>
          <cell r="W197">
            <v>13203.073351775321</v>
          </cell>
          <cell r="X197">
            <v>13620.888055403582</v>
          </cell>
          <cell r="Y197">
            <v>13823.212397065688</v>
          </cell>
          <cell r="Z197">
            <v>14028.55616897766</v>
          </cell>
          <cell r="AA197">
            <v>194316.92451883544</v>
          </cell>
        </row>
        <row r="198">
          <cell r="B198" t="str">
            <v>2.1.2 - Cofins    (transp. Qd 1.3.)</v>
          </cell>
          <cell r="G198">
            <v>1487.04</v>
          </cell>
          <cell r="H198">
            <v>1990.94</v>
          </cell>
          <cell r="I198">
            <v>2132.7399999999998</v>
          </cell>
          <cell r="J198">
            <v>4419.96</v>
          </cell>
          <cell r="K198">
            <v>4590.0222480000002</v>
          </cell>
          <cell r="L198">
            <v>4732.557427370356</v>
          </cell>
          <cell r="M198">
            <v>6741.3396808666266</v>
          </cell>
          <cell r="N198">
            <v>6924.6911277876143</v>
          </cell>
          <cell r="O198">
            <v>7029.3181818054927</v>
          </cell>
          <cell r="P198">
            <v>7138.7125349362805</v>
          </cell>
          <cell r="Q198">
            <v>7233.0574692558084</v>
          </cell>
          <cell r="R198">
            <v>7339.2391804534827</v>
          </cell>
          <cell r="S198">
            <v>7447.0658318870856</v>
          </cell>
          <cell r="T198">
            <v>7556.401974283699</v>
          </cell>
          <cell r="U198">
            <v>7667.2906718322083</v>
          </cell>
          <cell r="V198">
            <v>7779.7174972671764</v>
          </cell>
          <cell r="W198">
            <v>7987.2840110651914</v>
          </cell>
          <cell r="X198">
            <v>8237.9968332421486</v>
          </cell>
          <cell r="Y198">
            <v>8359.4154382394117</v>
          </cell>
          <cell r="Z198">
            <v>8482.6457013865966</v>
          </cell>
          <cell r="AA198">
            <v>125277.43580967917</v>
          </cell>
        </row>
        <row r="199">
          <cell r="B199" t="str">
            <v>2.1.3 - Pis / Pasep    (transp. Qd 1.3.)</v>
          </cell>
          <cell r="G199">
            <v>483.28799999999995</v>
          </cell>
          <cell r="H199">
            <v>647.05549999999994</v>
          </cell>
          <cell r="I199">
            <v>693.14049999999997</v>
          </cell>
          <cell r="J199">
            <v>1436.4869999999999</v>
          </cell>
          <cell r="K199">
            <v>1491.7572306</v>
          </cell>
          <cell r="L199">
            <v>1526.400417702605</v>
          </cell>
          <cell r="M199">
            <v>1445.381676359428</v>
          </cell>
          <cell r="N199">
            <v>1518.0145776873164</v>
          </cell>
          <cell r="O199">
            <v>1540.6902727245233</v>
          </cell>
          <cell r="P199">
            <v>1564.3988825695271</v>
          </cell>
          <cell r="Q199">
            <v>1584.8467850054251</v>
          </cell>
          <cell r="R199">
            <v>1607.8593224315878</v>
          </cell>
          <cell r="S199">
            <v>1631.2282635755355</v>
          </cell>
          <cell r="T199">
            <v>1654.9242610948011</v>
          </cell>
          <cell r="U199">
            <v>1678.9566455636455</v>
          </cell>
          <cell r="V199">
            <v>1703.3222910745549</v>
          </cell>
          <cell r="W199">
            <v>1748.3015357307916</v>
          </cell>
          <cell r="X199">
            <v>1802.629147202465</v>
          </cell>
          <cell r="Y199">
            <v>1828.9430116185392</v>
          </cell>
          <cell r="Z199">
            <v>1855.6494019670954</v>
          </cell>
          <cell r="AA199">
            <v>29443.274722907838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70894.631999999998</v>
          </cell>
          <cell r="H201">
            <v>94918.064500000008</v>
          </cell>
          <cell r="I201">
            <v>101678.3795</v>
          </cell>
          <cell r="J201">
            <v>210721.59299999999</v>
          </cell>
          <cell r="K201">
            <v>218829.31067339997</v>
          </cell>
          <cell r="L201">
            <v>223767.43670523274</v>
          </cell>
          <cell r="M201">
            <v>211326.32781768253</v>
          </cell>
          <cell r="N201">
            <v>213665.55334113285</v>
          </cell>
          <cell r="O201">
            <v>216852.48063597726</v>
          </cell>
          <cell r="P201">
            <v>220184.57218880972</v>
          </cell>
          <cell r="Q201">
            <v>223058.40893883933</v>
          </cell>
          <cell r="R201">
            <v>226292.67554480856</v>
          </cell>
          <cell r="S201">
            <v>229577.03058096179</v>
          </cell>
          <cell r="T201">
            <v>232907.34961693865</v>
          </cell>
          <cell r="U201">
            <v>236284.94395729079</v>
          </cell>
          <cell r="V201">
            <v>239709.37429178553</v>
          </cell>
          <cell r="W201">
            <v>246030.80813693508</v>
          </cell>
          <cell r="X201">
            <v>253666.04707222339</v>
          </cell>
          <cell r="Y201">
            <v>257364.27709439013</v>
          </cell>
          <cell r="Z201">
            <v>261117.67210722182</v>
          </cell>
          <cell r="AA201">
            <v>4188846.9377036304</v>
          </cell>
        </row>
        <row r="202">
          <cell r="B202" t="str">
            <v>4 -  DESPESAS    (4.1)</v>
          </cell>
          <cell r="G202">
            <v>56958.214179615381</v>
          </cell>
          <cell r="H202">
            <v>78419.906818825373</v>
          </cell>
          <cell r="I202">
            <v>89364.985024705675</v>
          </cell>
          <cell r="J202">
            <v>101777.0051740217</v>
          </cell>
          <cell r="K202">
            <v>106500.71432268093</v>
          </cell>
          <cell r="L202">
            <v>108759.88472509553</v>
          </cell>
          <cell r="M202">
            <v>104284.7709688094</v>
          </cell>
          <cell r="N202">
            <v>101727.72783768243</v>
          </cell>
          <cell r="O202">
            <v>105144.03123900748</v>
          </cell>
          <cell r="P202">
            <v>108712.23716354033</v>
          </cell>
          <cell r="Q202">
            <v>119029.31275247855</v>
          </cell>
          <cell r="R202">
            <v>119113.69745930994</v>
          </cell>
          <cell r="S202">
            <v>119047.71608359212</v>
          </cell>
          <cell r="T202">
            <v>120652.59866587407</v>
          </cell>
          <cell r="U202">
            <v>125257.38797551821</v>
          </cell>
          <cell r="V202">
            <v>137025.23193219703</v>
          </cell>
          <cell r="W202">
            <v>147601.54451624458</v>
          </cell>
          <cell r="X202">
            <v>152614.86723866261</v>
          </cell>
          <cell r="Y202">
            <v>162776.11761464371</v>
          </cell>
          <cell r="Z202">
            <v>190844.88185366627</v>
          </cell>
          <cell r="AA202">
            <v>2355612.8335461714</v>
          </cell>
        </row>
        <row r="203">
          <cell r="B203" t="str">
            <v>4.1 - Operacionais    (4.1.1+ .... + 4.1.10)</v>
          </cell>
          <cell r="G203">
            <v>56958.214179615381</v>
          </cell>
          <cell r="H203">
            <v>78419.906818825373</v>
          </cell>
          <cell r="I203">
            <v>89364.985024705675</v>
          </cell>
          <cell r="J203">
            <v>101777.0051740217</v>
          </cell>
          <cell r="K203">
            <v>106500.71432268093</v>
          </cell>
          <cell r="L203">
            <v>108759.88472509553</v>
          </cell>
          <cell r="M203">
            <v>104284.7709688094</v>
          </cell>
          <cell r="N203">
            <v>101727.72783768243</v>
          </cell>
          <cell r="O203">
            <v>105144.03123900748</v>
          </cell>
          <cell r="P203">
            <v>108712.23716354033</v>
          </cell>
          <cell r="Q203">
            <v>119029.31275247855</v>
          </cell>
          <cell r="R203">
            <v>119113.69745930994</v>
          </cell>
          <cell r="S203">
            <v>119047.71608359212</v>
          </cell>
          <cell r="T203">
            <v>120652.59866587407</v>
          </cell>
          <cell r="U203">
            <v>125257.38797551821</v>
          </cell>
          <cell r="V203">
            <v>137025.23193219703</v>
          </cell>
          <cell r="W203">
            <v>147601.54451624458</v>
          </cell>
          <cell r="X203">
            <v>152614.86723866261</v>
          </cell>
          <cell r="Y203">
            <v>162776.11761464371</v>
          </cell>
          <cell r="Z203">
            <v>190844.88185366627</v>
          </cell>
          <cell r="AA203">
            <v>2355612.8335461714</v>
          </cell>
        </row>
        <row r="204">
          <cell r="B204" t="str">
            <v>4.1.1  -  Pessoal e Administradores    (Transp. Qd. 1.3.)</v>
          </cell>
          <cell r="G204">
            <v>20034</v>
          </cell>
          <cell r="H204">
            <v>27971</v>
          </cell>
          <cell r="I204">
            <v>31249</v>
          </cell>
          <cell r="J204">
            <v>34297</v>
          </cell>
          <cell r="K204">
            <v>34048</v>
          </cell>
          <cell r="L204">
            <v>34047</v>
          </cell>
          <cell r="M204">
            <v>34048</v>
          </cell>
          <cell r="N204">
            <v>34047</v>
          </cell>
          <cell r="O204">
            <v>34048</v>
          </cell>
          <cell r="P204">
            <v>34047</v>
          </cell>
          <cell r="Q204">
            <v>34048</v>
          </cell>
          <cell r="R204">
            <v>34047</v>
          </cell>
          <cell r="S204">
            <v>34048</v>
          </cell>
          <cell r="T204">
            <v>34047</v>
          </cell>
          <cell r="U204">
            <v>34048</v>
          </cell>
          <cell r="V204">
            <v>34047</v>
          </cell>
          <cell r="W204">
            <v>34047</v>
          </cell>
          <cell r="X204">
            <v>34047</v>
          </cell>
          <cell r="Y204">
            <v>34047</v>
          </cell>
          <cell r="Z204">
            <v>34047</v>
          </cell>
          <cell r="AA204">
            <v>658309</v>
          </cell>
        </row>
        <row r="205">
          <cell r="B205" t="str">
            <v>4.1.2  -  Conservação de Rotina    (Transp. Qd. 1.3.)</v>
          </cell>
          <cell r="G205">
            <v>2691</v>
          </cell>
          <cell r="H205">
            <v>5382</v>
          </cell>
          <cell r="I205">
            <v>5457</v>
          </cell>
          <cell r="J205">
            <v>5560</v>
          </cell>
          <cell r="K205">
            <v>6466</v>
          </cell>
          <cell r="L205">
            <v>6466</v>
          </cell>
          <cell r="M205">
            <v>6466</v>
          </cell>
          <cell r="N205">
            <v>6466</v>
          </cell>
          <cell r="O205">
            <v>6997</v>
          </cell>
          <cell r="P205">
            <v>6997</v>
          </cell>
          <cell r="Q205">
            <v>6997</v>
          </cell>
          <cell r="R205">
            <v>6997</v>
          </cell>
          <cell r="S205">
            <v>6997</v>
          </cell>
          <cell r="T205">
            <v>6997</v>
          </cell>
          <cell r="U205">
            <v>6997</v>
          </cell>
          <cell r="V205">
            <v>6997</v>
          </cell>
          <cell r="W205">
            <v>6997</v>
          </cell>
          <cell r="X205">
            <v>6997</v>
          </cell>
          <cell r="Y205">
            <v>6997</v>
          </cell>
          <cell r="Z205">
            <v>6997</v>
          </cell>
          <cell r="AA205">
            <v>128918</v>
          </cell>
        </row>
        <row r="206">
          <cell r="B206" t="str">
            <v>4.1.3  -  Consumo    (Transp. Qd. 1.3.)</v>
          </cell>
          <cell r="G206">
            <v>925</v>
          </cell>
          <cell r="H206">
            <v>987</v>
          </cell>
          <cell r="I206">
            <v>1000</v>
          </cell>
          <cell r="J206">
            <v>1135</v>
          </cell>
          <cell r="K206">
            <v>1135</v>
          </cell>
          <cell r="L206">
            <v>1135</v>
          </cell>
          <cell r="M206">
            <v>1135</v>
          </cell>
          <cell r="N206">
            <v>1135</v>
          </cell>
          <cell r="O206">
            <v>1135</v>
          </cell>
          <cell r="P206">
            <v>1135</v>
          </cell>
          <cell r="Q206">
            <v>1135</v>
          </cell>
          <cell r="R206">
            <v>1135</v>
          </cell>
          <cell r="S206">
            <v>1135</v>
          </cell>
          <cell r="T206">
            <v>1135</v>
          </cell>
          <cell r="U206">
            <v>1135</v>
          </cell>
          <cell r="V206">
            <v>1135</v>
          </cell>
          <cell r="W206">
            <v>1135</v>
          </cell>
          <cell r="X206">
            <v>1135</v>
          </cell>
          <cell r="Y206">
            <v>1135</v>
          </cell>
          <cell r="Z206">
            <v>1135</v>
          </cell>
          <cell r="AA206">
            <v>22207</v>
          </cell>
        </row>
        <row r="207">
          <cell r="B207" t="str">
            <v>4.1.4  -  Transportes    (Transp. Qd. 1.3.)</v>
          </cell>
          <cell r="G207">
            <v>2399</v>
          </cell>
          <cell r="H207">
            <v>4565</v>
          </cell>
          <cell r="I207">
            <v>4981</v>
          </cell>
          <cell r="J207">
            <v>5230</v>
          </cell>
          <cell r="K207">
            <v>5306</v>
          </cell>
          <cell r="L207">
            <v>5307</v>
          </cell>
          <cell r="M207">
            <v>5306</v>
          </cell>
          <cell r="N207">
            <v>5307</v>
          </cell>
          <cell r="O207">
            <v>5306</v>
          </cell>
          <cell r="P207">
            <v>5307</v>
          </cell>
          <cell r="Q207">
            <v>5306</v>
          </cell>
          <cell r="R207">
            <v>5307</v>
          </cell>
          <cell r="S207">
            <v>5306</v>
          </cell>
          <cell r="T207">
            <v>5307</v>
          </cell>
          <cell r="U207">
            <v>5306</v>
          </cell>
          <cell r="V207">
            <v>5307</v>
          </cell>
          <cell r="W207">
            <v>5306</v>
          </cell>
          <cell r="X207">
            <v>5307</v>
          </cell>
          <cell r="Y207">
            <v>5306</v>
          </cell>
          <cell r="Z207">
            <v>5306</v>
          </cell>
          <cell r="AA207">
            <v>102078</v>
          </cell>
        </row>
        <row r="208">
          <cell r="B208" t="str">
            <v>4.1.5  -  Diversas    (Transp. Qd. 1.3.)</v>
          </cell>
          <cell r="G208">
            <v>3376</v>
          </cell>
          <cell r="H208">
            <v>4638</v>
          </cell>
          <cell r="I208">
            <v>4059</v>
          </cell>
          <cell r="J208">
            <v>2441</v>
          </cell>
          <cell r="K208">
            <v>1745</v>
          </cell>
          <cell r="L208">
            <v>1745</v>
          </cell>
          <cell r="M208">
            <v>1745</v>
          </cell>
          <cell r="N208">
            <v>1745</v>
          </cell>
          <cell r="O208">
            <v>1745</v>
          </cell>
          <cell r="P208">
            <v>1745</v>
          </cell>
          <cell r="Q208">
            <v>1745</v>
          </cell>
          <cell r="R208">
            <v>1745</v>
          </cell>
          <cell r="S208">
            <v>1745</v>
          </cell>
          <cell r="T208">
            <v>1745</v>
          </cell>
          <cell r="U208">
            <v>1745</v>
          </cell>
          <cell r="V208">
            <v>1745</v>
          </cell>
          <cell r="W208">
            <v>1745</v>
          </cell>
          <cell r="X208">
            <v>1745</v>
          </cell>
          <cell r="Y208">
            <v>1745</v>
          </cell>
          <cell r="Z208">
            <v>1745</v>
          </cell>
          <cell r="AA208">
            <v>42434</v>
          </cell>
        </row>
        <row r="209">
          <cell r="B209" t="str">
            <v>4.1.6  -  Depreciação/Amortização    (Transp. Qd. 1.3.)</v>
          </cell>
          <cell r="G209">
            <v>2664.2541796153846</v>
          </cell>
          <cell r="H209">
            <v>9402.0968188253628</v>
          </cell>
          <cell r="I209">
            <v>17123.475024705673</v>
          </cell>
          <cell r="J209">
            <v>24333.665174021691</v>
          </cell>
          <cell r="K209">
            <v>28827.280950680914</v>
          </cell>
          <cell r="L209">
            <v>30952.55972031429</v>
          </cell>
          <cell r="M209">
            <v>32879.566282379776</v>
          </cell>
          <cell r="N209">
            <v>34592.2279404664</v>
          </cell>
          <cell r="O209">
            <v>37253.858743852506</v>
          </cell>
          <cell r="P209">
            <v>40757.640315254546</v>
          </cell>
          <cell r="Q209">
            <v>42325.252897664504</v>
          </cell>
          <cell r="R209">
            <v>40618.408278856456</v>
          </cell>
          <cell r="S209">
            <v>40461.570251705038</v>
          </cell>
          <cell r="T209">
            <v>41994.086691590368</v>
          </cell>
          <cell r="U209">
            <v>46516.957303686017</v>
          </cell>
          <cell r="V209">
            <v>58215.344434929844</v>
          </cell>
          <cell r="W209">
            <v>68605.060505179383</v>
          </cell>
          <cell r="X209">
            <v>73382.640405420461</v>
          </cell>
          <cell r="Y209">
            <v>83447.442176404293</v>
          </cell>
          <cell r="Z209">
            <v>111414.94615227968</v>
          </cell>
          <cell r="AA209">
            <v>865768.33424783242</v>
          </cell>
        </row>
        <row r="210">
          <cell r="B210" t="str">
            <v>4.1.7  -  Seguros    (transp. Qd 1.3.)</v>
          </cell>
          <cell r="G210">
            <v>910</v>
          </cell>
          <cell r="H210">
            <v>910</v>
          </cell>
          <cell r="I210">
            <v>910</v>
          </cell>
          <cell r="J210">
            <v>910</v>
          </cell>
          <cell r="K210">
            <v>910</v>
          </cell>
          <cell r="L210">
            <v>910</v>
          </cell>
          <cell r="M210">
            <v>910</v>
          </cell>
          <cell r="N210">
            <v>910</v>
          </cell>
          <cell r="O210">
            <v>910</v>
          </cell>
          <cell r="P210">
            <v>910</v>
          </cell>
          <cell r="Q210">
            <v>910</v>
          </cell>
          <cell r="R210">
            <v>910</v>
          </cell>
          <cell r="S210">
            <v>910</v>
          </cell>
          <cell r="T210">
            <v>910</v>
          </cell>
          <cell r="U210">
            <v>910</v>
          </cell>
          <cell r="V210">
            <v>910</v>
          </cell>
          <cell r="W210">
            <v>910</v>
          </cell>
          <cell r="X210">
            <v>910</v>
          </cell>
          <cell r="Y210">
            <v>910</v>
          </cell>
          <cell r="Z210">
            <v>910</v>
          </cell>
          <cell r="AA210">
            <v>18200</v>
          </cell>
        </row>
        <row r="211">
          <cell r="B211" t="str">
            <v xml:space="preserve">4.1.8  -  Garantias  (transp. Qd 1.3.)  </v>
          </cell>
          <cell r="G211">
            <v>2478</v>
          </cell>
          <cell r="H211">
            <v>2328</v>
          </cell>
          <cell r="I211">
            <v>2136</v>
          </cell>
          <cell r="J211">
            <v>1990</v>
          </cell>
          <cell r="K211">
            <v>1928</v>
          </cell>
          <cell r="L211">
            <v>1902</v>
          </cell>
          <cell r="M211">
            <v>1873</v>
          </cell>
          <cell r="N211">
            <v>1843</v>
          </cell>
          <cell r="O211">
            <v>1804</v>
          </cell>
          <cell r="P211">
            <v>1759</v>
          </cell>
          <cell r="Q211">
            <v>1734</v>
          </cell>
          <cell r="R211">
            <v>1683</v>
          </cell>
          <cell r="S211">
            <v>1666</v>
          </cell>
          <cell r="T211">
            <v>1629</v>
          </cell>
          <cell r="U211">
            <v>1600</v>
          </cell>
          <cell r="V211">
            <v>1557</v>
          </cell>
          <cell r="W211">
            <v>1537</v>
          </cell>
          <cell r="X211">
            <v>1521</v>
          </cell>
          <cell r="Y211">
            <v>1497</v>
          </cell>
          <cell r="Z211">
            <v>1467</v>
          </cell>
          <cell r="AA211">
            <v>35932</v>
          </cell>
        </row>
        <row r="212">
          <cell r="B212" t="str">
            <v xml:space="preserve">4.1.9  -  Parc.Variável da Concessão   </v>
          </cell>
          <cell r="G212">
            <v>2230.56</v>
          </cell>
          <cell r="H212">
            <v>2986.41</v>
          </cell>
          <cell r="I212">
            <v>3199.11</v>
          </cell>
          <cell r="J212">
            <v>6629.94</v>
          </cell>
          <cell r="K212">
            <v>6885.0333720000008</v>
          </cell>
          <cell r="L212">
            <v>7044.9250047812529</v>
          </cell>
          <cell r="M212">
            <v>6915.4923524281276</v>
          </cell>
          <cell r="N212">
            <v>7006.221127787614</v>
          </cell>
          <cell r="O212">
            <v>7110.8781818054922</v>
          </cell>
          <cell r="P212">
            <v>7220.3025349362797</v>
          </cell>
          <cell r="Q212">
            <v>7314.6774692558083</v>
          </cell>
          <cell r="R212">
            <v>7420.8891804534815</v>
          </cell>
          <cell r="S212">
            <v>7528.7458318870858</v>
          </cell>
          <cell r="T212">
            <v>7638.1119742837</v>
          </cell>
          <cell r="U212">
            <v>7749.0306718322099</v>
          </cell>
          <cell r="V212">
            <v>7861.4874972671769</v>
          </cell>
          <cell r="W212">
            <v>8069.0840110651907</v>
          </cell>
          <cell r="X212">
            <v>8319.8268332421449</v>
          </cell>
          <cell r="Y212">
            <v>8441.2754382394123</v>
          </cell>
          <cell r="Z212">
            <v>8564.5357013865942</v>
          </cell>
          <cell r="AA212">
            <v>136136.53718265161</v>
          </cell>
        </row>
        <row r="213">
          <cell r="B213" t="str">
            <v xml:space="preserve">4.1.10 - Parcela Fixa da Concessão   </v>
          </cell>
          <cell r="G213">
            <v>19250.400000000001</v>
          </cell>
          <cell r="H213">
            <v>19250.400000000001</v>
          </cell>
          <cell r="I213">
            <v>19250.400000000001</v>
          </cell>
          <cell r="J213">
            <v>19250.400000000001</v>
          </cell>
          <cell r="K213">
            <v>19250.400000000001</v>
          </cell>
          <cell r="L213">
            <v>19250.400000000001</v>
          </cell>
          <cell r="M213">
            <v>13006.712334001502</v>
          </cell>
          <cell r="N213">
            <v>8676.2787694284016</v>
          </cell>
          <cell r="O213">
            <v>8834.294313349501</v>
          </cell>
          <cell r="P213">
            <v>8834.294313349501</v>
          </cell>
          <cell r="Q213">
            <v>17514.382385558252</v>
          </cell>
          <cell r="R213">
            <v>19250.400000000001</v>
          </cell>
          <cell r="S213">
            <v>19250.400000000001</v>
          </cell>
          <cell r="T213">
            <v>19250.400000000001</v>
          </cell>
          <cell r="U213">
            <v>19250.400000000001</v>
          </cell>
          <cell r="V213">
            <v>19250.400000000001</v>
          </cell>
          <cell r="W213">
            <v>19250.400000000001</v>
          </cell>
          <cell r="X213">
            <v>19250.400000000001</v>
          </cell>
          <cell r="Y213">
            <v>19250.400000000001</v>
          </cell>
          <cell r="Z213">
            <v>19258.400000000001</v>
          </cell>
          <cell r="AA213">
            <v>345629.9621156872</v>
          </cell>
        </row>
        <row r="214">
          <cell r="B214" t="str">
            <v>5 -  RESULTADO BRUTO OPERACIONAL     (3 - 4)</v>
          </cell>
          <cell r="G214">
            <v>13936.417820384617</v>
          </cell>
          <cell r="H214">
            <v>16498.157681174634</v>
          </cell>
          <cell r="I214">
            <v>12313.394475294321</v>
          </cell>
          <cell r="J214">
            <v>108944.58782597829</v>
          </cell>
          <cell r="K214">
            <v>112328.59635071905</v>
          </cell>
          <cell r="L214">
            <v>115007.55198013721</v>
          </cell>
          <cell r="M214">
            <v>107041.55684887312</v>
          </cell>
          <cell r="N214">
            <v>111937.82550345043</v>
          </cell>
          <cell r="O214">
            <v>111708.44939696978</v>
          </cell>
          <cell r="P214">
            <v>111472.33502526939</v>
          </cell>
          <cell r="Q214">
            <v>104029.09618636078</v>
          </cell>
          <cell r="R214">
            <v>107178.97808549862</v>
          </cell>
          <cell r="S214">
            <v>110529.31449736966</v>
          </cell>
          <cell r="T214">
            <v>112254.75095106458</v>
          </cell>
          <cell r="U214">
            <v>111027.55598177257</v>
          </cell>
          <cell r="V214">
            <v>102684.1423595885</v>
          </cell>
          <cell r="W214">
            <v>98429.263620690501</v>
          </cell>
          <cell r="X214">
            <v>101051.17983356077</v>
          </cell>
          <cell r="Y214">
            <v>94588.15947974642</v>
          </cell>
          <cell r="Z214">
            <v>70272.790253555548</v>
          </cell>
          <cell r="AA214">
            <v>1833234.104157459</v>
          </cell>
        </row>
        <row r="215">
          <cell r="B215" t="str">
            <v>6 -  RESULTADO FINANCEIRO    (6.1)</v>
          </cell>
          <cell r="G215">
            <v>367</v>
          </cell>
          <cell r="H215">
            <v>482</v>
          </cell>
          <cell r="I215">
            <v>763</v>
          </cell>
          <cell r="J215">
            <v>1066</v>
          </cell>
          <cell r="K215">
            <v>1166</v>
          </cell>
          <cell r="L215">
            <v>1187</v>
          </cell>
          <cell r="M215">
            <v>1210</v>
          </cell>
          <cell r="N215">
            <v>1233</v>
          </cell>
          <cell r="O215">
            <v>1256</v>
          </cell>
          <cell r="P215">
            <v>1280</v>
          </cell>
          <cell r="Q215">
            <v>1301</v>
          </cell>
          <cell r="R215">
            <v>1321</v>
          </cell>
          <cell r="S215">
            <v>1343</v>
          </cell>
          <cell r="T215">
            <v>1364</v>
          </cell>
          <cell r="U215">
            <v>1386</v>
          </cell>
          <cell r="V215">
            <v>1409</v>
          </cell>
          <cell r="W215">
            <v>1432</v>
          </cell>
          <cell r="X215">
            <v>1455</v>
          </cell>
          <cell r="Y215">
            <v>1478</v>
          </cell>
          <cell r="Z215">
            <v>1502.0000000000002</v>
          </cell>
          <cell r="AA215">
            <v>24001</v>
          </cell>
        </row>
        <row r="216">
          <cell r="B216" t="str">
            <v>6.1 - Receitas    (Transp. Qd. 2B)</v>
          </cell>
          <cell r="G216">
            <v>367</v>
          </cell>
          <cell r="H216">
            <v>482</v>
          </cell>
          <cell r="I216">
            <v>763</v>
          </cell>
          <cell r="J216">
            <v>1066</v>
          </cell>
          <cell r="K216">
            <v>1166</v>
          </cell>
          <cell r="L216">
            <v>1187</v>
          </cell>
          <cell r="M216">
            <v>1210</v>
          </cell>
          <cell r="N216">
            <v>1233</v>
          </cell>
          <cell r="O216">
            <v>1256</v>
          </cell>
          <cell r="P216">
            <v>1280</v>
          </cell>
          <cell r="Q216">
            <v>1301</v>
          </cell>
          <cell r="R216">
            <v>1321</v>
          </cell>
          <cell r="S216">
            <v>1343</v>
          </cell>
          <cell r="T216">
            <v>1364</v>
          </cell>
          <cell r="U216">
            <v>1386</v>
          </cell>
          <cell r="V216">
            <v>1409</v>
          </cell>
          <cell r="W216">
            <v>1432</v>
          </cell>
          <cell r="X216">
            <v>1455</v>
          </cell>
          <cell r="Y216">
            <v>1478</v>
          </cell>
          <cell r="Z216">
            <v>1502.0000000000002</v>
          </cell>
          <cell r="AA216">
            <v>24001</v>
          </cell>
        </row>
        <row r="217">
          <cell r="B217" t="str">
            <v>7 -  RESULTADO OPERACIONAL    (5 + 6)</v>
          </cell>
          <cell r="G217">
            <v>14303.417820384617</v>
          </cell>
          <cell r="H217">
            <v>16980.157681174634</v>
          </cell>
          <cell r="I217">
            <v>13076.394475294321</v>
          </cell>
          <cell r="J217">
            <v>110010.58782597829</v>
          </cell>
          <cell r="K217">
            <v>113494.59635071905</v>
          </cell>
          <cell r="L217">
            <v>116194.55198013721</v>
          </cell>
          <cell r="M217">
            <v>108251.55684887312</v>
          </cell>
          <cell r="N217">
            <v>113170.82550345043</v>
          </cell>
          <cell r="O217">
            <v>112964.44939696978</v>
          </cell>
          <cell r="P217">
            <v>112752.33502526939</v>
          </cell>
          <cell r="Q217">
            <v>105330.09618636078</v>
          </cell>
          <cell r="R217">
            <v>108499.97808549862</v>
          </cell>
          <cell r="S217">
            <v>111872.31449736966</v>
          </cell>
          <cell r="T217">
            <v>113618.75095106458</v>
          </cell>
          <cell r="U217">
            <v>112413.55598177257</v>
          </cell>
          <cell r="V217">
            <v>104093.1423595885</v>
          </cell>
          <cell r="W217">
            <v>99861.263620690501</v>
          </cell>
          <cell r="X217">
            <v>102506.17983356077</v>
          </cell>
          <cell r="Y217">
            <v>96066.15947974642</v>
          </cell>
          <cell r="Z217">
            <v>71774.790253555548</v>
          </cell>
          <cell r="AA217">
            <v>1857235.104157459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14303.417820384617</v>
          </cell>
          <cell r="H219">
            <v>16980.157681174634</v>
          </cell>
          <cell r="I219">
            <v>13076.394475294321</v>
          </cell>
          <cell r="J219">
            <v>110010.58782597829</v>
          </cell>
          <cell r="K219">
            <v>113494.59635071905</v>
          </cell>
          <cell r="L219">
            <v>116194.55198013721</v>
          </cell>
          <cell r="M219">
            <v>108251.55684887312</v>
          </cell>
          <cell r="N219">
            <v>113170.82550345043</v>
          </cell>
          <cell r="O219">
            <v>112964.44939696978</v>
          </cell>
          <cell r="P219">
            <v>112752.33502526939</v>
          </cell>
          <cell r="Q219">
            <v>105330.09618636078</v>
          </cell>
          <cell r="R219">
            <v>108499.97808549862</v>
          </cell>
          <cell r="S219">
            <v>111872.31449736966</v>
          </cell>
          <cell r="T219">
            <v>113618.75095106458</v>
          </cell>
          <cell r="U219">
            <v>112413.55598177257</v>
          </cell>
          <cell r="V219">
            <v>104093.1423595885</v>
          </cell>
          <cell r="W219">
            <v>99861.263620690501</v>
          </cell>
          <cell r="X219">
            <v>102506.17983356077</v>
          </cell>
          <cell r="Y219">
            <v>96066.15947974642</v>
          </cell>
          <cell r="Z219">
            <v>71774.790253555548</v>
          </cell>
          <cell r="AA219">
            <v>1857235.104157459</v>
          </cell>
        </row>
        <row r="220">
          <cell r="B220" t="str">
            <v>10- CONTRIBUIÇÃO SOCIAL (Legislação vigente)</v>
          </cell>
          <cell r="G220">
            <v>1145.0414256307693</v>
          </cell>
          <cell r="H220">
            <v>1358.4126144939717</v>
          </cell>
          <cell r="I220">
            <v>1046.1115580235455</v>
          </cell>
          <cell r="J220">
            <v>8800.8470260782669</v>
          </cell>
          <cell r="K220">
            <v>9079.5677080575279</v>
          </cell>
          <cell r="L220">
            <v>9295.5641584109708</v>
          </cell>
          <cell r="M220">
            <v>8660.1245479098488</v>
          </cell>
          <cell r="N220">
            <v>9053.6660402760353</v>
          </cell>
          <cell r="O220">
            <v>9037.1559517575788</v>
          </cell>
          <cell r="P220">
            <v>9020.1868020215516</v>
          </cell>
          <cell r="Q220">
            <v>8426.4076949088612</v>
          </cell>
          <cell r="R220">
            <v>8679.9982468398866</v>
          </cell>
          <cell r="S220">
            <v>8949.7851597895751</v>
          </cell>
          <cell r="T220">
            <v>9089.500076085169</v>
          </cell>
          <cell r="U220">
            <v>8993.084478541803</v>
          </cell>
          <cell r="V220">
            <v>8327.4513887670819</v>
          </cell>
          <cell r="W220">
            <v>7988.9010896552427</v>
          </cell>
          <cell r="X220">
            <v>8200.4943866848607</v>
          </cell>
          <cell r="Y220">
            <v>7685.29275837971</v>
          </cell>
          <cell r="Z220">
            <v>5741.9832202844409</v>
          </cell>
          <cell r="AA220">
            <v>148579.57633259665</v>
          </cell>
        </row>
        <row r="221">
          <cell r="B221" t="str">
            <v>11- RESULTADO ANTES IMPOSTO DE RENDA    (9 - 10)</v>
          </cell>
          <cell r="G221">
            <v>13158.376394753848</v>
          </cell>
          <cell r="H221">
            <v>15621.745066680664</v>
          </cell>
          <cell r="I221">
            <v>12030.282917270775</v>
          </cell>
          <cell r="J221">
            <v>101209.74079990003</v>
          </cell>
          <cell r="K221">
            <v>104415.02864266152</v>
          </cell>
          <cell r="L221">
            <v>106898.98782172624</v>
          </cell>
          <cell r="M221">
            <v>99591.432300963279</v>
          </cell>
          <cell r="N221">
            <v>104117.15946317439</v>
          </cell>
          <cell r="O221">
            <v>103927.2934452122</v>
          </cell>
          <cell r="P221">
            <v>103732.14822324784</v>
          </cell>
          <cell r="Q221">
            <v>96903.688491451918</v>
          </cell>
          <cell r="R221">
            <v>99819.979838658735</v>
          </cell>
          <cell r="S221">
            <v>102922.52933758008</v>
          </cell>
          <cell r="T221">
            <v>104529.25087497941</v>
          </cell>
          <cell r="U221">
            <v>103420.47150323077</v>
          </cell>
          <cell r="V221">
            <v>95765.690970821423</v>
          </cell>
          <cell r="W221">
            <v>91872.362531035265</v>
          </cell>
          <cell r="X221">
            <v>94305.685446875912</v>
          </cell>
          <cell r="Y221">
            <v>88380.866721366707</v>
          </cell>
          <cell r="Z221">
            <v>66032.807033271107</v>
          </cell>
          <cell r="AA221">
            <v>1708655.5278248624</v>
          </cell>
        </row>
        <row r="222">
          <cell r="B222" t="str">
            <v>12- IMPOSTO DE RENDA (Legislação vigente)</v>
          </cell>
          <cell r="G222">
            <v>3554.2544550961538</v>
          </cell>
          <cell r="H222">
            <v>4221.0394202936623</v>
          </cell>
          <cell r="I222">
            <v>3245.0986188235784</v>
          </cell>
          <cell r="J222">
            <v>27478.646956494576</v>
          </cell>
          <cell r="K222">
            <v>28349.649087679762</v>
          </cell>
          <cell r="L222">
            <v>29024.637995034296</v>
          </cell>
          <cell r="M222">
            <v>27038.889212218266</v>
          </cell>
          <cell r="N222">
            <v>28268.70637586261</v>
          </cell>
          <cell r="O222">
            <v>28217.11234924243</v>
          </cell>
          <cell r="P222">
            <v>28164.083756317348</v>
          </cell>
          <cell r="Q222">
            <v>26308.524046590195</v>
          </cell>
          <cell r="R222">
            <v>27100.994521374651</v>
          </cell>
          <cell r="S222">
            <v>27944.078624342415</v>
          </cell>
          <cell r="T222">
            <v>28380.687737766144</v>
          </cell>
          <cell r="U222">
            <v>28079.388995443136</v>
          </cell>
          <cell r="V222">
            <v>25999.285589897114</v>
          </cell>
          <cell r="W222">
            <v>24941.315905172632</v>
          </cell>
          <cell r="X222">
            <v>25602.544958390183</v>
          </cell>
          <cell r="Y222">
            <v>23992.539869936598</v>
          </cell>
          <cell r="Z222">
            <v>17919.697563388876</v>
          </cell>
          <cell r="AA222">
            <v>463831.1760393646</v>
          </cell>
        </row>
        <row r="223">
          <cell r="B223" t="str">
            <v>13- RESULTADO DE EXERCÍCIO    (11 - 12)</v>
          </cell>
          <cell r="G223">
            <v>9604.1219396576944</v>
          </cell>
          <cell r="H223">
            <v>11400.705646387001</v>
          </cell>
          <cell r="I223">
            <v>8785.1842984471969</v>
          </cell>
          <cell r="J223">
            <v>73731.093843405455</v>
          </cell>
          <cell r="K223">
            <v>76065.379554981759</v>
          </cell>
          <cell r="L223">
            <v>77874.349826691949</v>
          </cell>
          <cell r="M223">
            <v>72552.543088745006</v>
          </cell>
          <cell r="N223">
            <v>75848.453087311791</v>
          </cell>
          <cell r="O223">
            <v>75710.181095969776</v>
          </cell>
          <cell r="P223">
            <v>75568.064466930489</v>
          </cell>
          <cell r="Q223">
            <v>70595.16444486173</v>
          </cell>
          <cell r="R223">
            <v>72718.985317284081</v>
          </cell>
          <cell r="S223">
            <v>74978.45071323766</v>
          </cell>
          <cell r="T223">
            <v>76148.563137213263</v>
          </cell>
          <cell r="U223">
            <v>75341.082507787636</v>
          </cell>
          <cell r="V223">
            <v>69766.405380924305</v>
          </cell>
          <cell r="W223">
            <v>66931.046625862626</v>
          </cell>
          <cell r="X223">
            <v>68703.140488485733</v>
          </cell>
          <cell r="Y223">
            <v>64388.326851430109</v>
          </cell>
          <cell r="Z223">
            <v>48113.109469882227</v>
          </cell>
          <cell r="AA223">
            <v>1244824.3517854977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281870.43451357714</v>
          </cell>
          <cell r="H229">
            <v>286574.27087079739</v>
          </cell>
          <cell r="I229">
            <v>291357.04521706002</v>
          </cell>
          <cell r="J229">
            <v>296220.09080758004</v>
          </cell>
          <cell r="K229">
            <v>301164.76358093088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1457186.6049899457</v>
          </cell>
        </row>
        <row r="230">
          <cell r="B230" t="str">
            <v>1.1 - Operacionais    (1.1.1 + 1.1.2)</v>
          </cell>
          <cell r="G230">
            <v>281870.43451357714</v>
          </cell>
          <cell r="H230">
            <v>286574.27087079739</v>
          </cell>
          <cell r="I230">
            <v>291357.04521706002</v>
          </cell>
          <cell r="J230">
            <v>296220.09080758004</v>
          </cell>
          <cell r="K230">
            <v>301164.76358093088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1457186.6049899457</v>
          </cell>
        </row>
        <row r="231">
          <cell r="B231" t="str">
            <v>1.1.1 - Receitas de  Pedágios    (Transp. Qd.2.1.1.2)</v>
          </cell>
          <cell r="G231">
            <v>274390.77790658275</v>
          </cell>
          <cell r="H231">
            <v>278969.79421749973</v>
          </cell>
          <cell r="I231">
            <v>283625.65383501293</v>
          </cell>
          <cell r="J231">
            <v>288359.6546353476</v>
          </cell>
          <cell r="K231">
            <v>293173.11657616671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1418518.9971706099</v>
          </cell>
        </row>
        <row r="232">
          <cell r="B232" t="str">
            <v>1.1.2 - Outras Receitas Operacionais    (calculado 2.1.2.)</v>
          </cell>
          <cell r="G232">
            <v>7479.656606994391</v>
          </cell>
          <cell r="H232">
            <v>7604.4766532976446</v>
          </cell>
          <cell r="I232">
            <v>7731.391382047118</v>
          </cell>
          <cell r="J232">
            <v>7860.436172232432</v>
          </cell>
          <cell r="K232">
            <v>7991.6470047642051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38667.60781933579</v>
          </cell>
        </row>
        <row r="233">
          <cell r="B233" t="str">
            <v>2 -  DEDUÇÕES DA RECEITA    (2.1)</v>
          </cell>
          <cell r="G233">
            <v>25452.900236576013</v>
          </cell>
          <cell r="H233">
            <v>25877.656659633005</v>
          </cell>
          <cell r="I233">
            <v>26309.541183100519</v>
          </cell>
          <cell r="J233">
            <v>26748.67419992448</v>
          </cell>
          <cell r="K233">
            <v>27195.178151358057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131583.95043059206</v>
          </cell>
        </row>
        <row r="234">
          <cell r="B234" t="str">
            <v>2.1 - Tributos sobre Faturamento    (2.1.1+ .... + 2.1.4)</v>
          </cell>
          <cell r="G234">
            <v>25452.900236576013</v>
          </cell>
          <cell r="H234">
            <v>25877.656659633005</v>
          </cell>
          <cell r="I234">
            <v>26309.541183100519</v>
          </cell>
          <cell r="J234">
            <v>26748.67419992448</v>
          </cell>
          <cell r="K234">
            <v>27195.178151358057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131583.95043059206</v>
          </cell>
        </row>
        <row r="235">
          <cell r="B235" t="str">
            <v>2.1.1 - I.S.S    (transp. Qd  1.3.)</v>
          </cell>
          <cell r="G235">
            <v>14093.521725678858</v>
          </cell>
          <cell r="H235">
            <v>14328.71354353987</v>
          </cell>
          <cell r="I235">
            <v>14567.852260853002</v>
          </cell>
          <cell r="J235">
            <v>14811.004540379003</v>
          </cell>
          <cell r="K235">
            <v>15058.238179046544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72859.330249497274</v>
          </cell>
        </row>
        <row r="236">
          <cell r="B236" t="str">
            <v>2.1.2 - Cofins    (transp. Qd 1.3.)</v>
          </cell>
          <cell r="G236">
            <v>8456.1130354073139</v>
          </cell>
          <cell r="H236">
            <v>8597.2281261239223</v>
          </cell>
          <cell r="I236">
            <v>8740.7113565117997</v>
          </cell>
          <cell r="J236">
            <v>8886.6027242274013</v>
          </cell>
          <cell r="K236">
            <v>9034.9429074279269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43715.598149698359</v>
          </cell>
        </row>
        <row r="237">
          <cell r="B237" t="str">
            <v>2.1.3 - Pis / Pasep    (transp. Qd 1.3.)</v>
          </cell>
          <cell r="G237">
            <v>1832.1578243382514</v>
          </cell>
          <cell r="H237">
            <v>1862.732760660183</v>
          </cell>
          <cell r="I237">
            <v>1893.82079391089</v>
          </cell>
          <cell r="J237">
            <v>1925.4305902492702</v>
          </cell>
          <cell r="K237">
            <v>1957.5709632760506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9471.7129324346442</v>
          </cell>
        </row>
        <row r="238">
          <cell r="B238" t="str">
            <v>2.1.4 - CPMF    (transp Qd 1.3.)</v>
          </cell>
          <cell r="G238">
            <v>1071.1076511515932</v>
          </cell>
          <cell r="H238">
            <v>1088.9822293090301</v>
          </cell>
          <cell r="I238">
            <v>1107.156771824828</v>
          </cell>
          <cell r="J238">
            <v>1125.6363450688041</v>
          </cell>
          <cell r="K238">
            <v>1144.4261016075372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5537.3090989617922</v>
          </cell>
        </row>
        <row r="239">
          <cell r="B239" t="str">
            <v>3 -  RECEITA LIQUIDA    (1 - 2)</v>
          </cell>
          <cell r="G239">
            <v>256417.53427700113</v>
          </cell>
          <cell r="H239">
            <v>260696.61421116439</v>
          </cell>
          <cell r="I239">
            <v>265047.50403395947</v>
          </cell>
          <cell r="J239">
            <v>269471.41660765558</v>
          </cell>
          <cell r="K239">
            <v>273969.58542957285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1325602.6545593536</v>
          </cell>
        </row>
        <row r="240">
          <cell r="B240" t="str">
            <v>4 -  DESPESAS    (4.1)</v>
          </cell>
          <cell r="G240">
            <v>59182.074165761383</v>
          </cell>
          <cell r="H240">
            <v>59324.600407385165</v>
          </cell>
          <cell r="I240">
            <v>59469.518470076917</v>
          </cell>
          <cell r="J240">
            <v>59616.868751469672</v>
          </cell>
          <cell r="K240">
            <v>59766.692336502201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297359.75413119537</v>
          </cell>
        </row>
        <row r="241">
          <cell r="B241" t="str">
            <v>4.1 - Operacionais    (4.1.1+ .... + 4.1.10)</v>
          </cell>
          <cell r="G241">
            <v>59182.074165761383</v>
          </cell>
          <cell r="H241">
            <v>59324.600407385165</v>
          </cell>
          <cell r="I241">
            <v>59469.518470076917</v>
          </cell>
          <cell r="J241">
            <v>59616.868751469672</v>
          </cell>
          <cell r="K241">
            <v>59766.692336502201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297359.75413119537</v>
          </cell>
        </row>
        <row r="242">
          <cell r="B242" t="str">
            <v>4.1.1  -  Pessoal e Administradores    (Transp. Qd. 1.3.)</v>
          </cell>
          <cell r="G242">
            <v>34047</v>
          </cell>
          <cell r="H242">
            <v>34047</v>
          </cell>
          <cell r="I242">
            <v>34047</v>
          </cell>
          <cell r="J242">
            <v>34047</v>
          </cell>
          <cell r="K242">
            <v>34047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170235</v>
          </cell>
        </row>
        <row r="243">
          <cell r="B243" t="str">
            <v>4.1.2  -  Conservação de Rotina    (Transp. Qd. 1.3.)</v>
          </cell>
          <cell r="G243">
            <v>6997</v>
          </cell>
          <cell r="H243">
            <v>6997</v>
          </cell>
          <cell r="I243">
            <v>6997</v>
          </cell>
          <cell r="J243">
            <v>6997</v>
          </cell>
          <cell r="K243">
            <v>6997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34985</v>
          </cell>
        </row>
        <row r="244">
          <cell r="B244" t="str">
            <v>4.1.3  -  Consumo    (Transp. Qd. 1.3.)</v>
          </cell>
          <cell r="G244">
            <v>1135</v>
          </cell>
          <cell r="H244">
            <v>1135</v>
          </cell>
          <cell r="I244">
            <v>1135</v>
          </cell>
          <cell r="J244">
            <v>1135</v>
          </cell>
          <cell r="K244">
            <v>1135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5675</v>
          </cell>
        </row>
        <row r="245">
          <cell r="B245" t="str">
            <v>4.1.4  -  Transportes    (Transp. Qd. 1.3.)</v>
          </cell>
          <cell r="G245">
            <v>5306</v>
          </cell>
          <cell r="H245">
            <v>5306</v>
          </cell>
          <cell r="I245">
            <v>5306</v>
          </cell>
          <cell r="J245">
            <v>5306</v>
          </cell>
          <cell r="K245">
            <v>5306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26530</v>
          </cell>
        </row>
        <row r="246">
          <cell r="B246" t="str">
            <v>4.1.5  -  Diversas    (Transp. Qd. 1.3.)</v>
          </cell>
          <cell r="G246">
            <v>1745</v>
          </cell>
          <cell r="H246">
            <v>1745</v>
          </cell>
          <cell r="I246">
            <v>1745</v>
          </cell>
          <cell r="J246">
            <v>1745</v>
          </cell>
          <cell r="K246">
            <v>1745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8725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910</v>
          </cell>
          <cell r="H248">
            <v>910</v>
          </cell>
          <cell r="I248">
            <v>910</v>
          </cell>
          <cell r="J248">
            <v>910</v>
          </cell>
          <cell r="K248">
            <v>910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4550</v>
          </cell>
        </row>
        <row r="249">
          <cell r="B249" t="str">
            <v xml:space="preserve">4.1.8  -  Garantias  (transp. Qd 1.3.)  </v>
          </cell>
          <cell r="G249">
            <v>585.96113035407313</v>
          </cell>
          <cell r="H249">
            <v>587.37228126123932</v>
          </cell>
          <cell r="I249">
            <v>588.80711356511802</v>
          </cell>
          <cell r="J249">
            <v>590.26602724227405</v>
          </cell>
          <cell r="K249">
            <v>591.74942907427931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2944.1559814969837</v>
          </cell>
        </row>
        <row r="250">
          <cell r="B250" t="str">
            <v xml:space="preserve">4.1.9  -  Parc.Variável da Concessão   </v>
          </cell>
          <cell r="G250">
            <v>8456.1130354073139</v>
          </cell>
          <cell r="H250">
            <v>8597.2281261239223</v>
          </cell>
          <cell r="I250">
            <v>8740.7113565117997</v>
          </cell>
          <cell r="J250">
            <v>8886.6027242274013</v>
          </cell>
          <cell r="K250">
            <v>9034.9429074279269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43715.598149698359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197235.46011123975</v>
          </cell>
          <cell r="H252">
            <v>201372.01380377921</v>
          </cell>
          <cell r="I252">
            <v>205577.98556388257</v>
          </cell>
          <cell r="J252">
            <v>209854.54785618591</v>
          </cell>
          <cell r="K252">
            <v>214202.89309307066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1028242.9004281582</v>
          </cell>
        </row>
        <row r="253">
          <cell r="B253" t="str">
            <v>6 -  RESULTADO FINANCEIRO    (6.1)</v>
          </cell>
          <cell r="G253">
            <v>1371.8945199298544</v>
          </cell>
          <cell r="H253">
            <v>1394.7886107281797</v>
          </cell>
          <cell r="I253">
            <v>1418.0669014329922</v>
          </cell>
          <cell r="J253">
            <v>1441.7358811445981</v>
          </cell>
          <cell r="K253">
            <v>1465.8021493657147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7092.2880626013393</v>
          </cell>
        </row>
        <row r="254">
          <cell r="B254" t="str">
            <v>6.1 - Receitas    (Transp. Qd. 2B)</v>
          </cell>
          <cell r="G254">
            <v>1371.8945199298544</v>
          </cell>
          <cell r="H254">
            <v>1394.7886107281797</v>
          </cell>
          <cell r="I254">
            <v>1418.0669014329922</v>
          </cell>
          <cell r="J254">
            <v>1441.7358811445981</v>
          </cell>
          <cell r="K254">
            <v>1465.8021493657147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7092.2880626013393</v>
          </cell>
        </row>
        <row r="255">
          <cell r="B255" t="str">
            <v>7 -  RESULTADO OPERACIONAL    (5 + 6)</v>
          </cell>
          <cell r="G255">
            <v>198607.35463116961</v>
          </cell>
          <cell r="H255">
            <v>202766.80241450737</v>
          </cell>
          <cell r="I255">
            <v>206996.05246531556</v>
          </cell>
          <cell r="J255">
            <v>211296.28373733049</v>
          </cell>
          <cell r="K255">
            <v>215668.69524243637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1035335.1884907596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198607.35463116961</v>
          </cell>
          <cell r="H257">
            <v>202766.80241450737</v>
          </cell>
          <cell r="I257">
            <v>206996.05246531556</v>
          </cell>
          <cell r="J257">
            <v>211296.28373733049</v>
          </cell>
          <cell r="K257">
            <v>215668.69524243637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1035335.1884907596</v>
          </cell>
        </row>
        <row r="258">
          <cell r="B258" t="str">
            <v>10- CONTRIBUIÇÃO SOCIAL (Legislação vigente)</v>
          </cell>
          <cell r="G258">
            <v>15888.58837049357</v>
          </cell>
          <cell r="H258">
            <v>16221.34419316059</v>
          </cell>
          <cell r="I258">
            <v>16559.684197225244</v>
          </cell>
          <cell r="J258">
            <v>16903.702698986439</v>
          </cell>
          <cell r="K258">
            <v>17253.495619394911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82826.815079260763</v>
          </cell>
        </row>
        <row r="259">
          <cell r="B259" t="str">
            <v>11- RESULTADO ANTES IMPOSTO DE RENDA    (9 - 10)</v>
          </cell>
          <cell r="G259">
            <v>182718.76626067603</v>
          </cell>
          <cell r="H259">
            <v>186545.45822134678</v>
          </cell>
          <cell r="I259">
            <v>190436.3682680903</v>
          </cell>
          <cell r="J259">
            <v>194392.58103834407</v>
          </cell>
          <cell r="K259">
            <v>198415.19962304147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952508.37341149885</v>
          </cell>
        </row>
        <row r="260">
          <cell r="B260" t="str">
            <v>12- IMPOSTO DE RENDA (Legislação vigente)</v>
          </cell>
          <cell r="G260">
            <v>49627.838657792403</v>
          </cell>
          <cell r="H260">
            <v>50667.700603626843</v>
          </cell>
          <cell r="I260">
            <v>51725.01311632889</v>
          </cell>
          <cell r="J260">
            <v>52800.070934332623</v>
          </cell>
          <cell r="K260">
            <v>53893.173810609092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258713.79712268984</v>
          </cell>
        </row>
        <row r="261">
          <cell r="B261" t="str">
            <v>13- RESULTADO DE EXERCÍCIO    (11 - 12)</v>
          </cell>
          <cell r="G261">
            <v>133090.92760288363</v>
          </cell>
          <cell r="H261">
            <v>135877.75761771994</v>
          </cell>
          <cell r="I261">
            <v>138711.35515176141</v>
          </cell>
          <cell r="J261">
            <v>141592.51010401145</v>
          </cell>
          <cell r="K261">
            <v>144522.02581243237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693794.57628880907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74719</v>
          </cell>
          <cell r="H267">
            <v>100029</v>
          </cell>
          <cell r="I267">
            <v>107400</v>
          </cell>
          <cell r="J267">
            <v>222064</v>
          </cell>
          <cell r="K267">
            <v>230667.11239999998</v>
          </cell>
          <cell r="L267">
            <v>236017.83349270842</v>
          </cell>
          <cell r="M267">
            <v>231726.41174760429</v>
          </cell>
          <cell r="N267">
            <v>234773.70425958713</v>
          </cell>
          <cell r="O267">
            <v>238285.27272684977</v>
          </cell>
          <cell r="P267">
            <v>241956.75116454266</v>
          </cell>
          <cell r="Q267">
            <v>245123.58230852691</v>
          </cell>
          <cell r="R267">
            <v>248683.97268178276</v>
          </cell>
          <cell r="S267">
            <v>252301.19439623621</v>
          </cell>
          <cell r="T267">
            <v>255967.73247612332</v>
          </cell>
          <cell r="U267">
            <v>259687.02239440699</v>
          </cell>
          <cell r="V267">
            <v>263458.5832422392</v>
          </cell>
          <cell r="W267">
            <v>270401.46703550639</v>
          </cell>
          <cell r="X267">
            <v>278782.56110807159</v>
          </cell>
          <cell r="Y267">
            <v>282853.84794131375</v>
          </cell>
          <cell r="Z267">
            <v>286986.52337955317</v>
          </cell>
          <cell r="AA267">
            <v>4561885.5727550527</v>
          </cell>
        </row>
        <row r="268">
          <cell r="B268" t="str">
            <v>1.1.  RECEITAS     (1.1.1.+ ... + 1.1.4)</v>
          </cell>
          <cell r="G268">
            <v>74719</v>
          </cell>
          <cell r="H268">
            <v>100029</v>
          </cell>
          <cell r="I268">
            <v>107400</v>
          </cell>
          <cell r="J268">
            <v>222064</v>
          </cell>
          <cell r="K268">
            <v>230667.11239999998</v>
          </cell>
          <cell r="L268">
            <v>236017.83349270842</v>
          </cell>
          <cell r="M268">
            <v>231726.41174760429</v>
          </cell>
          <cell r="N268">
            <v>234773.70425958713</v>
          </cell>
          <cell r="O268">
            <v>238285.27272684977</v>
          </cell>
          <cell r="P268">
            <v>241956.75116454266</v>
          </cell>
          <cell r="Q268">
            <v>245123.58230852691</v>
          </cell>
          <cell r="R268">
            <v>248683.97268178276</v>
          </cell>
          <cell r="S268">
            <v>252301.19439623621</v>
          </cell>
          <cell r="T268">
            <v>255967.73247612332</v>
          </cell>
          <cell r="U268">
            <v>259687.02239440699</v>
          </cell>
          <cell r="V268">
            <v>263458.5832422392</v>
          </cell>
          <cell r="W268">
            <v>270401.46703550639</v>
          </cell>
          <cell r="X268">
            <v>278782.56110807159</v>
          </cell>
          <cell r="Y268">
            <v>282853.84794131375</v>
          </cell>
          <cell r="Z268">
            <v>286986.52337955317</v>
          </cell>
          <cell r="AA268">
            <v>4561885.5727550527</v>
          </cell>
        </row>
        <row r="269">
          <cell r="B269" t="str">
            <v>1.1.1   Receitas de Pedágio</v>
          </cell>
          <cell r="G269">
            <v>73430</v>
          </cell>
          <cell r="H269">
            <v>96402</v>
          </cell>
          <cell r="I269">
            <v>98799</v>
          </cell>
          <cell r="J269">
            <v>213157</v>
          </cell>
          <cell r="K269">
            <v>221357.11239999998</v>
          </cell>
          <cell r="L269">
            <v>226683.83349270842</v>
          </cell>
          <cell r="M269">
            <v>222366.41174760429</v>
          </cell>
          <cell r="N269">
            <v>225387.70425958713</v>
          </cell>
          <cell r="O269">
            <v>228873.27272684977</v>
          </cell>
          <cell r="P269">
            <v>232517.75116454266</v>
          </cell>
          <cell r="Q269">
            <v>235660.58230852691</v>
          </cell>
          <cell r="R269">
            <v>239197.97268178276</v>
          </cell>
          <cell r="S269">
            <v>242790.19439623621</v>
          </cell>
          <cell r="T269">
            <v>246432.73247612332</v>
          </cell>
          <cell r="U269">
            <v>250127.02239440699</v>
          </cell>
          <cell r="V269">
            <v>253872.58324223923</v>
          </cell>
          <cell r="W269">
            <v>260789.46703550639</v>
          </cell>
          <cell r="X269">
            <v>269144.56110807159</v>
          </cell>
          <cell r="Y269">
            <v>273189.84794131375</v>
          </cell>
          <cell r="Z269">
            <v>277295.52337955317</v>
          </cell>
          <cell r="AA269">
            <v>4387474.5727550527</v>
          </cell>
        </row>
        <row r="270">
          <cell r="B270" t="str">
            <v>1.1.2   Outras Receitas Operacionais</v>
          </cell>
          <cell r="G270">
            <v>922</v>
          </cell>
          <cell r="H270">
            <v>3145</v>
          </cell>
          <cell r="I270">
            <v>7838</v>
          </cell>
          <cell r="J270">
            <v>7841</v>
          </cell>
          <cell r="K270">
            <v>8144</v>
          </cell>
          <cell r="L270">
            <v>8147.0000000000009</v>
          </cell>
          <cell r="M270">
            <v>8150</v>
          </cell>
          <cell r="N270">
            <v>8153</v>
          </cell>
          <cell r="O270">
            <v>8156</v>
          </cell>
          <cell r="P270">
            <v>8159</v>
          </cell>
          <cell r="Q270">
            <v>8162</v>
          </cell>
          <cell r="R270">
            <v>8165</v>
          </cell>
          <cell r="S270">
            <v>8168</v>
          </cell>
          <cell r="T270">
            <v>8170.9999999999991</v>
          </cell>
          <cell r="U270">
            <v>8174</v>
          </cell>
          <cell r="V270">
            <v>8177</v>
          </cell>
          <cell r="W270">
            <v>8180</v>
          </cell>
          <cell r="X270">
            <v>8183</v>
          </cell>
          <cell r="Y270">
            <v>8186.0000000000009</v>
          </cell>
          <cell r="Z270">
            <v>8189</v>
          </cell>
          <cell r="AA270">
            <v>150410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367</v>
          </cell>
          <cell r="H272">
            <v>482</v>
          </cell>
          <cell r="I272">
            <v>763</v>
          </cell>
          <cell r="J272">
            <v>1066</v>
          </cell>
          <cell r="K272">
            <v>1166</v>
          </cell>
          <cell r="L272">
            <v>1187</v>
          </cell>
          <cell r="M272">
            <v>1210</v>
          </cell>
          <cell r="N272">
            <v>1233</v>
          </cell>
          <cell r="O272">
            <v>1256</v>
          </cell>
          <cell r="P272">
            <v>1280</v>
          </cell>
          <cell r="Q272">
            <v>1301</v>
          </cell>
          <cell r="R272">
            <v>1321</v>
          </cell>
          <cell r="S272">
            <v>1343</v>
          </cell>
          <cell r="T272">
            <v>1364</v>
          </cell>
          <cell r="U272">
            <v>1386</v>
          </cell>
          <cell r="V272">
            <v>1409</v>
          </cell>
          <cell r="W272">
            <v>1432</v>
          </cell>
          <cell r="X272">
            <v>1455</v>
          </cell>
          <cell r="Y272">
            <v>1478</v>
          </cell>
          <cell r="Z272">
            <v>1502.0000000000002</v>
          </cell>
          <cell r="AA272">
            <v>24001</v>
          </cell>
        </row>
        <row r="273">
          <cell r="B273" t="str">
            <v>2.  DESEMBOLSOS     (2.1.+ ... + 2.4)</v>
          </cell>
          <cell r="G273">
            <v>148826.92388072691</v>
          </cell>
          <cell r="H273">
            <v>220374.23753478762</v>
          </cell>
          <cell r="I273">
            <v>229030.86067684711</v>
          </cell>
          <cell r="J273">
            <v>231783.11098257283</v>
          </cell>
          <cell r="K273">
            <v>149960.5918943373</v>
          </cell>
          <cell r="L273">
            <v>152611.87394570222</v>
          </cell>
          <cell r="M273">
            <v>141811.6823764795</v>
          </cell>
          <cell r="N273">
            <v>144688.10323180893</v>
          </cell>
          <cell r="O273">
            <v>191144.8028870275</v>
          </cell>
          <cell r="P273">
            <v>168771.24638235764</v>
          </cell>
          <cell r="Q273">
            <v>132985.26496600069</v>
          </cell>
          <cell r="R273">
            <v>132014.80908564222</v>
          </cell>
          <cell r="S273">
            <v>153006.16343129351</v>
          </cell>
          <cell r="T273">
            <v>142137.14264731971</v>
          </cell>
          <cell r="U273">
            <v>181275.39258293336</v>
          </cell>
          <cell r="V273">
            <v>198314.99342638504</v>
          </cell>
          <cell r="W273">
            <v>157208.37990446435</v>
          </cell>
          <cell r="X273">
            <v>142137.98021416541</v>
          </cell>
          <cell r="Y273">
            <v>155864.99891347936</v>
          </cell>
          <cell r="Z273">
            <v>143105.24775739125</v>
          </cell>
          <cell r="AA273">
            <v>3317053.8067217227</v>
          </cell>
        </row>
        <row r="274">
          <cell r="B274" t="str">
            <v>2.1.  OPERACIONAIS     (2.1.1.+ ... + 2.1.8)</v>
          </cell>
          <cell r="G274">
            <v>36270.368000000002</v>
          </cell>
          <cell r="H274">
            <v>51409.9355</v>
          </cell>
          <cell r="I274">
            <v>54750.620499999997</v>
          </cell>
          <cell r="J274">
            <v>61839.406999999999</v>
          </cell>
          <cell r="K274">
            <v>62209.801726600002</v>
          </cell>
          <cell r="L274">
            <v>62575.396787475693</v>
          </cell>
          <cell r="M274">
            <v>70673.083929921762</v>
          </cell>
          <cell r="N274">
            <v>71328.150918454281</v>
          </cell>
          <cell r="O274">
            <v>72121.792090872506</v>
          </cell>
          <cell r="P274">
            <v>72392.178975732939</v>
          </cell>
          <cell r="Q274">
            <v>72639.173369687574</v>
          </cell>
          <cell r="R274">
            <v>72894.297136974201</v>
          </cell>
          <cell r="S274">
            <v>73188.163815274427</v>
          </cell>
          <cell r="T274">
            <v>73466.382859184669</v>
          </cell>
          <cell r="U274">
            <v>73757.078437116201</v>
          </cell>
          <cell r="V274">
            <v>74038.2089504537</v>
          </cell>
          <cell r="W274">
            <v>74615.658898571302</v>
          </cell>
          <cell r="X274">
            <v>75323.514035848202</v>
          </cell>
          <cell r="Y274">
            <v>75648.570846923642</v>
          </cell>
          <cell r="Z274">
            <v>75973.851272331347</v>
          </cell>
          <cell r="AA274">
            <v>1357115.6350514225</v>
          </cell>
        </row>
        <row r="275">
          <cell r="B275" t="str">
            <v xml:space="preserve">2.1.1.  Pessoal / Administradores   </v>
          </cell>
          <cell r="G275">
            <v>20034</v>
          </cell>
          <cell r="H275">
            <v>27971</v>
          </cell>
          <cell r="I275">
            <v>31249</v>
          </cell>
          <cell r="J275">
            <v>34297</v>
          </cell>
          <cell r="K275">
            <v>34048</v>
          </cell>
          <cell r="L275">
            <v>34047</v>
          </cell>
          <cell r="M275">
            <v>34048</v>
          </cell>
          <cell r="N275">
            <v>34047</v>
          </cell>
          <cell r="O275">
            <v>34048</v>
          </cell>
          <cell r="P275">
            <v>34047</v>
          </cell>
          <cell r="Q275">
            <v>34048</v>
          </cell>
          <cell r="R275">
            <v>34047</v>
          </cell>
          <cell r="S275">
            <v>34048</v>
          </cell>
          <cell r="T275">
            <v>34047</v>
          </cell>
          <cell r="U275">
            <v>34048</v>
          </cell>
          <cell r="V275">
            <v>34047</v>
          </cell>
          <cell r="W275">
            <v>34047</v>
          </cell>
          <cell r="X275">
            <v>34047</v>
          </cell>
          <cell r="Y275">
            <v>34047</v>
          </cell>
          <cell r="Z275">
            <v>34047</v>
          </cell>
          <cell r="AA275">
            <v>658309</v>
          </cell>
        </row>
        <row r="276">
          <cell r="B276" t="str">
            <v xml:space="preserve">2.1.2.  Conservação de Rotina  </v>
          </cell>
          <cell r="G276">
            <v>2691</v>
          </cell>
          <cell r="H276">
            <v>5382</v>
          </cell>
          <cell r="I276">
            <v>5457</v>
          </cell>
          <cell r="J276">
            <v>5560</v>
          </cell>
          <cell r="K276">
            <v>6466</v>
          </cell>
          <cell r="L276">
            <v>6466</v>
          </cell>
          <cell r="M276">
            <v>6466</v>
          </cell>
          <cell r="N276">
            <v>6466</v>
          </cell>
          <cell r="O276">
            <v>6997</v>
          </cell>
          <cell r="P276">
            <v>6997</v>
          </cell>
          <cell r="Q276">
            <v>6997</v>
          </cell>
          <cell r="R276">
            <v>6997</v>
          </cell>
          <cell r="S276">
            <v>6997</v>
          </cell>
          <cell r="T276">
            <v>6997</v>
          </cell>
          <cell r="U276">
            <v>6997</v>
          </cell>
          <cell r="V276">
            <v>6997</v>
          </cell>
          <cell r="W276">
            <v>6997</v>
          </cell>
          <cell r="X276">
            <v>6997</v>
          </cell>
          <cell r="Y276">
            <v>6997</v>
          </cell>
          <cell r="Z276">
            <v>6997</v>
          </cell>
          <cell r="AA276">
            <v>128918</v>
          </cell>
        </row>
        <row r="277">
          <cell r="B277" t="str">
            <v xml:space="preserve">2.1.3.  Consumo   </v>
          </cell>
          <cell r="G277">
            <v>925</v>
          </cell>
          <cell r="H277">
            <v>987</v>
          </cell>
          <cell r="I277">
            <v>1000</v>
          </cell>
          <cell r="J277">
            <v>1135</v>
          </cell>
          <cell r="K277">
            <v>1135</v>
          </cell>
          <cell r="L277">
            <v>1135</v>
          </cell>
          <cell r="M277">
            <v>1135</v>
          </cell>
          <cell r="N277">
            <v>1135</v>
          </cell>
          <cell r="O277">
            <v>1135</v>
          </cell>
          <cell r="P277">
            <v>1135</v>
          </cell>
          <cell r="Q277">
            <v>1135</v>
          </cell>
          <cell r="R277">
            <v>1135</v>
          </cell>
          <cell r="S277">
            <v>1135</v>
          </cell>
          <cell r="T277">
            <v>1135</v>
          </cell>
          <cell r="U277">
            <v>1135</v>
          </cell>
          <cell r="V277">
            <v>1135</v>
          </cell>
          <cell r="W277">
            <v>1135</v>
          </cell>
          <cell r="X277">
            <v>1135</v>
          </cell>
          <cell r="Y277">
            <v>1135</v>
          </cell>
          <cell r="Z277">
            <v>1135</v>
          </cell>
          <cell r="AA277">
            <v>22207</v>
          </cell>
        </row>
        <row r="278">
          <cell r="B278" t="str">
            <v>2.1.4.  Transportes</v>
          </cell>
          <cell r="G278">
            <v>2399</v>
          </cell>
          <cell r="H278">
            <v>4565</v>
          </cell>
          <cell r="I278">
            <v>4981</v>
          </cell>
          <cell r="J278">
            <v>5230</v>
          </cell>
          <cell r="K278">
            <v>5306</v>
          </cell>
          <cell r="L278">
            <v>5307</v>
          </cell>
          <cell r="M278">
            <v>5306</v>
          </cell>
          <cell r="N278">
            <v>5307</v>
          </cell>
          <cell r="O278">
            <v>5306</v>
          </cell>
          <cell r="P278">
            <v>5307</v>
          </cell>
          <cell r="Q278">
            <v>5306</v>
          </cell>
          <cell r="R278">
            <v>5307</v>
          </cell>
          <cell r="S278">
            <v>5306</v>
          </cell>
          <cell r="T278">
            <v>5307</v>
          </cell>
          <cell r="U278">
            <v>5306</v>
          </cell>
          <cell r="V278">
            <v>5307</v>
          </cell>
          <cell r="W278">
            <v>5306</v>
          </cell>
          <cell r="X278">
            <v>5307</v>
          </cell>
          <cell r="Y278">
            <v>5306</v>
          </cell>
          <cell r="Z278">
            <v>5306</v>
          </cell>
          <cell r="AA278">
            <v>102078</v>
          </cell>
        </row>
        <row r="279">
          <cell r="B279" t="str">
            <v>2.1.5.  Diversas</v>
          </cell>
          <cell r="G279">
            <v>3376</v>
          </cell>
          <cell r="H279">
            <v>4638</v>
          </cell>
          <cell r="I279">
            <v>4059</v>
          </cell>
          <cell r="J279">
            <v>2441</v>
          </cell>
          <cell r="K279">
            <v>1745</v>
          </cell>
          <cell r="L279">
            <v>1745</v>
          </cell>
          <cell r="M279">
            <v>1745</v>
          </cell>
          <cell r="N279">
            <v>1745</v>
          </cell>
          <cell r="O279">
            <v>1745</v>
          </cell>
          <cell r="P279">
            <v>1745</v>
          </cell>
          <cell r="Q279">
            <v>1745</v>
          </cell>
          <cell r="R279">
            <v>1745</v>
          </cell>
          <cell r="S279">
            <v>1745</v>
          </cell>
          <cell r="T279">
            <v>1745</v>
          </cell>
          <cell r="U279">
            <v>1745</v>
          </cell>
          <cell r="V279">
            <v>1745</v>
          </cell>
          <cell r="W279">
            <v>1745</v>
          </cell>
          <cell r="X279">
            <v>1745</v>
          </cell>
          <cell r="Y279">
            <v>1745</v>
          </cell>
          <cell r="Z279">
            <v>1745</v>
          </cell>
          <cell r="AA279">
            <v>42434</v>
          </cell>
        </row>
        <row r="280">
          <cell r="B280" t="str">
            <v>2.1.6.  Tributos s/ Faturamento</v>
          </cell>
          <cell r="G280">
            <v>3457.3679999999999</v>
          </cell>
          <cell r="H280">
            <v>4628.9354999999996</v>
          </cell>
          <cell r="I280">
            <v>4958.6204999999991</v>
          </cell>
          <cell r="J280">
            <v>10276.406999999999</v>
          </cell>
          <cell r="K280">
            <v>10671.801726600001</v>
          </cell>
          <cell r="L280">
            <v>11063.396787475691</v>
          </cell>
          <cell r="M280">
            <v>19190.083929921766</v>
          </cell>
          <cell r="N280">
            <v>19875.150918454288</v>
          </cell>
          <cell r="O280">
            <v>20176.792090872506</v>
          </cell>
          <cell r="P280">
            <v>20492.178975732942</v>
          </cell>
          <cell r="Q280">
            <v>20764.173369687582</v>
          </cell>
          <cell r="R280">
            <v>21070.297136974208</v>
          </cell>
          <cell r="S280">
            <v>21381.163815274434</v>
          </cell>
          <cell r="T280">
            <v>21696.382859184665</v>
          </cell>
          <cell r="U280">
            <v>22016.078437116201</v>
          </cell>
          <cell r="V280">
            <v>22340.208950453693</v>
          </cell>
          <cell r="W280">
            <v>22938.658898571306</v>
          </cell>
          <cell r="X280">
            <v>23661.514035848195</v>
          </cell>
          <cell r="Y280">
            <v>24011.570846923642</v>
          </cell>
          <cell r="Z280">
            <v>24366.851272331354</v>
          </cell>
          <cell r="AA280">
            <v>349037.63505142246</v>
          </cell>
        </row>
        <row r="281">
          <cell r="B281" t="str">
            <v>2.1.7.  Seguros</v>
          </cell>
          <cell r="G281">
            <v>910</v>
          </cell>
          <cell r="H281">
            <v>910</v>
          </cell>
          <cell r="I281">
            <v>910</v>
          </cell>
          <cell r="J281">
            <v>910</v>
          </cell>
          <cell r="K281">
            <v>910</v>
          </cell>
          <cell r="L281">
            <v>910</v>
          </cell>
          <cell r="M281">
            <v>910</v>
          </cell>
          <cell r="N281">
            <v>910</v>
          </cell>
          <cell r="O281">
            <v>910</v>
          </cell>
          <cell r="P281">
            <v>910</v>
          </cell>
          <cell r="Q281">
            <v>910</v>
          </cell>
          <cell r="R281">
            <v>910</v>
          </cell>
          <cell r="S281">
            <v>910</v>
          </cell>
          <cell r="T281">
            <v>910</v>
          </cell>
          <cell r="U281">
            <v>910</v>
          </cell>
          <cell r="V281">
            <v>910</v>
          </cell>
          <cell r="W281">
            <v>910</v>
          </cell>
          <cell r="X281">
            <v>910</v>
          </cell>
          <cell r="Y281">
            <v>910</v>
          </cell>
          <cell r="Z281">
            <v>910</v>
          </cell>
          <cell r="AA281">
            <v>18200</v>
          </cell>
        </row>
        <row r="282">
          <cell r="B282" t="str">
            <v xml:space="preserve">2.1.8.  Garantias </v>
          </cell>
          <cell r="G282">
            <v>2478</v>
          </cell>
          <cell r="H282">
            <v>2328</v>
          </cell>
          <cell r="I282">
            <v>2136</v>
          </cell>
          <cell r="J282">
            <v>1990</v>
          </cell>
          <cell r="K282">
            <v>1928</v>
          </cell>
          <cell r="L282">
            <v>1902</v>
          </cell>
          <cell r="M282">
            <v>1873</v>
          </cell>
          <cell r="N282">
            <v>1843</v>
          </cell>
          <cell r="O282">
            <v>1804</v>
          </cell>
          <cell r="P282">
            <v>1759</v>
          </cell>
          <cell r="Q282">
            <v>1734</v>
          </cell>
          <cell r="R282">
            <v>1683</v>
          </cell>
          <cell r="S282">
            <v>1666</v>
          </cell>
          <cell r="T282">
            <v>1629</v>
          </cell>
          <cell r="U282">
            <v>1600</v>
          </cell>
          <cell r="V282">
            <v>1557</v>
          </cell>
          <cell r="W282">
            <v>1537</v>
          </cell>
          <cell r="X282">
            <v>1521</v>
          </cell>
          <cell r="Y282">
            <v>1497</v>
          </cell>
          <cell r="Z282">
            <v>1467</v>
          </cell>
          <cell r="AA282">
            <v>35932</v>
          </cell>
        </row>
        <row r="283">
          <cell r="B283" t="str">
            <v>2.2.  INVESTIMENTOS / IMOBILIZADO     (2.2.1.+ ... + 2.2.7)</v>
          </cell>
          <cell r="G283">
            <v>77642.7</v>
          </cell>
          <cell r="H283">
            <v>131178.44</v>
          </cell>
          <cell r="I283">
            <v>118033.92</v>
          </cell>
          <cell r="J283">
            <v>92210.27</v>
          </cell>
          <cell r="K283">
            <v>28172.539999999997</v>
          </cell>
          <cell r="L283">
            <v>29407.350000000002</v>
          </cell>
          <cell r="M283">
            <v>19503.780000000002</v>
          </cell>
          <cell r="N283">
            <v>24341.48</v>
          </cell>
          <cell r="O283">
            <v>69809.97</v>
          </cell>
          <cell r="P283">
            <v>47126.600000000006</v>
          </cell>
          <cell r="Q283">
            <v>4768.5</v>
          </cell>
          <cell r="R283">
            <v>654.63000000000034</v>
          </cell>
          <cell r="S283">
            <v>20131.39</v>
          </cell>
          <cell r="T283">
            <v>8298.4600000000009</v>
          </cell>
          <cell r="U283">
            <v>47432.810000000005</v>
          </cell>
          <cell r="V283">
            <v>66824.56</v>
          </cell>
          <cell r="W283">
            <v>26329.420000000002</v>
          </cell>
          <cell r="X283">
            <v>9427.6</v>
          </cell>
          <cell r="Y283">
            <v>24833.32</v>
          </cell>
          <cell r="Z283">
            <v>19641.18</v>
          </cell>
          <cell r="AA283">
            <v>865768.91999999993</v>
          </cell>
        </row>
        <row r="284">
          <cell r="B284" t="str">
            <v xml:space="preserve">2.2.1.  Ampliação Principal </v>
          </cell>
          <cell r="G284">
            <v>13858.4</v>
          </cell>
          <cell r="H284">
            <v>37111.25</v>
          </cell>
          <cell r="I284">
            <v>36050.32</v>
          </cell>
          <cell r="J284">
            <v>12038.28</v>
          </cell>
          <cell r="K284">
            <v>3053.3700000000003</v>
          </cell>
          <cell r="L284">
            <v>2336.0000000000009</v>
          </cell>
          <cell r="M284">
            <v>2742.6300000000006</v>
          </cell>
          <cell r="N284">
            <v>2692.6300000000006</v>
          </cell>
          <cell r="O284">
            <v>27657.599999999999</v>
          </cell>
          <cell r="P284">
            <v>11464.49</v>
          </cell>
          <cell r="Q284">
            <v>50</v>
          </cell>
          <cell r="R284">
            <v>38.82</v>
          </cell>
          <cell r="S284">
            <v>0</v>
          </cell>
          <cell r="T284">
            <v>3278.07</v>
          </cell>
          <cell r="U284">
            <v>33379.33</v>
          </cell>
          <cell r="V284">
            <v>46931.12</v>
          </cell>
          <cell r="W284">
            <v>19774.8</v>
          </cell>
          <cell r="X284">
            <v>0</v>
          </cell>
          <cell r="Y284">
            <v>0</v>
          </cell>
          <cell r="Z284">
            <v>0</v>
          </cell>
          <cell r="AA284">
            <v>252457.11</v>
          </cell>
        </row>
        <row r="285">
          <cell r="B285" t="str">
            <v>2.2.2.  Demais Obras de Ampliação/Melhoramentos</v>
          </cell>
          <cell r="G285">
            <v>16090.85</v>
          </cell>
          <cell r="H285">
            <v>29200.639999999999</v>
          </cell>
          <cell r="I285">
            <v>36249.01</v>
          </cell>
          <cell r="J285">
            <v>19933.34</v>
          </cell>
          <cell r="K285">
            <v>3939.89</v>
          </cell>
          <cell r="L285">
            <v>4060.4200000000005</v>
          </cell>
          <cell r="M285">
            <v>7584.3399999999992</v>
          </cell>
          <cell r="N285">
            <v>14452.34</v>
          </cell>
          <cell r="O285">
            <v>20397.32</v>
          </cell>
          <cell r="P285">
            <v>19914.62</v>
          </cell>
          <cell r="Q285">
            <v>3239.9</v>
          </cell>
          <cell r="R285">
            <v>241.78000000000034</v>
          </cell>
          <cell r="S285">
            <v>0</v>
          </cell>
          <cell r="T285">
            <v>700.45</v>
          </cell>
          <cell r="U285">
            <v>2705.51</v>
          </cell>
          <cell r="V285">
            <v>5544.21</v>
          </cell>
          <cell r="W285">
            <v>1829.92</v>
          </cell>
          <cell r="X285">
            <v>1594.18</v>
          </cell>
          <cell r="Y285">
            <v>1953.95</v>
          </cell>
          <cell r="Z285">
            <v>379.28</v>
          </cell>
          <cell r="AA285">
            <v>190011.95</v>
          </cell>
        </row>
        <row r="286">
          <cell r="B286" t="str">
            <v xml:space="preserve">2.2.3.  Equipamentos, Veiculos e Sist. Controle </v>
          </cell>
          <cell r="G286">
            <v>18270.07</v>
          </cell>
          <cell r="H286">
            <v>14890.93</v>
          </cell>
          <cell r="I286">
            <v>8116.82</v>
          </cell>
          <cell r="J286">
            <v>23857.84</v>
          </cell>
          <cell r="K286">
            <v>741.48</v>
          </cell>
          <cell r="L286">
            <v>6425.2</v>
          </cell>
          <cell r="M286">
            <v>415.54</v>
          </cell>
          <cell r="N286">
            <v>269.32</v>
          </cell>
          <cell r="O286">
            <v>12542.599999999999</v>
          </cell>
          <cell r="P286">
            <v>1045.97</v>
          </cell>
          <cell r="Q286">
            <v>209.85000000000036</v>
          </cell>
          <cell r="R286">
            <v>5.2799999999999914</v>
          </cell>
          <cell r="S286">
            <v>745.48999999999978</v>
          </cell>
          <cell r="T286">
            <v>872.88</v>
          </cell>
          <cell r="U286">
            <v>692.5</v>
          </cell>
          <cell r="V286">
            <v>755.88999999999942</v>
          </cell>
          <cell r="W286">
            <v>1355.19</v>
          </cell>
          <cell r="X286">
            <v>1189.67</v>
          </cell>
          <cell r="Y286">
            <v>9378.869999999999</v>
          </cell>
          <cell r="Z286">
            <v>3833.37</v>
          </cell>
          <cell r="AA286">
            <v>105614.76</v>
          </cell>
        </row>
        <row r="287">
          <cell r="B287" t="str">
            <v>2.2.4.  Desapropriações</v>
          </cell>
          <cell r="G287">
            <v>1765.1400000000008</v>
          </cell>
          <cell r="H287">
            <v>27575.53</v>
          </cell>
          <cell r="I287">
            <v>21168.94000000001</v>
          </cell>
          <cell r="J287">
            <v>24411.09</v>
          </cell>
          <cell r="K287">
            <v>15283.4</v>
          </cell>
          <cell r="L287">
            <v>5000</v>
          </cell>
          <cell r="M287">
            <v>2000</v>
          </cell>
          <cell r="N287">
            <v>2000</v>
          </cell>
          <cell r="O287">
            <v>1500</v>
          </cell>
          <cell r="P287">
            <v>1500</v>
          </cell>
          <cell r="Q287">
            <v>900</v>
          </cell>
          <cell r="R287">
            <v>0</v>
          </cell>
          <cell r="S287">
            <v>0</v>
          </cell>
          <cell r="T287">
            <v>0</v>
          </cell>
          <cell r="U287">
            <v>2000</v>
          </cell>
          <cell r="V287">
            <v>2000</v>
          </cell>
          <cell r="W287">
            <v>1387.9</v>
          </cell>
          <cell r="X287">
            <v>250</v>
          </cell>
          <cell r="Y287">
            <v>200</v>
          </cell>
          <cell r="Z287">
            <v>0</v>
          </cell>
          <cell r="AA287">
            <v>108942</v>
          </cell>
        </row>
        <row r="288">
          <cell r="B288" t="str">
            <v xml:space="preserve">2.2.5.  Conservação Especial </v>
          </cell>
          <cell r="G288">
            <v>27658.240000000002</v>
          </cell>
          <cell r="H288">
            <v>22400.09</v>
          </cell>
          <cell r="I288">
            <v>16448.830000000002</v>
          </cell>
          <cell r="J288">
            <v>11969.72</v>
          </cell>
          <cell r="K288">
            <v>5154.3999999999987</v>
          </cell>
          <cell r="L288">
            <v>11585.73</v>
          </cell>
          <cell r="M288">
            <v>6761.2700000000013</v>
          </cell>
          <cell r="N288">
            <v>4927.1899999999996</v>
          </cell>
          <cell r="O288">
            <v>7712.45</v>
          </cell>
          <cell r="P288">
            <v>13201.52</v>
          </cell>
          <cell r="Q288">
            <v>368.75</v>
          </cell>
          <cell r="R288">
            <v>368.75</v>
          </cell>
          <cell r="S288">
            <v>19385.900000000001</v>
          </cell>
          <cell r="T288">
            <v>3447.06</v>
          </cell>
          <cell r="U288">
            <v>8655.4699999999993</v>
          </cell>
          <cell r="V288">
            <v>11593.34</v>
          </cell>
          <cell r="W288">
            <v>1981.61</v>
          </cell>
          <cell r="X288">
            <v>6393.75</v>
          </cell>
          <cell r="Y288">
            <v>13300.5</v>
          </cell>
          <cell r="Z288">
            <v>15428.53</v>
          </cell>
          <cell r="AA288">
            <v>208743.09999999998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30214.560000000005</v>
          </cell>
          <cell r="H291">
            <v>32206.41</v>
          </cell>
          <cell r="I291">
            <v>51955.11</v>
          </cell>
          <cell r="J291">
            <v>41453.94</v>
          </cell>
          <cell r="K291">
            <v>22149.033372000002</v>
          </cell>
          <cell r="L291">
            <v>22308.925004781253</v>
          </cell>
          <cell r="M291">
            <v>15935.804686429628</v>
          </cell>
          <cell r="N291">
            <v>11696.099897216014</v>
          </cell>
          <cell r="O291">
            <v>11958.772495154992</v>
          </cell>
          <cell r="P291">
            <v>12068.196848285779</v>
          </cell>
          <cell r="Q291">
            <v>20842.659854814061</v>
          </cell>
          <cell r="R291">
            <v>22684.88918045348</v>
          </cell>
          <cell r="S291">
            <v>22792.745831887085</v>
          </cell>
          <cell r="T291">
            <v>22902.1119742837</v>
          </cell>
          <cell r="U291">
            <v>23013.03067183221</v>
          </cell>
          <cell r="V291">
            <v>23125.487497267175</v>
          </cell>
          <cell r="W291">
            <v>23333.084011065192</v>
          </cell>
          <cell r="X291">
            <v>23583.826833242143</v>
          </cell>
          <cell r="Y291">
            <v>23705.275438239412</v>
          </cell>
          <cell r="Z291">
            <v>23828.535701386594</v>
          </cell>
          <cell r="AA291">
            <v>481758.49929833878</v>
          </cell>
        </row>
        <row r="292">
          <cell r="B292" t="str">
            <v>2.3.1.  Valor Variável da Concessão</v>
          </cell>
          <cell r="G292">
            <v>2230.56</v>
          </cell>
          <cell r="H292">
            <v>2986.41</v>
          </cell>
          <cell r="I292">
            <v>3199.11</v>
          </cell>
          <cell r="J292">
            <v>6629.94</v>
          </cell>
          <cell r="K292">
            <v>6885.0333720000008</v>
          </cell>
          <cell r="L292">
            <v>7044.9250047812529</v>
          </cell>
          <cell r="M292">
            <v>6915.4923524281276</v>
          </cell>
          <cell r="N292">
            <v>7006.221127787614</v>
          </cell>
          <cell r="O292">
            <v>7110.8781818054922</v>
          </cell>
          <cell r="P292">
            <v>7220.3025349362797</v>
          </cell>
          <cell r="Q292">
            <v>7314.6774692558083</v>
          </cell>
          <cell r="R292">
            <v>7420.8891804534815</v>
          </cell>
          <cell r="S292">
            <v>7528.7458318870858</v>
          </cell>
          <cell r="T292">
            <v>7638.1119742837</v>
          </cell>
          <cell r="U292">
            <v>7749.0306718322099</v>
          </cell>
          <cell r="V292">
            <v>7861.4874972671769</v>
          </cell>
          <cell r="W292">
            <v>8069.0840110651907</v>
          </cell>
          <cell r="X292">
            <v>8319.8268332421449</v>
          </cell>
          <cell r="Y292">
            <v>8441.2754382394123</v>
          </cell>
          <cell r="Z292">
            <v>8564.5357013865942</v>
          </cell>
          <cell r="AA292">
            <v>136136.53718265161</v>
          </cell>
        </row>
        <row r="293">
          <cell r="B293" t="str">
            <v xml:space="preserve">2.3.2.  Valor Fixo da Concessão </v>
          </cell>
          <cell r="G293">
            <v>27984.000000000004</v>
          </cell>
          <cell r="H293">
            <v>29220</v>
          </cell>
          <cell r="I293">
            <v>48756</v>
          </cell>
          <cell r="J293">
            <v>34824</v>
          </cell>
          <cell r="K293">
            <v>15264</v>
          </cell>
          <cell r="L293">
            <v>15264</v>
          </cell>
          <cell r="M293">
            <v>9020.3123340015009</v>
          </cell>
          <cell r="N293">
            <v>4689.8787694284001</v>
          </cell>
          <cell r="O293">
            <v>4847.8943133494995</v>
          </cell>
          <cell r="P293">
            <v>4847.8943133494995</v>
          </cell>
          <cell r="Q293">
            <v>13527.982385558251</v>
          </cell>
          <cell r="R293">
            <v>15264</v>
          </cell>
          <cell r="S293">
            <v>15264</v>
          </cell>
          <cell r="T293">
            <v>15264</v>
          </cell>
          <cell r="U293">
            <v>15264</v>
          </cell>
          <cell r="V293">
            <v>15264</v>
          </cell>
          <cell r="W293">
            <v>15264</v>
          </cell>
          <cell r="X293">
            <v>15264</v>
          </cell>
          <cell r="Y293">
            <v>15264</v>
          </cell>
          <cell r="Z293">
            <v>15264</v>
          </cell>
          <cell r="AA293">
            <v>345621.9621156872</v>
          </cell>
        </row>
        <row r="294">
          <cell r="B294" t="str">
            <v>2.4.  DESEMBOLSOS  SOBRE O LUCRO     (2.4.1. + 2.4.2)</v>
          </cell>
          <cell r="G294">
            <v>4699.2958807269233</v>
          </cell>
          <cell r="H294">
            <v>5579.4520347876341</v>
          </cell>
          <cell r="I294">
            <v>4291.2101768471239</v>
          </cell>
          <cell r="J294">
            <v>36279.493982572843</v>
          </cell>
          <cell r="K294">
            <v>37429.216795737288</v>
          </cell>
          <cell r="L294">
            <v>38320.202153445265</v>
          </cell>
          <cell r="M294">
            <v>35699.013760128117</v>
          </cell>
          <cell r="N294">
            <v>37322.372416138649</v>
          </cell>
          <cell r="O294">
            <v>37254.268301000011</v>
          </cell>
          <cell r="P294">
            <v>37184.270558338903</v>
          </cell>
          <cell r="Q294">
            <v>34734.931741499058</v>
          </cell>
          <cell r="R294">
            <v>35780.992768214535</v>
          </cell>
          <cell r="S294">
            <v>36893.863784131987</v>
          </cell>
          <cell r="T294">
            <v>37470.187813851313</v>
          </cell>
          <cell r="U294">
            <v>37072.473473984937</v>
          </cell>
          <cell r="V294">
            <v>34326.736978664194</v>
          </cell>
          <cell r="W294">
            <v>32930.216994827875</v>
          </cell>
          <cell r="X294">
            <v>33803.039345075042</v>
          </cell>
          <cell r="Y294">
            <v>31677.832628316308</v>
          </cell>
          <cell r="Z294">
            <v>23661.680783673317</v>
          </cell>
          <cell r="AA294">
            <v>612410.75237196125</v>
          </cell>
        </row>
        <row r="295">
          <cell r="B295" t="str">
            <v xml:space="preserve">2.4.1.  Contribuição Social  </v>
          </cell>
          <cell r="G295">
            <v>1145.0414256307693</v>
          </cell>
          <cell r="H295">
            <v>1358.4126144939717</v>
          </cell>
          <cell r="I295">
            <v>1046.1115580235455</v>
          </cell>
          <cell r="J295">
            <v>8800.8470260782669</v>
          </cell>
          <cell r="K295">
            <v>9079.5677080575279</v>
          </cell>
          <cell r="L295">
            <v>9295.5641584109708</v>
          </cell>
          <cell r="M295">
            <v>8660.1245479098488</v>
          </cell>
          <cell r="N295">
            <v>9053.6660402760353</v>
          </cell>
          <cell r="O295">
            <v>9037.1559517575788</v>
          </cell>
          <cell r="P295">
            <v>9020.1868020215516</v>
          </cell>
          <cell r="Q295">
            <v>8426.4076949088612</v>
          </cell>
          <cell r="R295">
            <v>8679.9982468398866</v>
          </cell>
          <cell r="S295">
            <v>8949.7851597895751</v>
          </cell>
          <cell r="T295">
            <v>9089.500076085169</v>
          </cell>
          <cell r="U295">
            <v>8993.084478541803</v>
          </cell>
          <cell r="V295">
            <v>8327.4513887670819</v>
          </cell>
          <cell r="W295">
            <v>7988.9010896552427</v>
          </cell>
          <cell r="X295">
            <v>8200.4943866848607</v>
          </cell>
          <cell r="Y295">
            <v>7685.29275837971</v>
          </cell>
          <cell r="Z295">
            <v>5741.9832202844409</v>
          </cell>
          <cell r="AA295">
            <v>148579.57633259665</v>
          </cell>
        </row>
        <row r="296">
          <cell r="B296" t="str">
            <v xml:space="preserve">2.4.2.  Imposto de Renda  </v>
          </cell>
          <cell r="G296">
            <v>3554.2544550961538</v>
          </cell>
          <cell r="H296">
            <v>4221.0394202936623</v>
          </cell>
          <cell r="I296">
            <v>3245.0986188235784</v>
          </cell>
          <cell r="J296">
            <v>27478.646956494576</v>
          </cell>
          <cell r="K296">
            <v>28349.649087679762</v>
          </cell>
          <cell r="L296">
            <v>29024.637995034296</v>
          </cell>
          <cell r="M296">
            <v>27038.889212218266</v>
          </cell>
          <cell r="N296">
            <v>28268.70637586261</v>
          </cell>
          <cell r="O296">
            <v>28217.11234924243</v>
          </cell>
          <cell r="P296">
            <v>28164.083756317348</v>
          </cell>
          <cell r="Q296">
            <v>26308.524046590195</v>
          </cell>
          <cell r="R296">
            <v>27100.994521374651</v>
          </cell>
          <cell r="S296">
            <v>27944.078624342415</v>
          </cell>
          <cell r="T296">
            <v>28380.687737766144</v>
          </cell>
          <cell r="U296">
            <v>28079.388995443136</v>
          </cell>
          <cell r="V296">
            <v>25999.285589897114</v>
          </cell>
          <cell r="W296">
            <v>24941.315905172632</v>
          </cell>
          <cell r="X296">
            <v>25602.544958390183</v>
          </cell>
          <cell r="Y296">
            <v>23992.539869936598</v>
          </cell>
          <cell r="Z296">
            <v>17919.697563388876</v>
          </cell>
          <cell r="AA296">
            <v>463831.1760393646</v>
          </cell>
        </row>
        <row r="297">
          <cell r="B297" t="str">
            <v>3.  SALDO DO CAIXA     (1 - 2)</v>
          </cell>
          <cell r="G297">
            <v>-74107.923880726914</v>
          </cell>
          <cell r="H297">
            <v>-120345.23753478762</v>
          </cell>
          <cell r="I297">
            <v>-121630.86067684711</v>
          </cell>
          <cell r="J297">
            <v>-9719.1109825728345</v>
          </cell>
          <cell r="K297">
            <v>80706.520505662687</v>
          </cell>
          <cell r="L297">
            <v>83405.959547006205</v>
          </cell>
          <cell r="M297">
            <v>89914.729371124791</v>
          </cell>
          <cell r="N297">
            <v>90085.601027778204</v>
          </cell>
          <cell r="O297">
            <v>47140.469839822268</v>
          </cell>
          <cell r="P297">
            <v>73185.504782185017</v>
          </cell>
          <cell r="Q297">
            <v>112138.31734252622</v>
          </cell>
          <cell r="R297">
            <v>116669.16359614054</v>
          </cell>
          <cell r="S297">
            <v>99295.030964942707</v>
          </cell>
          <cell r="T297">
            <v>113830.58982880361</v>
          </cell>
          <cell r="U297">
            <v>78411.629811473627</v>
          </cell>
          <cell r="V297">
            <v>65143.589815854153</v>
          </cell>
          <cell r="W297">
            <v>113193.08713104203</v>
          </cell>
          <cell r="X297">
            <v>136644.58089390618</v>
          </cell>
          <cell r="Y297">
            <v>126988.8490278344</v>
          </cell>
          <cell r="Z297">
            <v>143881.27562216192</v>
          </cell>
          <cell r="AA297">
            <v>1244831.76603333</v>
          </cell>
        </row>
        <row r="298">
          <cell r="B298" t="str">
            <v xml:space="preserve">4. T.I.R. (Taxa Interna de Retorno) Anual do Projeto     </v>
          </cell>
          <cell r="G298">
            <v>0.18482198272984429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283242.32903350698</v>
          </cell>
          <cell r="H303">
            <v>287969.05948152556</v>
          </cell>
          <cell r="I303">
            <v>292775.11211849301</v>
          </cell>
          <cell r="J303">
            <v>297661.82668872463</v>
          </cell>
          <cell r="K303">
            <v>302630.5657302966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1464278.893052547</v>
          </cell>
        </row>
        <row r="304">
          <cell r="B304" t="str">
            <v>1.1.  RECEITAS     (1.1.1.+ ... + 1.1.4)</v>
          </cell>
          <cell r="G304">
            <v>283242.32903350698</v>
          </cell>
          <cell r="H304">
            <v>287969.05948152556</v>
          </cell>
          <cell r="I304">
            <v>292775.11211849301</v>
          </cell>
          <cell r="J304">
            <v>297661.82668872463</v>
          </cell>
          <cell r="K304">
            <v>302630.5657302966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1464278.893052547</v>
          </cell>
        </row>
        <row r="305">
          <cell r="B305" t="str">
            <v>1.1.1   Receitas de Pedágio</v>
          </cell>
          <cell r="G305">
            <v>274390.77790658275</v>
          </cell>
          <cell r="H305">
            <v>278969.79421749973</v>
          </cell>
          <cell r="I305">
            <v>283625.65383501293</v>
          </cell>
          <cell r="J305">
            <v>288359.6546353476</v>
          </cell>
          <cell r="K305">
            <v>293173.11657616671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1418518.9971706099</v>
          </cell>
        </row>
        <row r="306">
          <cell r="B306" t="str">
            <v>1.1.2   Outras Receitas Operacionais</v>
          </cell>
          <cell r="G306">
            <v>7479.656606994391</v>
          </cell>
          <cell r="H306">
            <v>7604.4766532976446</v>
          </cell>
          <cell r="I306">
            <v>7731.391382047118</v>
          </cell>
          <cell r="J306">
            <v>7860.436172232432</v>
          </cell>
          <cell r="K306">
            <v>7991.6470047642051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38667.60781933579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1371.8945199298544</v>
          </cell>
          <cell r="H308">
            <v>1394.7886107281797</v>
          </cell>
          <cell r="I308">
            <v>1418.0669014329922</v>
          </cell>
          <cell r="J308">
            <v>1441.7358811445981</v>
          </cell>
          <cell r="K308">
            <v>1465.8021493657147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7092.2880626013393</v>
          </cell>
        </row>
        <row r="309">
          <cell r="B309" t="str">
            <v>2.  DESEMBOLSOS     (2.1.+ ... + 2.4)</v>
          </cell>
          <cell r="G309">
            <v>150151.40143062337</v>
          </cell>
          <cell r="H309">
            <v>152091.30186380562</v>
          </cell>
          <cell r="I309">
            <v>154063.75696673157</v>
          </cell>
          <cell r="J309">
            <v>156069.31658471323</v>
          </cell>
          <cell r="K309">
            <v>158108.53991786425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770484.31676373794</v>
          </cell>
        </row>
        <row r="310">
          <cell r="B310" t="str">
            <v>2.1.  OPERACIONAIS     (2.1.1.+ ... + 2.1.8)</v>
          </cell>
          <cell r="G310">
            <v>76178.861366930083</v>
          </cell>
          <cell r="H310">
            <v>76605.028940894248</v>
          </cell>
          <cell r="I310">
            <v>77038.34829666563</v>
          </cell>
          <cell r="J310">
            <v>77478.940227166764</v>
          </cell>
          <cell r="K310">
            <v>77926.927580432341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385228.10641208902</v>
          </cell>
        </row>
        <row r="311">
          <cell r="B311" t="str">
            <v xml:space="preserve">2.1.1.  Pessoal / Administradores   </v>
          </cell>
          <cell r="G311">
            <v>34047</v>
          </cell>
          <cell r="H311">
            <v>34047</v>
          </cell>
          <cell r="I311">
            <v>34047</v>
          </cell>
          <cell r="J311">
            <v>34047</v>
          </cell>
          <cell r="K311">
            <v>34047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170235</v>
          </cell>
        </row>
        <row r="312">
          <cell r="B312" t="str">
            <v xml:space="preserve">2.1.2.  Conservação de Rotina  </v>
          </cell>
          <cell r="G312">
            <v>6997</v>
          </cell>
          <cell r="H312">
            <v>6997</v>
          </cell>
          <cell r="I312">
            <v>6997</v>
          </cell>
          <cell r="J312">
            <v>6997</v>
          </cell>
          <cell r="K312">
            <v>6997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34985</v>
          </cell>
        </row>
        <row r="313">
          <cell r="B313" t="str">
            <v xml:space="preserve">2.1.3.  Consumo   </v>
          </cell>
          <cell r="G313">
            <v>1135</v>
          </cell>
          <cell r="H313">
            <v>1135</v>
          </cell>
          <cell r="I313">
            <v>1135</v>
          </cell>
          <cell r="J313">
            <v>1135</v>
          </cell>
          <cell r="K313">
            <v>1135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5675</v>
          </cell>
        </row>
        <row r="314">
          <cell r="B314" t="str">
            <v>2.1.4.  Transportes</v>
          </cell>
          <cell r="G314">
            <v>5306</v>
          </cell>
          <cell r="H314">
            <v>5306</v>
          </cell>
          <cell r="I314">
            <v>5306</v>
          </cell>
          <cell r="J314">
            <v>5306</v>
          </cell>
          <cell r="K314">
            <v>5306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26530</v>
          </cell>
        </row>
        <row r="315">
          <cell r="B315" t="str">
            <v>2.1.5.  Diversas</v>
          </cell>
          <cell r="G315">
            <v>1745</v>
          </cell>
          <cell r="H315">
            <v>1745</v>
          </cell>
          <cell r="I315">
            <v>1745</v>
          </cell>
          <cell r="J315">
            <v>1745</v>
          </cell>
          <cell r="K315">
            <v>1745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8725</v>
          </cell>
        </row>
        <row r="316">
          <cell r="B316" t="str">
            <v>2.1.6.  Tributos s/ Faturamento</v>
          </cell>
          <cell r="G316">
            <v>25452.900236576013</v>
          </cell>
          <cell r="H316">
            <v>25877.656659633005</v>
          </cell>
          <cell r="I316">
            <v>26309.541183100519</v>
          </cell>
          <cell r="J316">
            <v>26748.67419992448</v>
          </cell>
          <cell r="K316">
            <v>27195.178151358057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131583.95043059209</v>
          </cell>
        </row>
        <row r="317">
          <cell r="B317" t="str">
            <v>2.1.7.  Seguros</v>
          </cell>
          <cell r="G317">
            <v>910</v>
          </cell>
          <cell r="H317">
            <v>910</v>
          </cell>
          <cell r="I317">
            <v>910</v>
          </cell>
          <cell r="J317">
            <v>910</v>
          </cell>
          <cell r="K317">
            <v>910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4550</v>
          </cell>
        </row>
        <row r="318">
          <cell r="B318" t="str">
            <v xml:space="preserve">2.1.8.  Garantias </v>
          </cell>
          <cell r="G318">
            <v>585.96113035407313</v>
          </cell>
          <cell r="H318">
            <v>587.37228126123932</v>
          </cell>
          <cell r="I318">
            <v>588.80711356511802</v>
          </cell>
          <cell r="J318">
            <v>590.26602724227405</v>
          </cell>
          <cell r="K318">
            <v>591.74942907427931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2944.1559814969837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8456.1130354073139</v>
          </cell>
          <cell r="H327">
            <v>8597.2281261239223</v>
          </cell>
          <cell r="I327">
            <v>8740.7113565117997</v>
          </cell>
          <cell r="J327">
            <v>8886.6027242274013</v>
          </cell>
          <cell r="K327">
            <v>9034.9429074279269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43715.598149698359</v>
          </cell>
        </row>
        <row r="328">
          <cell r="B328" t="str">
            <v>2.3.1.  Valor Variável da Concessão</v>
          </cell>
          <cell r="G328">
            <v>8456.1130354073139</v>
          </cell>
          <cell r="H328">
            <v>8597.2281261239223</v>
          </cell>
          <cell r="I328">
            <v>8740.7113565117997</v>
          </cell>
          <cell r="J328">
            <v>8886.6027242274013</v>
          </cell>
          <cell r="K328">
            <v>9034.9429074279269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43715.598149698359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65516.427028285972</v>
          </cell>
          <cell r="H330">
            <v>66889.044796787435</v>
          </cell>
          <cell r="I330">
            <v>68284.697313554134</v>
          </cell>
          <cell r="J330">
            <v>69703.77363331907</v>
          </cell>
          <cell r="K330">
            <v>71146.669430003996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341540.61220195063</v>
          </cell>
        </row>
        <row r="331">
          <cell r="B331" t="str">
            <v xml:space="preserve">2.4.1.  Contribuição Social  </v>
          </cell>
          <cell r="G331">
            <v>15888.58837049357</v>
          </cell>
          <cell r="H331">
            <v>16221.34419316059</v>
          </cell>
          <cell r="I331">
            <v>16559.684197225244</v>
          </cell>
          <cell r="J331">
            <v>16903.702698986439</v>
          </cell>
          <cell r="K331">
            <v>17253.495619394911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82826.815079260763</v>
          </cell>
        </row>
        <row r="332">
          <cell r="B332" t="str">
            <v xml:space="preserve">2.4.2.  Imposto de Renda  </v>
          </cell>
          <cell r="G332">
            <v>49627.838657792403</v>
          </cell>
          <cell r="H332">
            <v>50667.700603626843</v>
          </cell>
          <cell r="I332">
            <v>51725.01311632889</v>
          </cell>
          <cell r="J332">
            <v>52800.070934332623</v>
          </cell>
          <cell r="K332">
            <v>53893.173810609092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258713.79712268984</v>
          </cell>
        </row>
        <row r="333">
          <cell r="B333" t="str">
            <v>3.  SALDO DO CAIXA     (1 - 2)</v>
          </cell>
          <cell r="G333">
            <v>133090.9276028836</v>
          </cell>
          <cell r="H333">
            <v>135877.75761771994</v>
          </cell>
          <cell r="I333">
            <v>138711.35515176144</v>
          </cell>
          <cell r="J333">
            <v>141592.5101040114</v>
          </cell>
          <cell r="K333">
            <v>144522.02581243234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693794.57628880907</v>
          </cell>
        </row>
        <row r="334">
          <cell r="B334" t="str">
            <v xml:space="preserve">4. T.I.R. (Taxa Interna de Retorno) Anual do Projeto     </v>
          </cell>
          <cell r="G334">
            <v>0.19360997399325544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"/>
      <sheetName val="Pgtos_Mensal"/>
      <sheetName val="Total_por_Empresa"/>
      <sheetName val="Pgtos"/>
      <sheetName val="QUF 1"/>
      <sheetName val="QUF 2"/>
      <sheetName val="Conciliação"/>
      <sheetName val="Cronograma"/>
      <sheetName val="Cronograma (2)"/>
      <sheetName val="FINAME"/>
      <sheetName val="Notas Glosada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C"/>
      <sheetName val="Macro"/>
      <sheetName val="BS"/>
      <sheetName val="IS"/>
      <sheetName val="CF"/>
      <sheetName val="WC"/>
      <sheetName val="Cons"/>
      <sheetName val="Protasio Alves"/>
      <sheetName val="Capitão"/>
      <sheetName val="Concordia"/>
      <sheetName val="Chapecó"/>
      <sheetName val="Toledo"/>
      <sheetName val="Rio Claro"/>
      <sheetName val="Alcidia"/>
      <sheetName val="Sta Luzia"/>
      <sheetName val="Morro Vermelho"/>
      <sheetName val="Alto Taquari"/>
      <sheetName val="Conquista Pontal"/>
      <sheetName val="Costa Rica"/>
      <sheetName val="Eldorado"/>
      <sheetName val="Água Emendada"/>
      <sheetName val="PPT Novo"/>
      <sheetName val="Magnesita"/>
      <sheetName val="Araripina e GAMIG"/>
      <sheetName val="Conv"/>
      <sheetName val="Debt"/>
      <sheetName val="Capex"/>
      <sheetName val="WACC"/>
      <sheetName val="PPT"/>
    </sheetNames>
    <sheetDataSet>
      <sheetData sheetId="0">
        <row r="4">
          <cell r="E4">
            <v>40178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ações"/>
      <sheetName val="salários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Comparativo de Mercado"/>
      <sheetName val="Capa Simulador"/>
      <sheetName val="FLUXO + DRE  Original 20 anos"/>
      <sheetName val="Fatores 20 anos"/>
      <sheetName val="Prorrogação Fluxo 28 anos"/>
      <sheetName val="Prorrogação DRE 28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INTERVIAS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7</v>
          </cell>
          <cell r="I66" t="str">
            <v>TIR (b)</v>
          </cell>
        </row>
        <row r="67">
          <cell r="B67" t="str">
            <v>FATOR 1</v>
          </cell>
          <cell r="C67" t="str">
            <v>Deflator Tarifário a partir do 10º ano</v>
          </cell>
          <cell r="G67">
            <v>-3586.4894142980652</v>
          </cell>
          <cell r="H67">
            <v>-12839.129308169791</v>
          </cell>
          <cell r="I67">
            <v>0.19301909253707164</v>
          </cell>
        </row>
        <row r="68">
          <cell r="B68" t="str">
            <v>FATOR 2</v>
          </cell>
          <cell r="C68" t="str">
            <v>Ganho de Receita - Cobrança Bidirecional 9 (nove) Praças de Pedágio</v>
          </cell>
          <cell r="G68">
            <v>26128.061749127428</v>
          </cell>
          <cell r="H68">
            <v>93534.79813199096</v>
          </cell>
          <cell r="I68">
            <v>0.24956721829312908</v>
          </cell>
        </row>
        <row r="69">
          <cell r="B69" t="str">
            <v>FATOR 3</v>
          </cell>
          <cell r="C69" t="str">
            <v>Ônus Variável - s/ Rec. Acess. De 3% para 28%</v>
          </cell>
          <cell r="G69">
            <v>-51.333554940198496</v>
          </cell>
          <cell r="H69">
            <v>-183.76693016232952</v>
          </cell>
          <cell r="I69">
            <v>0.1997478818413588</v>
          </cell>
        </row>
        <row r="70">
          <cell r="B70" t="str">
            <v>FATOR 4</v>
          </cell>
          <cell r="C70" t="str">
            <v>Custos Operacionais Provocado pela Cobrança Bidirecional</v>
          </cell>
          <cell r="G70">
            <v>-13941.901419703257</v>
          </cell>
          <cell r="H70">
            <v>-49910.052547683234</v>
          </cell>
          <cell r="I70">
            <v>0.17515108975609892</v>
          </cell>
        </row>
        <row r="71">
          <cell r="B71" t="str">
            <v>FATOR 5</v>
          </cell>
          <cell r="C71" t="str">
            <v>Investimentos 1º Adequação</v>
          </cell>
          <cell r="G71">
            <v>-18551.788194578407</v>
          </cell>
          <cell r="H71">
            <v>-66412.800935197345</v>
          </cell>
          <cell r="I71">
            <v>0.1691858131727948</v>
          </cell>
        </row>
        <row r="72">
          <cell r="B72" t="str">
            <v>FATOR 6</v>
          </cell>
          <cell r="C72" t="str">
            <v>Investimentos 2ª Adequação</v>
          </cell>
          <cell r="G72">
            <v>-1819.4068302137341</v>
          </cell>
          <cell r="H72">
            <v>-6513.2213869515372</v>
          </cell>
          <cell r="I72">
            <v>0.19645999173442377</v>
          </cell>
        </row>
        <row r="73">
          <cell r="B73" t="str">
            <v>FATOR 7</v>
          </cell>
          <cell r="C73" t="str">
            <v>Investimentos 3ª Adequação</v>
          </cell>
          <cell r="G73">
            <v>2534.9393079881461</v>
          </cell>
          <cell r="H73">
            <v>9074.7273458751079</v>
          </cell>
          <cell r="I73">
            <v>0.20466830363045768</v>
          </cell>
        </row>
        <row r="74">
          <cell r="B74" t="str">
            <v>FATOR 8</v>
          </cell>
          <cell r="C74" t="str">
            <v>Investimentos 4ª Adequação</v>
          </cell>
          <cell r="G74">
            <v>7571.9873692779101</v>
          </cell>
          <cell r="H74">
            <v>27106.653254409393</v>
          </cell>
          <cell r="I74">
            <v>0.21475883906700452</v>
          </cell>
        </row>
        <row r="75">
          <cell r="B75" t="str">
            <v>FATOR 9</v>
          </cell>
          <cell r="C75" t="str">
            <v>Investimentos 5ª Adequação</v>
          </cell>
          <cell r="G75">
            <v>719.94591002820539</v>
          </cell>
          <cell r="H75">
            <v>2577.3054276668495</v>
          </cell>
          <cell r="I75">
            <v>0.20116248786645211</v>
          </cell>
        </row>
        <row r="76">
          <cell r="B76" t="str">
            <v>FATOR 10</v>
          </cell>
          <cell r="C76" t="str">
            <v>Onus Variável - Rec. Ass. de 28% para 25% e Rec. NOp. de 28% para 3%</v>
          </cell>
          <cell r="G76">
            <v>6.1600265927987445</v>
          </cell>
          <cell r="H76">
            <v>22.052031619389776</v>
          </cell>
          <cell r="I76">
            <v>0.19985223380243691</v>
          </cell>
        </row>
        <row r="77">
          <cell r="B77" t="str">
            <v>FATOR 11</v>
          </cell>
          <cell r="C77" t="str">
            <v>Parcelamento de Reajuste Tarifário - Julho/2003</v>
          </cell>
          <cell r="G77">
            <v>-788.01214227861135</v>
          </cell>
          <cell r="H77">
            <v>-2820.9729968220527</v>
          </cell>
          <cell r="I77">
            <v>0.198416252759259</v>
          </cell>
        </row>
        <row r="78">
          <cell r="B78" t="str">
            <v>FATOR 12</v>
          </cell>
          <cell r="C78" t="str">
            <v>Majoração da COFINS</v>
          </cell>
          <cell r="G78">
            <v>-3107.3999154740454</v>
          </cell>
          <cell r="H78">
            <v>-11124.056066613404</v>
          </cell>
          <cell r="I78">
            <v>0.19422295541213425</v>
          </cell>
        </row>
        <row r="79">
          <cell r="B79" t="str">
            <v>FATOR 13</v>
          </cell>
          <cell r="C79" t="str">
            <v>Majoração do PIS</v>
          </cell>
          <cell r="G79">
            <v>-233.34594811212102</v>
          </cell>
          <cell r="H79">
            <v>-835.34578114330179</v>
          </cell>
          <cell r="I79">
            <v>0.19941797213545673</v>
          </cell>
        </row>
        <row r="80">
          <cell r="B80" t="str">
            <v>FATOR 14</v>
          </cell>
          <cell r="C80" t="str">
            <v>Alteração do ISS-QN</v>
          </cell>
          <cell r="G80">
            <v>-9617.1810003707033</v>
          </cell>
          <cell r="H80">
            <v>-34428.1597351374</v>
          </cell>
          <cell r="I80">
            <v>0.18204183549090305</v>
          </cell>
        </row>
        <row r="81">
          <cell r="B81" t="str">
            <v>FATOR 15</v>
          </cell>
          <cell r="C81" t="str">
            <v>6ª Adequação - Investimentos</v>
          </cell>
          <cell r="G81" t="e">
            <v>#REF!</v>
          </cell>
          <cell r="H81" t="e">
            <v>#REF!</v>
          </cell>
          <cell r="I81" t="e">
            <v>#VALUE!</v>
          </cell>
        </row>
        <row r="82">
          <cell r="B82" t="str">
            <v>TOTAL GERAL</v>
          </cell>
          <cell r="G82" t="e">
            <v>#REF!</v>
          </cell>
          <cell r="H82" t="e">
            <v>#REF!</v>
          </cell>
          <cell r="I82" t="e">
            <v>#VALUE!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28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7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0.19984105209504263</v>
          </cell>
        </row>
        <row r="98">
          <cell r="B98" t="str">
            <v>TIR Resultante dos Desequilibrio no Contrato Original (ao ano)</v>
          </cell>
          <cell r="J98" t="e">
            <v>#VALUE!</v>
          </cell>
        </row>
        <row r="100">
          <cell r="B100" t="str">
            <v>Diferença entre a TIR Original x TIR Desequilibrios</v>
          </cell>
          <cell r="J100" t="e">
            <v>#VALUE!</v>
          </cell>
        </row>
        <row r="102">
          <cell r="B102" t="str">
            <v>TIR Resultante das Alternativas Utilizadas para o Reequilibrio (ao ano)</v>
          </cell>
          <cell r="J102">
            <v>0.19984130092644004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-1.8192303725928218E-11</v>
          </cell>
          <cell r="G136">
            <v>0.19984105209504263</v>
          </cell>
          <cell r="H136">
            <v>-56737.180796784996</v>
          </cell>
          <cell r="I136">
            <v>-26383.009335000002</v>
          </cell>
          <cell r="J136">
            <v>-15935.051434999998</v>
          </cell>
          <cell r="K136">
            <v>-6502.0629349999999</v>
          </cell>
          <cell r="L136">
            <v>19790.469894999998</v>
          </cell>
          <cell r="M136">
            <v>23608.131895000006</v>
          </cell>
          <cell r="N136">
            <v>40764.133495000002</v>
          </cell>
          <cell r="O136">
            <v>39618.415095000004</v>
          </cell>
          <cell r="P136">
            <v>35821.942695000005</v>
          </cell>
          <cell r="Q136">
            <v>32340.548795000002</v>
          </cell>
          <cell r="R136">
            <v>24924.172895</v>
          </cell>
          <cell r="S136">
            <v>39145.367194999999</v>
          </cell>
          <cell r="T136">
            <v>40183.643294999994</v>
          </cell>
          <cell r="U136">
            <v>53816.658394999991</v>
          </cell>
          <cell r="V136">
            <v>51478.453594999992</v>
          </cell>
          <cell r="W136">
            <v>49456.475395000001</v>
          </cell>
          <cell r="X136">
            <v>63679.608595000005</v>
          </cell>
          <cell r="Y136">
            <v>32865.971995</v>
          </cell>
          <cell r="Z136">
            <v>38632.132654999994</v>
          </cell>
          <cell r="AA136">
            <v>85649.308594999995</v>
          </cell>
        </row>
        <row r="137">
          <cell r="B137" t="str">
            <v>(+)Desequilibrio do Projeto Original (a)</v>
          </cell>
        </row>
        <row r="138">
          <cell r="B138" t="str">
            <v>Deflator Tarifário a partir do 10º ano</v>
          </cell>
        </row>
        <row r="139">
          <cell r="B139" t="str">
            <v>Fluxo de Caixa do Fator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-823.46843932691581</v>
          </cell>
          <cell r="R139">
            <v>-1707.465346680111</v>
          </cell>
          <cell r="S139">
            <v>-2655.3726186855929</v>
          </cell>
          <cell r="T139">
            <v>-3670.7422731995703</v>
          </cell>
          <cell r="U139">
            <v>-4734.2239569875619</v>
          </cell>
          <cell r="V139">
            <v>-5861.6829245776198</v>
          </cell>
          <cell r="W139">
            <v>-7056.1657220574452</v>
          </cell>
          <cell r="X139">
            <v>-8510.0817708737686</v>
          </cell>
          <cell r="Y139">
            <v>-9879.2254915742487</v>
          </cell>
          <cell r="Z139">
            <v>-11327.249864693251</v>
          </cell>
          <cell r="AA139">
            <v>-12857.860328225279</v>
          </cell>
        </row>
        <row r="140">
          <cell r="B140" t="str">
            <v>Somatoria com Projeto Original</v>
          </cell>
          <cell r="F140">
            <v>-3586.4894142980652</v>
          </cell>
          <cell r="G140">
            <v>0.19301909253707164</v>
          </cell>
          <cell r="H140">
            <v>-56737.180796784996</v>
          </cell>
          <cell r="I140">
            <v>-26383.009335000002</v>
          </cell>
          <cell r="J140">
            <v>-15935.051434999998</v>
          </cell>
          <cell r="K140">
            <v>-6502.0629349999999</v>
          </cell>
          <cell r="L140">
            <v>19790.469894999998</v>
          </cell>
          <cell r="M140">
            <v>23608.131895000006</v>
          </cell>
          <cell r="N140">
            <v>40764.133495000002</v>
          </cell>
          <cell r="O140">
            <v>39618.415095000004</v>
          </cell>
          <cell r="P140">
            <v>35821.942695000005</v>
          </cell>
          <cell r="Q140">
            <v>31517.080355673086</v>
          </cell>
          <cell r="R140">
            <v>23216.70754831989</v>
          </cell>
          <cell r="S140">
            <v>36489.994576314406</v>
          </cell>
          <cell r="T140">
            <v>36512.901021800426</v>
          </cell>
          <cell r="U140">
            <v>49082.434438012431</v>
          </cell>
          <cell r="V140">
            <v>45616.770670422375</v>
          </cell>
          <cell r="W140">
            <v>42400.30967294256</v>
          </cell>
          <cell r="X140">
            <v>55169.526824126238</v>
          </cell>
          <cell r="Y140">
            <v>22986.746503425751</v>
          </cell>
          <cell r="Z140">
            <v>27304.882790306743</v>
          </cell>
          <cell r="AA140">
            <v>72791.448266774722</v>
          </cell>
        </row>
        <row r="141">
          <cell r="B141" t="str">
            <v>Ganho de Receita - Cobrança Bidirecional 9 (nove) Praças de Pedágio</v>
          </cell>
        </row>
        <row r="142">
          <cell r="B142" t="str">
            <v>Fluxo de Caixa do Fator</v>
          </cell>
          <cell r="H142">
            <v>1568.9826882601965</v>
          </cell>
          <cell r="I142">
            <v>3826.6568105366728</v>
          </cell>
          <cell r="J142">
            <v>7978.6421436043311</v>
          </cell>
          <cell r="K142">
            <v>9520.4472848127953</v>
          </cell>
          <cell r="L142">
            <v>5008.7854607698864</v>
          </cell>
          <cell r="M142">
            <v>5376.1755119968857</v>
          </cell>
          <cell r="N142">
            <v>5544.5396013668633</v>
          </cell>
          <cell r="O142">
            <v>5718.0208316326334</v>
          </cell>
          <cell r="P142">
            <v>5587.1642457667676</v>
          </cell>
          <cell r="Q142">
            <v>5441.3426469132401</v>
          </cell>
          <cell r="R142">
            <v>5856.3607837369545</v>
          </cell>
          <cell r="S142">
            <v>6024.3162486658493</v>
          </cell>
          <cell r="T142">
            <v>6197.016912799003</v>
          </cell>
          <cell r="U142">
            <v>5999.0392821264777</v>
          </cell>
          <cell r="V142">
            <v>5784.9783396065332</v>
          </cell>
          <cell r="W142">
            <v>5920.1699029600995</v>
          </cell>
          <cell r="X142">
            <v>7142.4691399102257</v>
          </cell>
          <cell r="Y142">
            <v>7313.9731333929476</v>
          </cell>
          <cell r="Z142">
            <v>7489.5273568195244</v>
          </cell>
          <cell r="AA142">
            <v>9353.7410982726979</v>
          </cell>
        </row>
        <row r="143">
          <cell r="B143" t="str">
            <v>Somatoria com Projeto Original</v>
          </cell>
          <cell r="F143">
            <v>26128.061749127428</v>
          </cell>
          <cell r="G143">
            <v>0.24956721829312908</v>
          </cell>
          <cell r="H143">
            <v>-55168.198108524797</v>
          </cell>
          <cell r="I143">
            <v>-22556.352524463331</v>
          </cell>
          <cell r="J143">
            <v>-7956.4092913956665</v>
          </cell>
          <cell r="K143">
            <v>3018.3843498127953</v>
          </cell>
          <cell r="L143">
            <v>24799.255355769885</v>
          </cell>
          <cell r="M143">
            <v>28984.307406996893</v>
          </cell>
          <cell r="N143">
            <v>46308.673096366867</v>
          </cell>
          <cell r="O143">
            <v>45336.435926632636</v>
          </cell>
          <cell r="P143">
            <v>41409.106940766775</v>
          </cell>
          <cell r="Q143">
            <v>37781.891441913242</v>
          </cell>
          <cell r="R143">
            <v>30780.533678736952</v>
          </cell>
          <cell r="S143">
            <v>45169.683443665846</v>
          </cell>
          <cell r="T143">
            <v>46380.660207798996</v>
          </cell>
          <cell r="U143">
            <v>59815.697677126467</v>
          </cell>
          <cell r="V143">
            <v>57263.431934606524</v>
          </cell>
          <cell r="W143">
            <v>55376.645297960102</v>
          </cell>
          <cell r="X143">
            <v>70822.077734910228</v>
          </cell>
          <cell r="Y143">
            <v>40179.945128392945</v>
          </cell>
          <cell r="Z143">
            <v>46121.66001181952</v>
          </cell>
          <cell r="AA143">
            <v>95003.049693272696</v>
          </cell>
        </row>
        <row r="144">
          <cell r="B144" t="str">
            <v>Ônus Variável - s/ Rec. Acess. De 3% para 28%</v>
          </cell>
        </row>
        <row r="145">
          <cell r="B145" t="str">
            <v>Fluxo de Caixa do Fator</v>
          </cell>
          <cell r="H145">
            <v>-7.0350000000000001</v>
          </cell>
          <cell r="I145">
            <v>-10.673099999999891</v>
          </cell>
          <cell r="J145">
            <v>-10.796111999999784</v>
          </cell>
          <cell r="K145">
            <v>-10.92158424000017</v>
          </cell>
          <cell r="L145">
            <v>-11.049565924800167</v>
          </cell>
          <cell r="M145">
            <v>-11.180107243296007</v>
          </cell>
          <cell r="N145">
            <v>-11.313259388161878</v>
          </cell>
          <cell r="O145">
            <v>-11.449074575925042</v>
          </cell>
          <cell r="P145">
            <v>-11.587606067443421</v>
          </cell>
          <cell r="Q145">
            <v>-11.72890818879268</v>
          </cell>
          <cell r="R145">
            <v>-11.873036352568588</v>
          </cell>
          <cell r="S145">
            <v>-12.0200470796199</v>
          </cell>
          <cell r="T145">
            <v>-12.169998021212042</v>
          </cell>
          <cell r="U145">
            <v>-12.322947981636258</v>
          </cell>
          <cell r="V145">
            <v>-12.478956941269061</v>
          </cell>
          <cell r="W145">
            <v>-12.638086080094503</v>
          </cell>
          <cell r="X145">
            <v>-12.800397801696253</v>
          </cell>
          <cell r="Y145">
            <v>-12.965955757730168</v>
          </cell>
          <cell r="Z145">
            <v>-13.134824872884947</v>
          </cell>
          <cell r="AA145">
            <v>-13.307071370342792</v>
          </cell>
        </row>
        <row r="146">
          <cell r="B146" t="str">
            <v>Somatoria com Projeto Original</v>
          </cell>
          <cell r="F146">
            <v>-51.333554940198496</v>
          </cell>
          <cell r="G146">
            <v>0.1997478818413588</v>
          </cell>
          <cell r="H146">
            <v>-56744.215796785</v>
          </cell>
          <cell r="I146">
            <v>-26393.682435000002</v>
          </cell>
          <cell r="J146">
            <v>-15945.847546999998</v>
          </cell>
          <cell r="K146">
            <v>-6512.9845192399998</v>
          </cell>
          <cell r="L146">
            <v>19779.420329075198</v>
          </cell>
          <cell r="M146">
            <v>23596.951787756709</v>
          </cell>
          <cell r="N146">
            <v>40752.820235611842</v>
          </cell>
          <cell r="O146">
            <v>39606.966020424079</v>
          </cell>
          <cell r="P146">
            <v>35810.355088932563</v>
          </cell>
          <cell r="Q146">
            <v>32328.819886811209</v>
          </cell>
          <cell r="R146">
            <v>24912.299858647431</v>
          </cell>
          <cell r="S146">
            <v>39133.34714792038</v>
          </cell>
          <cell r="T146">
            <v>40171.47329697878</v>
          </cell>
          <cell r="U146">
            <v>53804.335447018355</v>
          </cell>
          <cell r="V146">
            <v>51465.974638058724</v>
          </cell>
          <cell r="W146">
            <v>49443.837308919909</v>
          </cell>
          <cell r="X146">
            <v>63666.808197198312</v>
          </cell>
          <cell r="Y146">
            <v>32853.006039242267</v>
          </cell>
          <cell r="Z146">
            <v>38618.997830127111</v>
          </cell>
          <cell r="AA146">
            <v>85636.001523629646</v>
          </cell>
        </row>
        <row r="147">
          <cell r="B147" t="str">
            <v>Custos Operacionais Provocado pela Cobrança Bidirecional</v>
          </cell>
        </row>
        <row r="148">
          <cell r="B148" t="str">
            <v>Fluxo de Caixa do Fator</v>
          </cell>
          <cell r="H148">
            <v>-1490.3985904453164</v>
          </cell>
          <cell r="I148">
            <v>-2569.4948826205264</v>
          </cell>
          <cell r="J148">
            <v>-3259.0573414415767</v>
          </cell>
          <cell r="K148">
            <v>-3274.3641964695253</v>
          </cell>
          <cell r="L148">
            <v>-3206.6450050715648</v>
          </cell>
          <cell r="M148">
            <v>-3248.8924898639925</v>
          </cell>
          <cell r="N148">
            <v>-3338.4404367954048</v>
          </cell>
          <cell r="O148">
            <v>-3292.2348754022823</v>
          </cell>
          <cell r="P148">
            <v>-3272.3051041347271</v>
          </cell>
          <cell r="Q148">
            <v>-3262.8514483591466</v>
          </cell>
          <cell r="R148">
            <v>-3186.1406340678172</v>
          </cell>
          <cell r="S148">
            <v>-3271.2034257279006</v>
          </cell>
          <cell r="T148">
            <v>-3255.957835910518</v>
          </cell>
          <cell r="U148">
            <v>-3286.3435804964611</v>
          </cell>
          <cell r="V148">
            <v>-3332.6757438345185</v>
          </cell>
          <cell r="W148">
            <v>-3311.9704067472658</v>
          </cell>
          <cell r="X148">
            <v>-3283.76366638118</v>
          </cell>
          <cell r="Y148">
            <v>-3187.104368120195</v>
          </cell>
          <cell r="Z148">
            <v>-3166.0552715028948</v>
          </cell>
          <cell r="AA148">
            <v>-3286.978524477272</v>
          </cell>
        </row>
        <row r="149">
          <cell r="B149" t="str">
            <v>Somatoria com Projeto Original</v>
          </cell>
          <cell r="F149">
            <v>-13941.901419703257</v>
          </cell>
          <cell r="G149">
            <v>0.17515108975609892</v>
          </cell>
          <cell r="H149">
            <v>-58227.579387230311</v>
          </cell>
          <cell r="I149">
            <v>-28952.504217620528</v>
          </cell>
          <cell r="J149">
            <v>-19194.108776441575</v>
          </cell>
          <cell r="K149">
            <v>-9776.4271314695252</v>
          </cell>
          <cell r="L149">
            <v>16583.824889928434</v>
          </cell>
          <cell r="M149">
            <v>20359.239405136013</v>
          </cell>
          <cell r="N149">
            <v>37425.693058204597</v>
          </cell>
          <cell r="O149">
            <v>36326.180219597722</v>
          </cell>
          <cell r="P149">
            <v>32549.637590865277</v>
          </cell>
          <cell r="Q149">
            <v>29077.697346640856</v>
          </cell>
          <cell r="R149">
            <v>21738.032260932181</v>
          </cell>
          <cell r="S149">
            <v>35874.163769272098</v>
          </cell>
          <cell r="T149">
            <v>36927.68545908948</v>
          </cell>
          <cell r="U149">
            <v>50530.31481450353</v>
          </cell>
          <cell r="V149">
            <v>48145.777851165476</v>
          </cell>
          <cell r="W149">
            <v>46144.504988252738</v>
          </cell>
          <cell r="X149">
            <v>60395.844928618826</v>
          </cell>
          <cell r="Y149">
            <v>29678.867626879804</v>
          </cell>
          <cell r="Z149">
            <v>35466.077383497097</v>
          </cell>
          <cell r="AA149">
            <v>82362.33007052273</v>
          </cell>
        </row>
        <row r="150">
          <cell r="B150" t="str">
            <v>Investimentos 1º Adequação</v>
          </cell>
        </row>
        <row r="151">
          <cell r="B151" t="str">
            <v>Fluxo de Caixa do Fator</v>
          </cell>
          <cell r="H151">
            <v>-12567.557082803998</v>
          </cell>
          <cell r="I151">
            <v>2018.376756904489</v>
          </cell>
          <cell r="J151">
            <v>-2046.9422979180567</v>
          </cell>
          <cell r="K151">
            <v>-7456.4293198434107</v>
          </cell>
          <cell r="L151">
            <v>459.60612115095995</v>
          </cell>
          <cell r="M151">
            <v>-5358.2092090772221</v>
          </cell>
          <cell r="N151">
            <v>-8477.4593259324647</v>
          </cell>
          <cell r="O151">
            <v>-1500.7757625650995</v>
          </cell>
          <cell r="P151">
            <v>-189.82206831486633</v>
          </cell>
          <cell r="Q151">
            <v>2220.3020382794261</v>
          </cell>
          <cell r="R151">
            <v>8604.1156068045966</v>
          </cell>
          <cell r="S151">
            <v>-151.03876983038953</v>
          </cell>
          <cell r="T151">
            <v>1601.8873751720778</v>
          </cell>
          <cell r="U151">
            <v>-8512.3007858670371</v>
          </cell>
          <cell r="V151">
            <v>-9025.5507764557897</v>
          </cell>
          <cell r="W151">
            <v>-7318.3906375983133</v>
          </cell>
          <cell r="X151">
            <v>-9244.1223719030531</v>
          </cell>
          <cell r="Y151">
            <v>4161.0042831807959</v>
          </cell>
          <cell r="Z151">
            <v>6010.6034682508171</v>
          </cell>
          <cell r="AA151">
            <v>-10048.952187028743</v>
          </cell>
        </row>
        <row r="152">
          <cell r="B152" t="str">
            <v>Somatoria com Projeto Original</v>
          </cell>
          <cell r="F152">
            <v>-18551.788194578407</v>
          </cell>
          <cell r="G152">
            <v>0.1691858131727948</v>
          </cell>
          <cell r="H152">
            <v>-69304.737879588996</v>
          </cell>
          <cell r="I152">
            <v>-24364.632578095512</v>
          </cell>
          <cell r="J152">
            <v>-17981.993732918054</v>
          </cell>
          <cell r="K152">
            <v>-13958.492254843412</v>
          </cell>
          <cell r="L152">
            <v>20250.076016150957</v>
          </cell>
          <cell r="M152">
            <v>18249.922685922786</v>
          </cell>
          <cell r="N152">
            <v>32286.674169067537</v>
          </cell>
          <cell r="O152">
            <v>38117.639332434905</v>
          </cell>
          <cell r="P152">
            <v>35632.120626685137</v>
          </cell>
          <cell r="Q152">
            <v>34560.85083327943</v>
          </cell>
          <cell r="R152">
            <v>33528.288501804593</v>
          </cell>
          <cell r="S152">
            <v>38994.32842516961</v>
          </cell>
          <cell r="T152">
            <v>41785.530670172069</v>
          </cell>
          <cell r="U152">
            <v>45304.357609132952</v>
          </cell>
          <cell r="V152">
            <v>42452.9028185442</v>
          </cell>
          <cell r="W152">
            <v>42138.084757401688</v>
          </cell>
          <cell r="X152">
            <v>54435.486223096952</v>
          </cell>
          <cell r="Y152">
            <v>37026.976278180795</v>
          </cell>
          <cell r="Z152">
            <v>44642.736123250812</v>
          </cell>
          <cell r="AA152">
            <v>75600.356407971252</v>
          </cell>
        </row>
        <row r="153">
          <cell r="B153" t="str">
            <v>Investimentos 2ª Adequação</v>
          </cell>
        </row>
        <row r="154">
          <cell r="B154" t="str">
            <v>Fluxo de Caixa do Fator</v>
          </cell>
          <cell r="H154">
            <v>21216.487855887626</v>
          </cell>
          <cell r="I154">
            <v>-9811.7757266768695</v>
          </cell>
          <cell r="J154">
            <v>-18070.533981896595</v>
          </cell>
          <cell r="K154">
            <v>-4905.1306283470294</v>
          </cell>
          <cell r="L154">
            <v>-1024.3692402212241</v>
          </cell>
          <cell r="M154">
            <v>-981.44154440241175</v>
          </cell>
          <cell r="N154">
            <v>85.15164040855484</v>
          </cell>
          <cell r="O154">
            <v>544.00790713194579</v>
          </cell>
          <cell r="P154">
            <v>-628.93471160963315</v>
          </cell>
          <cell r="Q154">
            <v>-1128.3522661467307</v>
          </cell>
          <cell r="R154">
            <v>-1098.4058681222243</v>
          </cell>
          <cell r="S154">
            <v>1967.9066793609848</v>
          </cell>
          <cell r="T154">
            <v>10610.465218713816</v>
          </cell>
          <cell r="U154">
            <v>2626.2808691171731</v>
          </cell>
          <cell r="V154">
            <v>-1699.1718544845519</v>
          </cell>
          <cell r="W154">
            <v>-2818.7714586585653</v>
          </cell>
          <cell r="X154">
            <v>-1547.6484608046826</v>
          </cell>
          <cell r="Y154">
            <v>-2893.8968992200412</v>
          </cell>
          <cell r="Z154">
            <v>6423.5441770883754</v>
          </cell>
          <cell r="AA154">
            <v>229.20700796964582</v>
          </cell>
        </row>
        <row r="155">
          <cell r="B155" t="str">
            <v>Somatoria com Projeto Original</v>
          </cell>
          <cell r="F155">
            <v>-1819.4068302137341</v>
          </cell>
          <cell r="G155">
            <v>0.19645999173442377</v>
          </cell>
          <cell r="H155">
            <v>-35520.692940897366</v>
          </cell>
          <cell r="I155">
            <v>-36194.78506167687</v>
          </cell>
          <cell r="J155">
            <v>-34005.585416896589</v>
          </cell>
          <cell r="K155">
            <v>-11407.193563347029</v>
          </cell>
          <cell r="L155">
            <v>18766.100654778773</v>
          </cell>
          <cell r="M155">
            <v>22626.690350597593</v>
          </cell>
          <cell r="N155">
            <v>40849.285135408558</v>
          </cell>
          <cell r="O155">
            <v>40162.423002131953</v>
          </cell>
          <cell r="P155">
            <v>35193.007983390373</v>
          </cell>
          <cell r="Q155">
            <v>31212.19652885327</v>
          </cell>
          <cell r="R155">
            <v>23825.767026877777</v>
          </cell>
          <cell r="S155">
            <v>41113.273874360981</v>
          </cell>
          <cell r="T155">
            <v>50794.108513713814</v>
          </cell>
          <cell r="U155">
            <v>56442.939264117165</v>
          </cell>
          <cell r="V155">
            <v>49779.281740515442</v>
          </cell>
          <cell r="W155">
            <v>46637.703936341437</v>
          </cell>
          <cell r="X155">
            <v>62131.960134195324</v>
          </cell>
          <cell r="Y155">
            <v>29972.075095779957</v>
          </cell>
          <cell r="Z155">
            <v>45055.676832088371</v>
          </cell>
          <cell r="AA155">
            <v>85878.515602969637</v>
          </cell>
        </row>
        <row r="156">
          <cell r="B156" t="str">
            <v>Investimentos 3ª Adequação</v>
          </cell>
        </row>
        <row r="157">
          <cell r="B157" t="str">
            <v>Fluxo de Caixa do Fator</v>
          </cell>
          <cell r="H157">
            <v>3.6631669693193216</v>
          </cell>
          <cell r="I157">
            <v>4537.1685575075844</v>
          </cell>
          <cell r="J157">
            <v>10223.502984357148</v>
          </cell>
          <cell r="K157">
            <v>-6197.2165014673074</v>
          </cell>
          <cell r="L157">
            <v>459.00062538256947</v>
          </cell>
          <cell r="M157">
            <v>-9182.5496214783871</v>
          </cell>
          <cell r="N157">
            <v>-1001.8445785450883</v>
          </cell>
          <cell r="O157">
            <v>524.35040795593284</v>
          </cell>
          <cell r="P157">
            <v>-1282.0198467785419</v>
          </cell>
          <cell r="Q157">
            <v>-671.84162433599295</v>
          </cell>
          <cell r="R157">
            <v>46.72512260390809</v>
          </cell>
          <cell r="S157">
            <v>17.490169863039654</v>
          </cell>
          <cell r="T157">
            <v>1856.5139963754905</v>
          </cell>
          <cell r="U157">
            <v>-1219.575750861032</v>
          </cell>
          <cell r="V157">
            <v>338.14974371925592</v>
          </cell>
          <cell r="W157">
            <v>-5291.9043917843628</v>
          </cell>
          <cell r="X157">
            <v>408.5063464188284</v>
          </cell>
          <cell r="Y157">
            <v>751.37391377164022</v>
          </cell>
          <cell r="Z157">
            <v>-719.28904468697124</v>
          </cell>
          <cell r="AA157">
            <v>525.56279135883062</v>
          </cell>
        </row>
        <row r="158">
          <cell r="B158" t="str">
            <v>Somatoria com Projeto Original</v>
          </cell>
          <cell r="F158">
            <v>2534.9393079881461</v>
          </cell>
          <cell r="G158">
            <v>0.20466830363045768</v>
          </cell>
          <cell r="H158">
            <v>-56733.51762981568</v>
          </cell>
          <cell r="I158">
            <v>-21845.84077749242</v>
          </cell>
          <cell r="J158">
            <v>-5711.5484506428493</v>
          </cell>
          <cell r="K158">
            <v>-12699.279436467306</v>
          </cell>
          <cell r="L158">
            <v>20249.470520382569</v>
          </cell>
          <cell r="M158">
            <v>14425.582273521619</v>
          </cell>
          <cell r="N158">
            <v>39762.288916454912</v>
          </cell>
          <cell r="O158">
            <v>40142.765502955939</v>
          </cell>
          <cell r="P158">
            <v>34539.92284822146</v>
          </cell>
          <cell r="Q158">
            <v>31668.707170664009</v>
          </cell>
          <cell r="R158">
            <v>24970.898017603908</v>
          </cell>
          <cell r="S158">
            <v>39162.857364863041</v>
          </cell>
          <cell r="T158">
            <v>42040.157291375486</v>
          </cell>
          <cell r="U158">
            <v>52597.082644138958</v>
          </cell>
          <cell r="V158">
            <v>51816.603338719251</v>
          </cell>
          <cell r="W158">
            <v>44164.571003215635</v>
          </cell>
          <cell r="X158">
            <v>64088.114941418833</v>
          </cell>
          <cell r="Y158">
            <v>33617.34590877164</v>
          </cell>
          <cell r="Z158">
            <v>37912.843610313023</v>
          </cell>
          <cell r="AA158">
            <v>86174.87138635882</v>
          </cell>
        </row>
        <row r="159">
          <cell r="B159" t="str">
            <v>Investimentos 4ª Adequação</v>
          </cell>
        </row>
        <row r="160">
          <cell r="B160" t="str">
            <v>Fluxo de Caixa do Fator</v>
          </cell>
          <cell r="H160">
            <v>1.1295616339727257</v>
          </cell>
          <cell r="I160">
            <v>-1.9545219018331044</v>
          </cell>
          <cell r="J160">
            <v>20691.770411615638</v>
          </cell>
          <cell r="K160">
            <v>14525.365556762084</v>
          </cell>
          <cell r="L160">
            <v>-19050.65590251287</v>
          </cell>
          <cell r="M160">
            <v>-8622.7840346638277</v>
          </cell>
          <cell r="N160">
            <v>-2459.7934999411686</v>
          </cell>
          <cell r="O160">
            <v>-1787.977971510318</v>
          </cell>
          <cell r="P160">
            <v>511.30401762113411</v>
          </cell>
          <cell r="Q160">
            <v>-451.6348761338362</v>
          </cell>
          <cell r="R160">
            <v>5.0939702408999068</v>
          </cell>
          <cell r="S160">
            <v>-816.17558391233399</v>
          </cell>
          <cell r="T160">
            <v>83.817987391072549</v>
          </cell>
          <cell r="U160">
            <v>2724.6613113648714</v>
          </cell>
          <cell r="V160">
            <v>-1355.3095764007589</v>
          </cell>
          <cell r="W160">
            <v>5643.4925524462042</v>
          </cell>
          <cell r="X160">
            <v>-3515.793648524972</v>
          </cell>
          <cell r="Y160">
            <v>-738.37559369576365</v>
          </cell>
          <cell r="Z160">
            <v>1066.1820630038674</v>
          </cell>
          <cell r="AA160">
            <v>724.68359937481569</v>
          </cell>
        </row>
        <row r="161">
          <cell r="B161" t="str">
            <v>Somatoria com Projeto Original</v>
          </cell>
          <cell r="F161">
            <v>7571.9873692779101</v>
          </cell>
          <cell r="G161">
            <v>0.21475883906700452</v>
          </cell>
          <cell r="H161">
            <v>-56736.051235151026</v>
          </cell>
          <cell r="I161">
            <v>-26384.963856901835</v>
          </cell>
          <cell r="J161">
            <v>4756.7189766156407</v>
          </cell>
          <cell r="K161">
            <v>8023.3026217620845</v>
          </cell>
          <cell r="L161">
            <v>739.81399248712842</v>
          </cell>
          <cell r="M161">
            <v>14985.347860336178</v>
          </cell>
          <cell r="N161">
            <v>38304.339995058835</v>
          </cell>
          <cell r="O161">
            <v>37830.437123489683</v>
          </cell>
          <cell r="P161">
            <v>36333.246712621141</v>
          </cell>
          <cell r="Q161">
            <v>31888.913918866165</v>
          </cell>
          <cell r="R161">
            <v>24929.266865240901</v>
          </cell>
          <cell r="S161">
            <v>38329.191611087663</v>
          </cell>
          <cell r="T161">
            <v>40267.461282391065</v>
          </cell>
          <cell r="U161">
            <v>56541.319706364862</v>
          </cell>
          <cell r="V161">
            <v>50123.144018599232</v>
          </cell>
          <cell r="W161">
            <v>55099.967947446203</v>
          </cell>
          <cell r="X161">
            <v>60163.814946475031</v>
          </cell>
          <cell r="Y161">
            <v>32127.596401304236</v>
          </cell>
          <cell r="Z161">
            <v>39698.314718003865</v>
          </cell>
          <cell r="AA161">
            <v>86373.992194374805</v>
          </cell>
        </row>
        <row r="162">
          <cell r="B162" t="str">
            <v>Investimentos 5ª Adequação</v>
          </cell>
        </row>
        <row r="163">
          <cell r="B163" t="str">
            <v>Fluxo de Caixa do Fator</v>
          </cell>
          <cell r="H163">
            <v>-1.8170377464915646E-2</v>
          </cell>
          <cell r="I163">
            <v>3.9512942405053766E-4</v>
          </cell>
          <cell r="J163">
            <v>-5.5954167090559146</v>
          </cell>
          <cell r="K163">
            <v>780.57781683375231</v>
          </cell>
          <cell r="L163">
            <v>8416.5805570837001</v>
          </cell>
          <cell r="M163">
            <v>-3118.447629493161</v>
          </cell>
          <cell r="N163">
            <v>-4753.4577080174085</v>
          </cell>
          <cell r="O163">
            <v>-1545.8451358764555</v>
          </cell>
          <cell r="P163">
            <v>-767.18350133809668</v>
          </cell>
          <cell r="Q163">
            <v>-1528.1908047785762</v>
          </cell>
          <cell r="R163">
            <v>-235.72479456932888</v>
          </cell>
          <cell r="S163">
            <v>-461.36239897576189</v>
          </cell>
          <cell r="T163">
            <v>83.380142208816068</v>
          </cell>
          <cell r="U163">
            <v>441.52052443218918</v>
          </cell>
          <cell r="V163">
            <v>607.94586792451935</v>
          </cell>
          <cell r="W163">
            <v>820.05040193341245</v>
          </cell>
          <cell r="X163">
            <v>51.496213227061858</v>
          </cell>
          <cell r="Y163">
            <v>1168.9614538340588</v>
          </cell>
          <cell r="Z163">
            <v>122.3892989695149</v>
          </cell>
          <cell r="AA163">
            <v>-77.02097042976618</v>
          </cell>
        </row>
        <row r="164">
          <cell r="B164" t="str">
            <v>Somatoria com Projeto Original</v>
          </cell>
          <cell r="F164">
            <v>719.94591002820539</v>
          </cell>
          <cell r="G164">
            <v>0.20116248786645211</v>
          </cell>
          <cell r="H164">
            <v>-56737.198967162461</v>
          </cell>
          <cell r="I164">
            <v>-26383.008939870579</v>
          </cell>
          <cell r="J164">
            <v>-15940.646851709054</v>
          </cell>
          <cell r="K164">
            <v>-5721.485118166248</v>
          </cell>
          <cell r="L164">
            <v>28207.050452083698</v>
          </cell>
          <cell r="M164">
            <v>20489.684265506847</v>
          </cell>
          <cell r="N164">
            <v>36010.675786982596</v>
          </cell>
          <cell r="O164">
            <v>38072.569959123546</v>
          </cell>
          <cell r="P164">
            <v>35054.759193661906</v>
          </cell>
          <cell r="Q164">
            <v>30812.357990221426</v>
          </cell>
          <cell r="R164">
            <v>24688.448100430673</v>
          </cell>
          <cell r="S164">
            <v>38684.004796024237</v>
          </cell>
          <cell r="T164">
            <v>40267.023437208809</v>
          </cell>
          <cell r="U164">
            <v>54258.178919432183</v>
          </cell>
          <cell r="V164">
            <v>52086.399462924514</v>
          </cell>
          <cell r="W164">
            <v>50276.525796933412</v>
          </cell>
          <cell r="X164">
            <v>63731.104808227064</v>
          </cell>
          <cell r="Y164">
            <v>34034.933448834061</v>
          </cell>
          <cell r="Z164">
            <v>38754.52195396951</v>
          </cell>
          <cell r="AA164">
            <v>85572.287624570235</v>
          </cell>
        </row>
        <row r="165">
          <cell r="B165" t="str">
            <v>Onus Variável - Rec. Ass. de 28% para 25% e Rec. NOp. de 28% para 3%</v>
          </cell>
        </row>
        <row r="166">
          <cell r="B166" t="str">
            <v>Fluxo de Caixa do Fator</v>
          </cell>
          <cell r="H166">
            <v>0.84419999999999384</v>
          </cell>
          <cell r="I166">
            <v>1.2807719999999381</v>
          </cell>
          <cell r="J166">
            <v>1.2955334399998399</v>
          </cell>
          <cell r="K166">
            <v>1.3105901088002518</v>
          </cell>
          <cell r="L166">
            <v>1.3259479109762151</v>
          </cell>
          <cell r="M166">
            <v>1.3416128691954965</v>
          </cell>
          <cell r="N166">
            <v>1.3575911265795595</v>
          </cell>
          <cell r="O166">
            <v>1.3738889491111514</v>
          </cell>
          <cell r="P166">
            <v>1.3905127280930765</v>
          </cell>
          <cell r="Q166">
            <v>1.4074689826551094</v>
          </cell>
          <cell r="R166">
            <v>1.4247643623084376</v>
          </cell>
          <cell r="S166">
            <v>1.4424056495543391</v>
          </cell>
          <cell r="T166">
            <v>1.4603997625455669</v>
          </cell>
          <cell r="U166">
            <v>1.4787537577964849</v>
          </cell>
          <cell r="V166">
            <v>1.4974748329523118</v>
          </cell>
          <cell r="W166">
            <v>1.5165703296113771</v>
          </cell>
          <cell r="X166">
            <v>1.5360477362037455</v>
          </cell>
          <cell r="Y166">
            <v>1.5559146909274251</v>
          </cell>
          <cell r="Z166">
            <v>1.5761789847461205</v>
          </cell>
          <cell r="AA166">
            <v>1.5968485644412205</v>
          </cell>
        </row>
        <row r="167">
          <cell r="B167" t="str">
            <v>Somatoria com Projeto Original</v>
          </cell>
          <cell r="F167">
            <v>6.1600265927987445</v>
          </cell>
          <cell r="G167">
            <v>0.19985223380243691</v>
          </cell>
          <cell r="H167">
            <v>-56736.336596784997</v>
          </cell>
          <cell r="I167">
            <v>-26381.728563000004</v>
          </cell>
          <cell r="J167">
            <v>-15933.755901559998</v>
          </cell>
          <cell r="K167">
            <v>-6500.7523448911998</v>
          </cell>
          <cell r="L167">
            <v>19791.795842910975</v>
          </cell>
          <cell r="M167">
            <v>23609.473507869203</v>
          </cell>
          <cell r="N167">
            <v>40765.491086126582</v>
          </cell>
          <cell r="O167">
            <v>39619.788983949118</v>
          </cell>
          <cell r="P167">
            <v>35823.333207728101</v>
          </cell>
          <cell r="Q167">
            <v>32341.956263982658</v>
          </cell>
          <cell r="R167">
            <v>24925.597659362309</v>
          </cell>
          <cell r="S167">
            <v>39146.809600649554</v>
          </cell>
          <cell r="T167">
            <v>40185.10369476254</v>
          </cell>
          <cell r="U167">
            <v>53818.137148757785</v>
          </cell>
          <cell r="V167">
            <v>51479.951069832947</v>
          </cell>
          <cell r="W167">
            <v>49457.991965329609</v>
          </cell>
          <cell r="X167">
            <v>63681.14464273621</v>
          </cell>
          <cell r="Y167">
            <v>32867.527909690929</v>
          </cell>
          <cell r="Z167">
            <v>38633.70883398474</v>
          </cell>
          <cell r="AA167">
            <v>85650.905443564436</v>
          </cell>
        </row>
        <row r="168">
          <cell r="B168" t="str">
            <v>Parcelamento de Reajuste Tarifário - Julho/2003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-1633.1564023243907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-788.01214227861135</v>
          </cell>
          <cell r="G170">
            <v>0.198416252759259</v>
          </cell>
          <cell r="H170">
            <v>-56737.180796784996</v>
          </cell>
          <cell r="I170">
            <v>-26383.009335000002</v>
          </cell>
          <cell r="J170">
            <v>-15935.051434999998</v>
          </cell>
          <cell r="K170">
            <v>-8135.2193373243908</v>
          </cell>
          <cell r="L170">
            <v>19790.469894999998</v>
          </cell>
          <cell r="M170">
            <v>23608.131895000006</v>
          </cell>
          <cell r="N170">
            <v>40764.133495000002</v>
          </cell>
          <cell r="O170">
            <v>39618.415095000004</v>
          </cell>
          <cell r="P170">
            <v>35821.942695000005</v>
          </cell>
          <cell r="Q170">
            <v>32340.548795000002</v>
          </cell>
          <cell r="R170">
            <v>24924.172895</v>
          </cell>
          <cell r="S170">
            <v>39145.367194999999</v>
          </cell>
          <cell r="T170">
            <v>40183.643294999994</v>
          </cell>
          <cell r="U170">
            <v>53816.658394999991</v>
          </cell>
          <cell r="V170">
            <v>51478.453594999992</v>
          </cell>
          <cell r="W170">
            <v>49456.475395000001</v>
          </cell>
          <cell r="X170">
            <v>63679.608595000005</v>
          </cell>
          <cell r="Y170">
            <v>32865.971995</v>
          </cell>
          <cell r="Z170">
            <v>38632.132654999994</v>
          </cell>
          <cell r="AA170">
            <v>85649.308594999995</v>
          </cell>
        </row>
        <row r="171">
          <cell r="B171" t="str">
            <v>Majoração da COFINS</v>
          </cell>
        </row>
        <row r="172">
          <cell r="B172" t="str">
            <v>Fluxo de Caixa do Fator</v>
          </cell>
          <cell r="H172">
            <v>-290.60287078427211</v>
          </cell>
          <cell r="I172">
            <v>-496.25797506822101</v>
          </cell>
          <cell r="J172">
            <v>-564.49381129760593</v>
          </cell>
          <cell r="K172">
            <v>-710.52456815727203</v>
          </cell>
          <cell r="L172">
            <v>-1166.5608941515866</v>
          </cell>
          <cell r="M172">
            <v>-646.36469021456105</v>
          </cell>
          <cell r="N172">
            <v>-667.68403078835013</v>
          </cell>
          <cell r="O172">
            <v>-689.70312607853577</v>
          </cell>
          <cell r="P172">
            <v>-710.77072712650204</v>
          </cell>
          <cell r="Q172">
            <v>-732.48581005559413</v>
          </cell>
          <cell r="R172">
            <v>-754.86838480991548</v>
          </cell>
          <cell r="S172">
            <v>-777.93908299897907</v>
          </cell>
          <cell r="T172">
            <v>-801.71917730974405</v>
          </cell>
          <cell r="U172">
            <v>-822.22444360157738</v>
          </cell>
          <cell r="V172">
            <v>-843.25863316146501</v>
          </cell>
          <cell r="W172">
            <v>-864.83549496909825</v>
          </cell>
          <cell r="X172">
            <v>-907.12868342156628</v>
          </cell>
          <cell r="Y172">
            <v>-930.3973724160835</v>
          </cell>
          <cell r="Z172">
            <v>-954.26811090089791</v>
          </cell>
          <cell r="AA172">
            <v>-978.75660026056175</v>
          </cell>
        </row>
        <row r="173">
          <cell r="B173" t="str">
            <v>Somatoria com Projeto Original</v>
          </cell>
          <cell r="F173">
            <v>-3107.3999154740454</v>
          </cell>
          <cell r="G173">
            <v>0.19422295541213425</v>
          </cell>
          <cell r="H173">
            <v>-57027.783667569267</v>
          </cell>
          <cell r="I173">
            <v>-26879.267310068222</v>
          </cell>
          <cell r="J173">
            <v>-16499.545246297603</v>
          </cell>
          <cell r="K173">
            <v>-7212.5875031572723</v>
          </cell>
          <cell r="L173">
            <v>18623.909000848413</v>
          </cell>
          <cell r="M173">
            <v>22961.767204785443</v>
          </cell>
          <cell r="N173">
            <v>40096.449464211655</v>
          </cell>
          <cell r="O173">
            <v>38928.711968921467</v>
          </cell>
          <cell r="P173">
            <v>35111.171967873503</v>
          </cell>
          <cell r="Q173">
            <v>31608.062984944409</v>
          </cell>
          <cell r="R173">
            <v>24169.304510190083</v>
          </cell>
          <cell r="S173">
            <v>38367.42811200102</v>
          </cell>
          <cell r="T173">
            <v>39381.924117690251</v>
          </cell>
          <cell r="U173">
            <v>52994.433951398416</v>
          </cell>
          <cell r="V173">
            <v>50635.194961838526</v>
          </cell>
          <cell r="W173">
            <v>48591.639900030903</v>
          </cell>
          <cell r="X173">
            <v>62772.479911578441</v>
          </cell>
          <cell r="Y173">
            <v>31935.574622583918</v>
          </cell>
          <cell r="Z173">
            <v>37677.864544099095</v>
          </cell>
          <cell r="AA173">
            <v>84670.551994739435</v>
          </cell>
        </row>
        <row r="174">
          <cell r="B174" t="str">
            <v>Majoração do PIS</v>
          </cell>
        </row>
        <row r="175">
          <cell r="B175" t="str">
            <v>Fluxo de Caixa do Fator</v>
          </cell>
          <cell r="H175">
            <v>-0.46727767787951624</v>
          </cell>
          <cell r="I175">
            <v>-0.79843679968752945</v>
          </cell>
          <cell r="J175">
            <v>-78.578388646710607</v>
          </cell>
          <cell r="K175">
            <v>-296.25841408792439</v>
          </cell>
          <cell r="L175">
            <v>-103.79217761890652</v>
          </cell>
          <cell r="M175">
            <v>-1.040121288823135</v>
          </cell>
          <cell r="N175">
            <v>-1.0744432829853066</v>
          </cell>
          <cell r="O175">
            <v>-1.1098919220169432</v>
          </cell>
          <cell r="P175">
            <v>-1.1438081923643098</v>
          </cell>
          <cell r="Q175">
            <v>-1.178766925569297</v>
          </cell>
          <cell r="R175">
            <v>-1.2148003401171172</v>
          </cell>
          <cell r="S175">
            <v>-1.2519416554911129</v>
          </cell>
          <cell r="T175">
            <v>-1.2902251234301048</v>
          </cell>
          <cell r="U175">
            <v>-1.3232349345500041</v>
          </cell>
          <cell r="V175">
            <v>-1.3570962747067052</v>
          </cell>
          <cell r="W175">
            <v>-1.3918312799676449</v>
          </cell>
          <cell r="X175">
            <v>-1.4599256298641785</v>
          </cell>
          <cell r="Y175">
            <v>-1.4973845736922715</v>
          </cell>
          <cell r="Z175">
            <v>-1.5358127856178021</v>
          </cell>
          <cell r="AA175">
            <v>-1.5752355453449729</v>
          </cell>
        </row>
        <row r="176">
          <cell r="B176" t="str">
            <v>Somatoria com Projeto Original</v>
          </cell>
          <cell r="F176">
            <v>-233.34594811212102</v>
          </cell>
          <cell r="G176">
            <v>0.19941797213545673</v>
          </cell>
          <cell r="H176">
            <v>-56737.648074462879</v>
          </cell>
          <cell r="I176">
            <v>-26383.807771799689</v>
          </cell>
          <cell r="J176">
            <v>-16013.629823646708</v>
          </cell>
          <cell r="K176">
            <v>-6798.3213490879243</v>
          </cell>
          <cell r="L176">
            <v>19686.677717381091</v>
          </cell>
          <cell r="M176">
            <v>23607.091773711181</v>
          </cell>
          <cell r="N176">
            <v>40763.059051717013</v>
          </cell>
          <cell r="O176">
            <v>39617.305203077987</v>
          </cell>
          <cell r="P176">
            <v>35820.798886807643</v>
          </cell>
          <cell r="Q176">
            <v>32339.370028074434</v>
          </cell>
          <cell r="R176">
            <v>24922.958094659883</v>
          </cell>
          <cell r="S176">
            <v>39144.115253344506</v>
          </cell>
          <cell r="T176">
            <v>40182.353069876561</v>
          </cell>
          <cell r="U176">
            <v>53815.335160065442</v>
          </cell>
          <cell r="V176">
            <v>51477.096498725288</v>
          </cell>
          <cell r="W176">
            <v>49455.083563720036</v>
          </cell>
          <cell r="X176">
            <v>63678.148669370144</v>
          </cell>
          <cell r="Y176">
            <v>32864.47461042631</v>
          </cell>
          <cell r="Z176">
            <v>38630.596842214378</v>
          </cell>
          <cell r="AA176">
            <v>85647.733359454651</v>
          </cell>
        </row>
        <row r="177">
          <cell r="B177" t="str">
            <v>Alteração do ISS-QN</v>
          </cell>
        </row>
        <row r="178">
          <cell r="B178" t="str">
            <v>Fluxo de Caixa do Fator</v>
          </cell>
          <cell r="H178">
            <v>0</v>
          </cell>
          <cell r="I178">
            <v>0</v>
          </cell>
          <cell r="J178">
            <v>-732.49800115223093</v>
          </cell>
          <cell r="K178">
            <v>-2300.5385713058117</v>
          </cell>
          <cell r="L178">
            <v>-3053.4785970849007</v>
          </cell>
          <cell r="M178">
            <v>-3202.6092178273993</v>
          </cell>
          <cell r="N178">
            <v>-3308.2419841400879</v>
          </cell>
          <cell r="O178">
            <v>-3417.341882659422</v>
          </cell>
          <cell r="P178">
            <v>-3521.7273438729735</v>
          </cell>
          <cell r="Q178">
            <v>-3629.3209372355386</v>
          </cell>
          <cell r="R178">
            <v>-3740.2218076309737</v>
          </cell>
          <cell r="S178">
            <v>-3854.5321801579557</v>
          </cell>
          <cell r="T178">
            <v>-3972.3574563123416</v>
          </cell>
          <cell r="U178">
            <v>-4073.9566959041563</v>
          </cell>
          <cell r="V178">
            <v>-4178.1766366396996</v>
          </cell>
          <cell r="W178">
            <v>-4285.0854017318543</v>
          </cell>
          <cell r="X178">
            <v>-4494.6389406809203</v>
          </cell>
          <cell r="Y178">
            <v>-4609.9303409738823</v>
          </cell>
          <cell r="Z178">
            <v>-4728.2047668753712</v>
          </cell>
          <cell r="AA178">
            <v>-4849.5400153355431</v>
          </cell>
        </row>
        <row r="179">
          <cell r="B179" t="str">
            <v>Somatoria com Projeto Original</v>
          </cell>
          <cell r="F179">
            <v>-9617.1810003707033</v>
          </cell>
          <cell r="G179">
            <v>0.18204183549090305</v>
          </cell>
          <cell r="H179">
            <v>-56737.180796784996</v>
          </cell>
          <cell r="I179">
            <v>-26383.009335000002</v>
          </cell>
          <cell r="J179">
            <v>-16667.549436152229</v>
          </cell>
          <cell r="K179">
            <v>-8802.6015063058112</v>
          </cell>
          <cell r="L179">
            <v>16736.991297915098</v>
          </cell>
          <cell r="M179">
            <v>20405.522677172608</v>
          </cell>
          <cell r="N179">
            <v>37455.891510859918</v>
          </cell>
          <cell r="O179">
            <v>36201.073212340583</v>
          </cell>
          <cell r="P179">
            <v>32300.21535112703</v>
          </cell>
          <cell r="Q179">
            <v>28711.227857764465</v>
          </cell>
          <cell r="R179">
            <v>21183.951087369027</v>
          </cell>
          <cell r="S179">
            <v>35290.835014842043</v>
          </cell>
          <cell r="T179">
            <v>36211.285838687654</v>
          </cell>
          <cell r="U179">
            <v>49742.701699095836</v>
          </cell>
          <cell r="V179">
            <v>47300.276958360293</v>
          </cell>
          <cell r="W179">
            <v>45171.389993268145</v>
          </cell>
          <cell r="X179">
            <v>59184.969654319088</v>
          </cell>
          <cell r="Y179">
            <v>28256.041654026118</v>
          </cell>
          <cell r="Z179">
            <v>33903.927888124621</v>
          </cell>
          <cell r="AA179">
            <v>80799.768579664451</v>
          </cell>
        </row>
        <row r="180">
          <cell r="B180" t="str">
            <v>6ª Adequação - Investimentos</v>
          </cell>
        </row>
        <row r="181">
          <cell r="B181" t="str">
            <v>Fluxo de Caixa do Fator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  <cell r="Q181" t="e">
            <v>#REF!</v>
          </cell>
          <cell r="R181" t="e">
            <v>#REF!</v>
          </cell>
          <cell r="S181" t="e">
            <v>#REF!</v>
          </cell>
          <cell r="T181" t="e">
            <v>#REF!</v>
          </cell>
          <cell r="U181" t="e">
            <v>#REF!</v>
          </cell>
          <cell r="V181" t="e">
            <v>#REF!</v>
          </cell>
          <cell r="W181" t="e">
            <v>#REF!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</row>
        <row r="182">
          <cell r="B182" t="str">
            <v>Somatoria com Projeto Original</v>
          </cell>
          <cell r="F182" t="e">
            <v>#REF!</v>
          </cell>
          <cell r="G182" t="e">
            <v>#VALUE!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  <cell r="Q182" t="e">
            <v>#REF!</v>
          </cell>
          <cell r="R182" t="e">
            <v>#REF!</v>
          </cell>
          <cell r="S182" t="e">
            <v>#REF!</v>
          </cell>
          <cell r="T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  <cell r="Q184" t="e">
            <v>#REF!</v>
          </cell>
          <cell r="R184" t="e">
            <v>#REF!</v>
          </cell>
          <cell r="S184" t="e">
            <v>#REF!</v>
          </cell>
          <cell r="T184" t="e">
            <v>#REF!</v>
          </cell>
          <cell r="U184" t="e">
            <v>#REF!</v>
          </cell>
          <cell r="V184" t="e">
            <v>#REF!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</row>
        <row r="185">
          <cell r="B185" t="str">
            <v>Somatoria com Projeto Original</v>
          </cell>
          <cell r="F185" t="e">
            <v>#REF!</v>
          </cell>
          <cell r="G185" t="e">
            <v>#VALUE!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  <cell r="Q185" t="e">
            <v>#REF!</v>
          </cell>
          <cell r="R185" t="e">
            <v>#REF!</v>
          </cell>
          <cell r="S185" t="e">
            <v>#REF!</v>
          </cell>
          <cell r="T185" t="e">
            <v>#REF!</v>
          </cell>
          <cell r="U185" t="e">
            <v>#REF!</v>
          </cell>
          <cell r="V185" t="e">
            <v>#REF!</v>
          </cell>
          <cell r="W185" t="e">
            <v>#REF!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42981.778669067578</v>
          </cell>
          <cell r="H191">
            <v>73399.52395411444</v>
          </cell>
          <cell r="I191">
            <v>83491.101692401731</v>
          </cell>
          <cell r="J191">
            <v>85602.952888216227</v>
          </cell>
          <cell r="K191">
            <v>91147.689353637514</v>
          </cell>
          <cell r="L191">
            <v>95600.588257570809</v>
          </cell>
          <cell r="M191">
            <v>98754.025085785805</v>
          </cell>
          <cell r="N191">
            <v>102009.88111222906</v>
          </cell>
          <cell r="O191">
            <v>105126.06313080249</v>
          </cell>
          <cell r="P191">
            <v>108337.95740026173</v>
          </cell>
          <cell r="Q191">
            <v>111648.57383336568</v>
          </cell>
          <cell r="R191">
            <v>115059.96269211765</v>
          </cell>
          <cell r="S191">
            <v>118578.22313519091</v>
          </cell>
          <cell r="T191">
            <v>121611.11437588021</v>
          </cell>
          <cell r="U191">
            <v>124722.24349079856</v>
          </cell>
          <cell r="V191">
            <v>127912.53676901769</v>
          </cell>
          <cell r="W191">
            <v>134167.97047858228</v>
          </cell>
          <cell r="X191">
            <v>137609.49138534666</v>
          </cell>
          <cell r="Y191">
            <v>141141.48041817182</v>
          </cell>
          <cell r="Z191">
            <v>144762.0020076026</v>
          </cell>
          <cell r="AA191">
            <v>2163665.1601301613</v>
          </cell>
        </row>
        <row r="192">
          <cell r="B192" t="str">
            <v>1.1 - Operacionais    (1.1.1 + 1.1.2)</v>
          </cell>
          <cell r="G192">
            <v>42981.778669067578</v>
          </cell>
          <cell r="H192">
            <v>73399.52395411444</v>
          </cell>
          <cell r="I192">
            <v>83491.101692401731</v>
          </cell>
          <cell r="J192">
            <v>85602.952888216227</v>
          </cell>
          <cell r="K192">
            <v>91147.689353637514</v>
          </cell>
          <cell r="L192">
            <v>95600.588257570809</v>
          </cell>
          <cell r="M192">
            <v>98754.025085785805</v>
          </cell>
          <cell r="N192">
            <v>102009.88111222906</v>
          </cell>
          <cell r="O192">
            <v>105126.06313080249</v>
          </cell>
          <cell r="P192">
            <v>108337.95740026173</v>
          </cell>
          <cell r="Q192">
            <v>111648.57383336568</v>
          </cell>
          <cell r="R192">
            <v>115059.96269211765</v>
          </cell>
          <cell r="S192">
            <v>118578.22313519091</v>
          </cell>
          <cell r="T192">
            <v>121611.11437588021</v>
          </cell>
          <cell r="U192">
            <v>124722.24349079856</v>
          </cell>
          <cell r="V192">
            <v>127912.53676901769</v>
          </cell>
          <cell r="W192">
            <v>134167.97047858228</v>
          </cell>
          <cell r="X192">
            <v>137609.49138534666</v>
          </cell>
          <cell r="Y192">
            <v>141141.48041817182</v>
          </cell>
          <cell r="Z192">
            <v>144762.0020076026</v>
          </cell>
          <cell r="AA192">
            <v>2163665.1601301613</v>
          </cell>
        </row>
        <row r="193">
          <cell r="B193" t="str">
            <v>1.1.1 - Receitas de  Pedágios    (Transp. Qd.2.1.1.2)</v>
          </cell>
          <cell r="G193">
            <v>42918.728907355711</v>
          </cell>
          <cell r="H193">
            <v>73335.170396858215</v>
          </cell>
          <cell r="I193">
            <v>83426.752991392408</v>
          </cell>
          <cell r="J193">
            <v>85537.598368012274</v>
          </cell>
          <cell r="K193">
            <v>91082.636147123616</v>
          </cell>
          <cell r="L193">
            <v>95533.540290929421</v>
          </cell>
          <cell r="M193">
            <v>98685.974208082524</v>
          </cell>
          <cell r="N193">
            <v>101941.83161754541</v>
          </cell>
          <cell r="O193">
            <v>105057.01460156949</v>
          </cell>
          <cell r="P193">
            <v>108267.90676077316</v>
          </cell>
          <cell r="Q193">
            <v>111577.52540238072</v>
          </cell>
          <cell r="R193">
            <v>114988.91461844981</v>
          </cell>
          <cell r="S193">
            <v>118505.17050140261</v>
          </cell>
          <cell r="T193">
            <v>121537.06426355509</v>
          </cell>
          <cell r="U193">
            <v>124647.19282163159</v>
          </cell>
          <cell r="V193">
            <v>127837.48928332981</v>
          </cell>
          <cell r="W193">
            <v>134091.92357437478</v>
          </cell>
          <cell r="X193">
            <v>137532.44142815459</v>
          </cell>
          <cell r="Y193">
            <v>141062.02947148957</v>
          </cell>
          <cell r="Z193">
            <v>144682.95370968524</v>
          </cell>
          <cell r="AA193">
            <v>2162249.8593640961</v>
          </cell>
        </row>
        <row r="194">
          <cell r="B194" t="str">
            <v>1.1.2 - Outras Receitas Operacionais    (calculado 2.1.2.)</v>
          </cell>
          <cell r="G194">
            <v>63.049761711866722</v>
          </cell>
          <cell r="H194">
            <v>64.353557256218977</v>
          </cell>
          <cell r="I194">
            <v>64.34870100931677</v>
          </cell>
          <cell r="J194">
            <v>65.3545202039533</v>
          </cell>
          <cell r="K194">
            <v>65.053206513898246</v>
          </cell>
          <cell r="L194">
            <v>67.047966641394993</v>
          </cell>
          <cell r="M194">
            <v>68.050877703281188</v>
          </cell>
          <cell r="N194">
            <v>68.049494683656008</v>
          </cell>
          <cell r="O194">
            <v>69.048529232991157</v>
          </cell>
          <cell r="P194">
            <v>70.050639488573665</v>
          </cell>
          <cell r="Q194">
            <v>71.048430984952105</v>
          </cell>
          <cell r="R194">
            <v>71.04807366784533</v>
          </cell>
          <cell r="S194">
            <v>73.052633788308</v>
          </cell>
          <cell r="T194">
            <v>74.050112325112437</v>
          </cell>
          <cell r="U194">
            <v>75.05066916697686</v>
          </cell>
          <cell r="V194">
            <v>75.047485687884489</v>
          </cell>
          <cell r="W194">
            <v>76.046904207509684</v>
          </cell>
          <cell r="X194">
            <v>77.049957192066216</v>
          </cell>
          <cell r="Y194">
            <v>79.450946682244435</v>
          </cell>
          <cell r="Z194">
            <v>79.048297917362731</v>
          </cell>
          <cell r="AA194">
            <v>1415.3007660654132</v>
          </cell>
        </row>
        <row r="195">
          <cell r="B195" t="str">
            <v>2 -  DEDUÇÕES DA RECEITA    (2.1)</v>
          </cell>
          <cell r="G195">
            <v>1719.4501921364872</v>
          </cell>
          <cell r="H195">
            <v>2686.962626377926</v>
          </cell>
          <cell r="I195">
            <v>4265.6040472315526</v>
          </cell>
          <cell r="J195">
            <v>7204.7790777332639</v>
          </cell>
          <cell r="K195">
            <v>8868.8938706406389</v>
          </cell>
          <cell r="L195">
            <v>8279.7051848417213</v>
          </cell>
          <cell r="M195">
            <v>8552.8032441933592</v>
          </cell>
          <cell r="N195">
            <v>8834.8363280710473</v>
          </cell>
          <cell r="O195">
            <v>9104.7091493719981</v>
          </cell>
          <cell r="P195">
            <v>9382.8745490423116</v>
          </cell>
          <cell r="Q195">
            <v>9669.5901808841991</v>
          </cell>
          <cell r="R195">
            <v>9965.0937946432459</v>
          </cell>
          <cell r="S195">
            <v>10269.73613509079</v>
          </cell>
          <cell r="T195">
            <v>10532.402552513489</v>
          </cell>
          <cell r="U195">
            <v>10801.844476499999</v>
          </cell>
          <cell r="V195">
            <v>11078.208684051984</v>
          </cell>
          <cell r="W195">
            <v>11619.969948626238</v>
          </cell>
          <cell r="X195">
            <v>11918.032264941026</v>
          </cell>
          <cell r="Y195">
            <v>12223.844291621683</v>
          </cell>
          <cell r="Z195">
            <v>12537.494323561841</v>
          </cell>
          <cell r="AA195">
            <v>179516.83492207481</v>
          </cell>
        </row>
        <row r="196">
          <cell r="B196" t="str">
            <v>2.1 - Tributos sobre Faturamento    (2.1.1+ .... + 2.1.4)</v>
          </cell>
          <cell r="G196">
            <v>1719.4501921364872</v>
          </cell>
          <cell r="H196">
            <v>2686.962626377926</v>
          </cell>
          <cell r="I196">
            <v>4265.6040472315526</v>
          </cell>
          <cell r="J196">
            <v>7204.7790777332639</v>
          </cell>
          <cell r="K196">
            <v>8868.8938706406389</v>
          </cell>
          <cell r="L196">
            <v>8279.7051848417213</v>
          </cell>
          <cell r="M196">
            <v>8552.8032441933592</v>
          </cell>
          <cell r="N196">
            <v>8834.8363280710473</v>
          </cell>
          <cell r="O196">
            <v>9104.7091493719981</v>
          </cell>
          <cell r="P196">
            <v>9382.8745490423116</v>
          </cell>
          <cell r="Q196">
            <v>9669.5901808841991</v>
          </cell>
          <cell r="R196">
            <v>9965.0937946432459</v>
          </cell>
          <cell r="S196">
            <v>10269.73613509079</v>
          </cell>
          <cell r="T196">
            <v>10532.402552513489</v>
          </cell>
          <cell r="U196">
            <v>10801.844476499999</v>
          </cell>
          <cell r="V196">
            <v>11078.208684051984</v>
          </cell>
          <cell r="W196">
            <v>11619.969948626238</v>
          </cell>
          <cell r="X196">
            <v>11918.032264941026</v>
          </cell>
          <cell r="Y196">
            <v>12223.844291621683</v>
          </cell>
          <cell r="Z196">
            <v>12537.494323561841</v>
          </cell>
          <cell r="AA196">
            <v>179516.83492207481</v>
          </cell>
        </row>
        <row r="197">
          <cell r="B197" t="str">
            <v>2.1.1 - I.S.S    (transp. Qd  1.3.)</v>
          </cell>
          <cell r="G197">
            <v>0</v>
          </cell>
          <cell r="H197">
            <v>0</v>
          </cell>
          <cell r="I197">
            <v>1093.280598734673</v>
          </cell>
          <cell r="J197">
            <v>3433.6396586653905</v>
          </cell>
          <cell r="K197">
            <v>4557.4307419177621</v>
          </cell>
          <cell r="L197">
            <v>4780.0137579513421</v>
          </cell>
          <cell r="M197">
            <v>4937.6746031941611</v>
          </cell>
          <cell r="N197">
            <v>5100.5102726260029</v>
          </cell>
          <cell r="O197">
            <v>5256.309468467125</v>
          </cell>
          <cell r="P197">
            <v>5416.8969212470729</v>
          </cell>
          <cell r="Q197">
            <v>5582.4206084044381</v>
          </cell>
          <cell r="R197">
            <v>5753.0331047133668</v>
          </cell>
          <cell r="S197">
            <v>5928.8917258393158</v>
          </cell>
          <cell r="T197">
            <v>6080.532381946502</v>
          </cell>
          <cell r="U197">
            <v>6236.0845322980595</v>
          </cell>
          <cell r="V197">
            <v>6395.6498533311251</v>
          </cell>
          <cell r="W197">
            <v>6708.4163293745078</v>
          </cell>
          <cell r="X197">
            <v>6880.4930462296752</v>
          </cell>
          <cell r="Y197">
            <v>7057.0220401124943</v>
          </cell>
          <cell r="Z197">
            <v>7238.1194258739451</v>
          </cell>
          <cell r="AA197">
            <v>98436.419070926975</v>
          </cell>
        </row>
        <row r="198">
          <cell r="B198" t="str">
            <v>2.1.2 - Cofins    (transp. Qd 1.3.)</v>
          </cell>
          <cell r="G198">
            <v>1293.3712014175785</v>
          </cell>
          <cell r="H198">
            <v>2208.6740239602304</v>
          </cell>
          <cell r="I198">
            <v>2512.3501104116258</v>
          </cell>
          <cell r="J198">
            <v>2772.5434878498054</v>
          </cell>
          <cell r="K198">
            <v>3564.0894499855663</v>
          </cell>
          <cell r="L198">
            <v>2876.7351833821044</v>
          </cell>
          <cell r="M198">
            <v>2971.6238312505675</v>
          </cell>
          <cell r="N198">
            <v>3069.6052731080672</v>
          </cell>
          <cell r="O198">
            <v>3163.3730941481422</v>
          </cell>
          <cell r="P198">
            <v>3260.0215510732855</v>
          </cell>
          <cell r="Q198">
            <v>3359.6407077268891</v>
          </cell>
          <cell r="R198">
            <v>3462.3023627960529</v>
          </cell>
          <cell r="S198">
            <v>3568.1602497332869</v>
          </cell>
          <cell r="T198">
            <v>3659.4229496095109</v>
          </cell>
          <cell r="U198">
            <v>3753.039844683829</v>
          </cell>
          <cell r="V198">
            <v>3849.0499816028887</v>
          </cell>
          <cell r="W198">
            <v>4037.2828176635358</v>
          </cell>
          <cell r="X198">
            <v>4140.8426223578044</v>
          </cell>
          <cell r="Y198">
            <v>4247.1103709020899</v>
          </cell>
          <cell r="Z198">
            <v>4356.0707868096069</v>
          </cell>
          <cell r="AA198">
            <v>66125.309900472465</v>
          </cell>
        </row>
        <row r="199">
          <cell r="B199" t="str">
            <v>2.1.3 - Pis / Pasep    (transp. Qd 1.3.)</v>
          </cell>
          <cell r="G199">
            <v>280.0789907189087</v>
          </cell>
          <cell r="H199">
            <v>478.28860241769536</v>
          </cell>
          <cell r="I199">
            <v>659.973338085254</v>
          </cell>
          <cell r="J199">
            <v>998.5959312180687</v>
          </cell>
          <cell r="K199">
            <v>747.37367873731023</v>
          </cell>
          <cell r="L199">
            <v>622.95624350827461</v>
          </cell>
          <cell r="M199">
            <v>643.50480974863046</v>
          </cell>
          <cell r="N199">
            <v>664.72078233697687</v>
          </cell>
          <cell r="O199">
            <v>685.02658675673001</v>
          </cell>
          <cell r="P199">
            <v>705.95607672195399</v>
          </cell>
          <cell r="Q199">
            <v>727.52886475287255</v>
          </cell>
          <cell r="R199">
            <v>749.75832713382601</v>
          </cell>
          <cell r="S199">
            <v>772.68415951818884</v>
          </cell>
          <cell r="T199">
            <v>792.44722095747511</v>
          </cell>
          <cell r="U199">
            <v>812.72009951811106</v>
          </cell>
          <cell r="V199">
            <v>833.50884911796959</v>
          </cell>
          <cell r="W199">
            <v>874.2708015881941</v>
          </cell>
          <cell r="X199">
            <v>896.69659635354765</v>
          </cell>
          <cell r="Y199">
            <v>919.71188060709869</v>
          </cell>
          <cell r="Z199">
            <v>943.30411087828998</v>
          </cell>
          <cell r="AA199">
            <v>14809.105950675381</v>
          </cell>
        </row>
        <row r="200">
          <cell r="B200" t="str">
            <v>2.1.4 - CPMF    (transp Qd 1.3.)</v>
          </cell>
          <cell r="G200">
            <v>146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146</v>
          </cell>
        </row>
        <row r="201">
          <cell r="B201" t="str">
            <v>3 -  RECEITA LIQUIDA    (1 - 2)</v>
          </cell>
          <cell r="G201">
            <v>41262.328476931092</v>
          </cell>
          <cell r="H201">
            <v>70712.561327736519</v>
          </cell>
          <cell r="I201">
            <v>79225.49764517018</v>
          </cell>
          <cell r="J201">
            <v>78398.173810482956</v>
          </cell>
          <cell r="K201">
            <v>82278.79548299688</v>
          </cell>
          <cell r="L201">
            <v>87320.883072729092</v>
          </cell>
          <cell r="M201">
            <v>90201.221841592444</v>
          </cell>
          <cell r="N201">
            <v>93175.044784158017</v>
          </cell>
          <cell r="O201">
            <v>96021.353981430497</v>
          </cell>
          <cell r="P201">
            <v>98955.082851219413</v>
          </cell>
          <cell r="Q201">
            <v>101978.98365248147</v>
          </cell>
          <cell r="R201">
            <v>105094.8688974744</v>
          </cell>
          <cell r="S201">
            <v>108308.48700010013</v>
          </cell>
          <cell r="T201">
            <v>111078.71182336671</v>
          </cell>
          <cell r="U201">
            <v>113920.39901429856</v>
          </cell>
          <cell r="V201">
            <v>116834.3280849657</v>
          </cell>
          <cell r="W201">
            <v>122548.00052995604</v>
          </cell>
          <cell r="X201">
            <v>125691.45912040563</v>
          </cell>
          <cell r="Y201">
            <v>128917.63612655013</v>
          </cell>
          <cell r="Z201">
            <v>132224.50768404076</v>
          </cell>
          <cell r="AA201">
            <v>1984148.3252080865</v>
          </cell>
        </row>
        <row r="202">
          <cell r="B202" t="str">
            <v>4 -  DESPESAS    (4.1)</v>
          </cell>
          <cell r="G202">
            <v>30995.095830284572</v>
          </cell>
          <cell r="H202">
            <v>38361.096114805281</v>
          </cell>
          <cell r="I202">
            <v>41891.111733269376</v>
          </cell>
          <cell r="J202">
            <v>44713.647032996392</v>
          </cell>
          <cell r="K202">
            <v>46894.510760062556</v>
          </cell>
          <cell r="L202">
            <v>50036.579889552915</v>
          </cell>
          <cell r="M202">
            <v>51110.342092652958</v>
          </cell>
          <cell r="N202">
            <v>52105.505894836591</v>
          </cell>
          <cell r="O202">
            <v>53526.050833625588</v>
          </cell>
          <cell r="P202">
            <v>55192.054066667501</v>
          </cell>
          <cell r="Q202">
            <v>56587.668742651556</v>
          </cell>
          <cell r="R202">
            <v>58642.572575810358</v>
          </cell>
          <cell r="S202">
            <v>59045.871400316733</v>
          </cell>
          <cell r="T202">
            <v>60868.331231161697</v>
          </cell>
          <cell r="U202">
            <v>64186.852172162813</v>
          </cell>
          <cell r="V202">
            <v>69596.308941688039</v>
          </cell>
          <cell r="W202">
            <v>74664.804666328593</v>
          </cell>
          <cell r="X202">
            <v>90410.155538578358</v>
          </cell>
          <cell r="Y202">
            <v>109616.27563567692</v>
          </cell>
          <cell r="Z202">
            <v>157695.41525327662</v>
          </cell>
          <cell r="AA202">
            <v>1266140.2504064057</v>
          </cell>
        </row>
        <row r="203">
          <cell r="B203" t="str">
            <v>4.1 - Operacionais    (4.1.1+ .... + 4.1.10)</v>
          </cell>
          <cell r="G203">
            <v>30995.095830284572</v>
          </cell>
          <cell r="H203">
            <v>38361.096114805281</v>
          </cell>
          <cell r="I203">
            <v>41891.111733269376</v>
          </cell>
          <cell r="J203">
            <v>44713.647032996392</v>
          </cell>
          <cell r="K203">
            <v>46894.510760062556</v>
          </cell>
          <cell r="L203">
            <v>50036.579889552915</v>
          </cell>
          <cell r="M203">
            <v>51110.342092652958</v>
          </cell>
          <cell r="N203">
            <v>52105.505894836591</v>
          </cell>
          <cell r="O203">
            <v>53526.050833625588</v>
          </cell>
          <cell r="P203">
            <v>55192.054066667501</v>
          </cell>
          <cell r="Q203">
            <v>56587.668742651556</v>
          </cell>
          <cell r="R203">
            <v>58642.572575810358</v>
          </cell>
          <cell r="S203">
            <v>59045.871400316733</v>
          </cell>
          <cell r="T203">
            <v>60868.331231161697</v>
          </cell>
          <cell r="U203">
            <v>64186.852172162813</v>
          </cell>
          <cell r="V203">
            <v>69596.308941688039</v>
          </cell>
          <cell r="W203">
            <v>74664.804666328593</v>
          </cell>
          <cell r="X203">
            <v>90410.155538578358</v>
          </cell>
          <cell r="Y203">
            <v>109616.27563567692</v>
          </cell>
          <cell r="Z203">
            <v>157695.41525327662</v>
          </cell>
          <cell r="AA203">
            <v>1266140.2504064057</v>
          </cell>
        </row>
        <row r="204">
          <cell r="B204" t="str">
            <v>4.1.1  -  Pessoal e Administradores    (Transp. Qd. 1.3.)</v>
          </cell>
          <cell r="G204">
            <v>11582.927556627623</v>
          </cell>
          <cell r="H204">
            <v>18033.817784754669</v>
          </cell>
          <cell r="I204">
            <v>18835.696414853173</v>
          </cell>
          <cell r="J204">
            <v>18979.733588298932</v>
          </cell>
          <cell r="K204">
            <v>18979.733588298932</v>
          </cell>
          <cell r="L204">
            <v>18979.733588298932</v>
          </cell>
          <cell r="M204">
            <v>18806.174367121308</v>
          </cell>
          <cell r="N204">
            <v>18806.174367121308</v>
          </cell>
          <cell r="O204">
            <v>18835.696414853173</v>
          </cell>
          <cell r="P204">
            <v>18806.174367121308</v>
          </cell>
          <cell r="Q204">
            <v>18806.174367121308</v>
          </cell>
          <cell r="R204">
            <v>18806.174367121308</v>
          </cell>
          <cell r="S204">
            <v>18806.174367121308</v>
          </cell>
          <cell r="T204">
            <v>18806.174367121308</v>
          </cell>
          <cell r="U204">
            <v>18806.174367121308</v>
          </cell>
          <cell r="V204">
            <v>18835.696414853173</v>
          </cell>
          <cell r="W204">
            <v>18979.972660132818</v>
          </cell>
          <cell r="X204">
            <v>18979.733588298932</v>
          </cell>
          <cell r="Y204">
            <v>18979.733588298932</v>
          </cell>
          <cell r="Z204">
            <v>18979.733588298932</v>
          </cell>
          <cell r="AA204">
            <v>369431.60371283873</v>
          </cell>
        </row>
        <row r="205">
          <cell r="B205" t="str">
            <v>4.1.2  -  Conservação de Rotina    (Transp. Qd. 1.3.)</v>
          </cell>
          <cell r="G205">
            <v>7153.0949996909385</v>
          </cell>
          <cell r="H205">
            <v>5137.2138388968506</v>
          </cell>
          <cell r="I205">
            <v>5377.9101341428177</v>
          </cell>
          <cell r="J205">
            <v>5676.0140672236303</v>
          </cell>
          <cell r="K205">
            <v>5770.1339395313244</v>
          </cell>
          <cell r="L205">
            <v>5920.9967754238587</v>
          </cell>
          <cell r="M205">
            <v>5923.6655754238591</v>
          </cell>
          <cell r="N205">
            <v>5926.3343754238576</v>
          </cell>
          <cell r="O205">
            <v>5929.0031754238589</v>
          </cell>
          <cell r="P205">
            <v>5933.0063754238581</v>
          </cell>
          <cell r="Q205">
            <v>5922.7089733046587</v>
          </cell>
          <cell r="R205">
            <v>5925.3777733046581</v>
          </cell>
          <cell r="S205">
            <v>5940.8687446238582</v>
          </cell>
          <cell r="T205">
            <v>5943.458986721299</v>
          </cell>
          <cell r="U205">
            <v>5999.0331279285474</v>
          </cell>
          <cell r="V205">
            <v>6145.8426453658431</v>
          </cell>
          <cell r="W205">
            <v>6293.1229900917788</v>
          </cell>
          <cell r="X205">
            <v>6299.1582718464961</v>
          </cell>
          <cell r="Y205">
            <v>6562.9695093010187</v>
          </cell>
          <cell r="Z205">
            <v>6812.7863690472386</v>
          </cell>
          <cell r="AA205">
            <v>120592.70064814026</v>
          </cell>
        </row>
        <row r="206">
          <cell r="B206" t="str">
            <v>4.1.3  -  Consumo    (Transp. Qd. 1.3.)</v>
          </cell>
          <cell r="G206">
            <v>573.52042637185912</v>
          </cell>
          <cell r="H206">
            <v>1000.1984702424224</v>
          </cell>
          <cell r="I206">
            <v>1063.363142658214</v>
          </cell>
          <cell r="J206">
            <v>1070.4871072391923</v>
          </cell>
          <cell r="K206">
            <v>1070.4871072391923</v>
          </cell>
          <cell r="L206">
            <v>1070.4871072391923</v>
          </cell>
          <cell r="M206">
            <v>1061.9384195958114</v>
          </cell>
          <cell r="N206">
            <v>1061.9384195958114</v>
          </cell>
          <cell r="O206">
            <v>1063.363142658214</v>
          </cell>
          <cell r="P206">
            <v>1061.9384195958114</v>
          </cell>
          <cell r="Q206">
            <v>1061.9384195958114</v>
          </cell>
          <cell r="R206">
            <v>1062.2926549056228</v>
          </cell>
          <cell r="S206">
            <v>1062.2926549056228</v>
          </cell>
          <cell r="T206">
            <v>1062.2926549056228</v>
          </cell>
          <cell r="U206">
            <v>1062.2926549056228</v>
          </cell>
          <cell r="V206">
            <v>1063.7174592493147</v>
          </cell>
          <cell r="W206">
            <v>1070.8418276591092</v>
          </cell>
          <cell r="X206">
            <v>1070.8418276591092</v>
          </cell>
          <cell r="Y206">
            <v>1070.8418276591092</v>
          </cell>
          <cell r="Z206">
            <v>1070.8418276591092</v>
          </cell>
          <cell r="AA206">
            <v>20755.915571539779</v>
          </cell>
        </row>
        <row r="207">
          <cell r="B207" t="str">
            <v>4.1.4  -  Transportes    (Transp. Qd. 1.3.)</v>
          </cell>
          <cell r="G207">
            <v>113.2325</v>
          </cell>
          <cell r="H207">
            <v>190.96999999999997</v>
          </cell>
          <cell r="I207">
            <v>200.06899999999999</v>
          </cell>
          <cell r="J207">
            <v>200.06899999999999</v>
          </cell>
          <cell r="K207">
            <v>200.06899999999999</v>
          </cell>
          <cell r="L207">
            <v>200.06899999999999</v>
          </cell>
          <cell r="M207">
            <v>200.06899999999999</v>
          </cell>
          <cell r="N207">
            <v>200.06899999999999</v>
          </cell>
          <cell r="O207">
            <v>200.06899999999999</v>
          </cell>
          <cell r="P207">
            <v>200.06899999999999</v>
          </cell>
          <cell r="Q207">
            <v>200.06899999999999</v>
          </cell>
          <cell r="R207">
            <v>200.06899999999999</v>
          </cell>
          <cell r="S207">
            <v>200.06899999999999</v>
          </cell>
          <cell r="T207">
            <v>200.06899999999999</v>
          </cell>
          <cell r="U207">
            <v>200.06899999999999</v>
          </cell>
          <cell r="V207">
            <v>200.06899999999999</v>
          </cell>
          <cell r="W207">
            <v>200.06899999999999</v>
          </cell>
          <cell r="X207">
            <v>200.06899999999999</v>
          </cell>
          <cell r="Y207">
            <v>200.06899999999999</v>
          </cell>
          <cell r="Z207">
            <v>200.06899999999999</v>
          </cell>
          <cell r="AA207">
            <v>3905.4444999999996</v>
          </cell>
        </row>
        <row r="208">
          <cell r="B208" t="str">
            <v>4.1.5  -  Diversas    (Transp. Qd. 1.3.)</v>
          </cell>
          <cell r="G208">
            <v>1240.2</v>
          </cell>
          <cell r="H208">
            <v>1314.6</v>
          </cell>
          <cell r="I208">
            <v>1314.6</v>
          </cell>
          <cell r="J208">
            <v>1314.6</v>
          </cell>
          <cell r="K208">
            <v>1314.6</v>
          </cell>
          <cell r="L208">
            <v>1314.6</v>
          </cell>
          <cell r="M208">
            <v>1314.6</v>
          </cell>
          <cell r="N208">
            <v>1314.6</v>
          </cell>
          <cell r="O208">
            <v>1314.6</v>
          </cell>
          <cell r="P208">
            <v>1314.6</v>
          </cell>
          <cell r="Q208">
            <v>1314.6</v>
          </cell>
          <cell r="R208">
            <v>1314.6</v>
          </cell>
          <cell r="S208">
            <v>1314.6</v>
          </cell>
          <cell r="T208">
            <v>1314.6</v>
          </cell>
          <cell r="U208">
            <v>1314.6</v>
          </cell>
          <cell r="V208">
            <v>1314.6</v>
          </cell>
          <cell r="W208">
            <v>1314.6</v>
          </cell>
          <cell r="X208">
            <v>1314.6</v>
          </cell>
          <cell r="Y208">
            <v>1314.6</v>
          </cell>
          <cell r="Z208">
            <v>1314.6</v>
          </cell>
          <cell r="AA208">
            <v>26217.599999999991</v>
          </cell>
        </row>
        <row r="209">
          <cell r="B209" t="str">
            <v>4.1.6  -  Depreciação/Amortização    (Transp. Qd. 1.3.)</v>
          </cell>
          <cell r="G209">
            <v>3680.2055671792796</v>
          </cell>
          <cell r="H209">
            <v>6889.1986638878861</v>
          </cell>
          <cell r="I209">
            <v>8886.8046309360252</v>
          </cell>
          <cell r="J209">
            <v>11232.424313459311</v>
          </cell>
          <cell r="K209">
            <v>13341.787949021662</v>
          </cell>
          <cell r="L209">
            <v>16197.406827367984</v>
          </cell>
          <cell r="M209">
            <v>17383.994013231531</v>
          </cell>
          <cell r="N209">
            <v>18307.97786154905</v>
          </cell>
          <cell r="O209">
            <v>19540.875109391334</v>
          </cell>
          <cell r="P209">
            <v>21081.576914309509</v>
          </cell>
          <cell r="Q209">
            <v>22457.060029408189</v>
          </cell>
          <cell r="R209">
            <v>24341.389737393125</v>
          </cell>
          <cell r="S209">
            <v>24612.443929906258</v>
          </cell>
          <cell r="T209">
            <v>26397.251001803801</v>
          </cell>
          <cell r="U209">
            <v>29418.364779640469</v>
          </cell>
          <cell r="V209">
            <v>34530.154452350682</v>
          </cell>
          <cell r="W209">
            <v>39153.558142554415</v>
          </cell>
          <cell r="X209">
            <v>54526.816178887908</v>
          </cell>
          <cell r="Y209">
            <v>73331.457474645184</v>
          </cell>
          <cell r="Z209">
            <v>121203.43243164844</v>
          </cell>
          <cell r="AA209">
            <v>586514.18000857206</v>
          </cell>
        </row>
        <row r="210">
          <cell r="B210" t="str">
            <v>4.1.7  -  Seguros    (transp. Qd 1.3.)</v>
          </cell>
          <cell r="G210">
            <v>1572.2555341605957</v>
          </cell>
          <cell r="H210">
            <v>1357.2721863986244</v>
          </cell>
          <cell r="I210">
            <v>1484.145354189925</v>
          </cell>
          <cell r="J210">
            <v>1515.0740713628129</v>
          </cell>
          <cell r="K210">
            <v>1280.8352708394443</v>
          </cell>
          <cell r="L210">
            <v>1288.4964834817656</v>
          </cell>
          <cell r="M210">
            <v>1265.9150702698328</v>
          </cell>
          <cell r="N210">
            <v>1240.0237973062001</v>
          </cell>
          <cell r="O210">
            <v>1303.8052461122193</v>
          </cell>
          <cell r="P210">
            <v>1363.4311866533642</v>
          </cell>
          <cell r="Q210">
            <v>1298.5233789601659</v>
          </cell>
          <cell r="R210">
            <v>1369.6659178319169</v>
          </cell>
          <cell r="S210">
            <v>1385.4114292480403</v>
          </cell>
          <cell r="T210">
            <v>1333.3373709021025</v>
          </cell>
          <cell r="U210">
            <v>1485.8900122593996</v>
          </cell>
          <cell r="V210">
            <v>1516.6285532116285</v>
          </cell>
          <cell r="W210">
            <v>1481.7743987279027</v>
          </cell>
          <cell r="X210">
            <v>1748.8042314456668</v>
          </cell>
          <cell r="Y210">
            <v>1790.3355609259681</v>
          </cell>
          <cell r="Z210">
            <v>1649.00088437818</v>
          </cell>
          <cell r="AA210">
            <v>28730.625938665751</v>
          </cell>
        </row>
        <row r="211">
          <cell r="B211" t="str">
            <v xml:space="preserve">4.1.8  -  Garantias  (transp. Qd 1.3.)  </v>
          </cell>
          <cell r="G211">
            <v>392.96588618225434</v>
          </cell>
          <cell r="H211">
            <v>373.8210520013962</v>
          </cell>
          <cell r="I211">
            <v>361.61003771716526</v>
          </cell>
          <cell r="J211">
            <v>350.18466787036959</v>
          </cell>
          <cell r="K211">
            <v>339.92036181568318</v>
          </cell>
          <cell r="L211">
            <v>334.08814005272069</v>
          </cell>
          <cell r="M211">
            <v>328.50568807647818</v>
          </cell>
          <cell r="N211">
            <v>325.0540499857126</v>
          </cell>
          <cell r="O211">
            <v>321.63730896517745</v>
          </cell>
          <cell r="P211">
            <v>317.71394841231114</v>
          </cell>
          <cell r="Q211">
            <v>313.54292345409914</v>
          </cell>
          <cell r="R211">
            <v>307.41671996772089</v>
          </cell>
          <cell r="S211">
            <v>302.68010544299455</v>
          </cell>
          <cell r="T211">
            <v>298.62905391796221</v>
          </cell>
          <cell r="U211">
            <v>294.37065378005843</v>
          </cell>
          <cell r="V211">
            <v>287.62503634733855</v>
          </cell>
          <cell r="W211">
            <v>281.01407002078753</v>
          </cell>
          <cell r="X211">
            <v>276.81778683982918</v>
          </cell>
          <cell r="Y211">
            <v>266.7725520207444</v>
          </cell>
          <cell r="Z211">
            <v>256.61314753022089</v>
          </cell>
          <cell r="AA211">
            <v>6330.9831904010234</v>
          </cell>
        </row>
        <row r="212">
          <cell r="B212" t="str">
            <v xml:space="preserve">4.1.9  -  Parc.Variável da Concessão   </v>
          </cell>
          <cell r="G212">
            <v>1298.6933600720272</v>
          </cell>
          <cell r="H212">
            <v>2216.004118623433</v>
          </cell>
          <cell r="I212">
            <v>2518.9130187720516</v>
          </cell>
          <cell r="J212">
            <v>2582.4333540064863</v>
          </cell>
          <cell r="K212">
            <v>2748.9435433163253</v>
          </cell>
          <cell r="L212">
            <v>2882.7019676884684</v>
          </cell>
          <cell r="M212">
            <v>2977.4799589341446</v>
          </cell>
          <cell r="N212">
            <v>3075.3340238546539</v>
          </cell>
          <cell r="O212">
            <v>3169.001436221612</v>
          </cell>
          <cell r="P212">
            <v>3265.5438551513403</v>
          </cell>
          <cell r="Q212">
            <v>3365.0516508073288</v>
          </cell>
          <cell r="R212">
            <v>3467.5864052860156</v>
          </cell>
          <cell r="S212">
            <v>3573.3311690686623</v>
          </cell>
          <cell r="T212">
            <v>3664.5187957895996</v>
          </cell>
          <cell r="U212">
            <v>3758.0575765274143</v>
          </cell>
          <cell r="V212">
            <v>3853.9753803100575</v>
          </cell>
          <cell r="W212">
            <v>4041.851577141786</v>
          </cell>
          <cell r="X212">
            <v>4145.3146536004042</v>
          </cell>
          <cell r="Y212">
            <v>4251.496122825959</v>
          </cell>
          <cell r="Z212">
            <v>4360.3380047144983</v>
          </cell>
          <cell r="AA212">
            <v>65216.569972712256</v>
          </cell>
        </row>
        <row r="213">
          <cell r="B213" t="str">
            <v xml:space="preserve">4.1.10 - Parcela Fixa da Concessão   </v>
          </cell>
          <cell r="G213">
            <v>3388</v>
          </cell>
          <cell r="H213">
            <v>1848</v>
          </cell>
          <cell r="I213">
            <v>1848</v>
          </cell>
          <cell r="J213">
            <v>1792.6268635356687</v>
          </cell>
          <cell r="K213">
            <v>1848</v>
          </cell>
          <cell r="L213">
            <v>1848</v>
          </cell>
          <cell r="M213">
            <v>1848</v>
          </cell>
          <cell r="N213">
            <v>1848</v>
          </cell>
          <cell r="O213">
            <v>1848</v>
          </cell>
          <cell r="P213">
            <v>1848</v>
          </cell>
          <cell r="Q213">
            <v>1848</v>
          </cell>
          <cell r="R213">
            <v>1848</v>
          </cell>
          <cell r="S213">
            <v>1848</v>
          </cell>
          <cell r="T213">
            <v>1848</v>
          </cell>
          <cell r="U213">
            <v>1848</v>
          </cell>
          <cell r="V213">
            <v>1848</v>
          </cell>
          <cell r="W213">
            <v>1848</v>
          </cell>
          <cell r="X213">
            <v>1848</v>
          </cell>
          <cell r="Y213">
            <v>1848</v>
          </cell>
          <cell r="Z213">
            <v>1848</v>
          </cell>
          <cell r="AA213">
            <v>38444.626863535668</v>
          </cell>
        </row>
        <row r="214">
          <cell r="B214" t="str">
            <v>5 -  RESULTADO BRUTO OPERACIONAL     (3 - 4)</v>
          </cell>
          <cell r="G214">
            <v>10267.23264664652</v>
          </cell>
          <cell r="H214">
            <v>32351.465212931238</v>
          </cell>
          <cell r="I214">
            <v>37334.385911900805</v>
          </cell>
          <cell r="J214">
            <v>33684.526777486564</v>
          </cell>
          <cell r="K214">
            <v>35384.284722934324</v>
          </cell>
          <cell r="L214">
            <v>37284.303183176176</v>
          </cell>
          <cell r="M214">
            <v>39090.879748939486</v>
          </cell>
          <cell r="N214">
            <v>41069.538889321426</v>
          </cell>
          <cell r="O214">
            <v>42495.303147804909</v>
          </cell>
          <cell r="P214">
            <v>43763.028784551912</v>
          </cell>
          <cell r="Q214">
            <v>45391.314909829918</v>
          </cell>
          <cell r="R214">
            <v>46452.296321664042</v>
          </cell>
          <cell r="S214">
            <v>49262.615599783392</v>
          </cell>
          <cell r="T214">
            <v>50210.380592205016</v>
          </cell>
          <cell r="U214">
            <v>49733.546842135744</v>
          </cell>
          <cell r="V214">
            <v>47238.019143277663</v>
          </cell>
          <cell r="W214">
            <v>47883.19586362745</v>
          </cell>
          <cell r="X214">
            <v>35281.303581827277</v>
          </cell>
          <cell r="Y214">
            <v>19301.360490873209</v>
          </cell>
          <cell r="Z214">
            <v>-25470.90756923586</v>
          </cell>
          <cell r="AA214">
            <v>718008.07480168086</v>
          </cell>
        </row>
        <row r="215">
          <cell r="B215" t="str">
            <v>6 -  RESULTADO FINANCEIRO    (6.1)</v>
          </cell>
          <cell r="G215">
            <v>107.18821555385382</v>
          </cell>
          <cell r="H215">
            <v>183.10291300138854</v>
          </cell>
          <cell r="I215">
            <v>208.46688449711459</v>
          </cell>
          <cell r="J215">
            <v>220.56451528308182</v>
          </cell>
          <cell r="K215">
            <v>227.76659332539296</v>
          </cell>
          <cell r="L215">
            <v>239.19883965833188</v>
          </cell>
          <cell r="M215">
            <v>246.87243755162834</v>
          </cell>
          <cell r="N215">
            <v>254.55208129012647</v>
          </cell>
          <cell r="O215">
            <v>263.03252819691238</v>
          </cell>
          <cell r="P215">
            <v>270.4647650304816</v>
          </cell>
          <cell r="Q215">
            <v>279.09381019346398</v>
          </cell>
          <cell r="R215">
            <v>287.75477888688692</v>
          </cell>
          <cell r="S215">
            <v>296.4529331038799</v>
          </cell>
          <cell r="T215">
            <v>303.66266038584894</v>
          </cell>
          <cell r="U215">
            <v>311.82048385962611</v>
          </cell>
          <cell r="V215">
            <v>319.34123166753585</v>
          </cell>
          <cell r="W215">
            <v>335.15981178545013</v>
          </cell>
          <cell r="X215">
            <v>343.84860356066372</v>
          </cell>
          <cell r="Y215">
            <v>352.54507236802482</v>
          </cell>
          <cell r="Z215">
            <v>361.99487808384293</v>
          </cell>
          <cell r="AA215">
            <v>5412.8840372835366</v>
          </cell>
        </row>
        <row r="216">
          <cell r="B216" t="str">
            <v>6.1 - Receitas    (Transp. Qd. 2B)</v>
          </cell>
          <cell r="G216">
            <v>107.18821555385382</v>
          </cell>
          <cell r="H216">
            <v>183.10291300138854</v>
          </cell>
          <cell r="I216">
            <v>208.46688449711459</v>
          </cell>
          <cell r="J216">
            <v>220.56451528308182</v>
          </cell>
          <cell r="K216">
            <v>227.76659332539296</v>
          </cell>
          <cell r="L216">
            <v>239.19883965833188</v>
          </cell>
          <cell r="M216">
            <v>246.87243755162834</v>
          </cell>
          <cell r="N216">
            <v>254.55208129012647</v>
          </cell>
          <cell r="O216">
            <v>263.03252819691238</v>
          </cell>
          <cell r="P216">
            <v>270.4647650304816</v>
          </cell>
          <cell r="Q216">
            <v>279.09381019346398</v>
          </cell>
          <cell r="R216">
            <v>287.75477888688692</v>
          </cell>
          <cell r="S216">
            <v>296.4529331038799</v>
          </cell>
          <cell r="T216">
            <v>303.66266038584894</v>
          </cell>
          <cell r="U216">
            <v>311.82048385962611</v>
          </cell>
          <cell r="V216">
            <v>319.34123166753585</v>
          </cell>
          <cell r="W216">
            <v>335.15981178545013</v>
          </cell>
          <cell r="X216">
            <v>343.84860356066372</v>
          </cell>
          <cell r="Y216">
            <v>352.54507236802482</v>
          </cell>
          <cell r="Z216">
            <v>361.99487808384293</v>
          </cell>
          <cell r="AA216">
            <v>5412.8840372835366</v>
          </cell>
        </row>
        <row r="217">
          <cell r="B217" t="str">
            <v>7 -  RESULTADO OPERACIONAL    (5 + 6)</v>
          </cell>
          <cell r="G217">
            <v>10374.420862200373</v>
          </cell>
          <cell r="H217">
            <v>32534.568125932627</v>
          </cell>
          <cell r="I217">
            <v>37542.852796397921</v>
          </cell>
          <cell r="J217">
            <v>33905.091292769648</v>
          </cell>
          <cell r="K217">
            <v>35612.05131625972</v>
          </cell>
          <cell r="L217">
            <v>37523.502022834509</v>
          </cell>
          <cell r="M217">
            <v>39337.75218649111</v>
          </cell>
          <cell r="N217">
            <v>41324.090970611549</v>
          </cell>
          <cell r="O217">
            <v>42758.335676001821</v>
          </cell>
          <cell r="P217">
            <v>44033.493549582396</v>
          </cell>
          <cell r="Q217">
            <v>45670.408720023384</v>
          </cell>
          <cell r="R217">
            <v>46740.051100550932</v>
          </cell>
          <cell r="S217">
            <v>49559.068532887271</v>
          </cell>
          <cell r="T217">
            <v>50514.043252590862</v>
          </cell>
          <cell r="U217">
            <v>50045.367325995372</v>
          </cell>
          <cell r="V217">
            <v>47557.360374945201</v>
          </cell>
          <cell r="W217">
            <v>48218.355675412902</v>
          </cell>
          <cell r="X217">
            <v>35625.152185387939</v>
          </cell>
          <cell r="Y217">
            <v>19653.905563241235</v>
          </cell>
          <cell r="Z217">
            <v>-25108.912691152018</v>
          </cell>
          <cell r="AA217">
            <v>723420.95883896435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21923.624831272969</v>
          </cell>
          <cell r="AA218">
            <v>21923.624831272969</v>
          </cell>
        </row>
        <row r="219">
          <cell r="B219" t="str">
            <v>9 -  RESULTADO ANTES CONTRIBUIÇÃO SOCIAL   (7 + 8)</v>
          </cell>
          <cell r="G219">
            <v>10374.420862200373</v>
          </cell>
          <cell r="H219">
            <v>32534.568125932627</v>
          </cell>
          <cell r="I219">
            <v>37542.852796397921</v>
          </cell>
          <cell r="J219">
            <v>33905.091292769648</v>
          </cell>
          <cell r="K219">
            <v>35612.05131625972</v>
          </cell>
          <cell r="L219">
            <v>37523.502022834509</v>
          </cell>
          <cell r="M219">
            <v>39337.75218649111</v>
          </cell>
          <cell r="N219">
            <v>41324.090970611549</v>
          </cell>
          <cell r="O219">
            <v>42758.335676001821</v>
          </cell>
          <cell r="P219">
            <v>44033.493549582396</v>
          </cell>
          <cell r="Q219">
            <v>45670.408720023384</v>
          </cell>
          <cell r="R219">
            <v>46740.051100550932</v>
          </cell>
          <cell r="S219">
            <v>49559.068532887271</v>
          </cell>
          <cell r="T219">
            <v>50514.043252590862</v>
          </cell>
          <cell r="U219">
            <v>50045.367325995372</v>
          </cell>
          <cell r="V219">
            <v>47557.360374945201</v>
          </cell>
          <cell r="W219">
            <v>48218.355675412902</v>
          </cell>
          <cell r="X219">
            <v>35625.152185387939</v>
          </cell>
          <cell r="Y219">
            <v>19653.905563241235</v>
          </cell>
          <cell r="Z219">
            <v>-3185.2878598790485</v>
          </cell>
          <cell r="AA219">
            <v>745344.58367023733</v>
          </cell>
        </row>
        <row r="220">
          <cell r="B220" t="str">
            <v>10- CONTRIBUIÇÃO SOCIAL (Legislação vigente)</v>
          </cell>
          <cell r="G220">
            <v>829.95366897602946</v>
          </cell>
          <cell r="H220">
            <v>2602.7654500746103</v>
          </cell>
          <cell r="I220">
            <v>3003.4282237118323</v>
          </cell>
          <cell r="J220">
            <v>2712.4073034215712</v>
          </cell>
          <cell r="K220">
            <v>2848.9641053007763</v>
          </cell>
          <cell r="L220">
            <v>3001.8801618267589</v>
          </cell>
          <cell r="M220">
            <v>3147.0201749192884</v>
          </cell>
          <cell r="N220">
            <v>3305.9272776489229</v>
          </cell>
          <cell r="O220">
            <v>3420.6668540801465</v>
          </cell>
          <cell r="P220">
            <v>3522.6794839665918</v>
          </cell>
          <cell r="Q220">
            <v>3653.6326976018709</v>
          </cell>
          <cell r="R220">
            <v>3739.2040880440732</v>
          </cell>
          <cell r="S220">
            <v>3964.7254826309809</v>
          </cell>
          <cell r="T220">
            <v>4041.12346020727</v>
          </cell>
          <cell r="U220">
            <v>4003.6293860796281</v>
          </cell>
          <cell r="V220">
            <v>3804.5888299956155</v>
          </cell>
          <cell r="W220">
            <v>3857.4684540330336</v>
          </cell>
          <cell r="X220">
            <v>2850.0121748310362</v>
          </cell>
          <cell r="Y220">
            <v>1572.3124450593002</v>
          </cell>
          <cell r="Z220">
            <v>5.4679018181828667</v>
          </cell>
          <cell r="AA220">
            <v>59887.857624227523</v>
          </cell>
        </row>
        <row r="221">
          <cell r="B221" t="str">
            <v>11- RESULTADO ANTES IMPOSTO DE RENDA    (9 - 10)</v>
          </cell>
          <cell r="G221">
            <v>9544.4671932243436</v>
          </cell>
          <cell r="H221">
            <v>29931.802675858016</v>
          </cell>
          <cell r="I221">
            <v>34539.42457268609</v>
          </cell>
          <cell r="J221">
            <v>31192.683989348076</v>
          </cell>
          <cell r="K221">
            <v>32763.087210958944</v>
          </cell>
          <cell r="L221">
            <v>34521.621861007749</v>
          </cell>
          <cell r="M221">
            <v>36190.732011571825</v>
          </cell>
          <cell r="N221">
            <v>38018.163692962626</v>
          </cell>
          <cell r="O221">
            <v>39337.668821921674</v>
          </cell>
          <cell r="P221">
            <v>40510.814065615807</v>
          </cell>
          <cell r="Q221">
            <v>42016.776022421516</v>
          </cell>
          <cell r="R221">
            <v>43000.847012506856</v>
          </cell>
          <cell r="S221">
            <v>45594.343050256291</v>
          </cell>
          <cell r="T221">
            <v>46472.919792383589</v>
          </cell>
          <cell r="U221">
            <v>46041.737939915743</v>
          </cell>
          <cell r="V221">
            <v>43752.771544949588</v>
          </cell>
          <cell r="W221">
            <v>44360.887221379868</v>
          </cell>
          <cell r="X221">
            <v>32775.140010556905</v>
          </cell>
          <cell r="Y221">
            <v>18081.593118181936</v>
          </cell>
          <cell r="Z221">
            <v>-3190.7557616972313</v>
          </cell>
          <cell r="AA221">
            <v>685456.7260460098</v>
          </cell>
        </row>
        <row r="222">
          <cell r="B222" t="str">
            <v>12- IMPOSTO DE RENDA (Legislação vigente)</v>
          </cell>
          <cell r="G222">
            <v>2569.605215550092</v>
          </cell>
          <cell r="H222">
            <v>8109.642031483153</v>
          </cell>
          <cell r="I222">
            <v>9361.7131990994785</v>
          </cell>
          <cell r="J222">
            <v>8452.2728231924084</v>
          </cell>
          <cell r="K222">
            <v>8879.0128290649263</v>
          </cell>
          <cell r="L222">
            <v>9356.8755057086273</v>
          </cell>
          <cell r="M222">
            <v>9810.4380466227776</v>
          </cell>
          <cell r="N222">
            <v>10307.022742652887</v>
          </cell>
          <cell r="O222">
            <v>10665.583919000457</v>
          </cell>
          <cell r="P222">
            <v>10984.373387395597</v>
          </cell>
          <cell r="Q222">
            <v>11393.602180005842</v>
          </cell>
          <cell r="R222">
            <v>11661.012775137729</v>
          </cell>
          <cell r="S222">
            <v>12365.76713322182</v>
          </cell>
          <cell r="T222">
            <v>12604.510813147717</v>
          </cell>
          <cell r="U222">
            <v>12487.341831498841</v>
          </cell>
          <cell r="V222">
            <v>11865.3400937363</v>
          </cell>
          <cell r="W222">
            <v>12030.588918853227</v>
          </cell>
          <cell r="X222">
            <v>8882.288046346981</v>
          </cell>
          <cell r="Y222">
            <v>4889.4763908103123</v>
          </cell>
          <cell r="Z222">
            <v>-6.0378068181786375</v>
          </cell>
          <cell r="AA222">
            <v>186670.43007571099</v>
          </cell>
        </row>
        <row r="223">
          <cell r="B223" t="str">
            <v>13- RESULTADO DE EXERCÍCIO    (11 - 12)</v>
          </cell>
          <cell r="G223">
            <v>6974.8619776742516</v>
          </cell>
          <cell r="H223">
            <v>21822.160644374864</v>
          </cell>
          <cell r="I223">
            <v>25177.711373586611</v>
          </cell>
          <cell r="J223">
            <v>22740.411166155667</v>
          </cell>
          <cell r="K223">
            <v>23884.074381894017</v>
          </cell>
          <cell r="L223">
            <v>25164.746355299121</v>
          </cell>
          <cell r="M223">
            <v>26380.293964949047</v>
          </cell>
          <cell r="N223">
            <v>27711.140950309738</v>
          </cell>
          <cell r="O223">
            <v>28672.084902921219</v>
          </cell>
          <cell r="P223">
            <v>29526.44067822021</v>
          </cell>
          <cell r="Q223">
            <v>30623.173842415672</v>
          </cell>
          <cell r="R223">
            <v>31339.834237369127</v>
          </cell>
          <cell r="S223">
            <v>33228.575917034468</v>
          </cell>
          <cell r="T223">
            <v>33868.408979235872</v>
          </cell>
          <cell r="U223">
            <v>33554.396108416899</v>
          </cell>
          <cell r="V223">
            <v>31887.431451213288</v>
          </cell>
          <cell r="W223">
            <v>32330.29830252664</v>
          </cell>
          <cell r="X223">
            <v>23892.851964209924</v>
          </cell>
          <cell r="Y223">
            <v>13192.116727371624</v>
          </cell>
          <cell r="Z223">
            <v>-3184.7179548790527</v>
          </cell>
          <cell r="AA223">
            <v>498786.29597029882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148178.36069067233</v>
          </cell>
          <cell r="H229">
            <v>151669.14651182317</v>
          </cell>
          <cell r="I229">
            <v>155242.16826534871</v>
          </cell>
          <cell r="J229">
            <v>158899.3632653438</v>
          </cell>
          <cell r="K229">
            <v>162642.71446514875</v>
          </cell>
          <cell r="L229">
            <v>166474.25153251871</v>
          </cell>
          <cell r="M229">
            <v>170396.05195012179</v>
          </cell>
          <cell r="N229">
            <v>174410.24214196278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1287912.2988229401</v>
          </cell>
        </row>
        <row r="230">
          <cell r="B230" t="str">
            <v>1.1 - Operacionais    (1.1.1 + 1.1.2)</v>
          </cell>
          <cell r="G230">
            <v>148178.36069067233</v>
          </cell>
          <cell r="H230">
            <v>151669.14651182317</v>
          </cell>
          <cell r="I230">
            <v>155242.16826534871</v>
          </cell>
          <cell r="J230">
            <v>158899.3632653438</v>
          </cell>
          <cell r="K230">
            <v>162642.71446514875</v>
          </cell>
          <cell r="L230">
            <v>166474.25153251871</v>
          </cell>
          <cell r="M230">
            <v>170396.05195012179</v>
          </cell>
          <cell r="N230">
            <v>174410.24214196278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1287912.2988229401</v>
          </cell>
        </row>
        <row r="231">
          <cell r="B231" t="str">
            <v>1.1.1 - Receitas de  Pedágios    (Transp. Qd.2.1.1.2)</v>
          </cell>
          <cell r="G231">
            <v>148091.442114</v>
          </cell>
          <cell r="H231">
            <v>151580.1803073216</v>
          </cell>
          <cell r="I231">
            <v>155151.10619500148</v>
          </cell>
          <cell r="J231">
            <v>158806.15595474333</v>
          </cell>
          <cell r="K231">
            <v>162547.31137672518</v>
          </cell>
          <cell r="L231">
            <v>166376.60093813806</v>
          </cell>
          <cell r="M231">
            <v>170296.10090303872</v>
          </cell>
          <cell r="N231">
            <v>174307.93644811251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1287156.834237081</v>
          </cell>
        </row>
        <row r="232">
          <cell r="B232" t="str">
            <v>1.1.2 - Outras Receitas Operacionais    (calculado 2.1.2.)</v>
          </cell>
          <cell r="G232">
            <v>86.918576672322089</v>
          </cell>
          <cell r="H232">
            <v>88.96620450156864</v>
          </cell>
          <cell r="I232">
            <v>91.06207034721659</v>
          </cell>
          <cell r="J232">
            <v>93.207310600456324</v>
          </cell>
          <cell r="K232">
            <v>95.403088423581877</v>
          </cell>
          <cell r="L232">
            <v>97.650594380664614</v>
          </cell>
          <cell r="M232">
            <v>99.951047083084319</v>
          </cell>
          <cell r="N232">
            <v>102.30569385026762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755.46458585916207</v>
          </cell>
        </row>
        <row r="233">
          <cell r="B233" t="str">
            <v>2 -  DEDUÇÕES DA RECEITA    (2.1)</v>
          </cell>
          <cell r="G233">
            <v>12817.428199743157</v>
          </cell>
          <cell r="H233">
            <v>13119.381173272706</v>
          </cell>
          <cell r="I233">
            <v>13428.447554952663</v>
          </cell>
          <cell r="J233">
            <v>13744.794922452238</v>
          </cell>
          <cell r="K233">
            <v>14068.594801235366</v>
          </cell>
          <cell r="L233">
            <v>14400.022757562867</v>
          </cell>
          <cell r="M233">
            <v>14739.258493685535</v>
          </cell>
          <cell r="N233">
            <v>15086.485945279779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111404.41384818431</v>
          </cell>
        </row>
        <row r="234">
          <cell r="B234" t="str">
            <v>2.1 - Tributos sobre Faturamento    (2.1.1+ .... + 2.1.4)</v>
          </cell>
          <cell r="G234">
            <v>12817.428199743157</v>
          </cell>
          <cell r="H234">
            <v>13119.381173272706</v>
          </cell>
          <cell r="I234">
            <v>13428.447554952663</v>
          </cell>
          <cell r="J234">
            <v>13744.794922452238</v>
          </cell>
          <cell r="K234">
            <v>14068.594801235366</v>
          </cell>
          <cell r="L234">
            <v>14400.022757562867</v>
          </cell>
          <cell r="M234">
            <v>14739.258493685535</v>
          </cell>
          <cell r="N234">
            <v>15086.485945279779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111404.41384818431</v>
          </cell>
        </row>
        <row r="235">
          <cell r="B235" t="str">
            <v>2.1.1 - I.S.S    (transp. Qd  1.3.)</v>
          </cell>
          <cell r="G235">
            <v>7408.9180345336172</v>
          </cell>
          <cell r="H235">
            <v>7583.4573255911591</v>
          </cell>
          <cell r="I235">
            <v>7762.1084132674359</v>
          </cell>
          <cell r="J235">
            <v>7944.96816326719</v>
          </cell>
          <cell r="K235">
            <v>8132.1357232574373</v>
          </cell>
          <cell r="L235">
            <v>8323.712576625936</v>
          </cell>
          <cell r="M235">
            <v>8519.80259750609</v>
          </cell>
          <cell r="N235">
            <v>8720.5121070981386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64395.614941147003</v>
          </cell>
        </row>
        <row r="236">
          <cell r="B236" t="str">
            <v>2.1.2 - Cofins    (transp. Qd 1.3.)</v>
          </cell>
          <cell r="G236">
            <v>4445.3508207201694</v>
          </cell>
          <cell r="H236">
            <v>4550.0743953546953</v>
          </cell>
          <cell r="I236">
            <v>4657.2650479604608</v>
          </cell>
          <cell r="J236">
            <v>4766.980897960314</v>
          </cell>
          <cell r="K236">
            <v>4879.281433954462</v>
          </cell>
          <cell r="L236">
            <v>4994.227545975561</v>
          </cell>
          <cell r="M236">
            <v>5111.8815585036537</v>
          </cell>
          <cell r="N236">
            <v>5232.3072642588832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38637.368964688198</v>
          </cell>
        </row>
        <row r="237">
          <cell r="B237" t="str">
            <v>2.1.3 - Pis / Pasep    (transp. Qd 1.3.)</v>
          </cell>
          <cell r="G237">
            <v>963.15934448937014</v>
          </cell>
          <cell r="H237">
            <v>985.84945232685061</v>
          </cell>
          <cell r="I237">
            <v>1009.0740937247665</v>
          </cell>
          <cell r="J237">
            <v>1032.8458612247346</v>
          </cell>
          <cell r="K237">
            <v>1057.1776440234669</v>
          </cell>
          <cell r="L237">
            <v>1082.0826349613715</v>
          </cell>
          <cell r="M237">
            <v>1107.5743376757916</v>
          </cell>
          <cell r="N237">
            <v>1133.6665739227581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8371.4299423491102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135360.93249092918</v>
          </cell>
          <cell r="H239">
            <v>138549.76533855047</v>
          </cell>
          <cell r="I239">
            <v>141813.72071039604</v>
          </cell>
          <cell r="J239">
            <v>145154.56834289155</v>
          </cell>
          <cell r="K239">
            <v>148574.11966391339</v>
          </cell>
          <cell r="L239">
            <v>152074.22877495585</v>
          </cell>
          <cell r="M239">
            <v>155656.79345643625</v>
          </cell>
          <cell r="N239">
            <v>159323.75619668301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1176507.8849747558</v>
          </cell>
        </row>
        <row r="240">
          <cell r="B240" t="str">
            <v>4 -  DESPESAS    (4.1)</v>
          </cell>
          <cell r="G240">
            <v>34059.549098354037</v>
          </cell>
          <cell r="H240">
            <v>34182.031964818467</v>
          </cell>
          <cell r="I240">
            <v>34307.400282651048</v>
          </cell>
          <cell r="J240">
            <v>34435.72202731514</v>
          </cell>
          <cell r="K240">
            <v>34567.066775640022</v>
          </cell>
          <cell r="L240">
            <v>34701.505743545938</v>
          </cell>
          <cell r="M240">
            <v>34839.111824657797</v>
          </cell>
          <cell r="N240">
            <v>34979.959629828474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276072.34734681086</v>
          </cell>
        </row>
        <row r="241">
          <cell r="B241" t="str">
            <v>4.1 - Operacionais    (4.1.1+ .... + 4.1.10)</v>
          </cell>
          <cell r="G241">
            <v>34059.549098354037</v>
          </cell>
          <cell r="H241">
            <v>34182.031964818467</v>
          </cell>
          <cell r="I241">
            <v>34307.400282651048</v>
          </cell>
          <cell r="J241">
            <v>34435.72202731514</v>
          </cell>
          <cell r="K241">
            <v>34567.066775640022</v>
          </cell>
          <cell r="L241">
            <v>34701.505743545938</v>
          </cell>
          <cell r="M241">
            <v>34839.111824657797</v>
          </cell>
          <cell r="N241">
            <v>34979.959629828474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276072.34734681086</v>
          </cell>
        </row>
        <row r="242">
          <cell r="B242" t="str">
            <v>4.1.1  -  Pessoal e Administradores    (Transp. Qd. 1.3.)</v>
          </cell>
          <cell r="G242">
            <v>18979.733588298932</v>
          </cell>
          <cell r="H242">
            <v>18979.733588298932</v>
          </cell>
          <cell r="I242">
            <v>18979.733588298932</v>
          </cell>
          <cell r="J242">
            <v>18979.733588298932</v>
          </cell>
          <cell r="K242">
            <v>18979.733588298932</v>
          </cell>
          <cell r="L242">
            <v>18979.733588298932</v>
          </cell>
          <cell r="M242">
            <v>18979.733588298932</v>
          </cell>
          <cell r="N242">
            <v>18979.733588298932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151837.86870639145</v>
          </cell>
        </row>
        <row r="243">
          <cell r="B243" t="str">
            <v>4.1.2  -  Conservação de Rotina    (Transp. Qd. 1.3.)</v>
          </cell>
          <cell r="G243">
            <v>6812.7863690472386</v>
          </cell>
          <cell r="H243">
            <v>6812.7863690472386</v>
          </cell>
          <cell r="I243">
            <v>6812.7863690472386</v>
          </cell>
          <cell r="J243">
            <v>6812.7863690472386</v>
          </cell>
          <cell r="K243">
            <v>6812.7863690472386</v>
          </cell>
          <cell r="L243">
            <v>6812.7863690472386</v>
          </cell>
          <cell r="M243">
            <v>6812.7863690472386</v>
          </cell>
          <cell r="N243">
            <v>6812.7863690472386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54502.290952377902</v>
          </cell>
        </row>
        <row r="244">
          <cell r="B244" t="str">
            <v>4.1.3  -  Consumo    (Transp. Qd. 1.3.)</v>
          </cell>
          <cell r="G244">
            <v>1070.8418276591092</v>
          </cell>
          <cell r="H244">
            <v>1070.8418276591092</v>
          </cell>
          <cell r="I244">
            <v>1070.8418276591092</v>
          </cell>
          <cell r="J244">
            <v>1070.8418276591092</v>
          </cell>
          <cell r="K244">
            <v>1070.8418276591092</v>
          </cell>
          <cell r="L244">
            <v>1070.8418276591092</v>
          </cell>
          <cell r="M244">
            <v>1070.8418276591092</v>
          </cell>
          <cell r="N244">
            <v>1070.8418276591092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8566.7346212728735</v>
          </cell>
        </row>
        <row r="245">
          <cell r="B245" t="str">
            <v>4.1.4  -  Transportes    (Transp. Qd. 1.3.)</v>
          </cell>
          <cell r="G245">
            <v>200.06899999999999</v>
          </cell>
          <cell r="H245">
            <v>200.06899999999999</v>
          </cell>
          <cell r="I245">
            <v>200.06899999999999</v>
          </cell>
          <cell r="J245">
            <v>200.06899999999999</v>
          </cell>
          <cell r="K245">
            <v>200.06899999999999</v>
          </cell>
          <cell r="L245">
            <v>200.06899999999999</v>
          </cell>
          <cell r="M245">
            <v>200.06899999999999</v>
          </cell>
          <cell r="N245">
            <v>200.06899999999999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1600.5519999999999</v>
          </cell>
        </row>
        <row r="246">
          <cell r="B246" t="str">
            <v>4.1.5  -  Diversas    (Transp. Qd. 1.3.)</v>
          </cell>
          <cell r="G246">
            <v>1314.6</v>
          </cell>
          <cell r="H246">
            <v>1314.6</v>
          </cell>
          <cell r="I246">
            <v>1314.6</v>
          </cell>
          <cell r="J246">
            <v>1314.6</v>
          </cell>
          <cell r="K246">
            <v>1314.6</v>
          </cell>
          <cell r="L246">
            <v>1314.6</v>
          </cell>
          <cell r="M246">
            <v>1314.6</v>
          </cell>
          <cell r="N246">
            <v>1314.6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10516.800000000001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1100.4720778941123</v>
          </cell>
          <cell r="H248">
            <v>1117.7433901763388</v>
          </cell>
          <cell r="I248">
            <v>1135.4215800333097</v>
          </cell>
          <cell r="J248">
            <v>1153.5162326869313</v>
          </cell>
          <cell r="K248">
            <v>1172.0371591677667</v>
          </cell>
          <cell r="L248">
            <v>1190.9944016346381</v>
          </cell>
          <cell r="M248">
            <v>1210.3982388195434</v>
          </cell>
          <cell r="N248">
            <v>1230.2591916008512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9310.8422720134913</v>
          </cell>
        </row>
        <row r="249">
          <cell r="B249" t="str">
            <v xml:space="preserve">4.1.8  -  Garantias  (transp. Qd 1.3.)  </v>
          </cell>
          <cell r="G249">
            <v>135.69541473447825</v>
          </cell>
          <cell r="H249">
            <v>136.18339428214526</v>
          </cell>
          <cell r="I249">
            <v>136.68286965199621</v>
          </cell>
          <cell r="J249">
            <v>137.19411166261011</v>
          </cell>
          <cell r="K249">
            <v>137.71739751251005</v>
          </cell>
          <cell r="L249">
            <v>138.25301093046193</v>
          </cell>
          <cell r="M249">
            <v>138.80124232931391</v>
          </cell>
          <cell r="N249">
            <v>139.36238896346006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1099.8898300669757</v>
          </cell>
        </row>
        <row r="250">
          <cell r="B250" t="str">
            <v xml:space="preserve">4.1.9  -  Parc.Variável da Concessão   </v>
          </cell>
          <cell r="G250">
            <v>4445.3508207201694</v>
          </cell>
          <cell r="H250">
            <v>4550.0743953546953</v>
          </cell>
          <cell r="I250">
            <v>4657.2650479604608</v>
          </cell>
          <cell r="J250">
            <v>4766.980897960314</v>
          </cell>
          <cell r="K250">
            <v>4879.281433954462</v>
          </cell>
          <cell r="L250">
            <v>4994.227545975561</v>
          </cell>
          <cell r="M250">
            <v>5111.8815585036537</v>
          </cell>
          <cell r="N250">
            <v>5232.3072642588832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38637.368964688198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101301.38339257514</v>
          </cell>
          <cell r="H252">
            <v>104367.733373732</v>
          </cell>
          <cell r="I252">
            <v>107506.320427745</v>
          </cell>
          <cell r="J252">
            <v>110718.8463155764</v>
          </cell>
          <cell r="K252">
            <v>114007.05288827336</v>
          </cell>
          <cell r="L252">
            <v>117372.7230314099</v>
          </cell>
          <cell r="M252">
            <v>120817.68163177845</v>
          </cell>
          <cell r="N252">
            <v>124343.79656685454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900435.53762794496</v>
          </cell>
        </row>
        <row r="253">
          <cell r="B253" t="str">
            <v>6 -  RESULTADO FINANCEIRO    (6.1)</v>
          </cell>
          <cell r="G253">
            <v>370.54472281559191</v>
          </cell>
          <cell r="H253">
            <v>379.2740153956816</v>
          </cell>
          <cell r="I253">
            <v>388.20895265037308</v>
          </cell>
          <cell r="J253">
            <v>397.35437915691057</v>
          </cell>
          <cell r="K253">
            <v>406.71525362108906</v>
          </cell>
          <cell r="L253">
            <v>416.29665156589465</v>
          </cell>
          <cell r="M253">
            <v>426.103768083484</v>
          </cell>
          <cell r="N253">
            <v>436.14192065199472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3220.6396639410195</v>
          </cell>
        </row>
        <row r="254">
          <cell r="B254" t="str">
            <v>6.1 - Receitas    (Transp. Qd. 2B)</v>
          </cell>
          <cell r="G254">
            <v>370.54472281559191</v>
          </cell>
          <cell r="H254">
            <v>379.2740153956816</v>
          </cell>
          <cell r="I254">
            <v>388.20895265037308</v>
          </cell>
          <cell r="J254">
            <v>397.35437915691057</v>
          </cell>
          <cell r="K254">
            <v>406.71525362108906</v>
          </cell>
          <cell r="L254">
            <v>416.29665156589465</v>
          </cell>
          <cell r="M254">
            <v>426.103768083484</v>
          </cell>
          <cell r="N254">
            <v>436.14192065199472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3220.6396639410195</v>
          </cell>
        </row>
        <row r="255">
          <cell r="B255" t="str">
            <v>7 -  RESULTADO OPERACIONAL    (5 + 6)</v>
          </cell>
          <cell r="G255">
            <v>101671.92811539074</v>
          </cell>
          <cell r="H255">
            <v>104747.00738912768</v>
          </cell>
          <cell r="I255">
            <v>107894.52938039537</v>
          </cell>
          <cell r="J255">
            <v>111116.20069473331</v>
          </cell>
          <cell r="K255">
            <v>114413.76814189446</v>
          </cell>
          <cell r="L255">
            <v>117789.01968297579</v>
          </cell>
          <cell r="M255">
            <v>121243.78539986194</v>
          </cell>
          <cell r="N255">
            <v>124779.93848750653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903656.17729188595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101671.92811539074</v>
          </cell>
          <cell r="H257">
            <v>104747.00738912768</v>
          </cell>
          <cell r="I257">
            <v>107894.52938039537</v>
          </cell>
          <cell r="J257">
            <v>111116.20069473331</v>
          </cell>
          <cell r="K257">
            <v>114413.76814189446</v>
          </cell>
          <cell r="L257">
            <v>117789.01968297579</v>
          </cell>
          <cell r="M257">
            <v>121243.78539986194</v>
          </cell>
          <cell r="N257">
            <v>124779.93848750653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903656.17729188595</v>
          </cell>
        </row>
        <row r="258">
          <cell r="B258" t="str">
            <v>10- CONTRIBUIÇÃO SOCIAL (Legislação vigente)</v>
          </cell>
          <cell r="G258">
            <v>8133.7542492312587</v>
          </cell>
          <cell r="H258">
            <v>8379.7605911302144</v>
          </cell>
          <cell r="I258">
            <v>8631.56235043163</v>
          </cell>
          <cell r="J258">
            <v>8889.2960555786649</v>
          </cell>
          <cell r="K258">
            <v>9153.1014513515565</v>
          </cell>
          <cell r="L258">
            <v>9423.121574638064</v>
          </cell>
          <cell r="M258">
            <v>9699.5028319889552</v>
          </cell>
          <cell r="N258">
            <v>9982.3950790005219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72292.494183350864</v>
          </cell>
        </row>
        <row r="259">
          <cell r="B259" t="str">
            <v>11- RESULTADO ANTES IMPOSTO DE RENDA    (9 - 10)</v>
          </cell>
          <cell r="G259">
            <v>93538.173866159472</v>
          </cell>
          <cell r="H259">
            <v>96367.246797997475</v>
          </cell>
          <cell r="I259">
            <v>99262.967029963736</v>
          </cell>
          <cell r="J259">
            <v>102226.90463915464</v>
          </cell>
          <cell r="K259">
            <v>105260.6666905429</v>
          </cell>
          <cell r="L259">
            <v>108365.89810833773</v>
          </cell>
          <cell r="M259">
            <v>111544.28256787299</v>
          </cell>
          <cell r="N259">
            <v>114797.54340850601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831363.68310853513</v>
          </cell>
        </row>
        <row r="260">
          <cell r="B260" t="str">
            <v>12- IMPOSTO DE RENDA (Legislação vigente)</v>
          </cell>
          <cell r="G260">
            <v>25393.982028847684</v>
          </cell>
          <cell r="H260">
            <v>26162.751847281921</v>
          </cell>
          <cell r="I260">
            <v>26949.632345098842</v>
          </cell>
          <cell r="J260">
            <v>27755.050173683332</v>
          </cell>
          <cell r="K260">
            <v>28579.442035473614</v>
          </cell>
          <cell r="L260">
            <v>29423.254920743944</v>
          </cell>
          <cell r="M260">
            <v>30286.946349965485</v>
          </cell>
          <cell r="N260">
            <v>31170.984621876632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225722.04432297149</v>
          </cell>
        </row>
        <row r="261">
          <cell r="B261" t="str">
            <v>13- RESULTADO DE EXERCÍCIO    (11 - 12)</v>
          </cell>
          <cell r="G261">
            <v>68144.191837311781</v>
          </cell>
          <cell r="H261">
            <v>70204.494950715554</v>
          </cell>
          <cell r="I261">
            <v>72313.334684864894</v>
          </cell>
          <cell r="J261">
            <v>74471.854465471319</v>
          </cell>
          <cell r="K261">
            <v>76681.224655069294</v>
          </cell>
          <cell r="L261">
            <v>78942.643187593785</v>
          </cell>
          <cell r="M261">
            <v>81257.336217907505</v>
          </cell>
          <cell r="N261">
            <v>83626.558786629379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605641.63878556364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43088.966884621434</v>
          </cell>
          <cell r="H267">
            <v>73582.626867115832</v>
          </cell>
          <cell r="I267">
            <v>83699.568576898848</v>
          </cell>
          <cell r="J267">
            <v>85823.517403499311</v>
          </cell>
          <cell r="K267">
            <v>91375.455946962902</v>
          </cell>
          <cell r="L267">
            <v>95839.787097229142</v>
          </cell>
          <cell r="M267">
            <v>99000.897523337437</v>
          </cell>
          <cell r="N267">
            <v>102264.43319351919</v>
          </cell>
          <cell r="O267">
            <v>105389.0956589994</v>
          </cell>
          <cell r="P267">
            <v>108608.42216529221</v>
          </cell>
          <cell r="Q267">
            <v>111927.66764355914</v>
          </cell>
          <cell r="R267">
            <v>115347.71747100454</v>
          </cell>
          <cell r="S267">
            <v>118874.67606829479</v>
          </cell>
          <cell r="T267">
            <v>121914.77703626605</v>
          </cell>
          <cell r="U267">
            <v>125034.06397465819</v>
          </cell>
          <cell r="V267">
            <v>128231.87800068523</v>
          </cell>
          <cell r="W267">
            <v>134503.13029036773</v>
          </cell>
          <cell r="X267">
            <v>137953.33998890733</v>
          </cell>
          <cell r="Y267">
            <v>141494.02549053985</v>
          </cell>
          <cell r="Z267">
            <v>167047.6217169594</v>
          </cell>
          <cell r="AA267">
            <v>2191001.6689987178</v>
          </cell>
        </row>
        <row r="268">
          <cell r="B268" t="str">
            <v>1.1.  RECEITAS     (1.1.1.+ ... + 1.1.4)</v>
          </cell>
          <cell r="G268">
            <v>43088.966884621434</v>
          </cell>
          <cell r="H268">
            <v>73582.626867115832</v>
          </cell>
          <cell r="I268">
            <v>83699.568576898848</v>
          </cell>
          <cell r="J268">
            <v>85823.517403499311</v>
          </cell>
          <cell r="K268">
            <v>91375.455946962902</v>
          </cell>
          <cell r="L268">
            <v>95839.787097229142</v>
          </cell>
          <cell r="M268">
            <v>99000.897523337437</v>
          </cell>
          <cell r="N268">
            <v>102264.43319351919</v>
          </cell>
          <cell r="O268">
            <v>105389.0956589994</v>
          </cell>
          <cell r="P268">
            <v>108608.42216529221</v>
          </cell>
          <cell r="Q268">
            <v>111927.66764355914</v>
          </cell>
          <cell r="R268">
            <v>115347.71747100454</v>
          </cell>
          <cell r="S268">
            <v>118874.67606829479</v>
          </cell>
          <cell r="T268">
            <v>121914.77703626605</v>
          </cell>
          <cell r="U268">
            <v>125034.06397465819</v>
          </cell>
          <cell r="V268">
            <v>128231.87800068523</v>
          </cell>
          <cell r="W268">
            <v>134503.13029036773</v>
          </cell>
          <cell r="X268">
            <v>137953.33998890733</v>
          </cell>
          <cell r="Y268">
            <v>141494.02549053985</v>
          </cell>
          <cell r="Z268">
            <v>167047.6217169594</v>
          </cell>
          <cell r="AA268">
            <v>2191001.6689987178</v>
          </cell>
        </row>
        <row r="269">
          <cell r="B269" t="str">
            <v>1.1.1   Receitas de Pedágio</v>
          </cell>
          <cell r="G269">
            <v>42918.728907355711</v>
          </cell>
          <cell r="H269">
            <v>73335.170396858215</v>
          </cell>
          <cell r="I269">
            <v>83426.752991392408</v>
          </cell>
          <cell r="J269">
            <v>85537.598368012274</v>
          </cell>
          <cell r="K269">
            <v>91082.636147123616</v>
          </cell>
          <cell r="L269">
            <v>95533.540290929421</v>
          </cell>
          <cell r="M269">
            <v>98685.974208082524</v>
          </cell>
          <cell r="N269">
            <v>101941.83161754541</v>
          </cell>
          <cell r="O269">
            <v>105057.01460156949</v>
          </cell>
          <cell r="P269">
            <v>108267.90676077316</v>
          </cell>
          <cell r="Q269">
            <v>111577.52540238072</v>
          </cell>
          <cell r="R269">
            <v>114988.91461844981</v>
          </cell>
          <cell r="S269">
            <v>118505.17050140261</v>
          </cell>
          <cell r="T269">
            <v>121537.06426355509</v>
          </cell>
          <cell r="U269">
            <v>124647.19282163159</v>
          </cell>
          <cell r="V269">
            <v>127837.48928332981</v>
          </cell>
          <cell r="W269">
            <v>134091.92357437478</v>
          </cell>
          <cell r="X269">
            <v>137532.44142815459</v>
          </cell>
          <cell r="Y269">
            <v>141062.02947148957</v>
          </cell>
          <cell r="Z269">
            <v>144682.95370968524</v>
          </cell>
          <cell r="AA269">
            <v>2162249.8593640961</v>
          </cell>
        </row>
        <row r="270">
          <cell r="B270" t="str">
            <v>1.1.2   Outras Receitas Operacionais</v>
          </cell>
          <cell r="G270">
            <v>63.049761711866722</v>
          </cell>
          <cell r="H270">
            <v>64.353557256218977</v>
          </cell>
          <cell r="I270">
            <v>64.34870100931677</v>
          </cell>
          <cell r="J270">
            <v>65.3545202039533</v>
          </cell>
          <cell r="K270">
            <v>65.053206513898246</v>
          </cell>
          <cell r="L270">
            <v>67.047966641394993</v>
          </cell>
          <cell r="M270">
            <v>68.050877703281188</v>
          </cell>
          <cell r="N270">
            <v>68.049494683656008</v>
          </cell>
          <cell r="O270">
            <v>69.048529232991157</v>
          </cell>
          <cell r="P270">
            <v>70.050639488573665</v>
          </cell>
          <cell r="Q270">
            <v>71.048430984952105</v>
          </cell>
          <cell r="R270">
            <v>71.04807366784533</v>
          </cell>
          <cell r="S270">
            <v>73.052633788308</v>
          </cell>
          <cell r="T270">
            <v>74.050112325112437</v>
          </cell>
          <cell r="U270">
            <v>75.05066916697686</v>
          </cell>
          <cell r="V270">
            <v>75.047485687884489</v>
          </cell>
          <cell r="W270">
            <v>76.046904207509684</v>
          </cell>
          <cell r="X270">
            <v>77.049957192066216</v>
          </cell>
          <cell r="Y270">
            <v>79.450946682244435</v>
          </cell>
          <cell r="Z270">
            <v>79.048297917362731</v>
          </cell>
          <cell r="AA270">
            <v>1415.3007660654132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21923.624831272969</v>
          </cell>
          <cell r="AA271">
            <v>21923.624831272969</v>
          </cell>
        </row>
        <row r="272">
          <cell r="B272" t="str">
            <v xml:space="preserve">1.1.4   Receitas Financeiras </v>
          </cell>
          <cell r="G272">
            <v>107.18821555385382</v>
          </cell>
          <cell r="H272">
            <v>183.10291300138854</v>
          </cell>
          <cell r="I272">
            <v>208.46688449711459</v>
          </cell>
          <cell r="J272">
            <v>220.56451528308182</v>
          </cell>
          <cell r="K272">
            <v>227.76659332539296</v>
          </cell>
          <cell r="L272">
            <v>239.19883965833188</v>
          </cell>
          <cell r="M272">
            <v>246.87243755162834</v>
          </cell>
          <cell r="N272">
            <v>254.55208129012647</v>
          </cell>
          <cell r="O272">
            <v>263.03252819691238</v>
          </cell>
          <cell r="P272">
            <v>270.4647650304816</v>
          </cell>
          <cell r="Q272">
            <v>279.09381019346398</v>
          </cell>
          <cell r="R272">
            <v>287.75477888688692</v>
          </cell>
          <cell r="S272">
            <v>296.4529331038799</v>
          </cell>
          <cell r="T272">
            <v>303.66266038584894</v>
          </cell>
          <cell r="U272">
            <v>311.82048385962611</v>
          </cell>
          <cell r="V272">
            <v>319.34123166753585</v>
          </cell>
          <cell r="W272">
            <v>335.15981178545013</v>
          </cell>
          <cell r="X272">
            <v>343.84860356066372</v>
          </cell>
          <cell r="Y272">
            <v>352.54507236802482</v>
          </cell>
          <cell r="Z272">
            <v>361.99487808384293</v>
          </cell>
          <cell r="AA272">
            <v>5412.8840372835366</v>
          </cell>
        </row>
        <row r="273">
          <cell r="B273" t="str">
            <v>2.  DESEMBOLSOS     (2.1.+ ... + 2.4)</v>
          </cell>
          <cell r="G273">
            <v>91254.217153245845</v>
          </cell>
          <cell r="H273">
            <v>102243.47483344002</v>
          </cell>
          <cell r="I273">
            <v>84625.954975455563</v>
          </cell>
          <cell r="J273">
            <v>93477.226710576579</v>
          </cell>
          <cell r="K273">
            <v>84051.118053250801</v>
          </cell>
          <cell r="L273">
            <v>100561.19529772403</v>
          </cell>
          <cell r="M273">
            <v>74847.456728803372</v>
          </cell>
          <cell r="N273">
            <v>67790.647864349405</v>
          </cell>
          <cell r="O273">
            <v>71648.547238861851</v>
          </cell>
          <cell r="P273">
            <v>75669.034285147485</v>
          </cell>
          <cell r="Q273">
            <v>81868.136516425278</v>
          </cell>
          <cell r="R273">
            <v>76726.245153169788</v>
          </cell>
          <cell r="S273">
            <v>65485.482831623158</v>
          </cell>
          <cell r="T273">
            <v>73426.222525170087</v>
          </cell>
          <cell r="U273">
            <v>83750.594015795126</v>
          </cell>
          <cell r="V273">
            <v>89672.458832467426</v>
          </cell>
          <cell r="W273">
            <v>85693.450516209399</v>
          </cell>
          <cell r="X273">
            <v>106289.98475024488</v>
          </cell>
          <cell r="Y273">
            <v>93799.556108415607</v>
          </cell>
          <cell r="Z273">
            <v>89336.412226502463</v>
          </cell>
          <cell r="AA273">
            <v>1692217.4166168782</v>
          </cell>
        </row>
        <row r="274">
          <cell r="B274" t="str">
            <v>2.1.  OPERACIONAIS     (2.1.1.+ ... + 2.1.8)</v>
          </cell>
          <cell r="G274">
            <v>24347.647095169752</v>
          </cell>
          <cell r="H274">
            <v>30094.855958671891</v>
          </cell>
          <cell r="I274">
            <v>32902.998130792846</v>
          </cell>
          <cell r="J274">
            <v>36310.941579728198</v>
          </cell>
          <cell r="K274">
            <v>37824.673138365208</v>
          </cell>
          <cell r="L274">
            <v>37388.176279338186</v>
          </cell>
          <cell r="M274">
            <v>37453.671364680646</v>
          </cell>
          <cell r="N274">
            <v>37709.030337503937</v>
          </cell>
          <cell r="O274">
            <v>38072.88343738464</v>
          </cell>
          <cell r="P274">
            <v>38379.807846248958</v>
          </cell>
          <cell r="Q274">
            <v>38587.147243320236</v>
          </cell>
          <cell r="R274">
            <v>38950.690227774474</v>
          </cell>
          <cell r="S274">
            <v>39281.832436432611</v>
          </cell>
          <cell r="T274">
            <v>39490.963986081784</v>
          </cell>
          <cell r="U274">
            <v>39964.274292494934</v>
          </cell>
          <cell r="V274">
            <v>40442.387793079281</v>
          </cell>
          <cell r="W274">
            <v>41241.36489525863</v>
          </cell>
          <cell r="X274">
            <v>41808.056971031059</v>
          </cell>
          <cell r="Y274">
            <v>42409.166329827458</v>
          </cell>
          <cell r="Z274">
            <v>42821.139140475527</v>
          </cell>
          <cell r="AA274">
            <v>755481.70848366024</v>
          </cell>
        </row>
        <row r="275">
          <cell r="B275" t="str">
            <v xml:space="preserve">2.1.1.  Pessoal / Administradores   </v>
          </cell>
          <cell r="G275">
            <v>11582.927556627623</v>
          </cell>
          <cell r="H275">
            <v>18033.817784754669</v>
          </cell>
          <cell r="I275">
            <v>18835.696414853173</v>
          </cell>
          <cell r="J275">
            <v>18979.733588298932</v>
          </cell>
          <cell r="K275">
            <v>18979.733588298932</v>
          </cell>
          <cell r="L275">
            <v>18979.733588298932</v>
          </cell>
          <cell r="M275">
            <v>18806.174367121308</v>
          </cell>
          <cell r="N275">
            <v>18806.174367121308</v>
          </cell>
          <cell r="O275">
            <v>18835.696414853173</v>
          </cell>
          <cell r="P275">
            <v>18806.174367121308</v>
          </cell>
          <cell r="Q275">
            <v>18806.174367121308</v>
          </cell>
          <cell r="R275">
            <v>18806.174367121308</v>
          </cell>
          <cell r="S275">
            <v>18806.174367121308</v>
          </cell>
          <cell r="T275">
            <v>18806.174367121308</v>
          </cell>
          <cell r="U275">
            <v>18806.174367121308</v>
          </cell>
          <cell r="V275">
            <v>18835.696414853173</v>
          </cell>
          <cell r="W275">
            <v>18979.972660132818</v>
          </cell>
          <cell r="X275">
            <v>18979.733588298932</v>
          </cell>
          <cell r="Y275">
            <v>18979.733588298932</v>
          </cell>
          <cell r="Z275">
            <v>18979.733588298932</v>
          </cell>
          <cell r="AA275">
            <v>369431.60371283873</v>
          </cell>
        </row>
        <row r="276">
          <cell r="B276" t="str">
            <v xml:space="preserve">2.1.2.  Conservação de Rotina  </v>
          </cell>
          <cell r="G276">
            <v>7153.0949996909385</v>
          </cell>
          <cell r="H276">
            <v>5137.2138388968506</v>
          </cell>
          <cell r="I276">
            <v>5377.9101341428177</v>
          </cell>
          <cell r="J276">
            <v>5676.0140672236303</v>
          </cell>
          <cell r="K276">
            <v>5770.1339395313244</v>
          </cell>
          <cell r="L276">
            <v>5920.9967754238587</v>
          </cell>
          <cell r="M276">
            <v>5923.6655754238591</v>
          </cell>
          <cell r="N276">
            <v>5926.3343754238576</v>
          </cell>
          <cell r="O276">
            <v>5929.0031754238589</v>
          </cell>
          <cell r="P276">
            <v>5933.0063754238581</v>
          </cell>
          <cell r="Q276">
            <v>5922.7089733046587</v>
          </cell>
          <cell r="R276">
            <v>5925.3777733046581</v>
          </cell>
          <cell r="S276">
            <v>5940.8687446238582</v>
          </cell>
          <cell r="T276">
            <v>5943.458986721299</v>
          </cell>
          <cell r="U276">
            <v>5999.0331279285474</v>
          </cell>
          <cell r="V276">
            <v>6145.8426453658431</v>
          </cell>
          <cell r="W276">
            <v>6293.1229900917788</v>
          </cell>
          <cell r="X276">
            <v>6299.1582718464961</v>
          </cell>
          <cell r="Y276">
            <v>6562.9695093010187</v>
          </cell>
          <cell r="Z276">
            <v>6812.7863690472386</v>
          </cell>
          <cell r="AA276">
            <v>120592.70064814026</v>
          </cell>
        </row>
        <row r="277">
          <cell r="B277" t="str">
            <v xml:space="preserve">2.1.3.  Consumo   </v>
          </cell>
          <cell r="G277">
            <v>573.52042637185912</v>
          </cell>
          <cell r="H277">
            <v>1000.1984702424224</v>
          </cell>
          <cell r="I277">
            <v>1063.363142658214</v>
          </cell>
          <cell r="J277">
            <v>1070.4871072391923</v>
          </cell>
          <cell r="K277">
            <v>1070.4871072391923</v>
          </cell>
          <cell r="L277">
            <v>1070.4871072391923</v>
          </cell>
          <cell r="M277">
            <v>1061.9384195958114</v>
          </cell>
          <cell r="N277">
            <v>1061.9384195958114</v>
          </cell>
          <cell r="O277">
            <v>1063.363142658214</v>
          </cell>
          <cell r="P277">
            <v>1061.9384195958114</v>
          </cell>
          <cell r="Q277">
            <v>1061.9384195958114</v>
          </cell>
          <cell r="R277">
            <v>1062.2926549056228</v>
          </cell>
          <cell r="S277">
            <v>1062.2926549056228</v>
          </cell>
          <cell r="T277">
            <v>1062.2926549056228</v>
          </cell>
          <cell r="U277">
            <v>1062.2926549056228</v>
          </cell>
          <cell r="V277">
            <v>1063.7174592493147</v>
          </cell>
          <cell r="W277">
            <v>1070.8418276591092</v>
          </cell>
          <cell r="X277">
            <v>1070.8418276591092</v>
          </cell>
          <cell r="Y277">
            <v>1070.8418276591092</v>
          </cell>
          <cell r="Z277">
            <v>1070.8418276591092</v>
          </cell>
          <cell r="AA277">
            <v>20755.915571539779</v>
          </cell>
        </row>
        <row r="278">
          <cell r="B278" t="str">
            <v>2.1.4.  Transportes</v>
          </cell>
          <cell r="G278">
            <v>113.2325</v>
          </cell>
          <cell r="H278">
            <v>190.96999999999997</v>
          </cell>
          <cell r="I278">
            <v>200.06899999999999</v>
          </cell>
          <cell r="J278">
            <v>200.06899999999999</v>
          </cell>
          <cell r="K278">
            <v>200.06899999999999</v>
          </cell>
          <cell r="L278">
            <v>200.06899999999999</v>
          </cell>
          <cell r="M278">
            <v>200.06899999999999</v>
          </cell>
          <cell r="N278">
            <v>200.06899999999999</v>
          </cell>
          <cell r="O278">
            <v>200.06899999999999</v>
          </cell>
          <cell r="P278">
            <v>200.06899999999999</v>
          </cell>
          <cell r="Q278">
            <v>200.06899999999999</v>
          </cell>
          <cell r="R278">
            <v>200.06899999999999</v>
          </cell>
          <cell r="S278">
            <v>200.06899999999999</v>
          </cell>
          <cell r="T278">
            <v>200.06899999999999</v>
          </cell>
          <cell r="U278">
            <v>200.06899999999999</v>
          </cell>
          <cell r="V278">
            <v>200.06899999999999</v>
          </cell>
          <cell r="W278">
            <v>200.06899999999999</v>
          </cell>
          <cell r="X278">
            <v>200.06899999999999</v>
          </cell>
          <cell r="Y278">
            <v>200.06899999999999</v>
          </cell>
          <cell r="Z278">
            <v>200.06899999999999</v>
          </cell>
          <cell r="AA278">
            <v>3905.4444999999996</v>
          </cell>
        </row>
        <row r="279">
          <cell r="B279" t="str">
            <v>2.1.5.  Diversas</v>
          </cell>
          <cell r="G279">
            <v>1240.2</v>
          </cell>
          <cell r="H279">
            <v>1314.6</v>
          </cell>
          <cell r="I279">
            <v>1314.6</v>
          </cell>
          <cell r="J279">
            <v>1314.6</v>
          </cell>
          <cell r="K279">
            <v>1314.6</v>
          </cell>
          <cell r="L279">
            <v>1314.6</v>
          </cell>
          <cell r="M279">
            <v>1314.6</v>
          </cell>
          <cell r="N279">
            <v>1314.6</v>
          </cell>
          <cell r="O279">
            <v>1314.6</v>
          </cell>
          <cell r="P279">
            <v>1314.6</v>
          </cell>
          <cell r="Q279">
            <v>1314.6</v>
          </cell>
          <cell r="R279">
            <v>1314.6</v>
          </cell>
          <cell r="S279">
            <v>1314.6</v>
          </cell>
          <cell r="T279">
            <v>1314.6</v>
          </cell>
          <cell r="U279">
            <v>1314.6</v>
          </cell>
          <cell r="V279">
            <v>1314.6</v>
          </cell>
          <cell r="W279">
            <v>1314.6</v>
          </cell>
          <cell r="X279">
            <v>1314.6</v>
          </cell>
          <cell r="Y279">
            <v>1314.6</v>
          </cell>
          <cell r="Z279">
            <v>1314.6</v>
          </cell>
          <cell r="AA279">
            <v>26217.599999999991</v>
          </cell>
        </row>
        <row r="280">
          <cell r="B280" t="str">
            <v>2.1.6.  Tributos s/ Faturamento</v>
          </cell>
          <cell r="G280">
            <v>1719.4501921364872</v>
          </cell>
          <cell r="H280">
            <v>2686.962626377926</v>
          </cell>
          <cell r="I280">
            <v>4265.6040472315526</v>
          </cell>
          <cell r="J280">
            <v>7204.7790777332639</v>
          </cell>
          <cell r="K280">
            <v>8868.8938706406389</v>
          </cell>
          <cell r="L280">
            <v>8279.7051848417213</v>
          </cell>
          <cell r="M280">
            <v>8552.8032441933592</v>
          </cell>
          <cell r="N280">
            <v>8834.8363280710473</v>
          </cell>
          <cell r="O280">
            <v>9104.7091493719981</v>
          </cell>
          <cell r="P280">
            <v>9382.8745490423116</v>
          </cell>
          <cell r="Q280">
            <v>9669.5901808841991</v>
          </cell>
          <cell r="R280">
            <v>9965.0937946432459</v>
          </cell>
          <cell r="S280">
            <v>10269.73613509079</v>
          </cell>
          <cell r="T280">
            <v>10532.402552513489</v>
          </cell>
          <cell r="U280">
            <v>10801.844476499999</v>
          </cell>
          <cell r="V280">
            <v>11078.208684051984</v>
          </cell>
          <cell r="W280">
            <v>11619.969948626238</v>
          </cell>
          <cell r="X280">
            <v>11918.032264941026</v>
          </cell>
          <cell r="Y280">
            <v>12223.844291621683</v>
          </cell>
          <cell r="Z280">
            <v>12537.494323561841</v>
          </cell>
          <cell r="AA280">
            <v>179516.83492207481</v>
          </cell>
        </row>
        <row r="281">
          <cell r="B281" t="str">
            <v>2.1.7.  Seguros</v>
          </cell>
          <cell r="G281">
            <v>1572.2555341605957</v>
          </cell>
          <cell r="H281">
            <v>1357.2721863986244</v>
          </cell>
          <cell r="I281">
            <v>1484.145354189925</v>
          </cell>
          <cell r="J281">
            <v>1515.0740713628129</v>
          </cell>
          <cell r="K281">
            <v>1280.8352708394443</v>
          </cell>
          <cell r="L281">
            <v>1288.4964834817656</v>
          </cell>
          <cell r="M281">
            <v>1265.9150702698328</v>
          </cell>
          <cell r="N281">
            <v>1240.0237973062001</v>
          </cell>
          <cell r="O281">
            <v>1303.8052461122193</v>
          </cell>
          <cell r="P281">
            <v>1363.4311866533642</v>
          </cell>
          <cell r="Q281">
            <v>1298.5233789601659</v>
          </cell>
          <cell r="R281">
            <v>1369.6659178319169</v>
          </cell>
          <cell r="S281">
            <v>1385.4114292480403</v>
          </cell>
          <cell r="T281">
            <v>1333.3373709021025</v>
          </cell>
          <cell r="U281">
            <v>1485.8900122593996</v>
          </cell>
          <cell r="V281">
            <v>1516.6285532116285</v>
          </cell>
          <cell r="W281">
            <v>1481.7743987279027</v>
          </cell>
          <cell r="X281">
            <v>1748.8042314456668</v>
          </cell>
          <cell r="Y281">
            <v>1790.3355609259681</v>
          </cell>
          <cell r="Z281">
            <v>1649.00088437818</v>
          </cell>
          <cell r="AA281">
            <v>28730.625938665751</v>
          </cell>
        </row>
        <row r="282">
          <cell r="B282" t="str">
            <v xml:space="preserve">2.1.8.  Garantias </v>
          </cell>
          <cell r="G282">
            <v>392.96588618225434</v>
          </cell>
          <cell r="H282">
            <v>373.8210520013962</v>
          </cell>
          <cell r="I282">
            <v>361.61003771716526</v>
          </cell>
          <cell r="J282">
            <v>350.18466787036959</v>
          </cell>
          <cell r="K282">
            <v>339.92036181568318</v>
          </cell>
          <cell r="L282">
            <v>334.08814005272069</v>
          </cell>
          <cell r="M282">
            <v>328.50568807647818</v>
          </cell>
          <cell r="N282">
            <v>325.0540499857126</v>
          </cell>
          <cell r="O282">
            <v>321.63730896517745</v>
          </cell>
          <cell r="P282">
            <v>317.71394841231114</v>
          </cell>
          <cell r="Q282">
            <v>313.54292345409914</v>
          </cell>
          <cell r="R282">
            <v>307.41671996772089</v>
          </cell>
          <cell r="S282">
            <v>302.68010544299455</v>
          </cell>
          <cell r="T282">
            <v>298.62905391796221</v>
          </cell>
          <cell r="U282">
            <v>294.37065378005843</v>
          </cell>
          <cell r="V282">
            <v>287.62503634733855</v>
          </cell>
          <cell r="W282">
            <v>281.01407002078753</v>
          </cell>
          <cell r="X282">
            <v>276.81778683982918</v>
          </cell>
          <cell r="Y282">
            <v>266.7725520207444</v>
          </cell>
          <cell r="Z282">
            <v>256.61314753022089</v>
          </cell>
          <cell r="AA282">
            <v>6330.9831904010234</v>
          </cell>
        </row>
        <row r="283">
          <cell r="B283" t="str">
            <v>2.2.  INVESTIMENTOS / IMOBILIZADO     (2.2.1.+ ... + 2.2.7)</v>
          </cell>
          <cell r="G283">
            <v>58820.317813477945</v>
          </cell>
          <cell r="H283">
            <v>57372.207274586937</v>
          </cell>
          <cell r="I283">
            <v>34990.902403079352</v>
          </cell>
          <cell r="J283">
            <v>41626.544786692248</v>
          </cell>
          <cell r="K283">
            <v>29901.524437203549</v>
          </cell>
          <cell r="L283">
            <v>46083.561383161999</v>
          </cell>
          <cell r="M283">
            <v>19610.847183646511</v>
          </cell>
          <cell r="N283">
            <v>11545.33348268901</v>
          </cell>
          <cell r="O283">
            <v>14472.411592174998</v>
          </cell>
          <cell r="P283">
            <v>17668.629712384998</v>
          </cell>
          <cell r="Q283">
            <v>23020.702744690003</v>
          </cell>
          <cell r="R283">
            <v>17059.751656927499</v>
          </cell>
          <cell r="S283">
            <v>4451.8266102690814</v>
          </cell>
          <cell r="T283">
            <v>11777.105469943714</v>
          </cell>
          <cell r="U283">
            <v>21689.290929194307</v>
          </cell>
          <cell r="V283">
            <v>27858.16673534616</v>
          </cell>
          <cell r="W283">
            <v>22674.176670922719</v>
          </cell>
          <cell r="X283">
            <v>46756.312904435406</v>
          </cell>
          <cell r="Y283">
            <v>38829.104819892571</v>
          </cell>
          <cell r="Z283">
            <v>40307.504986312422</v>
          </cell>
          <cell r="AA283">
            <v>586516.22359703144</v>
          </cell>
        </row>
        <row r="284">
          <cell r="B284" t="str">
            <v xml:space="preserve">2.2.1.  Ampliação Principal </v>
          </cell>
          <cell r="G284">
            <v>139.57170173629888</v>
          </cell>
          <cell r="H284">
            <v>3925.3289314421459</v>
          </cell>
          <cell r="I284">
            <v>15852.781442682048</v>
          </cell>
          <cell r="J284">
            <v>7285.5844475867361</v>
          </cell>
          <cell r="K284">
            <v>6228.99</v>
          </cell>
          <cell r="L284">
            <v>11525.29</v>
          </cell>
          <cell r="M284">
            <v>1486.0099999999998</v>
          </cell>
          <cell r="N284">
            <v>1519.27</v>
          </cell>
          <cell r="O284">
            <v>676.02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407.30792329446626</v>
          </cell>
          <cell r="U284">
            <v>10797.895001080477</v>
          </cell>
          <cell r="V284">
            <v>15374.074674208165</v>
          </cell>
          <cell r="W284">
            <v>572.52219241338832</v>
          </cell>
          <cell r="X284">
            <v>14536.396194856145</v>
          </cell>
          <cell r="Y284">
            <v>14132.754002442754</v>
          </cell>
          <cell r="Z284">
            <v>80.84</v>
          </cell>
          <cell r="AA284">
            <v>104540.63651174263</v>
          </cell>
        </row>
        <row r="285">
          <cell r="B285" t="str">
            <v>2.2.2.  Demais Obras de Ampliação/Melhoramentos</v>
          </cell>
          <cell r="G285">
            <v>26231.075322973971</v>
          </cell>
          <cell r="H285">
            <v>26407.496808143111</v>
          </cell>
          <cell r="I285">
            <v>4093.8603717148026</v>
          </cell>
          <cell r="J285">
            <v>7133.7698352005109</v>
          </cell>
          <cell r="K285">
            <v>5967.0598690210472</v>
          </cell>
          <cell r="L285">
            <v>15426.69</v>
          </cell>
          <cell r="M285">
            <v>7064.92</v>
          </cell>
          <cell r="N285">
            <v>2144.27</v>
          </cell>
          <cell r="O285">
            <v>3369.36</v>
          </cell>
          <cell r="P285">
            <v>2088.8899999999994</v>
          </cell>
          <cell r="Q285">
            <v>4105.0200000000004</v>
          </cell>
          <cell r="R285">
            <v>1617.34</v>
          </cell>
          <cell r="S285">
            <v>486.2204011990803</v>
          </cell>
          <cell r="T285">
            <v>3308.2314089292468</v>
          </cell>
          <cell r="U285">
            <v>4138.2802000161528</v>
          </cell>
          <cell r="V285">
            <v>2710.8775835053184</v>
          </cell>
          <cell r="W285">
            <v>1160.2837958443288</v>
          </cell>
          <cell r="X285">
            <v>10813.309158264265</v>
          </cell>
          <cell r="Y285">
            <v>11871.160090029814</v>
          </cell>
          <cell r="Z285">
            <v>535.7594073774244</v>
          </cell>
          <cell r="AA285">
            <v>140673.87425221907</v>
          </cell>
        </row>
        <row r="286">
          <cell r="B286" t="str">
            <v xml:space="preserve">2.2.3.  Equipamentos, Veiculos e Sist. Controle </v>
          </cell>
          <cell r="G286">
            <v>10381.555</v>
          </cell>
          <cell r="H286">
            <v>1359.92</v>
          </cell>
          <cell r="I286">
            <v>378</v>
          </cell>
          <cell r="J286">
            <v>11066.2</v>
          </cell>
          <cell r="K286">
            <v>7249</v>
          </cell>
          <cell r="L286">
            <v>3348.6550000000002</v>
          </cell>
          <cell r="M286">
            <v>204.92000000000002</v>
          </cell>
          <cell r="N286">
            <v>1387.2500000000002</v>
          </cell>
          <cell r="O286">
            <v>820</v>
          </cell>
          <cell r="P286">
            <v>793</v>
          </cell>
          <cell r="Q286">
            <v>9491.9450000000015</v>
          </cell>
          <cell r="R286">
            <v>499.77</v>
          </cell>
          <cell r="S286">
            <v>616.90000000000032</v>
          </cell>
          <cell r="T286">
            <v>100.25</v>
          </cell>
          <cell r="U286">
            <v>3142.1500000000005</v>
          </cell>
          <cell r="V286">
            <v>2916.08</v>
          </cell>
          <cell r="W286">
            <v>4310.32</v>
          </cell>
          <cell r="X286">
            <v>822.25</v>
          </cell>
          <cell r="Y286">
            <v>1414.4</v>
          </cell>
          <cell r="Z286">
            <v>11165.105</v>
          </cell>
          <cell r="AA286">
            <v>71467.67</v>
          </cell>
        </row>
        <row r="287">
          <cell r="B287" t="str">
            <v>2.2.4.  Desapropriações</v>
          </cell>
          <cell r="G287">
            <v>803.99</v>
          </cell>
          <cell r="H287">
            <v>10777.37</v>
          </cell>
          <cell r="I287">
            <v>268</v>
          </cell>
          <cell r="J287">
            <v>1211.32</v>
          </cell>
          <cell r="K287">
            <v>220.56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6159.9900000000007</v>
          </cell>
          <cell r="U287">
            <v>0</v>
          </cell>
          <cell r="V287">
            <v>0</v>
          </cell>
          <cell r="W287">
            <v>0</v>
          </cell>
          <cell r="X287">
            <v>315.43</v>
          </cell>
          <cell r="Y287">
            <v>0</v>
          </cell>
          <cell r="Z287">
            <v>0</v>
          </cell>
          <cell r="AA287">
            <v>19756.66</v>
          </cell>
        </row>
        <row r="288">
          <cell r="B288" t="str">
            <v xml:space="preserve">2.2.5.  Conservação Especial </v>
          </cell>
          <cell r="G288">
            <v>21264.12578876768</v>
          </cell>
          <cell r="H288">
            <v>14902.091535001684</v>
          </cell>
          <cell r="I288">
            <v>14398.2605886825</v>
          </cell>
          <cell r="J288">
            <v>14929.670503904999</v>
          </cell>
          <cell r="K288">
            <v>10235.914568182499</v>
          </cell>
          <cell r="L288">
            <v>15782.926383162001</v>
          </cell>
          <cell r="M288">
            <v>10854.99718364651</v>
          </cell>
          <cell r="N288">
            <v>6494.5434826890105</v>
          </cell>
          <cell r="O288">
            <v>9607.0315921749989</v>
          </cell>
          <cell r="P288">
            <v>14786.739712384999</v>
          </cell>
          <cell r="Q288">
            <v>9423.7377446900009</v>
          </cell>
          <cell r="R288">
            <v>14942.641656927501</v>
          </cell>
          <cell r="S288">
            <v>3348.706209070001</v>
          </cell>
          <cell r="T288">
            <v>1801.3261377199997</v>
          </cell>
          <cell r="U288">
            <v>3610.9657280976735</v>
          </cell>
          <cell r="V288">
            <v>6857.1344776326723</v>
          </cell>
          <cell r="W288">
            <v>16631.050682665002</v>
          </cell>
          <cell r="X288">
            <v>20268.927551314999</v>
          </cell>
          <cell r="Y288">
            <v>11410.790727420001</v>
          </cell>
          <cell r="Z288">
            <v>28525.800578934999</v>
          </cell>
          <cell r="AA288">
            <v>250077.38283306977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4686.6933600720276</v>
          </cell>
          <cell r="H291">
            <v>4064.004118623433</v>
          </cell>
          <cell r="I291">
            <v>4366.9130187720511</v>
          </cell>
          <cell r="J291">
            <v>4375.0602175421554</v>
          </cell>
          <cell r="K291">
            <v>4596.9435433163253</v>
          </cell>
          <cell r="L291">
            <v>4730.7019676884684</v>
          </cell>
          <cell r="M291">
            <v>4825.4799589341446</v>
          </cell>
          <cell r="N291">
            <v>4923.3340238546534</v>
          </cell>
          <cell r="O291">
            <v>5017.0014362216116</v>
          </cell>
          <cell r="P291">
            <v>5113.5438551513398</v>
          </cell>
          <cell r="Q291">
            <v>5213.0516508073288</v>
          </cell>
          <cell r="R291">
            <v>5315.5864052860161</v>
          </cell>
          <cell r="S291">
            <v>5421.3311690686623</v>
          </cell>
          <cell r="T291">
            <v>5512.5187957895996</v>
          </cell>
          <cell r="U291">
            <v>5606.0575765274143</v>
          </cell>
          <cell r="V291">
            <v>5701.9753803100575</v>
          </cell>
          <cell r="W291">
            <v>5889.851577141786</v>
          </cell>
          <cell r="X291">
            <v>5993.3146536004042</v>
          </cell>
          <cell r="Y291">
            <v>6099.496122825959</v>
          </cell>
          <cell r="Z291">
            <v>6208.3380047144983</v>
          </cell>
          <cell r="AA291">
            <v>103661.19683624792</v>
          </cell>
        </row>
        <row r="292">
          <cell r="B292" t="str">
            <v>2.3.1.  Valor Variável da Concessão</v>
          </cell>
          <cell r="G292">
            <v>1298.6933600720272</v>
          </cell>
          <cell r="H292">
            <v>2216.004118623433</v>
          </cell>
          <cell r="I292">
            <v>2518.9130187720516</v>
          </cell>
          <cell r="J292">
            <v>2582.4333540064863</v>
          </cell>
          <cell r="K292">
            <v>2748.9435433163253</v>
          </cell>
          <cell r="L292">
            <v>2882.7019676884684</v>
          </cell>
          <cell r="M292">
            <v>2977.4799589341446</v>
          </cell>
          <cell r="N292">
            <v>3075.3340238546539</v>
          </cell>
          <cell r="O292">
            <v>3169.001436221612</v>
          </cell>
          <cell r="P292">
            <v>3265.5438551513403</v>
          </cell>
          <cell r="Q292">
            <v>3365.0516508073288</v>
          </cell>
          <cell r="R292">
            <v>3467.5864052860156</v>
          </cell>
          <cell r="S292">
            <v>3573.3311690686623</v>
          </cell>
          <cell r="T292">
            <v>3664.5187957895996</v>
          </cell>
          <cell r="U292">
            <v>3758.0575765274143</v>
          </cell>
          <cell r="V292">
            <v>3853.9753803100575</v>
          </cell>
          <cell r="W292">
            <v>4041.851577141786</v>
          </cell>
          <cell r="X292">
            <v>4145.3146536004042</v>
          </cell>
          <cell r="Y292">
            <v>4251.496122825959</v>
          </cell>
          <cell r="Z292">
            <v>4360.3380047144983</v>
          </cell>
          <cell r="AA292">
            <v>65216.569972712256</v>
          </cell>
        </row>
        <row r="293">
          <cell r="B293" t="str">
            <v xml:space="preserve">2.3.2.  Valor Fixo da Concessão </v>
          </cell>
          <cell r="G293">
            <v>3388</v>
          </cell>
          <cell r="H293">
            <v>1848</v>
          </cell>
          <cell r="I293">
            <v>1848</v>
          </cell>
          <cell r="J293">
            <v>1792.6268635356687</v>
          </cell>
          <cell r="K293">
            <v>1848</v>
          </cell>
          <cell r="L293">
            <v>1848</v>
          </cell>
          <cell r="M293">
            <v>1848</v>
          </cell>
          <cell r="N293">
            <v>1848</v>
          </cell>
          <cell r="O293">
            <v>1848</v>
          </cell>
          <cell r="P293">
            <v>1848</v>
          </cell>
          <cell r="Q293">
            <v>1848</v>
          </cell>
          <cell r="R293">
            <v>1848</v>
          </cell>
          <cell r="S293">
            <v>1848</v>
          </cell>
          <cell r="T293">
            <v>1848</v>
          </cell>
          <cell r="U293">
            <v>1848</v>
          </cell>
          <cell r="V293">
            <v>1848</v>
          </cell>
          <cell r="W293">
            <v>1848</v>
          </cell>
          <cell r="X293">
            <v>1848</v>
          </cell>
          <cell r="Y293">
            <v>1848</v>
          </cell>
          <cell r="Z293">
            <v>1848</v>
          </cell>
          <cell r="AA293">
            <v>38444.626863535668</v>
          </cell>
        </row>
        <row r="294">
          <cell r="B294" t="str">
            <v>2.4.  DESEMBOLSOS  SOBRE O LUCRO     (2.4.1. + 2.4.2)</v>
          </cell>
          <cell r="G294">
            <v>3399.5588845261213</v>
          </cell>
          <cell r="H294">
            <v>10712.407481557762</v>
          </cell>
          <cell r="I294">
            <v>12365.14142281131</v>
          </cell>
          <cell r="J294">
            <v>11164.680126613979</v>
          </cell>
          <cell r="K294">
            <v>11727.976934365703</v>
          </cell>
          <cell r="L294">
            <v>12358.755667535386</v>
          </cell>
          <cell r="M294">
            <v>12957.458221542067</v>
          </cell>
          <cell r="N294">
            <v>13612.950020301811</v>
          </cell>
          <cell r="O294">
            <v>14086.250773080603</v>
          </cell>
          <cell r="P294">
            <v>14507.05287136219</v>
          </cell>
          <cell r="Q294">
            <v>15047.234877607712</v>
          </cell>
          <cell r="R294">
            <v>15400.216863181802</v>
          </cell>
          <cell r="S294">
            <v>16330.4926158528</v>
          </cell>
          <cell r="T294">
            <v>16645.634273354986</v>
          </cell>
          <cell r="U294">
            <v>16490.97121757847</v>
          </cell>
          <cell r="V294">
            <v>15669.928923731915</v>
          </cell>
          <cell r="W294">
            <v>15888.057372886262</v>
          </cell>
          <cell r="X294">
            <v>11732.300221178017</v>
          </cell>
          <cell r="Y294">
            <v>6461.7888358696127</v>
          </cell>
          <cell r="Z294">
            <v>-0.56990499999577082</v>
          </cell>
          <cell r="AA294">
            <v>246558.28769993852</v>
          </cell>
        </row>
        <row r="295">
          <cell r="B295" t="str">
            <v xml:space="preserve">2.4.1.  Contribuição Social  </v>
          </cell>
          <cell r="G295">
            <v>829.95366897602946</v>
          </cell>
          <cell r="H295">
            <v>2602.7654500746103</v>
          </cell>
          <cell r="I295">
            <v>3003.4282237118323</v>
          </cell>
          <cell r="J295">
            <v>2712.4073034215712</v>
          </cell>
          <cell r="K295">
            <v>2848.9641053007763</v>
          </cell>
          <cell r="L295">
            <v>3001.8801618267589</v>
          </cell>
          <cell r="M295">
            <v>3147.0201749192884</v>
          </cell>
          <cell r="N295">
            <v>3305.9272776489229</v>
          </cell>
          <cell r="O295">
            <v>3420.6668540801465</v>
          </cell>
          <cell r="P295">
            <v>3522.6794839665918</v>
          </cell>
          <cell r="Q295">
            <v>3653.6326976018709</v>
          </cell>
          <cell r="R295">
            <v>3739.2040880440732</v>
          </cell>
          <cell r="S295">
            <v>3964.7254826309809</v>
          </cell>
          <cell r="T295">
            <v>4041.12346020727</v>
          </cell>
          <cell r="U295">
            <v>4003.6293860796281</v>
          </cell>
          <cell r="V295">
            <v>3804.5888299956155</v>
          </cell>
          <cell r="W295">
            <v>3857.4684540330336</v>
          </cell>
          <cell r="X295">
            <v>2850.0121748310362</v>
          </cell>
          <cell r="Y295">
            <v>1572.3124450593002</v>
          </cell>
          <cell r="Z295">
            <v>5.4679018181828667</v>
          </cell>
          <cell r="AA295">
            <v>59887.857624227523</v>
          </cell>
        </row>
        <row r="296">
          <cell r="B296" t="str">
            <v xml:space="preserve">2.4.2.  Imposto de Renda  </v>
          </cell>
          <cell r="G296">
            <v>2569.605215550092</v>
          </cell>
          <cell r="H296">
            <v>8109.642031483153</v>
          </cell>
          <cell r="I296">
            <v>9361.7131990994785</v>
          </cell>
          <cell r="J296">
            <v>8452.2728231924084</v>
          </cell>
          <cell r="K296">
            <v>8879.0128290649263</v>
          </cell>
          <cell r="L296">
            <v>9356.8755057086273</v>
          </cell>
          <cell r="M296">
            <v>9810.4380466227776</v>
          </cell>
          <cell r="N296">
            <v>10307.022742652887</v>
          </cell>
          <cell r="O296">
            <v>10665.583919000457</v>
          </cell>
          <cell r="P296">
            <v>10984.373387395597</v>
          </cell>
          <cell r="Q296">
            <v>11393.602180005842</v>
          </cell>
          <cell r="R296">
            <v>11661.012775137729</v>
          </cell>
          <cell r="S296">
            <v>12365.76713322182</v>
          </cell>
          <cell r="T296">
            <v>12604.510813147717</v>
          </cell>
          <cell r="U296">
            <v>12487.341831498841</v>
          </cell>
          <cell r="V296">
            <v>11865.3400937363</v>
          </cell>
          <cell r="W296">
            <v>12030.588918853227</v>
          </cell>
          <cell r="X296">
            <v>8882.288046346981</v>
          </cell>
          <cell r="Y296">
            <v>4889.4763908103123</v>
          </cell>
          <cell r="Z296">
            <v>-6.0378068181786375</v>
          </cell>
          <cell r="AA296">
            <v>186670.43007571099</v>
          </cell>
        </row>
        <row r="297">
          <cell r="B297" t="str">
            <v>3.  SALDO DO CAIXA     (1 - 2)</v>
          </cell>
          <cell r="G297">
            <v>-48165.250268624412</v>
          </cell>
          <cell r="H297">
            <v>-28660.847966324189</v>
          </cell>
          <cell r="I297">
            <v>-926.38639855671499</v>
          </cell>
          <cell r="J297">
            <v>-7653.709307077268</v>
          </cell>
          <cell r="K297">
            <v>7324.3378937121015</v>
          </cell>
          <cell r="L297">
            <v>-4721.4082004948868</v>
          </cell>
          <cell r="M297">
            <v>24153.440794534064</v>
          </cell>
          <cell r="N297">
            <v>34473.785329169783</v>
          </cell>
          <cell r="O297">
            <v>33740.548420137551</v>
          </cell>
          <cell r="P297">
            <v>32939.387880144728</v>
          </cell>
          <cell r="Q297">
            <v>30059.531127133858</v>
          </cell>
          <cell r="R297">
            <v>38621.472317834749</v>
          </cell>
          <cell r="S297">
            <v>53389.193236671636</v>
          </cell>
          <cell r="T297">
            <v>48488.554511095965</v>
          </cell>
          <cell r="U297">
            <v>41283.469958863061</v>
          </cell>
          <cell r="V297">
            <v>38559.419168217806</v>
          </cell>
          <cell r="W297">
            <v>48809.679774158329</v>
          </cell>
          <cell r="X297">
            <v>31663.355238662451</v>
          </cell>
          <cell r="Y297">
            <v>47694.46938212424</v>
          </cell>
          <cell r="Z297">
            <v>77711.209490456939</v>
          </cell>
          <cell r="AA297">
            <v>498784.25238183956</v>
          </cell>
        </row>
        <row r="298">
          <cell r="B298" t="str">
            <v xml:space="preserve">4. T.I.R. (Taxa Interna de Retorno) Anual do Projeto     </v>
          </cell>
          <cell r="G298">
            <v>0.18516064742642066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148548.90541348793</v>
          </cell>
          <cell r="H303">
            <v>152048.42052721884</v>
          </cell>
          <cell r="I303">
            <v>155630.37721799908</v>
          </cell>
          <cell r="J303">
            <v>159296.71764450072</v>
          </cell>
          <cell r="K303">
            <v>163049.42971876982</v>
          </cell>
          <cell r="L303">
            <v>166890.54818408462</v>
          </cell>
          <cell r="M303">
            <v>170822.15571820526</v>
          </cell>
          <cell r="N303">
            <v>174846.38406261479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1291132.9384868811</v>
          </cell>
        </row>
        <row r="304">
          <cell r="B304" t="str">
            <v>1.1.  RECEITAS     (1.1.1.+ ... + 1.1.4)</v>
          </cell>
          <cell r="G304">
            <v>148548.90541348793</v>
          </cell>
          <cell r="H304">
            <v>152048.42052721884</v>
          </cell>
          <cell r="I304">
            <v>155630.37721799908</v>
          </cell>
          <cell r="J304">
            <v>159296.71764450072</v>
          </cell>
          <cell r="K304">
            <v>163049.42971876982</v>
          </cell>
          <cell r="L304">
            <v>166890.54818408462</v>
          </cell>
          <cell r="M304">
            <v>170822.15571820526</v>
          </cell>
          <cell r="N304">
            <v>174846.38406261479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1291132.9384868811</v>
          </cell>
        </row>
        <row r="305">
          <cell r="B305" t="str">
            <v>1.1.1   Receitas de Pedágio</v>
          </cell>
          <cell r="G305">
            <v>148091.442114</v>
          </cell>
          <cell r="H305">
            <v>151580.1803073216</v>
          </cell>
          <cell r="I305">
            <v>155151.10619500148</v>
          </cell>
          <cell r="J305">
            <v>158806.15595474333</v>
          </cell>
          <cell r="K305">
            <v>162547.31137672518</v>
          </cell>
          <cell r="L305">
            <v>166376.60093813806</v>
          </cell>
          <cell r="M305">
            <v>170296.10090303872</v>
          </cell>
          <cell r="N305">
            <v>174307.93644811251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1287156.834237081</v>
          </cell>
        </row>
        <row r="306">
          <cell r="B306" t="str">
            <v>1.1.2   Outras Receitas Operacionais</v>
          </cell>
          <cell r="G306">
            <v>86.918576672322089</v>
          </cell>
          <cell r="H306">
            <v>88.96620450156864</v>
          </cell>
          <cell r="I306">
            <v>91.06207034721659</v>
          </cell>
          <cell r="J306">
            <v>93.207310600456324</v>
          </cell>
          <cell r="K306">
            <v>95.403088423581877</v>
          </cell>
          <cell r="L306">
            <v>97.650594380664614</v>
          </cell>
          <cell r="M306">
            <v>99.951047083084319</v>
          </cell>
          <cell r="N306">
            <v>102.30569385026762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755.46458585916207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370.54472281559191</v>
          </cell>
          <cell r="H308">
            <v>379.2740153956816</v>
          </cell>
          <cell r="I308">
            <v>388.20895265037308</v>
          </cell>
          <cell r="J308">
            <v>397.35437915691057</v>
          </cell>
          <cell r="K308">
            <v>406.71525362108906</v>
          </cell>
          <cell r="L308">
            <v>416.29665156589465</v>
          </cell>
          <cell r="M308">
            <v>426.103768083484</v>
          </cell>
          <cell r="N308">
            <v>436.14192065199472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3220.6396639410195</v>
          </cell>
        </row>
        <row r="309">
          <cell r="B309" t="str">
            <v>2.  DESEMBOLSOS     (2.1.+ ... + 2.4)</v>
          </cell>
          <cell r="G309">
            <v>80404.713576176146</v>
          </cell>
          <cell r="H309">
            <v>81843.925576503301</v>
          </cell>
          <cell r="I309">
            <v>83317.042533134198</v>
          </cell>
          <cell r="J309">
            <v>84824.863179029373</v>
          </cell>
          <cell r="K309">
            <v>86368.20506370056</v>
          </cell>
          <cell r="L309">
            <v>87947.904996490819</v>
          </cell>
          <cell r="M309">
            <v>89564.819500297774</v>
          </cell>
          <cell r="N309">
            <v>91219.825275985408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685491.29970131756</v>
          </cell>
        </row>
        <row r="310">
          <cell r="B310" t="str">
            <v>2.1.  OPERACIONAIS     (2.1.1.+ ... + 2.1.8)</v>
          </cell>
          <cell r="G310">
            <v>42431.626477377031</v>
          </cell>
          <cell r="H310">
            <v>42751.338742736472</v>
          </cell>
          <cell r="I310">
            <v>43078.582789643253</v>
          </cell>
          <cell r="J310">
            <v>43413.536051807067</v>
          </cell>
          <cell r="K310">
            <v>43756.380142920927</v>
          </cell>
          <cell r="L310">
            <v>44107.300955133251</v>
          </cell>
          <cell r="M310">
            <v>44466.488759839674</v>
          </cell>
          <cell r="N310">
            <v>44834.138310849376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348839.39223030698</v>
          </cell>
        </row>
        <row r="311">
          <cell r="B311" t="str">
            <v xml:space="preserve">2.1.1.  Pessoal / Administradores   </v>
          </cell>
          <cell r="G311">
            <v>18979.733588298932</v>
          </cell>
          <cell r="H311">
            <v>18979.733588298932</v>
          </cell>
          <cell r="I311">
            <v>18979.733588298932</v>
          </cell>
          <cell r="J311">
            <v>18979.733588298932</v>
          </cell>
          <cell r="K311">
            <v>18979.733588298932</v>
          </cell>
          <cell r="L311">
            <v>18979.733588298932</v>
          </cell>
          <cell r="M311">
            <v>18979.733588298932</v>
          </cell>
          <cell r="N311">
            <v>18979.733588298932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151837.86870639145</v>
          </cell>
        </row>
        <row r="312">
          <cell r="B312" t="str">
            <v xml:space="preserve">2.1.2.  Conservação de Rotina  </v>
          </cell>
          <cell r="G312">
            <v>6812.7863690472386</v>
          </cell>
          <cell r="H312">
            <v>6812.7863690472386</v>
          </cell>
          <cell r="I312">
            <v>6812.7863690472386</v>
          </cell>
          <cell r="J312">
            <v>6812.7863690472386</v>
          </cell>
          <cell r="K312">
            <v>6812.7863690472386</v>
          </cell>
          <cell r="L312">
            <v>6812.7863690472386</v>
          </cell>
          <cell r="M312">
            <v>6812.7863690472386</v>
          </cell>
          <cell r="N312">
            <v>6812.7863690472386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54502.290952377902</v>
          </cell>
        </row>
        <row r="313">
          <cell r="B313" t="str">
            <v xml:space="preserve">2.1.3.  Consumo   </v>
          </cell>
          <cell r="G313">
            <v>1070.8418276591092</v>
          </cell>
          <cell r="H313">
            <v>1070.8418276591092</v>
          </cell>
          <cell r="I313">
            <v>1070.8418276591092</v>
          </cell>
          <cell r="J313">
            <v>1070.8418276591092</v>
          </cell>
          <cell r="K313">
            <v>1070.8418276591092</v>
          </cell>
          <cell r="L313">
            <v>1070.8418276591092</v>
          </cell>
          <cell r="M313">
            <v>1070.8418276591092</v>
          </cell>
          <cell r="N313">
            <v>1070.8418276591092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8566.7346212728735</v>
          </cell>
        </row>
        <row r="314">
          <cell r="B314" t="str">
            <v>2.1.4.  Transportes</v>
          </cell>
          <cell r="G314">
            <v>200.06899999999999</v>
          </cell>
          <cell r="H314">
            <v>200.06899999999999</v>
          </cell>
          <cell r="I314">
            <v>200.06899999999999</v>
          </cell>
          <cell r="J314">
            <v>200.06899999999999</v>
          </cell>
          <cell r="K314">
            <v>200.06899999999999</v>
          </cell>
          <cell r="L314">
            <v>200.06899999999999</v>
          </cell>
          <cell r="M314">
            <v>200.06899999999999</v>
          </cell>
          <cell r="N314">
            <v>200.06899999999999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1600.5519999999999</v>
          </cell>
        </row>
        <row r="315">
          <cell r="B315" t="str">
            <v>2.1.5.  Diversas</v>
          </cell>
          <cell r="G315">
            <v>1314.6</v>
          </cell>
          <cell r="H315">
            <v>1314.6</v>
          </cell>
          <cell r="I315">
            <v>1314.6</v>
          </cell>
          <cell r="J315">
            <v>1314.6</v>
          </cell>
          <cell r="K315">
            <v>1314.6</v>
          </cell>
          <cell r="L315">
            <v>1314.6</v>
          </cell>
          <cell r="M315">
            <v>1314.6</v>
          </cell>
          <cell r="N315">
            <v>1314.6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10516.800000000001</v>
          </cell>
        </row>
        <row r="316">
          <cell r="B316" t="str">
            <v>2.1.6.  Tributos s/ Faturamento</v>
          </cell>
          <cell r="G316">
            <v>12817.428199743157</v>
          </cell>
          <cell r="H316">
            <v>13119.381173272706</v>
          </cell>
          <cell r="I316">
            <v>13428.447554952663</v>
          </cell>
          <cell r="J316">
            <v>13744.794922452238</v>
          </cell>
          <cell r="K316">
            <v>14068.594801235366</v>
          </cell>
          <cell r="L316">
            <v>14400.022757562867</v>
          </cell>
          <cell r="M316">
            <v>14739.258493685535</v>
          </cell>
          <cell r="N316">
            <v>15086.485945279779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111404.41384818433</v>
          </cell>
        </row>
        <row r="317">
          <cell r="B317" t="str">
            <v>2.1.7.  Seguros</v>
          </cell>
          <cell r="G317">
            <v>1100.4720778941123</v>
          </cell>
          <cell r="H317">
            <v>1117.7433901763388</v>
          </cell>
          <cell r="I317">
            <v>1135.4215800333097</v>
          </cell>
          <cell r="J317">
            <v>1153.5162326869313</v>
          </cell>
          <cell r="K317">
            <v>1172.0371591677667</v>
          </cell>
          <cell r="L317">
            <v>1190.9944016346381</v>
          </cell>
          <cell r="M317">
            <v>1210.3982388195434</v>
          </cell>
          <cell r="N317">
            <v>1230.2591916008512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9310.8422720134913</v>
          </cell>
        </row>
        <row r="318">
          <cell r="B318" t="str">
            <v xml:space="preserve">2.1.8.  Garantias </v>
          </cell>
          <cell r="G318">
            <v>135.69541473447825</v>
          </cell>
          <cell r="H318">
            <v>136.18339428214526</v>
          </cell>
          <cell r="I318">
            <v>136.68286965199621</v>
          </cell>
          <cell r="J318">
            <v>137.19411166261011</v>
          </cell>
          <cell r="K318">
            <v>137.71739751251005</v>
          </cell>
          <cell r="L318">
            <v>138.25301093046193</v>
          </cell>
          <cell r="M318">
            <v>138.80124232931391</v>
          </cell>
          <cell r="N318">
            <v>139.36238896346006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1099.8898300669757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4445.3508207201694</v>
          </cell>
          <cell r="H327">
            <v>4550.0743953546953</v>
          </cell>
          <cell r="I327">
            <v>4657.2650479604608</v>
          </cell>
          <cell r="J327">
            <v>4766.980897960314</v>
          </cell>
          <cell r="K327">
            <v>4879.281433954462</v>
          </cell>
          <cell r="L327">
            <v>4994.227545975561</v>
          </cell>
          <cell r="M327">
            <v>5111.8815585036537</v>
          </cell>
          <cell r="N327">
            <v>5232.3072642588832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38637.368964688198</v>
          </cell>
        </row>
        <row r="328">
          <cell r="B328" t="str">
            <v>2.3.1.  Valor Variável da Concessão</v>
          </cell>
          <cell r="G328">
            <v>4445.3508207201694</v>
          </cell>
          <cell r="H328">
            <v>4550.0743953546953</v>
          </cell>
          <cell r="I328">
            <v>4657.2650479604608</v>
          </cell>
          <cell r="J328">
            <v>4766.980897960314</v>
          </cell>
          <cell r="K328">
            <v>4879.281433954462</v>
          </cell>
          <cell r="L328">
            <v>4994.227545975561</v>
          </cell>
          <cell r="M328">
            <v>5111.8815585036537</v>
          </cell>
          <cell r="N328">
            <v>5232.3072642588832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38637.368964688198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33527.736278078941</v>
          </cell>
          <cell r="H330">
            <v>34542.512438412137</v>
          </cell>
          <cell r="I330">
            <v>35581.194695530474</v>
          </cell>
          <cell r="J330">
            <v>36644.346229261995</v>
          </cell>
          <cell r="K330">
            <v>37732.543486825169</v>
          </cell>
          <cell r="L330">
            <v>38846.376495382006</v>
          </cell>
          <cell r="M330">
            <v>39986.449181954442</v>
          </cell>
          <cell r="N330">
            <v>41153.379700877151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298014.53850632237</v>
          </cell>
        </row>
        <row r="331">
          <cell r="B331" t="str">
            <v xml:space="preserve">2.4.1.  Contribuição Social  </v>
          </cell>
          <cell r="G331">
            <v>8133.7542492312587</v>
          </cell>
          <cell r="H331">
            <v>8379.7605911302144</v>
          </cell>
          <cell r="I331">
            <v>8631.56235043163</v>
          </cell>
          <cell r="J331">
            <v>8889.2960555786649</v>
          </cell>
          <cell r="K331">
            <v>9153.1014513515565</v>
          </cell>
          <cell r="L331">
            <v>9423.121574638064</v>
          </cell>
          <cell r="M331">
            <v>9699.5028319889552</v>
          </cell>
          <cell r="N331">
            <v>9982.3950790005219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72292.494183350864</v>
          </cell>
        </row>
        <row r="332">
          <cell r="B332" t="str">
            <v xml:space="preserve">2.4.2.  Imposto de Renda  </v>
          </cell>
          <cell r="G332">
            <v>25393.982028847684</v>
          </cell>
          <cell r="H332">
            <v>26162.751847281921</v>
          </cell>
          <cell r="I332">
            <v>26949.632345098842</v>
          </cell>
          <cell r="J332">
            <v>27755.050173683332</v>
          </cell>
          <cell r="K332">
            <v>28579.442035473614</v>
          </cell>
          <cell r="L332">
            <v>29423.254920743944</v>
          </cell>
          <cell r="M332">
            <v>30286.946349965485</v>
          </cell>
          <cell r="N332">
            <v>31170.984621876632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225722.04432297149</v>
          </cell>
        </row>
        <row r="333">
          <cell r="B333" t="str">
            <v>3.  SALDO DO CAIXA     (1 - 2)</v>
          </cell>
          <cell r="G333">
            <v>68144.191837311781</v>
          </cell>
          <cell r="H333">
            <v>70204.49495071554</v>
          </cell>
          <cell r="I333">
            <v>72313.33468486488</v>
          </cell>
          <cell r="J333">
            <v>74471.854465471348</v>
          </cell>
          <cell r="K333">
            <v>76681.224655069265</v>
          </cell>
          <cell r="L333">
            <v>78942.6431875938</v>
          </cell>
          <cell r="M333">
            <v>81257.33621790749</v>
          </cell>
          <cell r="N333">
            <v>83626.558786629379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605641.63878556353</v>
          </cell>
        </row>
        <row r="334">
          <cell r="B334" t="str">
            <v xml:space="preserve">4. T.I.R. (Taxa Interna de Retorno) Anual do Projeto     </v>
          </cell>
          <cell r="G334">
            <v>0.19984130092644004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movimentação jan-dez-02"/>
      <sheetName val="Mapa Movimentação out-dez-02"/>
      <sheetName val="Global Depreciação"/>
      <sheetName val="Parâmetro"/>
      <sheetName val="Obras em Andamento"/>
      <sheetName val="Obras em andamento (2)"/>
      <sheetName val="teste de adição"/>
      <sheetName val="Teste Baixas"/>
      <sheetName val="XREF"/>
      <sheetName val="Tickmark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B11" t="str">
            <v>Estaremos propondo ajuste para direito de uso de telefone, visto que o mesmo não possui valor comercial</v>
          </cell>
        </row>
        <row r="14">
          <cell r="G14" t="e">
            <v>#REF!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ircularização"/>
      <sheetName val="Covenants 30.06.06"/>
      <sheetName val="Deduções"/>
      <sheetName val="Custos Programação e Outros"/>
      <sheetName val="Desp. gerais e adm e vendas"/>
      <sheetName val="#REF"/>
      <sheetName val="AA-10(Op.63)"/>
      <sheetName val="Variação Cambial"/>
      <sheetName val="Lead"/>
      <sheetName val="Depreciação"/>
      <sheetName val="Tickmarks "/>
      <sheetName val="Versao 1b ($=R$2,13)"/>
      <sheetName val="Consolidado_1999"/>
      <sheetName val="BP"/>
      <sheetName val="DRE"/>
      <sheetName val="Suporte DOAR"/>
      <sheetName val="Aging"/>
      <sheetName val="PDD-Movimentação"/>
      <sheetName val="Assfin"/>
      <sheetName val="tabela"/>
      <sheetName val="integral"/>
      <sheetName val="Lead2"/>
      <sheetName val="Mining Schedule"/>
      <sheetName val=" SC grains"/>
      <sheetName val="Balanço"/>
      <sheetName val="ATIVO"/>
      <sheetName val="DRE consolidada 09_03"/>
      <sheetName val="ce"/>
      <sheetName val="Solver"/>
      <sheetName val="Mapas de Movimentação"/>
      <sheetName val="Cálculo Global Desp.Folha"/>
      <sheetName val="PAS Despesa pessoal"/>
      <sheetName val="Plan1"/>
      <sheetName val="FLUXO_ENDIVIDAMENTO"/>
      <sheetName val="N"/>
      <sheetName val="ÍNDICE"/>
      <sheetName val="COMP_CX"/>
      <sheetName val="A11"/>
      <sheetName val="Reconciliações Setembro"/>
      <sheetName val="Rev Anal"/>
      <sheetName val="Paraná"/>
      <sheetName val="Mapa 31.08.02"/>
      <sheetName val="CF"/>
      <sheetName val="Resumo"/>
      <sheetName val="Mapa Imobilizado"/>
      <sheetName val="mapa doar consolidado"/>
      <sheetName val="Mapa"/>
      <sheetName val="Plan1 (2)"/>
      <sheetName val="Mov. Empréstimos FY2008"/>
      <sheetName val="local"/>
      <sheetName val="MES"/>
      <sheetName val="NTN_NBCE_SWAP"/>
      <sheetName val="Data 1 - NPV"/>
      <sheetName val="Worksheet in (C) 1602 Revisão a"/>
      <sheetName val="JAN"/>
      <sheetName val="Depleção"/>
      <sheetName val="CAERN"/>
      <sheetName val="Pas Juros e V.M.C."/>
      <sheetName val="Equity set 04"/>
      <sheetName val="Ágio"/>
      <sheetName val="Equity dez 04"/>
      <sheetName val="BLP"/>
      <sheetName val="Aging List"/>
      <sheetName val="PDD"/>
      <sheetName val="{PPC}Mapa de movimentação"/>
      <sheetName val="HIST"/>
      <sheetName val="Tab.Daten"/>
      <sheetName val="TAB.Hauptmenue"/>
      <sheetName val="Intercompany BP"/>
      <sheetName val="PAS Moeda Nacional"/>
      <sheetName val="HC"/>
      <sheetName val="Mapa Consórcios"/>
      <sheetName val="Amarre de AF"/>
      <sheetName val="Dep acumulada"/>
      <sheetName val="Movimiento"/>
      <sheetName val="Dep ejercicio"/>
      <sheetName val="F-2 ANÁLISE"/>
      <sheetName val="VBC"/>
      <sheetName val="P3 - Millennium"/>
      <sheetName val="Debêntures Reperfilamento"/>
      <sheetName val="PAES Tributos Federais"/>
      <sheetName val="Conciliação RH"/>
      <sheetName val="Estoques"/>
      <sheetName val="Deferred 30.09.05"/>
      <sheetName val="D"/>
      <sheetName val="D-1"/>
      <sheetName val="Lista"/>
      <sheetName val="Biblioteca"/>
      <sheetName val="CORP e SUDECAP"/>
      <sheetName val="ACUMULADO"/>
      <sheetName val="bal"/>
      <sheetName val=""/>
      <sheetName val="RGR Semesa"/>
      <sheetName val="Bridge EBITDA"/>
      <sheetName val="LUCRO REAL"/>
      <sheetName val="Jul-09 SA"/>
      <sheetName val="Jul-09 Coperativa"/>
      <sheetName val="Analisis dc real 2006"/>
      <sheetName val="Pivot"/>
      <sheetName val="Equivalência - 09"/>
      <sheetName val="Shares"/>
      <sheetName val="xxx"/>
      <sheetName val="Feuil1"/>
      <sheetName val="Feuil3"/>
      <sheetName val="FMO"/>
      <sheetName val="Ecat PC1 Vs PC2"/>
      <sheetName val="DRAFT "/>
      <sheetName val="BDD"/>
      <sheetName val="BRIDGT"/>
      <sheetName val="AMORT INTAN"/>
      <sheetName val="INTERCO"/>
      <sheetName val="Link501_FRCM"/>
      <sheetName val="Link501_FRCM_1"/>
      <sheetName val="Link501_FRCM_2"/>
      <sheetName val="Link501_FRCM_3"/>
      <sheetName val="FRCM530"/>
      <sheetName val="FRCM540"/>
      <sheetName val="Prova do CTA"/>
      <sheetName val="이자비용 overall test"/>
      <sheetName val="COMP"/>
      <sheetName val="Premissas"/>
      <sheetName val="DRE Consolidada"/>
      <sheetName val="Códigos"/>
      <sheetName val="#Financeiro"/>
      <sheetName val="2 - Ativo LP"/>
      <sheetName val="IS"/>
      <sheetName val="DMPL03"/>
      <sheetName val="Links"/>
      <sheetName val="Partes Relacionadas"/>
      <sheetName val="201904 ATIVO"/>
      <sheetName val="201904 PASSIVO"/>
      <sheetName val="201904 RESULTADO"/>
      <sheetName val="042019 Balancete"/>
      <sheetName val="Julho"/>
      <sheetName val="Compra Energia CP"/>
      <sheetName val="Movimentação"/>
      <sheetName val="Teste"/>
      <sheetName val="Mov. Aplicação"/>
      <sheetName val="Contingências "/>
      <sheetName val="STATO "/>
      <sheetName val="OutrosCreditos"/>
      <sheetName val="Sheet1"/>
      <sheetName val="back"/>
      <sheetName val="DMPL"/>
      <sheetName val="Sispec99"/>
      <sheetName val="Calculo"/>
      <sheetName val="Ativo Analitico"/>
      <sheetName val="Passivo Analitico"/>
      <sheetName val="Resultado Analitico"/>
      <sheetName val="Ativo Sintetico"/>
      <sheetName val="Passivo Sintetico"/>
      <sheetName val="Resultado Sintetico"/>
      <sheetName val="DFC2"/>
      <sheetName val="D.V.A."/>
      <sheetName val="XLR_NoRangeSheet"/>
      <sheetName val="Checklist"/>
      <sheetName val="Bco Dados"/>
      <sheetName val="DEPARA"/>
      <sheetName val="Ajustes manuais_Balancete"/>
      <sheetName val="DRE_Gerencial"/>
      <sheetName val="Bridge"/>
      <sheetName val="P&amp;L Gerencial"/>
      <sheetName val="KP´I Balanço"/>
      <sheetName val="Indices Balanço"/>
      <sheetName val="Planilha1"/>
      <sheetName val="KP´I DRE"/>
      <sheetName val="SI_01_Bal"/>
      <sheetName val="SI_02_Bal"/>
      <sheetName val="SI_03_Bal"/>
      <sheetName val="01_Bal_01"/>
      <sheetName val="01_Bal_02"/>
      <sheetName val="01_Bal_03"/>
      <sheetName val="01_Bal_04"/>
      <sheetName val="01_Bal_05"/>
      <sheetName val="01_Bal_06"/>
      <sheetName val="01_Bal_07"/>
      <sheetName val="01_Bal_08"/>
      <sheetName val="01_Bal_09"/>
      <sheetName val="01_Bal_10"/>
      <sheetName val="01_Bal_11"/>
      <sheetName val="01_Bal_12"/>
      <sheetName val="02_Bal_01"/>
      <sheetName val="02_Bal_02"/>
      <sheetName val="02_Bal_03"/>
      <sheetName val="02_Bal_04"/>
      <sheetName val="02_Bal_05"/>
      <sheetName val="02_Bal_06"/>
      <sheetName val="02_Bal_07"/>
      <sheetName val="02_Bal_08"/>
      <sheetName val="02_Bal_09"/>
      <sheetName val="02_Bal_10"/>
      <sheetName val="02_Bal_11"/>
      <sheetName val="02_Bal_12"/>
      <sheetName val="03_Bal_01"/>
      <sheetName val="03_Bal_02"/>
      <sheetName val="03_Bal_03"/>
      <sheetName val="03_Bal_04"/>
      <sheetName val="03_Bal_05"/>
      <sheetName val="03_Bal_06"/>
      <sheetName val="03_Bal_07"/>
      <sheetName val="03_Bal_08"/>
      <sheetName val="03_Bal_09"/>
      <sheetName val="03_Bal_10"/>
      <sheetName val="03_Bal_11"/>
      <sheetName val="03_Bal_12"/>
      <sheetName val="감가상각누계액"/>
      <sheetName val="Global PIS  Cofins"/>
      <sheetName val="BRL Market"/>
      <sheetName val="BBG Links"/>
      <sheetName val="Razao manual"/>
      <sheetName val="Razao SIS"/>
      <sheetName val="Calculo global Depr."/>
      <sheetName val=" DOE model"/>
      <sheetName val="cathayforecasts"/>
      <sheetName val="Quarters"/>
      <sheetName val="oldSEG"/>
      <sheetName val="RES"/>
      <sheetName val="Acomp"/>
      <sheetName val="DRE_OUTPUT"/>
      <sheetName val="Passivo"/>
      <sheetName val="Empresas"/>
      <sheetName val=" Global fopag"/>
      <sheetName val="Library Procedures"/>
      <sheetName val="Entity &amp; Environment"/>
      <sheetName val="Minutes review"/>
      <sheetName val="Contracts review "/>
      <sheetName val="CMAI 04_08_04"/>
      <sheetName val="Chemsystem"/>
      <sheetName val="ICMS LIQ"/>
      <sheetName val="SFC-5D"/>
      <sheetName val="Apoio"/>
      <sheetName val="REVISÃO COML"/>
      <sheetName val="VENDA LÍQ"/>
      <sheetName val="BANDEIRAS"/>
      <sheetName val="MERCEARIA"/>
      <sheetName val="NÃO ALIMENTOS"/>
      <sheetName val="PERECIVEIS"/>
      <sheetName val="REGIÕES"/>
      <sheetName val="Análisis IVA"/>
      <sheetName val="Goodwill"/>
      <sheetName val="Vente d'elec A 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nanc"/>
      <sheetName val="ativo circulante"/>
      <sheetName val="RLP Permanente"/>
      <sheetName val="passivo"/>
      <sheetName val="FOPAG"/>
      <sheetName val="Cutoff"/>
      <sheetName val="TesteRend"/>
      <sheetName val="XREF"/>
      <sheetName val="Tickmarks"/>
      <sheetName val="Deprec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Out"/>
      <sheetName val="XREF"/>
      <sheetName val="Lead"/>
      <sheetName val="Links"/>
      <sheetName val="MapaOut"/>
      <sheetName val="MapaDez"/>
      <sheetName val="DeprecDez"/>
      <sheetName val="Teste de Adições"/>
      <sheetName val="Conciliação"/>
      <sheetName val="Tickmarks"/>
      <sheetName val="MapaGeral"/>
      <sheetName val="DeprecGeral"/>
      <sheetName val="AdiçõesDez"/>
      <sheetName val="AdiçõesOut"/>
      <sheetName val="Baixas"/>
      <sheetName val="Transf"/>
      <sheetName val="Report"/>
      <sheetName val="Comentários"/>
      <sheetName val="Teste de Baixas"/>
      <sheetName val="MapaOut-Dez"/>
      <sheetName val="MapaMovto"/>
      <sheetName val="Dep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Composição"/>
      <sheetName val="Movimentação {PPE}"/>
      <sheetName val="Cálculo Global"/>
      <sheetName val="Global Reavaliação"/>
      <sheetName val="Global variáveis"/>
      <sheetName val="Teste Saldo Inicial"/>
      <sheetName val="Logs"/>
      <sheetName val="Deprec Movimentação"/>
      <sheetName val="Glocal de depreciação - Final"/>
      <sheetName val="Cálculo Global  - Final"/>
      <sheetName val="Sheet2"/>
      <sheetName val="Taxa Ampliação"/>
      <sheetName val="Imobilizado em Andamento"/>
      <sheetName val="Teste adições (2)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Global Deprec"/>
      <sheetName val="Teste Aquisições"/>
      <sheetName val="Log Aquisições"/>
      <sheetName val="Log Saldo Inicial"/>
      <sheetName val="Deprec.-Amortiz."/>
      <sheetName val="Mapa"/>
      <sheetName val="PAS Depreciação"/>
      <sheetName val="itens totalmente depreciados"/>
      <sheetName val="Detalhe Depreciação"/>
      <sheetName val="Adições e Baixas"/>
      <sheetName val="Resumo Geral da Área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Rollfoward"/>
      <sheetName val="Investimentos"/>
      <sheetName val="Teste Adição"/>
      <sheetName val="Teste Saldo Inicial."/>
      <sheetName val="Sel. Imobilizado -Saldo Inicial"/>
      <sheetName val="Imobilizado - Adições"/>
      <sheetName val="Cálculo Parâmetro"/>
      <sheetName val="Níveis Parâmetro"/>
      <sheetName val="Sumário"/>
      <sheetName val="Abertura"/>
      <sheetName val="Mapa Mov. Imobilizado"/>
      <sheetName val="Reavaliação"/>
      <sheetName val="PAS - Depreciação BRGAAP"/>
      <sheetName val="Depreciação IFRS"/>
      <sheetName val="PAS - Depreciação"/>
      <sheetName val="PAS - Depreciação IFRS"/>
      <sheetName val="IFRS 31-12"/>
      <sheetName val="IFRS 30-11"/>
      <sheetName val="PAS-Depreciação"/>
      <sheetName val="Mapa Imobilizado (PPC)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Threshold Calc"/>
      <sheetName val="Teste de Adições"/>
      <sheetName val="Teste de Baixas"/>
      <sheetName val="Mapa Mov. Jan. a Dez 2005"/>
      <sheetName val="Teste Saldo Inicial Imob."/>
      <sheetName val="PAS Deprec. Imob. Rodov."/>
      <sheetName val="PAS Deprec. Demais Itens"/>
      <sheetName val="saldo inicial "/>
      <sheetName val="IFRS"/>
      <sheetName val="Cálculo Parâmetro R 0,7"/>
      <sheetName val="NE"/>
      <sheetName val="Ativo Imobil. Depr. {PPC}"/>
      <sheetName val="PAS Deprec. Rodovias"/>
      <sheetName val="Mapa {ppc}"/>
      <sheetName val="Mapa Diferido"/>
      <sheetName val="Selecionados SI imobilizado Bar"/>
      <sheetName val="Mapa Mov. e PAS Deprec"/>
      <sheetName val="Mapa diferido {ppc}"/>
      <sheetName val="PAS Depreciação e amortização"/>
      <sheetName val="Log Adição e Saldo Inicial"/>
      <sheetName val="Teste de Saldo Inicial"/>
      <sheetName val="Instruções"/>
      <sheetName val="Diferido"/>
      <sheetName val="Comp Imobilizado 31.03.08 "/>
      <sheetName val="Mapa de Imobilizado"/>
      <sheetName val="Obras em Andamento Período"/>
      <sheetName val="Obras em Andamento Total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Log Adições"/>
      <sheetName val="Seleção Saldo Inicial Imobiliza"/>
      <sheetName val="Baixas{ppc}"/>
      <sheetName val="Summary Pag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Mapa de Movimentação 2007"/>
      <sheetName val="PAS Depreciação  31.12.07"/>
      <sheetName val="Cálculo Deprec Imobiliz Andam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Resumo Lead"/>
      <sheetName val="Nota Explicativa"/>
      <sheetName val="Mapa Mov. Reavaliação"/>
      <sheetName val="Teste de adição"/>
      <sheetName val="Adto. a fornecedor"/>
      <sheetName val="Abertura transf. 31.10.07"/>
      <sheetName val="PAS - Depreciação - dez"/>
      <sheetName val="Teste de Adições dez.04"/>
      <sheetName val="Teste de Adições out.04"/>
      <sheetName val="PAS - Depreciação - out"/>
      <sheetName val="Imobilizado"/>
      <sheetName val="Razão Depreciação Diferido"/>
      <sheetName val="Ajuste - Deprec. Software"/>
      <sheetName val="Nota"/>
      <sheetName val="Adições 31.10"/>
      <sheetName val="Adições 31.12"/>
      <sheetName val="PAS - Depreciação 31.12"/>
      <sheetName val="Ajuste - Deprec. Software 31.12"/>
      <sheetName val="Teste de Adições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Depreci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Análise de Variação"/>
      <sheetName val="Provisão perda POS 2005"/>
      <sheetName val="Adições POS"/>
      <sheetName val="Teste Adição 31.12.2007"/>
      <sheetName val="Teste Adição 31.10.2007"/>
      <sheetName val="Teste depreciação 31.12.2007"/>
      <sheetName val="Teste depreciação 31.10.2007"/>
      <sheetName val="Teste Baixa"/>
      <sheetName val="Nota Explic"/>
      <sheetName val="Direito Uso Lavra"/>
      <sheetName val="Analise IPC"/>
      <sheetName val="Teste sdo inicial e adições"/>
      <sheetName val="Command Log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Imoveis - Não Operacional"/>
      <sheetName val="Mapa Imob."/>
      <sheetName val="Cálc. Deprec."/>
      <sheetName val="Custo X Deprec."/>
      <sheetName val="Direito de Uso de Lavra"/>
      <sheetName val="Consol Geral"/>
      <sheetName val="Cons  Normal"/>
      <sheetName val="Cons IPC"/>
      <sheetName val="Cálc.Global DeprecX"/>
      <sheetName val="Insp fís-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Movimentação do Imobilizado"/>
      <sheetName val="Consolidado Imobilizado"/>
      <sheetName val="Credi 21"/>
      <sheetName val="Marisa"/>
      <sheetName val="Consolidado"/>
      <sheetName val="Movimentação Imobilizado"/>
      <sheetName val="Rollforward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PPC Mapa Imobilizado"/>
      <sheetName val="Teste de detalhe"/>
      <sheetName val="Mapa IAS"/>
      <sheetName val="P13.Inventário"/>
      <sheetName val="Prov. Veículo"/>
      <sheetName val="Mapa de Movim."/>
      <sheetName val="Excess Calc"/>
      <sheetName val="Mapa de Movim. (Diferido)"/>
      <sheetName val="NE Imobilizado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{PPC} Mapa"/>
      <sheetName val="Adiantamentos"/>
      <sheetName val="PAS Maq. Reavaliadas"/>
      <sheetName val="PAS Edificios Reavaliados"/>
      <sheetName val="PAS depreciação 30.09.07"/>
      <sheetName val="Controle Andamento"/>
      <sheetName val="Teste de Adição 30.09.07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1. Sumário"/>
      <sheetName val="2. Mapa de Imobililizado"/>
      <sheetName val="3. Aging - Imobil. andamento"/>
      <sheetName val="4. PAS Depreciação"/>
      <sheetName val="5. Equip. Mov. Carga"/>
      <sheetName val="5.1 Itens sem reavaliação"/>
      <sheetName val="5.2 Itens reavaliados"/>
      <sheetName val="5.3 Itens 100% depreciados"/>
      <sheetName val="6. Notas Explicativas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Mapa de movimentação out.07"/>
      <sheetName val="Teste de baixa out.07"/>
      <sheetName val="LOG Teste saldo inicial out.07"/>
      <sheetName val="Mapa de movimentação dez.07"/>
      <sheetName val="Teste de Custo Deprec."/>
      <sheetName val="Propostas de Baixa"/>
      <sheetName val="P1 - Sumário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Nota Relatório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Log ACL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11.1 Dif reavaliação"/>
      <sheetName val="teste detalhe depreciação"/>
      <sheetName val="Mapa Movim. 31.12"/>
      <sheetName val="Teste Adições 31.12"/>
      <sheetName val="Reavaliação - Contab"/>
      <sheetName val="Teste Depreciação 31.12"/>
      <sheetName val="Log ACL 31.12"/>
      <sheetName val="Baixas 2008"/>
      <sheetName val="Teste Saldo Inicial 30.09"/>
      <sheetName val="Teste Adições 30.09"/>
      <sheetName val="Log ACL 30.09"/>
      <sheetName val="Mapa de Movimentação 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1.Mapa de Movimentação Jun08"/>
      <sheetName val="2.PAS Depreciação Jun08"/>
      <sheetName val="1. Mapa de Movimentação Abr.08"/>
      <sheetName val="PAS Depreciação Abr.08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Teste custo inicial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1. Mapa Mov. Giroflex"/>
      <sheetName val="2. Mapa Mov. Giroservices"/>
      <sheetName val="3. Mapa Mov. Aurus"/>
      <sheetName val="4. PAS Depreciação (2)"/>
      <sheetName val="5. Teste Saldo Inicial"/>
      <sheetName val="6. Teste de Adições"/>
      <sheetName val="7. Teste de Baixas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2. Mapa de Movimentação"/>
      <sheetName val="3. Teste de Adições"/>
      <sheetName val="4. Teste Saldo Inicial"/>
      <sheetName val="5. Depreciação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Depreciação BRGAAP"/>
      <sheetName val="Mapa Movim."/>
      <sheetName val="PAS Depreciação 31.10"/>
      <sheetName val="Teste Saldo Inicial 31.10"/>
      <sheetName val="Teste Adições 31.10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 31.10"/>
      <sheetName val="12. Resumo"/>
      <sheetName val="12a Gastos com terceiros"/>
      <sheetName val="12. Dif Res. Reaval"/>
      <sheetName val="1. Mapa Total Geral 08"/>
      <sheetName val="2. Resumo Obras em And. 31.12"/>
      <sheetName val="3. Movimentação - Obras"/>
      <sheetName val="Risco Específico"/>
      <sheetName val="Cobertura Seguros"/>
      <sheetName val="Firenze"/>
      <sheetName val="Imp bens de uso"/>
      <sheetName val="Bens Penhorado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Imobilizado {PPC}"/>
      <sheetName val="PAS Depreciação 31.10.03"/>
      <sheetName val="Teste de adições 31.10.03"/>
      <sheetName val="Despesa com manutenção 31.10.03"/>
      <sheetName val="Itens não Localizados"/>
      <sheetName val="Imob em curso 31.12"/>
      <sheetName val="Desp Pré Operacional 31.12"/>
      <sheetName val="Análise Desp Pré-operac"/>
      <sheetName val="Amort não registrada"/>
      <sheetName val="Pontos comerciais 31.12"/>
      <sheetName val="Aquisições por loja"/>
      <sheetName val="Complemento Teste Adições"/>
      <sheetName val="Desp. Pré Operacionais"/>
      <sheetName val="Pontos comerciais - detalhes"/>
      <sheetName val="Pontos comerciais 30.09"/>
      <sheetName val="Desp Pré Operacional 30.09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NE_Movimentação"/>
      <sheetName val="Base_NE_Movimentação"/>
      <sheetName val="Pré op.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Mapa de Movimentação-31.12.2006"/>
      <sheetName val="PAS - Depreciação-31.12.06"/>
      <sheetName val="Mapa de Movimentações"/>
      <sheetName val="LOG - Saldo Inicial"/>
      <sheetName val="PAS Amortização"/>
      <sheetName val="Parâmetros"/>
      <sheetName val="Abertura mov imobilizado"/>
      <sheetName val="Abertura mov resultado"/>
      <sheetName val="Mutação imobilizado"/>
      <sheetName val="Abertura Relatório"/>
      <sheetName val="Mutação Imobilizado - PPC"/>
      <sheetName val="Teste de Detalhes"/>
      <sheetName val="Movimentação Nutrição e Avicult"/>
      <sheetName val="Movimentação suinos PICs"/>
      <sheetName val="PIS COFINS A RECUPERAR NOV06"/>
      <sheetName val="PAS DEPRECIAÇÃO "/>
      <sheetName val="TESTE ADIÇÃO NOV06"/>
      <sheetName val="LOG - ACL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Inspeção física"/>
      <sheetName val="Mapa_benfeitorias"/>
      <sheetName val="PAS_amortização"/>
      <sheetName val="Contrato de Aluguel"/>
      <sheetName val="Mapa_movim_30.11.05"/>
      <sheetName val="PAS_Depreciação"/>
      <sheetName val="Venda de imob. reavaliado"/>
      <sheetName val="Percentual depreciação"/>
      <sheetName val="Movimentação benfeitorias"/>
      <sheetName val="PAS - Amortização"/>
      <sheetName val="Contratos de aluguel"/>
      <sheetName val="Mapa Mov."/>
      <sheetName val="Deprec. DEZ."/>
      <sheetName val="Deprec. AGO"/>
      <sheetName val="Teste de Baixa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Mapa BRGAAP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PAS Depreciação Report"/>
      <sheetName val="Teste de Inspeção Física"/>
      <sheetName val="Log Inspeção Física"/>
      <sheetName val="Off-Book"/>
      <sheetName val="Mapa APMGAAP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Obra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Variação ACHE"/>
      <sheetName val="Variação BIO"/>
      <sheetName val="Impairment"/>
      <sheetName val="(1) Rollforward"/>
      <sheetName val="(2) Mapa Imobilizado"/>
      <sheetName val="(3) PAS Depreciação"/>
      <sheetName val="(4) Teste saldo inicial"/>
      <sheetName val="(5) Teste Adição"/>
      <sheetName val="(6) Taxa Fiscal x Cliente"/>
      <sheetName val="(7) Teste de Baixa"/>
      <sheetName val="(3) Teste de adição"/>
      <sheetName val="(4) PAS depreciação"/>
      <sheetName val="(5) Leasing"/>
      <sheetName val="Bens em Comodato"/>
      <sheetName val="Comodato"/>
      <sheetName val="Teste Saldo 12-07"/>
      <sheetName val="PAS Depreciacão"/>
      <sheetName val="Pendecias"/>
      <sheetName val="Mapa do Imobilizado"/>
      <sheetName val="Teste de Obras em andamento"/>
      <sheetName val="Mapa do Diferido"/>
      <sheetName val="Teste Adições_Diferido"/>
      <sheetName val="PCC"/>
      <sheetName val="P1 Lead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1.12"/>
      <sheetName val="Mapa de Movimentação 30.11"/>
      <sheetName val="PAS - Depreciação 30.11"/>
      <sheetName val="Depreciação Software 30.11"/>
      <sheetName val="Teste de Saldo Inicial 30.11"/>
      <sheetName val="Set-03"/>
      <sheetName val="Jun-03"/>
      <sheetName val="Mov.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P1 - Lead"/>
      <sheetName val="P2 - Composição"/>
      <sheetName val="P3 - Teste"/>
      <sheetName val="P4 - Log"/>
      <sheetName val="PAS depreciação 31.12.07"/>
      <sheetName val="Nota Explicativa 31.12"/>
      <sheetName val="Mapa e PAS Deprec 3110"/>
      <sheetName val="Tubrasil - integ. capital"/>
      <sheetName val="Reavaliação 31.12"/>
      <sheetName val="Imb. Andamento 31.12"/>
      <sheetName val="Imob. Andamento {PPC} 31.10"/>
      <sheetName val="Mapa e PAS Depreciação"/>
      <sheetName val="Ampliação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Nota Explicativa - Reavaliação"/>
      <sheetName val="Nota Explicativa - Reavalia (2)"/>
      <sheetName val="Nota do Relatório"/>
      <sheetName val="Mapa Dez2003"/>
      <sheetName val="Teste Saldo Inicial 2009"/>
      <sheetName val="Teste Saldo Inicial 2010"/>
      <sheetName val="Mapas de Imobilizado"/>
      <sheetName val="Teste Adições e Baixas RT"/>
      <sheetName val="Teste Adições Terminais"/>
      <sheetName val="Ajuste de Anos Anteriores"/>
      <sheetName val="simple size"/>
      <sheetName val="Checklist Impairment"/>
      <sheetName val="Cálculo de itens - Adição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Rede de Cabos"/>
      <sheetName val="P1. Sumário"/>
      <sheetName val="P2. Procedimentos"/>
      <sheetName val="P3. Mapa Imobilizado"/>
      <sheetName val="P4. Adições e Baixas"/>
      <sheetName val="P5. PAS - Depreciação"/>
      <sheetName val="P5. Cálculo Tx Depreciação "/>
      <sheetName val="P6. Ajuste Depreciação"/>
      <sheetName val="PAS"/>
      <sheetName val="Extrapolação"/>
      <sheetName val="Tabela"/>
      <sheetName val="Appendix 14"/>
      <sheetName val="Mapa de mov e PAs dep"/>
      <sheetName val="Imob. em andamento"/>
      <sheetName val="Total Deprec."/>
      <sheetName val="Capitalização de Juros"/>
      <sheetName val="PAS Deprec. SET-07"/>
      <sheetName val="Dez-03"/>
      <sheetName val="Mov por empresa"/>
      <sheetName val="Mov. por grupo"/>
      <sheetName val="Abertura NBT"/>
      <sheetName val="Mapa Mov. AGO."/>
      <sheetName val="Depreciação AGO."/>
      <sheetName val="Mapa de Mov. Mensal"/>
      <sheetName val="PAS - Depreciação "/>
      <sheetName val="Teste Adições Dez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ara referencia"/>
      <sheetName val="P1-Sumário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Mapa Movi."/>
      <sheetName val="Summary"/>
      <sheetName val="bens"/>
      <sheetName val="jan a set 06"/>
      <sheetName val="NE Reaval."/>
      <sheetName val="Mapa Resumo 31.12"/>
      <sheetName val="Var. Saldos"/>
      <sheetName val="Reav. Imobiliz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Teste das Adições"/>
      <sheetName val="P2 - Lead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Procedimentos"/>
      <sheetName val="3. PAS Depreciação"/>
      <sheetName val="4. Teste de Adição"/>
      <sheetName val="5. Teste de Baixas"/>
      <sheetName val="Teste Adição - Mar06"/>
      <sheetName val="Teste de Detalhe - Out05"/>
      <sheetName val="Amostra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Comex"/>
      <sheetName val="Trop"/>
      <sheetName val="Ajuste Proposto"/>
      <sheetName val="1.Mapa movimentação imobilizado"/>
      <sheetName val="3. Adições"/>
      <sheetName val="4. Diferido"/>
      <sheetName val="5. Imobilização em andamento"/>
      <sheetName val="Mapa movimentação imobilizado"/>
      <sheetName val="2.Mapa movimentação imobilizado"/>
      <sheetName val="Mapa USGAAP"/>
      <sheetName val="Rollfoward Depreciação USGAAP"/>
      <sheetName val="RollFoward  Depreciação BRGAAP"/>
      <sheetName val="PAS Depreciação USGAAP"/>
      <sheetName val="PAS Depreciação BRGAAP"/>
      <sheetName val="6. Base Saldo Inicial e Log"/>
      <sheetName val="7. Teste de Adições"/>
      <sheetName val="8. Teste de Baixas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1. Risco Específico"/>
      <sheetName val="2. Mapa Imobilizado"/>
      <sheetName val="3. Cobertura Seguros"/>
      <sheetName val="4. Suporte NE"/>
      <sheetName val="PIS e COFINS"/>
      <sheetName val="Mapa de Mov."/>
      <sheetName val="Passos do Programa"/>
      <sheetName val="PAS IMOBILIZADO"/>
      <sheetName val="PIS e Cofins a Recuperar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 Report"/>
      <sheetName val="Teste do Saldo Inicial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P1 - Sumário 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Nota Relatorio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Pontos comerciais"/>
      <sheetName val="Procedimentos Efetuados"/>
      <sheetName val="Teste imobilizado em and."/>
      <sheetName val="Log Testes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2-Lead"/>
      <sheetName val="P3 - Mapa de Movimentação"/>
      <sheetName val="P4 - PAS Depreciação"/>
      <sheetName val="P5 - Teste de adição"/>
      <sheetName val="P6 - Base de Seleção_Adição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Mapa de Movimentão"/>
      <sheetName val="Pas de Depreciação"/>
      <sheetName val="P13 Constr. em Andto 30.09"/>
      <sheetName val="P4 - RollForward"/>
      <sheetName val="P3 - Mapa do Imobilizado"/>
      <sheetName val="Teste Saldo Inicial Set"/>
      <sheetName val="Referência"/>
      <sheetName val="(6) Leasing"/>
      <sheetName val="(7) Fiscal x Cliente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audo de Avaliação Fabrica SP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(7) US x BR"/>
      <sheetName val="P1 - Summary Sheet"/>
      <sheetName val="P3 - Reavaliado x Contábil"/>
      <sheetName val="P4 - Imobilizado em Andamento"/>
      <sheetName val="P5 - Teste Saldo Inicial"/>
      <sheetName val="P7 - Depreciação (PAS)"/>
      <sheetName val="P8 - Parâmetro"/>
      <sheetName val="mapa mov 30.09.07"/>
      <sheetName val="mapa mov 31.12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adições"/>
      <sheetName val="Log ACL sdo inicial"/>
      <sheetName val="PAS Vida Útil"/>
      <sheetName val="Depreciação 2010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Depreciação - Maq. e Equip"/>
      <sheetName val="Roll Forward 31.12.08"/>
      <sheetName val="resumo"/>
      <sheetName val="Análise de Variação 30-09"/>
      <sheetName val="Análise de Variação - 31-12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Principais baixas e adições"/>
      <sheetName val="Mapa IFRS"/>
      <sheetName val="IFRS 30-06-08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Mapa de Imobilizado 31-10-08"/>
      <sheetName val="Mapa de Imobilizado 31-12-08"/>
      <sheetName val="Teste de Add 31-10-08"/>
      <sheetName val="Investimento 31-12-08"/>
      <sheetName val="CPC"/>
      <sheetName val="Seleção Saldo Inicial"/>
      <sheetName val="Mapa Mov. {ppc}"/>
      <sheetName val="PAS Deprecição 30.09.07"/>
      <sheetName val="Baixas  30.09.07"/>
      <sheetName val="Adições 30.09.07"/>
      <sheetName val="Contratos Leasing"/>
      <sheetName val="Adição de imobilizado"/>
      <sheetName val="PAS Depreciação Dez03"/>
      <sheetName val="Teste Inspeção"/>
      <sheetName val="Mapa imobil. SP"/>
      <sheetName val="PAS Deprec. - SP 10.02"/>
      <sheetName val="Andamento"/>
      <sheetName val="Teste veículos"/>
      <sheetName val="Teste de Sdo Inicial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Adição Imob. MTZ"/>
      <sheetName val="Seleção Adição Imob. Barra"/>
      <sheetName val="Seleção Adição BPeMTZ - Dez.08"/>
      <sheetName val="PAS Deprec. Out07"/>
      <sheetName val="Mapa Mov Imob out.07"/>
      <sheetName val="Mapa imob. dez07"/>
      <sheetName val="NE's"/>
      <sheetName val="Mapa Imobilizado - 31.10"/>
      <sheetName val="Mapa Diferido - 31.10"/>
      <sheetName val="Mapa - 31.12"/>
      <sheetName val="Diferido - 31.12"/>
      <sheetName val="Resultado CC"/>
      <sheetName val="NE 2006"/>
      <sheetName val="Programa IMOB"/>
      <sheetName val="Novo mapa CAL"/>
      <sheetName val="Novo mapa BB"/>
      <sheetName val="Mapa imobilizado CAL"/>
      <sheetName val="Novo mapa BB reaval"/>
      <sheetName val="Novo mapa CAL reaval"/>
      <sheetName val="Mapa Intangível {ppc}"/>
      <sheetName val="Recalculo da depreciação"/>
      <sheetName val="Mapa Consolidado"/>
      <sheetName val="Lead (2)"/>
      <sheetName val="Sel saldo inicial imob."/>
      <sheetName val="Sel Adi Imobilizado"/>
      <sheetName val="Comp Imob Out07"/>
      <sheetName val="Roolforward Teste 31.12.2007"/>
      <sheetName val="DMPL"/>
      <sheetName val="Mapa Mov. e PAS dep. 31.12.2008"/>
      <sheetName val="Invest. Jardim Iguatemi"/>
      <sheetName val="Invest. Jardim Iguatemi (2)"/>
      <sheetName val="Calculo de Paramêtro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Adições 31.10.03"/>
      <sheetName val="Leasing Passivo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LOG - Teste de adição"/>
      <sheetName val="Movimentação Trimestral"/>
      <sheetName val="Movimentação Acumulada"/>
      <sheetName val="Anal. Variação"/>
      <sheetName val="Adições 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4. PAS Depreciação"/>
      <sheetName val="P5. Teste Saldo Inicial"/>
      <sheetName val="Tabela Sample Size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{PPC} Demonstrativo Leasing"/>
      <sheetName val="Ajustes a Lei 11.638"/>
      <sheetName val="Comp. Analítica Imob."/>
      <sheetName val="Mapa de Movimentação 31.10"/>
      <sheetName val="Composição e depreciação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juste 2340"/>
      <sheetName val="Teste Insp."/>
      <sheetName val="Imoveis não operacionais"/>
      <sheetName val="Ativo Fixo-Movimentação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Leasing imobilizado"/>
      <sheetName val="Contrato #1"/>
      <sheetName val="#2"/>
      <sheetName val="#3"/>
      <sheetName val="Mapa 12-2010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saldo inici."/>
      <sheetName val="P4-PAS depreciação"/>
      <sheetName val="P5-Mapa Imobilizado_São Paulo"/>
      <sheetName val="P6-Mapa Imobilizado Manaus"/>
      <sheetName val="P2 - Sumário"/>
      <sheetName val="P7-Mapa Imobilizado MTD"/>
      <sheetName val="P3-Mapa Imobilizado_Consolidado"/>
      <sheetName val="Mapa Imobilizado Relatório"/>
      <sheetName val="PAS Decoders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P3 - Mapa Mov. Imobilizado"/>
      <sheetName val="P4- PAS Depreciação"/>
      <sheetName val="P5-Teste Saldo Inicial 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Teste de Adição dez."/>
      <sheetName val="Teste de Adição out."/>
      <sheetName val="Teste de Baixa dez."/>
      <sheetName val="Teste de Baixa out."/>
      <sheetName val="Tabela para Seleção"/>
      <sheetName val="Adições CBMP 30.06.06"/>
      <sheetName val="Inspeção física POS 30.06.06"/>
      <sheetName val="Adição POS CBMP 30.06.06"/>
      <sheetName val="P2 - Mapa de Movimentação"/>
      <sheetName val="P3 - PAS Depreciação"/>
      <sheetName val="P4 - Teste de Adição"/>
      <sheetName val="P5 - Log Adição"/>
      <sheetName val="P6 - Nota Relatório"/>
      <sheetName val="P6 - Teste Saldo Inicial"/>
      <sheetName val="Mapa Mov. 31.10"/>
      <sheetName val="Programa de Trabalho"/>
      <sheetName val="Deprec."/>
      <sheetName val="Certidões"/>
      <sheetName val="Equity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Global depreciação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P2 -  Lead"/>
      <sheetName val="P3 -  Movimentação"/>
      <sheetName val="P4 -  Depreciação"/>
      <sheetName val="P5 -  Adições"/>
      <sheetName val="P6 -  Baixas"/>
      <sheetName val="P7 - Teste Dez-06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Inventári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áquinas"/>
      <sheetName val="Nota Relatório (2)"/>
      <sheetName val="Mapa de Depreciação"/>
      <sheetName val="Teste Adições e Baixas"/>
      <sheetName val="Ganho (Perda) Venda Imobilizado"/>
      <sheetName val="Chaves - O Store"/>
      <sheetName val="c008"/>
      <sheetName val="PAS Depreciação 31.10.2011"/>
      <sheetName val="PAS Depreciação 31.12.2011"/>
      <sheetName val="Venda de Ativ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1 - Sumario"/>
      <sheetName val="P3 - Saldo Inicial 12.06"/>
      <sheetName val="P4 - Mapa Imobilizado"/>
      <sheetName val="P5 - PAS Depreciação"/>
      <sheetName val="P6 - Teste de adição 10.07"/>
      <sheetName val="P7 - Imob. em Andamento 12.07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P3. Mapa do Imobilizado"/>
      <sheetName val="P5. Adições"/>
      <sheetName val="IFRS 6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Determination - Sample Size"/>
      <sheetName val="1. Ajuste Off Book 30.06"/>
      <sheetName val="2. Mapa de Mov. BRGAAP"/>
      <sheetName val="3. Mapa de Mov. USGAAP"/>
      <sheetName val="4. PAS Depreciação BRGAAP"/>
      <sheetName val="5. PAS Depreciação USGAAP"/>
      <sheetName val="6. Saldo Inicial"/>
      <sheetName val="7. Alteração das taxas"/>
      <sheetName val="8. LOG's ACL"/>
      <sheetName val="Threshold and Sample Size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Mapa Mov. 31.12"/>
      <sheetName val="Teste de Adição Imob. 31.10.08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P3 Teste de Adição"/>
      <sheetName val="Rollforward Dez 11"/>
      <sheetName val="Movimentação 31.10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Produção Transform. de Linha"/>
      <sheetName val="Movimentação Imobilizado 30.09"/>
      <sheetName val="Adições no Imobilizado 30.09"/>
      <sheetName val="Imob Andamento 30.09"/>
      <sheetName val="Ad. a Fornec. 30.09"/>
      <sheetName val="Comp. analít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. 30.09 e 31.12"/>
      <sheetName val="Teste 31.12"/>
      <sheetName val="Global Depr 30.09 e 31.12"/>
      <sheetName val="Movim. 31.07"/>
      <sheetName val="Teste 30.09"/>
      <sheetName val="Global Depr 31.07"/>
      <sheetName val="Cálculo Depreciação 30.11.03"/>
      <sheetName val="Valorização linha telefônica"/>
      <sheetName val="Imobilizado III"/>
      <sheetName val="Mov Imobilizado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Baixa"/>
      <sheetName val="Movimentação 31.12"/>
      <sheetName val="Roll Foward Global Depr. 31.12"/>
      <sheetName val="Global Depreciação 31.10.08"/>
      <sheetName val="Insp Física Imob"/>
      <sheetName val="Insp Intangível"/>
      <sheetName val="Mov 31.12.08"/>
      <sheetName val="Rollforward 31.12.08"/>
      <sheetName val="Mov 31.10.08"/>
      <sheetName val="Global Dep 31.10.08"/>
      <sheetName val="Mov 30.06.08"/>
      <sheetName val="Global Dep 30.06.08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Mov. 31-12"/>
      <sheetName val="Global 31-12"/>
      <sheetName val="Movim. 31-10"/>
      <sheetName val="Global Deprec. 31-10"/>
      <sheetName val="Insp Física"/>
      <sheetName val="Adições e Baixas 31.12"/>
      <sheetName val="Intang. em And. 31.12"/>
      <sheetName val="Adições e Baixas 31.10"/>
      <sheetName val="Imob. Andamento 31.10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Adições set-dez"/>
      <sheetName val="Adições jan-set"/>
      <sheetName val="Mov. Imobilizado"/>
      <sheetName val="Imob. Andamento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Detalhe Adições"/>
      <sheetName val="Detalhe Baixas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Patrimonial"/>
      <sheetName val="Mapa Mov. 30.09"/>
      <sheetName val="Global de depreciação 30.09"/>
      <sheetName val="Teste adições e baixas 30.09"/>
      <sheetName val="Imobilizados em andamento"/>
      <sheetName val="Adições do Imobilizado 31.12"/>
      <sheetName val="Teste Detalhe"/>
      <sheetName val="Global de Depreciação"/>
      <sheetName val="Comparativo Depreciação"/>
      <sheetName val="Amarração relatório"/>
      <sheetName val="Lçtos reclassif. imob"/>
      <sheetName val="Composição Mov. Dep."/>
      <sheetName val="Teste Global de Depreciação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Inspeção"/>
      <sheetName val="Log (inspeção)"/>
      <sheetName val="Log (adições)"/>
      <sheetName val="Medicamentos"/>
      <sheetName val="TxDepr"/>
      <sheetName val="Global Deprec."/>
      <sheetName val="Contratos Fábrica Betim"/>
      <sheetName val="Adiant. Int. e Ext. 30.09"/>
      <sheetName val="Adiant. Interno 31.12"/>
      <sheetName val="Adiant. Externo 31.12"/>
      <sheetName val="Reclassificação"/>
      <sheetName val="Quadro DF"/>
      <sheetName val="2. Mapa - Ezesa"/>
      <sheetName val="3. PAS Depreciação Ezesa 31.12"/>
      <sheetName val="4. Mapa - Zegna"/>
      <sheetName val="5. PAS Depreciação Zegna 31.12"/>
      <sheetName val="6. Teste de adições Ezesa"/>
      <sheetName val="7. Teste de adições Zegna"/>
      <sheetName val="8. DAAM"/>
      <sheetName val="P2. Mapa de Movimentação"/>
      <sheetName val="P3. PAS Depreciação"/>
      <sheetName val="P4. Report"/>
      <sheetName val="Tabela "/>
      <sheetName val="P3 - Saldo Inicial 12.07"/>
      <sheetName val="P6 - Teste de adição"/>
      <sheetName val="P6.1 - Teste de adição"/>
      <sheetName val="P7 - Imobilizado em Andamento"/>
      <sheetName val="Off-books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imentação Set e Dez 2008"/>
      <sheetName val="Global set e dez 2008"/>
      <sheetName val="Adições do Imobilizado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Seleção Adições 30.09"/>
      <sheetName val=" Baixas 30.09"/>
      <sheetName val="Mapa dez05"/>
      <sheetName val="Seleção Adições"/>
      <sheetName val=" Baixas"/>
      <sheetName val="P3-Mapa do Imobilizado"/>
      <sheetName val="P4 - Teste Saldo Inicial"/>
      <sheetName val="P5 - Teste Adição"/>
      <sheetName val="P6 - PAS Depreciação 31.10"/>
      <sheetName val="P7 - Leasings"/>
      <sheetName val="P9-Mapa do Imobilizado 31.01"/>
      <sheetName val="P10 - PAS Depreciação 31.01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Contratos de Locação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P5 - Adições"/>
      <sheetName val="Tabelas"/>
      <sheetName val="P7 - JOA"/>
      <sheetName val="NE - 9 e 10"/>
      <sheetName val="P3 - NE"/>
      <sheetName val="1. Mapa de Movimentaçao"/>
      <sheetName val="2. Saldo Inicial"/>
      <sheetName val="4. Depreciação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Audit Sampling Sample Size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REF Relatório"/>
      <sheetName val="P1.Mapa Imobilizado"/>
      <sheetName val="P2.PAS Depreciação"/>
      <sheetName val="P3.Teste de Adição nov.09"/>
      <sheetName val="P4.Teste Saldo Inicial"/>
      <sheetName val="P5.Rollfoward Procedures. 28.02"/>
      <sheetName val="P6. Teste de Adição fev.10"/>
      <sheetName val="P2.PAS Depreciação 28.02"/>
      <sheetName val="P2.Teste de Adição Fev.11"/>
      <sheetName val="P3.PAS Depreciação 30.11"/>
      <sheetName val="P4.Teste de Adição nov.10"/>
      <sheetName val="P2 - Nota"/>
      <sheetName val="P6 - PAS Depreciação"/>
      <sheetName val="P7 - Teste de Baixa"/>
      <sheetName val="P8 -Tabela Parâmetro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Depreciação Acelerada 31.12"/>
      <sheetName val="Impairment do Ágio"/>
      <sheetName val="Depreciação Acelerada 30.09"/>
      <sheetName val="Teste impairment"/>
      <sheetName val="Apropriação"/>
      <sheetName val="Investimentos Dez"/>
      <sheetName val="Investimentos Out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Planejamento"/>
      <sheetName val="P1. Mapa de movimentação"/>
      <sheetName val="P2. Teste de adição"/>
      <sheetName val="P3. Teste de baixas"/>
      <sheetName val="P4. PCC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Sample Size"/>
      <sheetName val="1.Mapa de Imobilizado (I)"/>
      <sheetName val="4. PAS - Depreciação (F)"/>
      <sheetName val="2.Teste de Adições (I)"/>
      <sheetName val="3. PAS - Depreciação (I)"/>
      <sheetName val="Enfoque"/>
      <sheetName val="CAMPO"/>
      <sheetName val="RJ"/>
      <sheetName val="Funcionários"/>
      <sheetName val="Funcionários - Resumo"/>
      <sheetName val="Creche"/>
      <sheetName val="Odontoprev"/>
      <sheetName val="Seguro de Vida"/>
      <sheetName val="Plano de Saúde"/>
      <sheetName val="Vale Alimentação"/>
      <sheetName val="Vale Refeição"/>
      <sheetName val="Vale Transporte I"/>
      <sheetName val="Vale Transporte II"/>
      <sheetName val="Vale Páscoa"/>
      <sheetName val="Vale Natal"/>
      <sheetName val="Remuneração CLT"/>
      <sheetName val="Remuneração Estat."/>
      <sheetName val="Hora Extra"/>
      <sheetName val="Sobreaviso"/>
      <sheetName val="PLR"/>
      <sheetName val="INSS"/>
      <sheetName val="RAT FAT"/>
      <sheetName val="Terceiros Entidades"/>
      <sheetName val="FGTS"/>
      <sheetName val="Periculosidade"/>
      <sheetName val="Férias"/>
      <sheetName val="Férias 1-12"/>
      <sheetName val="Férias 1-3"/>
      <sheetName val="Férias INSS"/>
      <sheetName val="Férias RAT FAT"/>
      <sheetName val="Férias Terceiros Entidades"/>
      <sheetName val="Férias FGTS"/>
      <sheetName val="13o"/>
      <sheetName val="13o 1-12"/>
      <sheetName val="13o INSS"/>
      <sheetName val="13o RAT FAT"/>
      <sheetName val="13o Terceiros Entidade"/>
      <sheetName val="13o FGTS"/>
      <sheetName val="  "/>
      <sheetName val="Dados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US$98"/>
      <sheetName val="Movimentação - R$"/>
      <sheetName val="Global de Dep. - R$ 31.12.06"/>
      <sheetName val="Global de Dep. - R$"/>
      <sheetName val="Movimentação EUR"/>
      <sheetName val="Global de Depreciação EUR"/>
      <sheetName val="Movimentação R$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Imobilizado mov"/>
      <sheetName val="Global Depreciação - 30.09.05"/>
      <sheetName val="Ativo Permantente MG"/>
      <sheetName val="Mov. R$"/>
      <sheetName val="Imob em curso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ickmarks (2)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Taxa Depreciação"/>
      <sheetName val="BIA"/>
      <sheetName val="Portabilidade"/>
      <sheetName val="Ajustes 11.638_ICPC 10 em 2009"/>
      <sheetName val="Imob. em Andam."/>
      <sheetName val="Ajustes 11.638 ICPC 10 em 2008"/>
      <sheetName val="Movimentação US$"/>
      <sheetName val="Tx. Depr. R$"/>
      <sheetName val="Bens Deprec. R$"/>
      <sheetName val="Global Deprec. R$"/>
      <sheetName val="Admt. Fornecedores"/>
      <sheetName val="Exaustão R$"/>
      <sheetName val="Adição Floresta"/>
      <sheetName val="Adição Imobilizado"/>
      <sheetName val="Nota USGAAP"/>
      <sheetName val="Exaustão USD$"/>
      <sheetName val="Tx. Depr. U$"/>
      <sheetName val="Bens Deprec. US$"/>
      <sheetName val="Global Deprec. US$"/>
      <sheetName val="Tabela - Tamanho da Amostra"/>
      <sheetName val="Exaustão U$"/>
      <sheetName val="Tabela DAAM"/>
      <sheetName val="A"/>
      <sheetName val="B"/>
      <sheetName val="C"/>
      <sheetName val="D"/>
      <sheetName val="E"/>
      <sheetName val="P6 - Baixas"/>
      <sheetName val="P7 - Depreciação"/>
      <sheetName val="Disclosure"/>
      <sheetName val="Suporte NE"/>
      <sheetName val="1. Mapa de Mov. Consolidado"/>
      <sheetName val="2. Mapa de movimentação (Imob.)"/>
      <sheetName val="3. Mapa de movimentação (Int.)"/>
      <sheetName val="4. Análise Depreciação"/>
      <sheetName val="4.2 Resultado Depreciação"/>
      <sheetName val="4.3 PAS Depreciação"/>
      <sheetName val="5 Teste de adições (I)"/>
      <sheetName val="5.1 Teste de adições (I)"/>
      <sheetName val="5.2 Teste de Adições (F)"/>
      <sheetName val="6. Imobilizado em And.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5. Nota Reapresentada"/>
      <sheetName val="1. Mapa de Movimentação"/>
      <sheetName val="2. Teste de Adições"/>
      <sheetName val="3. PAS - Depreciação"/>
      <sheetName val="Log@ACL"/>
      <sheetName val="P1. Lead"/>
      <sheetName val="P3. Imob. em Andamento"/>
      <sheetName val="P5. Teste de Adições"/>
      <sheetName val="P6. Cálculo Amostra"/>
      <sheetName val="P7. Log ACL"/>
      <sheetName val="Cálculo Amostra"/>
      <sheetName val="2. Nota Rel."/>
      <sheetName val="P3-Teste Adição 30-09"/>
      <sheetName val="P4-Teste Saldo Inicial"/>
      <sheetName val="P3- Rollfoward"/>
      <sheetName val="P4-Teste Adição 30-09"/>
      <sheetName val="P5-Teste Adição 31-12"/>
      <sheetName val="P2. PAS de Depreciação"/>
      <sheetName val="P3. Teste de adição"/>
      <sheetName val="Sample Size Table"/>
      <sheetName val="1. Mapa de Mov. Imob 31.12"/>
      <sheetName val="2. Mapa Mov. Intang. 31.12"/>
      <sheetName val="3.1 Teste Alternativo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NE - Imobilizado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2. Mapa de Imobilizado "/>
      <sheetName val="3. Teste Saldo Inicial"/>
      <sheetName val="5. Ágio"/>
      <sheetName val="6. Análise Impearment"/>
      <sheetName val="7. Registros"/>
      <sheetName val="8. Pontos Identificados"/>
      <sheetName val="Intangível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Intangível"/>
      <sheetName val="NE - Movim. Consolidado"/>
      <sheetName val="NE - Moviment. controladora"/>
      <sheetName val="Depreciações  Eternit"/>
      <sheetName val="1. Mapa de Mov. Imob"/>
      <sheetName val="Análise Variação"/>
      <sheetName val="Gastos com desenv. - Dez"/>
      <sheetName val="Impairment ativo fixo"/>
      <sheetName val="Gastos com desenv. "/>
      <sheetName val="Para ref. relatório"/>
      <sheetName val="Análise de Variação - Dez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5. Teste de Adição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Base Seleção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DAAM 5440"/>
      <sheetName val="Mapa Imobilizado 3112"/>
      <sheetName val="Mapa movimentação e PAS deprec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1. Mapa 31.12.10"/>
      <sheetName val="Mapa_Movimentação Mitsui  "/>
      <sheetName val="Mapa_Movimentação Yoorin"/>
      <sheetName val="Teste de Adição e Baixa Mitsui"/>
      <sheetName val="Teste de Adição e Baixa Yoorin"/>
      <sheetName val="1.Mapa de Imobilização"/>
      <sheetName val="Report Package Italian"/>
      <sheetName val="P1. Mapa de Mov."/>
      <sheetName val="P2.Análise de Var."/>
      <sheetName val="P5.Log Saldo Inicial"/>
      <sheetName val="P6. Teste das Adições"/>
      <sheetName val="P10 - Teste Saldo Inicial 31.12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Sample size and threshold"/>
      <sheetName val="Mapa movimentação 31.12.2009"/>
      <sheetName val="P1 Mapa Movimentação"/>
      <sheetName val="P2 PAS da Depreciação"/>
      <sheetName val="P3 Teste Saldo Inicial"/>
      <sheetName val="P4 Teste Adições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P3.Teste de Adição nov.10"/>
      <sheetName val="Mapa_Movimentação"/>
      <sheetName val="Mov analitica exterior"/>
      <sheetName val="Mov analitica consorcios"/>
      <sheetName val="Patrimonial 31-12-2008"/>
      <sheetName val="Imparment"/>
      <sheetName val="Teste Global de Dep.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Arquivo Patrimonial"/>
      <sheetName val="Arquivo Patrimonial."/>
      <sheetName val="Movimentação Liasse"/>
      <sheetName val="Composição Imobilizado"/>
      <sheetName val="Fotos inspeção"/>
      <sheetName val="Obra em andamento"/>
      <sheetName val="Inspeção Fisica Saldo 31.12.08"/>
      <sheetName val="Imobilizado Andamento"/>
      <sheetName val="Global Depr. 30.09"/>
      <sheetName val="Análise de Impairment"/>
      <sheetName val="Exaustão 30.09"/>
      <sheetName val="Baixa_reflorestamento"/>
      <sheetName val="Reflorest. em andam."/>
      <sheetName val="Adições Reflorest."/>
      <sheetName val="Exaustão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ota Explicativa 8"/>
      <sheetName val="Mapa Imob e PAS deprec 31.10.08"/>
      <sheetName val="Mapa Imob. 31.12.08"/>
      <sheetName val="Selecao Adições"/>
      <sheetName val="Selecao Saldo Inicial"/>
      <sheetName val="P4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1. BRGAAP x USGAAP"/>
      <sheetName val="2. Mapa de Mov. USGAAP"/>
      <sheetName val="3. Teste de Adições 30.09"/>
      <sheetName val="5. PAS de Deprec. BRGAAP"/>
      <sheetName val="7. PAS de Deprec. USGAAP"/>
      <sheetName val="LOG's ACL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pairment"/>
      <sheetName val="Análise Imobilizado"/>
      <sheetName val="Mapa Imobilizado BRGAAP"/>
      <sheetName val="PAS Depreciação  BRGAAP"/>
      <sheetName val="Mapa Imobilizado IFRS"/>
      <sheetName val="PAS Depreciação IFRS "/>
      <sheetName val="Ajuste Depreciação"/>
      <sheetName val="PAS Depreciação 05.2010"/>
      <sheetName val="PAS Depreciação  (2)"/>
      <sheetName val="Resumo Imobilizado p. Loja"/>
      <sheetName val="3. Baixa Haddock Lobo"/>
      <sheetName val="4. PAS Depreciação -Ezesa 31.12"/>
      <sheetName val="5. PAS Depreciação -Zegna 31.12"/>
      <sheetName val="6. Teste de adições - Ezesa"/>
      <sheetName val="7. Teste de adições - Zegna"/>
      <sheetName val="8. Saldo Inicial - Ezesa"/>
      <sheetName val="8.1 Saldo N. Identificado - Ez"/>
      <sheetName val="9. Saldo Inicial - Zegna"/>
      <sheetName val="10. DAAM"/>
      <sheetName val="5. Sample Size"/>
      <sheetName val="3. PAS Depreciação -Ezesa 31.10"/>
      <sheetName val="3.1. Baixa Haddock Lobo"/>
      <sheetName val="5. PAS Depreciação -Zegna 31.10"/>
      <sheetName val="2. Imobilizado em poder de 3º"/>
      <sheetName val="6. Impairment"/>
      <sheetName val="2. Mapa 31.12.10"/>
      <sheetName val="3. Imobilizado em poder de 3º"/>
      <sheetName val="6. Teste de Adição"/>
      <sheetName val="7. Impairment"/>
      <sheetName val="Depreciação II"/>
      <sheetName val="Direito de repres."/>
      <sheetName val="Pas Depreciação 31-12-10"/>
      <sheetName val="Pas Depreciação 31-10-10"/>
      <sheetName val="CSLL PPC Márcio"/>
      <sheetName val="Mapa de imobilizado - PPC"/>
      <sheetName val="Mapa Mov Imobilizado"/>
      <sheetName val="Mapa Mov e PAS Depr"/>
      <sheetName val="Imobilzado em Andamento"/>
      <sheetName val="Bx Ativo Imob."/>
      <sheetName val="NE Imobilizado - IFRS"/>
      <sheetName val="NE - BR GAAP"/>
      <sheetName val="Mapa Imobiliz SESPO"/>
      <sheetName val="PAS Depreciação Sespo"/>
      <sheetName val="Teste adições Sespo"/>
      <sheetName val="Teste Saldo Inicial Sespo"/>
      <sheetName val="Mapa Imob Vetbrands"/>
      <sheetName val="Ajuste Leasing IFRS"/>
      <sheetName val="Suporte Fluxo de caixa"/>
      <sheetName val="5. Sample Size Table"/>
      <sheetName val="Teste Detalhes"/>
      <sheetName val="Movimentação (2009)"/>
      <sheetName val="Conciliação"/>
      <sheetName val="Comp. Equip. Deposito"/>
      <sheetName val="TO DO"/>
      <sheetName val="Cont. Patrimonial"/>
      <sheetName val="Seleção Adição"/>
      <sheetName val="Composição Intangível"/>
      <sheetName val="Depreciação Global"/>
      <sheetName val="Riscos"/>
      <sheetName val="PCC's"/>
      <sheetName val="Resumo dos Riscos"/>
      <sheetName val="Patrimônio"/>
      <sheetName val="Safra Cana"/>
      <sheetName val="Global Exaustão"/>
      <sheetName val="Teste Vasilhames"/>
      <sheetName val="Classes ANP"/>
      <sheetName val="Rollforward Imobilizado"/>
      <sheetName val="Composição das Adições"/>
      <sheetName val="Confronto Controle Patrim"/>
      <sheetName val="Teste deprec exaust"/>
      <sheetName val="Teste taxas depreciacao"/>
      <sheetName val="Teste"/>
      <sheetName val="Movimentação para NE"/>
      <sheetName val="Seleção"/>
      <sheetName val="Impairment 08"/>
      <sheetName val="Carga Patrimonial - depr acum08"/>
      <sheetName val="Imobilizado em Andamento dez08"/>
      <sheetName val="NE2008"/>
      <sheetName val="Taxas Ponderadas"/>
      <sheetName val="Imobilizado em Postos Inativos"/>
      <sheetName val="Relação Postos Inativos"/>
      <sheetName val="Imob. Postos que sairam da rede"/>
      <sheetName val="Seleção Imobilizado"/>
      <sheetName val="Totalmente Depreciados"/>
      <sheetName val="Benf. Postos Franq."/>
      <sheetName val="MovimentaçãoDaniel"/>
      <sheetName val="Carga Patrim.-Dep. Acum. 310309"/>
      <sheetName val="Carga Patrim.-Dep. Acum. 300609"/>
      <sheetName val="Carga Patrim.-Dep. Acum. 310709"/>
      <sheetName val="Imobilizado em Andamento mar09"/>
      <sheetName val="Imobilizado em Andamento jun09"/>
      <sheetName val="Imobilizado em Andamento jul09"/>
      <sheetName val="Depreciação Analítica"/>
      <sheetName val="Compos. imobilizado"/>
      <sheetName val="Seleção compos. imobilizado"/>
      <sheetName val="NOTA EXPLICATIVA FINAL"/>
      <sheetName val="Composição x Contábil"/>
      <sheetName val="Teste Exaustão"/>
      <sheetName val="Máq. e Equip."/>
      <sheetName val="Movimentação_2008"/>
      <sheetName val="Sumario"/>
      <sheetName val="Cálculo Parâmetro AZ_BR"/>
      <sheetName val="Cálculo Parâmetro Gr_PI"/>
      <sheetName val="Comparativo (UIR)"/>
      <sheetName val="1) Mov"/>
      <sheetName val="2) Adição"/>
      <sheetName val="3) Depreciação"/>
      <sheetName val="4) RFP"/>
      <sheetName val="5) Impairment"/>
      <sheetName val="Valuation (2)"/>
      <sheetName val="Valuation (3)"/>
      <sheetName val="Valuation (4)"/>
      <sheetName val="Valuation (1)"/>
      <sheetName val="Plano de Contas"/>
      <sheetName val="Composição Impairment "/>
      <sheetName val="Imob em Andamento."/>
      <sheetName val="Importacoes Andamento Transito"/>
      <sheetName val="Depreciação 31.10.2009"/>
      <sheetName val="Inspecao Fisica"/>
      <sheetName val="Adtos"/>
      <sheetName val="Compos Diferido Gastos Prods"/>
      <sheetName val="Compos Diferido Gastos Implant"/>
      <sheetName val="Pontos Identificados"/>
      <sheetName val="P1-Mapa"/>
      <sheetName val="P2-Adições"/>
      <sheetName val="P3-Baixas"/>
      <sheetName val="P5-Imobilizado não identificado"/>
      <sheetName val="PPC"/>
      <sheetName val="Global"/>
      <sheetName val="Adições - Baixas"/>
      <sheetName val="Detalhe da Movimentação"/>
      <sheetName val="ttca-imob (2)"/>
      <sheetName val="Itens tot dep 99"/>
      <sheetName val="Itens tot dep 00"/>
      <sheetName val="Mapa de Mov. do Imobilizado"/>
      <sheetName val="Movimentação set.10 a dez.10"/>
      <sheetName val="Report K"/>
      <sheetName val="Variação do Período"/>
      <sheetName val="Baixa de Flaviano"/>
      <sheetName val="1. Mapa de Imobilizado"/>
      <sheetName val="2. PAS de Depreciação"/>
      <sheetName val="3. Teste de Adição "/>
      <sheetName val="RollForward Dez.09"/>
      <sheetName val="RollForward Set.09"/>
      <sheetName val="Mapa Ago e Dez.09"/>
      <sheetName val="PAS Depreciação Ago.09"/>
      <sheetName val="PAS Baixas Ago.09"/>
      <sheetName val="Teste de Adições Ago.09"/>
      <sheetName val="Imob Andamento Ago.09"/>
      <sheetName val="Mapa Ago.2009"/>
      <sheetName val="PAS Baixas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Vouching Adições "/>
      <sheetName val="Baixas "/>
      <sheetName val="Vouching Baixas "/>
      <sheetName val="sales vol."/>
      <sheetName val="Abril"/>
      <sheetName val="AFinanc"/>
      <sheetName val="1. Movimentação"/>
      <sheetName val="2. Sample Size"/>
      <sheetName val="3.Seleção "/>
      <sheetName val="4. Global de depreciação "/>
      <sheetName val="5. Obras em andamento"/>
      <sheetName val="5.Cobertura de Seguros"/>
      <sheetName val="Benfeitorias e Imob em Andament"/>
      <sheetName val="Bens destinados a venda"/>
      <sheetName val="Teste - Imobilizado"/>
      <sheetName val="Cut-off do imobilizado "/>
      <sheetName val="Teste de Exaustão"/>
      <sheetName val="Teste de Depreciação Global"/>
      <sheetName val="Teste Global Depreciação"/>
      <sheetName val="Teste Depreciações"/>
      <sheetName val="Cálculo do Parametro"/>
      <sheetName val="Seleção Adições Set"/>
      <sheetName val="Seleção Adições  Dez"/>
      <sheetName val="Seleção Baixas"/>
      <sheetName val="1.Mapa de Movimentação"/>
      <sheetName val="2. Análises 30.09"/>
      <sheetName val="3. PAS Deprec. e Amort."/>
      <sheetName val="3.1 Deprec. Benfeitorias"/>
      <sheetName val="4. Calculo da Amostra"/>
      <sheetName val="4.1 Teste de Adição 30.09"/>
      <sheetName val="4.2 Teste de Adição 31.12"/>
      <sheetName val="5. Despesas com IPO"/>
      <sheetName val="6. Análise de Luvas"/>
      <sheetName val="7. Resumo de Ajustes"/>
      <sheetName val="P1 Mapa de Movimentação"/>
      <sheetName val="P2 PAS Depreciação"/>
      <sheetName val="P3 Teste de Saldo Inicial"/>
      <sheetName val="P4 Análise de Impairment"/>
      <sheetName val="Determination Sample"/>
      <sheetName val="Critério de Seleção"/>
      <sheetName val="PPC - Mapa Imobilizado DEZ-08"/>
      <sheetName val="Mapa Imob. &amp; PAS Deprec."/>
      <sheetName val="ACL"/>
      <sheetName val="Detalhes imobilizado"/>
      <sheetName val="Movimentação 2007"/>
      <sheetName val="Comparativo DTTx Contábil"/>
      <sheetName val="Reserva de Reavaliação 2006"/>
      <sheetName val="Movimentação 2006 após reaval."/>
      <sheetName val="Laudo de Reavaliação"/>
      <sheetName val="P3 PAS Depreciação"/>
      <sheetName val="P5 - Adiantamento TUPI"/>
      <sheetName val="P6 - Adiantamento Uirapuru"/>
      <sheetName val="P6 - Faz. Independência"/>
      <sheetName val="P7 Análise Impairment"/>
      <sheetName val="P8 - Recebimento Faz. Independ"/>
      <sheetName val="Add. Software"/>
      <sheetName val="Rec. Imob. em Andamento"/>
      <sheetName val="P1 Mapa de Imobilizado"/>
      <sheetName val="P2 Depreciação"/>
      <sheetName val="DAAM"/>
      <sheetName val="2. Imob em Andamento"/>
      <sheetName val="3.Teste de adições"/>
      <sheetName val="4. PAS Deprec. e Amort."/>
      <sheetName val="5.Cessão Direito Uso - Detalhes"/>
      <sheetName val="5.1 Amortização Cessão Direito"/>
      <sheetName val="3. Teste de Adições Imobilizado"/>
      <sheetName val="4. Teste de Adições Im. And."/>
      <sheetName val="5. Teste de Adições Int."/>
      <sheetName val="6. Teste de Baixas"/>
      <sheetName val="7. Ativos de Retificação"/>
      <sheetName val="8. Adiantamentos Imb. "/>
      <sheetName val="P1 - Mapa de Imobilizado"/>
      <sheetName val="P3 - Ágio (DSP)"/>
      <sheetName val="P3.1 - Mais Valia Drogão CFPOP"/>
      <sheetName val="P4 - Imobilizado em Adamento"/>
      <sheetName val="P5 - Teste de Adição "/>
      <sheetName val="P6 - Lojas Encerradas"/>
      <sheetName val="P7 - Imob por Filial 30_09"/>
      <sheetName val="P7.1 - Imob por Filial 31_12"/>
      <sheetName val="P8 - Adições Fundos de Comércio"/>
      <sheetName val="P8.1 - CFPOP DSP"/>
      <sheetName val="A - DAAM"/>
      <sheetName val="B - PCC"/>
      <sheetName val="PAS Depreciação - Junho.2010"/>
      <sheetName val="2. Mapa de Imobilizado BRGAAP"/>
      <sheetName val="3. Mapa de Imobilizado USGAAP"/>
      <sheetName val="6. Teste de Saldo Inicial"/>
      <sheetName val="7. Teste de Adição"/>
      <sheetName val="8. Análise diferenças de taxas"/>
      <sheetName val="9. Log"/>
      <sheetName val="10. Sample size and threshold"/>
      <sheetName val="P1 - Composição Imobilizado"/>
      <sheetName val="P2 - Depreciação "/>
      <sheetName val="NE - Imobilizado - Colégio"/>
      <sheetName val="NE - Imobilizado - Educare"/>
      <sheetName val="NE - Imobilizado - Consolidado"/>
      <sheetName val="NE - Intangível - Educare"/>
      <sheetName val="NE - Intangível - Colégio"/>
      <sheetName val="NE - Intangível - Consolidado"/>
      <sheetName val="Para Referência - Tabela DAAM"/>
      <sheetName val="Imobilizado IFRS"/>
      <sheetName val="Adições 13211003 {PPC}"/>
      <sheetName val="Parâmetro "/>
      <sheetName val="Mov. Imobilizado 2011"/>
      <sheetName val="Teste de Adição de Imobilizado"/>
      <sheetName val="Cálculo da Amostra"/>
      <sheetName val="1. Procedimentos Acordados"/>
      <sheetName val="2. Conta Gráfica"/>
      <sheetName val="1. Mapa Total Geral"/>
      <sheetName val="4. Teste custo inicial"/>
      <sheetName val="5. Movimentação - Obras"/>
      <sheetName val="6. Histórico Obras em Andamento"/>
      <sheetName val="7. Aging - Obras em Andamento"/>
      <sheetName val="Tabela Novo Enfoque"/>
      <sheetName val="3.1. Teste de adições - Set"/>
      <sheetName val="3.2. Teste de adições - Dez"/>
      <sheetName val="4. Imob. em andamento"/>
      <sheetName val="6. Teste de Baixa"/>
      <sheetName val="7. Analise de Budget"/>
      <sheetName val="8. Relação Lojas"/>
      <sheetName val="9. Carta Comentário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2. Procedimentos"/>
      <sheetName val="3. Mapa do Imobilizado"/>
      <sheetName val="6. AVP"/>
      <sheetName val="7. Baixas"/>
      <sheetName val="8. Adição"/>
      <sheetName val="9.Saldo Inicial"/>
      <sheetName val="P2.1 - Rollforward"/>
      <sheetName val="P3 - Mapa Imobilizado "/>
      <sheetName val="P4 - Teste de Adições e Baixas"/>
      <sheetName val="P5 - Teste de Deprec Dez-2010"/>
      <sheetName val="P5 - Teste de Adições e Baixas"/>
      <sheetName val=" Package 2008"/>
      <sheetName val="Movimentação 31.08.08- 30.09.08"/>
      <sheetName val="PAS - 30.09.08"/>
      <sheetName val="PAS - 31.08.08"/>
      <sheetName val="Banco Pinto Sotto"/>
      <sheetName val="P1 . Mapa Movimentação"/>
      <sheetName val="P2 . Teste Depreciações"/>
      <sheetName val="P3. 132014 Imob. And."/>
      <sheetName val="P4. 132051 Imob. And. (AM)"/>
      <sheetName val="P5. 132054 Imob. And."/>
      <sheetName val="Controle adicional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Adição 31.12.08"/>
      <sheetName val="Baixa 31.12.08"/>
      <sheetName val="Depreciação 31.12.08"/>
      <sheetName val="Totalmente Deprec. 31.12.08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ce"/>
      <sheetName val="local"/>
      <sheetName val="INDIECO1"/>
      <sheetName val="Teste Adições Diferido"/>
      <sheetName val="Teste Fechamento de Loja"/>
      <sheetName val=" Calc Depreciação OUT"/>
      <sheetName val=" Calc Depreciação DEZ"/>
      <sheetName val="Depre. Imóveis"/>
      <sheetName val="Adições Benfeitorias "/>
      <sheetName val="Dados (2)"/>
      <sheetName val="Mov. PPC"/>
      <sheetName val="Imob a regularizar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INFO"/>
      <sheetName val="ABRIL 2000"/>
      <sheetName val=""/>
      <sheetName val="Worksheet in 5610 Imobilizado C"/>
      <sheetName val="Teste das Baixas"/>
      <sheetName val="NE (2)"/>
      <sheetName val="Baixas Brasil Oil"/>
      <sheetName val="Tamanho Amostra"/>
      <sheetName val="Detalhe Adição Aeronaves 31.12"/>
      <sheetName val="Adições OS"/>
      <sheetName val="Compos. Patrimônio 31.12.09"/>
      <sheetName val="Dep. Benfeit. Hangares"/>
      <sheetName val="Dep. Benfeit. Aero Arrendadas"/>
      <sheetName val="Tamanho da Amostra"/>
      <sheetName val="1.MAP"/>
      <sheetName val="1.1.Mapa de Movimentação"/>
      <sheetName val="2.Deprec. e Amort. 30.09.2010"/>
      <sheetName val="2.1Deprec. e Amort. 31.12.2010"/>
      <sheetName val="3.Imob. em Andamento 30.09.10"/>
      <sheetName val="3.Imob. em Andamento 31.12.10"/>
      <sheetName val="4. Imob. And. Contratos "/>
      <sheetName val="5. Ponto Comercial - Detalhes"/>
      <sheetName val="5.1 Amortização Ponto Comercial"/>
      <sheetName val="6.Teste de adições"/>
      <sheetName val="7.Teste de baixas"/>
      <sheetName val="8.Teste de Adições 31.12"/>
      <sheetName val="9.Teste Custo Inicial"/>
      <sheetName val="P2. Mapa_Ativo Fixo"/>
      <sheetName val="P2.1 Mapa_Intangível"/>
      <sheetName val="P3. PAS_Depreciação"/>
      <sheetName val="P4. Teste de adição"/>
      <sheetName val="P5. Tabela DAAM"/>
      <sheetName val="P1. Mapa de Imobilizado"/>
      <sheetName val="P2. PAS Depreciação"/>
      <sheetName val="P4. Teste de Baixa"/>
      <sheetName val="9. Teste IPE"/>
      <sheetName val="10. Log"/>
      <sheetName val="11. Sample size and threshold"/>
      <sheetName val="2. Mapa de Imobilizado"/>
      <sheetName val="Determination Sample Size"/>
      <sheetName val="P2 Mapa Movimentação"/>
      <sheetName val="P3 PAS Depreciação "/>
      <sheetName val="P4 Teste de Adição"/>
      <sheetName val="P5. Relação Fazendas"/>
      <sheetName val="Rollfoward 31.07.2010"/>
      <sheetName val="Teste de Integridade"/>
      <sheetName val="Teste de Adições e Baixas"/>
      <sheetName val="P1. Mapa Imobilizado"/>
      <sheetName val="P3. Adições"/>
      <sheetName val="P4. Baixa"/>
      <sheetName val="NE "/>
      <sheetName val="P1. Procedimentos Efetuados"/>
      <sheetName val="P2. Mapa de Imobilizado"/>
      <sheetName val="P4. Amostra"/>
      <sheetName val="P5. Capitalização Juros"/>
      <sheetName val="Global Depreciação 31.12"/>
      <sheetName val="Detalhe 31.12"/>
      <sheetName val="IPE - itens 100% depreciados"/>
      <sheetName val="Global Depreciação 31.10"/>
      <sheetName val="Detalhe 31.10"/>
      <sheetName val="Imobilizado em Andamento 31.10"/>
      <sheetName val="Obras em And. 31.10"/>
      <sheetName val="Obras em And. 31.12"/>
      <sheetName val="Adiantamento a fornecedores"/>
      <sheetName val="11401001 Ad. Fornecedores"/>
      <sheetName val="11401009 Ad. importação"/>
      <sheetName val="11401010 Ad. Exportação"/>
      <sheetName val="Imob. And. 30.09"/>
      <sheetName val="CPT ELT"/>
      <sheetName val="Movimentação 30-09"/>
      <sheetName val="NE 11"/>
      <sheetName val="Análise Indicativos Impairment"/>
      <sheetName val="Movimentação IFRS"/>
      <sheetName val="Baixa Hard-Software"/>
      <sheetName val="Adiant Fornec."/>
      <sheetName val="Claims Contratuais"/>
      <sheetName val="Adição 31.08"/>
      <sheetName val="Baixas 31.08"/>
      <sheetName val="Imob. em Curso 31.12"/>
      <sheetName val="Imob. em Curso 31.08"/>
      <sheetName val="Requisitos"/>
      <sheetName val="Teste Reavaliação"/>
      <sheetName val="Mov. Arrendamento"/>
      <sheetName val="Teste Baixas - Mov Arrendamento"/>
      <sheetName val="Amort. Benf."/>
      <sheetName val="Ajuste"/>
      <sheetName val="System_Menu"/>
      <sheetName val="Receita -Pós Pago"/>
      <sheetName val="Doação Terreno"/>
      <sheetName val="Gastos Implantação"/>
      <sheetName val="N.E."/>
      <sheetName val="Seleção Adições 1º. Sem."/>
      <sheetName val="Seleção Adições 2º. Sem."/>
      <sheetName val="Seleção Imobilizado 1209"/>
      <sheetName val="Saldo Inicial em 2009"/>
      <sheetName val="Depreciação 1209"/>
      <sheetName val="Teste de Baixas 2009"/>
      <sheetName val="Teste de SI do Imobilizado"/>
      <sheetName val="Teste de Adições Imobilizado"/>
      <sheetName val="Pontos Carta Comentário"/>
      <sheetName val="Teste Adição Imobilizado"/>
      <sheetName val="ACT Input (2)"/>
      <sheetName val="Global de depreciação 31.12"/>
      <sheetName val="Detalhe Adições 31.12"/>
      <sheetName val="Baixa de Benfeitoria  Andamento"/>
      <sheetName val="Global de depreciação 31.10"/>
      <sheetName val="Detalhe Adições 31_10"/>
      <sheetName val="Análise Benfeitorias em and."/>
      <sheetName val="Análise Benf. andam 31.12."/>
      <sheetName val="Análise Benf.Andamento"/>
      <sheetName val="5 E 6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Custo 12.2008"/>
      <sheetName val="Depreciação 12.2008"/>
      <sheetName val="Circular 260 SUSEP"/>
      <sheetName val="Parâmetro Global"/>
      <sheetName val="Calc.Global.Deprec. 2002"/>
      <sheetName val="Mutação"/>
      <sheetName val="Mov imob R$"/>
      <sheetName val="Depreci Imob Interim "/>
      <sheetName val="Depreci Imob Dez  Final"/>
      <sheetName val="Teste de Adições  Interim"/>
      <sheetName val="Teste de Adições Final"/>
      <sheetName val="Parâmetro Global Deprec"/>
      <sheetName val="Mapa de Movimentação Santillana"/>
      <sheetName val="P4 - PAS Depreciação 31.12"/>
      <sheetName val="P4 - PAS Depreciação 31.10"/>
      <sheetName val="P6 - Teste de Saldo Inicial"/>
      <sheetName val="P7 - Log Adição"/>
      <sheetName val="P8 - Log Saldo Inicial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Movimentação 2003"/>
      <sheetName val="Movimentação 2002"/>
      <sheetName val="Cálculo da Depreciação"/>
      <sheetName val="Terrenos e Edificações"/>
      <sheetName val="ICATU"/>
      <sheetName val="CRÉDITOS A RECEBER"/>
      <sheetName val="VAREX0698"/>
      <sheetName val="fluxo_caixa"/>
      <sheetName val="1- Passos do Planejamento"/>
      <sheetName val="P2. Teste Saldo Inicial "/>
      <sheetName val="P3. PAS Depreciação "/>
      <sheetName val="Sample Size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5. Teste de obras em andamento"/>
      <sheetName val="5.1 Aging Obras em Andto."/>
      <sheetName val="6. Transferências"/>
      <sheetName val="Análise de Recuperabilidade"/>
      <sheetName val="Procedimentos Acordados"/>
      <sheetName val="P1. Mapa de Imob."/>
      <sheetName val="P4. Sample size and threshold"/>
      <sheetName val="P3 - Teste de adição"/>
      <sheetName val="Sample Sizes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Confronto"/>
      <sheetName val="Depreciação e Amortização"/>
      <sheetName val="Composição Patrimonial SET"/>
      <sheetName val="Composição Patrimonial"/>
      <sheetName val="sysWorkbook"/>
      <sheetName val="Detalhe - Adições"/>
      <sheetName val="Mapa Imobilizado - 30.04.2012"/>
      <sheetName val="Mapa Intangível - 30.04.2012"/>
      <sheetName val="Complemento teste de Adições"/>
      <sheetName val="Mapa Depreciação"/>
      <sheetName val="Mapa Intangível"/>
      <sheetName val="Imobilizado 31-12-2011"/>
      <sheetName val="PAS - 31-12-2011"/>
      <sheetName val="Check list Impairment"/>
      <sheetName val="Rolfoward"/>
      <sheetName val="Calculo Amostra"/>
      <sheetName val="NE Intangivel"/>
      <sheetName val="P3 - Mapa Movimentação"/>
      <sheetName val="Composição Imob"/>
      <sheetName val="Global Depr."/>
      <sheetName val="Rollforward Depr."/>
      <sheetName val="Movimentação 30.09.2011"/>
      <sheetName val="Movimentação 30.09"/>
      <sheetName val="Depreciação por obra"/>
      <sheetName val="Ajuste Depreciação IFRS"/>
      <sheetName val="Procedimentos e conclusões"/>
      <sheetName val="Vida útil e impairment"/>
      <sheetName val="Ajuste Custo atribuído"/>
      <sheetName val="NOVEMBRO-2002"/>
      <sheetName val="Teste de Detalhe - Intangível"/>
      <sheetName val="NE Mov. Imob."/>
      <sheetName val="NE Intangível"/>
      <sheetName val="NE Mov. Intang."/>
      <sheetName val="NE Ágio"/>
      <sheetName val="Amortização ativo intangível"/>
      <sheetName val="Movimentação ativo imobilizado"/>
      <sheetName val="Adições II"/>
      <sheetName val="Composição Imobilizado 2012"/>
      <sheetName val="Composição saldo inicial 2011"/>
      <sheetName val="Validação SI"/>
      <sheetName val="IR diferido s depreciação"/>
      <sheetName val="Profit Analysis Sheet"/>
      <sheetName val="Tickmarks "/>
      <sheetName val="DLNG Helium"/>
      <sheetName val="Plan2 (2)"/>
      <sheetName val="P1. Planejamento"/>
      <sheetName val="P1. Mapa - 31.03.12"/>
      <sheetName val="P2. Mapa - 30.06.12"/>
      <sheetName val="P3. Teste de Adições "/>
      <sheetName val="P4. Memo Arrendamento"/>
      <sheetName val="P5. LOG ACL"/>
      <sheetName val="P6. Sample Size"/>
      <sheetName val="P7. Reclassificações"/>
      <sheetName val="P1. Mapa - 30.06.12"/>
      <sheetName val="P2. Teste de Adição 31.03.12"/>
      <sheetName val="P3. LOG ACL"/>
      <sheetName val="P4. Sample Size"/>
      <sheetName val="P5. Teste de Baixas"/>
      <sheetName val="1. Nota Explicativa Comexport"/>
      <sheetName val="2. Nota Explicativa Trop"/>
      <sheetName val="3. Mapa de Movimentação - Comex"/>
      <sheetName val="4. Mapa de Movimentação - Trop"/>
      <sheetName val="1. Terras"/>
      <sheetName val="2. Bananal"/>
      <sheetName val="3. Rio"/>
      <sheetName val="4. Arrojadinho"/>
      <sheetName val="5. Campo Aberto"/>
      <sheetName val="6. Mapa Imobilizado"/>
      <sheetName val="7. PAS de depreciação"/>
      <sheetName val="8. Licença Ambiental"/>
      <sheetName val="1.1 Procedimentos"/>
      <sheetName val="2.  Teste de Adição"/>
      <sheetName val="1. Aché"/>
      <sheetName val="2. Bio"/>
      <sheetName val="a. Rollforward"/>
      <sheetName val="1. Mapa Aché"/>
      <sheetName val="2. Mapa BIO"/>
      <sheetName val="3. PAS de Depreciação"/>
      <sheetName val="5. Teste de Saldo Inicial"/>
      <sheetName val="6. Ágio"/>
      <sheetName val="7. Capitalização dos Juros"/>
      <sheetName val="8. Avaliação Patrimonial"/>
      <sheetName val="9. Conciliação Laudo X Contabil"/>
      <sheetName val="Controle de Seleção"/>
      <sheetName val="Mapa Aché"/>
      <sheetName val="Aché"/>
      <sheetName val="Bio"/>
      <sheetName val="Avaliação Patrimonial"/>
      <sheetName val="Conciliação DTT X  LAUDO"/>
      <sheetName val="3.PPC Orçado X Real"/>
      <sheetName val="4.PAS de Depreciação"/>
      <sheetName val="2. Mapa Depreciação"/>
      <sheetName val="3. Imobilizado Fiscal"/>
      <sheetName val="5. I A Bens de Uso"/>
      <sheetName val="7. Impairment "/>
      <sheetName val="1.1 NE"/>
      <sheetName val="Insp Física Intangível"/>
      <sheetName val="Adição-Baixa 31.12.08"/>
      <sheetName val="Adição-Baixa 30.06.08"/>
      <sheetName val="Totalmente Deprec."/>
      <sheetName val="Adição-Baixa"/>
      <sheetName val="Adições 31.09"/>
      <sheetName val="Saldo Inicial 2009"/>
      <sheetName val="Análise Ind. Impairment"/>
      <sheetName val="Composição Analítica"/>
      <sheetName val="Global 30.09"/>
      <sheetName val="Imob. Polics"/>
      <sheetName val="Leasing Politec"/>
      <sheetName val="Leasing Polics"/>
      <sheetName val="5. Teste SF Obras em Andto."/>
      <sheetName val="6. Vida útil dos ativos"/>
      <sheetName val="1. Mapa de Movimentação 30.09 "/>
      <sheetName val="1.2. Mapa de Movimentação 31.12"/>
      <sheetName val="2. Teste de Adição"/>
      <sheetName val="3. Teste de Obras em andamento"/>
      <sheetName val="4. PAS de depreciação"/>
      <sheetName val="5. Teste de Saldo Inicial Imob"/>
      <sheetName val="Mapa de Movimentação NPK"/>
      <sheetName val="Análise de Var. Jul. &amp; Set."/>
      <sheetName val="P3.Referência Package"/>
      <sheetName val="P4. Teste de adicoes"/>
      <sheetName val="P6. Agio"/>
      <sheetName val="P7.PAS Depreciação"/>
      <sheetName val="Tabela de Itens"/>
      <sheetName val="P1. MAPA DE MOVIMENTAÇÃO "/>
      <sheetName val="P2. OBRAS EM ANDAMENTO (I) (F) "/>
      <sheetName val="P3. TESTE DE SALDO INICIAL"/>
      <sheetName val="P4. TESTE DE ADIÇÕES "/>
      <sheetName val="P5. DEPRECIAÇÃO"/>
      <sheetName val="P6. TRANSFERÊNCIAS"/>
      <sheetName val="P7. ÁGIOS"/>
      <sheetName val="P8. CAPITALIZAÇÃO DE JUROS"/>
      <sheetName val="P9. PREFERÊNCIAS PACKAGE"/>
      <sheetName val="A1. TABELA DE ITENS "/>
      <sheetName val="A2. LOG ACL P5."/>
      <sheetName val="P1. Projeção Saldos Março 13"/>
      <sheetName val="P2. Mov Obras Andt"/>
      <sheetName val="P4. Perda Recup.Econômica"/>
      <sheetName val="Riscos Significantes"/>
      <sheetName val="Riscos Normais"/>
      <sheetName val="Significant Risk"/>
      <sheetName val="Mapa Movimentação Intangível"/>
      <sheetName val="P2 - Mapa de Movimentação "/>
      <sheetName val="P3 - PAS Depreciação "/>
      <sheetName val="P5 -  Teste de Baixa"/>
      <sheetName val="P6 - Teste Ativo em Andamento"/>
      <sheetName val="P7 - Rollfoward"/>
      <sheetName val="SAS"/>
      <sheetName val="P1. Mapa do Imobilizado"/>
      <sheetName val="P3. Teste Adição"/>
      <sheetName val="P4. Teste de Saldo Inicial "/>
      <sheetName val="3.Obras em andamento"/>
      <sheetName val="4. I A Bens de Uso"/>
      <sheetName val="6. Impairment "/>
      <sheetName val="P2. PAS de Depreciação 30.09"/>
      <sheetName val="P5. Teste de IPE"/>
      <sheetName val="2. Teste de Adições 30.09"/>
      <sheetName val="2.1 Teste de Adições 31.12"/>
      <sheetName val="3. Teste de Baixas"/>
      <sheetName val="4.1 Depreciação Leasing"/>
      <sheetName val="5. Análise Lançamento CDC"/>
      <sheetName val="6. Cessão Direito de Uso"/>
      <sheetName val="Relatorio Local"/>
      <sheetName val="P3-Teste Adição"/>
      <sheetName val="P5- Rollfoward 31.12.2011"/>
      <sheetName val="P3- Rollfoward 31.12.2010"/>
      <sheetName val="2.PAS Depreciação 30.11"/>
      <sheetName val="2.1PAS Depreciação 31.12"/>
      <sheetName val="3.CIP"/>
      <sheetName val="3.1 CIP Oracle"/>
      <sheetName val="3.2 CIP Detalhe Entradas NF's"/>
      <sheetName val="3.3.Teste adições AF paa CIP"/>
      <sheetName val="3.4.Capex"/>
      <sheetName val="4.Teste adições Demais Ativos"/>
      <sheetName val="5.Baixas"/>
      <sheetName val="5. Teste final de Obras em Andt"/>
      <sheetName val="6. Análise de recuperabilidade"/>
      <sheetName val="7. Teste de Transferências"/>
      <sheetName val="8. Vida útil"/>
      <sheetName val="P6 - Ajuste"/>
      <sheetName val="P7 - Análise de Depreciação"/>
      <sheetName val="P1. Teste de Adição - SI"/>
      <sheetName val="P2. Base e Depreciação"/>
      <sheetName val="P3. Mapa de Movimentação"/>
      <sheetName val="4. Displays e Comodato"/>
      <sheetName val="5. Deficiência de Controles"/>
      <sheetName val="7. Análise de Baixas"/>
      <sheetName val="P2. Comparativo BFE X NPK "/>
      <sheetName val="P5. Inspeção Física"/>
      <sheetName val="P6. Tabela de Itens"/>
      <sheetName val="1. Mapa Geral 30.09 e 31.12"/>
      <sheetName val="2. Mov Obras Andt 30.09 e 31.12"/>
      <sheetName val="7. Teste baixas 30.09 e 31.12"/>
      <sheetName val="9.Depreciação"/>
      <sheetName val="10. Venda_3 andar"/>
      <sheetName val="Ajustes Créd. Imposto (2)"/>
      <sheetName val="Ajustes Créd. Imposto"/>
      <sheetName val="5.Teste Saldo Final Obras_Andto"/>
      <sheetName val="3.Teste de Saldo Inicial"/>
      <sheetName val="4.Teste de Adição"/>
      <sheetName val="5.Teste de Saldo Final"/>
      <sheetName val="Tabela Sampling Size"/>
      <sheetName val="2. Lead"/>
      <sheetName val="P2. Programa de Trabalho"/>
      <sheetName val="P3. PAS de Depreciação"/>
      <sheetName val="Sample Size and Thershold"/>
      <sheetName val="1. Movim. do Imob. IFRS 31.12"/>
      <sheetName val="1.1 Mov. do Imob. BRGAAP 31.10"/>
      <sheetName val="3.Teste de Adição"/>
      <sheetName val="4. PAS Deprec. 31.12"/>
      <sheetName val="4.1. PAS Depreciação 31.10"/>
      <sheetName val="5.Sample Size"/>
      <sheetName val="1. Movimentação do Imobilizado"/>
      <sheetName val="6.Obras em andamento"/>
      <sheetName val="11.Capitalização dos juros"/>
      <sheetName val="4. PAS Depreciação "/>
      <sheetName val="1. Mapa do Imobilizado Ago"/>
      <sheetName val="3. PAS de Dep."/>
      <sheetName val="5. Mapa Imobilizado Dez"/>
      <sheetName val="P3. Mapa de Movimento"/>
      <sheetName val="P4. PAS de Depr. 30.09"/>
      <sheetName val="P5. Teste de Adições 30.09"/>
      <sheetName val="P5.1 Teste de Adições 31.12"/>
      <sheetName val="P6. Teste de Saldo Inicial"/>
      <sheetName val="1. Mapa Imobilizado (2)"/>
      <sheetName val="2. Resumo SAENG CLAMOM"/>
      <sheetName val="7. Análise CIAP"/>
      <sheetName val="4. Teste de Baixa"/>
      <sheetName val="7. Base de baixa"/>
      <sheetName val="7. Base de adição"/>
      <sheetName val="Base Mapa Imobilizado"/>
      <sheetName val="Base Mapa Imobilizado (2)"/>
      <sheetName val="Sheet4"/>
      <sheetName val="5. Teste de Baixa"/>
      <sheetName val="Pas de Depreciação Ame."/>
      <sheetName val="Gastos c Desenvolvimento"/>
      <sheetName val="Obras em Andamento - Dez"/>
      <sheetName val="Teste de Depreciação - Dez"/>
      <sheetName val="Prov. Maquinas Paradas - Dez"/>
      <sheetName val="Análise de Variação - Set"/>
      <sheetName val="Obras em Andamento - Set"/>
      <sheetName val="Teste de Depreciação - Set"/>
      <sheetName val="Prov. Maquinas Paradas - Set"/>
      <sheetName val="0. Análise de Variação - Dez"/>
      <sheetName val="1. Mapa do Imobilizado Dez"/>
      <sheetName val="2. Imob. Andamento Dez"/>
      <sheetName val="3. Gastos Desenvolv. Set &amp; Dez"/>
      <sheetName val="4. Teste Depreciação Set . Dez"/>
      <sheetName val="5. Depreciação reavaliação"/>
      <sheetName val="6. Prov. Maquinas Paradas"/>
      <sheetName val="8. PPC"/>
      <sheetName val="9. Imob. Andamento Set"/>
      <sheetName val="10. Mapa do Imobilizado"/>
      <sheetName val="Pendências"/>
      <sheetName val="Mapa do Imobilizado Dez"/>
      <sheetName val="Imob. Andamento Dez"/>
      <sheetName val="Gastos Desenvolv. Set &amp; Dez"/>
      <sheetName val="Teste Depreciação Set . Dez"/>
      <sheetName val="Depreciação reavaliação"/>
      <sheetName val="Prov. Maquinas Paradas"/>
      <sheetName val="Imob. Andamento Set"/>
      <sheetName val="Detalhe de Adições"/>
      <sheetName val="1. Imobilizados em Andamento"/>
      <sheetName val="2.Mapa do Imobilizado"/>
      <sheetName val="3.Teste de Detalhe"/>
      <sheetName val="4.Gastos c Desenvolvimento"/>
      <sheetName val="5. Teste de Depreciação"/>
      <sheetName val="P&amp;D"/>
      <sheetName val="2.1 Pas de Depreciação Ame."/>
      <sheetName val="Determining Sample Size"/>
      <sheetName val="2.2 Mapa do Imobilizado Dez"/>
      <sheetName val="1.1 Teste de Detalhe"/>
      <sheetName val="1.1 Imob. em Andamento Dez"/>
      <sheetName val="4.4 Gastos Desenvolv. Set &amp; Dez"/>
      <sheetName val="Ajustes Propostos"/>
      <sheetName val="Mapa e Pas de Depreciação"/>
      <sheetName val="Bens para Revenda"/>
      <sheetName val="VP"/>
      <sheetName val="NE 09 "/>
      <sheetName val="Movimentação Depreciação"/>
      <sheetName val="Peças resposição"/>
      <sheetName val="Imp. em andamento"/>
      <sheetName val="Movimentação Consolidada - DEZ"/>
      <sheetName val="Movimentação Bredero 30.11"/>
      <sheetName val="Movimentação thermotite 30.11"/>
      <sheetName val="Nota Explicativa Imobilizado"/>
      <sheetName val="3. Mapa De Imobilizado 31.12"/>
      <sheetName val="4. Imobilizado em Andamento"/>
      <sheetName val="5. Adição 30.09"/>
      <sheetName val="5.1 Adição 31.12"/>
      <sheetName val="7. NE"/>
      <sheetName val="8. Suporte NE"/>
      <sheetName val="Teste de Integridade "/>
      <sheetName val="9. Parâmetro"/>
      <sheetName val="Carta Comentário"/>
      <sheetName val="estoque total dez_98"/>
      <sheetName val="Mapa de imob. e PAS 30.09.2010"/>
      <sheetName val="Mapa Imob. PAS 31.12.2010"/>
      <sheetName val="Mapa Imob e PAS IFRS 31.12.2010"/>
      <sheetName val="Teste Saldo Inicial e Adições"/>
      <sheetName val="Lead Resumo"/>
      <sheetName val="Mapa Imobilizado 31.12.2010"/>
      <sheetName val="Mapa de Intangível"/>
      <sheetName val="Mapa Intangível 30.11.12"/>
      <sheetName val="Mapa Imob 30.11.12"/>
      <sheetName val="Mapa Imob 31.12.12"/>
      <sheetName val="PAS Depreciacao Montebel 31.12"/>
      <sheetName val="Teste Direcionado"/>
      <sheetName val="Parametro PAS"/>
      <sheetName val="Adição "/>
      <sheetName val="Amostra - Seleções Adicionais"/>
      <sheetName val="13. salário"/>
      <sheetName val="Debêntures Reperfilamento"/>
      <sheetName val="Receita &amp; Lucro Bruto Loja"/>
      <sheetName val="Teste dep. "/>
      <sheetName val="Minoritários"/>
      <sheetName val="Obrigações Especiais"/>
      <sheetName val="Resumo ODI"/>
      <sheetName val="Obras em curso"/>
      <sheetName val="Teste obras em curso"/>
      <sheetName val="Log's"/>
      <sheetName val="2. Intangivel"/>
      <sheetName val="4.1. PAS Depreciação"/>
      <sheetName val="Threshold"/>
      <sheetName val="P3. Composição 31.12.2008"/>
      <sheetName val="P4. Teste de Saldo Inicial"/>
      <sheetName val="P5. Intangível Software"/>
      <sheetName val="Mapa de Movimentação (2)"/>
      <sheetName val="Parâmetro (2)"/>
      <sheetName val="Procedimento"/>
      <sheetName val="Teste Adição "/>
      <sheetName val="Mov. DFC e NE"/>
      <sheetName val="Check List"/>
      <sheetName val="Nota explicativa Movimentação"/>
      <sheetName val="Lead - Ajustada 2008-2009"/>
      <sheetName val="Global Depreciações"/>
      <sheetName val="Composição do Saldo Inicial"/>
      <sheetName val="Validação Saldo Inicial"/>
      <sheetName val="Limitação de Extensão"/>
      <sheetName val="Mov"/>
      <sheetName val="Mov. p.relat."/>
      <sheetName val="Global Dep."/>
      <sheetName val="Bens 100% Depreciados"/>
      <sheetName val="Deemed cost"/>
      <sheetName val="AVP Leasing"/>
      <sheetName val="Análise Garantia"/>
      <sheetName val="P3. Mapa"/>
      <sheetName val="P4. Depreciação 31.10"/>
      <sheetName val="P6. Depreciação 31.12"/>
      <sheetName val="P7 - Nota"/>
      <sheetName val="P4. Depreciação 31.08"/>
      <sheetName val="Parâmetro de receita"/>
      <sheetName val="Mapa Lwarcel"/>
      <sheetName val="Mapa Florestal"/>
      <sheetName val="Mapa Química"/>
      <sheetName val="Mapa Nordeste"/>
      <sheetName val="Mapa Lubrificantes"/>
      <sheetName val="DAAM (Seleção)"/>
      <sheetName val="Vida Útil Projeto H"/>
      <sheetName val="3. Imobilizado em Andamento"/>
      <sheetName val="4. NE"/>
      <sheetName val="5. Parâmetro"/>
      <sheetName val="10. Juros Capitalizados"/>
      <sheetName val="11. Bens em Garantia"/>
      <sheetName val="Parâmetro Seleção"/>
      <sheetName val="3. Mapa De Imobilizado"/>
      <sheetName val="5. Adição"/>
      <sheetName val="4.Mapa - Almeida"/>
      <sheetName val="3.Mapa - V. Alegre"/>
      <sheetName val="Cálculo Cliente Despesas Financ"/>
      <sheetName val="Cálculo Despesas Financ"/>
      <sheetName val="Pendencias "/>
      <sheetName val="Mapa Imobilizado 31-12-2011"/>
      <sheetName val="Imob. em Andamento 31-12-2011"/>
      <sheetName val="Bens em Garantia"/>
      <sheetName val="Mapa Imobilizado COVL"/>
      <sheetName val="Parâmetro 31-12"/>
      <sheetName val="DAAM Adição Imobilizado"/>
      <sheetName val="Amostra Teste de Adições"/>
      <sheetName val="Amostra Saldo Inicial"/>
      <sheetName val="Amostra Teste de Baixas"/>
      <sheetName val="Definição Amostra e Intervalo"/>
      <sheetName val="Mapa Imob. e Int. - Data Center"/>
      <sheetName val="Depreciação - Data Center"/>
      <sheetName val="Capitalização de Juros - DC"/>
      <sheetName val="Mapa Imob. e Intang. - Telecom"/>
      <sheetName val="Depreciação - Telecom"/>
      <sheetName val="Adição de Imob. - Data Center"/>
      <sheetName val="Adição de Imob. - Telecom"/>
      <sheetName val="Adição Intang. - Data Center"/>
      <sheetName val="Estoque - Telecom"/>
      <sheetName val="Amortização Carteira de Cliente"/>
      <sheetName val="Purchase Price Allocation"/>
      <sheetName val="0. Rollforward"/>
      <sheetName val="2. Mapa de Mov. Imob 31.12"/>
      <sheetName val="3. Mapa Mov. Intang. 30.09"/>
      <sheetName val="4. Mapa Mov. Intang. 31.12"/>
      <sheetName val="5.1 Teste Alternativo"/>
      <sheetName val="7. Tabela de Itens"/>
      <sheetName val="1570"/>
      <sheetName val="Package"/>
      <sheetName val="P2. Mapa de Imob USGAAP"/>
      <sheetName val="Resumo Contratos"/>
      <sheetName val="Mapa 12.2011"/>
      <sheetName val="Mapa 09.2011"/>
      <sheetName val="Detailed Adjustments"/>
      <sheetName val="IR_REAV"/>
      <sheetName val="Agio Probst"/>
      <sheetName val="NE 30SET2013"/>
      <sheetName val="Teste aquisições e Baixas"/>
      <sheetName val="Teste S.I."/>
      <sheetName val="PAS da Depreciação"/>
      <sheetName val="Análise taxas depreciação"/>
      <sheetName val="A - RTT"/>
      <sheetName val="Sheet Index"/>
      <sheetName val="1. Mapa Imobilizado 31.03.15"/>
      <sheetName val="2. PAS de Depreciação 31.03.15"/>
      <sheetName val="4. Composição Importação"/>
      <sheetName val="5. Imobilizado em Andamento"/>
      <sheetName val="6. Check List Impairmet"/>
      <sheetName val="7. Pontos de Controle"/>
      <sheetName val="P2. Adição de Imobilizado"/>
      <sheetName val="P3. Teste Saldo Inicial "/>
      <sheetName val="1. Mapa do Imobilizado"/>
      <sheetName val="5. Ágio e Amortização"/>
      <sheetName val="6. Threshold and Sample Size"/>
      <sheetName val="Depreciações"/>
      <sheetName val="NE Ajustada"/>
      <sheetName val="Saldo Anterior"/>
      <sheetName val="Checklist"/>
      <sheetName val="Laudo vida útil"/>
      <sheetName val="Seleção e Teste"/>
      <sheetName val="Seleção Baixa"/>
      <sheetName val="Confronto Patrimonial"/>
      <sheetName val="Confronto Patrimonial x BC "/>
      <sheetName val="Sample size Adições"/>
      <sheetName val="Movimentação &amp; Cálculo Global"/>
      <sheetName val="Imobilizado - Composição"/>
      <sheetName val="Adiantamento Imob. Forn. Nac."/>
      <sheetName val="Vida útil Imobilizado"/>
      <sheetName val="Justificativas Compras Máquinas"/>
      <sheetName val="Desp implantação - Amortização"/>
      <sheetName val="Comodatos depreciação"/>
      <sheetName val="Comodatos"/>
      <sheetName val="Tributos Diferidos"/>
      <sheetName val="Terrenos e Prop. Imobiliárias"/>
      <sheetName val="Patrimônio 31.12.2010"/>
      <sheetName val="Baixas por venda"/>
      <sheetName val="Histórico de moagem"/>
      <sheetName val="Relatório patrimonial 31.12.14"/>
      <sheetName val="Relatório patrimonial 30.09.14"/>
      <sheetName val="3. Depreciação Global"/>
      <sheetName val="4. Seleção"/>
      <sheetName val="Escrituras"/>
      <sheetName val="Composições"/>
      <sheetName val="População"/>
      <sheetName val="População Adição"/>
      <sheetName val="Média ponderada Depreciação"/>
      <sheetName val="&quot;Transitórias&quot;"/>
      <sheetName val="Composição adição 2012"/>
      <sheetName val="Teste Saldo 2011"/>
      <sheetName val="Teste Adição 2012"/>
      <sheetName val="Teste Saldo"/>
      <sheetName val="População - Imob. Andamento"/>
      <sheetName val="Composição do imobilizado"/>
      <sheetName val="Aquisição de imobilizado"/>
      <sheetName val="Posição Patrimonial"/>
      <sheetName val="Provisões "/>
      <sheetName val="Composição - Imobilizado em and"/>
      <sheetName val="Teste saldo Inicial "/>
      <sheetName val="Teste Adição e Baixa"/>
      <sheetName val="Adiantamento Fornecedores"/>
      <sheetName val="Teste de bens Baixados"/>
      <sheetName val="P4 - PAS de depreciação"/>
      <sheetName val="P6 - Teste de bens Baixados"/>
      <sheetName val="P5 - Log teste de adição"/>
      <sheetName val="P6 - Saldo Inicial"/>
      <sheetName val="Log teste de bens baixados"/>
      <sheetName val="Custo 06.2009"/>
      <sheetName val="Depreciação 06.2009"/>
      <sheetName val="NE 9"/>
      <sheetName val="Mapa do Imobilizado Dez.06"/>
      <sheetName val="Depreciação Dez.06"/>
      <sheetName val="Mvt Imobilizado"/>
      <sheetName val="Seleção (2)"/>
      <sheetName val="Composição Patrimonial (2)"/>
      <sheetName val="Mov_Ações"/>
      <sheetName val="18,1"/>
      <sheetName val="Apropriações ao Custo - Out"/>
      <sheetName val="Mapa de Resultado"/>
      <sheetName val="Deposito Judicial"/>
      <sheetName val="ROL"/>
      <sheetName val="Mutação do PL Trimestral"/>
      <sheetName val="NE Trans. não envolvendo caixa"/>
      <sheetName val="Devolução"/>
      <sheetName val="P1 Resumo dos Saldos "/>
      <sheetName val="P2 Mapa Imobilizado-Fortuna"/>
      <sheetName val="P2.2 Imob em Andamento Fortuna"/>
      <sheetName val="P3 Mapa Imobilizado-Luz"/>
      <sheetName val="P2.1 PAS de Depreciação-Fortuna"/>
      <sheetName val="P3.1 PAS de Depreciação-Luz"/>
      <sheetName val="P2.3 Teste Sdo Inicial Fortuna"/>
      <sheetName val="P3.2 Teste Saldo Inicial Luz"/>
      <sheetName val="P2.4 Teste Adições Fortuna"/>
      <sheetName val="P3.3 Teste Adições Luz"/>
      <sheetName val="P4 Teste de Baixas"/>
      <sheetName val="P5 Analitico Depreciação"/>
      <sheetName val="(0) Resumo"/>
      <sheetName val="(1) Mapa de Imobilizado "/>
      <sheetName val="(2) Mapa de depreciação"/>
      <sheetName val="(3) Análise de variação"/>
      <sheetName val="(4) Pas de Depreciação"/>
      <sheetName val="(5) IPE"/>
      <sheetName val="(5.1) IPE Adição"/>
      <sheetName val="(6) Teste de adição"/>
      <sheetName val="(8) Provisão SBC"/>
      <sheetName val="1.Resumo"/>
      <sheetName val="Mapa de Imobilizado "/>
      <sheetName val="Sampling Sample Size Table"/>
      <sheetName val="Capitalização Juros-Imob. Andam"/>
      <sheetName val="Importaçoes em Andamento"/>
      <sheetName val="Baixas Inventário"/>
      <sheetName val="Análise - CAPEX"/>
      <sheetName val="Dep. Fiscal"/>
      <sheetName val="Dep. Deemed Cost"/>
      <sheetName val="Dep. Vida ùtil"/>
      <sheetName val="Depreciação fiscal"/>
      <sheetName val="Depreciação custo atribuido"/>
      <sheetName val="Controle C. Atribuido"/>
      <sheetName val="NE Controladora"/>
      <sheetName val="NE Consolidado"/>
      <sheetName val="1|Audit Program"/>
      <sheetName val="2|Movimentação"/>
      <sheetName val="2.B|Detalhe Baixas"/>
      <sheetName val="3|Detalhe Adições"/>
      <sheetName val="4|Global Depreciação"/>
      <sheetName val="4.1|Validações - Global"/>
      <sheetName val="5|Detalhe Despesas Manutenção"/>
      <sheetName val="NE Vidas úteis"/>
      <sheetName val="Imobilizado e Intangível"/>
      <sheetName val="Imob. Andamento 31.12"/>
      <sheetName val="Obsolescência"/>
      <sheetName val="Global Depreciação 30.09"/>
      <sheetName val="Detalhe Adições 30.09"/>
      <sheetName val="IPE 100% Depreciados"/>
      <sheetName val="100% Depreciados"/>
      <sheetName val="Validação 100% depreciados"/>
      <sheetName val="Vida Útil"/>
      <sheetName val="Estimativa"/>
      <sheetName val="Movimentação Intangível"/>
      <sheetName val="Sist. Pat. Imobilizado"/>
      <sheetName val="Detalhe Baixa Saldo Inicial"/>
      <sheetName val="Análise Vida Útil"/>
      <sheetName val="Movim. Imobilizado 30.09.2009"/>
      <sheetName val="Sist. Patrimonial Imobilizado"/>
      <sheetName val="Ativo Fixo e Contábil"/>
      <sheetName val="Movimentação de Imobilizado"/>
      <sheetName val="Depreciação do Imobilizado"/>
      <sheetName val="Inspeção Fisíca"/>
      <sheetName val="Análise Máquinas e Equipamentos"/>
      <sheetName val="Estoque em poder de terceiros"/>
      <sheetName val="Sheet3"/>
      <sheetName val="Fornecedores"/>
      <sheetName val="Sheet5"/>
      <sheetName val="Sheet6"/>
      <sheetName val="Imob. Poder Terceiros"/>
      <sheetName val="Validação do relatório"/>
      <sheetName val="Teste de adição 31.10"/>
      <sheetName val="DIF FAT FEV 01"/>
      <sheetName val="DRE"/>
      <sheetName val="BP"/>
      <sheetName val="Rollfoward Procedures 30.09.10"/>
      <sheetName val="PAS Depreciação_2010"/>
      <sheetName val="Teste de Controle e Adições"/>
      <sheetName val="1. Planejamento"/>
      <sheetName val="2. Tabela DAAM"/>
      <sheetName val="5. Teste de Adições"/>
      <sheetName val="6. PAS de Depreciação"/>
      <sheetName val="P7. Teste de Baixas"/>
      <sheetName val="PAS Fopag"/>
      <sheetName val="Scenario_Analysis"/>
      <sheetName val="P3-Movimentação"/>
      <sheetName val="P4-Overall"/>
      <sheetName val="P5-Parâmetro"/>
      <sheetName val="P6-Adições"/>
      <sheetName val="P7-Baixas"/>
      <sheetName val="P8-Bonus"/>
      <sheetName val="Ativos ALBACORA 12-06"/>
      <sheetName val="P6-Parâmetro"/>
      <sheetName val="P7-Adição"/>
      <sheetName val="P8-Baixa"/>
      <sheetName val="P1 _ Sumário "/>
      <sheetName val="P2 _ Lead"/>
      <sheetName val="P3 _ Adição Imobilizado"/>
      <sheetName val="P4 _ Vouching"/>
      <sheetName val="P5 _ Mutação do Imobilizado"/>
      <sheetName val="P6 _ Global de depreciação"/>
      <sheetName val="P7 _ Parâmetro"/>
      <sheetName val="P5 - Mutação do Imobilizado"/>
      <sheetName val="P6 - Global de depreciação"/>
      <sheetName val="P7 - Parâmetro"/>
      <sheetName val="Mov Imobilizado (31.12.2008)"/>
      <sheetName val="Vouching"/>
      <sheetName val="Overall Depreciação(31.12.2008)"/>
      <sheetName val="Para Referência Report"/>
      <sheetName val="Global de Depre_311009"/>
      <sheetName val="Recálculo da Exaustão"/>
      <sheetName val="100%_Depreciados_311009"/>
      <sheetName val="100%_Depreciados_300909"/>
      <sheetName val="Global de Depre_300609"/>
      <sheetName val="100%_Depreciados_300609"/>
      <sheetName val="Global de Depre_310309"/>
      <sheetName val="100%_Depreciados_310309"/>
      <sheetName val="Saldo de Abertura"/>
      <sheetName val="Adiantamentos a Fornecedores"/>
      <sheetName val="Global de Depre_300909"/>
      <sheetName val="Global depreciação 30.04.08"/>
      <sheetName val="Teste detalhe de adições Abr08"/>
      <sheetName val="Base de seleção Adi. Imo. 31.10"/>
      <sheetName val="Teste detalhe de adições Out08"/>
      <sheetName val="Base seleção dez.08"/>
      <sheetName val="Teste detalhe de adições Dez08"/>
      <sheetName val="Teste de Detalhe_132108"/>
      <sheetName val="Global de Depre_31122009"/>
      <sheetName val="100% Depreciados_311209"/>
      <sheetName val="Voucher - Adições Imob."/>
      <sheetName val="Detalhe de Depreciação"/>
      <sheetName val="Cálculo_Amostra Voucher"/>
      <sheetName val="Seleção fisica lojas"/>
      <sheetName val="TCalc"/>
      <sheetName val="Voucher de Adições Imobilizado"/>
      <sheetName val="Detalhe Despesa com Deprecião"/>
      <sheetName val="Capitalização"/>
      <sheetName val="Schedule 1 "/>
      <sheetName val="Schedule 2"/>
      <sheetName val="Comp. do imob. andamento"/>
      <sheetName val="Teste detalhe projetos"/>
      <sheetName val="Imóveis destinados a venda"/>
      <sheetName val="Imobilizado dado em garantia"/>
      <sheetName val="Imobilizado dado garantia 31.12"/>
      <sheetName val="PPC Depreciação"/>
      <sheetName val="ShellsolD60"/>
      <sheetName val="DAAM - 5440"/>
      <sheetName val="Mapa Imobilizado NG + UCE"/>
      <sheetName val="Mapa NG - Cindido"/>
      <sheetName val="Mapa Imobilizado UPA"/>
      <sheetName val="Mapa Diferido - UPA"/>
      <sheetName val="Baixa Reavaliação"/>
      <sheetName val="Depreciaçã - Entre Safra - NG"/>
      <sheetName val="Parâmetro NG"/>
      <sheetName val="Parâmetro UPA"/>
      <sheetName val="Mapa de imobilizado e PAS 30.11"/>
      <sheetName val="Mapa de imobilizado e PAS 31.12"/>
      <sheetName val="Teste de Adição "/>
      <sheetName val="Parâmetro 31.11"/>
      <sheetName val="Parâmetro 31.12"/>
      <sheetName val="Mapa de imobilizado e PAS"/>
      <sheetName val="Mapa de imobilizado e PAS (2)"/>
      <sheetName val="Integridade Imobilizado"/>
      <sheetName val="Mapa de Imob. 31.12.2013"/>
      <sheetName val="Mapa de Imob. 30.09.2013"/>
      <sheetName val="Imobilizado 31.12.2010"/>
      <sheetName val="Imobilizado 30.09.10"/>
      <sheetName val="Reavaliação da Vida Útil"/>
      <sheetName val="Teste de adições do imobilizado"/>
      <sheetName val="Rollforward Procedures"/>
      <sheetName val="Diferido e Intangível"/>
      <sheetName val="Tabela seleção"/>
      <sheetName val="3. Depreciação Reavaliação"/>
      <sheetName val="4. Teste de Depreciação"/>
      <sheetName val="5. S.I. Imob. em andamento"/>
      <sheetName val="6. Imob. em Andamento"/>
      <sheetName val="8.1 Check list Impairment"/>
      <sheetName val="8.2 Impairment"/>
      <sheetName val="NE9"/>
      <sheetName val="4. Gastos Desenvolv"/>
      <sheetName val="4. Carta Comentário"/>
      <sheetName val="Mapa Imobilizado - Dez (2)"/>
      <sheetName val="Mapa Imobilizado - Dez"/>
      <sheetName val="Mapa Imobilizado - Set"/>
      <sheetName val="Determinação de Amostras"/>
      <sheetName val="Suporte NE Imobilizado"/>
      <sheetName val="Mapa de Mov. BRGAAP"/>
      <sheetName val="Mapa de Mov. Fiscal"/>
      <sheetName val="Para Ref. NE"/>
      <sheetName val="Deprec. Leasing 2007"/>
      <sheetName val="Para Ref. Rel."/>
      <sheetName val="Mapa de Mov. Imob."/>
      <sheetName val="NE - 31-12-2010"/>
      <sheetName val="Resumo ajuste sobre Laudo Av"/>
      <sheetName val="Ajuste no Laudo de Avaliação"/>
      <sheetName val="Composição-Deprec. Avaliados"/>
      <sheetName val="Laudo de Avaliação 1981"/>
      <sheetName val="Seleção - adição"/>
      <sheetName val="Recálculo Depreciação"/>
      <sheetName val="Relatório patrimonial 31.12"/>
      <sheetName val="Mapa 31.08.02"/>
      <sheetName val="ODI jan"/>
      <sheetName val="ODI fev"/>
      <sheetName val="ODI mar"/>
      <sheetName val="TRANSF. para Imob. em Serviço"/>
      <sheetName val="BAIXAS Imob. Serviço"/>
      <sheetName val="Log File imob curso"/>
      <sheetName val="Seleção imob curso"/>
      <sheetName val="Log File matl dep"/>
      <sheetName val="Seleção matl dep"/>
      <sheetName val="Log File comp em and"/>
      <sheetName val="Seleção compras em andam"/>
      <sheetName val="EMS - Mapa Imobi. &amp; PAS Depr."/>
      <sheetName val="TOPZ- Mapa Imobi. &amp; PAS Depr."/>
      <sheetName val="GERMED - Mapa Imobi. &amp; PAS Dep"/>
      <sheetName val="Imob. Paralizado"/>
      <sheetName val="Mapa de Mov. &amp; PAS Deprec."/>
      <sheetName val="Mapa Imobilizado 30.09"/>
      <sheetName val="Despesas manutenção"/>
      <sheetName val="Details"/>
      <sheetName val="1. Mapa Movimentação - Moët"/>
      <sheetName val="4. Sample Size"/>
      <sheetName val="P7. Diferido"/>
      <sheetName val="Certificate"/>
      <sheetName val="PAS deprec."/>
      <sheetName val="Teste de Adições e Baixas 31.12"/>
      <sheetName val="Mapa {PPE}"/>
      <sheetName val="B - MAPA RTT"/>
      <sheetName val="C - PAS Deprec."/>
      <sheetName val="D - Teste adições"/>
      <sheetName val="RF - Principais Variações"/>
      <sheetName val="Log 1"/>
      <sheetName val="Log 2"/>
      <sheetName val="Macro1"/>
      <sheetName val="Deprec. Edificações"/>
      <sheetName val="Adição 31.12"/>
      <sheetName val="NE Quadro 01"/>
      <sheetName val="NE Quadro 02"/>
      <sheetName val="Mov. Imobilizado 31-12"/>
      <sheetName val="Obras 30-09 e 31-12"/>
      <sheetName val="Obras 2011"/>
      <sheetName val="DBOT"/>
      <sheetName val="Mov. Imobilizado 30-09"/>
      <sheetName val="Adições - Importações"/>
      <sheetName val="Sub-estação CEMIG"/>
      <sheetName val="P2.1 Adiantamento Imobilizado"/>
      <sheetName val="P1. Sumario"/>
      <sheetName val="P.2 Mapa de Imobilizado"/>
      <sheetName val="P.3 PAS de Depreciação"/>
      <sheetName val="P.4 Teste de Adição"/>
      <sheetName val="P.5 Teste de Baixa"/>
      <sheetName val="P.6 IPE"/>
      <sheetName val="P.7 Sample Size "/>
      <sheetName val="4. Adições"/>
      <sheetName val="5. PAS de Depreciação"/>
      <sheetName val="1.1 Composição Analítica Imob"/>
      <sheetName val="OPEN NOTA PARA ENDERECAR"/>
      <sheetName val="(1) Mapa de movimentação"/>
      <sheetName val="(2) PAS - Depreciação"/>
      <sheetName val="(3) Teste de Adição 31.12"/>
      <sheetName val="P5. Sample size and threshold"/>
      <sheetName val="1. Mapa"/>
      <sheetName val="2. PAS Depreciação Local"/>
      <sheetName val="3. Teste Adição"/>
      <sheetName val="P2. Mapa Consolidado - Local"/>
      <sheetName val="P1. Mapa Out e Dez.10"/>
      <sheetName val="PAS de Adições e Baixas"/>
      <sheetName val="P3. PAS Depreciação - Local"/>
      <sheetName val="Lead IFRS"/>
      <sheetName val="P4. Mapa IFRS"/>
      <sheetName val="P5. PAS Depreciação IFRS"/>
      <sheetName val="P6. Efeitos no IR 31.10"/>
      <sheetName val="P7. Impairment IFRS"/>
      <sheetName val="Ajustes off book"/>
      <sheetName val="P9. Depreciação Murex"/>
      <sheetName val="P1. Mapa Imobilizado - 31.10"/>
      <sheetName val="P8. IR.CS Diferido"/>
      <sheetName val="P9. Imobilizado Murex"/>
      <sheetName val="(1a) L1 X L2 Set-08"/>
      <sheetName val="PAS Depreciação Set.09"/>
      <sheetName val="PAS Depreciação IFRS"/>
      <sheetName val="Efeitos no IR 31.10"/>
      <sheetName val="Impairment IFRS"/>
      <sheetName val="IR.CS Diferido"/>
      <sheetName val="Imobilizado Murex"/>
      <sheetName val="b2win"/>
      <sheetName val="P1. Rollforward"/>
      <sheetName val="P2. Mapa Mov."/>
      <sheetName val="P4. Teste Saldo Inicial"/>
      <sheetName val="1. Mapa Movimentação Societário"/>
      <sheetName val="xxxxx"/>
      <sheetName val="P2. PAS Depreciação Societário"/>
      <sheetName val="P3. Mapa Movimentação Pacote"/>
      <sheetName val="P4. PAS Depreciação Pacote"/>
      <sheetName val="Impairment - vida útil"/>
      <sheetName val="2.  PAS Depreciação - Local"/>
      <sheetName val="1. Mapa 31.12"/>
      <sheetName val="2. PAS Depreciação Local 31.12"/>
      <sheetName val="NE 31DEZ2013"/>
      <sheetName val="Teste de aquisições"/>
      <sheetName val="RestauranteLevantamento"/>
      <sheetName val="Relatório Adições {PPE} 30.09"/>
      <sheetName val="Relatório de Adições {PPE}31.12"/>
      <sheetName val="PAS HBI"/>
      <sheetName val="PAS HBII"/>
      <sheetName val="Balancete HBII"/>
      <sheetName val="Relatório Adições {PPE}"/>
      <sheetName val="NE 2"/>
      <sheetName val="NE 3"/>
      <sheetName val="Análise do custo atribuído"/>
      <sheetName val="Conciliação EY 1ª"/>
      <sheetName val="Composição Imobilizado 1ª"/>
      <sheetName val="Conciliação EY"/>
      <sheetName val="Detalhe Baixa 31.12"/>
      <sheetName val="2. Apresentação Líquida"/>
      <sheetName val="4. Teste adição"/>
      <sheetName val="5. Teste das baixas"/>
      <sheetName val="6. Imobilizado em andamento"/>
      <sheetName val="7. Depreciação"/>
      <sheetName val="8.Taxa ponderada"/>
      <sheetName val="9. Veículos Pesados - vida útil"/>
      <sheetName val="Testes de IPE"/>
      <sheetName val="Mapa e PAS Depreciação Dez13"/>
      <sheetName val="Mapa e PAS Depreciação set13"/>
      <sheetName val="Transf Internas Saídas"/>
      <sheetName val="Imobilizado em Andamento set13"/>
      <sheetName val="Revisão de Vida Útil"/>
      <sheetName val="CNT"/>
      <sheetName val="Cogen"/>
      <sheetName val="Params"/>
      <sheetName val="Output Apresentação"/>
      <sheetName val="Fixed Assets"/>
      <sheetName val="2. Mapa Movimentação"/>
      <sheetName val="3. Teste de Adição 30.09"/>
      <sheetName val="3.1 Teste de Adição 31.12"/>
      <sheetName val="4. PAS Deprecição"/>
      <sheetName val="CFLOW"/>
      <sheetName val="NOTES "/>
      <sheetName val="Imob. em Andamento - SI"/>
      <sheetName val="U.S. Targeted Investors"/>
      <sheetName val=" Fluxo"/>
      <sheetName val="Imobilizado - 3006"/>
      <sheetName val="1. Teste de Inspeção "/>
      <sheetName val="1.1 Teste de Inspeção"/>
      <sheetName val="2.Mapa de movimentação"/>
      <sheetName val="3. Depreciação"/>
      <sheetName val="AJE"/>
      <sheetName val="budget+act 18-19"/>
      <sheetName val="budget CC 19-20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P Ref. Relatório"/>
      <sheetName val="P1-Rollforward"/>
      <sheetName val="P2-Análise de Variação"/>
      <sheetName val="P5-Teste de Saldo Inicial"/>
      <sheetName val="P6-Teste de Adição"/>
      <sheetName val="P7-Máquinas em Locação"/>
      <sheetName val="P2-Mapa do Imobilizado"/>
      <sheetName val="P3-PAS Depreciação"/>
      <sheetName val="P4-Teste de Saldo Inicial"/>
      <sheetName val="P5-Teste de Adição"/>
      <sheetName val="P6-Máquinas em Locação"/>
      <sheetName val="Threshold PAS"/>
      <sheetName val="P1.Procedimentos"/>
      <sheetName val="P2.Mapa do Imobilizado"/>
      <sheetName val="P3.PAS de Depreciação"/>
      <sheetName val="P5. Maquinas em Locação"/>
      <sheetName val="% COMP HE"/>
      <sheetName val="N COMP"/>
      <sheetName val="RGR Semesa"/>
      <sheetName val="ASSUM"/>
      <sheetName val="RP-101.2.1."/>
      <sheetName val="c01"/>
      <sheetName val="bpl"/>
      <sheetName val="Sample_Size"/>
      <sheetName val="Teste_Detalhes"/>
      <sheetName val="Global_Depreciação"/>
      <sheetName val="Controle_Patrimonial"/>
      <sheetName val="Nota_explicativa"/>
      <sheetName val="Movimentação_(2009)"/>
      <sheetName val="Teste_de_saldo_inicial"/>
      <sheetName val="PAS_de_Depreciação"/>
      <sheetName val="Teste_Adição"/>
      <sheetName val="Teste_Baixa"/>
      <sheetName val="Comp__Equip__Deposito"/>
      <sheetName val="TO_DO"/>
      <sheetName val="Cont__Patrimonial"/>
      <sheetName val="Seleção_Adição"/>
      <sheetName val="Composição_Intangível"/>
      <sheetName val="Depreciação_Global"/>
      <sheetName val="Resumo_dos_Riscos"/>
      <sheetName val="Safra_Cana"/>
      <sheetName val="Global_Exaustão"/>
      <sheetName val="Teste_de_Depreciação"/>
      <sheetName val="Teste_de_Adições"/>
      <sheetName val="Teste_Vasilhames"/>
      <sheetName val="Classes_ANP"/>
      <sheetName val="Teste_de_Baixas"/>
      <sheetName val="Rollforward_Imobilizado"/>
      <sheetName val="Movimentação_do_Imobilizado"/>
      <sheetName val="Composição_das_Adições"/>
      <sheetName val="Inspeção_física"/>
      <sheetName val="At__Permanente_-_Dez_-_03"/>
      <sheetName val="Mapa_Movimentação1"/>
      <sheetName val="Cálculo_Depreciação"/>
      <sheetName val="Composição_(PPC)"/>
      <sheetName val="Teste_Adições1"/>
      <sheetName val="Teste_Baixas"/>
      <sheetName val="Mapa_de_Movimentação"/>
      <sheetName val="Comp__Imob__09-01"/>
      <sheetName val="Comp__Imóveis"/>
      <sheetName val="Cálculo_de_Depreciação"/>
      <sheetName val="Teste_Saldo_Incial"/>
      <sheetName val="Det_dos_Parâmetros"/>
      <sheetName val="Log_SI"/>
      <sheetName val="mapa_de_imobilizado_(DEZ)"/>
      <sheetName val="global_de_depreciação_(DEZ)"/>
      <sheetName val="Mapa_Mov_Imob_(OUT)"/>
      <sheetName val="Teste_Depreciação_(OUT)"/>
      <sheetName val="Linhas_Telefônicas_(OUT)"/>
      <sheetName val="Saldo_inicial"/>
      <sheetName val="Mapa_de_Movimentação_31_08_03"/>
      <sheetName val="Teste_de_Adições_"/>
      <sheetName val="Nota_Explic"/>
      <sheetName val="PAS_Depreciação1"/>
      <sheetName val="Direito_Uso_Lavra"/>
      <sheetName val="Analise_IPC"/>
      <sheetName val="Teste_sdo_inicial_e_adições"/>
      <sheetName val="Command_Log"/>
      <sheetName val="Calculo_Deprec_"/>
      <sheetName val="Teste_Implantação_Sistema"/>
      <sheetName val="Mov__Imob_"/>
      <sheetName val="População_adições"/>
      <sheetName val="RG_Imobilizado"/>
      <sheetName val="Mapa_YKK_31_08"/>
      <sheetName val="PAS_Deprec__31_08"/>
      <sheetName val="Inspeção_Fisica"/>
      <sheetName val="Mapa_Mov_-_Imob"/>
      <sheetName val="Cálculo_Global_de_Deprec_"/>
      <sheetName val="Imoveis_-_Não_Operacional"/>
      <sheetName val="Mapa_Imob_"/>
      <sheetName val="Cálc__Deprec_"/>
      <sheetName val="Custo_X_Deprec_"/>
      <sheetName val="Direito_de_Uso_de_Lavra"/>
      <sheetName val="Consol_Geral"/>
      <sheetName val="Cons__Normal"/>
      <sheetName val="Cons_IPC"/>
      <sheetName val="Cálc_Global_DeprecX"/>
      <sheetName val="Insp_fís-baixas"/>
      <sheetName val="mOVIMENTAÇÃO_(PPC)"/>
      <sheetName val="Cálc__Global_de_Deprec_"/>
      <sheetName val="Mapa_Imob_2000"/>
      <sheetName val="Máq_MóveisFINAL"/>
      <sheetName val="Equip_Ferram_FINAL"/>
      <sheetName val="Equip_CampoFINAL"/>
      <sheetName val="Eq_Máq_MóveisFINAL"/>
      <sheetName val="Equip_VeículosFINAL"/>
      <sheetName val="Mapa_Imob"/>
      <sheetName val="Saldo_Residual"/>
      <sheetName val="Consolidado_Imobilizado"/>
      <sheetName val="Credi_21"/>
      <sheetName val="Confronto_Controle_Patrim"/>
      <sheetName val="Teste_Detalhe"/>
      <sheetName val="Teste_deprec_exaust"/>
      <sheetName val="Teste_taxas_depreciacao"/>
      <sheetName val="Resumo_Lead"/>
      <sheetName val="Mapa_Mov__Reavaliação"/>
      <sheetName val="Teste_de_adição"/>
      <sheetName val="Adto__a_fornecedor"/>
      <sheetName val="Abertura_transf__31_10_07"/>
      <sheetName val="Mapa_Mov__Imobilizado"/>
      <sheetName val="PAS_-_Depreciação_BRGAAP"/>
      <sheetName val="Teste_Saldo_Inicial"/>
      <sheetName val="Depreciação_IFRS"/>
      <sheetName val="PAS_-_Depreciação"/>
      <sheetName val="PAS_-_Depreciação_IFRS"/>
      <sheetName val="IFRS_31-12"/>
      <sheetName val="IFRS_30-11"/>
      <sheetName val="Mapa_Imobilizado_(PPC)"/>
      <sheetName val="PAS_Diferido"/>
      <sheetName val="Parâmetro_Diferido"/>
      <sheetName val="Adições_Imobilizado"/>
      <sheetName val="Teste_Complementar"/>
      <sheetName val="Mapa_Imobilizado_{ppc}"/>
      <sheetName val="Teste_Adições_"/>
      <sheetName val="Contabilização_PIS"/>
      <sheetName val="mp__mov__31_12_{ppc}"/>
      <sheetName val="PAS_depr__31_12"/>
      <sheetName val="depr__detalhes"/>
      <sheetName val="teste_SI_31_12_01"/>
      <sheetName val="teste_adic__31_12"/>
      <sheetName val="log_adic"/>
      <sheetName val="Threshold_Calc"/>
      <sheetName val="Mapa_Mov__Jan__a_Dez_2005"/>
      <sheetName val="Teste_Saldo_Inicial_Imob_"/>
      <sheetName val="PAS_Deprec__Imob__Rodov_"/>
      <sheetName val="PAS_Deprec__Demais_Itens"/>
      <sheetName val="saldo_inicial_"/>
      <sheetName val="Cálculo_Parâmetro_R_0,7"/>
      <sheetName val="Níveis_Parâmetro"/>
      <sheetName val="Ativo_Imobil__Depr__{PPC}"/>
      <sheetName val="PAS_Deprec__Rodovias"/>
      <sheetName val="Mapa_{ppc}"/>
      <sheetName val="Mapa_Diferido"/>
      <sheetName val="Selecionados_SI_imobilizado_Bar"/>
      <sheetName val="Mapa_Mov__e_PAS_Deprec"/>
      <sheetName val="Mapa_diferido_{ppc}"/>
      <sheetName val="PAS_Depreciação_e_amortização"/>
      <sheetName val="Log_Adição_e_Saldo_Inicial"/>
      <sheetName val="Comp_Imobilizado_31_03_08_"/>
      <sheetName val="Mapa_de_Imobilizado"/>
      <sheetName val="Obras_em_Andamento_Período"/>
      <sheetName val="Obras_em_Andamento_Total"/>
      <sheetName val="Abertura_por_Unidade"/>
      <sheetName val="Imobilizado_em_Andto_"/>
      <sheetName val="Mapa_mov_e_PAS_Depreciação"/>
      <sheetName val="Resultado_exercício"/>
      <sheetName val="Evolução_Custo_e_Depreciação"/>
      <sheetName val="Movimentação_CBB"/>
      <sheetName val="Teste_adicoes-baixas-transf"/>
      <sheetName val="Prov__Perd_{PPC}"/>
      <sheetName val="Mapa_Mov__OUT_2000"/>
      <sheetName val="Mapa_Mov__DEZ_2001"/>
      <sheetName val="NE_e_base_DOAR"/>
      <sheetName val="Mapa_Imob__e_Depr__Acum_{ppc}"/>
      <sheetName val="Seleção_Adições_Imobilizado"/>
      <sheetName val="Log_Adições1"/>
      <sheetName val="Seleção_Saldo_Inicial_Imobiliza"/>
      <sheetName val="Log_Saldo_Inicial"/>
      <sheetName val="Summary_Page"/>
      <sheetName val="Abertura_Lead"/>
      <sheetName val="Resumo_Ajustes"/>
      <sheetName val="P3_Mapa_EMS_-_2006"/>
      <sheetName val="Base_DOAR"/>
      <sheetName val="P11_Imob_andto_EMS"/>
      <sheetName val="P1_Mapa_EMS_-_2004"/>
      <sheetName val="P2_Mapa_EMS_-_2005"/>
      <sheetName val="P4_Mapa_Nat_-_2004"/>
      <sheetName val="P5_Mapa_Nat_-_2005"/>
      <sheetName val="P6_Mapa_Nat_-_2006"/>
      <sheetName val="P7_Mapas_Sigma"/>
      <sheetName val="P8_Saldo_Inicial"/>
      <sheetName val="P9_Deprec_Saldo_Inicial"/>
      <sheetName val="P10_Teste_de_Adiçoes"/>
      <sheetName val="P12_Paralisados"/>
      <sheetName val="P13_Teste_de_Baixas"/>
      <sheetName val="Cálculo_Parâmetro_-_2004"/>
      <sheetName val="Cálculo_Parâmetro_-_2005_"/>
      <sheetName val="Cálculo_Parâmetro_-_2006"/>
      <sheetName val="Mapa_de_Movimentação_2007"/>
      <sheetName val="PAS_Depreciação__31_12_07"/>
      <sheetName val="Cálculo_Deprec_Imobiliz_Andam"/>
      <sheetName val="1__Mapa_movimentação"/>
      <sheetName val="2_1-_Teste_Adição_31_12"/>
      <sheetName val="2_2-_Teste_Adição_31_10"/>
      <sheetName val="3_1-_Teste_depreciação_31_12"/>
      <sheetName val="3_2-_Teste_depreciação_31_10"/>
      <sheetName val="4__Teste_Baixa"/>
      <sheetName val="PAS_-_Depreciação_-_dez"/>
      <sheetName val="Teste_de_Adições_dez_04"/>
      <sheetName val="Teste_de_Adições_out_04"/>
      <sheetName val="PAS_-_Depreciação_-_out"/>
      <sheetName val="Razão_Depreciação_Diferido"/>
      <sheetName val="Ajuste_-_Deprec__Software"/>
      <sheetName val="Adições_31_10"/>
      <sheetName val="Adições_31_12"/>
      <sheetName val="PAS_-_Depreciação_31_12"/>
      <sheetName val="Ajuste_-_Deprec__Software_31_12"/>
      <sheetName val="Teste_de_Adições_31_12"/>
      <sheetName val="Teste_de_Baixas_31_12"/>
      <sheetName val="PAS_-_Depreciação_31_10"/>
      <sheetName val="Ajuste_-_Deprec__Software_31_10"/>
      <sheetName val="Imobilizado_-_PPC"/>
      <sheetName val="Teste_Depreciação"/>
      <sheetName val="Teste_Adições_Set-02"/>
      <sheetName val="Teste_Adições_Dez-02"/>
      <sheetName val="Log_Adições_Dez-02"/>
      <sheetName val="População_Set-02"/>
      <sheetName val="Log_Seleção_Set-02"/>
      <sheetName val="Mapa_CBMP"/>
      <sheetName val="PAS_Depreciação_CBMP"/>
      <sheetName val="Adições_CBMP"/>
      <sheetName val="Adição_Imob_Andamento_CBMP"/>
      <sheetName val="Adição_POS_CBMP"/>
      <sheetName val="Inspeção_física_POS"/>
      <sheetName val="Mapa_Servinet"/>
      <sheetName val="PAS_Depreciação_Servinet"/>
      <sheetName val="Adições_Servinet"/>
      <sheetName val="Adição_Veiculos_Servinet"/>
      <sheetName val="Análise_de_Variação"/>
      <sheetName val="Provisão_perda_POS_2005"/>
      <sheetName val="Adições_POS"/>
      <sheetName val="Teste_Adição_31_12_2007"/>
      <sheetName val="Teste_Adição_31_10_2007"/>
      <sheetName val="Teste_depreciação_31_12_2007"/>
      <sheetName val="Teste_depreciação_31_10_2007"/>
      <sheetName val="{PPC}_Mapa"/>
      <sheetName val="PAS_Maq__Reavaliadas"/>
      <sheetName val="PAS_Edificios_Reavaliados"/>
      <sheetName val="PAS_depreciação_30_09_07"/>
      <sheetName val="Controle_Andamento"/>
      <sheetName val="Teste_de_Adição_30_09_07"/>
      <sheetName val="Mapa_Imobilizado_e_Calc_Deprec_"/>
      <sheetName val="Movto_Imobilizado_311206"/>
      <sheetName val="Imóveis_destinados_venda"/>
      <sheetName val="Teste_Laudo_de_Reavaliação"/>
      <sheetName val="Laudo_Maq_e_Terrenos_{PPC}"/>
      <sheetName val="Laudo_Edifícios_{PPC}"/>
      <sheetName val="Teste_S__Inicial"/>
      <sheetName val="Teste_Imob__Andamento"/>
      <sheetName val="Roll_Forward"/>
      <sheetName val="Baixas_Imobilizado"/>
      <sheetName val="Teste_Construções_31_12_07"/>
      <sheetName val="PAS_depreciação_31_12_07"/>
      <sheetName val="Nota_Explicativa_31_12"/>
      <sheetName val="Mapa_e_PAS_Deprec_3110"/>
      <sheetName val="Mapa_de_movimentação_31_12"/>
      <sheetName val="Tubrasil_-_integ__capital"/>
      <sheetName val="Reavaliação_31_12"/>
      <sheetName val="Imb__Andamento_31_12"/>
      <sheetName val="Imob__Andamento_{PPC}_31_10"/>
      <sheetName val="jan_a_set_06"/>
      <sheetName val="NE_Imobilizado"/>
      <sheetName val="NE_Reaval_"/>
      <sheetName val="Mapa_Resumo_31_12"/>
      <sheetName val="Var__Saldos"/>
      <sheetName val="Reav__Imobiliz"/>
      <sheetName val="Mapa_Resumo_30_09"/>
      <sheetName val="Adições_3009"/>
      <sheetName val="NE_05"/>
      <sheetName val="Mapa_de_Imobilizado_{ppc}"/>
      <sheetName val="Tx__Deprec__Imobil__31_12"/>
      <sheetName val="Taxas_Depreciação_Imobilizado"/>
      <sheetName val="PAS_Ágio_31_12"/>
      <sheetName val="PAS_Ágio_30_09"/>
      <sheetName val="Teste_das_Adições"/>
      <sheetName val="Cálculo_Parâmetro"/>
      <sheetName val="Invest__Futuros_{ppc}"/>
      <sheetName val="{ppc}_Mapa_Mov_Imob_30_06_07"/>
      <sheetName val="{ppc}_Mapa_Depreciação_30_06_07"/>
      <sheetName val="Cálc__Global_Deprec__Pavim_"/>
      <sheetName val="Taxas_de_Deprec__Calculada"/>
      <sheetName val="{ppc}Mapa_Mov_Imob_31_12_07"/>
      <sheetName val="{ppc}Mapa_Depreciação_31_12_07_"/>
      <sheetName val="Cálc__Global_Depr__Pavim_30_06"/>
      <sheetName val="Cálc__Global_Depr__Pavim_31_12"/>
      <sheetName val="Taxa_Deprec__Calculada"/>
      <sheetName val="P1_Base_DOAR"/>
      <sheetName val="P2_Programa"/>
      <sheetName val="P3_Mapa_EMS"/>
      <sheetName val="P4_Mapa_Nat"/>
      <sheetName val="P5_Mapas_Sigma"/>
      <sheetName val="P6_Imob_andto_EMS"/>
      <sheetName val="P7_Teste_Saldo_Inicial"/>
      <sheetName val="P8_Teste_de_Adiçoes"/>
      <sheetName val="P9_Paralisados"/>
      <sheetName val="P10_Teste_de_Baixas"/>
      <sheetName val="PPC_Mapa_Imobilizado"/>
      <sheetName val="Teste_de_detalhe"/>
      <sheetName val="Mapa_IAS"/>
      <sheetName val="P13_Inventário"/>
      <sheetName val="Prov__Veículo"/>
      <sheetName val="Mapa_de_Movim_"/>
      <sheetName val="Excess_Calc"/>
      <sheetName val="Mapa_de_Movim__(Diferido)"/>
      <sheetName val="ICMS,_PIS_COFINS_Imob_"/>
      <sheetName val="Calc__Parâmetro"/>
      <sheetName val="Leasing_(2)"/>
      <sheetName val="Imobilizado_em_andamento_31_12"/>
      <sheetName val="Propriedades_Rurais"/>
      <sheetName val="Mapa_Imobilizado_31_10_e_31_12"/>
      <sheetName val="Mapa_Imob__IPC90_31_10_E_31_12"/>
      <sheetName val="PAS_-_Depreciação_31_10_e_31_12"/>
      <sheetName val="Teste_Adição_31_10_08"/>
      <sheetName val="Teste_Saldo_Inicial_31_12_07"/>
      <sheetName val="Adiantamentos_31_10_08"/>
      <sheetName val="Mapa_Imobilizado_31_10_08"/>
      <sheetName val="Mapa_Imobilizado_IPC90_31_10_08"/>
      <sheetName val="PAS_-_Depreciação_31_10_08"/>
      <sheetName val="Mapa_Imobilizado_IPC90_30_09_08"/>
      <sheetName val="Níveis_Parâmetro_(2)"/>
      <sheetName val="Sel__Imobilizado_-Saldo_Inicial"/>
      <sheetName val="Imobilizado_-_Adições"/>
      <sheetName val="Mapa_Movi_"/>
      <sheetName val="Mapa_Imobilizado_-_31_10"/>
      <sheetName val="Mapa_Diferido_-_31_10"/>
      <sheetName val="Mapa_-_31_12"/>
      <sheetName val="Diferido_-_31_12"/>
      <sheetName val="Resultado_CC"/>
      <sheetName val="Roolforward_Teste_31_12_2007"/>
      <sheetName val="Movimentação_Imobilizado1"/>
      <sheetName val="Mapa_e_PAS_Depreciação"/>
      <sheetName val="Mapa_Vila_Mariana"/>
      <sheetName val="Mapa_Rio_de_Janeiro"/>
      <sheetName val="Mapa_Manaus"/>
      <sheetName val="Mapa_MG"/>
      <sheetName val="PAS_Deprec__-_MG_1203"/>
      <sheetName val="Mapa_SP"/>
      <sheetName val="PAS_Deprec__-_SP_12_03"/>
      <sheetName val="Teste_de_adição_FMG"/>
      <sheetName val="Teste_de_Saldo_Inicial_FSP"/>
      <sheetName val="Teste_de_Saldo_InicialFMG"/>
      <sheetName val="Bens_Penhorados"/>
      <sheetName val="Nota_Explicativa_-_Reavaliação"/>
      <sheetName val="Nota_Explicativa_-_Reavalia_(2)"/>
      <sheetName val="Nota_do_Relatório"/>
      <sheetName val="Análise_variação_30_09"/>
      <sheetName val="Mapa_de_Movimentação_Julho_09"/>
      <sheetName val="PAS_Depreciação_2009"/>
      <sheetName val="Teste_adições_2009"/>
      <sheetName val="Teste_baixas_2009"/>
      <sheetName val="Base_Ajuste_leasing_set08"/>
      <sheetName val="Base_total_leasing"/>
      <sheetName val="Tabela_DTT"/>
      <sheetName val="Log_ACL"/>
      <sheetName val="P1_-_Lead"/>
      <sheetName val="P2_-_Composição"/>
      <sheetName val="P3_-_Teste"/>
      <sheetName val="P4_-_Log"/>
      <sheetName val="P2_-_Mapa_de_Movimentação"/>
      <sheetName val="P3_-_Testes_-_31_12_2008"/>
      <sheetName val="P4_-_Composição"/>
      <sheetName val="P5_-_Teste"/>
      <sheetName val="P6_-_Log"/>
      <sheetName val="Totalmente_Deprec"/>
      <sheetName val="Deprec_TRJ"/>
      <sheetName val="Deprec_TES"/>
      <sheetName val="BIA_TRJ"/>
      <sheetName val="BIA_TES"/>
      <sheetName val="Adições_TRJ"/>
      <sheetName val="Adições_TES"/>
      <sheetName val="Mov_"/>
      <sheetName val="Prog_"/>
      <sheetName val="An_Var_"/>
      <sheetName val="Txs_Depr_"/>
      <sheetName val="Depr_"/>
      <sheetName val="NBT_Lic"/>
      <sheetName val="Mat_"/>
      <sheetName val="Aj_Benf_"/>
      <sheetName val="Tco-Depr_AC"/>
      <sheetName val="Tgo-Depr_AC"/>
      <sheetName val="Tmt-Depr_AC"/>
      <sheetName val="Tms-Depr_AC"/>
      <sheetName val="Tro-Depr_AC"/>
      <sheetName val="Tac-Depr_AC"/>
      <sheetName val="Nbt-Depr_AC"/>
      <sheetName val="Relat_"/>
      <sheetName val="NBT_Amort_"/>
      <sheetName val="Tco-Ad-reclas_"/>
      <sheetName val="Tgo-Ad-recl_"/>
      <sheetName val="Tmt-Ad-recl_"/>
      <sheetName val="Tac-Ad-recl_"/>
      <sheetName val="Tro-Ad-recl_"/>
      <sheetName val="Tms-Ad-recl_"/>
      <sheetName val="Nbt-Ad-recl_"/>
      <sheetName val="IP-Ad-recl_"/>
      <sheetName val="Mov_por_empresa"/>
      <sheetName val="Mov__por_grupo"/>
      <sheetName val="Abertura_NBT"/>
      <sheetName val="Mapa_Mov__AGO_"/>
      <sheetName val="Teste_de_Baixa"/>
      <sheetName val="Depreciação_AGO_"/>
      <sheetName val="Mapa_de_Movimentação_30_11"/>
      <sheetName val="PAS_-_Depreciação_30_11"/>
      <sheetName val="Depreciação_Software_30_11"/>
      <sheetName val="Teste_de_Saldo_Inicial_30_11"/>
      <sheetName val="Plan_Movimentação"/>
      <sheetName val="Parâmetro_Deprec"/>
      <sheetName val="Calculo_Deprec_TRJ"/>
      <sheetName val="Mapa_Imobilizado_custo)"/>
      <sheetName val="Mapa_DTT"/>
      <sheetName val="Deprec__DTT"/>
      <sheetName val="Adições_Dez-06"/>
      <sheetName val="_Baixas_Dez-06"/>
      <sheetName val="Mapa_Movimentação_-_IG_Brasil"/>
      <sheetName val="PAS_Depreciação_-_IG_Brasil"/>
      <sheetName val="Mapa_do_Imobilizado"/>
      <sheetName val="Teste_de_Obras_em_andamento"/>
      <sheetName val="Mapa_do_Diferido"/>
      <sheetName val="Teste_Adições_Diferido"/>
      <sheetName val="P1_Lead"/>
      <sheetName val="P2_Mapa_Mov__Abrapp_Dez06"/>
      <sheetName val="P3_Mapa_Mov__Icss_Dez06"/>
      <sheetName val="P4_Mapa_Mov__Sindapp_Dez06"/>
      <sheetName val="P5_Cálculo_Depr__Abrapp_Dez06"/>
      <sheetName val="Mapa_Mov__Icss_Nov06"/>
      <sheetName val="Mapa_Mov__Sindapp_Nov06"/>
      <sheetName val="Mapa_Mov__Abrapp_Nov06"/>
      <sheetName val="Cálculo_Depr__Abrapp_Nov06"/>
      <sheetName val="Teste_Adição_Abrapp_Nov06"/>
      <sheetName val="Mapa_de_Movimentação_2009"/>
      <sheetName val="Análise_conta_transitória"/>
      <sheetName val="P2_-_Sumário"/>
      <sheetName val="P3-Mapa_Imobilizado_Consolidado"/>
      <sheetName val="P4-PAS_depreciação"/>
      <sheetName val="P5-Mapa_Imobilizado_São_Paulo"/>
      <sheetName val="P6-Mapa_Imobilizado_Manaus"/>
      <sheetName val="P7-Mapa_Imobilizado_MTD"/>
      <sheetName val="P8_-_Variação_Cambial_Adto_"/>
      <sheetName val="teste_saldo_inici_"/>
      <sheetName val="Rede_de_Cabos"/>
      <sheetName val="Mapa_Imobilizado_Relatório"/>
      <sheetName val="PAS_Decoders"/>
      <sheetName val="Depr__Reav__2005_-_Máquinas"/>
      <sheetName val="Deprec__de_Máq__Não_Reavaliadas"/>
      <sheetName val="Prédios_reavaliados"/>
      <sheetName val="PROJETOS_-_2006"/>
      <sheetName val="Mapa_de_Movimentação_{PPC}"/>
      <sheetName val="Teste_de_Movimentações"/>
      <sheetName val="Comp_Imobilizado_Andamento"/>
      <sheetName val="Abertura_relatório"/>
      <sheetName val="Mapa_de_Movimentação_PPC"/>
      <sheetName val="Mapa_de_Movimentação{PPC}"/>
      <sheetName val="Imob_em_Andamento"/>
      <sheetName val="Comp__Imobil_em_Andto"/>
      <sheetName val="Log_ACL-Inspeção_Física"/>
      <sheetName val="Projetos_em_andamento"/>
      <sheetName val="Mapa_de_Movimentação_30_06"/>
      <sheetName val="PAS_Depreciação_30_06_04"/>
      <sheetName val="Teste_Adições_Imob_em_Andamento"/>
      <sheetName val="Mapa_de_movimentacao_31_12_03"/>
      <sheetName val="PAS_Depreciação_31_12_03"/>
      <sheetName val="Teste_de_adição_e_baixas"/>
      <sheetName val="Penhora_Abril"/>
      <sheetName val="Itens_selecionados(teste_insp_)"/>
      <sheetName val="Log_file"/>
      <sheetName val="Movimentação_DOAR"/>
      <sheetName val="Mapa_Imob_1T06"/>
      <sheetName val="Variação_Obras_em_andamento"/>
      <sheetName val="Projetos_e_obras_em_andamento"/>
      <sheetName val="Reav__2005_Máquinas"/>
      <sheetName val="Reav__2005_Edifício_e_Terrenos"/>
      <sheetName val="Mapa_imob_2T06"/>
      <sheetName val="Deprec_Reav__2005_Máquinas"/>
      <sheetName val="Deprec_máquinas_não_reaval_"/>
      <sheetName val="Mapa_Imob_1T06_Ajustado"/>
      <sheetName val="Bens_dados_em_garantia"/>
      <sheetName val="Impairment_Test"/>
      <sheetName val="_Package_2008"/>
      <sheetName val="Movimentação_31_08_08-_30_09_08"/>
      <sheetName val="PAS_-_30_09_08"/>
      <sheetName val="PAS_-_31_08_08"/>
      <sheetName val="Mapa_BRGAAP"/>
      <sheetName val="_Saldo_Inicial"/>
      <sheetName val="Mapa_de_Movimentação_Societário"/>
      <sheetName val="Mapa_de_Movimentação_Report"/>
      <sheetName val="PAS_Depreciação_Societário"/>
      <sheetName val="Transitória_de_Imobilizado"/>
      <sheetName val="PAS_Depreciação_Report"/>
      <sheetName val="Teste_de_Inspeção_Física"/>
      <sheetName val="Log_Inspeção_Física"/>
      <sheetName val="Mapa_APMGAAP"/>
      <sheetName val="Adições_CBMP_30_06_06"/>
      <sheetName val="Inspeção_física_POS_30_06_06"/>
      <sheetName val="Adição_POS_CBMP_30_06_06"/>
      <sheetName val="Banco_Pinto_Sotto"/>
      <sheetName val="P3_-_PAS_Depreciação"/>
      <sheetName val="P4_-_Teste_de_Adição"/>
      <sheetName val="P5_-_Log_Adição"/>
      <sheetName val="P6_-_Nota_Relatório"/>
      <sheetName val="Detalhe_Depreciação"/>
      <sheetName val="Adições_e_Baixas"/>
      <sheetName val="P1_-_Sumário"/>
      <sheetName val="P2_-_Lead"/>
      <sheetName val="P3_-_Mapa_de_Movimentação"/>
      <sheetName val="P4_-_PAS_Depreciação"/>
      <sheetName val="P5_-_Teste_de_Adição"/>
      <sheetName val="P6_-_Teste_Saldo_Inicial"/>
      <sheetName val="P3-Mapa_do_Imobilizado_31_12"/>
      <sheetName val="P5-Seleção_das_adições_30_09"/>
      <sheetName val="P6-Complementar_Adições"/>
      <sheetName val="P7-Seleção_das_adições_31_12"/>
      <sheetName val="P8-Seleção_de_saldo_inicial"/>
      <sheetName val="P9-Complementar_saldo_inicial"/>
      <sheetName val="P10-Mov_Uten_31_12"/>
      <sheetName val="P11-Mov_Uten_30_09"/>
      <sheetName val="P12-Hardware_31_12"/>
      <sheetName val="P13-Hardware_baixa_31_12"/>
      <sheetName val="P14-Hardware_30_09"/>
      <sheetName val="P15-Dep_Outros_Ativos_31_12"/>
      <sheetName val="P16-Dep_Outros_Ativos_30_09"/>
      <sheetName val="P17-Dep_Software_31_12"/>
      <sheetName val="P18-Dep_Software_30_09"/>
      <sheetName val="P19-Dep_Dir_Uso_Software_31_12"/>
      <sheetName val="P20-Dep_Dir_Uso_Software_30_09"/>
      <sheetName val="P21-Dep_Veículos_31_12"/>
      <sheetName val="P22-Dep_Veículos_30_09"/>
      <sheetName val="P23-Dep_Melhoria_Imov_3os_31_12"/>
      <sheetName val="P24-Dep_Melhoria_Imov_3os_30_09"/>
      <sheetName val="Para_referencia"/>
      <sheetName val="Ativo_Fixo-Movimentação_30_09"/>
      <sheetName val="Depreciação_(PAS)"/>
      <sheetName val="Maquinas_Dep_5_anos"/>
      <sheetName val="Provisão_Bens_de_Uso"/>
      <sheetName val="Mapa_Relatório"/>
      <sheetName val="Teste_de_Depreciação_31_12_07"/>
      <sheetName val="Imob_em_Andamento_31_12_07"/>
      <sheetName val="Venda_CMI_Brasil_Imobil"/>
      <sheetName val="Movimentação_2"/>
      <sheetName val="Baixas_Tatuapé"/>
      <sheetName val="Relatórios_2002"/>
      <sheetName val="Movimentação_30_09_02"/>
      <sheetName val="Movimentação_31_12_02"/>
      <sheetName val="sdo_inicial"/>
      <sheetName val="Log_sdo_inicial"/>
      <sheetName val="Laudo_de_Avaliação_Fabrica_SP"/>
      <sheetName val="PAS_-_Depreciação_Report"/>
      <sheetName val="Teste_do_Saldo_Inicial"/>
      <sheetName val="Log@seleção_Saldo_Inicial"/>
      <sheetName val="Nota_Relatório"/>
      <sheetName val="Consulta_diferimento_gastos"/>
      <sheetName val="Composição_Baixas"/>
      <sheetName val="Adições_-_4_Quarter"/>
      <sheetName val="Depreciação_-_3_Quarter"/>
      <sheetName val="Adições_-_3_Quarter"/>
      <sheetName val="Depreciação_-_2_Quarter"/>
      <sheetName val="Adições_-_2_Quarter"/>
      <sheetName val="Depreciação_-_1_Quarter"/>
      <sheetName val="Adições_-_1_Quarter"/>
      <sheetName val="Teste_Nota"/>
      <sheetName val="Mapa_de_Movimentações"/>
      <sheetName val="LOG_-_Saldo_Inicial"/>
      <sheetName val="Composição_e_depreciação"/>
      <sheetName val="Teste_de_detalhes"/>
      <sheetName val="Mapa_Imobilizado_Consolidado"/>
      <sheetName val="Mapa_Imobilizado_-_31_12"/>
      <sheetName val="Mapa_Imobilizado_-_30_11_"/>
      <sheetName val="PAS_-_Depreciação_-_31_12"/>
      <sheetName val="PAS_-_Depreciação_-_30_11"/>
      <sheetName val="Teste_de_Detalhe_-_30_11"/>
      <sheetName val="Mapa_de_Movimentação-31_12_2006"/>
      <sheetName val="Teste_Baixas_31_12"/>
      <sheetName val="Teste_de_Adição_31_12"/>
      <sheetName val="Mapa_de_Movimentação_dez_07"/>
      <sheetName val="Mapa_de_Movimentação_out_07"/>
      <sheetName val="teste_detalhe_depreciação"/>
      <sheetName val="Mapa_de_Movimentação_"/>
      <sheetName val="PAS_Depreciação_31_12"/>
      <sheetName val="Imob__em_andamento_31_12"/>
      <sheetName val="Teste_de_Adições_30_09"/>
      <sheetName val="Resumo_Teste_Adiç__e_Baixas"/>
      <sheetName val="PAS__Depreciação_30_09"/>
      <sheetName val="1_Mapa_de_Movimentação_"/>
      <sheetName val="2__Resumo_Teste_Adiç__e_Baixas"/>
      <sheetName val="3__Teste_de_Adição"/>
      <sheetName val="4__Teste_de_Baixas"/>
      <sheetName val="5__PAS__Depreciação"/>
      <sheetName val="Teste_Imobilização_em_andamento"/>
      <sheetName val="1_Mapa_de_Movimentação_Jun08"/>
      <sheetName val="2_PAS_Depreciação_Jun08"/>
      <sheetName val="1__Mapa_de_Movimentação_Abr_08"/>
      <sheetName val="PAS_Depreciação_Abr_08"/>
      <sheetName val="Para_relatório"/>
      <sheetName val="Mapa_31_12"/>
      <sheetName val="Teste_Adição_31_12"/>
      <sheetName val="Depreciação_31_12"/>
      <sheetName val="Imob__em_And__31_12"/>
      <sheetName val="Mapa_30_09"/>
      <sheetName val="Teste_Deprec__30_09"/>
      <sheetName val="Teste_Adição_30_09"/>
      <sheetName val="Log_ACL_30_09"/>
      <sheetName val="Teste_Obras_andam__30_09"/>
      <sheetName val="Log_ACL_II_30_09"/>
      <sheetName val="Evol__por_fábrica_30_09"/>
      <sheetName val="Juros_31_12"/>
      <sheetName val="Mapa_Movimentação_-_3009"/>
      <sheetName val="Teste_de_Adições_e__Baixas_"/>
      <sheetName val="Teste_Depreciação_3009"/>
      <sheetName val="Mapa_3112"/>
      <sheetName val="Teste_Depreciação_3112"/>
      <sheetName val="Imobilizado_em_Curso"/>
      <sheetName val="Obras_em_Andamento_-_follow_up"/>
      <sheetName val="Imobilizado_X_Receita"/>
      <sheetName val="Ajuste_Inventário"/>
      <sheetName val="Imobilizado_em_Serviço"/>
      <sheetName val="Compras_em_Andamento"/>
      <sheetName val="Adto__Fornecedores"/>
      <sheetName val="Dep__Judiciais"/>
      <sheetName val="Materiais_em_Depósito"/>
      <sheetName val="Mapa_SET_2009"/>
      <sheetName val="Teste_de_Saldo_Inicial_SET_09"/>
      <sheetName val="Teste_de_Adição_SET_09"/>
      <sheetName val="Teste_de_Baixa_SET_09"/>
      <sheetName val="Gastos_com_desenv__Set"/>
      <sheetName val="Juros_s__imobilizado"/>
      <sheetName val="Mapa_USGAAP"/>
      <sheetName val="Rollfoward_Depreciação_USGAAP"/>
      <sheetName val="RollFoward__Depreciação_BRGAAP"/>
      <sheetName val="PAS_Depreciação_USGAAP"/>
      <sheetName val="PAS_Depreciação_BRGAAP"/>
      <sheetName val="Inf__Importantes"/>
      <sheetName val="Audit_Assurance_Model"/>
      <sheetName val="MAPA_BF"/>
      <sheetName val="PAS_Depreciação_BF"/>
      <sheetName val="Principais_Adições"/>
      <sheetName val="Base_Teste_Inicial"/>
      <sheetName val="Composição_Teste_Inicial"/>
      <sheetName val="MAPA_OV_"/>
      <sheetName val="PAS_Depreciação_OV"/>
      <sheetName val="PAS_-_Depreciação-31_12_06"/>
      <sheetName val="Mapa_Movimentação_30_09_06"/>
      <sheetName val="PAS_Depreciação_30_09_06"/>
      <sheetName val="Mapa_Movimentação_31_12_2006"/>
      <sheetName val="PAS_Depreciação_31_12_06"/>
      <sheetName val="Mapa_de_mov_e_PAs_dep"/>
      <sheetName val="Imob__em_andamento"/>
      <sheetName val="Total_Deprec_"/>
      <sheetName val="Capitalização_de_Juros"/>
      <sheetName val="Saldo__Inicial_-_Baixas"/>
      <sheetName val="Nota_2006"/>
      <sheetName val="PALIO_(ZE_MARIA)"/>
      <sheetName val="FIESTA_(STEFANO)"/>
      <sheetName val="ZAFIRA_(ESTELA)"/>
      <sheetName val="Quadro_de_Movimentação"/>
      <sheetName val="Imobilizado_{PPC}"/>
      <sheetName val="PAS_Depreciação_31_10_03"/>
      <sheetName val="Teste_de_adições_31_10_03"/>
      <sheetName val="Despesa_com_manutenção_31_10_03"/>
      <sheetName val="PIS_COFINS_A_RECUPERAR_NOV06"/>
      <sheetName val="PAS_DEPRECIAÇÃO_"/>
      <sheetName val="TESTE_ADIÇÃO_NOV06"/>
      <sheetName val="LOG_-_ACL"/>
      <sheetName val="IMPOSTOS_A_RECUPERAR"/>
      <sheetName val="Mapa_de_Movimentação_-_Nov06"/>
      <sheetName val="PAS_DEPRECIAÇÃO_NOV06"/>
      <sheetName val="MAPA_IMOBILIZADO_NOV06"/>
      <sheetName val="IMPOSTOS_A_RECUPERAR_NOV06"/>
      <sheetName val="Mapa_Movimentação_-_Mar06"/>
      <sheetName val="PAS_-_Depreciação_-_Mar06"/>
      <sheetName val="PIS_COFINS_a_Recuperar"/>
      <sheetName val="Mapa_de_Movimentação_-_Out05"/>
      <sheetName val="PAS_-_Depreciação_-_Out05"/>
      <sheetName val="Teste_de_Detalhe_-_Adições"/>
      <sheetName val="Mapa_de_Movimentação_-_Mar06"/>
      <sheetName val="PAS_-_Depreciação_Mar06"/>
      <sheetName val="PAS_-_Depreciação_Out05"/>
      <sheetName val="Análise_Depreciação_-_Mar06"/>
      <sheetName val="Teste_Adição_-_Mar06"/>
      <sheetName val="Teste_de_Detalhe_-_Out05"/>
      <sheetName val="Teste_Adições_-_Out05"/>
      <sheetName val="PAS_Adições"/>
      <sheetName val="Mapa_de_Movimentação_-_Out05_"/>
      <sheetName val="TESTE_ADIÇÕES_NOV06"/>
      <sheetName val="ANÁLISE_DEPRECIAÇÃO_MAR-06"/>
      <sheetName val="MAPA_MOVIMENTAÇÃO_NOV06"/>
      <sheetName val="Ajuste_Proposto"/>
      <sheetName val="Mapa_de_Movimentão"/>
      <sheetName val="Mapa_Ática_31_12"/>
      <sheetName val="Mapa_Scipione_31_12"/>
      <sheetName val="Mapa_Ática_30_09"/>
      <sheetName val="Mapa_Scipione_30_09"/>
      <sheetName val="Teste_Add_31_12"/>
      <sheetName val="Teste_Add_31_10"/>
      <sheetName val="PAS_-_Depreciação_2006"/>
      <sheetName val="Despesa_Benfeitorias_31_12_06"/>
      <sheetName val="Contratos_de_Aluguel_2006"/>
      <sheetName val="Teste_de_baixas_2006"/>
      <sheetName val="Adições_01_11_06_a_31_12_06"/>
      <sheetName val="Teste_adições_31_12_06"/>
      <sheetName val="Adições_até_31_10_06"/>
      <sheetName val="Teste_adições_31_10_06"/>
      <sheetName val="Relação_ativos_até_31_12_05"/>
      <sheetName val="Teste_saldo_inicial_31_10_06"/>
      <sheetName val="Log_ACL_Saldo_inicial"/>
      <sheetName val="Contrato_de_Aluguel"/>
      <sheetName val="Mapa_movim_30_11_05"/>
      <sheetName val="Venda_de_imob__reavaliado"/>
      <sheetName val="Movimentação_benfeitorias"/>
      <sheetName val="PAS_-_Amortização"/>
      <sheetName val="Contratos_de_aluguel"/>
      <sheetName val="Mapa_Mov_"/>
      <sheetName val="Deprec__DEZ_"/>
      <sheetName val="Deprec__AGO"/>
      <sheetName val="Mapa_movim_31_12_05"/>
      <sheetName val="PAS_Depreciação_31_12_05"/>
      <sheetName val="Totalmente_deprec__2005"/>
      <sheetName val="Teste_adições_30_11_05"/>
      <sheetName val="Log_ACL_Adições"/>
      <sheetName val="Inspeção_Física_30_11_05"/>
      <sheetName val="Moviment__benfeitorias"/>
      <sheetName val="Contabilizações_-_Reavaliação"/>
      <sheetName val="Movimentação_-_Reavaliação"/>
      <sheetName val="Composição_-_Reavaliação"/>
      <sheetName val="PAS_Depreciação_30_11_05"/>
      <sheetName val="Suporte_N_E_10"/>
      <sheetName val="Suporte_N_E_11"/>
      <sheetName val="Mapa_Imobilizado_"/>
      <sheetName val="PAS_Depreciação_(Set)"/>
      <sheetName val="PAS_Depreciação_(Dez)"/>
      <sheetName val="Adição_(Jul_a__Set)"/>
      <sheetName val="Adição_(Out_a_Dez)"/>
      <sheetName val="Baixas_(Out_a_Dez)"/>
      <sheetName val="Imobilizações_em_Andamento"/>
      <sheetName val="Diferido_(Dez)"/>
      <sheetName val="Amortização_Diferido_(Dez)"/>
      <sheetName val="Reclassificação_Software"/>
      <sheetName val="Mapa_ACHE"/>
      <sheetName val="Mapa_BIO"/>
      <sheetName val="Imobilizado_em_Andamento_Aging"/>
      <sheetName val="Imob__Andamento_Q4"/>
      <sheetName val="Imob__Andamento_Q3"/>
      <sheetName val="PAS_de_depreciação_ACHE"/>
      <sheetName val="PAS_de_depreciação_BIO"/>
      <sheetName val="Variação_ACHE"/>
      <sheetName val="Variação_BIO"/>
      <sheetName val="(1)_Rollforward"/>
      <sheetName val="(2)_Mapa_Imobilizado"/>
      <sheetName val="(3)_PAS_Depreciação"/>
      <sheetName val="(4)_Teste_saldo_inicial"/>
      <sheetName val="(5)_Teste_Adição"/>
      <sheetName val="(6)_Taxa_Fiscal_x_Cliente"/>
      <sheetName val="(7)_Teste_de_Baixa"/>
      <sheetName val="Resumo_Geral_da_Área"/>
      <sheetName val="(3)_Teste_de_adição"/>
      <sheetName val="(4)_PAS_depreciação"/>
      <sheetName val="(5)_Leasing"/>
      <sheetName val="Notas_Explicativas"/>
      <sheetName val="PAS_Deprec__Amort__31_12_08"/>
      <sheetName val="Benfeitorias_em_Prop__3ºs_31_12"/>
      <sheetName val="Logs_ACL"/>
      <sheetName val="PAS_Deprec__Amort__31_10"/>
      <sheetName val="Benfeitorias_em_Prop__3ºs_31_10"/>
      <sheetName val="P3_-_Mapa_Mov__Imobilizado"/>
      <sheetName val="P4-_PAS_Depreciação"/>
      <sheetName val="P5-Teste_Saldo_Inicial_"/>
      <sheetName val="P6-Teste_Saldo_Inicial_Adiciona"/>
      <sheetName val="P8-Teste_de_Adições"/>
      <sheetName val="P7-Log_Adições"/>
      <sheetName val="P8-Log_Saldo_Inicial"/>
      <sheetName val="P9-Log_Saldo_Inicial_Adicional"/>
      <sheetName val="P6-Teste_de_Adições"/>
      <sheetName val="P7-Log_ACL"/>
      <sheetName val="Bens_em_Comodato"/>
      <sheetName val="Teste_Saldo_12-07"/>
      <sheetName val="PAS_Depreciacão"/>
      <sheetName val="Adições_2008"/>
      <sheetName val="P2_-_Mapa_de_Mov__Imobilizado"/>
      <sheetName val="P3_-_Teste_de_Adições"/>
      <sheetName val="1__Mapa_de_Movimentação"/>
      <sheetName val="2__PAS_de_depreciação"/>
      <sheetName val="3__Teste_de_Saldo_Inicial"/>
      <sheetName val="4__Teste_de_Adição"/>
      <sheetName val="5__Teste_SF_Obras_em_Andto_"/>
      <sheetName val="6__Vida_útil_dos_ativos"/>
      <sheetName val="Mapa_Mov__31_12"/>
      <sheetName val="Teste_de_Adição_Imob__31_10_08"/>
      <sheetName val="Lead_(2)"/>
      <sheetName val="NE_Imobilizado_-_IFRS"/>
      <sheetName val="NE_-_BR_GAAP"/>
      <sheetName val="Mapa_Movimentação_Imobilizado"/>
      <sheetName val="Mutação_Imobilizado_-_PPC"/>
      <sheetName val="Mapa_Imobiliz_SESPO"/>
      <sheetName val="PAS_Depreciação_Sespo"/>
      <sheetName val="Teste_adições_Sespo"/>
      <sheetName val="Teste_Saldo_Inicial_Sespo"/>
      <sheetName val="Mapa_Imob_Vetbrands"/>
      <sheetName val="Ajuste_Leasing_IFRS"/>
      <sheetName val="Mapa_Intangível_{ppc}"/>
      <sheetName val="Recalculo_da_depreciação"/>
      <sheetName val="Mapa_Consolidado"/>
      <sheetName val="Seleção_Saldo_Inicial"/>
      <sheetName val="Cálculo_Parâmetro_AZ_BR"/>
      <sheetName val="Cálculo_Parâmetro_Gr_PI"/>
      <sheetName val="Mapa_Dez2003"/>
      <sheetName val="PAS_Depreciação_Dez03"/>
      <sheetName val="Teste_Inspeção"/>
      <sheetName val="Mapa_imobil__SP"/>
      <sheetName val="PAS_Deprec__-_SP_10_02"/>
      <sheetName val="Teste_veículos"/>
      <sheetName val="Teste_de_Sdo_Inicial"/>
      <sheetName val="DEZEMBRO_2008_{PPC}"/>
      <sheetName val="Teste_débitos"/>
      <sheetName val="Suporte_NE_6"/>
      <sheetName val="Mapa_de_Imobilizado_-_Set_08"/>
      <sheetName val="Mapa_de_Imobilizado_-_Dez_08"/>
      <sheetName val="Seleção_Adição_Imob__MTZ"/>
      <sheetName val="Seleção_Adição_Imob__Barra"/>
      <sheetName val="Seleção_Adição_BPeMTZ_-_Dez_08"/>
      <sheetName val="1__Lead"/>
      <sheetName val="Procedimentos_Efetuados"/>
      <sheetName val="Mapa_Marisa"/>
      <sheetName val="PAS_-_Depreciação_Marisa"/>
      <sheetName val="Mapa_Credi_21"/>
      <sheetName val="PAS_-_Deprec__Credi_21"/>
      <sheetName val="Mapa_Due_Mille"/>
      <sheetName val="PAS_-_Depreciação_Due_Mille"/>
      <sheetName val="Teste_imobilizado_em_and_"/>
      <sheetName val="Taxa_Efetiva"/>
      <sheetName val="Log_Testes"/>
      <sheetName val="2__Análise_de_Impairment"/>
      <sheetName val="3__Mapa_de_mov__Imob_"/>
      <sheetName val="5__PAS_SI"/>
      <sheetName val="6__Teste_de_depreciação"/>
      <sheetName val="6_1_Teste_de_dep__MDM"/>
      <sheetName val="7__Teste_de_Baixa"/>
      <sheetName val="8__Agio"/>
      <sheetName val="Ref_Rel_Mar_10"/>
      <sheetName val="Ref_Rel_Dez_09"/>
      <sheetName val="PAS_Depreciação_Fev_2010"/>
      <sheetName val="PAS_Depreciação_Out_e_Dez_09_"/>
      <sheetName val="Planilha_Suporte_Imóveis_"/>
      <sheetName val="Apuração_Venda_Imob"/>
      <sheetName val="Depreciação_Acelerada_31_12"/>
      <sheetName val="Impairment_do_Ágio"/>
      <sheetName val="Depreciação_Acelerada_30_09"/>
      <sheetName val="PAS_Depreciação_Dez_09"/>
      <sheetName val="PAS_Depreciação_Set_09_"/>
      <sheetName val="Teste_de_Baixas_Set_09"/>
      <sheetName val="Imobilizado_em_Andamento_Set_09"/>
      <sheetName val="Teste_de_Impairment_Dez_09"/>
      <sheetName val="PIS_e_COFINS"/>
      <sheetName val="Mapa_de_Mov_"/>
      <sheetName val="Passos_do_Programa"/>
      <sheetName val="PAS_IMOBILIZADO"/>
      <sheetName val="PIS_e_Cofins_a_Recuperar"/>
      <sheetName val="P1_-_Sumário_"/>
      <sheetName val="P3_-_Sublead"/>
      <sheetName val="P4_-_Movimentação"/>
      <sheetName val="P5_-_Global_Deprec"/>
      <sheetName val="P6_-_Teste_de_Adições"/>
      <sheetName val="P3_-_Adição_Imobilizado"/>
      <sheetName val="P4_-_Vouching"/>
      <sheetName val="P5_-_Movimentação_Imobilizado"/>
      <sheetName val="P6_-_Overall_Depreciação"/>
      <sheetName val="Global_Deprec"/>
      <sheetName val="Nota_Relatorio"/>
      <sheetName val="{PPC}_Mapa_Marisa"/>
      <sheetName val="PAS_-_Depre__Marisa_31_12"/>
      <sheetName val="PAS_-_Depre__Marisa_30_09"/>
      <sheetName val="Cálculo_Instalações"/>
      <sheetName val="Dep__Acelerada"/>
      <sheetName val="{PPC}_Imob__em_Andamento"/>
      <sheetName val="{PPC}_Mapa_Credi21"/>
      <sheetName val="PAS_-_Depreciação_Credi21"/>
      <sheetName val="{PPC}_Mapa_Due_Mille"/>
      <sheetName val="Instruções_DTT_Belgica"/>
      <sheetName val="Mapa_Referência"/>
      <sheetName val="Teste_-_Saldo_Inicial"/>
      <sheetName val="NE_14"/>
      <sheetName val="Adto_Imobilizado"/>
      <sheetName val="{PPC}_Mapa_de_Mov__Marisa_Lojas"/>
      <sheetName val="PAS_-_Desp__Depreciação_Marisa"/>
      <sheetName val="{PPC}_Mapa_de_Mov__Credi_21"/>
      <sheetName val="PAS_-_Desp__Depreciação_Credi21"/>
      <sheetName val="Nota_12"/>
      <sheetName val="Adições_2005"/>
      <sheetName val="Teste_Adições_30_06_05"/>
      <sheetName val="Baixas_2005"/>
      <sheetName val="PAS_Depreciação_30_06_05"/>
      <sheetName val="Baixas_Analitico__"/>
      <sheetName val="Bens_Totalmente_Depreciados"/>
      <sheetName val="Depr_Benfeitorias"/>
      <sheetName val="Procedimentos_ISRE"/>
      <sheetName val="PAS_-_Deprec__Marisa"/>
      <sheetName val="PAS_-_Deprec__Due_Mille"/>
      <sheetName val="Mapa_Imob__em_Andamento"/>
      <sheetName val="Adiantamento_Terceiros"/>
      <sheetName val="Adiantamento_Imobilizado"/>
      <sheetName val="Nota_Imobilizado"/>
      <sheetName val="PAS_-_Depre__Marisa"/>
      <sheetName val="Mapa_Credi21"/>
      <sheetName val="PAS_-_Depre__Credi21"/>
      <sheetName val="PAS_-_Depre__Due_Mille"/>
      <sheetName val="Adto_Terceiros"/>
      <sheetName val="Avaliação_de_Imoveis"/>
      <sheetName val="Cálculo_de_Itens"/>
      <sheetName val="Para_Ref"/>
      <sheetName val="Marisa_Part"/>
      <sheetName val="Imobilizações_em_Curso"/>
      <sheetName val="Teste_Custo_Inicial"/>
      <sheetName val="Aquisições_por_loja"/>
      <sheetName val="Pontos_comerciais"/>
      <sheetName val="Pontos_comerciais_-_detalhes"/>
      <sheetName val="Desp__Pré_Operacionais"/>
      <sheetName val="Teste_Adições_31_12"/>
      <sheetName val="Pontos_comerciais_31_12"/>
      <sheetName val="Pontos_comerciais_30_09"/>
      <sheetName val="Desp_Pré_Operacional_30_09"/>
      <sheetName val="Teste_Adições_30_09"/>
      <sheetName val="1_Mapa_Imobilizado_BR_GAAP"/>
      <sheetName val="2_PAS_Depreciação"/>
      <sheetName val="3_Mapa_Diferido"/>
      <sheetName val="4_Amortização"/>
      <sheetName val="5__NE__mov__custo"/>
      <sheetName val="Cálculo_Global_de_Deprec_Dez"/>
      <sheetName val="Cálculo_Global_de_Depreciaç_Set"/>
      <sheetName val="PAS_Deprec__Set-06"/>
      <sheetName val="PAS_Deprec__Dez-06"/>
      <sheetName val="PAS_Deprec__Dez05"/>
      <sheetName val="PAS_Deprec__Set05"/>
      <sheetName val="Cálculo_Global_de_Depreciação"/>
      <sheetName val="Mapa_Movim_"/>
      <sheetName val="PAS_Depreciação_31_10"/>
      <sheetName val="Teste_Saldo_Inicial_31_10"/>
      <sheetName val="Teste_Adições_31_10"/>
      <sheetName val="Itens_não_Localizados"/>
      <sheetName val="Imob_em_curso_31_12"/>
      <sheetName val="Desp_Pré_Operacional_31_12"/>
      <sheetName val="Análise_Desp_Pré-operac"/>
      <sheetName val="Amort_não_registrada"/>
      <sheetName val="Complemento_Teste_Adições"/>
      <sheetName val="Desp_Pré_Operacional_30_06"/>
      <sheetName val="Pontos_comerciais_30_06"/>
      <sheetName val="Teste_Adições_30_06"/>
      <sheetName val="Pontos_comerciais_31_03"/>
      <sheetName val="Teste_Adições_31_03"/>
      <sheetName val="Desp_Pré_Operacional_31_03"/>
      <sheetName val="4__Consolidado"/>
      <sheetName val="1_1__Begoldi"/>
      <sheetName val="1_2__Actio"/>
      <sheetName val="1_3__CBF"/>
      <sheetName val="1_4__Compar"/>
      <sheetName val="1_5__Locado"/>
      <sheetName val="1_6__Mareasa"/>
      <sheetName val="1_7__Nova_10"/>
      <sheetName val="1_8__NIX"/>
      <sheetName val="1_9__Novay"/>
      <sheetName val="1_10__Pense"/>
      <sheetName val="1_11__Traditio"/>
      <sheetName val="2__Depreciacao"/>
      <sheetName val="3__Base_imóveis"/>
      <sheetName val="2__Mapa_de_Movimentação"/>
      <sheetName val="3__PAS_Depreciação"/>
      <sheetName val="5__Teste_de_Baixas"/>
      <sheetName val="1__Mapa_Mov__Giroflex_31_12"/>
      <sheetName val="2__Mapa_Mov__Giroservices_31_12"/>
      <sheetName val="3__Mapa_Mov__Aurus_31_12"/>
      <sheetName val="4__PAS_Depr_Giroflex_31_12"/>
      <sheetName val="5__PAS_Depr_Giroflex_30_09"/>
      <sheetName val="6__Saldo_Inicial_Giroflex_30_09"/>
      <sheetName val="7__Base_Saldo_Inicial_Giroflex"/>
      <sheetName val="8__Adições_Giroflex__31_12"/>
      <sheetName val="9__Baixas_Giroflex_30_09"/>
      <sheetName val="10__Base_Benfeitorias"/>
      <sheetName val="11__Reavaliação"/>
      <sheetName val="12__Dif_Res__Reaval"/>
      <sheetName val="Mapa_Movim__31_12"/>
      <sheetName val="Reavaliação_-_Contab"/>
      <sheetName val="Teste_Depreciação_31_12"/>
      <sheetName val="Log_ACL_31_12"/>
      <sheetName val="Baixas_2008"/>
      <sheetName val="Teste_Saldo_Inicial_30_09"/>
      <sheetName val="Ref__Reporting_Package"/>
      <sheetName val="Mapa_Mov_USGAAP"/>
      <sheetName val="Baixa_Imobilizado"/>
      <sheetName val="Teste_Venda"/>
      <sheetName val="Depreciação_USGAAP_out"/>
      <sheetName val="Mapa_Mov_Out08_BRGAAP"/>
      <sheetName val="Depreciação_BRGAAP"/>
      <sheetName val="Mapa_Movim_31_10"/>
      <sheetName val="1__Mapa_Mov__Giroflex_30_09"/>
      <sheetName val="2__Mapa_Mov__Giroservices_30_09"/>
      <sheetName val="3__Mapa_Mov__Aurus_30_09"/>
      <sheetName val="4__PAS_Depr_Giroflex_30_09"/>
      <sheetName val="5__Saldo_Inicial_Giroflex_30_09"/>
      <sheetName val="6__Base_Saldo_Inicial_Giroflex"/>
      <sheetName val="7__Adições_Giroflex__30_09"/>
      <sheetName val="8__Baixas_Giroflex_30_09"/>
      <sheetName val="9__Base_Benfeitorias"/>
      <sheetName val="1__Mapa_Total_Geral_08"/>
      <sheetName val="2__Resumo_Obras_em_And__31_12"/>
      <sheetName val="3__Movimentação_-_Obras"/>
      <sheetName val="Risco_Específico"/>
      <sheetName val="Cobertura_Seguros"/>
      <sheetName val="Imp_bens_de_uso"/>
      <sheetName val="Resumo_Obras_em_And__31_12"/>
      <sheetName val="Saldo_de_obras_em_and__por_ano"/>
      <sheetName val="Resumo_Investimentos_31_12"/>
      <sheetName val="Comparativo_31_12"/>
      <sheetName val="Comp__Obras_And__31_12"/>
      <sheetName val="MAPA_BF_31_12"/>
      <sheetName val="Mapa_Total_Geral_08"/>
      <sheetName val="PAS_Depreciação_BFE_31_12_"/>
      <sheetName val="Amortização_Ágio_31_12"/>
      <sheetName val="1_MAPA_BF_30_09"/>
      <sheetName val="2_Teste_de_Adições_30_09"/>
      <sheetName val="3_PAS_Depreciação_BF_30_09"/>
      <sheetName val="4_Obras_em_andamento"/>
      <sheetName val="4_1Composição_Obras_And_"/>
      <sheetName val="5_Amortização_Ágio"/>
      <sheetName val="6_Teste_baixas_30_09"/>
      <sheetName val="Pré_op_"/>
      <sheetName val="11_1_Dif_reavaliação"/>
      <sheetName val="1__Mapa_Mov__Giroflex"/>
      <sheetName val="2__Mapa_Mov__Giroservices"/>
      <sheetName val="3__Mapa_Mov__Aurus"/>
      <sheetName val="4__PAS_Depreciação"/>
      <sheetName val="4__PAS_Depreciação_(2)"/>
      <sheetName val="5__Teste_Saldo_Inicial"/>
      <sheetName val="6__Teste_de_Adições"/>
      <sheetName val="7__Teste_de_Baixas"/>
      <sheetName val="1__Sumário"/>
      <sheetName val="3__Teste_de_Adições"/>
      <sheetName val="4__Teste_Saldo_Inicial"/>
      <sheetName val="5__Depreciação"/>
      <sheetName val="12__Resumo"/>
      <sheetName val="12a_Gastos_com_terceiros"/>
      <sheetName val="Abertura_mov_imobilizado"/>
      <sheetName val="Abertura_mov_resultado"/>
      <sheetName val="Mutação_imobilizado"/>
      <sheetName val="Movimentação_Nutrição_e_Avicult"/>
      <sheetName val="Movimentação_suinos_PICs"/>
      <sheetName val="1_Mapa_movimentação_imobilizado"/>
      <sheetName val="3__Adições"/>
      <sheetName val="4__Diferido"/>
      <sheetName val="5__Imobilização_em_andamento"/>
      <sheetName val="2_Mapa_movimentação_imobilizado"/>
      <sheetName val="6__Base_Saldo_Inicial_e_Log"/>
      <sheetName val="7__Teste_de_Adições"/>
      <sheetName val="8__Teste_de_Baixas"/>
      <sheetName val="1__Risco_Específico"/>
      <sheetName val="2__Mapa_Imobilizado"/>
      <sheetName val="3__Cobertura_Seguros"/>
      <sheetName val="4__Suporte_NE"/>
      <sheetName val="5__Nota_Reapresentada"/>
      <sheetName val="2__Teste_de_Adições"/>
      <sheetName val="3__PAS_-_Depreciação"/>
      <sheetName val="Ajuste_USGAAP"/>
      <sheetName val="Roll_Forward_31_12"/>
      <sheetName val="P1_-_Mapa_de_movimentação"/>
      <sheetName val="P2_-_PAS_Depreciação"/>
      <sheetName val="P3-Teste_Saldo_Inicial"/>
      <sheetName val="P4-Teste_Adição"/>
      <sheetName val="P3-Mapa_de_Imobilizado"/>
      <sheetName val="P4-PAS_-__Depreciação"/>
      <sheetName val="P5-Teste_Saldo_Inicial"/>
      <sheetName val="P6-Teste_adição"/>
      <sheetName val="P1-Mapa_de_Imobilizado"/>
      <sheetName val="P2-PAS_-__Depreciação"/>
      <sheetName val="P5_-_Mapa_USGAAP"/>
      <sheetName val="Log_Adição"/>
      <sheetName val="Resumo_Relatório_30_12"/>
      <sheetName val="Resumo_Relatório_30_09"/>
      <sheetName val="Projeto_Sedna"/>
      <sheetName val="Laudo_de_Avaliação"/>
      <sheetName val="Depreciação_-_Maq__e_Equip"/>
      <sheetName val="Roll_Forward_31_12_08"/>
      <sheetName val="Análise_de_Variação_30-09"/>
      <sheetName val="Análise_de_Variação_-_31-12"/>
      <sheetName val="LOG_ACL_Adições_30_09"/>
      <sheetName val="LOG_ACL_Adições_31_12"/>
      <sheetName val="Depreciação_-_Maq_e_Equip"/>
      <sheetName val="Henry_Ford"/>
      <sheetName val="Importação_Andamento"/>
      <sheetName val="Cálculo_do_parâmetro"/>
      <sheetName val="ISA_2410"/>
      <sheetName val="Mapa_BRGAAP_"/>
      <sheetName val="Principais_baixas_e_adições"/>
      <sheetName val="Mapa_IFRS"/>
      <sheetName val="IFRS_30-06-08"/>
      <sheetName val="Calculo_parâmetro"/>
      <sheetName val="Descrição_dos_Bens"/>
      <sheetName val="Depreciação_31_10"/>
      <sheetName val="Log_de_ACL"/>
      <sheetName val="Testes_31_12"/>
      <sheetName val="Testes_31_10"/>
      <sheetName val="Saldo_Societário_Ajustado"/>
      <sheetName val="1-BR_vs_USGAAP"/>
      <sheetName val="2-Mapa_Movimentação_BRGAAP"/>
      <sheetName val="2_1-Validação_Mapa_Brgaap_"/>
      <sheetName val="3-PAS_depreciação_BRGAAP"/>
      <sheetName val="4-_Mapa_Movimentação_Usgaap"/>
      <sheetName val="4_1-_Validação_Mapa_Usgaap_"/>
      <sheetName val="6-_PAS_depreciação_Usgaap"/>
      <sheetName val="7-_PAS_depreciação_Acelerada"/>
      <sheetName val="Determination_-_Sample_Size"/>
      <sheetName val="P3-Mapa_do_Imobilizado"/>
      <sheetName val="P4_-_Teste_Saldo_Inicial"/>
      <sheetName val="P5_-_Teste_Adição"/>
      <sheetName val="P6_-_PAS_Depreciação_31_10"/>
      <sheetName val="P7_-_Leasings"/>
      <sheetName val="P8_-_Parâmetro"/>
      <sheetName val="P9-Mapa_do_Imobilizado_31_01"/>
      <sheetName val="P10_-_PAS_Depreciação_31_01"/>
      <sheetName val="Mapa_Mov__31_10"/>
      <sheetName val="Seleção_Adições_30_09"/>
      <sheetName val="_Baixas_30_09"/>
      <sheetName val="Mapa_dez05"/>
      <sheetName val="Seleção_Adições"/>
      <sheetName val="_Baixas"/>
      <sheetName val="P1__Lead"/>
      <sheetName val="P2__Mapa_de_Movimentação"/>
      <sheetName val="P3__Imob__em_Andamento"/>
      <sheetName val="P4__PAS_Depreciação"/>
      <sheetName val="P5__Teste_de_Adições"/>
      <sheetName val="P6__Cálculo_Amostra"/>
      <sheetName val="P7__Log_ACL"/>
      <sheetName val="Cálculo_Amostra"/>
      <sheetName val="P6_-_Base_de_Seleção_Adição"/>
      <sheetName val="PAS_Deprec__SET-07"/>
      <sheetName val="Movto_Obras_em_Andamento"/>
      <sheetName val="Histórico_Obras_em_Andamento"/>
      <sheetName val="1__Mapa_Total_Geral_30_09"/>
      <sheetName val="2__Movto_Obras_em_Andto_30_09"/>
      <sheetName val="3_Histórico_Obras_em_Andto30_09"/>
      <sheetName val="4__Teste_de_Adições"/>
      <sheetName val="7__Teste_baixas_30_09"/>
      <sheetName val="8__Aging_-_Obras_em_Andamento"/>
      <sheetName val="Tabela_Itens"/>
      <sheetName val="6__Teste_custo_inicial"/>
      <sheetName val="Movto__Obras_em_Andamento"/>
      <sheetName val="Aporte_de_capital"/>
      <sheetName val="ICMS_-_1311992"/>
      <sheetName val="Tabela_No_de_Itens"/>
      <sheetName val="Alocação_prov_descon"/>
      <sheetName val="M_M__31_12"/>
      <sheetName val="PAS_-_Deprec__Dez_"/>
      <sheetName val="Teste_adições_Dez_"/>
      <sheetName val="Tetes_de_Baixas_Dez_"/>
      <sheetName val="M_M__30_09"/>
      <sheetName val="PAS_-_Deprec__Set_"/>
      <sheetName val="Teste_de_adições_Set_"/>
      <sheetName val="Teste_de_Baixas_Set_"/>
      <sheetName val="Definição_Parâmetro"/>
      <sheetName val="Teste_de_adições_Dez_"/>
      <sheetName val="M_M__30_09_04"/>
      <sheetName val="PAS_-_Depreciação_Setembro"/>
      <sheetName val="M_M__31_03_04"/>
      <sheetName val="M_M__30_06_04"/>
      <sheetName val="Juros_2004"/>
      <sheetName val="PAS_Depreciação_-_Março"/>
      <sheetName val="PAS_-_Depreciação_Junho"/>
      <sheetName val="Insp_Física"/>
      <sheetName val="Resumo_da_Movimentação"/>
      <sheetName val="Revisão_Analítica_Ex-Ceval"/>
      <sheetName val="M__M__Ex-Ceval"/>
      <sheetName val="M__M__Ex-Santista"/>
      <sheetName val="Insp__Sal_Inic_"/>
      <sheetName val="Depreciação_Ex-_Ceval"/>
      <sheetName val="Depreciação__Ex-Santista"/>
      <sheetName val="provisão_para_perdas"/>
      <sheetName val="Prov__Perdas_(PPC)"/>
      <sheetName val="Plantas_Descont_"/>
      <sheetName val="LOG_-_Teste_de_adição"/>
      <sheetName val="Movimentação_Trimestral"/>
      <sheetName val="Movimentação_Acumulada"/>
      <sheetName val="Anal__Variação"/>
      <sheetName val="Adições_"/>
      <sheetName val="Teste_Dirigido"/>
      <sheetName val="Testes_Deprec__"/>
      <sheetName val="inspeção_física_do_imobilizado"/>
      <sheetName val="Testes_de_Baixas_Dez_"/>
      <sheetName val="Resumo_das_Principais_Adições"/>
      <sheetName val="P3_-_RollForward"/>
      <sheetName val="P4_-_Mapa_do_Imobilizado"/>
      <sheetName val="P5_PAS_-_Depreciação"/>
      <sheetName val="P6_-_Constr__em_Andto"/>
      <sheetName val="P7_-_Capitalização_de_Juros"/>
      <sheetName val="P8_-_Teste_de_Adições"/>
      <sheetName val="P9_-_Teste_Saldo_Inicial_Set"/>
      <sheetName val="P10-_Itapevi"/>
      <sheetName val="P8_-_Impairment"/>
      <sheetName val="P9_-_Teste_de_Adições"/>
      <sheetName val="P10_-_Teste_Saldo_Inicial_Set"/>
      <sheetName val="P11-_Itapevi"/>
      <sheetName val="P3_-_Mapa_do_Imobilizado_"/>
      <sheetName val="P4_-_Teste_de_Adições"/>
      <sheetName val="P5_PAS_-_Depreciação_311207"/>
      <sheetName val="P6_-_Constr__em_Andto_30_09"/>
      <sheetName val="P7_-_Teste_Saldo_Inicial_30_09"/>
      <sheetName val="P7_Itapevi"/>
      <sheetName val="P8_Capitalização"/>
      <sheetName val="P9_Contas"/>
      <sheetName val="P10_Mapa_Suporte"/>
      <sheetName val="P13_Constr__em_Andto_30_09"/>
      <sheetName val="P4_-_RollForward"/>
      <sheetName val="P3_-_Mapa_do_Imobilizado"/>
      <sheetName val="Teste_Saldo_Inicial_Set"/>
      <sheetName val="Venda_3_andar"/>
      <sheetName val="Baixa_ativos"/>
      <sheetName val="Definição_Amostra"/>
      <sheetName val="Mapa_Movimentação_Mitsui__"/>
      <sheetName val="Mapa_Movimentação_Yoorin"/>
      <sheetName val="Teste_de_Adição_e_Baixa_Mitsui"/>
      <sheetName val="Teste_de_Adição_e_Baixa_Yoorin"/>
      <sheetName val="Contratos_Leasing"/>
      <sheetName val="Adição_de_imobilizado"/>
      <sheetName val="PAS_Deprec__Out07"/>
      <sheetName val="Mapa_Mov_Imob_out_07"/>
      <sheetName val="Mapa_imob__dez07"/>
      <sheetName val="Sel_saldo_inicial_imob_"/>
      <sheetName val="Sel_Adi_Imobilizado"/>
      <sheetName val="Comp_Imob_Out07"/>
      <sheetName val="Mapa_de_Imobilizado_31-10-08"/>
      <sheetName val="1__Mapa_de_Movimentação_30_09_"/>
      <sheetName val="1_2__Mapa_de_Movimentação_31_12"/>
      <sheetName val="2__Teste_de_Adição"/>
      <sheetName val="3__Teste_de_Obras_em_andamento"/>
      <sheetName val="4__PAS_de_depreciação"/>
      <sheetName val="5__Teste_de_Saldo_Inicial_Imob"/>
      <sheetName val="2__PAS_Depreciação"/>
      <sheetName val="5__Teste_de_obras_em_andamento"/>
      <sheetName val="5_1_Aging_Obras_em_Andto_"/>
      <sheetName val="6__Transferências"/>
      <sheetName val="Análise_de_Recuperabilidade"/>
      <sheetName val="Threshold_and_Sample_Size"/>
      <sheetName val="Mapa_de_Movimentação_NPK"/>
      <sheetName val="Análise_de_Var__Jul__&amp;_Set_"/>
      <sheetName val="P3_Referência_Package"/>
      <sheetName val="P4__Teste_de_adicoes"/>
      <sheetName val="P5__Saldo_Inicial"/>
      <sheetName val="P6__Agio"/>
      <sheetName val="P7_PAS_Depreciação"/>
      <sheetName val="Tabela_de_Itens"/>
      <sheetName val="P1__MAPA_DE_MOVIMENTAÇÃO_"/>
      <sheetName val="P2__OBRAS_EM_ANDAMENTO_(I)_(F)_"/>
      <sheetName val="P3__TESTE_DE_SALDO_INICIAL"/>
      <sheetName val="P4__TESTE_DE_ADIÇÕES_"/>
      <sheetName val="P5__DEPRECIAÇÃO"/>
      <sheetName val="P6__TRANSFERÊNCIAS"/>
      <sheetName val="P7__ÁGIOS"/>
      <sheetName val="P8__CAPITALIZAÇÃO_DE_JUROS"/>
      <sheetName val="P9__PREFERÊNCIAS_PACKAGE"/>
      <sheetName val="A1__TABELA_DE_ITENS_"/>
      <sheetName val="A2__LOG_ACL_P5_"/>
      <sheetName val="P1__Projeção_Saldos_Março_13"/>
      <sheetName val="P1___mapa_movimentação_set_dez"/>
      <sheetName val="P2__Mov_Obras_Andt_set_2011"/>
      <sheetName val="P2_1_Mov_Obras_Andt_dez_2011"/>
      <sheetName val="P3__Capitalização_de_juros"/>
      <sheetName val="P4__Teste_de_Adições"/>
      <sheetName val="P5__Teste_de_Saldo_Inicial"/>
      <sheetName val="P6__Teste_de_Baixa"/>
      <sheetName val="P7__Transferências"/>
      <sheetName val="P8__àgios"/>
      <sheetName val="P9__Depreciação"/>
      <sheetName val="P10__Referências_Package"/>
      <sheetName val="P1___mapa_movimentação"/>
      <sheetName val="P2__Mov_Obras_Andt"/>
      <sheetName val="P4__Perda_Recup_Econômica"/>
      <sheetName val="1__Mapa_Total_Geral"/>
      <sheetName val="4__Teste_custo_inicial"/>
      <sheetName val="5__Movimentação_-_Obras"/>
      <sheetName val="6__Histórico_Obras_em_Andamento"/>
      <sheetName val="7__Aging_-_Obras_em_Andamento"/>
      <sheetName val="Contábil_x_Patrimônio"/>
      <sheetName val="PAS_-_Depreciação_jun_e_set"/>
      <sheetName val="Imob__Andamento_e_Transferência"/>
      <sheetName val="Custo_Corrigido_x_Depreciação"/>
      <sheetName val="PAS_-_Amortização_jun"/>
      <sheetName val="Prov__para_baixas_set07"/>
      <sheetName val="Provisão_para_Baixas_jun07"/>
      <sheetName val="Teste_Saldo_Inicial_30_06"/>
      <sheetName val="Impairment_set"/>
      <sheetName val="P3_-_Mapa_Imobilizado"/>
      <sheetName val="P4_-Cálc__Global_Depr__31_10_08"/>
      <sheetName val="Sel__teste_saldo_inic__imob_"/>
      <sheetName val="Riscos_Significantes"/>
      <sheetName val="Riscos_Normais"/>
      <sheetName val="Significant_Risk"/>
      <sheetName val="Mapa_Movimentação_Intangível"/>
      <sheetName val="Programa_de_Trabalho"/>
      <sheetName val="P1__Mapa_de_Imob__31_12"/>
      <sheetName val="P2__Pas_Depreciação_31_12"/>
      <sheetName val="P3__Mapa_de_Imob__30_09"/>
      <sheetName val="P4__Pas_Depreciação_30_09"/>
      <sheetName val="P5_Teste_de_SI"/>
      <sheetName val="P6__Imob__em_Andamento"/>
      <sheetName val="P7__Adiant__de_Imobilizado"/>
      <sheetName val="P6__Log_ACL"/>
      <sheetName val="PAS_Depreciação_31_12_08"/>
      <sheetName val="Teste_de_Adição_31_12_08"/>
      <sheetName val="Teste_de_Baixa_31_12_08"/>
      <sheetName val="Teste_de_Imobilização_31_12_08"/>
      <sheetName val="PAS_Depreciação_30_09_08"/>
      <sheetName val="Teste_de_Adição_30_09_08"/>
      <sheetName val="Teste_de_Baixa_30_09_08"/>
      <sheetName val="Teste_de_Imobilização_30_09_08"/>
      <sheetName val="Teste_de_SI"/>
      <sheetName val="Comp__Aeródromo"/>
      <sheetName val="Log_ACL_30_09_08"/>
      <sheetName val="P1__Programa_de_Trabalho"/>
      <sheetName val="P2__Lead"/>
      <sheetName val="P3__Mapa_Mov_"/>
      <sheetName val="P5__Teste_Saldo_Inicial"/>
      <sheetName val="Tabela_Sample_Size"/>
      <sheetName val="Mapa_Movimentação_31_12_07"/>
      <sheetName val="Mapa_Movimentação_31_10_07"/>
      <sheetName val="Teste_Adição_31_10_07"/>
      <sheetName val="Teste_Adição_Compl_31_12_07"/>
      <sheetName val="Teste_SI_BUNGE_31_12_06"/>
      <sheetName val="Teste_SI_31_10_07"/>
      <sheetName val="Teste_SI_Compl_31_12_07"/>
      <sheetName val="P3_-_Mapa_Mov_"/>
      <sheetName val="P5_-_Teste_Saldo_Inicial"/>
      <sheetName val="P6_-_Teste_Adições"/>
      <sheetName val="P7_-_Log_ACL"/>
      <sheetName val="Dezembro_2010"/>
      <sheetName val="Deprec_"/>
      <sheetName val="Mov_jan_a_jun04"/>
      <sheetName val="Big_Londrina"/>
      <sheetName val="Bens_Entrega_Futura_{ppc}"/>
      <sheetName val="Mapa_Final"/>
      <sheetName val="Teste_apropriações"/>
      <sheetName val="Teste_detalhe_apropriações"/>
      <sheetName val="Apropriações_Dez"/>
      <sheetName val="Depreciação_Final"/>
      <sheetName val="Mapa_Out"/>
      <sheetName val="Depreciação_Out"/>
      <sheetName val="Imobilizado_Saldo_Inicial"/>
      <sheetName val="Adições_de_Imobilizado"/>
      <sheetName val="Depreciação_Adições"/>
      <sheetName val="P2_-__Lead"/>
      <sheetName val="P3_-__Movimentação"/>
      <sheetName val="P4_-__Depreciação"/>
      <sheetName val="P5_-__Adições"/>
      <sheetName val="P6_-__Baixas"/>
      <sheetName val="P7_-_Teste_Dez-06"/>
      <sheetName val="_Mov__{PPE}"/>
      <sheetName val="PAS_Depreciação_HBII"/>
      <sheetName val="back_up"/>
      <sheetName val="PAS_Depreciação_HBI"/>
      <sheetName val="Depreciação_Moldes"/>
      <sheetName val="Depreciação_Moldes_Alemão"/>
      <sheetName val="_Mov__HB1_{PPE}"/>
      <sheetName val="PAS_Depr__HB1"/>
      <sheetName val="Mov__HB2_{PPE}"/>
      <sheetName val="PAS_Depr__HB2"/>
      <sheetName val="Ad__Fornecedores"/>
      <sheetName val="PAS_Depr__(HB1)"/>
      <sheetName val="_Mov__HB1_31_12_{PPE}"/>
      <sheetName val="PAS_Depr__(HB2)"/>
      <sheetName val="Mov__HB2_31_12_{PPE}"/>
      <sheetName val="Log_Seleção_Saldo_Inicial"/>
      <sheetName val="Recálculo_VC"/>
      <sheetName val="Log_Adto_fornecedor"/>
      <sheetName val="NE_2_-_Material_Additions"/>
      <sheetName val="NE_2_-_Material_Additions-total"/>
      <sheetName val="Log_Seleção_Amostra_Adicao"/>
      <sheetName val="NOta_2"/>
      <sheetName val="Ad__Fornecedores_"/>
      <sheetName val="Cálculo_Global_Depr__(HB1)"/>
      <sheetName val="Comp__Analítica_(HB1)_{PPE}"/>
      <sheetName val="_Mov__HB1_31_12"/>
      <sheetName val="Comp__Analítica(HB2)_{PPE}"/>
      <sheetName val="Cálculo_Global_Depr__(HB2)"/>
      <sheetName val="Mov__HB2_31_12"/>
      <sheetName val="Rel__adições_30_09"/>
      <sheetName val="Planilha_Aquisições_30_09_{PPE}"/>
      <sheetName val="Para_referência_DF's"/>
      <sheetName val="1__ASM"/>
      <sheetName val="2__Resumo"/>
      <sheetName val="3__Mapa_30_06"/>
      <sheetName val="5__Imóveis"/>
      <sheetName val="6__Análise_saldos_IPC"/>
      <sheetName val="7__Transf__Imob__em_Andamento"/>
      <sheetName val="8__CIAP"/>
      <sheetName val="Ajuste_2340"/>
      <sheetName val="Teste_Insp_"/>
      <sheetName val="Imoveis_não_operacionais"/>
      <sheetName val="Ativo_Fixo-Movimentação"/>
      <sheetName val="Appendix_14"/>
      <sheetName val="Mapa_de_Mov__Mensal"/>
      <sheetName val="PAS_-_Depreciação_"/>
      <sheetName val="Teste_Adições_Dez"/>
      <sheetName val="Comp_Analítica_Imobilizado"/>
      <sheetName val="Mapa_de_Movimetação_31_12_05"/>
      <sheetName val="Teste_Imobilizado_em_Andamento"/>
      <sheetName val="Projeto_3416_"/>
      <sheetName val="Base_Imobilizado_em_Andamento"/>
      <sheetName val="Mapa_de_Movimentação_31_10_05"/>
      <sheetName val="PAS_Depreciacao"/>
      <sheetName val="Dias_Trab_jan_a_set_2005"/>
      <sheetName val="P2-_Lead"/>
      <sheetName val="P3-_Mapa_Movimentação_BR"/>
      <sheetName val="P4-_Mapa_Movimentação_IFRS"/>
      <sheetName val="P5-_Pas_-_Deprec__BR_"/>
      <sheetName val="P6-Cálculo_da_Deprec__IFRS"/>
      <sheetName val="P7-Taxas_IFRS"/>
      <sheetName val="P8-_Composição_das_Adições"/>
      <sheetName val="P9-Teste_Adição"/>
      <sheetName val="P10-_Teste_SI"/>
      <sheetName val="P11_-_Recálculo_IFRS_Final"/>
      <sheetName val="P3_-_Rollforward_"/>
      <sheetName val="P4_-_Mapa_Movimentação"/>
      <sheetName val="P5_-_PAS_Depreciação_31_12_08"/>
      <sheetName val="P6_-_PAS_Depreciação_31_10_08"/>
      <sheetName val="P7_-Efeitos_no_IR_31_10_e_31_12"/>
      <sheetName val="P8_-Teste_Adição_31_10_e_31_12"/>
      <sheetName val="P9_-_Log_Adicao_31_10"/>
      <sheetName val="Checklist_Impairment"/>
      <sheetName val="Cálculo_de_itens_-_Adição"/>
      <sheetName val="Movimentação_{PPE}"/>
      <sheetName val="Cálculo_Global"/>
      <sheetName val="Global_Reavaliação"/>
      <sheetName val="Global_variáveis"/>
      <sheetName val="Deprec_Movimentação"/>
      <sheetName val="Glocal_de_depreciação_-_Final"/>
      <sheetName val="Cálculo_Global__-_Final"/>
      <sheetName val="Taxa_Ampliação"/>
      <sheetName val="Teste_adições_(2)"/>
      <sheetName val="Projeção_31_12_04"/>
      <sheetName val="PPC_mov_imob_311204"/>
      <sheetName val="movimentação_311004"/>
      <sheetName val="_PPC_Imobilizado_em_andamento"/>
      <sheetName val="Baixa_311204"/>
      <sheetName val="Imobilizado_311204"/>
      <sheetName val="Adições_Ajustado"/>
      <sheetName val="Tabela_de_Parâmetros"/>
      <sheetName val="Benfeitorias_311204"/>
      <sheetName val="Teste_Aquisições"/>
      <sheetName val="Log_Aquisições"/>
      <sheetName val="Mapa_Mov__{ppc}"/>
      <sheetName val="PAS_Deprecição_30_09_07"/>
      <sheetName val="Baixas__30_09_07"/>
      <sheetName val="Adições_30_09_07"/>
      <sheetName val="Mapa_Mov__e_PAS_dep__31_12_2008"/>
      <sheetName val="Invest__Jardim_Iguatemi"/>
      <sheetName val="Invest__Jardim_Iguatemi_(2)"/>
      <sheetName val="Calculo_de_Paramêtro"/>
      <sheetName val="P2_Mapa_Mov__31_10_2007"/>
      <sheetName val="P3Mapa_Mov__e_PAS_dep__31_12_07"/>
      <sheetName val="P4_Teste_Adição"/>
      <sheetName val="P5_Teste_Sd_Inicial"/>
      <sheetName val="Referência_Relatório"/>
      <sheetName val="Mapa_Imob__e_Cálc__Depr__31_12"/>
      <sheetName val="Ativos_sem_Utilização"/>
      <sheetName val="Teste_Taxa_Deprec__Reaval_"/>
      <sheetName val="Adições_31_10_03"/>
      <sheetName val="Leasing_Passivo"/>
      <sheetName val="Leasing_imobilizado"/>
      <sheetName val="Contrato_#1"/>
      <sheetName val="Mapa_12-2010"/>
      <sheetName val="PAS_Depreciação_31_121"/>
      <sheetName val="Teste_de_Adição_31_121"/>
      <sheetName val="Benfeitorias_em_Prop__3ºs_31_11"/>
      <sheetName val="PAS_Depreciação_31_101"/>
      <sheetName val="Teste_de_Adição_31_10"/>
      <sheetName val="Benfeitorias_em_Prop__3ºs_31_13"/>
      <sheetName val="Teste_de_Adição_dez_"/>
      <sheetName val="Teste_de_Adição_out_"/>
      <sheetName val="Teste_de_Baixa_dez_"/>
      <sheetName val="Teste_de_Baixa_out_"/>
      <sheetName val="Tabela_para_Seleção"/>
      <sheetName val="{PPC}_Demonstrativo_Leasing"/>
      <sheetName val="Ajustes_a_Lei_11_638"/>
      <sheetName val="Comp__Analítica_Imob_"/>
      <sheetName val="Mapa_de_Movimentação_31_10"/>
      <sheetName val="Ref_Rel"/>
      <sheetName val="Resumo_Held_for_Sale"/>
      <sheetName val="Planilha_Suporte_Held"/>
      <sheetName val="12_-_Mapa_Imob"/>
      <sheetName val="Planilha_Suporte_Imóveis"/>
      <sheetName val="PAS_Depreciação_Dez_091"/>
      <sheetName val="PAS_Depreciação_Out_09_"/>
      <sheetName val="Planilha_Suporte"/>
      <sheetName val="Pas_de_baixas"/>
      <sheetName val="1_Mapa_Imobilizado"/>
      <sheetName val="2_Teste_de_Adições"/>
      <sheetName val="3_Teste_de_Baixa"/>
      <sheetName val="4_PAS_Depreciação"/>
      <sheetName val="5_Aquisições_após_cisão"/>
      <sheetName val="2_Teste_de_adição"/>
      <sheetName val="3__Teste_Baixa"/>
      <sheetName val="4__Teste_Baixa_Adicional"/>
      <sheetName val="5__PAS_Depreciação"/>
      <sheetName val="(6)_Leasing"/>
      <sheetName val="(7)_Fiscal_x_Cliente"/>
      <sheetName val="Mapa_Mov_1"/>
      <sheetName val="Deprec_31_12"/>
      <sheetName val="Deprec_31_10"/>
      <sheetName val="Caminhões_Vendidos"/>
      <sheetName val="30_06"/>
      <sheetName val="Mapa_de_Mov"/>
      <sheetName val="Log_File_-_Adição"/>
      <sheetName val="Comp_Itens_Obsoletos"/>
      <sheetName val="Teste_Físico_para_o_contábil"/>
      <sheetName val="Composição_transf__Unicoba"/>
      <sheetName val="Lead_-_Novo_Plano"/>
      <sheetName val="(1)_Roll-Forward"/>
      <sheetName val="(2)_USGAAP_x_BRGAAP"/>
      <sheetName val="(3)_Mapa_Mov__-_USGAAP"/>
      <sheetName val="(4)_PAS_-_Deprec__-_USGAAP"/>
      <sheetName val="(5)_Mapa_Mov__-_BRGAAP"/>
      <sheetName val="(6)_PAS_-_Deprec__-_BRGAAP"/>
      <sheetName val="(7)_Deprec__US_x_BR"/>
      <sheetName val="(8)_Obras_em_Andamento_-_31_12"/>
      <sheetName val="(9)_Teste_Sd__Inicial"/>
      <sheetName val="(10)_Teste_Adição"/>
      <sheetName val="(11)_Teste_de_Baixa"/>
      <sheetName val="(12)_Obras_em_Andamento_-_30_09"/>
      <sheetName val="(13)_Custo_x_Depreciação"/>
      <sheetName val="(14)_Comp__Sd__Inicial_-_USxBR"/>
      <sheetName val="(7)_US_x_BR"/>
      <sheetName val="P1_-_Summary_Sheet"/>
      <sheetName val="P3_-_Reavaliado_x_Contábil"/>
      <sheetName val="P4_-_Imobilizado_em_Andamento"/>
      <sheetName val="P7_-_Depreciação_(PAS)"/>
      <sheetName val="mapa_mov_30_09_07"/>
      <sheetName val="mapa_mov_31_12_07"/>
      <sheetName val="Teste_de_adição_31_12_07"/>
      <sheetName val="tabela_Parâmetro"/>
      <sheetName val="mapa_mov_30_009_07"/>
      <sheetName val="mapa_mov"/>
      <sheetName val="Mapa_Movimentação_31_12"/>
      <sheetName val="P_A_S_Depreciação_31_12"/>
      <sheetName val="Mapa_Diferido_31_12"/>
      <sheetName val="Mapa_movimentação_30_09"/>
      <sheetName val="P_A_S_Depreciação_30_09"/>
      <sheetName val="Teste_sd__inicial"/>
      <sheetName val="Mapa_Diferido_30_09"/>
      <sheetName val="Log_ACL_sdo_inicial"/>
      <sheetName val="PAS_Vida_Útil"/>
      <sheetName val="Depreciação_2010"/>
      <sheetName val="Tab_1_-_Summary"/>
      <sheetName val="Tab2_-_Lead"/>
      <sheetName val="Tab3__-_Mapa_Imobilizado"/>
      <sheetName val="Tab4_-_PAS_Depreciação"/>
      <sheetName val="Tab5_-_T__Sld__Inicial_"/>
      <sheetName val="Tab6_-LOG_SI"/>
      <sheetName val="Tab7_-_Teste_Adições_"/>
      <sheetName val="Tab8_-_Teste_Baixas"/>
      <sheetName val="Tab9-_Mapa_Imobilizado_31_12_09"/>
      <sheetName val="Tab10-PAS_Depreciação_31_12_09"/>
      <sheetName val="Tab11_-_Teste_Adições__31_12_09"/>
      <sheetName val="Tab12_-_Teste_Baixas_31_12_09_"/>
      <sheetName val="Mapa_de_Imobilizado_31-12-08"/>
      <sheetName val="Teste_de_Add_31-10-08"/>
      <sheetName val="Investimento_31-12-08"/>
      <sheetName val="Teste_Saldo_Inicial_"/>
      <sheetName val="NE_2006"/>
      <sheetName val="Programa_IMOB"/>
      <sheetName val="Novo_mapa_CAL"/>
      <sheetName val="Novo_mapa_BB"/>
      <sheetName val="Mapa_imobilizado_CAL"/>
      <sheetName val="Novo_mapa_BB_reaval"/>
      <sheetName val="Novo_mapa_CAL_reaval"/>
      <sheetName val="NE_8"/>
      <sheetName val="DAAM_5210"/>
      <sheetName val="DAAM_5410"/>
      <sheetName val="1__Mapa_Imobilizado"/>
      <sheetName val="4__Teste_de_Saldo_Inicial"/>
      <sheetName val="1__Resumo"/>
      <sheetName val="Impairment_"/>
      <sheetName val="Impairment_311209"/>
      <sheetName val="_Programa_Trabalho"/>
      <sheetName val="1_Mapa_de_Imobilizado_(I_e_F)"/>
      <sheetName val="2_Teste_de_Adições_(I_e_F)"/>
      <sheetName val="3_Depreciação_(F)"/>
      <sheetName val="4__PAS_-_Depreciação_(I)"/>
      <sheetName val="5__Carta_Comentário"/>
      <sheetName val="6__Enfoque_Auditoria"/>
      <sheetName val="Tabela_"/>
      <sheetName val="P1_-_Sumario"/>
      <sheetName val="P3_-_Saldo_Inicial_12_07"/>
      <sheetName val="P4_-_Mapa_Imobilizado"/>
      <sheetName val="P5_-_PAS_Depreciação"/>
      <sheetName val="P6_-_Teste_de_adição"/>
      <sheetName val="P6_1_-_Teste_de_adição"/>
      <sheetName val="P7_-_Imobilizado_em_Andamento"/>
      <sheetName val="P3_-_Saldo_Inicial_12_06"/>
      <sheetName val="P6_-_Teste_de_adição_10_07"/>
      <sheetName val="P7_-_Imob__em_Andamento_12_07"/>
      <sheetName val="Sumário_de_Procedimentos"/>
      <sheetName val="P2-Saldo_Inicial"/>
      <sheetName val="P3-Teste_de_Adição_e_Baixa"/>
      <sheetName val="P4-Teste_de_Depreciação"/>
      <sheetName val="P5-Desp__Comerciais"/>
      <sheetName val="P6-Log_Saldo_Inicial"/>
      <sheetName val="Deprec_-Amortiz_"/>
      <sheetName val="P1__Sumário"/>
      <sheetName val="P3__Mapa_do_Imobilizado"/>
      <sheetName val="P5__Adições"/>
      <sheetName val="IFRS_6"/>
      <sheetName val="_Sumário"/>
      <sheetName val="P1__Nota_Explicativa"/>
      <sheetName val="P1_1_Depreciação"/>
      <sheetName val="P2__Mapa_30_09"/>
      <sheetName val="P2_1_Mapa_31_12"/>
      <sheetName val="P3__Cetrel"/>
      <sheetName val="P4_1_PAS_Depreciação_Fiscal"/>
      <sheetName val="P6__Teste_Imob__em_Andamento"/>
      <sheetName val="P7__Impairment"/>
      <sheetName val="P8__Sample_Size"/>
      <sheetName val="P9__Log_File"/>
      <sheetName val="Mapa_Movim__Móveis__Máquinas"/>
      <sheetName val="Mapa_de_Movimentação_Edifícios"/>
      <sheetName val="Mapa_Movim__Reformas_Andamento"/>
      <sheetName val="Teste_Importações_em_Andamento"/>
      <sheetName val="Teste_Reforma_em_Andamento"/>
      <sheetName val="Nota_Relatório_(2)"/>
      <sheetName val="Mapa_de_Depreciação"/>
      <sheetName val="Teste_Adições_e_Baixas"/>
      <sheetName val="NE_10"/>
      <sheetName val="Mapa_Cielo"/>
      <sheetName val="Mapa_SERV"/>
      <sheetName val="PAS_Depreciação_Cielo"/>
      <sheetName val="Mapa_Leasing"/>
      <sheetName val="Vida_útil_e_depreciação"/>
      <sheetName val="Cut_off_Adições"/>
      <sheetName val="Log_Mar08"/>
      <sheetName val="Movimentação_Set_e_Dez_2008"/>
      <sheetName val="Global_set_e_dez_2008"/>
      <sheetName val="Adições_do_Imobilizado"/>
      <sheetName val="Mov__Imob__2004_a_2008"/>
      <sheetName val="Global_depreciação_2004_a_2007"/>
      <sheetName val="Detalhe_Benf__Bens_Terc_"/>
      <sheetName val="Base_de_seleção_Adi__Imob_"/>
      <sheetName val="Teste_detalhe_de_adições"/>
      <sheetName val="Teste_detalhe_de_Baixa"/>
      <sheetName val="P4_Benf__Préd__Terc_"/>
      <sheetName val="P5_Vouching_Adições"/>
      <sheetName val="Contratos_de_Locação"/>
      <sheetName val="P2_-_Mapa"/>
      <sheetName val="P4_-_Saldo_Inicial"/>
      <sheetName val="P5_-_Adições"/>
      <sheetName val="P7_-_JOA"/>
      <sheetName val="NE_-_9_e_10"/>
      <sheetName val="P3_-_NE"/>
      <sheetName val="1__Mapa_de_Movimentaçao"/>
      <sheetName val="2__Saldo_Inicial"/>
      <sheetName val="4__Depreciação"/>
      <sheetName val="5__Tabela_DAAM"/>
      <sheetName val="2__Mapa_de_Movimentaçao"/>
      <sheetName val="3__Saldo_Inicial"/>
      <sheetName val="6__Tabela_DAAM"/>
      <sheetName val="Ganho_(Perda)_Venda_Imobilizado"/>
      <sheetName val="Chaves_-_O_Store"/>
      <sheetName val="PAS_Depreciação_31_10_2011"/>
      <sheetName val="PAS_Depreciação_31_12_2011"/>
      <sheetName val="Venda_de_Ativo"/>
      <sheetName val="P1_-_Ref__Relatório"/>
      <sheetName val="P2_-_Mapa_Imobilizado"/>
      <sheetName val="P3_-_PAS_Deprec__&amp;_Amortiz_"/>
      <sheetName val="P4_-_Teste_Adição"/>
      <sheetName val="1_BR_vs_USGAAP"/>
      <sheetName val="2_Mapa_Movimentação_BRGAAP"/>
      <sheetName val="2a_Nota_Imobilizado"/>
      <sheetName val="3_Validação_Saldo_Brgaap_"/>
      <sheetName val="4_PAS_depreciação_BRGAAP"/>
      <sheetName val="5_Mapa_Movimentação_Usgaap"/>
      <sheetName val="6_Validação_Saldo_Usgaap_"/>
      <sheetName val="7_PAS_depreciação_Usgaap"/>
      <sheetName val="8_PAS_depreciação_Acelerada"/>
      <sheetName val="9_PAS_Depreciação_31_12_10"/>
      <sheetName val="1__Ajuste_Off_Book_30_06"/>
      <sheetName val="2__Mapa_de_Mov__BRGAAP"/>
      <sheetName val="3__Mapa_de_Mov__USGAAP"/>
      <sheetName val="4__PAS_Depreciação_BRGAAP"/>
      <sheetName val="5__PAS_Depreciação_USGAAP"/>
      <sheetName val="6__Saldo_Inicial"/>
      <sheetName val="7__Alteração_das_taxas"/>
      <sheetName val="8__LOG's_ACL"/>
      <sheetName val="1_-_Mapa_de_Imobilizado"/>
      <sheetName val="2_-_Saldo_Inicial"/>
      <sheetName val="3_-_Adições"/>
      <sheetName val="4_-_Imobilizado_desativado"/>
      <sheetName val="5_-_CIAP"/>
      <sheetName val="6_-_Depreciação"/>
      <sheetName val="7_-_Log's_ACL"/>
      <sheetName val="8_-_Nota_Explicativa"/>
      <sheetName val="P1-Mapa_de_Movimentação_Dez2010"/>
      <sheetName val="P2-PAS_Depreciação_DEZ_2010"/>
      <sheetName val="P2_1-PAS_Depreciação_SET_2010"/>
      <sheetName val="P3-_Teste_Adição_Set_e_Dez_2010"/>
      <sheetName val="P1_Mapa_de_Movimentação_set2011"/>
      <sheetName val="P2_PAS_Depreciação_set2011"/>
      <sheetName val="P3_Teste_de_Adição"/>
      <sheetName val="Rollforward_Dez_11"/>
      <sheetName val="Teste_Saldo_Inicial_2009"/>
      <sheetName val="Teste_Saldo_Inicial_2010"/>
      <sheetName val="Mapa_de_Movimentação_2008"/>
      <sheetName val="Teste_de_Depreciação_2008"/>
      <sheetName val="Teste_de_adições_out_08"/>
      <sheetName val="Teste_de_baixas_out_08"/>
      <sheetName val="Teste_saldo_inicial_out_08"/>
      <sheetName val="LOG_Teste_de_Saldo_Inicial"/>
      <sheetName val="Custo_Depreciação_2008"/>
      <sheetName val="Movimentação_out_07"/>
      <sheetName val="Teste_de_adição_out_07"/>
      <sheetName val="LOG_teste_adição_out_07"/>
      <sheetName val="Teste_saldo_inicial_out_07"/>
      <sheetName val="LOG_teste_inicial_out_07"/>
      <sheetName val="Movimentação_dez_07"/>
      <sheetName val="Teste_de_adição_dez_07"/>
      <sheetName val="LOG_teste_adição_dez_07"/>
      <sheetName val="Teste_Depreciação_31_12_07"/>
      <sheetName val="Custo_Depreciação_Dez07"/>
      <sheetName val="Teste_de_baixa_out_07"/>
      <sheetName val="LOG_Teste_saldo_inicial_out_07"/>
      <sheetName val="Teste_de_Custo_Deprec_"/>
      <sheetName val="Propostas_de_Baixa"/>
      <sheetName val="P2-Mapa_de_movimentação_out_07"/>
      <sheetName val="P3_-_Teste_de_adição_out_07"/>
      <sheetName val="P4_-_LOG_teste_adição_out_07"/>
      <sheetName val="P5_-_Teste_de_baixa_out_07"/>
      <sheetName val="P7-LOG_Teste_saldo_inic_out_07"/>
      <sheetName val="P8-Mapa_de_movimentação_dez_07"/>
      <sheetName val="P9_-_Teste_de_adição_dez_07"/>
      <sheetName val="P10_-_LOG_teste_adição_dez_07"/>
      <sheetName val="P11_-_Teste_Depreciação_Dez07"/>
      <sheetName val="P12_-_Teste_de_Custo_Deprec_"/>
      <sheetName val="P13_-_Propostas_de_Baixa"/>
      <sheetName val="P6-Teste_de_saldo_inicial_out07"/>
      <sheetName val="Mapa_de_Movimentação_out_08"/>
      <sheetName val="Teste_de_Depreciação_out_08"/>
      <sheetName val="Teste_de_Detalhe_de_Depreciação"/>
      <sheetName val="Teste_de_adição_out_08"/>
      <sheetName val="Teste_de_baixa_out_08"/>
      <sheetName val="P4_-_Teste_de_Baixas"/>
      <sheetName val="P5_-_Teste_de_Depreciação"/>
      <sheetName val="P6_-_Teste_de_Custo_Deprec_"/>
      <sheetName val="P7_-_Log_ACL_-_Adições"/>
      <sheetName val="P5_-_Teste_de_Saldo_inicial"/>
      <sheetName val="P6_-_Teste_de_Depreciação"/>
      <sheetName val="P7_-_Teste_de_Custo_Deprec_"/>
      <sheetName val="P8_-_Propostas_de_Baixa"/>
      <sheetName val="P9_-_Log_ACL_-_Saldo_Inicial"/>
      <sheetName val="P10_-_Log_ACL_-_Adições"/>
      <sheetName val="3__Teste_Base_e_Adições"/>
      <sheetName val="4__Teste_das_Transferências"/>
      <sheetName val="5__Teste_Base_Instalações"/>
      <sheetName val="6__Orçamento_x_Saeng"/>
      <sheetName val="7__Depreciação_instalações"/>
      <sheetName val="7_1_Depr__Sobras"/>
      <sheetName val="7_2_Depr__Itens_conciliados"/>
      <sheetName val="7_3_Depr__Itens_Set-Dez_10"/>
      <sheetName val="8__Inspeção_Física_"/>
      <sheetName val="Audit_Sampling_Sample_Size"/>
      <sheetName val="1__Teste_Base_e_Adições"/>
      <sheetName val="2__Teste_das_Transferências"/>
      <sheetName val="3__Teste_Base_Instalações"/>
      <sheetName val="4__Orçamento_x_Saeng"/>
      <sheetName val="5__Depreciação_instalações"/>
      <sheetName val="5_1_Depr__Sobras"/>
      <sheetName val="5_2_Depr__Itens_conciliados"/>
      <sheetName val="5_3_Depr__Itens_Set-Dez_10"/>
      <sheetName val="6__Inspeção_Física_"/>
      <sheetName val="Relação_de_lojas"/>
      <sheetName val="Mapa_Marisa_Lojas"/>
      <sheetName val="Mapa_a_realizar"/>
      <sheetName val="Resumo_adições"/>
      <sheetName val="PAS_Depreciação_-_Marisa"/>
      <sheetName val="PAS_Depreciação_-_Credi_21"/>
      <sheetName val="Cálculo_Taxa_Efetiva"/>
      <sheetName val="REF_Relatório"/>
      <sheetName val="P1_Mapa_Imobilizado"/>
      <sheetName val="P2_PAS_Depreciação"/>
      <sheetName val="P3_Teste_de_Adição_nov_09"/>
      <sheetName val="P4_Teste_Saldo_Inicial"/>
      <sheetName val="P5_Rollfoward_Procedures__28_02"/>
      <sheetName val="P6__Teste_de_Adição_fev_10"/>
      <sheetName val="P2_PAS_Depreciação_28_02"/>
      <sheetName val="P2_Teste_de_Adição_Fev_11"/>
      <sheetName val="P3_PAS_Depreciação_30_11"/>
      <sheetName val="P4_Teste_de_Adição_nov_10"/>
      <sheetName val="P2_-_Nota"/>
      <sheetName val="P6_-_PAS_Depreciação"/>
      <sheetName val="P7_-_Teste_de_Baixa"/>
      <sheetName val="P8_-Tabela_Parâmetro"/>
      <sheetName val="Teste_impairment"/>
      <sheetName val="Investimentos_Dez"/>
      <sheetName val="Investimentos_Out"/>
      <sheetName val="Mapas_de_Imobilizado"/>
      <sheetName val="Teste_Adições_e_Baixas_RT"/>
      <sheetName val="Teste_Adições_Terminais"/>
      <sheetName val="Ajuste_de_Anos_Anteriores"/>
      <sheetName val="simple_size"/>
      <sheetName val="P2-Intruções_DTT_França"/>
      <sheetName val="P6-Mapa_de_Movimentação_31_12"/>
      <sheetName val="P6-Mapa_de_Movimentação_31_10"/>
      <sheetName val="P6-Mapa_de_Movimentação_30_06"/>
      <sheetName val="P7-Teste_de_Saldo_Inicial"/>
      <sheetName val="P8-Teste_de_Adição"/>
      <sheetName val="P9-LOG_ACL"/>
      <sheetName val="Teste_de_Adição_e_Baixa"/>
      <sheetName val="P1__Mapa_de_movimentação"/>
      <sheetName val="P2__Teste_de_adição"/>
      <sheetName val="P3__Teste_de_baixas"/>
      <sheetName val="P4__PCC"/>
      <sheetName val="Análise_de_Variação_31_12"/>
      <sheetName val="Mapa_Imobilizado_31_12"/>
      <sheetName val="Análise_de_software_31_12"/>
      <sheetName val="Análise_de_Variação_31_10"/>
      <sheetName val="Mapa_Imobilizado_31_10"/>
      <sheetName val="Diferido_31_12"/>
      <sheetName val="Key_Money"/>
      <sheetName val="Gastos_com_desenv__Dez"/>
      <sheetName val="Teste_de_Adição_Dez"/>
      <sheetName val="Teste_de_Baixa_Dez"/>
      <sheetName val="Rollfoward_Depreciação_Dez"/>
      <sheetName val="Obras_em_andamento_Dez"/>
      <sheetName val="Juros_s__imobilizado_Dez"/>
      <sheetName val="Log_ACL_Dez"/>
      <sheetName val="Teste_de_Detalhe_-_Depreciação"/>
      <sheetName val="P2__PAS_de_Depreciação"/>
      <sheetName val="P3__Teste_de_adição"/>
      <sheetName val="Sample_Size_Table"/>
      <sheetName val="1__Mapa_de_Mov__Imob_31_12"/>
      <sheetName val="2__Mapa_Mov__Intang__31_12"/>
      <sheetName val="3_1_Teste_Alternativo"/>
      <sheetName val="6__Tabela_de_Itens"/>
      <sheetName val="2__Mapa_Mov__Intang__30_09"/>
      <sheetName val="1__Mapa_de_Mov__Imob_30_09"/>
      <sheetName val="1a__Mapa_de_Mov_Imobilizado"/>
      <sheetName val="1b__Mapa_Movim_Imobilizado"/>
      <sheetName val="2a_Mapa_Movimentação_Intangível"/>
      <sheetName val="2b_Mapa_Movimentação_Intangível"/>
      <sheetName val="1__Mapa_de_Mov__Imobilizado"/>
      <sheetName val="2__Mapa_Movimentação_Intangível"/>
      <sheetName val="3_b_PAS_Depreciação"/>
      <sheetName val="4_Itens_Transferidos_para_BVS"/>
      <sheetName val="5__Teste_de_Adição_Baixas"/>
      <sheetName val="P2_Mapa_de_Movimentação"/>
      <sheetName val="P3_Mapa_Intangível"/>
      <sheetName val="P4_Teste_de_Adição_out_e_dez"/>
      <sheetName val="P5_Intangível_2008"/>
      <sheetName val="P6_PPC"/>
      <sheetName val="P7_Teste_de_Saldo_Inicial_31_12"/>
      <sheetName val="P8_PAS_Depreciação"/>
      <sheetName val="NE_-_Imobilizado"/>
      <sheetName val="Movimentação_Controladora"/>
      <sheetName val="Movimentação_Consolidado"/>
      <sheetName val="Mapa_Eternit"/>
      <sheetName val="Mapa_Sama"/>
      <sheetName val="Mapa_Precon"/>
      <sheetName val="Registro_de_Imóveis"/>
      <sheetName val="P2-_Ajustes_e_PCC"/>
      <sheetName val="P4-NE_-_Imobilizado"/>
      <sheetName val="P5-NE_-_Intangível"/>
      <sheetName val="P6-NE_-_Movim__Consolidado"/>
      <sheetName val="P7-NE_-_Moviment__controladora"/>
      <sheetName val="P8-Mapa_Eternit"/>
      <sheetName val="P9-Mapa_Precon"/>
      <sheetName val="P10-Mapa_Sama"/>
      <sheetName val="P11-Depreciações__Eternit"/>
      <sheetName val="P12-Eternit_-_Adições"/>
      <sheetName val="P13-Eternit_-_Baixas_"/>
      <sheetName val="P14-Precon_-_Adições"/>
      <sheetName val="P15-Precon_-_Baixas"/>
      <sheetName val="P16-Teste_de_Depreciações__Sama"/>
      <sheetName val="P17-SAMA_-_Adições"/>
      <sheetName val="2__Mapa_de_Imobilizado_"/>
      <sheetName val="3__Teste_Saldo_Inicial"/>
      <sheetName val="5__Ágio"/>
      <sheetName val="6__Análise_Impearment"/>
      <sheetName val="7__Registros"/>
      <sheetName val="8__Pontos_Identificados"/>
      <sheetName val="Teste_de_Depreciações__Eternit"/>
      <sheetName val="Eternit_-_Adições"/>
      <sheetName val="Eternit_-_Baixas"/>
      <sheetName val="Precon_-_Adições"/>
      <sheetName val="Precon_-_Baixas"/>
      <sheetName val="Teste_de_Depreciações__Sama"/>
      <sheetName val="SAMA_-_Adições"/>
      <sheetName val="SAMA_-_Baixas_"/>
      <sheetName val="NE_-_Intangível"/>
      <sheetName val="NE_-_Movim__Consolidado"/>
      <sheetName val="NE_-_Moviment__controladora"/>
      <sheetName val="Depreciações__Eternit"/>
      <sheetName val="1__Mapa_de_Mov__Imob"/>
      <sheetName val="Gastos_com_desenv__-_Dez"/>
      <sheetName val="Impairment_ativo_fixo"/>
      <sheetName val="Gastos_com_desenv__"/>
      <sheetName val="Para_ref__relatório"/>
      <sheetName val="Análise_de_Variação_-_Dez"/>
      <sheetName val="2__Nota_Rel_"/>
      <sheetName val="P3-Teste_Adição_30-09"/>
      <sheetName val="P4-Teste_Saldo_Inicial"/>
      <sheetName val="P3-_Rollfoward"/>
      <sheetName val="P4-Teste_Adição_30-09"/>
      <sheetName val="P5-Teste_Adição_31-12"/>
      <sheetName val="Mapa_Mov__Participações"/>
      <sheetName val="Mapa_Mov__VitoriaPAR"/>
      <sheetName val="Mapa_Mov__Industria"/>
      <sheetName val="Aging_-_Industria"/>
      <sheetName val="Aging_-_VitoriaPAR"/>
      <sheetName val="Pas_de_Depreciação_Partic_"/>
      <sheetName val="Pas_de_Depreciação_VitoriaPAR"/>
      <sheetName val="Pas_de_Depreciação_Industria"/>
      <sheetName val="Nota_Vida_Util_-_Impairment"/>
      <sheetName val="Log_ACL_"/>
      <sheetName val="1__Sumário_"/>
      <sheetName val="3__Projeto_em_Andamento"/>
      <sheetName val="5__Teste_de_Adição"/>
      <sheetName val="1__Mapa_de_Imobilizado_"/>
      <sheetName val="Procedimentos_Acordados"/>
      <sheetName val="P1__Mapa_de_Imob_"/>
      <sheetName val="P4__Sample_size_and_threshold"/>
      <sheetName val="P1_-_Mapa_de_Imobilizado"/>
      <sheetName val="P3_-_Teste_de_adição"/>
      <sheetName val="Sample_Sizes"/>
      <sheetName val="Global_de_Depreciação"/>
      <sheetName val="P2_-_Mapa_de_Movimentação_"/>
      <sheetName val="P3_-_PAS_Depreciação_"/>
      <sheetName val="P5_-__Teste_de_Baixa"/>
      <sheetName val="P6_-_Teste_Ativo_em_Andamento"/>
      <sheetName val="P7_-_Rollfoward"/>
      <sheetName val="P3__PAS_Depreciação"/>
      <sheetName val="P4__Report"/>
      <sheetName val="1__Mapa_31_12_10"/>
      <sheetName val="2__Imobilizado_em_poder_de_3º"/>
      <sheetName val="6__Impairment"/>
      <sheetName val="2__Mapa_31_12_10"/>
      <sheetName val="3__Imobilizado_em_poder_de_3º"/>
      <sheetName val="6__Teste_de_Adição"/>
      <sheetName val="7__Impairment"/>
      <sheetName val="Depreciação_II"/>
      <sheetName val="Direito_de_repres_"/>
      <sheetName val="P3_Teste_de_Adição_nov_10"/>
      <sheetName val="Resumo_Imobilizado_p__Loja"/>
      <sheetName val="2__Mapa_-_Ezesa"/>
      <sheetName val="3__Baixa_Haddock_Lobo"/>
      <sheetName val="4__PAS_Depreciação_-Ezesa_31_12"/>
      <sheetName val="4__Mapa_-_Zegna"/>
      <sheetName val="5__PAS_Depreciação_-Zegna_31_12"/>
      <sheetName val="6__Teste_de_adições_-_Ezesa"/>
      <sheetName val="7__Teste_de_adições_-_Zegna"/>
      <sheetName val="8__Saldo_Inicial_-_Ezesa"/>
      <sheetName val="8_1_Saldo_N__Identificado_-_Ez"/>
      <sheetName val="9__Saldo_Inicial_-_Zegna"/>
      <sheetName val="10__DAAM"/>
      <sheetName val="P3__Teste_de_Adições"/>
      <sheetName val="P4__Teste_de_Baixas"/>
      <sheetName val="P5__Pas_de_Depreciação"/>
      <sheetName val="P6__Rollfoward_Procedure"/>
      <sheetName val="P6__Rollfoward"/>
      <sheetName val="P6__Threshold_and_Sample_Size"/>
      <sheetName val="3__PAS_Depreciação_Ezesa_31_12"/>
      <sheetName val="5__PAS_Depreciação_Zegna_31_12"/>
      <sheetName val="6__Teste_de_adições_Ezesa"/>
      <sheetName val="7__Teste_de_adições_Zegna"/>
      <sheetName val="8__DAAM"/>
      <sheetName val="2__Mapa_de_Imobililizado"/>
      <sheetName val="3__Aging_-_Imobil__andamento"/>
      <sheetName val="5__Sample_Size"/>
      <sheetName val="6__Notas_Explicativas"/>
      <sheetName val="3__PAS_Depreciação_-Ezesa_31_10"/>
      <sheetName val="3_1__Baixa_Haddock_Lobo"/>
      <sheetName val="5__PAS_Depreciação_-Zegna_31_10"/>
      <sheetName val="P1__Mapa_do_Imobilizado"/>
      <sheetName val="P3__Teste_Adição"/>
      <sheetName val="P4__Teste_de_Saldo_Inicial_"/>
      <sheetName val="1_1_NE"/>
      <sheetName val="2__Mapa_Depreciação"/>
      <sheetName val="3__Imobilizado_Fiscal"/>
      <sheetName val="3_Obras_em_andamento"/>
      <sheetName val="4__I_A_Bens_de_Uso"/>
      <sheetName val="6__Impairment_"/>
      <sheetName val="P1__Mapa_-_31_03_12"/>
      <sheetName val="P2__Mapa_-_30_06_12"/>
      <sheetName val="P3__Teste_de_Adições_"/>
      <sheetName val="P4__Memo_Arrendamento"/>
      <sheetName val="P5__LOG_ACL"/>
      <sheetName val="P6__Sample_Size"/>
      <sheetName val="P7__Reclassificações"/>
      <sheetName val="P1__Mapa_-_30_06_12"/>
      <sheetName val="P2__Teste_de_Adição_31_03_12"/>
      <sheetName val="P3__LOG_ACL"/>
      <sheetName val="P4__Sample_Size"/>
      <sheetName val="P5__Teste_de_Baixas"/>
      <sheetName val="1_Mapa_de_Imobilização"/>
      <sheetName val="P1_Mapa_de_Movimentação"/>
      <sheetName val="P2_PAS_Depreciação1"/>
      <sheetName val="P3_Teste_de_Saldo_Inicial"/>
      <sheetName val="P4_Análise_de_Impairment"/>
      <sheetName val="Determination_Sample"/>
      <sheetName val="Critério_de_Seleção"/>
      <sheetName val="PPC_-_Mapa_Imobilizado_DEZ-08"/>
      <sheetName val="Mapa_Imob__&amp;_PAS_Deprec_"/>
      <sheetName val="DAAM_5440"/>
      <sheetName val="Movimentação_2007"/>
      <sheetName val="Comparativo_DTTx_Contábil"/>
      <sheetName val="Reserva_de_Reavaliação_2006"/>
      <sheetName val="Movimentação_2006_após_reaval_"/>
      <sheetName val="Laudo_de_Reavaliação"/>
      <sheetName val="P3_PAS_Depreciação"/>
      <sheetName val="P4_Teste_Adições"/>
      <sheetName val="P5_-_Adiantamento_TUPI"/>
      <sheetName val="P6_-_Adiantamento_Uirapuru"/>
      <sheetName val="P6_-_Faz__Independência"/>
      <sheetName val="P7_Análise_Impairment"/>
      <sheetName val="P8_-_Recebimento_Faz__Independ"/>
      <sheetName val="Add__Software"/>
      <sheetName val="Rec__Imob__em_Andamento"/>
      <sheetName val="1_Mapa_de_Movimentação"/>
      <sheetName val="2__Análises_30_09"/>
      <sheetName val="3__PAS_Deprec__e_Amort_"/>
      <sheetName val="3_1_Deprec__Benfeitorias"/>
      <sheetName val="4__Calculo_da_Amostra"/>
      <sheetName val="4_1_Teste_de_Adição_30_09"/>
      <sheetName val="4_2_Teste_de_Adição_31_12"/>
      <sheetName val="5__Despesas_com_IPO"/>
      <sheetName val="6__Análise_de_Luvas"/>
      <sheetName val="7__Resumo_de_Ajustes"/>
      <sheetName val="Detalhes_imobilizado"/>
      <sheetName val="P1_Mapa_de_Imobilizado"/>
      <sheetName val="P2_Depreciação"/>
      <sheetName val="2__Imob_em_Andamento"/>
      <sheetName val="3_Teste_de_adições"/>
      <sheetName val="4__PAS_Deprec__e_Amort_"/>
      <sheetName val="5_Cessão_Direito_Uso_-_Detalhes"/>
      <sheetName val="5_1_Amortização_Cessão_Direito"/>
      <sheetName val="P1__Mapa_de_Imobilizado"/>
      <sheetName val="P2__PAS_de_Depreciação_30_09"/>
      <sheetName val="P5__Teste_de_IPE"/>
      <sheetName val="2__Teste_de_Adições_30_09"/>
      <sheetName val="2_1_Teste_de_Adições_31_12"/>
      <sheetName val="3__Teste_de_Baixas"/>
      <sheetName val="4_1_Depreciação_Leasing"/>
      <sheetName val="5__Análise_Lançamento_CDC"/>
      <sheetName val="6__Cessão_Direito_de_Uso"/>
      <sheetName val="Relatorio_Local"/>
      <sheetName val="P3-Teste_Adição"/>
      <sheetName val="P5-_Rollfoward_31_12_2011"/>
      <sheetName val="P3-_Rollfoward_31_12_2010"/>
      <sheetName val="1_MAP"/>
      <sheetName val="2_PAS_Depreciação_30_11"/>
      <sheetName val="2_1PAS_Depreciação_31_12"/>
      <sheetName val="3_CIP"/>
      <sheetName val="3_1_CIP_Oracle"/>
      <sheetName val="3_2_CIP_Detalhe_Entradas_NF's"/>
      <sheetName val="3_3_Teste_adições_AF_paa_CIP"/>
      <sheetName val="3_4_Capex"/>
      <sheetName val="4_Teste_adições_Demais_Ativos"/>
      <sheetName val="5_Baixas"/>
      <sheetName val="P2__Procedimentos"/>
      <sheetName val="P3__Mapa_Imobilizado"/>
      <sheetName val="P4__Adições_e_Baixas"/>
      <sheetName val="P5__PAS_-_Depreciação"/>
      <sheetName val="P5__Cálculo_Tx_Depreciação_"/>
      <sheetName val="P6__Ajuste_Depreciação"/>
      <sheetName val="1__Mapa_de_imobilizado"/>
      <sheetName val="5__Teste_final_de_Obras_em_Andt"/>
      <sheetName val="6__Análise_de_recuperabilidade"/>
      <sheetName val="7__Teste_de_Transferências"/>
      <sheetName val="8__Vida_útil"/>
      <sheetName val="Movimentação_"/>
      <sheetName val="PAS_Depreciação_31_10_12"/>
      <sheetName val="PAS_Depreciação_31_12_12"/>
      <sheetName val="Base_Seleção"/>
      <sheetName val="Mapa_movimentação_e_PAS"/>
      <sheetName val="Mapa_Mov__e_PAS_Deprec_"/>
      <sheetName val="Teste_Adições_10-02"/>
      <sheetName val="Parâmetro_depreciação"/>
      <sheetName val="Selecao_itens_custo_inicial_02"/>
      <sheetName val="Bem_Principal"/>
      <sheetName val="Mapa_Imobilizado_30_09_2010"/>
      <sheetName val="Teste_Saldo_Inicial_Imobilizado"/>
      <sheetName val="Teste_Adições_Imobilizado"/>
      <sheetName val="Parâmetro_31_10_2009"/>
      <sheetName val="Mapa_Imobilizado_3112"/>
      <sheetName val="Mapa_movimentação_e_PAS_deprec"/>
      <sheetName val="1a__Mapa_Fiscal_CB01"/>
      <sheetName val="1b__Mapa_Fiscal_CB02"/>
      <sheetName val="1c__PAS_Depreciação_Fiscal_dez"/>
      <sheetName val="2a__Mapa_Gerencial_CB01"/>
      <sheetName val="2b__Mapa_Gerencial_CB02"/>
      <sheetName val="2c__PAS_Depreciação_Ger_dez"/>
      <sheetName val="3a__Log_ACL_Saldos_Iniciais"/>
      <sheetName val="4a__Log_ACL_Adições"/>
      <sheetName val="5_Teste_de_Baixas"/>
      <sheetName val="5a_Log_ACL_Baixas"/>
      <sheetName val="6__Ganhos_ou_Perdas_nas_Baixas"/>
      <sheetName val="7__Imobilizado_em_Andamento"/>
      <sheetName val="8__Teste_detalhe_depreciação"/>
      <sheetName val="1_Mapa_de_Mov__-_DSP_Com_"/>
      <sheetName val="2_PAS_Depreciação_-_DSP_Com_"/>
      <sheetName val="3_PAS_Amort__-_DSP_Com_"/>
      <sheetName val="4_Teste_de_Adição_-_DSP_Com_"/>
      <sheetName val="5_Mapa_de_Movimentação_-_Farmax"/>
      <sheetName val="6_PAS_Depreciação_-_Farmax"/>
      <sheetName val="7_PAS_Amortização_-_Farmax"/>
      <sheetName val="8_Teste_de_Adição_-_Farmax"/>
      <sheetName val="9_Mapa_de_Mov__e_PAS_-_DSP_Adm_"/>
      <sheetName val="10_Nova_Tabela"/>
      <sheetName val="11__Nota_Explicativa"/>
      <sheetName val="Report_Package_Italian"/>
      <sheetName val="P1__Mapa_de_Mov_"/>
      <sheetName val="P2_Análise_de_Var_"/>
      <sheetName val="P5_Log_Saldo_Inicial"/>
      <sheetName val="P6__Teste_das_Adições"/>
      <sheetName val="P10_-_Teste_Saldo_Inicial_31_12"/>
      <sheetName val="P11-Teste_Impairmen_31_10-31_12"/>
      <sheetName val="P3-Report_Package_Italian"/>
      <sheetName val="P4-_Mapa_de_Mov_"/>
      <sheetName val="P5-Análise_de_Var_"/>
      <sheetName val="P6-PAS_Depreciação"/>
      <sheetName val="P7-Log_Saldo_Inicial"/>
      <sheetName val="P8-Teste_das_Adições"/>
      <sheetName val="Mapa_Imobilizado_30_06_2006"/>
      <sheetName val="Analise_de_variacao_-_Custo"/>
      <sheetName val="Analise_de_variacao_-_Depreciaç"/>
      <sheetName val="P0__Endereçamento_do_Risco"/>
      <sheetName val="P1-_Lead"/>
      <sheetName val="P2-_Mapa_do_Imobilizado"/>
      <sheetName val="P3-_PAS_de_Depreciação"/>
      <sheetName val="P4-_Teste_de_adições"/>
      <sheetName val="Sample_size_and_threshold"/>
      <sheetName val="Mapa_movimentação_31_12_2009"/>
      <sheetName val="P1_Mapa_Movimentação"/>
      <sheetName val="P2_PAS_da_Depreciação"/>
      <sheetName val="P3_Teste_Saldo_Inicial"/>
      <sheetName val="P5_Imob__Poder_Terceiros"/>
      <sheetName val="Base_de_Seleção_Adição"/>
      <sheetName val="Mapa_de_Movimentação_USGAAP"/>
      <sheetName val="BR_GAAP_x_IFRS"/>
      <sheetName val="Teste_de_SI_(Saldo_Inicial)"/>
      <sheetName val="Baixa_(Saldo_Inicial)"/>
      <sheetName val="Rollforward__-_Custo"/>
      <sheetName val="P2_-_Movimentação"/>
      <sheetName val="P3_-_Conciliação_Imobilizado"/>
      <sheetName val="P5_-_Teste_de_Baixas"/>
      <sheetName val="Resumo_Levantamento"/>
      <sheetName val="Ajustes_e_Reclassificações"/>
      <sheetName val="Taxas_IFRS"/>
      <sheetName val="P3_-__PAS_de_Depreciação"/>
      <sheetName val="P4_-__Teste_de_Adições"/>
      <sheetName val="P6_-_Ativo_em_andamento"/>
      <sheetName val="Rollfoward_Imobilizado"/>
      <sheetName val="Global_Depreciação_31_10_06"/>
      <sheetName val="Teste_Baixas_31_10_06"/>
      <sheetName val="Composição_adições"/>
      <sheetName val="Instalações_e_sistemas"/>
      <sheetName val="Direito_lavra"/>
      <sheetName val="Movim_"/>
      <sheetName val="Adições_e_Baixas_30_09_05"/>
      <sheetName val="Adições_e_Baixas_31_12_05"/>
      <sheetName val="Global_Dep_30-09-05"/>
      <sheetName val="Global_Dep_31_12_05"/>
      <sheetName val="_Dep_Maq_Equip_30-09-05"/>
      <sheetName val="Dep__Maq_Equip__31_12_05"/>
      <sheetName val="Mov_Imobilizado"/>
      <sheetName val="Adições_set-dez"/>
      <sheetName val="Adições_jan-set"/>
      <sheetName val="Composição_Outros_itens_Imob"/>
      <sheetName val="Comp__Benf_prontas_em_Hangares"/>
      <sheetName val="Adições_30_09"/>
      <sheetName val="Baixas_30_09"/>
      <sheetName val="Baixas_31_12"/>
      <sheetName val="Verificação_física"/>
      <sheetName val="Mov_Imob"/>
      <sheetName val="Mov_Ferram_Esp"/>
      <sheetName val="Resumo_Mov_31_10"/>
      <sheetName val="Resumo_Mov_31_12"/>
      <sheetName val="Comp_Adiant_Fornec"/>
      <sheetName val="Seleção_adições_30_9"/>
      <sheetName val="OS_600_238"/>
      <sheetName val="Relatório_Patrimonial"/>
      <sheetName val="Teste_Depreciação_Acumulada"/>
      <sheetName val="Itens_Adquiridos_antes_de_2002"/>
      <sheetName val="Recálculo_x_EMS"/>
      <sheetName val="Bens_originais_baixados-Edific_"/>
      <sheetName val="Mov_analitica_exterior"/>
      <sheetName val="Mov_analitica_consorcios"/>
      <sheetName val="Patrimonial_31-12-2008"/>
      <sheetName val="Imob__Andamento"/>
      <sheetName val="Teste_Global_de_Dep_"/>
      <sheetName val="Detalhe_Baixas"/>
      <sheetName val="Patrimonial_(2)"/>
      <sheetName val="Patrimonial_30_09"/>
      <sheetName val="imob_em_andamento_31-12"/>
      <sheetName val="Imob__Andamento_30_09"/>
      <sheetName val="Nota_Geral"/>
      <sheetName val="Mov__Total"/>
      <sheetName val="Mov__Consórcios"/>
      <sheetName val="Mov__Sucursais"/>
      <sheetName val="Global_Deprec_"/>
      <sheetName val="Arquivo_Patrimonial"/>
      <sheetName val="Arquivo_Patrimonial_"/>
      <sheetName val="Movimentação_Liasse"/>
      <sheetName val="Composição_Imobilizado"/>
      <sheetName val="Fotos_inspeção"/>
      <sheetName val="Movimentação_R$"/>
      <sheetName val="Tx__Depr__R$"/>
      <sheetName val="Bens_Deprec__R$"/>
      <sheetName val="Global_Deprec__R$"/>
      <sheetName val="Imob_em_curso"/>
      <sheetName val="Admt__Fornecedores"/>
      <sheetName val="Exaustão_R$"/>
      <sheetName val="Adição_Floresta"/>
      <sheetName val="Adição_Imobilizado"/>
      <sheetName val="Nota_USGAAP"/>
      <sheetName val="Exaustão_USD$"/>
      <sheetName val="Movimentação_US$"/>
      <sheetName val="Tx__Depr__U$"/>
      <sheetName val="Bens_Deprec__US$"/>
      <sheetName val="Global_Deprec__US$"/>
      <sheetName val="Tabela_-_Tamanho_da_Amostra"/>
      <sheetName val="Cálculo_Depreciação_30_11_03"/>
      <sheetName val="Valorização_linha_telefônica"/>
      <sheetName val="Imobilizado_III"/>
      <sheetName val="Global_Depreciação_31_10_08"/>
      <sheetName val="Obra_em_andamento"/>
      <sheetName val="Mov__Imobilizado"/>
      <sheetName val="Detalhe_Adições"/>
      <sheetName val="Inspeção_Fisica_Saldo_31_12_08"/>
      <sheetName val="Imobilizado_Andamento"/>
      <sheetName val="Global_Depr__30_09"/>
      <sheetName val="Análise_de_Impairment"/>
      <sheetName val="Exaustão_30_09"/>
      <sheetName val="Ajustes_11_638_ICPC_10_em_2009"/>
      <sheetName val="Imob__em_Andam_"/>
      <sheetName val="Ajustes_11_638_ICPC_10_em_2008"/>
      <sheetName val="Reflorest__em_andam_"/>
      <sheetName val="Adições_Reflorest_"/>
      <sheetName val="Imoblz__em_Andam_"/>
      <sheetName val="Itens_transferidos_para_VMFL"/>
      <sheetName val="Adiantam__MI"/>
      <sheetName val="Adiantam__ME"/>
      <sheetName val="Detalhe_Composição"/>
      <sheetName val="Imob__andamto_"/>
      <sheetName val="Movimentação_-_R$"/>
      <sheetName val="Global_de_Dep__-_R$_31_12_06"/>
      <sheetName val="Global_de_Dep__-_R$"/>
      <sheetName val="Movimentação_EUR"/>
      <sheetName val="Global_de_Depreciação_EUR"/>
      <sheetName val="Teste_Depreciação__R$"/>
      <sheetName val="Movimentação_Euros"/>
      <sheetName val="Teste_Depreciação__EUR"/>
      <sheetName val="Deprec__31_12_06"/>
      <sheetName val="Imob_Andamento"/>
      <sheetName val="Global_de_Dep__-_R$_31_10_06"/>
      <sheetName val="Log_(inspeção)"/>
      <sheetName val="Log_(adições)"/>
      <sheetName val="Imob_em_curso1"/>
      <sheetName val="Teste_de_Adições_31_12_2006"/>
      <sheetName val="Sistema_Patrimonial"/>
      <sheetName val="Utilização_e_Vida_Útil_dos_Bens"/>
      <sheetName val="Alto_forno"/>
      <sheetName val="Fazendas_Registradas"/>
      <sheetName val="Depreciação_-_Calmit"/>
      <sheetName val="Depreciação_-_Belocal"/>
      <sheetName val="Depreciação_12_2007"/>
      <sheetName val="Resumo_Reavaliação"/>
      <sheetName val="Ativos_reavaliados"/>
      <sheetName val="Adto_a_Fornecedores"/>
      <sheetName val="Movim__Imobilizado_31_12_07"/>
      <sheetName val="Deprec__Imobilizado_31_12_07"/>
      <sheetName val="Deprec__Imobilizado_30_09_07"/>
      <sheetName val="Composição_Baixas_31_12_07"/>
      <sheetName val="Conciliação_Patr_x_Cont_31_12"/>
      <sheetName val="Conciliação_Patr_X_Cont"/>
      <sheetName val="Tabela_Enfoque"/>
      <sheetName val="Quadro_NE_Relatório"/>
      <sheetName val="Movim__Imobilizado_30_09_07"/>
      <sheetName val="Movim__Imobilizado_30_06_07"/>
      <sheetName val="Depreciação_30_06_2006"/>
      <sheetName val="Imobilizado_Omnitracs_30_06"/>
      <sheetName val="Detalhe_Adiçoes"/>
      <sheetName val="Movim__Imobilizado_30_06_06"/>
      <sheetName val="Conciliação_Sist__Patrim_xCont_"/>
      <sheetName val="Depreciação_30_06_06"/>
      <sheetName val="Adições_Imob__30_06_06"/>
      <sheetName val="Baixas_Imob__30_06_06"/>
      <sheetName val="Teste_adicional_Baixas"/>
      <sheetName val="Movim__Imob__30_06_05"/>
      <sheetName val="Movimentações_31_12_2006"/>
      <sheetName val="Conciliação_Patrim_xCont_DEZ"/>
      <sheetName val="Conciliação_Patrim_xCont_30_09"/>
      <sheetName val="Depreciação_31_12_2006"/>
      <sheetName val="Depreciação_30_09_2006"/>
      <sheetName val="Imobilizado_mov"/>
      <sheetName val="Global_Depreciação_-_30_09_05"/>
      <sheetName val="Ativo_Permantente_MG"/>
      <sheetName val="Mov__R$"/>
      <sheetName val="PEP's_e_OI's"/>
      <sheetName val="Adição_PEP's_e_OI's_"/>
      <sheetName val="Adição_Adiantamentos"/>
      <sheetName val="Transferencias_17_para_15"/>
      <sheetName val="Adiçoes_Florestas"/>
      <sheetName val="Variação_Cambial"/>
      <sheetName val="Teste_Juros"/>
      <sheetName val="Controle_Juros"/>
      <sheetName val="Imobilizado_-_Resultado"/>
      <sheetName val="BTD_-_PPC"/>
      <sheetName val="Mov__US$"/>
      <sheetName val="Global_Deprec_USGAAP_US$"/>
      <sheetName val="Comp_Im_Andamento"/>
      <sheetName val="IM_em_AND"/>
      <sheetName val="Emprestimo_PPC"/>
      <sheetName val="Global_Deprec__(2)"/>
      <sheetName val="Relatório_Societário"/>
      <sheetName val="Tickmarks_(2)"/>
      <sheetName val="Tx_Deprec_"/>
      <sheetName val="PEP's_e_OI's_Revisão_Edmar"/>
      <sheetName val="PEP's_e_OI's_(2)"/>
      <sheetName val="Depreciação_Subsequente_31_12"/>
      <sheetName val="Adições_Imobilizado_31_12"/>
      <sheetName val="Saldo_Imobilizado"/>
      <sheetName val="Movimentação_PPC"/>
      <sheetName val="Itens_tot_depre_"/>
      <sheetName val="Itens_tot_depre__-_Out_07"/>
      <sheetName val="Movim__Imobilizado"/>
      <sheetName val="Depreciação_Imobilizado"/>
      <sheetName val="Adições_Detalhe"/>
      <sheetName val="Baixa_Detalhe"/>
      <sheetName val="Impairment_Imobilizado"/>
      <sheetName val="Reavaliação_Imobilizado"/>
      <sheetName val="Detalhe_Adição"/>
      <sheetName val="Detalhe_Baixa"/>
      <sheetName val="Composição_Saldo_31_12_2008"/>
      <sheetName val="Análise_segregação_deprec_"/>
      <sheetName val="Depreciação_obras_clube"/>
      <sheetName val="Comp__analítica"/>
      <sheetName val="Rec__dep_"/>
      <sheetName val="Movim__Imob_"/>
      <sheetName val="Movim__Intangível"/>
      <sheetName val="Imobilizado_em_Curso_31_12"/>
      <sheetName val="Imobilizado_em_Curso_31_08"/>
      <sheetName val="Adições_31_08"/>
      <sheetName val="Impairment_BBN"/>
      <sheetName val="Importações_em_Andamento_31_12"/>
      <sheetName val="Importações_em_Andamento_31_08"/>
      <sheetName val="Importações_em_Andamento"/>
      <sheetName val="Ajustes_11_638_ICPC_10_em_20091"/>
      <sheetName val="Projeto_MIN-0902"/>
      <sheetName val="Itens_Selecionados"/>
      <sheetName val="Florest__em_Andamento"/>
      <sheetName val="Depreciação_IFRS_31_12"/>
      <sheetName val="Depreciação_BrGaap_30_09"/>
      <sheetName val="Mov_31_12_08"/>
      <sheetName val="Rollforward_31_12_08"/>
      <sheetName val="Mov_31_10_08"/>
      <sheetName val="Global_Dep_31_10_08"/>
      <sheetName val="Mov_30_06_08"/>
      <sheetName val="Global_Dep_30_06_08"/>
      <sheetName val="Movim__30_09_e_31_12"/>
      <sheetName val="Teste_31_12"/>
      <sheetName val="Global_Depr_30_09_e_31_12"/>
      <sheetName val="Movim__31_07"/>
      <sheetName val="Teste_30_09"/>
      <sheetName val="Global_Depr_31_07"/>
      <sheetName val="Comp__Imob_em_andamento"/>
      <sheetName val="OS_600_443"/>
      <sheetName val="OS_600_456"/>
      <sheetName val="OS_600_473"/>
      <sheetName val="Relatótio_patrimonial_31_12"/>
      <sheetName val="Relatório_patrimonial_30_09"/>
      <sheetName val="Teste_detalhe_Adições"/>
      <sheetName val="Teste_Baixa_do_Imobilizado"/>
      <sheetName val="Nota_Explicativa_8"/>
      <sheetName val="Mapa_Imob_e_PAS_deprec_31_10_08"/>
      <sheetName val="Mapa_Imob__31_12_08"/>
      <sheetName val="Selecao_Adições"/>
      <sheetName val="Selecao_Saldo_Inicial"/>
      <sheetName val="P6_-_Baixas"/>
      <sheetName val="P7_-_Depreciação"/>
      <sheetName val="Tabela_DAAM"/>
      <sheetName val="Movimentação_31_12"/>
      <sheetName val="Roll_Foward_Global_Depr__31_12"/>
      <sheetName val="Insp_Física_Imob"/>
      <sheetName val="Insp_Intangível"/>
      <sheetName val="Mov__31-12"/>
      <sheetName val="Global_31-12"/>
      <sheetName val="Movim__31-10"/>
      <sheetName val="Global_Deprec__31-10"/>
      <sheetName val="Insp_Física1"/>
      <sheetName val="Teste_adições_e_baixas_"/>
      <sheetName val="Imob_em_andamento_31_12"/>
      <sheetName val="Imob__em_andamento_30_09"/>
      <sheetName val="adiantamento_31_12"/>
      <sheetName val="adiantamento_a_fornec__30_09"/>
      <sheetName val="Movimentação_Imobilizado_31_12"/>
      <sheetName val="Adições_no_Imobilizado_31_12"/>
      <sheetName val="Imob_Andamen__31_12"/>
      <sheetName val="Roll_Foward_Depr__31_12"/>
      <sheetName val="Adiant__a_Fornec__31_12"/>
      <sheetName val="Movimentação_Imobilizado_30_09"/>
      <sheetName val="Adições_no_Imobilizado_30_09"/>
      <sheetName val="Imob_Andamento_30_09"/>
      <sheetName val="Ad__a_Fornec__30_09"/>
      <sheetName val="Adições_e_Baixas_31_12"/>
      <sheetName val="Intang__em_And__31_12"/>
      <sheetName val="Movimentação_31_10"/>
      <sheetName val="Adições_e_Baixas_31_10"/>
      <sheetName val="Imob__Andamento_31_10"/>
      <sheetName val="Produção_Transform__de_Linha"/>
      <sheetName val="Adições_do_Imobilizado_31_12"/>
      <sheetName val="NE_-_Imobilizado_-_Colégio"/>
      <sheetName val="NE_-_Imobilizado_-_Educare"/>
      <sheetName val="NE_-_Imobilizado_-_Consolidado"/>
      <sheetName val="NE_-_Intangível_-_Educare"/>
      <sheetName val="NE_-_Intangível_-_Colégio"/>
      <sheetName val="NE_-_Intangível_-_Consolidado"/>
      <sheetName val="Para_Referência_-_Tabela_DAAM"/>
      <sheetName val="Imobilizado_IFRS"/>
      <sheetName val="Adições_13211003_{PPC}"/>
      <sheetName val="Parâmetro_"/>
      <sheetName val="Mov__Imobilizado_2011"/>
      <sheetName val="Teste_de_Adição_de_Imobilizado"/>
      <sheetName val="Cálculo_da_Amostra"/>
      <sheetName val="1__Procedimentos_Acordados"/>
      <sheetName val="2__Conta_Gráfica"/>
      <sheetName val="Tabela_Novo_Enfoque"/>
      <sheetName val="3_1__Teste_de_adições_-_Set"/>
      <sheetName val="3_2__Teste_de_adições_-_Dez"/>
      <sheetName val="4__Imob__em_andamento"/>
      <sheetName val="6__Teste_de_Baixa"/>
      <sheetName val="7__Analise_de_Budget"/>
      <sheetName val="8__Relação_Lojas"/>
      <sheetName val="9__Carta_Comentário"/>
      <sheetName val="2__Procedimentos"/>
      <sheetName val="3__Mapa_do_Imobilizado"/>
      <sheetName val="6__AVP"/>
      <sheetName val="7__Baixas"/>
      <sheetName val="8__Adição"/>
      <sheetName val="9_Saldo_Inicial"/>
      <sheetName val="P2_1_-_Rollforward"/>
      <sheetName val="P3_-_Mapa_Imobilizado_"/>
      <sheetName val="P4_-_Teste_de_Adições_e_Baixas"/>
      <sheetName val="P5_-_Teste_de_Deprec_Dez-2010"/>
      <sheetName val="P5_-_Teste_de_Adições_e_Baixas"/>
      <sheetName val="3__Teste_de_Adições_Imobilizado"/>
      <sheetName val="4__Teste_de_Adições_Im__And_"/>
      <sheetName val="5__Teste_de_Adições_Int_"/>
      <sheetName val="6__Teste_de_Baixas"/>
      <sheetName val="7__Ativos_de_Retificação"/>
      <sheetName val="8__Adiantamentos_Imb__"/>
      <sheetName val="P3_-_Ágio_(DSP)"/>
      <sheetName val="P3_1_-_Mais_Valia_Drogão_CFPOP"/>
      <sheetName val="P4_-_Imobilizado_em_Adamento"/>
      <sheetName val="P5_-_Teste_de_Adição_"/>
      <sheetName val="P6_-_Lojas_Encerradas"/>
      <sheetName val="P7_-_Imob_por_Filial_30_09"/>
      <sheetName val="P7_1_-_Imob_por_Filial_31_12"/>
      <sheetName val="P8_-_Adições_Fundos_de_Comércio"/>
      <sheetName val="P8_1_-_CFPOP_DSP"/>
      <sheetName val="A_-_DAAM"/>
      <sheetName val="B_-_PCC"/>
      <sheetName val="PAS_Depreciação_-_Junho_2010"/>
      <sheetName val="1__BRGAAP_x_USGAAP"/>
      <sheetName val="2__Mapa_de_Imobilizado_BRGAAP"/>
      <sheetName val="3__Mapa_de_Imobilizado_USGAAP"/>
      <sheetName val="6__Teste_de_Saldo_Inicial"/>
      <sheetName val="7__Teste_de_Adição"/>
      <sheetName val="8__Análise_diferenças_de_taxas"/>
      <sheetName val="9__Log"/>
      <sheetName val="10__Sample_size_and_threshold"/>
      <sheetName val="P1_-_Composição_Imobilizado"/>
      <sheetName val="P2_-_Depreciação_"/>
      <sheetName val="P3_-_Mapa_Movimentação"/>
      <sheetName val="P6_-_Ajuste"/>
      <sheetName val="P7_-_Análise_de_Depreciação"/>
      <sheetName val="Plano_de_Contas"/>
      <sheetName val="1_1_Procedimentos"/>
      <sheetName val="2___Teste_de_Adição"/>
      <sheetName val="1__Aché"/>
      <sheetName val="2__Bio"/>
      <sheetName val="a__Rollforward"/>
      <sheetName val="1__Mapa_Aché"/>
      <sheetName val="2__Mapa_BIO"/>
      <sheetName val="3__PAS_de_Depreciação"/>
      <sheetName val="5__Teste_de_Saldo_Inicial"/>
      <sheetName val="6__Ágio"/>
      <sheetName val="7__Capitalização_dos_Juros"/>
      <sheetName val="8__Avaliação_Patrimonial"/>
      <sheetName val="9__Conciliação_Laudo_X_Contabil"/>
      <sheetName val="Controle_de_Seleção"/>
      <sheetName val="Mapa_Aché"/>
      <sheetName val="Avaliação_Patrimonial"/>
      <sheetName val="Conciliação_DTT_X__LAUDO"/>
      <sheetName val="3_PPC_Orçado_X_Real"/>
      <sheetName val="4_PAS_de_Depreciação"/>
      <sheetName val="P1__Teste_de_Adição_-_SI"/>
      <sheetName val="P2__Base_e_Depreciação"/>
      <sheetName val="P3__Mapa_de_Movimentação"/>
      <sheetName val="4__Displays_e_Comodato"/>
      <sheetName val="5__Deficiência_de_Controles"/>
      <sheetName val="7__Análise_de_Baixas"/>
      <sheetName val="P1__Planejamento"/>
      <sheetName val="P2__Comparativo_BFE_X_NPK_"/>
      <sheetName val="P5__Inspeção_Física"/>
      <sheetName val="P6__Tabela_de_Itens"/>
      <sheetName val="1__Mapa_Geral_30_09_e_31_12"/>
      <sheetName val="2__Mov_Obras_Andt_30_09_e_31_12"/>
      <sheetName val="7__Teste_baixas_30_09_e_31_12"/>
      <sheetName val="9_Depreciação"/>
      <sheetName val="10__Venda_3_andar"/>
      <sheetName val="Ajustes_Créd__Imposto_(2)"/>
      <sheetName val="Ajustes_Créd__Imposto"/>
      <sheetName val="5_Teste_Saldo_Final_Obras_Andto"/>
      <sheetName val="3_Teste_de_Saldo_Inicial"/>
      <sheetName val="4_Teste_de_Adição"/>
      <sheetName val="5_Teste_de_Saldo_Final"/>
      <sheetName val="Tabela_Sampling_Size"/>
      <sheetName val="2__Lead"/>
      <sheetName val="1__Nota_Explicativa_Comexport"/>
      <sheetName val="2__Nota_Explicativa_Trop"/>
      <sheetName val="3__Mapa_de_Movimentação_-_Comex"/>
      <sheetName val="4__Mapa_de_Movimentação_-_Trop"/>
      <sheetName val="1__Terras"/>
      <sheetName val="2__Bananal"/>
      <sheetName val="3__Rio"/>
      <sheetName val="4__Arrojadinho"/>
      <sheetName val="5__Campo_Aberto"/>
      <sheetName val="6__Mapa_Imobilizado"/>
      <sheetName val="7__PAS_de_depreciação"/>
      <sheetName val="8__Licença_Ambiental"/>
      <sheetName val="Vouching_Adições_"/>
      <sheetName val="Baixas_"/>
      <sheetName val="Vouching_Baixas_"/>
      <sheetName val="itens_totalmente_depreciados"/>
      <sheetName val="(1)_Rollfoward_Set-08"/>
      <sheetName val="(2)_L1_x_L2"/>
      <sheetName val="(3)_Ajuste_GAAP_-_Ago-08"/>
      <sheetName val="(4)_Ajuste_GAAP_Jun-08"/>
      <sheetName val="(5)_Patrimonio_X_Contábil_-_BR"/>
      <sheetName val="(6)_Patrimonio_X_Contábil_-_US"/>
      <sheetName val="(7)_Mapa_Mov__-_BRGAAP"/>
      <sheetName val="(8)_PAS_-_Depreciação_-_31_08"/>
      <sheetName val="(9)_PAS_-_Depreciação_-_BRGAAP"/>
      <sheetName val="(10)_Mapa_Mov__-_USGAAP"/>
      <sheetName val="(11)_PAS_-_Depreciação_-_USGAAP"/>
      <sheetName val="(12)_Dif__Taxa"/>
      <sheetName val="(13)_Imob__em_Andamento"/>
      <sheetName val="(14)_Custo_Corig__x_Depreciação"/>
      <sheetName val="(15)_Adição"/>
      <sheetName val="(16)_Teste_Sld__Inicial"/>
      <sheetName val="(17)_Baixa"/>
      <sheetName val="(18)_Impairment"/>
      <sheetName val="(19)_Prov__Obsoleto"/>
      <sheetName val="(1)_L1_x_L2"/>
      <sheetName val="(2)_Ajuste_GAAP_-_31_08"/>
      <sheetName val="(3)_Ajuste_GAAP_-_31_06"/>
      <sheetName val="(4)_Patrimonio_X_Contábil_-_BR"/>
      <sheetName val="(5)_Patrimonio_X_Contábil_-_US"/>
      <sheetName val="(6)_Mapa_Mov__-_BRGAAP"/>
      <sheetName val="(7)_PAS_-_Depreciação_-_31_08"/>
      <sheetName val="(8)_PAS_-_Depreciação_-_BRGAAP"/>
      <sheetName val="(9)_Mapa_Mov__-_USGAAP"/>
      <sheetName val="(10)_PAS_-_Depreciação_-_USGAAP"/>
      <sheetName val="(11)_Dif__Taxa"/>
      <sheetName val="(12)_Imob__em_Andamento"/>
      <sheetName val="(12)_Custo_Corig__x_Depreciação"/>
      <sheetName val="(13)_Adição"/>
      <sheetName val="(14)_Teste_Sld__Inicial"/>
      <sheetName val="(15)_Baixa"/>
      <sheetName val="(16)_Impairment"/>
      <sheetName val="(17)_Prov__Obsoleto"/>
      <sheetName val="Suporte_Fluxo_de_caixa"/>
      <sheetName val="5__Sample_Size_Table"/>
      <sheetName val="P2__Programa_de_Trabalho"/>
      <sheetName val="P2__Mapa_de_Imobilizado"/>
      <sheetName val="P3__PAS_de_Depreciação"/>
      <sheetName val="Sample_Size_and_Thershold"/>
      <sheetName val="Adição_31_12_08"/>
      <sheetName val="Baixa_31_12_08"/>
      <sheetName val="Depreciação_31_12_08"/>
      <sheetName val="Totalmente_Deprec__31_12_08"/>
      <sheetName val="Insp_Física_Intangível"/>
      <sheetName val="Adição-Baixa_31_12_08"/>
      <sheetName val="Adição-Baixa_30_06_08"/>
      <sheetName val="Totalmente_Deprec_"/>
      <sheetName val="Adições_31_09"/>
      <sheetName val="9__Teste_IPE"/>
      <sheetName val="10__Log"/>
      <sheetName val="11__Sample_size_and_threshold"/>
      <sheetName val="5__I_A_Bens_de_Uso"/>
      <sheetName val="7__Impairment_"/>
      <sheetName val="PAS_Depreciação__(2)"/>
      <sheetName val="RollForward_Dez_09"/>
      <sheetName val="RollForward_Set_09"/>
      <sheetName val="Mapa_Ago_2009"/>
      <sheetName val="PAS_Baixas"/>
      <sheetName val="Teste_de_Adições_Ago_09"/>
      <sheetName val="Imob_Andamento_Ago_09"/>
      <sheetName val="1__Movim__do_Imob__IFRS_31_12"/>
      <sheetName val="1_1_Mov__do_Imob__BRGAAP_31_10"/>
      <sheetName val="2__Teste_de_Saldo_Inicial"/>
      <sheetName val="3_Teste_de_Adição"/>
      <sheetName val="4__PAS_Deprec__31_12"/>
      <sheetName val="4_1__PAS_Depreciação_31_10"/>
      <sheetName val="5_Sample_Size"/>
      <sheetName val="1__Movimentação_do_Imobilizado"/>
      <sheetName val="6_Obras_em_andamento"/>
      <sheetName val="11_Capitalização_dos_juros"/>
      <sheetName val="2__Mapa_de_Imobilizado"/>
      <sheetName val="LOG's_ACL"/>
      <sheetName val="P2__PAS_Depreciação"/>
      <sheetName val="P4__Teste_de_Baixa"/>
      <sheetName val="P2_Mapa_Movimentação"/>
      <sheetName val="P3_PAS_Depreciação_"/>
      <sheetName val="P4_Teste_de_Adição"/>
      <sheetName val="P5__Relação_Fazendas"/>
      <sheetName val="4__PAS_Depreciação_"/>
      <sheetName val="1__Mapa_do_Imobilizado_Ago"/>
      <sheetName val="3__PAS_de_Dep_"/>
      <sheetName val="5__Mapa_Imobilizado_Dez"/>
      <sheetName val="P3__Mapa_de_Movimento"/>
      <sheetName val="P4__PAS_de_Depr__30_09"/>
      <sheetName val="P5__Teste_de_Adições_30_09"/>
      <sheetName val="P5_1_Teste_de_Adições_31_12"/>
      <sheetName val="P6__Teste_de_Saldo_Inicial"/>
      <sheetName val="1__Mapa_Imobilizado_(2)"/>
      <sheetName val="2__Resumo_SAENG_CLAMOM"/>
      <sheetName val="7__Análise_CIAP"/>
      <sheetName val="4__Teste_de_Baixa"/>
      <sheetName val="7__Base_de_baixa"/>
      <sheetName val="7__Base_de_adição"/>
      <sheetName val="Base_Mapa_Imobilizado"/>
      <sheetName val="Base_Mapa_Imobilizado_(2)"/>
      <sheetName val="5__Teste_de_Baixa"/>
      <sheetName val="Pas_de_Depreciação_Ame_"/>
      <sheetName val="Sample_Size_"/>
      <sheetName val="Gastos_c_Desenvolvimento"/>
      <sheetName val="Obras_em_Andamento_-_Dez"/>
      <sheetName val="Teste_de_Depreciação_-_Dez"/>
      <sheetName val="Prov__Maquinas_Paradas_-_Dez"/>
      <sheetName val="Análise_de_Variação_-_Set"/>
      <sheetName val="Obras_em_Andamento_-_Set"/>
      <sheetName val="Teste_de_Depreciação_-_Set"/>
      <sheetName val="Prov__Maquinas_Paradas_-_Set"/>
      <sheetName val="0__Análise_de_Variação_-_Dez"/>
      <sheetName val="1__Mapa_do_Imobilizado_Dez"/>
      <sheetName val="2__Imob__Andamento_Dez"/>
      <sheetName val="3__Gastos_Desenvolv__Set_&amp;_Dez"/>
      <sheetName val="4__Teste_Depreciação_Set___Dez"/>
      <sheetName val="5__Depreciação_reavaliação"/>
      <sheetName val="6__Prov__Maquinas_Paradas"/>
      <sheetName val="8__PPC"/>
      <sheetName val="9__Imob__Andamento_Set"/>
      <sheetName val="10__Mapa_do_Imobilizado"/>
      <sheetName val="Mapa_do_Imobilizado_Dez"/>
      <sheetName val="Imob__Andamento_Dez"/>
      <sheetName val="Gastos_Desenvolv__Set_&amp;_Dez"/>
      <sheetName val="Teste_Depreciação_Set___Dez"/>
      <sheetName val="Depreciação_reavaliação"/>
      <sheetName val="Prov__Maquinas_Paradas"/>
      <sheetName val="Imob__Andamento_Set"/>
      <sheetName val="Detalhe_de_Adições"/>
      <sheetName val="1__Imobilizados_em_Andamento"/>
      <sheetName val="2_Mapa_do_Imobilizado"/>
      <sheetName val="3_Teste_de_Detalhe"/>
      <sheetName val="4_Gastos_c_Desenvolvimento"/>
      <sheetName val="5__Teste_de_Depreciação"/>
      <sheetName val="2_1_Pas_de_Depreciação_Ame_"/>
      <sheetName val="Determining_Sample_Size"/>
      <sheetName val="2_2_Mapa_do_Imobilizado_Dez"/>
      <sheetName val="1_1_Teste_de_Detalhe"/>
      <sheetName val="1_1_Imob__em_Andamento_Dez"/>
      <sheetName val="4_4_Gastos_Desenvolv__Set_&amp;_Dez"/>
      <sheetName val="5__Equip__Mov__Carga"/>
      <sheetName val="5_1_Itens_sem_reavaliação"/>
      <sheetName val="5_2_Itens_reavaliados"/>
      <sheetName val="5_3_Itens_100%_depreciados"/>
      <sheetName val="Mapa_Mov__30_09"/>
      <sheetName val="Global_de_depreciação_30_09"/>
      <sheetName val="Teste_adições_e_baixas_30_09"/>
      <sheetName val="Imobilizados_em_andamento"/>
      <sheetName val="Comparativo_Depreciação"/>
      <sheetName val="Amarração_relatório"/>
      <sheetName val="Lçtos_reclassif__imob"/>
      <sheetName val="Composição_Mov__Dep_"/>
      <sheetName val="Teste_Global_de_Depreciação"/>
      <sheetName val="Mov_até_30_09"/>
      <sheetName val="Mov__até_31_11"/>
      <sheetName val="Global_Dep"/>
      <sheetName val="CALCULO_DEPRECIAÇÃO"/>
      <sheetName val="Teste_Global_Depreciaçao"/>
      <sheetName val="CALCULO_DEPRECIAÇÃO_(2)"/>
      <sheetName val="Amarracao_Relatorio"/>
      <sheetName val="Lçtos_reclassif__imo"/>
      <sheetName val="Amarração_p__Relatório"/>
      <sheetName val="Global_Depreciação_28_02_07"/>
      <sheetName val="Teste_Adições_28_02_2007"/>
      <sheetName val="Movimentação28_02_2007"/>
      <sheetName val="Teste_Adições_28_02_07"/>
      <sheetName val="Contratos_Fábrica_Betim"/>
      <sheetName val="Adiant__Int__e_Ext__30_09"/>
      <sheetName val="Adiant__Interno_31_12"/>
      <sheetName val="Adiant__Externo_31_12"/>
      <sheetName val="Quadro_DF"/>
      <sheetName val="1_Mapa_de_Imobilizado_(I)"/>
      <sheetName val="4__PAS_-_Depreciação_(F)"/>
      <sheetName val="2_Teste_de_Adições_(I)"/>
      <sheetName val="3__PAS_-_Depreciação_(I)"/>
      <sheetName val="P4__PAS_-_Depreciação"/>
      <sheetName val="2__Adições_e_Baixas"/>
      <sheetName val="4_Cálculo_Tx_Depreciação_"/>
      <sheetName val="1__Investimento_Melhorias_Terra"/>
      <sheetName val="1_1_Análise_Fert__por_Fazenda_"/>
      <sheetName val="2__Mapa_do_Imobilizado"/>
      <sheetName val="3__PAS_Depreciação_FISCAL"/>
      <sheetName val="2__Mapa_de_Mov__USGAAP"/>
      <sheetName val="3__Teste_de_Adições_30_09"/>
      <sheetName val="5__PAS_de_Deprec__BRGAAP"/>
      <sheetName val="7__PAS_de_Deprec__USGAAP"/>
      <sheetName val="3_1_Teste_de_Adições_31_12"/>
      <sheetName val="4__Mapa_de_Mov__BRGAAP"/>
      <sheetName val="6__Mapa_de_Mov__USGAAP"/>
      <sheetName val="PAS_de_Deprec_"/>
      <sheetName val="ISRE_2400"/>
      <sheetName val="Análise_Impairment"/>
      <sheetName val="Análise_Imobilizado"/>
      <sheetName val="Mapa_Imobilizado_BRGAAP"/>
      <sheetName val="PAS_Depreciação__BRGAAP"/>
      <sheetName val="Mapa_Imobilizado_IFRS"/>
      <sheetName val="PAS_Depreciação_IFRS_"/>
      <sheetName val="Ajuste_Depreciação"/>
      <sheetName val="PAS_Depreciação_05_2010"/>
      <sheetName val="1-_Passos_do_Planejamento"/>
      <sheetName val="P1__Mapa_Imobilizado"/>
      <sheetName val="P2__Teste_Saldo_Inicial_"/>
      <sheetName val="P3__PAS_Depreciação_"/>
      <sheetName val="P2_Teste_de_Adição_30_11"/>
      <sheetName val="P3__Adto_Imobilizado_Nov11"/>
      <sheetName val="P4_PAS_Depreciação_30_11"/>
      <sheetName val="P5_Teste_de_Adição_28_02"/>
      <sheetName val="P6__Adto_Imobilizado_Fev12"/>
      <sheetName val="P7_PAS_Depreciação_28_02"/>
      <sheetName val="P2_1_Teste_de_Adição_-_30_11_"/>
      <sheetName val="P2_2_Teste_de_Adição_-_28_02"/>
      <sheetName val="P4__Adtos_à_Fornec_-_30_11_"/>
      <sheetName val="P5__Sample_Size"/>
      <sheetName val="P6a_Check_list_Impairment"/>
      <sheetName val="P6b__Calculo_Impairment_DTT"/>
      <sheetName val="P6c_Cálculo_Impairment_SEW"/>
      <sheetName val="P7__Business_Plan_{PPC}"/>
      <sheetName val="P8_Analise_de_Sensibilidade_DTT"/>
      <sheetName val="P9__Rollforward"/>
      <sheetName val="Teste_de_Saldos_Iniciais"/>
      <sheetName val="P2___Teste_Depreciações"/>
      <sheetName val="P3__132014_Imob__And_"/>
      <sheetName val="P4__132051_Imob__And__(AM)"/>
      <sheetName val="P5__132054_Imob__And_"/>
      <sheetName val="Teste_Depreciações"/>
      <sheetName val="Baixa_Hard-Software"/>
      <sheetName val="Adiant_Fornec_"/>
      <sheetName val="Claims_Contratuais"/>
      <sheetName val="Detalhe_-_Adições"/>
      <sheetName val="Teste_Reavaliação"/>
      <sheetName val="Mov__Arrendamento"/>
      <sheetName val="Teste_Baixas_-_Mov_Arrendamento"/>
      <sheetName val="Amort__Benf_"/>
      <sheetName val="Mapa_de_Imob__31_12_2013"/>
      <sheetName val="Mapa_de_Imob__30_09_2013"/>
      <sheetName val="Imobilizado_31_12_2010"/>
      <sheetName val="Imobilizado_30_09_10"/>
      <sheetName val="Reavaliação_da_Vida_Útil"/>
      <sheetName val="Teste_de_adições_do_imobilizado"/>
      <sheetName val="N_E_"/>
      <sheetName val="Rollforward_Procedures"/>
      <sheetName val="Mapa_Depreciação"/>
      <sheetName val="Diferido_e_Intangível"/>
      <sheetName val="Juros_Capitalizados"/>
      <sheetName val="Tabela_seleção"/>
      <sheetName val="3__Depreciação_Reavaliação"/>
      <sheetName val="4__Teste_de_Depreciação"/>
      <sheetName val="5__S_I__Imob__em_andamento"/>
      <sheetName val="6__Imob__em_Andamento"/>
      <sheetName val="8_1_Check_list_Impairment"/>
      <sheetName val="8_2_Impairment"/>
      <sheetName val="Ajustes_Propostos"/>
      <sheetName val="Mapa_e_Pas_de_Depreciação"/>
      <sheetName val="Bens_para_Revenda"/>
      <sheetName val="Mapa_Mov_e_PAS_Depr"/>
      <sheetName val="Doação_Terreno"/>
      <sheetName val="Imobilzado_em_Andamento"/>
      <sheetName val="Bx_Ativo_Imob_"/>
      <sheetName val="Gastos_Implantação"/>
      <sheetName val="Comparativo_(UIR)"/>
      <sheetName val="Pas_Depreciação_31-12-10"/>
      <sheetName val="Pas_Depreciação_31-10-10"/>
      <sheetName val="CRÉDITOS_A_RECEBER"/>
      <sheetName val="Mapa_out_06"/>
      <sheetName val="Mapa_dez_06"/>
      <sheetName val="PAS_DEPRC"/>
      <sheetName val="TCalc_"/>
      <sheetName val="NE_31_12_09"/>
      <sheetName val="NE_30_09_09"/>
      <sheetName val="Mapa_Movimentação_09_09"/>
      <sheetName val="Mapa_Movimentação_12_09"/>
      <sheetName val="Cálculo_Amostras"/>
      <sheetName val="Suporte_relatório"/>
      <sheetName val="{PPC}_-_Mapa_de_Imobilizado"/>
      <sheetName val="1__Mapa_Correcta"/>
      <sheetName val="1__Mapa_Correcta_(2)"/>
      <sheetName val="2__PAS_Depreciação_"/>
      <sheetName val="3__Imob_em_And_Correcta"/>
      <sheetName val="3__Adições_2013"/>
      <sheetName val="4__Teste_de_Adição_-_Set_13"/>
      <sheetName val="5__Determination_Sample"/>
      <sheetName val="Conciliação_{ppc}"/>
      <sheetName val="1__Planejamento"/>
      <sheetName val="2__Tabela_DAAM"/>
      <sheetName val="5__Teste_de_Adições"/>
      <sheetName val="6__PAS_de_Depreciação"/>
      <sheetName val="P7__Teste_de_Baixas"/>
      <sheetName val="Depreciação_e_Amortização"/>
      <sheetName val="Composição_Patrimonial_SET"/>
      <sheetName val="Composição_Patrimonial"/>
      <sheetName val="Rel_Bal_Geral-430-440"/>
      <sheetName val="Rel_Bal_Geral-1"/>
      <sheetName val="Rel_Bal_Geral-2"/>
      <sheetName val="Rel_Bal_Geral-4"/>
      <sheetName val="Rel_Bal_Geral-5"/>
      <sheetName val="Rel_Bal_Geral-510"/>
      <sheetName val="Rel_Bal_Geral-520"/>
      <sheetName val="Rel_Bal_Geral-410-420"/>
      <sheetName val="1__Movimentação"/>
      <sheetName val="2__Sample_Size"/>
      <sheetName val="3_Seleção_"/>
      <sheetName val="4__Global_de_depreciação_"/>
      <sheetName val="5__Obras_em_andamento"/>
      <sheetName val="5_Cobertura_de_Seguros"/>
      <sheetName val="Benfeitorias_e_Imob_em_Andament"/>
      <sheetName val="Bens_destinados_a_venda"/>
      <sheetName val="Teste_-_Imobilizado"/>
      <sheetName val="Cut-off_do_imobilizado_"/>
      <sheetName val="Teste_de_Exaustão"/>
      <sheetName val="Teste_de_Depreciação_Global"/>
      <sheetName val="Teste_Global_Depreciação"/>
      <sheetName val="Cálculo_do_Parametro"/>
      <sheetName val="Teste_Exaustão"/>
      <sheetName val="Seleção_Adições_Set"/>
      <sheetName val="Seleção_Adições__Dez"/>
      <sheetName val="Seleção_Baixas"/>
      <sheetName val="Teste_Adições_Diferido1"/>
      <sheetName val="Teste_Fechamento_de_Loja"/>
      <sheetName val="_Calc_Depreciação_OUT"/>
      <sheetName val="_Calc_Depreciação_DEZ"/>
      <sheetName val="Depre__Imóveis"/>
      <sheetName val="Adições_Benfeitorias_"/>
      <sheetName val="Dados_(2)"/>
      <sheetName val="Mov__PPC"/>
      <sheetName val="Imob_a_regularizar"/>
      <sheetName val="Projeção_Imobilizado"/>
      <sheetName val="Mov__Set02_PPC"/>
      <sheetName val="Mov__Dez02_PPC"/>
      <sheetName val="Teste_deprec_"/>
      <sheetName val="Teste_Aquis_"/>
      <sheetName val="Movimentação_Set02_PPC"/>
      <sheetName val="ttca-imob_(2)"/>
      <sheetName val="Itens_tot_dep_99"/>
      <sheetName val="Itens_tot_dep_00"/>
      <sheetName val="sales_vol_"/>
      <sheetName val="PAS_Fopag"/>
      <sheetName val="Mov_31_10_2007"/>
      <sheetName val="Mov_31_12_2007_"/>
      <sheetName val="Global_Dep_31_10_2007"/>
      <sheetName val="Movimentação_30_06_2007"/>
      <sheetName val="Global_de_Dep__30_06_2007"/>
      <sheetName val="Quadro_NE_10"/>
      <sheetName val="Mov_Diferido"/>
      <sheetName val="Movimentações_Imobilizado_30_09"/>
      <sheetName val="Movimentações_Imobilizado_31_12"/>
      <sheetName val="Movimentações_Diferido_30_09"/>
      <sheetName val="Movimentações_Diferido_31_12"/>
      <sheetName val="Global_de_Depreciação_-_Gest_"/>
      <sheetName val="Global_de_Amortização"/>
      <sheetName val="Depreciação_Moldes_Uso"/>
      <sheetName val="Depreciação_"/>
      <sheetName val="Mov__Permanente"/>
      <sheetName val="PAS_Deprec_Dez"/>
      <sheetName val="Log_Imob__andamento"/>
      <sheetName val="A_-_Mapa"/>
      <sheetName val="A_-_MAPA_RTT"/>
      <sheetName val="B_-_PAS_Deprec_"/>
      <sheetName val="C_-_Teste_adições"/>
      <sheetName val="D_-_Adiantamento"/>
      <sheetName val="E_-_Andamento"/>
      <sheetName val="F_-_Resumo_dos_Laudos"/>
      <sheetName val="ICMS-Cofins_Arcos"/>
      <sheetName val="ABRIL_2000"/>
      <sheetName val="Mapa_Mov_Imobilizado"/>
      <sheetName val="Análise_Indicativos_Impairment"/>
      <sheetName val="Movimentação_de_Imobilizado"/>
      <sheetName val="Depreciação_do_Imobilizado"/>
      <sheetName val="Depreciação_fiscal"/>
      <sheetName val="Depreciação_custo_atribuido"/>
      <sheetName val="Controle_C__Atribuido"/>
      <sheetName val="Dep__Fiscal"/>
      <sheetName val="Dep__Deemed_Cost"/>
      <sheetName val="Dep__Vida_ùtil"/>
      <sheetName val="Teste_das_Baixas"/>
      <sheetName val="Schedule_1_"/>
      <sheetName val="Schedule_2"/>
      <sheetName val="Comp__do_imob__andamento"/>
      <sheetName val="Teste_detalhe_projetos"/>
      <sheetName val="Imóveis_destinados_a_venda"/>
      <sheetName val="Imobilizado_dado_em_garantia"/>
      <sheetName val="Imobilizado_dado_garantia_31_12"/>
      <sheetName val="CPT_ELT"/>
      <sheetName val="Validação_100%_depreciados"/>
      <sheetName val="Vida_Útil"/>
      <sheetName val="Movimentação_Intangível"/>
      <sheetName val="Sist__Pat__Imobilizado"/>
      <sheetName val="Detalhe_Baixa_Saldo_Inicial"/>
      <sheetName val="Análise_Vida_Útil"/>
      <sheetName val="Movim__Imobilizado_30_09_2009"/>
      <sheetName val="Sist__Patrimonial_Imobilizado"/>
      <sheetName val="Ativo_Fixo_e_Contábil"/>
      <sheetName val="Inspeção_Fisíca"/>
      <sheetName val="Análise_Máquinas_e_Equipamentos"/>
      <sheetName val="100%_Depreciados"/>
      <sheetName val="P2__Mapa_Ativo_Fixo"/>
      <sheetName val="P2_1_Mapa_Intangível"/>
      <sheetName val="P3__PAS_Depreciação1"/>
      <sheetName val="P4__Teste_de_adição"/>
      <sheetName val="P5__Tabela_DAAM"/>
      <sheetName val="Determination_Sample_Size"/>
      <sheetName val="Rollfoward_31_07_2010"/>
      <sheetName val="Teste_de_Integridade"/>
      <sheetName val="Teste_de_Adições_e_Baixas"/>
      <sheetName val="P3__Adições"/>
      <sheetName val="P4__Baixa"/>
      <sheetName val="NE_"/>
      <sheetName val="P1__Procedimentos_Efetuados"/>
      <sheetName val="P4__Amostra"/>
      <sheetName val="P5__Capitalização_Juros"/>
      <sheetName val="NE_Controladora"/>
      <sheetName val="NE_Consolidado"/>
      <sheetName val="1|Audit_Program"/>
      <sheetName val="2_B|Detalhe_Baixas"/>
      <sheetName val="3|Detalhe_Adições"/>
      <sheetName val="4|Global_Depreciação"/>
      <sheetName val="4_1|Validações_-_Global"/>
      <sheetName val="5|Detalhe_Despesas_Manutenção"/>
      <sheetName val="Resumo_Contratos"/>
      <sheetName val="4__Gastos_Desenvolv"/>
      <sheetName val="Sheet_Index"/>
      <sheetName val="1__Mapa_Imobilizado_31_03_15"/>
      <sheetName val="2__PAS_de_Depreciação_31_03_15"/>
      <sheetName val="4__Composição_Importação"/>
      <sheetName val="5__Imobilizado_em_Andamento"/>
      <sheetName val="6__Check_List_Impairmet"/>
      <sheetName val="7__Pontos_de_Controle"/>
      <sheetName val="P2__Adição_de_Imobilizado"/>
      <sheetName val="P3__Teste_Saldo_Inicial_"/>
      <sheetName val="1__Mapa_do_Imobilizado"/>
      <sheetName val="5__Ágio_e_Amortização"/>
      <sheetName val="6__Threshold_and_Sample_Size"/>
      <sheetName val="4__Carta_Comentário"/>
      <sheetName val="P2_1_Adiantamento_Imobilizado"/>
      <sheetName val="Seleção_Adições_1º__Sem_"/>
      <sheetName val="Seleção_Adições_2º__Sem_"/>
      <sheetName val="Seleção_Imobilizado"/>
      <sheetName val="Seleção_Imobilizado_1209"/>
      <sheetName val="Saldo_Inicial_em_2009"/>
      <sheetName val="Depreciação_1209"/>
      <sheetName val="Teste_de_Baixas_2009"/>
      <sheetName val="Teste_de_SI_do_Imobilizado"/>
      <sheetName val="Teste_de_Adições_Imobilizado"/>
      <sheetName val="Pontos_Carta_Comentário"/>
      <sheetName val="Teste_Adição_Imobilizado"/>
      <sheetName val="ACT_Input_(2)"/>
      <sheetName val="Movimentação_2003"/>
      <sheetName val="Movimentação_2002"/>
      <sheetName val="Cálculo_da_Depreciação"/>
      <sheetName val="Terrenos_e_Edificações"/>
      <sheetName val="Mapa_Imobilizado_-_30_04_2012"/>
      <sheetName val="Mapa_Intangível_-_30_04_2012"/>
      <sheetName val="Complemento_teste_de_Adições"/>
      <sheetName val="Mapa_Intangível"/>
      <sheetName val="Imobilizado_31-12-2011"/>
      <sheetName val="PAS_-_31-12-2011"/>
      <sheetName val="Check_list_Impairment"/>
      <sheetName val="Calculo_Amostra"/>
      <sheetName val="NE_Intangivel"/>
      <sheetName val="1)_Mov"/>
      <sheetName val="2)_Adição"/>
      <sheetName val="3)_Depreciação"/>
      <sheetName val="4)_RFP"/>
      <sheetName val="5)_Impairment"/>
      <sheetName val="Valuation_(2)"/>
      <sheetName val="Valuation_(3)"/>
      <sheetName val="Valuation_(4)"/>
      <sheetName val="Valuation_(1)"/>
      <sheetName val="Composição_Impairment_"/>
      <sheetName val="Imob_em_Andamento_"/>
      <sheetName val="Importacoes_Andamento_Transito"/>
      <sheetName val="Depreciação_31_10_2009"/>
      <sheetName val="Inspecao_Fisica"/>
      <sheetName val="Compos_Diferido_Gastos_Prods"/>
      <sheetName val="Compos_Diferido_Gastos_Implant"/>
      <sheetName val="Pontos_Identificados"/>
      <sheetName val="Suporte_NE"/>
      <sheetName val="1__Mapa_de_Mov__Consolidado"/>
      <sheetName val="2__Mapa_de_movimentação_(Imob_)"/>
      <sheetName val="3__Mapa_de_movimentação_(Int_)"/>
      <sheetName val="4__Análise_Depreciação"/>
      <sheetName val="4_2_Resultado_Depreciação"/>
      <sheetName val="4_3_PAS_Depreciação"/>
      <sheetName val="5_Teste_de_adições_(I)"/>
      <sheetName val="5_1_Teste_de_adições_(I)"/>
      <sheetName val="5_2_Teste_de_Adições_(F)"/>
      <sheetName val="6__Imobilizado_em_And_"/>
      <sheetName val="Comp__Imob__2009"/>
      <sheetName val="Global_de_Depreciação_-_09"/>
      <sheetName val="Detalhe_Depr__2008"/>
      <sheetName val="Adição_e_Baixa_"/>
      <sheetName val="Movimentação_31_12_2010"/>
      <sheetName val="PAS_Dep__BRGAAP_"/>
      <sheetName val="PAS_Dep__IFRS"/>
      <sheetName val="Taxa_Depreciação"/>
      <sheetName val="Exaustão_U$"/>
      <sheetName val="Mapa_de_Mov__do_Imobilizado"/>
      <sheetName val="Movimentação_set_10_a_dez_10"/>
      <sheetName val="Report_K"/>
      <sheetName val="Variação_do_Período"/>
      <sheetName val="Baixa_de_Flaviano"/>
      <sheetName val="3__Teste_de_Adição_"/>
      <sheetName val="Mapa_Ago_e_Dez_09"/>
      <sheetName val="PAS_Depreciação_Ago_09"/>
      <sheetName val="PAS_Baixas_Ago_09"/>
      <sheetName val="2__Nota_Explicativa"/>
      <sheetName val="3__Mapa_de_Movimentação_-_L"/>
      <sheetName val="4__Mapa_de_Movimentação_-_E"/>
      <sheetName val="5__Adto_Fornecedores_-_L_"/>
      <sheetName val="6__PAS_de_Depreciação_-_L"/>
      <sheetName val="7__PAS_de_Depreciação_-_E"/>
      <sheetName val="7_1__Controle_de_Alugueis_-_E"/>
      <sheetName val="8__Principais_Adições_-_TRI_-_L"/>
      <sheetName val="9__Teste_de_Adição_-_L"/>
      <sheetName val="10__Teste_de_Adição_-_E"/>
      <sheetName val="Worksheet_in_5610_Imobilizado_C"/>
      <sheetName val="Terrenos_e_Prop__Imobiliárias"/>
      <sheetName val="Patrimônio_31_12_2010"/>
      <sheetName val="Baixas_por_venda"/>
      <sheetName val="Seleção_(2)"/>
      <sheetName val="Check_List"/>
      <sheetName val="Nota_explicativa_Movimentação"/>
      <sheetName val="Lead_-_Ajustada_2008-2009"/>
      <sheetName val="Global_Depreciações"/>
      <sheetName val="Composição_do_Saldo_Inicial"/>
      <sheetName val="Validação_Saldo_Inicial"/>
      <sheetName val="Limitação_de_Extensão"/>
      <sheetName val="Depreciação_Analítica"/>
      <sheetName val="Compos__imobilizado"/>
      <sheetName val="Seleção_compos__imobilizado"/>
      <sheetName val="NOTA_EXPLICATIVA_FINAL"/>
      <sheetName val="Mov__p_relat_"/>
      <sheetName val="Global_Dep_"/>
      <sheetName val="Bens_100%_Depreciados"/>
      <sheetName val="Imobilizado_-_Composição"/>
      <sheetName val="Adiantamento_Imob__Forn__Nac_"/>
      <sheetName val="Vida_útil_Imobilizado"/>
      <sheetName val="Justificativas_Compras_Máquinas"/>
      <sheetName val="Desp_implantação_-_Amortização"/>
      <sheetName val="Composição_Patrimonial_(2)"/>
      <sheetName val="Mov__DFC_e_NE"/>
      <sheetName val="População_Adição"/>
      <sheetName val="Média_ponderada_Depreciação"/>
      <sheetName val="Composição_adição_2012"/>
      <sheetName val="Teste_Saldo_2011"/>
      <sheetName val="Teste_Adição_2012"/>
      <sheetName val="Teste_Saldo"/>
      <sheetName val="3__Depreciação_Global"/>
      <sheetName val="4__Seleção"/>
      <sheetName val="População_-_Imob__Andamento"/>
      <sheetName val="Composição_do_imobilizado"/>
      <sheetName val="Aquisição_de_imobilizado"/>
      <sheetName val="Posição_Patrimonial"/>
      <sheetName val="Provisões_"/>
      <sheetName val="Seleção_e_Teste"/>
      <sheetName val="Composição_-_Imobilizado_em_and"/>
      <sheetName val="Calculo"/>
      <sheetName val="Ativo Analitico"/>
      <sheetName val="Passivo Analitico"/>
      <sheetName val="Resultado Analitico"/>
      <sheetName val="Ativo Sintetico"/>
      <sheetName val="Passivo Sintetico"/>
      <sheetName val="Resultado Sintetico"/>
      <sheetName val="DFC2"/>
      <sheetName val="D.V.A."/>
      <sheetName val="Adições de Imobilizado 30.11"/>
      <sheetName val="Adições de Imobilizado 31.12"/>
      <sheetName val="Teste Deprec. Gerencial"/>
      <sheetName val="Mapa de Movim. e PAS Deprec."/>
      <sheetName val="Impaiment Analysis"/>
      <sheetName val="Parâmetro 30.09"/>
      <sheetName val="Parâmetro 31.12.2009"/>
      <sheetName val="Mapa Imobilizado e Intangível"/>
      <sheetName val="Adição do Imobilizado"/>
      <sheetName val="Ágio Griffith"/>
      <sheetName val="P1. Movimentação"/>
      <sheetName val="P2.Teste de Adição"/>
      <sheetName val="P3. Registro de Imóveis"/>
      <sheetName val="P4. Investimentos"/>
      <sheetName val="Sumary of tests"/>
      <sheetName val="P1 - Resumo dos Saldos"/>
      <sheetName val="P2 - Mapa do Imobilizado"/>
      <sheetName val="P3 - PAS de Depreciação 31.08"/>
      <sheetName val="P3.1 - Depreciação 31.12"/>
      <sheetName val="P4 - Frota CT Rental 31.08"/>
      <sheetName val="P4.1 - Frota CT Rental 31.12"/>
      <sheetName val="P5 - Frota CMT 31.08"/>
      <sheetName val="P7 - Teste de Baixas"/>
      <sheetName val="P8 - Saldo Frota CT 30.09"/>
      <sheetName val="P8.1 - Saldo Frota CT 31.12"/>
      <sheetName val="P9 - Teste Receita Frota"/>
      <sheetName val="Quadro Imobilizado"/>
      <sheetName val="Analíse de Impairment"/>
      <sheetName val="Teste custo imoveis e terreno"/>
      <sheetName val="P2.1- Para Ref Pacote"/>
      <sheetName val="P3-Mapa Movimentação BR"/>
      <sheetName val="P4-PAS Depreciação - BR"/>
      <sheetName val="P5-Mapa Movimentação IFRS"/>
      <sheetName val="P6-Cálculo Depreciação -IFRS"/>
      <sheetName val="P7-Teste SI"/>
      <sheetName val="P8-Teste Adição"/>
      <sheetName val="P9-Composição das adições"/>
      <sheetName val="P10-LOG ACL SI"/>
      <sheetName val="P11-Taxas IFRS"/>
      <sheetName val="P2. Mapa Intangível"/>
      <sheetName val="P3. PAS Amort. e Depreciação"/>
      <sheetName val="P4. Aging Imob. em Andamento"/>
      <sheetName val="5. Adições"/>
      <sheetName val="6. Análise de Variação"/>
      <sheetName val="P7. DAAM"/>
      <sheetName val="OUVE"/>
      <sheetName val="LGE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 refreshError="1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 refreshError="1"/>
      <sheetData sheetId="494"/>
      <sheetData sheetId="495" refreshError="1"/>
      <sheetData sheetId="496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 refreshError="1"/>
      <sheetData sheetId="599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 refreshError="1"/>
      <sheetData sheetId="608" refreshError="1"/>
      <sheetData sheetId="609" refreshError="1"/>
      <sheetData sheetId="610"/>
      <sheetData sheetId="611" refreshError="1"/>
      <sheetData sheetId="612" refreshError="1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/>
      <sheetData sheetId="694" refreshError="1"/>
      <sheetData sheetId="695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/>
      <sheetData sheetId="757" refreshError="1"/>
      <sheetData sheetId="758" refreshError="1"/>
      <sheetData sheetId="759" refreshError="1"/>
      <sheetData sheetId="760" refreshError="1"/>
      <sheetData sheetId="761"/>
      <sheetData sheetId="762" refreshError="1"/>
      <sheetData sheetId="763" refreshError="1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 refreshError="1"/>
      <sheetData sheetId="781" refreshError="1"/>
      <sheetData sheetId="782" refreshError="1"/>
      <sheetData sheetId="783" refreshError="1"/>
      <sheetData sheetId="784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/>
      <sheetData sheetId="794"/>
      <sheetData sheetId="795" refreshError="1"/>
      <sheetData sheetId="796"/>
      <sheetData sheetId="797"/>
      <sheetData sheetId="798"/>
      <sheetData sheetId="799"/>
      <sheetData sheetId="800"/>
      <sheetData sheetId="801" refreshError="1"/>
      <sheetData sheetId="802" refreshError="1"/>
      <sheetData sheetId="803"/>
      <sheetData sheetId="804" refreshError="1"/>
      <sheetData sheetId="805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/>
      <sheetData sheetId="813" refreshError="1"/>
      <sheetData sheetId="814" refreshError="1"/>
      <sheetData sheetId="815" refreshError="1"/>
      <sheetData sheetId="816"/>
      <sheetData sheetId="817"/>
      <sheetData sheetId="818" refreshError="1"/>
      <sheetData sheetId="819" refreshError="1"/>
      <sheetData sheetId="820" refreshError="1"/>
      <sheetData sheetId="82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 refreshError="1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 refreshError="1"/>
      <sheetData sheetId="887" refreshError="1"/>
      <sheetData sheetId="888" refreshError="1"/>
      <sheetData sheetId="889" refreshError="1"/>
      <sheetData sheetId="890"/>
      <sheetData sheetId="891"/>
      <sheetData sheetId="892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/>
      <sheetData sheetId="1169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/>
      <sheetData sheetId="1194" refreshError="1"/>
      <sheetData sheetId="1195" refreshError="1"/>
      <sheetData sheetId="1196" refreshError="1"/>
      <sheetData sheetId="1197" refreshError="1"/>
      <sheetData sheetId="1198"/>
      <sheetData sheetId="1199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/>
      <sheetData sheetId="1266" refreshError="1"/>
      <sheetData sheetId="1267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/>
      <sheetData sheetId="1288"/>
      <sheetData sheetId="1289"/>
      <sheetData sheetId="1290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/>
      <sheetData sheetId="1298"/>
      <sheetData sheetId="1299"/>
      <sheetData sheetId="1300" refreshError="1"/>
      <sheetData sheetId="130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/>
      <sheetData sheetId="1321"/>
      <sheetData sheetId="1322"/>
      <sheetData sheetId="1323" refreshError="1"/>
      <sheetData sheetId="1324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/>
      <sheetData sheetId="1363"/>
      <sheetData sheetId="1364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/>
      <sheetData sheetId="1514"/>
      <sheetData sheetId="1515"/>
      <sheetData sheetId="1516"/>
      <sheetData sheetId="1517" refreshError="1"/>
      <sheetData sheetId="1518"/>
      <sheetData sheetId="1519" refreshError="1"/>
      <sheetData sheetId="1520" refreshError="1"/>
      <sheetData sheetId="1521"/>
      <sheetData sheetId="1522"/>
      <sheetData sheetId="1523" refreshError="1"/>
      <sheetData sheetId="1524" refreshError="1"/>
      <sheetData sheetId="1525" refreshError="1"/>
      <sheetData sheetId="1526" refreshError="1"/>
      <sheetData sheetId="1527"/>
      <sheetData sheetId="1528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 refreshError="1"/>
      <sheetData sheetId="1569"/>
      <sheetData sheetId="1570"/>
      <sheetData sheetId="1571"/>
      <sheetData sheetId="1572"/>
      <sheetData sheetId="1573" refreshError="1"/>
      <sheetData sheetId="1574" refreshError="1"/>
      <sheetData sheetId="1575"/>
      <sheetData sheetId="1576"/>
      <sheetData sheetId="1577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/>
      <sheetData sheetId="1602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/>
      <sheetData sheetId="1609" refreshError="1"/>
      <sheetData sheetId="1610" refreshError="1"/>
      <sheetData sheetId="1611"/>
      <sheetData sheetId="1612"/>
      <sheetData sheetId="1613" refreshError="1"/>
      <sheetData sheetId="1614" refreshError="1"/>
      <sheetData sheetId="1615" refreshError="1"/>
      <sheetData sheetId="1616" refreshError="1"/>
      <sheetData sheetId="1617"/>
      <sheetData sheetId="1618" refreshError="1"/>
      <sheetData sheetId="1619"/>
      <sheetData sheetId="1620"/>
      <sheetData sheetId="1621"/>
      <sheetData sheetId="1622"/>
      <sheetData sheetId="1623" refreshError="1"/>
      <sheetData sheetId="1624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/>
      <sheetData sheetId="1634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 refreshError="1"/>
      <sheetData sheetId="1667" refreshError="1"/>
      <sheetData sheetId="1668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 refreshError="1"/>
      <sheetData sheetId="1687" refreshError="1"/>
      <sheetData sheetId="1688" refreshError="1"/>
      <sheetData sheetId="1689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/>
      <sheetData sheetId="1760"/>
      <sheetData sheetId="1761"/>
      <sheetData sheetId="1762"/>
      <sheetData sheetId="1763"/>
      <sheetData sheetId="1764"/>
      <sheetData sheetId="1765" refreshError="1"/>
      <sheetData sheetId="1766" refreshError="1"/>
      <sheetData sheetId="1767"/>
      <sheetData sheetId="1768"/>
      <sheetData sheetId="1769"/>
      <sheetData sheetId="1770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/>
      <sheetData sheetId="1807" refreshError="1"/>
      <sheetData sheetId="1808" refreshError="1"/>
      <sheetData sheetId="1809" refreshError="1"/>
      <sheetData sheetId="1810" refreshError="1"/>
      <sheetData sheetId="181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/>
      <sheetData sheetId="1831"/>
      <sheetData sheetId="1832"/>
      <sheetData sheetId="1833"/>
      <sheetData sheetId="1834"/>
      <sheetData sheetId="1835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/>
      <sheetData sheetId="1852"/>
      <sheetData sheetId="1853"/>
      <sheetData sheetId="1854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/>
      <sheetData sheetId="1870"/>
      <sheetData sheetId="1871"/>
      <sheetData sheetId="1872"/>
      <sheetData sheetId="1873" refreshError="1"/>
      <sheetData sheetId="1874" refreshError="1"/>
      <sheetData sheetId="1875" refreshError="1"/>
      <sheetData sheetId="1876"/>
      <sheetData sheetId="1877" refreshError="1"/>
      <sheetData sheetId="1878"/>
      <sheetData sheetId="1879" refreshError="1"/>
      <sheetData sheetId="1880" refreshError="1"/>
      <sheetData sheetId="1881"/>
      <sheetData sheetId="1882"/>
      <sheetData sheetId="1883"/>
      <sheetData sheetId="1884"/>
      <sheetData sheetId="1885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/>
      <sheetData sheetId="1899" refreshError="1"/>
      <sheetData sheetId="1900" refreshError="1"/>
      <sheetData sheetId="1901" refreshError="1"/>
      <sheetData sheetId="1902" refreshError="1"/>
      <sheetData sheetId="1903"/>
      <sheetData sheetId="1904"/>
      <sheetData sheetId="1905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/>
      <sheetData sheetId="1933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/>
      <sheetData sheetId="1944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/>
      <sheetData sheetId="1974" refreshError="1"/>
      <sheetData sheetId="1975"/>
      <sheetData sheetId="1976" refreshError="1"/>
      <sheetData sheetId="1977" refreshError="1"/>
      <sheetData sheetId="1978" refreshError="1"/>
      <sheetData sheetId="1979" refreshError="1"/>
      <sheetData sheetId="1980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 refreshError="1"/>
      <sheetData sheetId="2137" refreshError="1"/>
      <sheetData sheetId="2138" refreshError="1"/>
      <sheetData sheetId="2139" refreshError="1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/>
      <sheetData sheetId="2201"/>
      <sheetData sheetId="2202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/>
      <sheetData sheetId="2229" refreshError="1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>
        <row r="7">
          <cell r="A7" t="str">
            <v>{c}</v>
          </cell>
        </row>
      </sheetData>
      <sheetData sheetId="2453"/>
      <sheetData sheetId="2454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/>
      <sheetData sheetId="2535" refreshError="1"/>
      <sheetData sheetId="2536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/>
      <sheetData sheetId="2574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/>
      <sheetData sheetId="2627" refreshError="1"/>
      <sheetData sheetId="2628" refreshError="1"/>
      <sheetData sheetId="2629" refreshError="1"/>
      <sheetData sheetId="2630"/>
      <sheetData sheetId="2631"/>
      <sheetData sheetId="2632"/>
      <sheetData sheetId="2633"/>
      <sheetData sheetId="2634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/>
      <sheetData sheetId="266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>
        <row r="831">
          <cell r="R831">
            <v>32146023.650000002</v>
          </cell>
        </row>
      </sheetData>
      <sheetData sheetId="2674"/>
      <sheetData sheetId="2675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/>
      <sheetData sheetId="2684"/>
      <sheetData sheetId="2685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/>
      <sheetData sheetId="2727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/>
      <sheetData sheetId="2837"/>
      <sheetData sheetId="2838"/>
      <sheetData sheetId="2839"/>
      <sheetData sheetId="2840"/>
      <sheetData sheetId="2841">
        <row r="29">
          <cell r="D29" t="str">
            <v>&lt;5</v>
          </cell>
        </row>
      </sheetData>
      <sheetData sheetId="2842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/>
      <sheetData sheetId="2859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>
        <row r="7">
          <cell r="A7" t="str">
            <v>{c}</v>
          </cell>
        </row>
      </sheetData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>
        <row r="7">
          <cell r="A7" t="str">
            <v>{c}</v>
          </cell>
        </row>
      </sheetData>
      <sheetData sheetId="289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>
        <row r="17">
          <cell r="K17" t="str">
            <v>&lt;1</v>
          </cell>
        </row>
      </sheetData>
      <sheetData sheetId="3010"/>
      <sheetData sheetId="3011"/>
      <sheetData sheetId="3012" refreshError="1"/>
      <sheetData sheetId="3013" refreshError="1"/>
      <sheetData sheetId="3014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/>
      <sheetData sheetId="3056" refreshError="1"/>
      <sheetData sheetId="3057"/>
      <sheetData sheetId="3058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/>
      <sheetData sheetId="3065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/>
      <sheetData sheetId="3072" refreshError="1"/>
      <sheetData sheetId="3073" refreshError="1"/>
      <sheetData sheetId="3074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/>
      <sheetData sheetId="3104"/>
      <sheetData sheetId="3105"/>
      <sheetData sheetId="3106"/>
      <sheetData sheetId="3107"/>
      <sheetData sheetId="3108" refreshError="1"/>
      <sheetData sheetId="3109" refreshError="1"/>
      <sheetData sheetId="3110" refreshError="1"/>
      <sheetData sheetId="3111">
        <row r="110">
          <cell r="L110">
            <v>92556</v>
          </cell>
        </row>
      </sheetData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/>
      <sheetData sheetId="3193"/>
      <sheetData sheetId="3194"/>
      <sheetData sheetId="3195"/>
      <sheetData sheetId="3196"/>
      <sheetData sheetId="3197"/>
      <sheetData sheetId="3198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/>
      <sheetData sheetId="3229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/>
      <sheetData sheetId="3237"/>
      <sheetData sheetId="3238"/>
      <sheetData sheetId="3239"/>
      <sheetData sheetId="3240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/>
      <sheetData sheetId="3257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/>
      <sheetData sheetId="3299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/>
      <sheetData sheetId="3307"/>
      <sheetData sheetId="3308"/>
      <sheetData sheetId="3309" refreshError="1"/>
      <sheetData sheetId="3310">
        <row r="7">
          <cell r="A7" t="str">
            <v>{c}</v>
          </cell>
        </row>
      </sheetData>
      <sheetData sheetId="331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/>
      <sheetData sheetId="3340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/>
      <sheetData sheetId="3349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/>
      <sheetData sheetId="3362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/>
      <sheetData sheetId="3369"/>
      <sheetData sheetId="3370"/>
      <sheetData sheetId="3371"/>
      <sheetData sheetId="3372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/>
      <sheetData sheetId="3434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/>
      <sheetData sheetId="3500"/>
      <sheetData sheetId="3501"/>
      <sheetData sheetId="3502"/>
      <sheetData sheetId="3503"/>
      <sheetData sheetId="3504"/>
      <sheetData sheetId="3505" refreshError="1"/>
      <sheetData sheetId="3506"/>
      <sheetData sheetId="3507" refreshError="1"/>
      <sheetData sheetId="3508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/>
      <sheetData sheetId="3521" refreshError="1"/>
      <sheetData sheetId="3522" refreshError="1"/>
      <sheetData sheetId="3523"/>
      <sheetData sheetId="3524"/>
      <sheetData sheetId="3525" refreshError="1"/>
      <sheetData sheetId="3526" refreshError="1"/>
      <sheetData sheetId="3527" refreshError="1"/>
      <sheetData sheetId="3528" refreshError="1"/>
      <sheetData sheetId="3529"/>
      <sheetData sheetId="3530"/>
      <sheetData sheetId="3531"/>
      <sheetData sheetId="3532"/>
      <sheetData sheetId="3533"/>
      <sheetData sheetId="3534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 refreshError="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>
        <row r="17">
          <cell r="Q17">
            <v>11538.076629999998</v>
          </cell>
        </row>
      </sheetData>
      <sheetData sheetId="3568"/>
      <sheetData sheetId="3569" refreshError="1"/>
      <sheetData sheetId="3570" refreshError="1"/>
      <sheetData sheetId="3571" refreshError="1"/>
      <sheetData sheetId="3572">
        <row r="831">
          <cell r="R831">
            <v>32146023.650000002</v>
          </cell>
        </row>
      </sheetData>
      <sheetData sheetId="3573">
        <row r="17">
          <cell r="Q17">
            <v>11538.076629999998</v>
          </cell>
        </row>
      </sheetData>
      <sheetData sheetId="3574"/>
      <sheetData sheetId="3575"/>
      <sheetData sheetId="3576"/>
      <sheetData sheetId="3577"/>
      <sheetData sheetId="3578"/>
      <sheetData sheetId="3579" refreshError="1"/>
      <sheetData sheetId="3580" refreshError="1"/>
      <sheetData sheetId="3581"/>
      <sheetData sheetId="3582"/>
      <sheetData sheetId="3583"/>
      <sheetData sheetId="3584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>
        <row r="13">
          <cell r="I13">
            <v>1183000</v>
          </cell>
        </row>
      </sheetData>
      <sheetData sheetId="3594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/>
      <sheetData sheetId="3607" refreshError="1"/>
      <sheetData sheetId="3608" refreshError="1"/>
      <sheetData sheetId="3609" refreshError="1"/>
      <sheetData sheetId="3610" refreshError="1"/>
      <sheetData sheetId="3611"/>
      <sheetData sheetId="3612" refreshError="1"/>
      <sheetData sheetId="3613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/>
      <sheetData sheetId="3623"/>
      <sheetData sheetId="3624" refreshError="1"/>
      <sheetData sheetId="3625" refreshError="1"/>
      <sheetData sheetId="3626" refreshError="1"/>
      <sheetData sheetId="3627" refreshError="1"/>
      <sheetData sheetId="3628"/>
      <sheetData sheetId="3629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/>
      <sheetData sheetId="3639" refreshError="1"/>
      <sheetData sheetId="3640" refreshError="1"/>
      <sheetData sheetId="3641" refreshError="1"/>
      <sheetData sheetId="3642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/>
      <sheetData sheetId="3676"/>
      <sheetData sheetId="3677" refreshError="1"/>
      <sheetData sheetId="3678" refreshError="1"/>
      <sheetData sheetId="3679" refreshError="1"/>
      <sheetData sheetId="3680" refreshError="1"/>
      <sheetData sheetId="3681">
        <row r="29">
          <cell r="D29" t="str">
            <v>&lt;5</v>
          </cell>
        </row>
      </sheetData>
      <sheetData sheetId="3682"/>
      <sheetData sheetId="3683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>
        <row r="17">
          <cell r="K17" t="str">
            <v>&lt;1</v>
          </cell>
        </row>
      </sheetData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/>
      <sheetData sheetId="3733"/>
      <sheetData sheetId="3734"/>
      <sheetData sheetId="3735"/>
      <sheetData sheetId="3736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/>
      <sheetData sheetId="3750"/>
      <sheetData sheetId="3751"/>
      <sheetData sheetId="3752"/>
      <sheetData sheetId="3753"/>
      <sheetData sheetId="3754"/>
      <sheetData sheetId="3755" refreshError="1"/>
      <sheetData sheetId="3756"/>
      <sheetData sheetId="3757"/>
      <sheetData sheetId="3758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/>
      <sheetData sheetId="3812"/>
      <sheetData sheetId="3813"/>
      <sheetData sheetId="3814">
        <row r="26">
          <cell r="G26">
            <v>0</v>
          </cell>
        </row>
      </sheetData>
      <sheetData sheetId="3815"/>
      <sheetData sheetId="3816" refreshError="1"/>
      <sheetData sheetId="3817"/>
      <sheetData sheetId="3818">
        <row r="26">
          <cell r="G26">
            <v>0</v>
          </cell>
        </row>
      </sheetData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/>
      <sheetData sheetId="3846"/>
      <sheetData sheetId="3847"/>
      <sheetData sheetId="3848"/>
      <sheetData sheetId="3849"/>
      <sheetData sheetId="3850"/>
      <sheetData sheetId="385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/>
      <sheetData sheetId="3910"/>
      <sheetData sheetId="3911"/>
      <sheetData sheetId="3912"/>
      <sheetData sheetId="3913"/>
      <sheetData sheetId="3914"/>
      <sheetData sheetId="3915" refreshError="1"/>
      <sheetData sheetId="3916" refreshError="1"/>
      <sheetData sheetId="3917" refreshError="1"/>
      <sheetData sheetId="3918" refreshError="1"/>
      <sheetData sheetId="3919"/>
      <sheetData sheetId="3920" refreshError="1"/>
      <sheetData sheetId="392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/>
      <sheetData sheetId="3936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/>
      <sheetData sheetId="3950"/>
      <sheetData sheetId="3951"/>
      <sheetData sheetId="3952"/>
      <sheetData sheetId="3953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/>
      <sheetData sheetId="3962"/>
      <sheetData sheetId="3963"/>
      <sheetData sheetId="3964"/>
      <sheetData sheetId="3965"/>
      <sheetData sheetId="3966"/>
      <sheetData sheetId="3967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/>
      <sheetData sheetId="3976"/>
      <sheetData sheetId="3977"/>
      <sheetData sheetId="3978"/>
      <sheetData sheetId="3979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/>
      <sheetData sheetId="3987"/>
      <sheetData sheetId="3988"/>
      <sheetData sheetId="3989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>
        <row r="1">
          <cell r="F1">
            <v>0</v>
          </cell>
        </row>
      </sheetData>
      <sheetData sheetId="4002"/>
      <sheetData sheetId="4003"/>
      <sheetData sheetId="4004"/>
      <sheetData sheetId="4005"/>
      <sheetData sheetId="4006">
        <row r="2">
          <cell r="F2" t="str">
            <v>C/PARTIDA</v>
          </cell>
        </row>
      </sheetData>
      <sheetData sheetId="4007"/>
      <sheetData sheetId="4008"/>
      <sheetData sheetId="4009"/>
      <sheetData sheetId="4010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>
        <row r="7">
          <cell r="A7" t="str">
            <v>{c}</v>
          </cell>
        </row>
      </sheetData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>
        <row r="29">
          <cell r="D29" t="str">
            <v>&lt;5</v>
          </cell>
        </row>
      </sheetData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>
        <row r="17">
          <cell r="K17" t="str">
            <v>&lt;1</v>
          </cell>
        </row>
      </sheetData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>
        <row r="110">
          <cell r="L110">
            <v>0</v>
          </cell>
        </row>
      </sheetData>
      <sheetData sheetId="7113"/>
      <sheetData sheetId="7114"/>
      <sheetData sheetId="7115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RELATA VÉIO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Capa Simulador"/>
      <sheetName val="FLUXO + DRE  Original 20 anos"/>
      <sheetName val="Fatores 20 anos"/>
      <sheetName val="Prorrogação Fluxo 29 anos"/>
      <sheetName val="Prorrogação DRE 29 anos"/>
      <sheetName val="Comparativo de Mer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4">
          <cell r="F54" t="str">
            <v>ESTUDO DO REEQUILÍBRIO ECONÔMICO-FINANCEIRO</v>
          </cell>
        </row>
        <row r="55">
          <cell r="F55" t="e">
            <v>#REF!</v>
          </cell>
        </row>
        <row r="56">
          <cell r="F56" t="str">
            <v>Versão: A-001 - novembro/2006</v>
          </cell>
        </row>
        <row r="57">
          <cell r="F57">
            <v>0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7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-5262.029924547729</v>
          </cell>
          <cell r="H67">
            <v>-18335.123479361067</v>
          </cell>
          <cell r="I67">
            <v>0.18428744062547614</v>
          </cell>
        </row>
        <row r="68">
          <cell r="B68" t="str">
            <v>FATOR 2</v>
          </cell>
          <cell r="C68" t="str">
            <v>2ª Adequação - Investimentos</v>
          </cell>
          <cell r="G68">
            <v>7.1991250857352052</v>
          </cell>
          <cell r="H68">
            <v>25.084777031492447</v>
          </cell>
          <cell r="I68">
            <v>0.19523071610793916</v>
          </cell>
        </row>
        <row r="69">
          <cell r="B69" t="str">
            <v>FATOR 3</v>
          </cell>
          <cell r="C69" t="str">
            <v>3ª Adequação - Investimentos</v>
          </cell>
          <cell r="G69">
            <v>633.48475864302543</v>
          </cell>
          <cell r="H69">
            <v>2207.3271035248672</v>
          </cell>
          <cell r="I69">
            <v>0.19645841580770329</v>
          </cell>
        </row>
        <row r="70">
          <cell r="B70" t="str">
            <v>FATOR 4</v>
          </cell>
          <cell r="C70" t="str">
            <v>5ª Adequação em relação à 3ª - Investimentos</v>
          </cell>
          <cell r="G70">
            <v>11412.956461568274</v>
          </cell>
          <cell r="H70">
            <v>39767.536290742733</v>
          </cell>
          <cell r="I70">
            <v>0.21603675409041273</v>
          </cell>
        </row>
        <row r="71">
          <cell r="B71" t="str">
            <v>FATOR 5</v>
          </cell>
          <cell r="C71" t="str">
            <v>Perda de Rec.: Mudança no cron. Obras duplic. de Rod.</v>
          </cell>
          <cell r="G71">
            <v>-4346.0504011995499</v>
          </cell>
          <cell r="H71">
            <v>-15143.465905008017</v>
          </cell>
          <cell r="I71">
            <v>0.18764421132873257</v>
          </cell>
        </row>
        <row r="72">
          <cell r="B72" t="str">
            <v>FATOR 6</v>
          </cell>
          <cell r="C72" t="str">
            <v>Parcelamento do Reajuste Tarifário - Julho/03</v>
          </cell>
          <cell r="G72">
            <v>-741.62158170546843</v>
          </cell>
          <cell r="H72">
            <v>-2584.1212365772603</v>
          </cell>
          <cell r="I72">
            <v>0.1939490789488304</v>
          </cell>
        </row>
        <row r="73">
          <cell r="B73" t="str">
            <v>FATOR 7</v>
          </cell>
          <cell r="C73" t="str">
            <v>Majoração da COFINS</v>
          </cell>
          <cell r="G73">
            <v>-1447.0322068760595</v>
          </cell>
          <cell r="H73">
            <v>-5042.0682839361234</v>
          </cell>
          <cell r="I73">
            <v>0.19276839876973426</v>
          </cell>
        </row>
        <row r="74">
          <cell r="B74" t="str">
            <v>FATOR 8</v>
          </cell>
          <cell r="C74" t="str">
            <v>Majoração do PIS</v>
          </cell>
          <cell r="G74">
            <v>-123.40545918351535</v>
          </cell>
          <cell r="H74">
            <v>-429.99647751936357</v>
          </cell>
          <cell r="I74">
            <v>0.1950063971004708</v>
          </cell>
        </row>
        <row r="75">
          <cell r="B75" t="str">
            <v>FATOR 9</v>
          </cell>
          <cell r="C75" t="str">
            <v>Alteração do ISS-QN</v>
          </cell>
          <cell r="G75">
            <v>-9183.5104854062211</v>
          </cell>
          <cell r="H75">
            <v>-31999.209646912535</v>
          </cell>
          <cell r="I75">
            <v>0.1791068200776591</v>
          </cell>
        </row>
        <row r="76">
          <cell r="B76" t="str">
            <v>FATOR 10</v>
          </cell>
          <cell r="C76" t="str">
            <v>6ª Adequação - Investimentos</v>
          </cell>
          <cell r="G76">
            <v>146.27811241606295</v>
          </cell>
          <cell r="H76">
            <v>509.69441298015676</v>
          </cell>
          <cell r="I76">
            <v>0.19546870758151999</v>
          </cell>
        </row>
        <row r="77">
          <cell r="B77" t="str">
            <v>FATOR 11</v>
          </cell>
          <cell r="C77" t="str">
            <v>Reversão de Deflator de Receitas</v>
          </cell>
          <cell r="G77">
            <v>2617.6960591761554</v>
          </cell>
          <cell r="H77">
            <v>9121.1530843882247</v>
          </cell>
          <cell r="I77">
            <v>0.19957564807053693</v>
          </cell>
        </row>
        <row r="78">
          <cell r="B78" t="str">
            <v>FATOR 12</v>
          </cell>
          <cell r="C78" t="str">
            <v>7ª Adequação - Investimentos</v>
          </cell>
          <cell r="G78">
            <v>1609.1985908392762</v>
          </cell>
          <cell r="H78">
            <v>5607.1241115923331</v>
          </cell>
          <cell r="I78">
            <v>0.19796319078797572</v>
          </cell>
        </row>
        <row r="79">
          <cell r="B79" t="str">
            <v>FATOR 13</v>
          </cell>
          <cell r="C79" t="str">
            <v>Desapropriação Trevo ITU - TAM 015/2005</v>
          </cell>
          <cell r="G79">
            <v>-3467.4507581784201</v>
          </cell>
          <cell r="H79">
            <v>-12082.05554157312</v>
          </cell>
          <cell r="I79">
            <v>0.18929717256937867</v>
          </cell>
        </row>
        <row r="80">
          <cell r="B80" t="str">
            <v>FATOR 14</v>
          </cell>
          <cell r="C80">
            <v>0</v>
          </cell>
          <cell r="G80">
            <v>2.13064446821951E-11</v>
          </cell>
          <cell r="H80">
            <v>7.4240606715629796E-11</v>
          </cell>
          <cell r="I80">
            <v>0.19521825576665677</v>
          </cell>
        </row>
        <row r="81">
          <cell r="B81" t="str">
            <v>FATOR 15</v>
          </cell>
          <cell r="C81">
            <v>0</v>
          </cell>
          <cell r="G81">
            <v>2.13064446821951E-11</v>
          </cell>
          <cell r="H81">
            <v>7.4240606715629796E-11</v>
          </cell>
          <cell r="I81">
            <v>0.19521825576665677</v>
          </cell>
        </row>
        <row r="82">
          <cell r="B82" t="str">
            <v>TOTAL GERAL</v>
          </cell>
          <cell r="G82">
            <v>-8144.2877093683919</v>
          </cell>
          <cell r="H82">
            <v>-28378.120790627538</v>
          </cell>
          <cell r="I82">
            <v>0.17468941259549392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29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7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0.19521825576665677</v>
          </cell>
        </row>
        <row r="98">
          <cell r="B98" t="str">
            <v>TIR Resultante dos Desequilibrio no Contrato Original (ao ano)</v>
          </cell>
          <cell r="J98">
            <v>0.17468941259549392</v>
          </cell>
        </row>
        <row r="100">
          <cell r="B100" t="str">
            <v>Diferença entre a TIR Original x TIR Desequilibrios</v>
          </cell>
          <cell r="J100">
            <v>-2.0528843171162853E-2</v>
          </cell>
        </row>
        <row r="102">
          <cell r="B102" t="str">
            <v>TIR Resultante das Alternativas Utilizadas para o Reequilibrio (ao ano)</v>
          </cell>
          <cell r="J102">
            <v>0.19595914572424983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2.13064446821951E-11</v>
          </cell>
          <cell r="G136">
            <v>0.19521825576665677</v>
          </cell>
          <cell r="H136">
            <v>-34357.295449694619</v>
          </cell>
          <cell r="I136">
            <v>-53872.013544999994</v>
          </cell>
          <cell r="J136">
            <v>2805.2295750000194</v>
          </cell>
          <cell r="K136">
            <v>-48513.595705000014</v>
          </cell>
          <cell r="L136">
            <v>2124.5961649999954</v>
          </cell>
          <cell r="M136">
            <v>43364.162429999997</v>
          </cell>
          <cell r="N136">
            <v>52220.880145000003</v>
          </cell>
          <cell r="O136">
            <v>50342.945670000001</v>
          </cell>
          <cell r="P136">
            <v>52942.579810000003</v>
          </cell>
          <cell r="Q136">
            <v>14797.670620000004</v>
          </cell>
          <cell r="R136">
            <v>43330.094930000007</v>
          </cell>
          <cell r="S136">
            <v>41433.873035000011</v>
          </cell>
          <cell r="T136">
            <v>32813.771235000007</v>
          </cell>
          <cell r="U136">
            <v>33731.241664999994</v>
          </cell>
          <cell r="V136">
            <v>65204.415545000011</v>
          </cell>
          <cell r="W136">
            <v>42082.164504999993</v>
          </cell>
          <cell r="X136">
            <v>50620.158049999998</v>
          </cell>
          <cell r="Y136">
            <v>38169.888444999975</v>
          </cell>
          <cell r="Z136">
            <v>84194.645110000012</v>
          </cell>
          <cell r="AA136">
            <v>67948.241875000007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11813.343624999998</v>
          </cell>
          <cell r="I139">
            <v>30753.771199999999</v>
          </cell>
          <cell r="J139">
            <v>-29591.029499999997</v>
          </cell>
          <cell r="K139">
            <v>7502.1693649999997</v>
          </cell>
          <cell r="L139">
            <v>-14754.478229999997</v>
          </cell>
          <cell r="M139">
            <v>-24335.701300000001</v>
          </cell>
          <cell r="N139">
            <v>-11118.337</v>
          </cell>
          <cell r="O139">
            <v>-9708.6787999999997</v>
          </cell>
          <cell r="P139">
            <v>1328.5630000000001</v>
          </cell>
          <cell r="Q139">
            <v>2849.4112</v>
          </cell>
          <cell r="R139">
            <v>-356.19653096000229</v>
          </cell>
          <cell r="S139">
            <v>572.09479917279623</v>
          </cell>
          <cell r="T139">
            <v>-1357.0488937561317</v>
          </cell>
          <cell r="U139">
            <v>-3246.8648206673156</v>
          </cell>
          <cell r="V139">
            <v>-10946.662267358519</v>
          </cell>
          <cell r="W139">
            <v>-17685.527712965923</v>
          </cell>
          <cell r="X139">
            <v>-17794.221234685821</v>
          </cell>
          <cell r="Y139">
            <v>-6868.0195695348239</v>
          </cell>
          <cell r="Z139">
            <v>-8373.5769916996796</v>
          </cell>
          <cell r="AA139">
            <v>-9565.6767942711667</v>
          </cell>
        </row>
        <row r="140">
          <cell r="B140" t="str">
            <v>Somatoria com Projeto Original</v>
          </cell>
          <cell r="F140">
            <v>-5262.029924547729</v>
          </cell>
          <cell r="G140">
            <v>0.18428744062547614</v>
          </cell>
          <cell r="H140">
            <v>-22543.951824694621</v>
          </cell>
          <cell r="I140">
            <v>-23118.242344999995</v>
          </cell>
          <cell r="J140">
            <v>-26785.799924999978</v>
          </cell>
          <cell r="K140">
            <v>-41011.426340000013</v>
          </cell>
          <cell r="L140">
            <v>-12629.882065000002</v>
          </cell>
          <cell r="M140">
            <v>19028.461129999996</v>
          </cell>
          <cell r="N140">
            <v>41102.543145000003</v>
          </cell>
          <cell r="O140">
            <v>40634.266869999999</v>
          </cell>
          <cell r="P140">
            <v>54271.142810000005</v>
          </cell>
          <cell r="Q140">
            <v>17647.081820000003</v>
          </cell>
          <cell r="R140">
            <v>42973.898399040001</v>
          </cell>
          <cell r="S140">
            <v>42005.967834172807</v>
          </cell>
          <cell r="T140">
            <v>31456.722341243876</v>
          </cell>
          <cell r="U140">
            <v>30484.376844332677</v>
          </cell>
          <cell r="V140">
            <v>54257.753277641488</v>
          </cell>
          <cell r="W140">
            <v>24396.636792034071</v>
          </cell>
          <cell r="X140">
            <v>32825.936815314177</v>
          </cell>
          <cell r="Y140">
            <v>31301.868875465152</v>
          </cell>
          <cell r="Z140">
            <v>75821.068118300333</v>
          </cell>
          <cell r="AA140">
            <v>58382.56508072884</v>
          </cell>
        </row>
        <row r="141">
          <cell r="B141" t="str">
            <v>2ª Adequação - Investimentos</v>
          </cell>
        </row>
        <row r="142">
          <cell r="B142" t="str">
            <v>Fluxo de Caixa do Fator</v>
          </cell>
          <cell r="H142">
            <v>254.32999999999811</v>
          </cell>
          <cell r="I142">
            <v>0.12000000000023192</v>
          </cell>
          <cell r="J142">
            <v>-1.9999999999527063E-2</v>
          </cell>
          <cell r="K142">
            <v>9.9999999999454303E-2</v>
          </cell>
          <cell r="L142">
            <v>0.3199999999993679</v>
          </cell>
          <cell r="M142">
            <v>5202.6899999999996</v>
          </cell>
          <cell r="N142">
            <v>-3132.7000000000003</v>
          </cell>
          <cell r="O142">
            <v>-8589.869999999999</v>
          </cell>
          <cell r="P142">
            <v>-11504.17</v>
          </cell>
          <cell r="Q142">
            <v>29472.91</v>
          </cell>
          <cell r="R142">
            <v>291.43999999999983</v>
          </cell>
          <cell r="S142">
            <v>-2544.8199999999997</v>
          </cell>
          <cell r="T142">
            <v>-9490.76</v>
          </cell>
          <cell r="U142">
            <v>-6893.84</v>
          </cell>
          <cell r="V142">
            <v>-1.2999999999998266</v>
          </cell>
          <cell r="W142">
            <v>0.58000000000004093</v>
          </cell>
          <cell r="X142">
            <v>534.63000000000068</v>
          </cell>
          <cell r="Y142">
            <v>17534.84</v>
          </cell>
          <cell r="Z142">
            <v>-26996.74</v>
          </cell>
          <cell r="AA142">
            <v>9454.9</v>
          </cell>
        </row>
        <row r="143">
          <cell r="B143" t="str">
            <v>Somatoria com Projeto Original</v>
          </cell>
          <cell r="F143">
            <v>7.1991250857352052</v>
          </cell>
          <cell r="G143">
            <v>0.19523071610793916</v>
          </cell>
          <cell r="H143">
            <v>-34102.965449694617</v>
          </cell>
          <cell r="I143">
            <v>-53871.893544999992</v>
          </cell>
          <cell r="J143">
            <v>2805.2095750000199</v>
          </cell>
          <cell r="K143">
            <v>-48513.495705000016</v>
          </cell>
          <cell r="L143">
            <v>2124.9161649999946</v>
          </cell>
          <cell r="M143">
            <v>48566.852429999999</v>
          </cell>
          <cell r="N143">
            <v>49088.180145000006</v>
          </cell>
          <cell r="O143">
            <v>41753.075670000006</v>
          </cell>
          <cell r="P143">
            <v>41438.409810000005</v>
          </cell>
          <cell r="Q143">
            <v>44270.580620000008</v>
          </cell>
          <cell r="R143">
            <v>43621.534930000009</v>
          </cell>
          <cell r="S143">
            <v>38889.053035000012</v>
          </cell>
          <cell r="T143">
            <v>23323.011235000005</v>
          </cell>
          <cell r="U143">
            <v>26837.401664999994</v>
          </cell>
          <cell r="V143">
            <v>65203.115545000008</v>
          </cell>
          <cell r="W143">
            <v>42082.744504999995</v>
          </cell>
          <cell r="X143">
            <v>51154.788049999996</v>
          </cell>
          <cell r="Y143">
            <v>55704.728444999972</v>
          </cell>
          <cell r="Z143">
            <v>57197.905110000007</v>
          </cell>
          <cell r="AA143">
            <v>77403.141875000001</v>
          </cell>
        </row>
        <row r="144">
          <cell r="B144" t="str">
            <v>3ª Adequação - Investimentos</v>
          </cell>
        </row>
        <row r="145">
          <cell r="B145" t="str">
            <v>Fluxo de Caixa do Fator</v>
          </cell>
          <cell r="H145">
            <v>-4.5099999999971629</v>
          </cell>
          <cell r="I145">
            <v>1323.2455833333333</v>
          </cell>
          <cell r="J145">
            <v>29445.524334999998</v>
          </cell>
          <cell r="K145">
            <v>22642.089119999997</v>
          </cell>
          <cell r="L145">
            <v>-8833.9777849999991</v>
          </cell>
          <cell r="M145">
            <v>-67069.959451375995</v>
          </cell>
          <cell r="N145">
            <v>-12706.039110000002</v>
          </cell>
          <cell r="O145">
            <v>5788.8358749999989</v>
          </cell>
          <cell r="P145">
            <v>8565.798714999999</v>
          </cell>
          <cell r="Q145">
            <v>80.517084999999952</v>
          </cell>
          <cell r="R145">
            <v>1252.6617635199964</v>
          </cell>
          <cell r="S145">
            <v>158.67520605311893</v>
          </cell>
          <cell r="T145">
            <v>-21.62804360343489</v>
          </cell>
          <cell r="U145">
            <v>-9837.9774416823075</v>
          </cell>
          <cell r="V145">
            <v>-3490.17559746598</v>
          </cell>
          <cell r="W145">
            <v>-2444.1783619543749</v>
          </cell>
          <cell r="X145">
            <v>-6893.3579425017761</v>
          </cell>
          <cell r="Y145">
            <v>-4576.7107720539034</v>
          </cell>
          <cell r="Z145">
            <v>2061.7656287518712</v>
          </cell>
          <cell r="AA145">
            <v>-1162.8648998155445</v>
          </cell>
        </row>
        <row r="146">
          <cell r="B146" t="str">
            <v>Somatoria com Projeto Original</v>
          </cell>
          <cell r="F146">
            <v>633.48475864302543</v>
          </cell>
          <cell r="G146">
            <v>0.19645841580770329</v>
          </cell>
          <cell r="H146">
            <v>-34361.805449694613</v>
          </cell>
          <cell r="I146">
            <v>-52548.767961666657</v>
          </cell>
          <cell r="J146">
            <v>32250.753910000018</v>
          </cell>
          <cell r="K146">
            <v>-25871.506585000017</v>
          </cell>
          <cell r="L146">
            <v>-6709.3816200000037</v>
          </cell>
          <cell r="M146">
            <v>-23705.797021375998</v>
          </cell>
          <cell r="N146">
            <v>39514.841035000005</v>
          </cell>
          <cell r="O146">
            <v>56131.781544999998</v>
          </cell>
          <cell r="P146">
            <v>61508.378525</v>
          </cell>
          <cell r="Q146">
            <v>14878.187705000004</v>
          </cell>
          <cell r="R146">
            <v>44582.756693520001</v>
          </cell>
          <cell r="S146">
            <v>41592.548241053133</v>
          </cell>
          <cell r="T146">
            <v>32792.143191396572</v>
          </cell>
          <cell r="U146">
            <v>23893.264223317688</v>
          </cell>
          <cell r="V146">
            <v>61714.239947534028</v>
          </cell>
          <cell r="W146">
            <v>39637.986143045622</v>
          </cell>
          <cell r="X146">
            <v>43726.800107498224</v>
          </cell>
          <cell r="Y146">
            <v>33593.177672946069</v>
          </cell>
          <cell r="Z146">
            <v>86256.410738751889</v>
          </cell>
          <cell r="AA146">
            <v>66785.376975184467</v>
          </cell>
        </row>
        <row r="147">
          <cell r="B147" t="str">
            <v>5ª Adequação em relação à 3ª - Investimentos</v>
          </cell>
        </row>
        <row r="148">
          <cell r="B148" t="str">
            <v>Fluxo de Caixa do Fator</v>
          </cell>
          <cell r="H148">
            <v>344.95486000000005</v>
          </cell>
          <cell r="I148">
            <v>115.69186197368518</v>
          </cell>
          <cell r="J148">
            <v>35.269589473683943</v>
          </cell>
          <cell r="K148">
            <v>13055.682848885448</v>
          </cell>
          <cell r="L148">
            <v>18539.136903885446</v>
          </cell>
          <cell r="M148">
            <v>31193.615748885444</v>
          </cell>
          <cell r="N148">
            <v>-39594.776436828841</v>
          </cell>
          <cell r="O148">
            <v>-11453.772183944222</v>
          </cell>
          <cell r="P148">
            <v>-14193.699321444221</v>
          </cell>
          <cell r="Q148">
            <v>2278.7549910557768</v>
          </cell>
          <cell r="R148">
            <v>-4096.1071589442236</v>
          </cell>
          <cell r="S148">
            <v>307.19370355578002</v>
          </cell>
          <cell r="T148">
            <v>15898.265978555779</v>
          </cell>
          <cell r="U148">
            <v>11104.833439270065</v>
          </cell>
          <cell r="V148">
            <v>-2564.1608607299345</v>
          </cell>
          <cell r="W148">
            <v>18917.318981770066</v>
          </cell>
          <cell r="X148">
            <v>19330.358269270066</v>
          </cell>
          <cell r="Y148">
            <v>-6504.4028557299362</v>
          </cell>
          <cell r="Z148">
            <v>-3967.2275182299336</v>
          </cell>
          <cell r="AA148">
            <v>-17103.232580729938</v>
          </cell>
        </row>
        <row r="149">
          <cell r="B149" t="str">
            <v>Somatoria com Projeto Original</v>
          </cell>
          <cell r="F149">
            <v>11412.956461568274</v>
          </cell>
          <cell r="G149">
            <v>0.21603675409041273</v>
          </cell>
          <cell r="H149">
            <v>-34012.340589694621</v>
          </cell>
          <cell r="I149">
            <v>-53756.321683026312</v>
          </cell>
          <cell r="J149">
            <v>2840.4991644737033</v>
          </cell>
          <cell r="K149">
            <v>-35457.912856114563</v>
          </cell>
          <cell r="L149">
            <v>20663.733068885442</v>
          </cell>
          <cell r="M149">
            <v>74557.778178885434</v>
          </cell>
          <cell r="N149">
            <v>12626.103708171162</v>
          </cell>
          <cell r="O149">
            <v>38889.173486055777</v>
          </cell>
          <cell r="P149">
            <v>38748.880488555784</v>
          </cell>
          <cell r="Q149">
            <v>17076.42561105578</v>
          </cell>
          <cell r="R149">
            <v>39233.987771055785</v>
          </cell>
          <cell r="S149">
            <v>41741.06673855579</v>
          </cell>
          <cell r="T149">
            <v>48712.037213555785</v>
          </cell>
          <cell r="U149">
            <v>44836.075104270058</v>
          </cell>
          <cell r="V149">
            <v>62640.254684270076</v>
          </cell>
          <cell r="W149">
            <v>60999.483486770056</v>
          </cell>
          <cell r="X149">
            <v>69950.516319270071</v>
          </cell>
          <cell r="Y149">
            <v>31665.48558927004</v>
          </cell>
          <cell r="Z149">
            <v>80227.417591770078</v>
          </cell>
          <cell r="AA149">
            <v>50845.009294270072</v>
          </cell>
        </row>
        <row r="150">
          <cell r="B150" t="str">
            <v>Perda de Rec.: Mudança no cron. Obras duplic. de Rod.</v>
          </cell>
        </row>
        <row r="151">
          <cell r="B151" t="str">
            <v>Fluxo de Caixa do Fator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-3612.6987932211182</v>
          </cell>
          <cell r="N151">
            <v>-3568.8513226500313</v>
          </cell>
          <cell r="O151">
            <v>-1074.5472882872064</v>
          </cell>
          <cell r="P151">
            <v>-1119.5162680158792</v>
          </cell>
          <cell r="Q151">
            <v>-1156.7123425498289</v>
          </cell>
          <cell r="R151">
            <v>-1184.2067938230039</v>
          </cell>
          <cell r="S151">
            <v>-1205.5079725585367</v>
          </cell>
          <cell r="T151">
            <v>-1230.207324093044</v>
          </cell>
          <cell r="U151">
            <v>-1254.1794435296529</v>
          </cell>
          <cell r="V151">
            <v>-2126.4497565812585</v>
          </cell>
          <cell r="W151">
            <v>-2167.3492294579814</v>
          </cell>
          <cell r="X151">
            <v>-2247.9258386064521</v>
          </cell>
          <cell r="Y151">
            <v>-4732.5523538074131</v>
          </cell>
          <cell r="Z151">
            <v>-4827.7073465194781</v>
          </cell>
          <cell r="AA151">
            <v>-4902.3974158251403</v>
          </cell>
        </row>
        <row r="152">
          <cell r="B152" t="str">
            <v>Somatoria com Projeto Original</v>
          </cell>
          <cell r="F152">
            <v>-4346.0504011995499</v>
          </cell>
          <cell r="G152">
            <v>0.18764421132873257</v>
          </cell>
          <cell r="H152">
            <v>-34357.295449694619</v>
          </cell>
          <cell r="I152">
            <v>-53872.013544999994</v>
          </cell>
          <cell r="J152">
            <v>2805.2295750000194</v>
          </cell>
          <cell r="K152">
            <v>-48513.595705000014</v>
          </cell>
          <cell r="L152">
            <v>2124.5961649999954</v>
          </cell>
          <cell r="M152">
            <v>39751.463636778877</v>
          </cell>
          <cell r="N152">
            <v>48652.028822349974</v>
          </cell>
          <cell r="O152">
            <v>49268.398381712796</v>
          </cell>
          <cell r="P152">
            <v>51823.063541984127</v>
          </cell>
          <cell r="Q152">
            <v>13640.958277450176</v>
          </cell>
          <cell r="R152">
            <v>42145.888136177004</v>
          </cell>
          <cell r="S152">
            <v>40228.365062441473</v>
          </cell>
          <cell r="T152">
            <v>31583.563910906963</v>
          </cell>
          <cell r="U152">
            <v>32477.06222147034</v>
          </cell>
          <cell r="V152">
            <v>63077.965788418755</v>
          </cell>
          <cell r="W152">
            <v>39914.815275542009</v>
          </cell>
          <cell r="X152">
            <v>48372.232211393544</v>
          </cell>
          <cell r="Y152">
            <v>33437.336091192563</v>
          </cell>
          <cell r="Z152">
            <v>79366.937763480528</v>
          </cell>
          <cell r="AA152">
            <v>63045.84445917487</v>
          </cell>
        </row>
        <row r="153">
          <cell r="B153" t="str">
            <v>Parcelamento do Reajuste Tarifário - Julho/03</v>
          </cell>
        </row>
        <row r="154">
          <cell r="B154" t="str">
            <v>Fluxo de Caixa do Fator</v>
          </cell>
          <cell r="H154">
            <v>0</v>
          </cell>
          <cell r="I154">
            <v>0</v>
          </cell>
          <cell r="J154">
            <v>0</v>
          </cell>
          <cell r="K154">
            <v>-1513.46099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B155" t="str">
            <v>Somatoria com Projeto Original</v>
          </cell>
          <cell r="F155">
            <v>-741.62158170546843</v>
          </cell>
          <cell r="G155">
            <v>0.1939490789488304</v>
          </cell>
          <cell r="H155">
            <v>-34357.295449694619</v>
          </cell>
          <cell r="I155">
            <v>-53872.013544999994</v>
          </cell>
          <cell r="J155">
            <v>2805.2295750000194</v>
          </cell>
          <cell r="K155">
            <v>-50027.056695000014</v>
          </cell>
          <cell r="L155">
            <v>2124.5961649999954</v>
          </cell>
          <cell r="M155">
            <v>43364.162429999997</v>
          </cell>
          <cell r="N155">
            <v>52220.880145000003</v>
          </cell>
          <cell r="O155">
            <v>50342.945670000001</v>
          </cell>
          <cell r="P155">
            <v>52942.579810000003</v>
          </cell>
          <cell r="Q155">
            <v>14797.670620000004</v>
          </cell>
          <cell r="R155">
            <v>43330.094930000007</v>
          </cell>
          <cell r="S155">
            <v>41433.873035000011</v>
          </cell>
          <cell r="T155">
            <v>32813.771235000007</v>
          </cell>
          <cell r="U155">
            <v>33731.241664999994</v>
          </cell>
          <cell r="V155">
            <v>65204.415545000011</v>
          </cell>
          <cell r="W155">
            <v>42082.164504999993</v>
          </cell>
          <cell r="X155">
            <v>50620.158049999998</v>
          </cell>
          <cell r="Y155">
            <v>38169.888444999975</v>
          </cell>
          <cell r="Z155">
            <v>84194.645110000012</v>
          </cell>
          <cell r="AA155">
            <v>67948.241875000007</v>
          </cell>
        </row>
        <row r="156">
          <cell r="B156" t="str">
            <v>Majoração da COFINS</v>
          </cell>
        </row>
        <row r="157">
          <cell r="B157" t="str">
            <v>Fluxo de Caixa do Fator</v>
          </cell>
          <cell r="H157">
            <v>-442.26990897249982</v>
          </cell>
          <cell r="I157">
            <v>-569.79131600000005</v>
          </cell>
          <cell r="J157">
            <v>-561.30476099999987</v>
          </cell>
          <cell r="K157">
            <v>-440.11603256497096</v>
          </cell>
          <cell r="L157">
            <v>-597.356132136013</v>
          </cell>
          <cell r="M157">
            <v>-612.59839877533523</v>
          </cell>
          <cell r="N157">
            <v>-670.87139280286124</v>
          </cell>
          <cell r="O157">
            <v>355.39540391701627</v>
          </cell>
          <cell r="P157">
            <v>367.12638539488182</v>
          </cell>
          <cell r="Q157">
            <v>378.09703393519766</v>
          </cell>
          <cell r="R157">
            <v>385.71183046594069</v>
          </cell>
          <cell r="S157">
            <v>391.96020698594845</v>
          </cell>
          <cell r="T157">
            <v>398.32960343687989</v>
          </cell>
          <cell r="U157">
            <v>405.73897248633358</v>
          </cell>
          <cell r="V157">
            <v>412.97888611737977</v>
          </cell>
          <cell r="W157">
            <v>418.21906459527736</v>
          </cell>
          <cell r="X157">
            <v>426.39491644888363</v>
          </cell>
          <cell r="Y157">
            <v>435.07337262895021</v>
          </cell>
          <cell r="Z157">
            <v>440.89640975073434</v>
          </cell>
          <cell r="AA157">
            <v>446.54982125089327</v>
          </cell>
        </row>
        <row r="158">
          <cell r="B158" t="str">
            <v>Somatoria com Projeto Original</v>
          </cell>
          <cell r="F158">
            <v>-1447.0322068760595</v>
          </cell>
          <cell r="G158">
            <v>0.19276839876973426</v>
          </cell>
          <cell r="H158">
            <v>-34799.565358667118</v>
          </cell>
          <cell r="I158">
            <v>-54441.804860999997</v>
          </cell>
          <cell r="J158">
            <v>2243.9248140000195</v>
          </cell>
          <cell r="K158">
            <v>-48953.711737564983</v>
          </cell>
          <cell r="L158">
            <v>1527.2400328639824</v>
          </cell>
          <cell r="M158">
            <v>42751.564031224661</v>
          </cell>
          <cell r="N158">
            <v>51550.008752197144</v>
          </cell>
          <cell r="O158">
            <v>50698.341073917014</v>
          </cell>
          <cell r="P158">
            <v>53309.706195394887</v>
          </cell>
          <cell r="Q158">
            <v>15175.767653935201</v>
          </cell>
          <cell r="R158">
            <v>43715.806760465945</v>
          </cell>
          <cell r="S158">
            <v>41825.833241985958</v>
          </cell>
          <cell r="T158">
            <v>33212.100838436891</v>
          </cell>
          <cell r="U158">
            <v>34136.980637486326</v>
          </cell>
          <cell r="V158">
            <v>65617.394431117384</v>
          </cell>
          <cell r="W158">
            <v>42500.383569595273</v>
          </cell>
          <cell r="X158">
            <v>51046.552966448879</v>
          </cell>
          <cell r="Y158">
            <v>38604.961817628922</v>
          </cell>
          <cell r="Z158">
            <v>84635.541519750754</v>
          </cell>
          <cell r="AA158">
            <v>68394.791696250904</v>
          </cell>
        </row>
        <row r="159">
          <cell r="B159" t="str">
            <v>Majoração do PIS</v>
          </cell>
        </row>
        <row r="160">
          <cell r="B160" t="str">
            <v>Fluxo de Caixa do Fator</v>
          </cell>
          <cell r="H160">
            <v>-2.0326962500000154</v>
          </cell>
          <cell r="I160">
            <v>-2.2130368000000828</v>
          </cell>
          <cell r="J160">
            <v>-51.577008495032885</v>
          </cell>
          <cell r="K160">
            <v>-138.77906328368033</v>
          </cell>
          <cell r="L160">
            <v>-39.536850706612505</v>
          </cell>
          <cell r="M160">
            <v>-2.5765486500000021</v>
          </cell>
          <cell r="N160">
            <v>-2.6894737999999982</v>
          </cell>
          <cell r="O160">
            <v>-2.7790997000000166</v>
          </cell>
          <cell r="P160">
            <v>-2.8690740000000687</v>
          </cell>
          <cell r="Q160">
            <v>-2.9551287999999625</v>
          </cell>
          <cell r="R160">
            <v>-3.0385705999999786</v>
          </cell>
          <cell r="S160">
            <v>-3.1245383000000162</v>
          </cell>
          <cell r="T160">
            <v>-3.2131190000000069</v>
          </cell>
          <cell r="U160">
            <v>-3.1401727500000756</v>
          </cell>
          <cell r="V160">
            <v>-3.2672081000000186</v>
          </cell>
          <cell r="W160">
            <v>-3.3483852999999635</v>
          </cell>
          <cell r="X160">
            <v>-3.4552570000000093</v>
          </cell>
          <cell r="Y160">
            <v>-3.6659083500000622</v>
          </cell>
          <cell r="Z160">
            <v>-3.7602811999999779</v>
          </cell>
          <cell r="AA160">
            <v>-3.8542185500000787</v>
          </cell>
        </row>
        <row r="161">
          <cell r="B161" t="str">
            <v>Somatoria com Projeto Original</v>
          </cell>
          <cell r="F161">
            <v>-123.40545918351535</v>
          </cell>
          <cell r="G161">
            <v>0.1950063971004708</v>
          </cell>
          <cell r="H161">
            <v>-34359.328145944615</v>
          </cell>
          <cell r="I161">
            <v>-53874.226581799994</v>
          </cell>
          <cell r="J161">
            <v>2753.6525665049867</v>
          </cell>
          <cell r="K161">
            <v>-48652.374768283691</v>
          </cell>
          <cell r="L161">
            <v>2085.0593142933831</v>
          </cell>
          <cell r="M161">
            <v>43361.585881349994</v>
          </cell>
          <cell r="N161">
            <v>52218.190671200005</v>
          </cell>
          <cell r="O161">
            <v>50340.166570300004</v>
          </cell>
          <cell r="P161">
            <v>52939.710736000001</v>
          </cell>
          <cell r="Q161">
            <v>14794.715491200004</v>
          </cell>
          <cell r="R161">
            <v>43327.056359400005</v>
          </cell>
          <cell r="S161">
            <v>41430.748496700013</v>
          </cell>
          <cell r="T161">
            <v>32810.558116000007</v>
          </cell>
          <cell r="U161">
            <v>33728.101492249996</v>
          </cell>
          <cell r="V161">
            <v>65201.148336900013</v>
          </cell>
          <cell r="W161">
            <v>42078.816119699994</v>
          </cell>
          <cell r="X161">
            <v>50616.702792999997</v>
          </cell>
          <cell r="Y161">
            <v>38166.222536649977</v>
          </cell>
          <cell r="Z161">
            <v>84190.884828800015</v>
          </cell>
          <cell r="AA161">
            <v>67944.38765645001</v>
          </cell>
        </row>
        <row r="162">
          <cell r="B162" t="str">
            <v>Alteração do ISS-QN</v>
          </cell>
        </row>
        <row r="163">
          <cell r="B163" t="str">
            <v>Fluxo de Caixa do Fator</v>
          </cell>
          <cell r="H163">
            <v>0</v>
          </cell>
          <cell r="I163">
            <v>0</v>
          </cell>
          <cell r="J163">
            <v>0</v>
          </cell>
          <cell r="K163">
            <v>-1849.5981673956326</v>
          </cell>
          <cell r="L163">
            <v>-2877.9850000000001</v>
          </cell>
          <cell r="M163">
            <v>-3003.5331788766762</v>
          </cell>
          <cell r="N163">
            <v>-3292.2921840143072</v>
          </cell>
          <cell r="O163">
            <v>-3543.6687576424379</v>
          </cell>
          <cell r="P163">
            <v>-3660.6796638571345</v>
          </cell>
          <cell r="Q163">
            <v>-3770.0624887360982</v>
          </cell>
          <cell r="R163">
            <v>-3845.4386310936402</v>
          </cell>
          <cell r="S163">
            <v>-3906.8852500088706</v>
          </cell>
          <cell r="T163">
            <v>-3969.5001045865074</v>
          </cell>
          <cell r="U163">
            <v>-4046.3998017552058</v>
          </cell>
          <cell r="V163">
            <v>-4116.9643096764312</v>
          </cell>
          <cell r="W163">
            <v>-4168.2867408914535</v>
          </cell>
          <cell r="X163">
            <v>-4248.8177548598815</v>
          </cell>
          <cell r="Y163">
            <v>-4332.0560492635859</v>
          </cell>
          <cell r="Z163">
            <v>-4388.9908638332126</v>
          </cell>
          <cell r="AA163">
            <v>-4444.2137713348257</v>
          </cell>
        </row>
        <row r="164">
          <cell r="B164" t="str">
            <v>Somatoria com Projeto Original</v>
          </cell>
          <cell r="F164">
            <v>-9183.5104854062211</v>
          </cell>
          <cell r="G164">
            <v>0.1791068200776591</v>
          </cell>
          <cell r="H164">
            <v>-34357.295449694619</v>
          </cell>
          <cell r="I164">
            <v>-53872.013544999994</v>
          </cell>
          <cell r="J164">
            <v>2805.2295750000194</v>
          </cell>
          <cell r="K164">
            <v>-50363.193872395648</v>
          </cell>
          <cell r="L164">
            <v>-753.38883500000475</v>
          </cell>
          <cell r="M164">
            <v>40360.629251123319</v>
          </cell>
          <cell r="N164">
            <v>48928.587960985693</v>
          </cell>
          <cell r="O164">
            <v>46799.276912357564</v>
          </cell>
          <cell r="P164">
            <v>49281.900146142871</v>
          </cell>
          <cell r="Q164">
            <v>11027.608131263907</v>
          </cell>
          <cell r="R164">
            <v>39484.656298906368</v>
          </cell>
          <cell r="S164">
            <v>37526.987784991143</v>
          </cell>
          <cell r="T164">
            <v>28844.271130413501</v>
          </cell>
          <cell r="U164">
            <v>29684.841863244787</v>
          </cell>
          <cell r="V164">
            <v>61087.451235323577</v>
          </cell>
          <cell r="W164">
            <v>37913.87776410854</v>
          </cell>
          <cell r="X164">
            <v>46371.340295140115</v>
          </cell>
          <cell r="Y164">
            <v>33837.83239573639</v>
          </cell>
          <cell r="Z164">
            <v>79805.6542461668</v>
          </cell>
          <cell r="AA164">
            <v>63504.02810366518</v>
          </cell>
        </row>
        <row r="165">
          <cell r="B165" t="str">
            <v>6ª Adequação - Investimentos</v>
          </cell>
        </row>
        <row r="166">
          <cell r="B166" t="str">
            <v>Fluxo de Caixa do Fator</v>
          </cell>
          <cell r="H166">
            <v>57.768539098354239</v>
          </cell>
          <cell r="I166">
            <v>69.63291592608455</v>
          </cell>
          <cell r="J166">
            <v>76.988280759909117</v>
          </cell>
          <cell r="K166">
            <v>87.675046144126568</v>
          </cell>
          <cell r="L166">
            <v>433.99887053956678</v>
          </cell>
          <cell r="M166">
            <v>-12897.667750444269</v>
          </cell>
          <cell r="N166">
            <v>23964.620046755623</v>
          </cell>
          <cell r="O166">
            <v>-12229.835261172806</v>
          </cell>
          <cell r="P166">
            <v>731.51299487834149</v>
          </cell>
          <cell r="Q166">
            <v>0.67998647166954473</v>
          </cell>
          <cell r="R166">
            <v>-12.549792099349151</v>
          </cell>
          <cell r="S166">
            <v>-32.756414137310628</v>
          </cell>
          <cell r="T166">
            <v>249.05742792350009</v>
          </cell>
          <cell r="U166">
            <v>-531.43039536369179</v>
          </cell>
          <cell r="V166">
            <v>-245.79557780485527</v>
          </cell>
          <cell r="W166">
            <v>-79.410269876426028</v>
          </cell>
          <cell r="X166">
            <v>94.62636867406917</v>
          </cell>
          <cell r="Y166">
            <v>-179.96361606718511</v>
          </cell>
          <cell r="Z166">
            <v>-48.68346899666227</v>
          </cell>
          <cell r="AA166">
            <v>6015.1472682453123</v>
          </cell>
        </row>
        <row r="167">
          <cell r="B167" t="str">
            <v>Somatoria com Projeto Original</v>
          </cell>
          <cell r="F167">
            <v>146.27811241606295</v>
          </cell>
          <cell r="G167">
            <v>0.19546870758151999</v>
          </cell>
          <cell r="H167">
            <v>-34299.526910596265</v>
          </cell>
          <cell r="I167">
            <v>-53802.380629073908</v>
          </cell>
          <cell r="J167">
            <v>2882.2178557599286</v>
          </cell>
          <cell r="K167">
            <v>-48425.920658855888</v>
          </cell>
          <cell r="L167">
            <v>2558.5950355395621</v>
          </cell>
          <cell r="M167">
            <v>30466.494679555726</v>
          </cell>
          <cell r="N167">
            <v>76185.500191755622</v>
          </cell>
          <cell r="O167">
            <v>38113.110408827197</v>
          </cell>
          <cell r="P167">
            <v>53674.092804878346</v>
          </cell>
          <cell r="Q167">
            <v>14798.350606471675</v>
          </cell>
          <cell r="R167">
            <v>43317.545137900655</v>
          </cell>
          <cell r="S167">
            <v>41401.116620862704</v>
          </cell>
          <cell r="T167">
            <v>33062.828662923508</v>
          </cell>
          <cell r="U167">
            <v>33199.811269636302</v>
          </cell>
          <cell r="V167">
            <v>64958.619967195154</v>
          </cell>
          <cell r="W167">
            <v>42002.754235123568</v>
          </cell>
          <cell r="X167">
            <v>50714.784418674069</v>
          </cell>
          <cell r="Y167">
            <v>37989.924828932788</v>
          </cell>
          <cell r="Z167">
            <v>84145.961641003349</v>
          </cell>
          <cell r="AA167">
            <v>73963.389143245324</v>
          </cell>
        </row>
        <row r="168">
          <cell r="B168" t="str">
            <v>Reversão de Deflator de Receitas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564.98072136000224</v>
          </cell>
          <cell r="S169">
            <v>1445.8371225552032</v>
          </cell>
          <cell r="T169">
            <v>2366.152425154788</v>
          </cell>
          <cell r="U169">
            <v>3337.8096441542903</v>
          </cell>
          <cell r="V169">
            <v>4395.696013472445</v>
          </cell>
          <cell r="W169">
            <v>5439.4748485483778</v>
          </cell>
          <cell r="X169">
            <v>6566.651660143003</v>
          </cell>
          <cell r="Y169">
            <v>7969.0958080381743</v>
          </cell>
          <cell r="Z169">
            <v>9188.0535216392855</v>
          </cell>
          <cell r="AA169">
            <v>10444.503829293666</v>
          </cell>
        </row>
        <row r="170">
          <cell r="B170" t="str">
            <v>Somatoria com Projeto Original</v>
          </cell>
          <cell r="F170">
            <v>2617.6960591761554</v>
          </cell>
          <cell r="G170">
            <v>0.19957564807053693</v>
          </cell>
          <cell r="H170">
            <v>-34357.295449694619</v>
          </cell>
          <cell r="I170">
            <v>-53872.013544999994</v>
          </cell>
          <cell r="J170">
            <v>2805.2295750000194</v>
          </cell>
          <cell r="K170">
            <v>-48513.595705000014</v>
          </cell>
          <cell r="L170">
            <v>2124.5961649999954</v>
          </cell>
          <cell r="M170">
            <v>43364.162429999997</v>
          </cell>
          <cell r="N170">
            <v>52220.880145000003</v>
          </cell>
          <cell r="O170">
            <v>50342.945670000001</v>
          </cell>
          <cell r="P170">
            <v>52942.579810000003</v>
          </cell>
          <cell r="Q170">
            <v>14797.670620000004</v>
          </cell>
          <cell r="R170">
            <v>43895.075651360006</v>
          </cell>
          <cell r="S170">
            <v>42879.710157555215</v>
          </cell>
          <cell r="T170">
            <v>35179.923660154796</v>
          </cell>
          <cell r="U170">
            <v>37069.051309154282</v>
          </cell>
          <cell r="V170">
            <v>69600.111558472461</v>
          </cell>
          <cell r="W170">
            <v>47521.639353548373</v>
          </cell>
          <cell r="X170">
            <v>57186.809710143003</v>
          </cell>
          <cell r="Y170">
            <v>46138.98425303815</v>
          </cell>
          <cell r="Z170">
            <v>93382.698631639301</v>
          </cell>
          <cell r="AA170">
            <v>78392.745704293673</v>
          </cell>
        </row>
        <row r="171">
          <cell r="B171" t="str">
            <v>7ª Adequação - Investimentos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758.01267028689449</v>
          </cell>
          <cell r="N172">
            <v>4063.7524052298563</v>
          </cell>
          <cell r="O172">
            <v>3364.9356506582862</v>
          </cell>
          <cell r="P172">
            <v>-363.87488039286211</v>
          </cell>
          <cell r="Q172">
            <v>-9612.1089719861902</v>
          </cell>
          <cell r="R172">
            <v>-2321.8733184151693</v>
          </cell>
          <cell r="S172">
            <v>480.69194112278899</v>
          </cell>
          <cell r="T172">
            <v>120.3319615619793</v>
          </cell>
          <cell r="U172">
            <v>152.93829734917159</v>
          </cell>
          <cell r="V172">
            <v>5145.1339047903321</v>
          </cell>
          <cell r="W172">
            <v>11825.470599361905</v>
          </cell>
          <cell r="X172">
            <v>11376.144110811409</v>
          </cell>
          <cell r="Y172">
            <v>-2374.6801544473346</v>
          </cell>
          <cell r="Z172">
            <v>-2157.7540265178623</v>
          </cell>
          <cell r="AA172">
            <v>-3794.924426259839</v>
          </cell>
        </row>
        <row r="173">
          <cell r="B173" t="str">
            <v>Somatoria com Projeto Original</v>
          </cell>
          <cell r="F173">
            <v>1609.1985908392762</v>
          </cell>
          <cell r="G173">
            <v>0.19796319078797572</v>
          </cell>
          <cell r="H173">
            <v>-34357.295449694619</v>
          </cell>
          <cell r="I173">
            <v>-53872.013544999994</v>
          </cell>
          <cell r="J173">
            <v>2805.2295750000194</v>
          </cell>
          <cell r="K173">
            <v>-48513.595705000014</v>
          </cell>
          <cell r="L173">
            <v>2124.5961649999954</v>
          </cell>
          <cell r="M173">
            <v>44122.175100286891</v>
          </cell>
          <cell r="N173">
            <v>56284.632550229857</v>
          </cell>
          <cell r="O173">
            <v>53707.881320658285</v>
          </cell>
          <cell r="P173">
            <v>52578.704929607142</v>
          </cell>
          <cell r="Q173">
            <v>5185.5616480138142</v>
          </cell>
          <cell r="R173">
            <v>41008.221611584835</v>
          </cell>
          <cell r="S173">
            <v>41914.564976122798</v>
          </cell>
          <cell r="T173">
            <v>32934.103196561984</v>
          </cell>
          <cell r="U173">
            <v>33884.179962349168</v>
          </cell>
          <cell r="V173">
            <v>70349.549449790342</v>
          </cell>
          <cell r="W173">
            <v>53907.6351043619</v>
          </cell>
          <cell r="X173">
            <v>61996.302160811407</v>
          </cell>
          <cell r="Y173">
            <v>35795.20829055264</v>
          </cell>
          <cell r="Z173">
            <v>82036.891083482144</v>
          </cell>
          <cell r="AA173">
            <v>64153.31744874017</v>
          </cell>
        </row>
        <row r="174">
          <cell r="B174" t="str">
            <v>Desapropriação Trevo ITU - TAM 015/2005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-14334.630061569145</v>
          </cell>
          <cell r="O175">
            <v>616.74418778589541</v>
          </cell>
          <cell r="P175">
            <v>616.74418778589541</v>
          </cell>
          <cell r="Q175">
            <v>616.74418778589541</v>
          </cell>
          <cell r="R175">
            <v>616.74418778589541</v>
          </cell>
          <cell r="S175">
            <v>616.74418778589541</v>
          </cell>
          <cell r="T175">
            <v>616.74418778589541</v>
          </cell>
          <cell r="U175">
            <v>616.74418778589541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-3467.4507581784201</v>
          </cell>
          <cell r="G176">
            <v>0.18929717256937867</v>
          </cell>
          <cell r="H176">
            <v>-34357.295449694619</v>
          </cell>
          <cell r="I176">
            <v>-53872.013544999994</v>
          </cell>
          <cell r="J176">
            <v>2805.2295750000194</v>
          </cell>
          <cell r="K176">
            <v>-48513.595705000014</v>
          </cell>
          <cell r="L176">
            <v>2124.5961649999954</v>
          </cell>
          <cell r="M176">
            <v>43364.162429999997</v>
          </cell>
          <cell r="N176">
            <v>37886.250083430859</v>
          </cell>
          <cell r="O176">
            <v>50959.689857785896</v>
          </cell>
          <cell r="P176">
            <v>53559.323997785898</v>
          </cell>
          <cell r="Q176">
            <v>15414.414807785899</v>
          </cell>
          <cell r="R176">
            <v>43946.839117785901</v>
          </cell>
          <cell r="S176">
            <v>42050.617222785906</v>
          </cell>
          <cell r="T176">
            <v>33430.515422785902</v>
          </cell>
          <cell r="U176">
            <v>34347.985852785889</v>
          </cell>
          <cell r="V176">
            <v>65204.415545000011</v>
          </cell>
          <cell r="W176">
            <v>42082.164504999993</v>
          </cell>
          <cell r="X176">
            <v>50620.158049999998</v>
          </cell>
          <cell r="Y176">
            <v>38169.888444999975</v>
          </cell>
          <cell r="Z176">
            <v>84194.645110000012</v>
          </cell>
          <cell r="AA176">
            <v>67948.241875000007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2.13064446821951E-11</v>
          </cell>
          <cell r="G179">
            <v>0.19521825576665677</v>
          </cell>
          <cell r="H179">
            <v>-34357.295449694619</v>
          </cell>
          <cell r="I179">
            <v>-53872.013544999994</v>
          </cell>
          <cell r="J179">
            <v>2805.2295750000194</v>
          </cell>
          <cell r="K179">
            <v>-48513.595705000014</v>
          </cell>
          <cell r="L179">
            <v>2124.5961649999954</v>
          </cell>
          <cell r="M179">
            <v>43364.162429999997</v>
          </cell>
          <cell r="N179">
            <v>52220.880145000003</v>
          </cell>
          <cell r="O179">
            <v>50342.945670000001</v>
          </cell>
          <cell r="P179">
            <v>52942.579810000003</v>
          </cell>
          <cell r="Q179">
            <v>14797.670620000004</v>
          </cell>
          <cell r="R179">
            <v>43330.094930000007</v>
          </cell>
          <cell r="S179">
            <v>41433.873035000011</v>
          </cell>
          <cell r="T179">
            <v>32813.771235000007</v>
          </cell>
          <cell r="U179">
            <v>33731.241664999994</v>
          </cell>
          <cell r="V179">
            <v>65204.415545000011</v>
          </cell>
          <cell r="W179">
            <v>42082.164504999993</v>
          </cell>
          <cell r="X179">
            <v>50620.158049999998</v>
          </cell>
          <cell r="Y179">
            <v>38169.888444999975</v>
          </cell>
          <cell r="Z179">
            <v>84194.645110000012</v>
          </cell>
          <cell r="AA179">
            <v>67948.241875000007</v>
          </cell>
        </row>
        <row r="180">
          <cell r="B180">
            <v>0</v>
          </cell>
        </row>
        <row r="181">
          <cell r="B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>
            <v>0</v>
          </cell>
          <cell r="F182">
            <v>2.13064446821951E-11</v>
          </cell>
          <cell r="G182">
            <v>0.19521825576665677</v>
          </cell>
          <cell r="H182">
            <v>-34357.295449694619</v>
          </cell>
          <cell r="I182">
            <v>-53872.013544999994</v>
          </cell>
          <cell r="J182">
            <v>2805.2295750000194</v>
          </cell>
          <cell r="K182">
            <v>-48513.595705000014</v>
          </cell>
          <cell r="L182">
            <v>2124.5961649999954</v>
          </cell>
          <cell r="M182">
            <v>43364.162429999997</v>
          </cell>
          <cell r="N182">
            <v>52220.880145000003</v>
          </cell>
          <cell r="O182">
            <v>50342.945670000001</v>
          </cell>
          <cell r="P182">
            <v>52942.579810000003</v>
          </cell>
          <cell r="Q182">
            <v>14797.670620000004</v>
          </cell>
          <cell r="R182">
            <v>43330.094930000007</v>
          </cell>
          <cell r="S182">
            <v>41433.873035000011</v>
          </cell>
          <cell r="T182">
            <v>32813.771235000007</v>
          </cell>
          <cell r="U182">
            <v>33731.241664999994</v>
          </cell>
          <cell r="V182">
            <v>65204.415545000011</v>
          </cell>
          <cell r="W182">
            <v>42082.164504999993</v>
          </cell>
          <cell r="X182">
            <v>50620.158049999998</v>
          </cell>
          <cell r="Y182">
            <v>38169.888444999975</v>
          </cell>
          <cell r="Z182">
            <v>84194.645110000012</v>
          </cell>
          <cell r="AA182">
            <v>67948.241875000007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12021.584418875853</v>
          </cell>
          <cell r="I184">
            <v>31690.457208433105</v>
          </cell>
          <cell r="J184">
            <v>-646.14906426143887</v>
          </cell>
          <cell r="K184">
            <v>39345.762126785288</v>
          </cell>
          <cell r="L184">
            <v>-8129.8782234176078</v>
          </cell>
          <cell r="M184">
            <v>-74380.41700217106</v>
          </cell>
          <cell r="N184">
            <v>-60392.814529679716</v>
          </cell>
          <cell r="O184">
            <v>-36477.240273385476</v>
          </cell>
          <cell r="P184">
            <v>-19235.063924650982</v>
          </cell>
          <cell r="Q184">
            <v>21135.275552176427</v>
          </cell>
          <cell r="R184">
            <v>-8707.872292803555</v>
          </cell>
          <cell r="S184">
            <v>-3719.8970077731865</v>
          </cell>
          <cell r="T184">
            <v>3576.5240993797047</v>
          </cell>
          <cell r="U184">
            <v>-10195.767534702418</v>
          </cell>
          <cell r="V184">
            <v>-13540.966773336819</v>
          </cell>
          <cell r="W184">
            <v>10052.962793829469</v>
          </cell>
          <cell r="X184">
            <v>7141.0272976934993</v>
          </cell>
          <cell r="Y184">
            <v>-3633.0420985870578</v>
          </cell>
          <cell r="Z184">
            <v>-39073.724936854946</v>
          </cell>
          <cell r="AA184">
            <v>-14616.063187996586</v>
          </cell>
        </row>
        <row r="185">
          <cell r="B185" t="str">
            <v>Somatoria com Projeto Original</v>
          </cell>
          <cell r="F185">
            <v>-8144.2877093687275</v>
          </cell>
          <cell r="G185">
            <v>0.17468941259549392</v>
          </cell>
          <cell r="H185">
            <v>-22335.711030818766</v>
          </cell>
          <cell r="I185">
            <v>-22181.55633656689</v>
          </cell>
          <cell r="J185">
            <v>2159.0805107385804</v>
          </cell>
          <cell r="K185">
            <v>-9167.833578214726</v>
          </cell>
          <cell r="L185">
            <v>-6005.2820584176125</v>
          </cell>
          <cell r="M185">
            <v>-31016.254572171063</v>
          </cell>
          <cell r="N185">
            <v>-8171.9343846797128</v>
          </cell>
          <cell r="O185">
            <v>13865.705396614525</v>
          </cell>
          <cell r="P185">
            <v>33707.515885349021</v>
          </cell>
          <cell r="Q185">
            <v>35932.946172176431</v>
          </cell>
          <cell r="R185">
            <v>34622.22263719645</v>
          </cell>
          <cell r="S185">
            <v>37713.976027226825</v>
          </cell>
          <cell r="T185">
            <v>36390.295334379713</v>
          </cell>
          <cell r="U185">
            <v>23535.474130297574</v>
          </cell>
          <cell r="V185">
            <v>51663.448771663192</v>
          </cell>
          <cell r="W185">
            <v>52135.127298829466</v>
          </cell>
          <cell r="X185">
            <v>57761.185347693499</v>
          </cell>
          <cell r="Y185">
            <v>34536.846346412916</v>
          </cell>
          <cell r="Z185">
            <v>45120.920173145067</v>
          </cell>
          <cell r="AA185">
            <v>53332.178687003419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64611.144174999987</v>
          </cell>
          <cell r="H191">
            <v>83519.181477564911</v>
          </cell>
          <cell r="I191">
            <v>82277.195915945078</v>
          </cell>
          <cell r="J191">
            <v>80676.963009265528</v>
          </cell>
          <cell r="K191">
            <v>85907.887856207584</v>
          </cell>
          <cell r="L191">
            <v>89661.270640864925</v>
          </cell>
          <cell r="M191">
            <v>98278.391981745328</v>
          </cell>
          <cell r="N191">
            <v>105778.86775062019</v>
          </cell>
          <cell r="O191">
            <v>109276.35870958636</v>
          </cell>
          <cell r="P191">
            <v>112540.83867650809</v>
          </cell>
          <cell r="Q191">
            <v>115740.3522772812</v>
          </cell>
          <cell r="R191">
            <v>119067.2037714724</v>
          </cell>
          <cell r="S191">
            <v>122488.12249436736</v>
          </cell>
          <cell r="T191">
            <v>126427.1335084203</v>
          </cell>
          <cell r="U191">
            <v>130320.42023422672</v>
          </cell>
          <cell r="V191">
            <v>133615.90854487766</v>
          </cell>
          <cell r="W191">
            <v>137923.92023201397</v>
          </cell>
          <cell r="X191">
            <v>142778.45438984205</v>
          </cell>
          <cell r="Y191">
            <v>146539.02836517751</v>
          </cell>
          <cell r="Z191">
            <v>150310.08253982107</v>
          </cell>
          <cell r="AA191">
            <v>2237738.7265508082</v>
          </cell>
        </row>
        <row r="192">
          <cell r="B192" t="str">
            <v>1.1 - Operacionais    (1.1.1 + 1.1.2)</v>
          </cell>
          <cell r="G192">
            <v>64611.144174999987</v>
          </cell>
          <cell r="H192">
            <v>83519.181477564911</v>
          </cell>
          <cell r="I192">
            <v>82277.195915945078</v>
          </cell>
          <cell r="J192">
            <v>80676.963009265528</v>
          </cell>
          <cell r="K192">
            <v>85907.887856207584</v>
          </cell>
          <cell r="L192">
            <v>89661.270640864925</v>
          </cell>
          <cell r="M192">
            <v>98278.391981745328</v>
          </cell>
          <cell r="N192">
            <v>105778.86775062019</v>
          </cell>
          <cell r="O192">
            <v>109276.35870958636</v>
          </cell>
          <cell r="P192">
            <v>112540.83867650809</v>
          </cell>
          <cell r="Q192">
            <v>115740.3522772812</v>
          </cell>
          <cell r="R192">
            <v>119067.2037714724</v>
          </cell>
          <cell r="S192">
            <v>122488.12249436736</v>
          </cell>
          <cell r="T192">
            <v>126427.1335084203</v>
          </cell>
          <cell r="U192">
            <v>130320.42023422672</v>
          </cell>
          <cell r="V192">
            <v>133615.90854487766</v>
          </cell>
          <cell r="W192">
            <v>137923.92023201397</v>
          </cell>
          <cell r="X192">
            <v>142778.45438984205</v>
          </cell>
          <cell r="Y192">
            <v>146539.02836517751</v>
          </cell>
          <cell r="Z192">
            <v>150310.08253982107</v>
          </cell>
          <cell r="AA192">
            <v>2237738.7265508082</v>
          </cell>
        </row>
        <row r="193">
          <cell r="B193" t="str">
            <v>1.1.1 - Receitas de  Pedágios    (Transp. Qd.2.1.1.2)</v>
          </cell>
          <cell r="G193">
            <v>64611.144174999987</v>
          </cell>
          <cell r="H193">
            <v>82839.179999999993</v>
          </cell>
          <cell r="I193">
            <v>81306.169999999984</v>
          </cell>
          <cell r="J193">
            <v>79705.919999999998</v>
          </cell>
          <cell r="K193">
            <v>84936.91</v>
          </cell>
          <cell r="L193">
            <v>88690.236832139592</v>
          </cell>
          <cell r="M193">
            <v>96870.378627292739</v>
          </cell>
          <cell r="N193">
            <v>104370.89694455036</v>
          </cell>
          <cell r="O193">
            <v>107868.32981663087</v>
          </cell>
          <cell r="P193">
            <v>111132.81876824172</v>
          </cell>
          <cell r="Q193">
            <v>114332.39086846689</v>
          </cell>
          <cell r="R193">
            <v>117659.18965877224</v>
          </cell>
          <cell r="S193">
            <v>121080.14089813811</v>
          </cell>
          <cell r="T193">
            <v>125019.12961739481</v>
          </cell>
          <cell r="U193">
            <v>128912.41909198486</v>
          </cell>
          <cell r="V193">
            <v>132207.90570863907</v>
          </cell>
          <cell r="W193">
            <v>136515.91836752923</v>
          </cell>
          <cell r="X193">
            <v>141370.44717942667</v>
          </cell>
          <cell r="Y193">
            <v>145131.00538955838</v>
          </cell>
          <cell r="Z193">
            <v>148902.05986515642</v>
          </cell>
          <cell r="AA193">
            <v>2213462.5918089217</v>
          </cell>
        </row>
        <row r="194">
          <cell r="B194" t="str">
            <v>1.1.2 - Outras Receitas Operacionais    (calculado 2.1.2.)</v>
          </cell>
          <cell r="G194">
            <v>0</v>
          </cell>
          <cell r="H194">
            <v>680.00147756491504</v>
          </cell>
          <cell r="I194">
            <v>971.02591594509477</v>
          </cell>
          <cell r="J194">
            <v>971.04300926553674</v>
          </cell>
          <cell r="K194">
            <v>970.97785620758134</v>
          </cell>
          <cell r="L194">
            <v>971.03380872532864</v>
          </cell>
          <cell r="M194">
            <v>1408.0133544525906</v>
          </cell>
          <cell r="N194">
            <v>1407.970806069836</v>
          </cell>
          <cell r="O194">
            <v>1408.0288929554943</v>
          </cell>
          <cell r="P194">
            <v>1408.0199082663721</v>
          </cell>
          <cell r="Q194">
            <v>1407.9614088143096</v>
          </cell>
          <cell r="R194">
            <v>1408.0141127001589</v>
          </cell>
          <cell r="S194">
            <v>1407.9815962292548</v>
          </cell>
          <cell r="T194">
            <v>1408.0038910254934</v>
          </cell>
          <cell r="U194">
            <v>1408.0011422418563</v>
          </cell>
          <cell r="V194">
            <v>1408.0028362385883</v>
          </cell>
          <cell r="W194">
            <v>1408.0018644847439</v>
          </cell>
          <cell r="X194">
            <v>1408.0072104153946</v>
          </cell>
          <cell r="Y194">
            <v>1408.0229756191206</v>
          </cell>
          <cell r="Z194">
            <v>1408.0226746646526</v>
          </cell>
          <cell r="AA194">
            <v>24276.134741886326</v>
          </cell>
        </row>
        <row r="195">
          <cell r="B195" t="str">
            <v>2 -  DEDUÇÕES DA RECEITA    (2.1)</v>
          </cell>
          <cell r="G195">
            <v>2455.3335373874997</v>
          </cell>
          <cell r="H195">
            <v>3398.9878158221372</v>
          </cell>
          <cell r="I195">
            <v>5011.8446014666233</v>
          </cell>
          <cell r="J195">
            <v>5762.5563305578999</v>
          </cell>
          <cell r="K195">
            <v>7522.6455697456586</v>
          </cell>
          <cell r="L195">
            <v>7777.0805769112958</v>
          </cell>
          <cell r="M195">
            <v>8523.5610451538159</v>
          </cell>
          <cell r="N195">
            <v>8096.3457526189541</v>
          </cell>
          <cell r="O195">
            <v>8363.8066966355836</v>
          </cell>
          <cell r="P195">
            <v>8613.7018033395525</v>
          </cell>
          <cell r="Q195">
            <v>8868.3820387712949</v>
          </cell>
          <cell r="R195">
            <v>9137.6675664826325</v>
          </cell>
          <cell r="S195">
            <v>9415.1929956348413</v>
          </cell>
          <cell r="T195">
            <v>9732.7315021794511</v>
          </cell>
          <cell r="U195">
            <v>10048.641541673434</v>
          </cell>
          <cell r="V195">
            <v>10318.492010184034</v>
          </cell>
          <cell r="W195">
            <v>10667.260880779266</v>
          </cell>
          <cell r="X195">
            <v>11062.60951761475</v>
          </cell>
          <cell r="Y195">
            <v>11370.937408533331</v>
          </cell>
          <cell r="Z195">
            <v>11680.787567696787</v>
          </cell>
          <cell r="AA195">
            <v>167828.56675918881</v>
          </cell>
        </row>
        <row r="196">
          <cell r="B196" t="str">
            <v>2.1 - Tributos sobre Faturamento    (2.1.1+ .... + 2.1.4)</v>
          </cell>
          <cell r="G196">
            <v>2455.3335373874997</v>
          </cell>
          <cell r="H196">
            <v>3398.9878158221372</v>
          </cell>
          <cell r="I196">
            <v>5011.8446014666233</v>
          </cell>
          <cell r="J196">
            <v>5762.5563305578999</v>
          </cell>
          <cell r="K196">
            <v>7522.6455697456586</v>
          </cell>
          <cell r="L196">
            <v>7777.0805769112958</v>
          </cell>
          <cell r="M196">
            <v>8523.5610451538159</v>
          </cell>
          <cell r="N196">
            <v>8096.3457526189541</v>
          </cell>
          <cell r="O196">
            <v>8363.8066966355836</v>
          </cell>
          <cell r="P196">
            <v>8613.7018033395525</v>
          </cell>
          <cell r="Q196">
            <v>8868.3820387712949</v>
          </cell>
          <cell r="R196">
            <v>9137.6675664826325</v>
          </cell>
          <cell r="S196">
            <v>9415.1929956348413</v>
          </cell>
          <cell r="T196">
            <v>9732.7315021794511</v>
          </cell>
          <cell r="U196">
            <v>10048.641541673434</v>
          </cell>
          <cell r="V196">
            <v>10318.492010184034</v>
          </cell>
          <cell r="W196">
            <v>10667.260880779266</v>
          </cell>
          <cell r="X196">
            <v>11062.60951761475</v>
          </cell>
          <cell r="Y196">
            <v>11370.937408533331</v>
          </cell>
          <cell r="Z196">
            <v>11680.787567696787</v>
          </cell>
          <cell r="AA196">
            <v>167828.56675918881</v>
          </cell>
        </row>
        <row r="197">
          <cell r="B197" t="str">
            <v>2.1.1 - I.S.S    (transp. Qd  1.3.)</v>
          </cell>
          <cell r="G197">
            <v>0</v>
          </cell>
          <cell r="H197">
            <v>331.99166666666667</v>
          </cell>
          <cell r="I197">
            <v>1916.75</v>
          </cell>
          <cell r="J197">
            <v>2760.5942796949739</v>
          </cell>
          <cell r="K197">
            <v>4295.5</v>
          </cell>
          <cell r="L197">
            <v>4482.8853416069796</v>
          </cell>
          <cell r="M197">
            <v>4913.8689313646373</v>
          </cell>
          <cell r="N197">
            <v>5289.0578472275192</v>
          </cell>
          <cell r="O197">
            <v>5463.700990831544</v>
          </cell>
          <cell r="P197">
            <v>5626.9589384120873</v>
          </cell>
          <cell r="Q197">
            <v>5787.1830434233443</v>
          </cell>
          <cell r="R197">
            <v>5953.2979829386131</v>
          </cell>
          <cell r="S197">
            <v>6124.4895449069063</v>
          </cell>
          <cell r="T197">
            <v>6321.338480869741</v>
          </cell>
          <cell r="U197">
            <v>6516.0154545992427</v>
          </cell>
          <cell r="V197">
            <v>6680.7812854319536</v>
          </cell>
          <cell r="W197">
            <v>6896.1864183764619</v>
          </cell>
          <cell r="X197">
            <v>7138.8833589713349</v>
          </cell>
          <cell r="Y197">
            <v>7326.8227694779207</v>
          </cell>
          <cell r="Z197">
            <v>7515.3739932578219</v>
          </cell>
          <cell r="AA197">
            <v>101341.68032805773</v>
          </cell>
        </row>
        <row r="198">
          <cell r="B198" t="str">
            <v>2.1.2 - Cofins    (transp. Qd 1.3.)</v>
          </cell>
          <cell r="G198">
            <v>1952.3272252499996</v>
          </cell>
          <cell r="H198">
            <v>2520.8184295512983</v>
          </cell>
          <cell r="I198">
            <v>2483.3122183189016</v>
          </cell>
          <cell r="J198">
            <v>2270.4288610285507</v>
          </cell>
          <cell r="K198">
            <v>2609.7340737450668</v>
          </cell>
          <cell r="L198">
            <v>2707.5513811386945</v>
          </cell>
          <cell r="M198">
            <v>2966.8684259078336</v>
          </cell>
          <cell r="N198">
            <v>2115.577355012404</v>
          </cell>
          <cell r="O198">
            <v>2185.5271741917277</v>
          </cell>
          <cell r="P198">
            <v>2250.8167735301618</v>
          </cell>
          <cell r="Q198">
            <v>2324.3515255456236</v>
          </cell>
          <cell r="R198">
            <v>2405.769269029448</v>
          </cell>
          <cell r="S198">
            <v>2489.7349545145476</v>
          </cell>
          <cell r="T198">
            <v>2584.9298285049795</v>
          </cell>
          <cell r="U198">
            <v>2680.6669255517172</v>
          </cell>
          <cell r="V198">
            <v>2764.2097292103758</v>
          </cell>
          <cell r="W198">
            <v>2869.4118808947128</v>
          </cell>
          <cell r="X198">
            <v>2990.1947001094413</v>
          </cell>
          <cell r="Y198">
            <v>3085.9985946817574</v>
          </cell>
          <cell r="Z198">
            <v>3182.6454729301277</v>
          </cell>
          <cell r="AA198">
            <v>51440.874798647361</v>
          </cell>
        </row>
        <row r="199">
          <cell r="B199" t="str">
            <v>2.1.3 - Pis / Pasep    (transp. Qd 1.3.)</v>
          </cell>
          <cell r="G199">
            <v>423.0063121375</v>
          </cell>
          <cell r="H199">
            <v>546.17771960417201</v>
          </cell>
          <cell r="I199">
            <v>611.78238314772193</v>
          </cell>
          <cell r="J199">
            <v>731.53318983437566</v>
          </cell>
          <cell r="K199">
            <v>617.4114960005918</v>
          </cell>
          <cell r="L199">
            <v>586.64385416562197</v>
          </cell>
          <cell r="M199">
            <v>642.82368788134465</v>
          </cell>
          <cell r="N199">
            <v>691.71055037903113</v>
          </cell>
          <cell r="O199">
            <v>714.57853161231151</v>
          </cell>
          <cell r="P199">
            <v>735.92609139730246</v>
          </cell>
          <cell r="Q199">
            <v>756.84746980232774</v>
          </cell>
          <cell r="R199">
            <v>778.60031451457053</v>
          </cell>
          <cell r="S199">
            <v>800.96849621338777</v>
          </cell>
          <cell r="T199">
            <v>826.46319280473188</v>
          </cell>
          <cell r="U199">
            <v>851.95916152247366</v>
          </cell>
          <cell r="V199">
            <v>873.50099554170458</v>
          </cell>
          <cell r="W199">
            <v>901.66258150809097</v>
          </cell>
          <cell r="X199">
            <v>933.53145853397348</v>
          </cell>
          <cell r="Y199">
            <v>958.11604437365361</v>
          </cell>
          <cell r="Z199">
            <v>982.76810150883693</v>
          </cell>
          <cell r="AA199">
            <v>14966.011632483722</v>
          </cell>
        </row>
        <row r="200">
          <cell r="B200" t="str">
            <v>2.1.4 - CPMF    (transp Qd 1.3.)</v>
          </cell>
          <cell r="G200">
            <v>80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80</v>
          </cell>
        </row>
        <row r="201">
          <cell r="B201" t="str">
            <v>3 -  RECEITA LIQUIDA    (1 - 2)</v>
          </cell>
          <cell r="G201">
            <v>62155.810637612485</v>
          </cell>
          <cell r="H201">
            <v>80120.193661742771</v>
          </cell>
          <cell r="I201">
            <v>77265.351314478452</v>
          </cell>
          <cell r="J201">
            <v>74914.40667870763</v>
          </cell>
          <cell r="K201">
            <v>78385.242286461929</v>
          </cell>
          <cell r="L201">
            <v>81884.190063953632</v>
          </cell>
          <cell r="M201">
            <v>89754.830936591519</v>
          </cell>
          <cell r="N201">
            <v>97682.521998001233</v>
          </cell>
          <cell r="O201">
            <v>100912.55201295078</v>
          </cell>
          <cell r="P201">
            <v>103927.13687316854</v>
          </cell>
          <cell r="Q201">
            <v>106871.97023850991</v>
          </cell>
          <cell r="R201">
            <v>109929.53620498977</v>
          </cell>
          <cell r="S201">
            <v>113072.92949873251</v>
          </cell>
          <cell r="T201">
            <v>116694.40200624085</v>
          </cell>
          <cell r="U201">
            <v>120271.77869255329</v>
          </cell>
          <cell r="V201">
            <v>123297.41653469362</v>
          </cell>
          <cell r="W201">
            <v>127256.6593512347</v>
          </cell>
          <cell r="X201">
            <v>131715.84487222729</v>
          </cell>
          <cell r="Y201">
            <v>135168.09095664418</v>
          </cell>
          <cell r="Z201">
            <v>138629.29497212428</v>
          </cell>
          <cell r="AA201">
            <v>2069910.1597916193</v>
          </cell>
        </row>
        <row r="202">
          <cell r="B202" t="str">
            <v>4 -  DESPESAS    (4.1)</v>
          </cell>
          <cell r="G202">
            <v>42385.658618237452</v>
          </cell>
          <cell r="H202">
            <v>51495.735224474643</v>
          </cell>
          <cell r="I202">
            <v>56819.719625531063</v>
          </cell>
          <cell r="J202">
            <v>61441.817135441786</v>
          </cell>
          <cell r="K202">
            <v>67314.896100571263</v>
          </cell>
          <cell r="L202">
            <v>75394.377207222118</v>
          </cell>
          <cell r="M202">
            <v>82409.599792300432</v>
          </cell>
          <cell r="N202">
            <v>86922.763085623083</v>
          </cell>
          <cell r="O202">
            <v>85649.836180836544</v>
          </cell>
          <cell r="P202">
            <v>81554.39693406639</v>
          </cell>
          <cell r="Q202">
            <v>81029.472924978487</v>
          </cell>
          <cell r="R202">
            <v>78509.496229137527</v>
          </cell>
          <cell r="S202">
            <v>76794.512483491068</v>
          </cell>
          <cell r="T202">
            <v>73220.218427531698</v>
          </cell>
          <cell r="U202">
            <v>68480.151595469841</v>
          </cell>
          <cell r="V202">
            <v>65636.752133011585</v>
          </cell>
          <cell r="W202">
            <v>64870.498850736796</v>
          </cell>
          <cell r="X202">
            <v>73738.737203693847</v>
          </cell>
          <cell r="Y202">
            <v>85610.32691717612</v>
          </cell>
          <cell r="Z202">
            <v>115429.06985330432</v>
          </cell>
          <cell r="AA202">
            <v>1474708.0365228362</v>
          </cell>
        </row>
        <row r="203">
          <cell r="B203" t="str">
            <v>4.1 - Operacionais    (4.1.1+ .... + 4.1.10)</v>
          </cell>
          <cell r="G203">
            <v>42385.658618237452</v>
          </cell>
          <cell r="H203">
            <v>51495.735224474643</v>
          </cell>
          <cell r="I203">
            <v>56819.719625531063</v>
          </cell>
          <cell r="J203">
            <v>61441.817135441786</v>
          </cell>
          <cell r="K203">
            <v>67314.896100571263</v>
          </cell>
          <cell r="L203">
            <v>75394.377207222118</v>
          </cell>
          <cell r="M203">
            <v>82409.599792300432</v>
          </cell>
          <cell r="N203">
            <v>86922.763085623083</v>
          </cell>
          <cell r="O203">
            <v>85649.836180836544</v>
          </cell>
          <cell r="P203">
            <v>81554.39693406639</v>
          </cell>
          <cell r="Q203">
            <v>81029.472924978487</v>
          </cell>
          <cell r="R203">
            <v>78509.496229137527</v>
          </cell>
          <cell r="S203">
            <v>76794.512483491068</v>
          </cell>
          <cell r="T203">
            <v>73220.218427531698</v>
          </cell>
          <cell r="U203">
            <v>68480.151595469841</v>
          </cell>
          <cell r="V203">
            <v>65636.752133011585</v>
          </cell>
          <cell r="W203">
            <v>64870.498850736796</v>
          </cell>
          <cell r="X203">
            <v>73738.737203693847</v>
          </cell>
          <cell r="Y203">
            <v>85610.32691717612</v>
          </cell>
          <cell r="Z203">
            <v>115429.06985330432</v>
          </cell>
          <cell r="AA203">
            <v>1474708.0365228362</v>
          </cell>
        </row>
        <row r="204">
          <cell r="B204" t="str">
            <v>4.1.1  -  Pessoal e Administradores    (Transp. Qd. 1.3.)</v>
          </cell>
          <cell r="G204">
            <v>18102</v>
          </cell>
          <cell r="H204">
            <v>22685</v>
          </cell>
          <cell r="I204">
            <v>24290</v>
          </cell>
          <cell r="J204">
            <v>24290</v>
          </cell>
          <cell r="K204">
            <v>24734</v>
          </cell>
          <cell r="L204">
            <v>23904</v>
          </cell>
          <cell r="M204">
            <v>23904</v>
          </cell>
          <cell r="N204">
            <v>23904</v>
          </cell>
          <cell r="O204">
            <v>23904</v>
          </cell>
          <cell r="P204">
            <v>23904</v>
          </cell>
          <cell r="Q204">
            <v>23904</v>
          </cell>
          <cell r="R204">
            <v>23904</v>
          </cell>
          <cell r="S204">
            <v>23904</v>
          </cell>
          <cell r="T204">
            <v>23904</v>
          </cell>
          <cell r="U204">
            <v>23984</v>
          </cell>
          <cell r="V204">
            <v>23995</v>
          </cell>
          <cell r="W204">
            <v>23995</v>
          </cell>
          <cell r="X204">
            <v>23995</v>
          </cell>
          <cell r="Y204">
            <v>23995</v>
          </cell>
          <cell r="Z204">
            <v>23995</v>
          </cell>
          <cell r="AA204">
            <v>473196</v>
          </cell>
        </row>
        <row r="205">
          <cell r="B205" t="str">
            <v>4.1.2  -  Conservação de Rotina    (Transp. Qd. 1.3.)</v>
          </cell>
          <cell r="G205">
            <v>8823</v>
          </cell>
          <cell r="H205">
            <v>6443</v>
          </cell>
          <cell r="I205">
            <v>6604</v>
          </cell>
          <cell r="J205">
            <v>6696</v>
          </cell>
          <cell r="K205">
            <v>7213</v>
          </cell>
          <cell r="L205">
            <v>7875</v>
          </cell>
          <cell r="M205">
            <v>7875</v>
          </cell>
          <cell r="N205">
            <v>7875</v>
          </cell>
          <cell r="O205">
            <v>7875</v>
          </cell>
          <cell r="P205">
            <v>7875</v>
          </cell>
          <cell r="Q205">
            <v>7875</v>
          </cell>
          <cell r="R205">
            <v>7875</v>
          </cell>
          <cell r="S205">
            <v>7875</v>
          </cell>
          <cell r="T205">
            <v>7878</v>
          </cell>
          <cell r="U205">
            <v>8112</v>
          </cell>
          <cell r="V205">
            <v>8165</v>
          </cell>
          <cell r="W205">
            <v>8165</v>
          </cell>
          <cell r="X205">
            <v>8165</v>
          </cell>
          <cell r="Y205">
            <v>8228</v>
          </cell>
          <cell r="Z205">
            <v>8293</v>
          </cell>
          <cell r="AA205">
            <v>155785</v>
          </cell>
        </row>
        <row r="206">
          <cell r="B206" t="str">
            <v>4.1.3  -  Consumo    (Transp. Qd. 1.3.)</v>
          </cell>
          <cell r="G206">
            <v>1554</v>
          </cell>
          <cell r="H206">
            <v>2328</v>
          </cell>
          <cell r="I206">
            <v>2578</v>
          </cell>
          <cell r="J206">
            <v>2578</v>
          </cell>
          <cell r="K206">
            <v>2578</v>
          </cell>
          <cell r="L206">
            <v>2516</v>
          </cell>
          <cell r="M206">
            <v>2516</v>
          </cell>
          <cell r="N206">
            <v>2516</v>
          </cell>
          <cell r="O206">
            <v>2516</v>
          </cell>
          <cell r="P206">
            <v>2516</v>
          </cell>
          <cell r="Q206">
            <v>2516</v>
          </cell>
          <cell r="R206">
            <v>2516</v>
          </cell>
          <cell r="S206">
            <v>2516</v>
          </cell>
          <cell r="T206">
            <v>2516</v>
          </cell>
          <cell r="U206">
            <v>2516</v>
          </cell>
          <cell r="V206">
            <v>2516</v>
          </cell>
          <cell r="W206">
            <v>2516</v>
          </cell>
          <cell r="X206">
            <v>2516</v>
          </cell>
          <cell r="Y206">
            <v>2516</v>
          </cell>
          <cell r="Z206">
            <v>2516</v>
          </cell>
          <cell r="AA206">
            <v>49356</v>
          </cell>
        </row>
        <row r="207">
          <cell r="B207" t="str">
            <v>4.1.4  -  Transportes    (Transp. Qd. 1.3.)</v>
          </cell>
          <cell r="G207">
            <v>850</v>
          </cell>
          <cell r="H207">
            <v>1403</v>
          </cell>
          <cell r="I207">
            <v>1441</v>
          </cell>
          <cell r="J207">
            <v>1441</v>
          </cell>
          <cell r="K207">
            <v>1441</v>
          </cell>
          <cell r="L207">
            <v>1498</v>
          </cell>
          <cell r="M207">
            <v>1498</v>
          </cell>
          <cell r="N207">
            <v>1498</v>
          </cell>
          <cell r="O207">
            <v>1498</v>
          </cell>
          <cell r="P207">
            <v>1498</v>
          </cell>
          <cell r="Q207">
            <v>1498</v>
          </cell>
          <cell r="R207">
            <v>1497</v>
          </cell>
          <cell r="S207">
            <v>1497</v>
          </cell>
          <cell r="T207">
            <v>1497</v>
          </cell>
          <cell r="U207">
            <v>1497</v>
          </cell>
          <cell r="V207">
            <v>1497</v>
          </cell>
          <cell r="W207">
            <v>1497</v>
          </cell>
          <cell r="X207">
            <v>1497</v>
          </cell>
          <cell r="Y207">
            <v>1497</v>
          </cell>
          <cell r="Z207">
            <v>1497</v>
          </cell>
          <cell r="AA207">
            <v>29037</v>
          </cell>
        </row>
        <row r="208">
          <cell r="B208" t="str">
            <v>4.1.5  -  Diversas    (Transp. Qd. 1.3.)</v>
          </cell>
          <cell r="G208">
            <v>2548.2600000000002</v>
          </cell>
          <cell r="H208">
            <v>861.84</v>
          </cell>
          <cell r="I208">
            <v>1083.3</v>
          </cell>
          <cell r="J208">
            <v>861.84</v>
          </cell>
          <cell r="K208">
            <v>1083.3</v>
          </cell>
          <cell r="L208">
            <v>861.84</v>
          </cell>
          <cell r="M208">
            <v>1083.3</v>
          </cell>
          <cell r="N208">
            <v>861.84</v>
          </cell>
          <cell r="O208">
            <v>1083.3</v>
          </cell>
          <cell r="P208">
            <v>861.84</v>
          </cell>
          <cell r="Q208">
            <v>1083.3</v>
          </cell>
          <cell r="R208">
            <v>861.84</v>
          </cell>
          <cell r="S208">
            <v>1083.3</v>
          </cell>
          <cell r="T208">
            <v>861.84</v>
          </cell>
          <cell r="U208">
            <v>1083.3</v>
          </cell>
          <cell r="V208">
            <v>861.84</v>
          </cell>
          <cell r="W208">
            <v>1083.3</v>
          </cell>
          <cell r="X208">
            <v>861.84</v>
          </cell>
          <cell r="Y208">
            <v>1083.3</v>
          </cell>
          <cell r="Z208">
            <v>861.84</v>
          </cell>
          <cell r="AA208">
            <v>20916.359999999997</v>
          </cell>
        </row>
        <row r="209">
          <cell r="B209" t="str">
            <v>4.1.6  -  Depreciação/Amortização    (Transp. Qd. 1.3.)</v>
          </cell>
          <cell r="G209">
            <v>4198.7979999999998</v>
          </cell>
          <cell r="H209">
            <v>10531.111092105262</v>
          </cell>
          <cell r="I209">
            <v>13732.077897660818</v>
          </cell>
          <cell r="J209">
            <v>18361.090397660821</v>
          </cell>
          <cell r="K209">
            <v>22972.02289766082</v>
          </cell>
          <cell r="L209">
            <v>31378.34414766082</v>
          </cell>
          <cell r="M209">
            <v>37802.664857401629</v>
          </cell>
          <cell r="N209">
            <v>42269.065434324708</v>
          </cell>
          <cell r="O209">
            <v>40648.430850991375</v>
          </cell>
          <cell r="P209">
            <v>36537.392100991376</v>
          </cell>
          <cell r="Q209">
            <v>35777.524600991375</v>
          </cell>
          <cell r="R209">
            <v>33358.67460099137</v>
          </cell>
          <cell r="S209">
            <v>31272.208350991375</v>
          </cell>
          <cell r="T209">
            <v>27775.862815277091</v>
          </cell>
          <cell r="U209">
            <v>22440.686867441036</v>
          </cell>
          <cell r="V209">
            <v>19548.783367441039</v>
          </cell>
          <cell r="W209">
            <v>18425.32711744104</v>
          </cell>
          <cell r="X209">
            <v>27246.856284107707</v>
          </cell>
          <cell r="Y209">
            <v>38847.497534107701</v>
          </cell>
          <cell r="Z209">
            <v>68596.665034107689</v>
          </cell>
          <cell r="AA209">
            <v>581721.08424935513</v>
          </cell>
        </row>
        <row r="210">
          <cell r="B210" t="str">
            <v>4.1.7  -  Seguros    (transp. Qd 1.3.)</v>
          </cell>
          <cell r="G210">
            <v>1236.2652794844441</v>
          </cell>
          <cell r="H210">
            <v>1456.2926745394443</v>
          </cell>
          <cell r="I210">
            <v>1279.774836888889</v>
          </cell>
          <cell r="J210">
            <v>1517.0118339999999</v>
          </cell>
          <cell r="K210">
            <v>1410.9657582222223</v>
          </cell>
          <cell r="L210">
            <v>1401.8755313333336</v>
          </cell>
          <cell r="M210">
            <v>1424.8455664444446</v>
          </cell>
          <cell r="N210">
            <v>1471.4558097777781</v>
          </cell>
          <cell r="O210">
            <v>1499.6461595555559</v>
          </cell>
          <cell r="P210">
            <v>1644.0042637777776</v>
          </cell>
          <cell r="Q210">
            <v>1597.6769466666667</v>
          </cell>
          <cell r="R210">
            <v>1633.7953060000002</v>
          </cell>
          <cell r="S210">
            <v>1696.7792486666667</v>
          </cell>
          <cell r="T210">
            <v>1742.8741980000002</v>
          </cell>
          <cell r="U210">
            <v>1711.6297120000004</v>
          </cell>
          <cell r="V210">
            <v>1822.0301002222225</v>
          </cell>
          <cell r="W210">
            <v>1853.2553173333333</v>
          </cell>
          <cell r="X210">
            <v>1997.4142788888889</v>
          </cell>
          <cell r="Y210">
            <v>1909.6649231111114</v>
          </cell>
          <cell r="Z210">
            <v>2026.0073339999999</v>
          </cell>
          <cell r="AA210">
            <v>32333.26507891278</v>
          </cell>
        </row>
        <row r="211">
          <cell r="B211" t="str">
            <v xml:space="preserve">4.1.8  -  Garantias  (transp. Qd 1.3.)  </v>
          </cell>
          <cell r="G211">
            <v>897.50101350300019</v>
          </cell>
          <cell r="H211">
            <v>894.81601350300014</v>
          </cell>
          <cell r="I211">
            <v>892.13101350300019</v>
          </cell>
          <cell r="J211">
            <v>889.44601350300013</v>
          </cell>
          <cell r="K211">
            <v>854.25080900200021</v>
          </cell>
          <cell r="L211">
            <v>818.35940900200012</v>
          </cell>
          <cell r="M211">
            <v>810.17760900200005</v>
          </cell>
          <cell r="N211">
            <v>806.77580900200019</v>
          </cell>
          <cell r="O211">
            <v>799.9084090020001</v>
          </cell>
          <cell r="P211">
            <v>794.67540900200015</v>
          </cell>
          <cell r="Q211">
            <v>758.50080900200021</v>
          </cell>
          <cell r="R211">
            <v>743.9102090020001</v>
          </cell>
          <cell r="S211">
            <v>728.32120900200005</v>
          </cell>
          <cell r="T211">
            <v>704.56740900200009</v>
          </cell>
          <cell r="U211">
            <v>678.66240900200012</v>
          </cell>
          <cell r="V211">
            <v>675.36140900200019</v>
          </cell>
          <cell r="W211">
            <v>650.63880900200013</v>
          </cell>
          <cell r="X211">
            <v>629.0130090020001</v>
          </cell>
          <cell r="Y211">
            <v>590.43360900200014</v>
          </cell>
          <cell r="Z211">
            <v>586.99500900200007</v>
          </cell>
          <cell r="AA211">
            <v>15204.445398044005</v>
          </cell>
        </row>
        <row r="212">
          <cell r="B212" t="str">
            <v xml:space="preserve">4.1.9  -  Parc.Variável da Concessão   </v>
          </cell>
          <cell r="G212">
            <v>1938.3343252499997</v>
          </cell>
          <cell r="H212">
            <v>2655.1754443269469</v>
          </cell>
          <cell r="I212">
            <v>2681.9358774783523</v>
          </cell>
          <cell r="J212">
            <v>2633.9288902779654</v>
          </cell>
          <cell r="K212">
            <v>2790.8566356862275</v>
          </cell>
          <cell r="L212">
            <v>2903.4581192259475</v>
          </cell>
          <cell r="M212">
            <v>3258.1117594523598</v>
          </cell>
          <cell r="N212">
            <v>3483.1260325186058</v>
          </cell>
          <cell r="O212">
            <v>3588.0507612875913</v>
          </cell>
          <cell r="P212">
            <v>3685.9851602952431</v>
          </cell>
          <cell r="Q212">
            <v>3781.9705683184357</v>
          </cell>
          <cell r="R212">
            <v>3881.7761131441721</v>
          </cell>
          <cell r="S212">
            <v>3984.4036748310205</v>
          </cell>
          <cell r="T212">
            <v>4102.5740052526089</v>
          </cell>
          <cell r="U212">
            <v>4219.3726070268003</v>
          </cell>
          <cell r="V212">
            <v>4318.2372563463286</v>
          </cell>
          <cell r="W212">
            <v>4447.4776069604195</v>
          </cell>
          <cell r="X212">
            <v>4593.1136316952616</v>
          </cell>
          <cell r="Y212">
            <v>4705.9308509553257</v>
          </cell>
          <cell r="Z212">
            <v>4819.0624761946328</v>
          </cell>
          <cell r="AA212">
            <v>72472.881796524249</v>
          </cell>
        </row>
        <row r="213">
          <cell r="B213" t="str">
            <v xml:space="preserve">4.1.10 - Parcela Fixa da Concessão   </v>
          </cell>
          <cell r="G213">
            <v>2237.5</v>
          </cell>
          <cell r="H213">
            <v>2237.5</v>
          </cell>
          <cell r="I213">
            <v>2237.5</v>
          </cell>
          <cell r="J213">
            <v>2173.5</v>
          </cell>
          <cell r="K213">
            <v>2237.5</v>
          </cell>
          <cell r="L213">
            <v>2237.5</v>
          </cell>
          <cell r="M213">
            <v>2237.5</v>
          </cell>
          <cell r="N213">
            <v>2237.5</v>
          </cell>
          <cell r="O213">
            <v>2237.5</v>
          </cell>
          <cell r="P213">
            <v>2237.5</v>
          </cell>
          <cell r="Q213">
            <v>2237.5</v>
          </cell>
          <cell r="R213">
            <v>2237.5</v>
          </cell>
          <cell r="S213">
            <v>2237.5</v>
          </cell>
          <cell r="T213">
            <v>2237.5</v>
          </cell>
          <cell r="U213">
            <v>2237.5</v>
          </cell>
          <cell r="V213">
            <v>2237.5</v>
          </cell>
          <cell r="W213">
            <v>2237.5</v>
          </cell>
          <cell r="X213">
            <v>2237.5</v>
          </cell>
          <cell r="Y213">
            <v>2237.5</v>
          </cell>
          <cell r="Z213">
            <v>2237.5</v>
          </cell>
          <cell r="AA213">
            <v>44686</v>
          </cell>
        </row>
        <row r="214">
          <cell r="B214" t="str">
            <v>5 -  RESULTADO BRUTO OPERACIONAL     (3 - 4)</v>
          </cell>
          <cell r="G214">
            <v>19770.152019375033</v>
          </cell>
          <cell r="H214">
            <v>28624.458437268127</v>
          </cell>
          <cell r="I214">
            <v>20445.631688947389</v>
          </cell>
          <cell r="J214">
            <v>13472.589543265844</v>
          </cell>
          <cell r="K214">
            <v>11070.346185890667</v>
          </cell>
          <cell r="L214">
            <v>6489.8128567315143</v>
          </cell>
          <cell r="M214">
            <v>7345.2311442910868</v>
          </cell>
          <cell r="N214">
            <v>10759.758912378151</v>
          </cell>
          <cell r="O214">
            <v>15262.715832114234</v>
          </cell>
          <cell r="P214">
            <v>22372.739939102146</v>
          </cell>
          <cell r="Q214">
            <v>25842.497313531421</v>
          </cell>
          <cell r="R214">
            <v>31420.03997585224</v>
          </cell>
          <cell r="S214">
            <v>36278.417015241444</v>
          </cell>
          <cell r="T214">
            <v>43474.183578709155</v>
          </cell>
          <cell r="U214">
            <v>51791.627097083445</v>
          </cell>
          <cell r="V214">
            <v>57660.664401682036</v>
          </cell>
          <cell r="W214">
            <v>62386.160500497906</v>
          </cell>
          <cell r="X214">
            <v>57977.107668533441</v>
          </cell>
          <cell r="Y214">
            <v>49557.764039468064</v>
          </cell>
          <cell r="Z214">
            <v>23200.225118819959</v>
          </cell>
          <cell r="AA214">
            <v>595202.12326878309</v>
          </cell>
        </row>
        <row r="215">
          <cell r="B215" t="str">
            <v>6 -  RESULTADO FINANCEIRO    (6.1)</v>
          </cell>
          <cell r="G215">
            <v>466.75641716889533</v>
          </cell>
          <cell r="H215">
            <v>508.16110417556945</v>
          </cell>
          <cell r="I215">
            <v>500.62336125774857</v>
          </cell>
          <cell r="J215">
            <v>544.42411353672321</v>
          </cell>
          <cell r="K215">
            <v>563.49714907470047</v>
          </cell>
          <cell r="L215">
            <v>591.65059964589716</v>
          </cell>
          <cell r="M215">
            <v>617.56585736913485</v>
          </cell>
          <cell r="N215">
            <v>638.12676859758881</v>
          </cell>
          <cell r="O215">
            <v>658.81351894820989</v>
          </cell>
          <cell r="P215">
            <v>678.56959442700952</v>
          </cell>
          <cell r="Q215">
            <v>697.70087653261362</v>
          </cell>
          <cell r="R215">
            <v>717.46719126268181</v>
          </cell>
          <cell r="S215">
            <v>737.79035631956265</v>
          </cell>
          <cell r="T215">
            <v>721.05199263063355</v>
          </cell>
          <cell r="U215">
            <v>750.22060861696411</v>
          </cell>
          <cell r="V215">
            <v>768.86154877159152</v>
          </cell>
          <cell r="W215">
            <v>793.40105062655948</v>
          </cell>
          <cell r="X215">
            <v>841.77431073250477</v>
          </cell>
          <cell r="Y215">
            <v>863.4540895373392</v>
          </cell>
          <cell r="Z215">
            <v>885.02425234727559</v>
          </cell>
          <cell r="AA215">
            <v>13544.934761579201</v>
          </cell>
        </row>
        <row r="216">
          <cell r="B216" t="str">
            <v>6.1 - Receitas    (Transp. Qd. 2B)</v>
          </cell>
          <cell r="G216">
            <v>466.75641716889533</v>
          </cell>
          <cell r="H216">
            <v>508.16110417556945</v>
          </cell>
          <cell r="I216">
            <v>500.62336125774857</v>
          </cell>
          <cell r="J216">
            <v>544.42411353672321</v>
          </cell>
          <cell r="K216">
            <v>563.49714907470047</v>
          </cell>
          <cell r="L216">
            <v>591.65059964589716</v>
          </cell>
          <cell r="M216">
            <v>617.56585736913485</v>
          </cell>
          <cell r="N216">
            <v>638.12676859758881</v>
          </cell>
          <cell r="O216">
            <v>658.81351894820989</v>
          </cell>
          <cell r="P216">
            <v>678.56959442700952</v>
          </cell>
          <cell r="Q216">
            <v>697.70087653261362</v>
          </cell>
          <cell r="R216">
            <v>717.46719126268181</v>
          </cell>
          <cell r="S216">
            <v>737.79035631956265</v>
          </cell>
          <cell r="T216">
            <v>721.05199263063355</v>
          </cell>
          <cell r="U216">
            <v>750.22060861696411</v>
          </cell>
          <cell r="V216">
            <v>768.86154877159152</v>
          </cell>
          <cell r="W216">
            <v>793.40105062655948</v>
          </cell>
          <cell r="X216">
            <v>841.77431073250477</v>
          </cell>
          <cell r="Y216">
            <v>863.4540895373392</v>
          </cell>
          <cell r="Z216">
            <v>885.02425234727559</v>
          </cell>
          <cell r="AA216">
            <v>13544.934761579201</v>
          </cell>
        </row>
        <row r="217">
          <cell r="B217" t="str">
            <v>7 -  RESULTADO OPERACIONAL    (5 + 6)</v>
          </cell>
          <cell r="G217">
            <v>20236.908436543927</v>
          </cell>
          <cell r="H217">
            <v>29132.619541443695</v>
          </cell>
          <cell r="I217">
            <v>20946.255050205138</v>
          </cell>
          <cell r="J217">
            <v>14017.013656802566</v>
          </cell>
          <cell r="K217">
            <v>11633.843334965368</v>
          </cell>
          <cell r="L217">
            <v>7081.4634563774116</v>
          </cell>
          <cell r="M217">
            <v>7962.7970016602212</v>
          </cell>
          <cell r="N217">
            <v>11397.88568097574</v>
          </cell>
          <cell r="O217">
            <v>15921.529351062443</v>
          </cell>
          <cell r="P217">
            <v>23051.309533529155</v>
          </cell>
          <cell r="Q217">
            <v>26540.198190064035</v>
          </cell>
          <cell r="R217">
            <v>32137.50716711492</v>
          </cell>
          <cell r="S217">
            <v>37016.207371561009</v>
          </cell>
          <cell r="T217">
            <v>44195.235571339792</v>
          </cell>
          <cell r="U217">
            <v>52541.847705700406</v>
          </cell>
          <cell r="V217">
            <v>58429.52595045363</v>
          </cell>
          <cell r="W217">
            <v>63179.561551124469</v>
          </cell>
          <cell r="X217">
            <v>58818.881979265949</v>
          </cell>
          <cell r="Y217">
            <v>50421.2181290054</v>
          </cell>
          <cell r="Z217">
            <v>24085.249371167236</v>
          </cell>
          <cell r="AA217">
            <v>608747.05803036224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20236.908436543927</v>
          </cell>
          <cell r="H219">
            <v>29132.619541443695</v>
          </cell>
          <cell r="I219">
            <v>20946.255050205138</v>
          </cell>
          <cell r="J219">
            <v>14017.013656802566</v>
          </cell>
          <cell r="K219">
            <v>11633.843334965368</v>
          </cell>
          <cell r="L219">
            <v>7081.4634563774116</v>
          </cell>
          <cell r="M219">
            <v>7962.7970016602212</v>
          </cell>
          <cell r="N219">
            <v>11397.88568097574</v>
          </cell>
          <cell r="O219">
            <v>15921.529351062443</v>
          </cell>
          <cell r="P219">
            <v>23051.309533529155</v>
          </cell>
          <cell r="Q219">
            <v>26540.198190064035</v>
          </cell>
          <cell r="R219">
            <v>32137.50716711492</v>
          </cell>
          <cell r="S219">
            <v>37016.207371561009</v>
          </cell>
          <cell r="T219">
            <v>44195.235571339792</v>
          </cell>
          <cell r="U219">
            <v>52541.847705700406</v>
          </cell>
          <cell r="V219">
            <v>58429.52595045363</v>
          </cell>
          <cell r="W219">
            <v>63179.561551124469</v>
          </cell>
          <cell r="X219">
            <v>58818.881979265949</v>
          </cell>
          <cell r="Y219">
            <v>50421.2181290054</v>
          </cell>
          <cell r="Z219">
            <v>24085.249371167236</v>
          </cell>
          <cell r="AA219">
            <v>608747.05803036224</v>
          </cell>
        </row>
        <row r="220">
          <cell r="B220" t="str">
            <v>10- CONTRIBUIÇÃO SOCIAL (Legislação vigente)</v>
          </cell>
          <cell r="G220">
            <v>1618.9526749235149</v>
          </cell>
          <cell r="H220">
            <v>2330.609563315496</v>
          </cell>
          <cell r="I220">
            <v>1675.7004040164124</v>
          </cell>
          <cell r="J220">
            <v>1121.3610925442058</v>
          </cell>
          <cell r="K220">
            <v>930.70746679722924</v>
          </cell>
          <cell r="L220">
            <v>566.51707651019399</v>
          </cell>
          <cell r="M220">
            <v>637.02376013281719</v>
          </cell>
          <cell r="N220">
            <v>825.67439292241829</v>
          </cell>
          <cell r="O220">
            <v>1184.7220122316924</v>
          </cell>
          <cell r="P220">
            <v>1752.4448756677393</v>
          </cell>
          <cell r="Q220">
            <v>2029.7099569103509</v>
          </cell>
          <cell r="R220">
            <v>2475.9799171301747</v>
          </cell>
          <cell r="S220">
            <v>2864.731837376547</v>
          </cell>
          <cell r="T220">
            <v>3437.2578826801928</v>
          </cell>
          <cell r="U220">
            <v>4103.2317228518186</v>
          </cell>
          <cell r="V220">
            <v>4572.9756361344052</v>
          </cell>
          <cell r="W220">
            <v>4950.9964594962903</v>
          </cell>
          <cell r="X220">
            <v>4600.0382255827444</v>
          </cell>
          <cell r="Y220">
            <v>3926.8134721990418</v>
          </cell>
          <cell r="Z220">
            <v>1818.5654475719509</v>
          </cell>
          <cell r="AA220">
            <v>47424.013876995239</v>
          </cell>
        </row>
        <row r="221">
          <cell r="B221" t="str">
            <v>11- RESULTADO ANTES IMPOSTO DE RENDA    (9 - 10)</v>
          </cell>
          <cell r="G221">
            <v>18617.955761620411</v>
          </cell>
          <cell r="H221">
            <v>26802.009978128201</v>
          </cell>
          <cell r="I221">
            <v>19270.554646188724</v>
          </cell>
          <cell r="J221">
            <v>12895.65256425836</v>
          </cell>
          <cell r="K221">
            <v>10703.135868168138</v>
          </cell>
          <cell r="L221">
            <v>6514.9463798672177</v>
          </cell>
          <cell r="M221">
            <v>7325.773241527404</v>
          </cell>
          <cell r="N221">
            <v>10572.211288053322</v>
          </cell>
          <cell r="O221">
            <v>14736.807338830751</v>
          </cell>
          <cell r="P221">
            <v>21298.864657861413</v>
          </cell>
          <cell r="Q221">
            <v>24510.488233153683</v>
          </cell>
          <cell r="R221">
            <v>29661.527249984745</v>
          </cell>
          <cell r="S221">
            <v>34151.475534184465</v>
          </cell>
          <cell r="T221">
            <v>40757.977688659601</v>
          </cell>
          <cell r="U221">
            <v>48438.615982848583</v>
          </cell>
          <cell r="V221">
            <v>53856.550314319225</v>
          </cell>
          <cell r="W221">
            <v>58228.565091628181</v>
          </cell>
          <cell r="X221">
            <v>54218.843753683206</v>
          </cell>
          <cell r="Y221">
            <v>46494.404656806357</v>
          </cell>
          <cell r="Z221">
            <v>22266.683923595287</v>
          </cell>
          <cell r="AA221">
            <v>561323.04415336705</v>
          </cell>
        </row>
        <row r="222">
          <cell r="B222" t="str">
            <v>12- IMPOSTO DE RENDA (Legislação vigente)</v>
          </cell>
          <cell r="G222">
            <v>5035.2271091359835</v>
          </cell>
          <cell r="H222">
            <v>7259.1548853609256</v>
          </cell>
          <cell r="I222">
            <v>5212.56376255129</v>
          </cell>
          <cell r="J222">
            <v>3480.2534142006416</v>
          </cell>
          <cell r="K222">
            <v>2884.460833741342</v>
          </cell>
          <cell r="L222">
            <v>1746.3658640943559</v>
          </cell>
          <cell r="M222">
            <v>1966.6992504150544</v>
          </cell>
          <cell r="N222">
            <v>2556.2324778825573</v>
          </cell>
          <cell r="O222">
            <v>3678.2562882240377</v>
          </cell>
          <cell r="P222">
            <v>5452.3902364616852</v>
          </cell>
          <cell r="Q222">
            <v>6318.8436153448438</v>
          </cell>
          <cell r="R222">
            <v>7713.4372410317974</v>
          </cell>
          <cell r="S222">
            <v>8928.2869918017132</v>
          </cell>
          <cell r="T222">
            <v>10717.4308833756</v>
          </cell>
          <cell r="U222">
            <v>12798.599133911935</v>
          </cell>
          <cell r="V222">
            <v>14266.548862920017</v>
          </cell>
          <cell r="W222">
            <v>15447.86393592591</v>
          </cell>
          <cell r="X222">
            <v>14351.119454946076</v>
          </cell>
          <cell r="Y222">
            <v>12247.292100622004</v>
          </cell>
          <cell r="Z222">
            <v>5659.0170236623471</v>
          </cell>
          <cell r="AA222">
            <v>147720.04336561009</v>
          </cell>
        </row>
        <row r="223">
          <cell r="B223" t="str">
            <v>13- RESULTADO DE EXERCÍCIO    (11 - 12)</v>
          </cell>
          <cell r="G223">
            <v>13582.728652484428</v>
          </cell>
          <cell r="H223">
            <v>19542.855092767277</v>
          </cell>
          <cell r="I223">
            <v>14057.990883637434</v>
          </cell>
          <cell r="J223">
            <v>9415.3991500577176</v>
          </cell>
          <cell r="K223">
            <v>7818.6750344267957</v>
          </cell>
          <cell r="L223">
            <v>4768.5805157728619</v>
          </cell>
          <cell r="M223">
            <v>5359.0739911123492</v>
          </cell>
          <cell r="N223">
            <v>8015.9788101707654</v>
          </cell>
          <cell r="O223">
            <v>11058.551050606713</v>
          </cell>
          <cell r="P223">
            <v>15846.474421399729</v>
          </cell>
          <cell r="Q223">
            <v>18191.644617808837</v>
          </cell>
          <cell r="R223">
            <v>21948.090008952946</v>
          </cell>
          <cell r="S223">
            <v>25223.188542382752</v>
          </cell>
          <cell r="T223">
            <v>30040.546805284001</v>
          </cell>
          <cell r="U223">
            <v>35640.016848936648</v>
          </cell>
          <cell r="V223">
            <v>39590.001451399206</v>
          </cell>
          <cell r="W223">
            <v>42780.701155702271</v>
          </cell>
          <cell r="X223">
            <v>39867.724298737128</v>
          </cell>
          <cell r="Y223">
            <v>34247.112556184351</v>
          </cell>
          <cell r="Z223">
            <v>16607.666899932941</v>
          </cell>
          <cell r="AA223">
            <v>413603.00078775699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154777.12166111113</v>
          </cell>
          <cell r="H229">
            <v>159378.19531094446</v>
          </cell>
          <cell r="I229">
            <v>164117.30117027281</v>
          </cell>
          <cell r="J229">
            <v>168998.580205381</v>
          </cell>
          <cell r="K229">
            <v>174026.29761154242</v>
          </cell>
          <cell r="L229">
            <v>179204.84653988871</v>
          </cell>
          <cell r="M229">
            <v>184538.75193608538</v>
          </cell>
          <cell r="N229">
            <v>190032.67449416794</v>
          </cell>
          <cell r="O229">
            <v>195691.41472899297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1570765.1836583866</v>
          </cell>
        </row>
        <row r="230">
          <cell r="B230" t="str">
            <v>1.1 - Operacionais    (1.1.1 + 1.1.2)</v>
          </cell>
          <cell r="G230">
            <v>154777.12166111113</v>
          </cell>
          <cell r="H230">
            <v>159378.19531094446</v>
          </cell>
          <cell r="I230">
            <v>164117.30117027281</v>
          </cell>
          <cell r="J230">
            <v>168998.580205381</v>
          </cell>
          <cell r="K230">
            <v>174026.29761154242</v>
          </cell>
          <cell r="L230">
            <v>179204.84653988871</v>
          </cell>
          <cell r="M230">
            <v>184538.75193608538</v>
          </cell>
          <cell r="N230">
            <v>190032.67449416794</v>
          </cell>
          <cell r="O230">
            <v>195691.41472899297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1570765.1836583866</v>
          </cell>
        </row>
        <row r="231">
          <cell r="B231" t="str">
            <v>1.1.1 - Receitas de  Pedágios    (Transp. Qd.2.1.1.2)</v>
          </cell>
          <cell r="G231">
            <v>153369.12166111113</v>
          </cell>
          <cell r="H231">
            <v>157970.19531094446</v>
          </cell>
          <cell r="I231">
            <v>162709.30117027281</v>
          </cell>
          <cell r="J231">
            <v>167590.580205381</v>
          </cell>
          <cell r="K231">
            <v>172618.29761154242</v>
          </cell>
          <cell r="L231">
            <v>177796.84653988871</v>
          </cell>
          <cell r="M231">
            <v>183130.75193608538</v>
          </cell>
          <cell r="N231">
            <v>188624.67449416794</v>
          </cell>
          <cell r="O231">
            <v>194283.41472899297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1558093.1836583866</v>
          </cell>
        </row>
        <row r="232">
          <cell r="B232" t="str">
            <v>1.1.2 - Outras Receitas Operacionais    (calculado 2.1.2.)</v>
          </cell>
          <cell r="G232">
            <v>1408</v>
          </cell>
          <cell r="H232">
            <v>1408</v>
          </cell>
          <cell r="I232">
            <v>1408</v>
          </cell>
          <cell r="J232">
            <v>1408</v>
          </cell>
          <cell r="K232">
            <v>1408</v>
          </cell>
          <cell r="L232">
            <v>1408</v>
          </cell>
          <cell r="M232">
            <v>1408</v>
          </cell>
          <cell r="N232">
            <v>1408</v>
          </cell>
          <cell r="O232">
            <v>1408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12672</v>
          </cell>
        </row>
        <row r="233">
          <cell r="B233" t="str">
            <v>2 -  DEDUÇÕES DA RECEITA    (2.1)</v>
          </cell>
          <cell r="G233">
            <v>13388.221023686114</v>
          </cell>
          <cell r="H233">
            <v>13786.213894396697</v>
          </cell>
          <cell r="I233">
            <v>14196.146551228598</v>
          </cell>
          <cell r="J233">
            <v>14618.377187765456</v>
          </cell>
          <cell r="K233">
            <v>15053.27474339842</v>
          </cell>
          <cell r="L233">
            <v>15501.219225700372</v>
          </cell>
          <cell r="M233">
            <v>15962.602042471384</v>
          </cell>
          <cell r="N233">
            <v>16437.826343745528</v>
          </cell>
          <cell r="O233">
            <v>16927.307374057891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135871.18838645046</v>
          </cell>
        </row>
        <row r="234">
          <cell r="B234" t="str">
            <v>2.1 - Tributos sobre Faturamento    (2.1.1+ .... + 2.1.4)</v>
          </cell>
          <cell r="G234">
            <v>13388.221023686114</v>
          </cell>
          <cell r="H234">
            <v>13786.213894396697</v>
          </cell>
          <cell r="I234">
            <v>14196.146551228598</v>
          </cell>
          <cell r="J234">
            <v>14618.377187765456</v>
          </cell>
          <cell r="K234">
            <v>15053.27474339842</v>
          </cell>
          <cell r="L234">
            <v>15501.219225700372</v>
          </cell>
          <cell r="M234">
            <v>15962.602042471384</v>
          </cell>
          <cell r="N234">
            <v>16437.826343745528</v>
          </cell>
          <cell r="O234">
            <v>16927.307374057891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135871.18838645046</v>
          </cell>
        </row>
        <row r="235">
          <cell r="B235" t="str">
            <v>2.1.1 - I.S.S    (transp. Qd  1.3.)</v>
          </cell>
          <cell r="G235">
            <v>7738.8560830555571</v>
          </cell>
          <cell r="H235">
            <v>7968.9097655472233</v>
          </cell>
          <cell r="I235">
            <v>8205.8650585136402</v>
          </cell>
          <cell r="J235">
            <v>8449.9290102690502</v>
          </cell>
          <cell r="K235">
            <v>8701.3148805771216</v>
          </cell>
          <cell r="L235">
            <v>8960.2423269944356</v>
          </cell>
          <cell r="M235">
            <v>9226.9375968042696</v>
          </cell>
          <cell r="N235">
            <v>9501.6337247083975</v>
          </cell>
          <cell r="O235">
            <v>9784.5707364496484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78538.259182919341</v>
          </cell>
        </row>
        <row r="236">
          <cell r="B236" t="str">
            <v>2.1.2 - Cofins    (transp. Qd 1.3.)</v>
          </cell>
          <cell r="G236">
            <v>4643.3136498333333</v>
          </cell>
          <cell r="H236">
            <v>4781.345859328334</v>
          </cell>
          <cell r="I236">
            <v>4923.5190351081837</v>
          </cell>
          <cell r="J236">
            <v>5069.9574061614303</v>
          </cell>
          <cell r="K236">
            <v>5220.7889283462728</v>
          </cell>
          <cell r="L236">
            <v>5376.1453961966608</v>
          </cell>
          <cell r="M236">
            <v>5536.1625580825612</v>
          </cell>
          <cell r="N236">
            <v>5700.9802348250378</v>
          </cell>
          <cell r="O236">
            <v>5870.7424418697892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47122.955509751606</v>
          </cell>
        </row>
        <row r="237">
          <cell r="B237" t="str">
            <v>2.1.3 - Pis / Pasep    (transp. Qd 1.3.)</v>
          </cell>
          <cell r="G237">
            <v>1006.0512907972224</v>
          </cell>
          <cell r="H237">
            <v>1035.9582695211388</v>
          </cell>
          <cell r="I237">
            <v>1066.7624576067733</v>
          </cell>
          <cell r="J237">
            <v>1098.4907713349764</v>
          </cell>
          <cell r="K237">
            <v>1131.1709344750257</v>
          </cell>
          <cell r="L237">
            <v>1164.8315025092766</v>
          </cell>
          <cell r="M237">
            <v>1199.5018875845549</v>
          </cell>
          <cell r="N237">
            <v>1235.2123842120916</v>
          </cell>
          <cell r="O237">
            <v>1271.9941957384542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10209.973693779513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141388.90063742502</v>
          </cell>
          <cell r="H239">
            <v>145591.98141654776</v>
          </cell>
          <cell r="I239">
            <v>149921.15461904422</v>
          </cell>
          <cell r="J239">
            <v>154380.20301761554</v>
          </cell>
          <cell r="K239">
            <v>158973.02286814401</v>
          </cell>
          <cell r="L239">
            <v>163703.62731418834</v>
          </cell>
          <cell r="M239">
            <v>168576.149893614</v>
          </cell>
          <cell r="N239">
            <v>173594.84815042242</v>
          </cell>
          <cell r="O239">
            <v>178764.10735493508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1434893.9952719361</v>
          </cell>
        </row>
        <row r="240">
          <cell r="B240" t="str">
            <v>4 -  DESPESAS    (4.1)</v>
          </cell>
          <cell r="G240">
            <v>43667.630622151628</v>
          </cell>
          <cell r="H240">
            <v>43850.942542416182</v>
          </cell>
          <cell r="I240">
            <v>44039.753820288664</v>
          </cell>
          <cell r="J240">
            <v>44234.229436497328</v>
          </cell>
          <cell r="K240">
            <v>44434.539321192242</v>
          </cell>
          <cell r="L240">
            <v>44640.858502428011</v>
          </cell>
          <cell r="M240">
            <v>44853.367259100851</v>
          </cell>
          <cell r="N240">
            <v>45072.251278473872</v>
          </cell>
          <cell r="O240">
            <v>45297.701818428097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400091.2746009769</v>
          </cell>
        </row>
        <row r="241">
          <cell r="B241" t="str">
            <v>4.1 - Operacionais    (4.1.1+ .... + 4.1.10)</v>
          </cell>
          <cell r="G241">
            <v>43667.630622151628</v>
          </cell>
          <cell r="H241">
            <v>43850.942542416182</v>
          </cell>
          <cell r="I241">
            <v>44039.753820288664</v>
          </cell>
          <cell r="J241">
            <v>44234.229436497328</v>
          </cell>
          <cell r="K241">
            <v>44434.539321192242</v>
          </cell>
          <cell r="L241">
            <v>44640.858502428011</v>
          </cell>
          <cell r="M241">
            <v>44853.367259100851</v>
          </cell>
          <cell r="N241">
            <v>45072.251278473872</v>
          </cell>
          <cell r="O241">
            <v>45297.701818428097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400091.2746009769</v>
          </cell>
        </row>
        <row r="242">
          <cell r="B242" t="str">
            <v>4.1.1  -  Pessoal e Administradores    (Transp. Qd. 1.3.)</v>
          </cell>
          <cell r="G242">
            <v>23995</v>
          </cell>
          <cell r="H242">
            <v>23995</v>
          </cell>
          <cell r="I242">
            <v>23995</v>
          </cell>
          <cell r="J242">
            <v>23995</v>
          </cell>
          <cell r="K242">
            <v>23995</v>
          </cell>
          <cell r="L242">
            <v>23995</v>
          </cell>
          <cell r="M242">
            <v>23995</v>
          </cell>
          <cell r="N242">
            <v>23995</v>
          </cell>
          <cell r="O242">
            <v>23995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215955</v>
          </cell>
        </row>
        <row r="243">
          <cell r="B243" t="str">
            <v>4.1.2  -  Conservação de Rotina    (Transp. Qd. 1.3.)</v>
          </cell>
          <cell r="G243">
            <v>8293</v>
          </cell>
          <cell r="H243">
            <v>8293</v>
          </cell>
          <cell r="I243">
            <v>8293</v>
          </cell>
          <cell r="J243">
            <v>8293</v>
          </cell>
          <cell r="K243">
            <v>8293</v>
          </cell>
          <cell r="L243">
            <v>8293</v>
          </cell>
          <cell r="M243">
            <v>8293</v>
          </cell>
          <cell r="N243">
            <v>8293</v>
          </cell>
          <cell r="O243">
            <v>8293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74637</v>
          </cell>
        </row>
        <row r="244">
          <cell r="B244" t="str">
            <v>4.1.3  -  Consumo    (Transp. Qd. 1.3.)</v>
          </cell>
          <cell r="G244">
            <v>2516</v>
          </cell>
          <cell r="H244">
            <v>2516</v>
          </cell>
          <cell r="I244">
            <v>2516</v>
          </cell>
          <cell r="J244">
            <v>2516</v>
          </cell>
          <cell r="K244">
            <v>2516</v>
          </cell>
          <cell r="L244">
            <v>2516</v>
          </cell>
          <cell r="M244">
            <v>2516</v>
          </cell>
          <cell r="N244">
            <v>2516</v>
          </cell>
          <cell r="O244">
            <v>2516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22644</v>
          </cell>
        </row>
        <row r="245">
          <cell r="B245" t="str">
            <v>4.1.4  -  Transportes    (Transp. Qd. 1.3.)</v>
          </cell>
          <cell r="G245">
            <v>1497</v>
          </cell>
          <cell r="H245">
            <v>1497</v>
          </cell>
          <cell r="I245">
            <v>1497</v>
          </cell>
          <cell r="J245">
            <v>1497</v>
          </cell>
          <cell r="K245">
            <v>1497</v>
          </cell>
          <cell r="L245">
            <v>1497</v>
          </cell>
          <cell r="M245">
            <v>1497</v>
          </cell>
          <cell r="N245">
            <v>1497</v>
          </cell>
          <cell r="O245">
            <v>1497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13473</v>
          </cell>
        </row>
        <row r="246">
          <cell r="B246" t="str">
            <v>4.1.5  -  Diversas    (Transp. Qd. 1.3.)</v>
          </cell>
          <cell r="G246">
            <v>861.84</v>
          </cell>
          <cell r="H246">
            <v>861.84</v>
          </cell>
          <cell r="I246">
            <v>861.84</v>
          </cell>
          <cell r="J246">
            <v>861.84</v>
          </cell>
          <cell r="K246">
            <v>861.84</v>
          </cell>
          <cell r="L246">
            <v>861.84</v>
          </cell>
          <cell r="M246">
            <v>861.84</v>
          </cell>
          <cell r="N246">
            <v>861.84</v>
          </cell>
          <cell r="O246">
            <v>861.84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7756.56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1514.9084753170948</v>
          </cell>
          <cell r="H248">
            <v>1558.7333295766077</v>
          </cell>
          <cell r="I248">
            <v>1603.8729294639058</v>
          </cell>
          <cell r="J248">
            <v>1650.3667173478232</v>
          </cell>
          <cell r="K248">
            <v>1698.2553188682577</v>
          </cell>
          <cell r="L248">
            <v>1747.5805784343056</v>
          </cell>
          <cell r="M248">
            <v>1798.3855957873348</v>
          </cell>
          <cell r="N248">
            <v>1850.714763660955</v>
          </cell>
          <cell r="O248">
            <v>1904.6138065707835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15327.431515027069</v>
          </cell>
        </row>
        <row r="249">
          <cell r="B249" t="str">
            <v xml:space="preserve">4.1.8  -  Garantias  (transp. Qd 1.3.)  </v>
          </cell>
          <cell r="G249">
            <v>346.56849700120341</v>
          </cell>
          <cell r="H249">
            <v>348.02335351123952</v>
          </cell>
          <cell r="I249">
            <v>349.52185571657668</v>
          </cell>
          <cell r="J249">
            <v>351.06531298807403</v>
          </cell>
          <cell r="K249">
            <v>352.6550739777162</v>
          </cell>
          <cell r="L249">
            <v>354.29252779704768</v>
          </cell>
          <cell r="M249">
            <v>355.97910523095914</v>
          </cell>
          <cell r="N249">
            <v>357.7162799878879</v>
          </cell>
          <cell r="O249">
            <v>359.50556998752461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3175.3275761982295</v>
          </cell>
        </row>
        <row r="250">
          <cell r="B250" t="str">
            <v xml:space="preserve">4.1.9  -  Parc.Variável da Concessão   </v>
          </cell>
          <cell r="G250">
            <v>4643.3136498333333</v>
          </cell>
          <cell r="H250">
            <v>4781.345859328334</v>
          </cell>
          <cell r="I250">
            <v>4923.5190351081837</v>
          </cell>
          <cell r="J250">
            <v>5069.9574061614303</v>
          </cell>
          <cell r="K250">
            <v>5220.7889283462728</v>
          </cell>
          <cell r="L250">
            <v>5376.1453961966608</v>
          </cell>
          <cell r="M250">
            <v>5536.1625580825612</v>
          </cell>
          <cell r="N250">
            <v>5700.9802348250378</v>
          </cell>
          <cell r="O250">
            <v>5870.7424418697892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47122.955509751606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97721.270015273389</v>
          </cell>
          <cell r="H252">
            <v>101741.03887413157</v>
          </cell>
          <cell r="I252">
            <v>105881.40079875555</v>
          </cell>
          <cell r="J252">
            <v>110145.97358111822</v>
          </cell>
          <cell r="K252">
            <v>114538.48354695176</v>
          </cell>
          <cell r="L252">
            <v>119062.76881176032</v>
          </cell>
          <cell r="M252">
            <v>123722.78263451315</v>
          </cell>
          <cell r="N252">
            <v>128522.59687194854</v>
          </cell>
          <cell r="O252">
            <v>133466.40553650699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1034802.7206709592</v>
          </cell>
        </row>
        <row r="253">
          <cell r="B253" t="str">
            <v>6 -  RESULTADO FINANCEIRO    (6.1)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B254" t="str">
            <v>6.1 - Receitas    (Transp. Qd. 2B)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B255" t="str">
            <v>7 -  RESULTADO OPERACIONAL    (5 + 6)</v>
          </cell>
          <cell r="G255">
            <v>97721.270015273389</v>
          </cell>
          <cell r="H255">
            <v>101741.03887413157</v>
          </cell>
          <cell r="I255">
            <v>105881.40079875555</v>
          </cell>
          <cell r="J255">
            <v>110145.97358111822</v>
          </cell>
          <cell r="K255">
            <v>114538.48354695176</v>
          </cell>
          <cell r="L255">
            <v>119062.76881176032</v>
          </cell>
          <cell r="M255">
            <v>123722.78263451315</v>
          </cell>
          <cell r="N255">
            <v>128522.59687194854</v>
          </cell>
          <cell r="O255">
            <v>133466.40553650699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1034802.7206709592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97721.270015273389</v>
          </cell>
          <cell r="H257">
            <v>101741.03887413157</v>
          </cell>
          <cell r="I257">
            <v>105881.40079875555</v>
          </cell>
          <cell r="J257">
            <v>110145.97358111822</v>
          </cell>
          <cell r="K257">
            <v>114538.48354695176</v>
          </cell>
          <cell r="L257">
            <v>119062.76881176032</v>
          </cell>
          <cell r="M257">
            <v>123722.78263451315</v>
          </cell>
          <cell r="N257">
            <v>128522.59687194854</v>
          </cell>
          <cell r="O257">
            <v>133466.40553650699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1034802.7206709592</v>
          </cell>
        </row>
        <row r="258">
          <cell r="B258" t="str">
            <v>10- CONTRIBUIÇÃO SOCIAL (Legislação vigente)</v>
          </cell>
          <cell r="G258">
            <v>7817.701601221871</v>
          </cell>
          <cell r="H258">
            <v>8139.2831099305258</v>
          </cell>
          <cell r="I258">
            <v>8470.5120639004435</v>
          </cell>
          <cell r="J258">
            <v>8811.6778864894568</v>
          </cell>
          <cell r="K258">
            <v>9163.0786837561409</v>
          </cell>
          <cell r="L258">
            <v>9525.0215049408271</v>
          </cell>
          <cell r="M258">
            <v>9897.8226107610517</v>
          </cell>
          <cell r="N258">
            <v>10281.807749755882</v>
          </cell>
          <cell r="O258">
            <v>10677.31244292056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82784.217653676766</v>
          </cell>
        </row>
        <row r="259">
          <cell r="B259" t="str">
            <v>11- RESULTADO ANTES IMPOSTO DE RENDA    (9 - 10)</v>
          </cell>
          <cell r="G259">
            <v>89903.568414051522</v>
          </cell>
          <cell r="H259">
            <v>93601.755764201051</v>
          </cell>
          <cell r="I259">
            <v>97410.888734855107</v>
          </cell>
          <cell r="J259">
            <v>101334.29569462876</v>
          </cell>
          <cell r="K259">
            <v>105375.40486319561</v>
          </cell>
          <cell r="L259">
            <v>109537.7473068195</v>
          </cell>
          <cell r="M259">
            <v>113824.96002375209</v>
          </cell>
          <cell r="N259">
            <v>118240.78912219265</v>
          </cell>
          <cell r="O259">
            <v>122789.09309358643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952018.50301728246</v>
          </cell>
        </row>
        <row r="260">
          <cell r="B260" t="str">
            <v>12- IMPOSTO DE RENDA (Legislação vigente)</v>
          </cell>
          <cell r="G260">
            <v>24406.317503818347</v>
          </cell>
          <cell r="H260">
            <v>25411.259718532892</v>
          </cell>
          <cell r="I260">
            <v>26446.350199688888</v>
          </cell>
          <cell r="J260">
            <v>27512.493395279555</v>
          </cell>
          <cell r="K260">
            <v>28610.620886737939</v>
          </cell>
          <cell r="L260">
            <v>29741.692202940081</v>
          </cell>
          <cell r="M260">
            <v>30906.695658628283</v>
          </cell>
          <cell r="N260">
            <v>32106.649217987135</v>
          </cell>
          <cell r="O260">
            <v>33342.601384126749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258484.68016773989</v>
          </cell>
        </row>
        <row r="261">
          <cell r="B261" t="str">
            <v>13- RESULTADO DE EXERCÍCIO    (11 - 12)</v>
          </cell>
          <cell r="G261">
            <v>65497.250910233175</v>
          </cell>
          <cell r="H261">
            <v>68190.496045668158</v>
          </cell>
          <cell r="I261">
            <v>70964.538535166212</v>
          </cell>
          <cell r="J261">
            <v>73821.802299349205</v>
          </cell>
          <cell r="K261">
            <v>76764.783976457664</v>
          </cell>
          <cell r="L261">
            <v>79796.055103879422</v>
          </cell>
          <cell r="M261">
            <v>82918.264365123818</v>
          </cell>
          <cell r="N261">
            <v>86134.139904205513</v>
          </cell>
          <cell r="O261">
            <v>89446.491709459689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693533.8228495426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65077.90059216888</v>
          </cell>
          <cell r="H267">
            <v>84027.342581740479</v>
          </cell>
          <cell r="I267">
            <v>82777.819277202827</v>
          </cell>
          <cell r="J267">
            <v>81221.387122802247</v>
          </cell>
          <cell r="K267">
            <v>86471.385005282282</v>
          </cell>
          <cell r="L267">
            <v>90252.921240510826</v>
          </cell>
          <cell r="M267">
            <v>98895.957839114461</v>
          </cell>
          <cell r="N267">
            <v>106416.99451921778</v>
          </cell>
          <cell r="O267">
            <v>109935.17222853457</v>
          </cell>
          <cell r="P267">
            <v>113219.40827093511</v>
          </cell>
          <cell r="Q267">
            <v>116438.05315381382</v>
          </cell>
          <cell r="R267">
            <v>119784.67096273508</v>
          </cell>
          <cell r="S267">
            <v>123225.91285068692</v>
          </cell>
          <cell r="T267">
            <v>127148.18550105093</v>
          </cell>
          <cell r="U267">
            <v>131070.64084284368</v>
          </cell>
          <cell r="V267">
            <v>134384.77009364925</v>
          </cell>
          <cell r="W267">
            <v>138717.32128264054</v>
          </cell>
          <cell r="X267">
            <v>143620.22870057455</v>
          </cell>
          <cell r="Y267">
            <v>147402.48245471486</v>
          </cell>
          <cell r="Z267">
            <v>151195.10679216834</v>
          </cell>
          <cell r="AA267">
            <v>2251283.6613123873</v>
          </cell>
        </row>
        <row r="268">
          <cell r="B268" t="str">
            <v>1.1.  RECEITAS     (1.1.1.+ ... + 1.1.4)</v>
          </cell>
          <cell r="G268">
            <v>65077.90059216888</v>
          </cell>
          <cell r="H268">
            <v>84027.342581740479</v>
          </cell>
          <cell r="I268">
            <v>82777.819277202827</v>
          </cell>
          <cell r="J268">
            <v>81221.387122802247</v>
          </cell>
          <cell r="K268">
            <v>86471.385005282282</v>
          </cell>
          <cell r="L268">
            <v>90252.921240510826</v>
          </cell>
          <cell r="M268">
            <v>98895.957839114461</v>
          </cell>
          <cell r="N268">
            <v>106416.99451921778</v>
          </cell>
          <cell r="O268">
            <v>109935.17222853457</v>
          </cell>
          <cell r="P268">
            <v>113219.40827093511</v>
          </cell>
          <cell r="Q268">
            <v>116438.05315381382</v>
          </cell>
          <cell r="R268">
            <v>119784.67096273508</v>
          </cell>
          <cell r="S268">
            <v>123225.91285068692</v>
          </cell>
          <cell r="T268">
            <v>127148.18550105093</v>
          </cell>
          <cell r="U268">
            <v>131070.64084284368</v>
          </cell>
          <cell r="V268">
            <v>134384.77009364925</v>
          </cell>
          <cell r="W268">
            <v>138717.32128264054</v>
          </cell>
          <cell r="X268">
            <v>143620.22870057455</v>
          </cell>
          <cell r="Y268">
            <v>147402.48245471486</v>
          </cell>
          <cell r="Z268">
            <v>151195.10679216834</v>
          </cell>
          <cell r="AA268">
            <v>2251283.6613123873</v>
          </cell>
        </row>
        <row r="269">
          <cell r="B269" t="str">
            <v>1.1.1   Receitas de Pedágio</v>
          </cell>
          <cell r="G269">
            <v>64611.144174999987</v>
          </cell>
          <cell r="H269">
            <v>82839.179999999993</v>
          </cell>
          <cell r="I269">
            <v>81306.169999999984</v>
          </cell>
          <cell r="J269">
            <v>79705.919999999998</v>
          </cell>
          <cell r="K269">
            <v>84936.91</v>
          </cell>
          <cell r="L269">
            <v>88690.236832139592</v>
          </cell>
          <cell r="M269">
            <v>96870.378627292739</v>
          </cell>
          <cell r="N269">
            <v>104370.89694455036</v>
          </cell>
          <cell r="O269">
            <v>107868.32981663087</v>
          </cell>
          <cell r="P269">
            <v>111132.81876824172</v>
          </cell>
          <cell r="Q269">
            <v>114332.39086846689</v>
          </cell>
          <cell r="R269">
            <v>117659.18965877224</v>
          </cell>
          <cell r="S269">
            <v>121080.14089813811</v>
          </cell>
          <cell r="T269">
            <v>125019.12961739481</v>
          </cell>
          <cell r="U269">
            <v>128912.41909198486</v>
          </cell>
          <cell r="V269">
            <v>132207.90570863907</v>
          </cell>
          <cell r="W269">
            <v>136515.91836752923</v>
          </cell>
          <cell r="X269">
            <v>141370.44717942667</v>
          </cell>
          <cell r="Y269">
            <v>145131.00538955838</v>
          </cell>
          <cell r="Z269">
            <v>148902.05986515642</v>
          </cell>
          <cell r="AA269">
            <v>2213462.5918089217</v>
          </cell>
        </row>
        <row r="270">
          <cell r="B270" t="str">
            <v>1.1.2   Outras Receitas Operacionais</v>
          </cell>
          <cell r="G270">
            <v>0</v>
          </cell>
          <cell r="H270">
            <v>680.00147756491504</v>
          </cell>
          <cell r="I270">
            <v>971.02591594509477</v>
          </cell>
          <cell r="J270">
            <v>971.04300926553674</v>
          </cell>
          <cell r="K270">
            <v>970.97785620758134</v>
          </cell>
          <cell r="L270">
            <v>971.03380872532864</v>
          </cell>
          <cell r="M270">
            <v>1408.0133544525906</v>
          </cell>
          <cell r="N270">
            <v>1407.970806069836</v>
          </cell>
          <cell r="O270">
            <v>1408.0288929554943</v>
          </cell>
          <cell r="P270">
            <v>1408.0199082663721</v>
          </cell>
          <cell r="Q270">
            <v>1407.9614088143096</v>
          </cell>
          <cell r="R270">
            <v>1408.0141127001589</v>
          </cell>
          <cell r="S270">
            <v>1407.9815962292548</v>
          </cell>
          <cell r="T270">
            <v>1408.0038910254934</v>
          </cell>
          <cell r="U270">
            <v>1408.0011422418563</v>
          </cell>
          <cell r="V270">
            <v>1408.0028362385883</v>
          </cell>
          <cell r="W270">
            <v>1408.0018644847439</v>
          </cell>
          <cell r="X270">
            <v>1408.0072104153946</v>
          </cell>
          <cell r="Y270">
            <v>1408.0229756191206</v>
          </cell>
          <cell r="Z270">
            <v>1408.0226746646526</v>
          </cell>
          <cell r="AA270">
            <v>24276.134741886326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466.75641716889533</v>
          </cell>
          <cell r="H272">
            <v>508.16110417556945</v>
          </cell>
          <cell r="I272">
            <v>500.62336125774857</v>
          </cell>
          <cell r="J272">
            <v>544.42411353672321</v>
          </cell>
          <cell r="K272">
            <v>563.49714907470047</v>
          </cell>
          <cell r="L272">
            <v>591.65059964589716</v>
          </cell>
          <cell r="M272">
            <v>617.56585736913485</v>
          </cell>
          <cell r="N272">
            <v>638.12676859758881</v>
          </cell>
          <cell r="O272">
            <v>658.81351894820989</v>
          </cell>
          <cell r="P272">
            <v>678.56959442700952</v>
          </cell>
          <cell r="Q272">
            <v>697.70087653261362</v>
          </cell>
          <cell r="R272">
            <v>717.46719126268181</v>
          </cell>
          <cell r="S272">
            <v>737.79035631956265</v>
          </cell>
          <cell r="T272">
            <v>721.05199263063355</v>
          </cell>
          <cell r="U272">
            <v>750.22060861696411</v>
          </cell>
          <cell r="V272">
            <v>768.86154877159152</v>
          </cell>
          <cell r="W272">
            <v>793.40105062655948</v>
          </cell>
          <cell r="X272">
            <v>841.77431073250477</v>
          </cell>
          <cell r="Y272">
            <v>863.4540895373392</v>
          </cell>
          <cell r="Z272">
            <v>885.02425234727559</v>
          </cell>
          <cell r="AA272">
            <v>13544.934761579201</v>
          </cell>
        </row>
        <row r="273">
          <cell r="B273" t="str">
            <v>2.  DESEMBOLSOS     (2.1.+ ... + 2.4)</v>
          </cell>
          <cell r="G273">
            <v>87413.513939684461</v>
          </cell>
          <cell r="H273">
            <v>106210.02639686794</v>
          </cell>
          <cell r="I273">
            <v>80618.440495904579</v>
          </cell>
          <cell r="J273">
            <v>90387.497575083718</v>
          </cell>
          <cell r="K273">
            <v>92478.647073194676</v>
          </cell>
          <cell r="L273">
            <v>121267.06657707713</v>
          </cell>
          <cell r="M273">
            <v>107067.93323995551</v>
          </cell>
          <cell r="N273">
            <v>92553.570274722311</v>
          </cell>
          <cell r="O273">
            <v>76226.540326936461</v>
          </cell>
          <cell r="P273">
            <v>77285.86174854399</v>
          </cell>
          <cell r="Q273">
            <v>81818.053935013595</v>
          </cell>
          <cell r="R273">
            <v>82069.706352790774</v>
          </cell>
          <cell r="S273">
            <v>86836.745957312785</v>
          </cell>
          <cell r="T273">
            <v>103612.10588048985</v>
          </cell>
          <cell r="U273">
            <v>79406.647126465992</v>
          </cell>
          <cell r="V273">
            <v>82249.055274809012</v>
          </cell>
          <cell r="W273">
            <v>80955.943009497219</v>
          </cell>
          <cell r="X273">
            <v>109083.16811772971</v>
          </cell>
          <cell r="Y273">
            <v>102279.32236442283</v>
          </cell>
          <cell r="Z273">
            <v>97860.604858127728</v>
          </cell>
          <cell r="AA273">
            <v>1837680.45052463</v>
          </cell>
        </row>
        <row r="274">
          <cell r="B274" t="str">
            <v>2.1.  OPERACIONAIS     (2.1.1.+ ... + 2.1.8)</v>
          </cell>
          <cell r="G274">
            <v>36466.359830374953</v>
          </cell>
          <cell r="H274">
            <v>39470.936503864577</v>
          </cell>
          <cell r="I274">
            <v>43180.050451858515</v>
          </cell>
          <cell r="J274">
            <v>44035.854178060894</v>
          </cell>
          <cell r="K274">
            <v>46837.162136969877</v>
          </cell>
          <cell r="L274">
            <v>46652.155517246618</v>
          </cell>
          <cell r="M274">
            <v>47634.884220600259</v>
          </cell>
          <cell r="N274">
            <v>47029.417371398726</v>
          </cell>
          <cell r="O274">
            <v>47539.661265193143</v>
          </cell>
          <cell r="P274">
            <v>47707.221476119325</v>
          </cell>
          <cell r="Q274">
            <v>48100.859794439959</v>
          </cell>
          <cell r="R274">
            <v>48169.213081484631</v>
          </cell>
          <cell r="S274">
            <v>48715.593453303511</v>
          </cell>
          <cell r="T274">
            <v>48837.01310918144</v>
          </cell>
          <cell r="U274">
            <v>49631.23366267544</v>
          </cell>
          <cell r="V274">
            <v>49850.723519408253</v>
          </cell>
          <cell r="W274">
            <v>50427.4550071146</v>
          </cell>
          <cell r="X274">
            <v>50723.876805505635</v>
          </cell>
          <cell r="Y274">
            <v>51190.335940646451</v>
          </cell>
          <cell r="Z274">
            <v>51456.629910698786</v>
          </cell>
          <cell r="AA274">
            <v>943656.63723614544</v>
          </cell>
        </row>
        <row r="275">
          <cell r="B275" t="str">
            <v xml:space="preserve">2.1.1.  Pessoal / Administradores   </v>
          </cell>
          <cell r="G275">
            <v>18102</v>
          </cell>
          <cell r="H275">
            <v>22685</v>
          </cell>
          <cell r="I275">
            <v>24290</v>
          </cell>
          <cell r="J275">
            <v>24290</v>
          </cell>
          <cell r="K275">
            <v>24734</v>
          </cell>
          <cell r="L275">
            <v>23904</v>
          </cell>
          <cell r="M275">
            <v>23904</v>
          </cell>
          <cell r="N275">
            <v>23904</v>
          </cell>
          <cell r="O275">
            <v>23904</v>
          </cell>
          <cell r="P275">
            <v>23904</v>
          </cell>
          <cell r="Q275">
            <v>23904</v>
          </cell>
          <cell r="R275">
            <v>23904</v>
          </cell>
          <cell r="S275">
            <v>23904</v>
          </cell>
          <cell r="T275">
            <v>23904</v>
          </cell>
          <cell r="U275">
            <v>23984</v>
          </cell>
          <cell r="V275">
            <v>23995</v>
          </cell>
          <cell r="W275">
            <v>23995</v>
          </cell>
          <cell r="X275">
            <v>23995</v>
          </cell>
          <cell r="Y275">
            <v>23995</v>
          </cell>
          <cell r="Z275">
            <v>23995</v>
          </cell>
          <cell r="AA275">
            <v>473196</v>
          </cell>
        </row>
        <row r="276">
          <cell r="B276" t="str">
            <v xml:space="preserve">2.1.2.  Conservação de Rotina  </v>
          </cell>
          <cell r="G276">
            <v>8823</v>
          </cell>
          <cell r="H276">
            <v>6443</v>
          </cell>
          <cell r="I276">
            <v>6604</v>
          </cell>
          <cell r="J276">
            <v>6696</v>
          </cell>
          <cell r="K276">
            <v>7213</v>
          </cell>
          <cell r="L276">
            <v>7875</v>
          </cell>
          <cell r="M276">
            <v>7875</v>
          </cell>
          <cell r="N276">
            <v>7875</v>
          </cell>
          <cell r="O276">
            <v>7875</v>
          </cell>
          <cell r="P276">
            <v>7875</v>
          </cell>
          <cell r="Q276">
            <v>7875</v>
          </cell>
          <cell r="R276">
            <v>7875</v>
          </cell>
          <cell r="S276">
            <v>7875</v>
          </cell>
          <cell r="T276">
            <v>7878</v>
          </cell>
          <cell r="U276">
            <v>8112</v>
          </cell>
          <cell r="V276">
            <v>8165</v>
          </cell>
          <cell r="W276">
            <v>8165</v>
          </cell>
          <cell r="X276">
            <v>8165</v>
          </cell>
          <cell r="Y276">
            <v>8228</v>
          </cell>
          <cell r="Z276">
            <v>8293</v>
          </cell>
          <cell r="AA276">
            <v>155785</v>
          </cell>
        </row>
        <row r="277">
          <cell r="B277" t="str">
            <v xml:space="preserve">2.1.3.  Consumo   </v>
          </cell>
          <cell r="G277">
            <v>1554</v>
          </cell>
          <cell r="H277">
            <v>2328</v>
          </cell>
          <cell r="I277">
            <v>2578</v>
          </cell>
          <cell r="J277">
            <v>2578</v>
          </cell>
          <cell r="K277">
            <v>2578</v>
          </cell>
          <cell r="L277">
            <v>2516</v>
          </cell>
          <cell r="M277">
            <v>2516</v>
          </cell>
          <cell r="N277">
            <v>2516</v>
          </cell>
          <cell r="O277">
            <v>2516</v>
          </cell>
          <cell r="P277">
            <v>2516</v>
          </cell>
          <cell r="Q277">
            <v>2516</v>
          </cell>
          <cell r="R277">
            <v>2516</v>
          </cell>
          <cell r="S277">
            <v>2516</v>
          </cell>
          <cell r="T277">
            <v>2516</v>
          </cell>
          <cell r="U277">
            <v>2516</v>
          </cell>
          <cell r="V277">
            <v>2516</v>
          </cell>
          <cell r="W277">
            <v>2516</v>
          </cell>
          <cell r="X277">
            <v>2516</v>
          </cell>
          <cell r="Y277">
            <v>2516</v>
          </cell>
          <cell r="Z277">
            <v>2516</v>
          </cell>
          <cell r="AA277">
            <v>49356</v>
          </cell>
        </row>
        <row r="278">
          <cell r="B278" t="str">
            <v>2.1.4.  Transportes</v>
          </cell>
          <cell r="G278">
            <v>850</v>
          </cell>
          <cell r="H278">
            <v>1403</v>
          </cell>
          <cell r="I278">
            <v>1441</v>
          </cell>
          <cell r="J278">
            <v>1441</v>
          </cell>
          <cell r="K278">
            <v>1441</v>
          </cell>
          <cell r="L278">
            <v>1498</v>
          </cell>
          <cell r="M278">
            <v>1498</v>
          </cell>
          <cell r="N278">
            <v>1498</v>
          </cell>
          <cell r="O278">
            <v>1498</v>
          </cell>
          <cell r="P278">
            <v>1498</v>
          </cell>
          <cell r="Q278">
            <v>1498</v>
          </cell>
          <cell r="R278">
            <v>1497</v>
          </cell>
          <cell r="S278">
            <v>1497</v>
          </cell>
          <cell r="T278">
            <v>1497</v>
          </cell>
          <cell r="U278">
            <v>1497</v>
          </cell>
          <cell r="V278">
            <v>1497</v>
          </cell>
          <cell r="W278">
            <v>1497</v>
          </cell>
          <cell r="X278">
            <v>1497</v>
          </cell>
          <cell r="Y278">
            <v>1497</v>
          </cell>
          <cell r="Z278">
            <v>1497</v>
          </cell>
          <cell r="AA278">
            <v>29037</v>
          </cell>
        </row>
        <row r="279">
          <cell r="B279" t="str">
            <v>2.1.5.  Diversas</v>
          </cell>
          <cell r="G279">
            <v>2548.2600000000002</v>
          </cell>
          <cell r="H279">
            <v>861.84</v>
          </cell>
          <cell r="I279">
            <v>1083.3</v>
          </cell>
          <cell r="J279">
            <v>861.84</v>
          </cell>
          <cell r="K279">
            <v>1083.3</v>
          </cell>
          <cell r="L279">
            <v>861.84</v>
          </cell>
          <cell r="M279">
            <v>1083.3</v>
          </cell>
          <cell r="N279">
            <v>861.84</v>
          </cell>
          <cell r="O279">
            <v>1083.3</v>
          </cell>
          <cell r="P279">
            <v>861.84</v>
          </cell>
          <cell r="Q279">
            <v>1083.3</v>
          </cell>
          <cell r="R279">
            <v>861.84</v>
          </cell>
          <cell r="S279">
            <v>1083.3</v>
          </cell>
          <cell r="T279">
            <v>861.84</v>
          </cell>
          <cell r="U279">
            <v>1083.3</v>
          </cell>
          <cell r="V279">
            <v>861.84</v>
          </cell>
          <cell r="W279">
            <v>1083.3</v>
          </cell>
          <cell r="X279">
            <v>861.84</v>
          </cell>
          <cell r="Y279">
            <v>1083.3</v>
          </cell>
          <cell r="Z279">
            <v>861.84</v>
          </cell>
          <cell r="AA279">
            <v>20916.359999999997</v>
          </cell>
        </row>
        <row r="280">
          <cell r="B280" t="str">
            <v>2.1.6.  Tributos s/ Faturamento</v>
          </cell>
          <cell r="G280">
            <v>2455.3335373874997</v>
          </cell>
          <cell r="H280">
            <v>3398.9878158221372</v>
          </cell>
          <cell r="I280">
            <v>5011.8446014666233</v>
          </cell>
          <cell r="J280">
            <v>5762.5563305578999</v>
          </cell>
          <cell r="K280">
            <v>7522.6455697456586</v>
          </cell>
          <cell r="L280">
            <v>7777.0805769112958</v>
          </cell>
          <cell r="M280">
            <v>8523.5610451538159</v>
          </cell>
          <cell r="N280">
            <v>8096.3457526189541</v>
          </cell>
          <cell r="O280">
            <v>8363.8066966355836</v>
          </cell>
          <cell r="P280">
            <v>8613.7018033395525</v>
          </cell>
          <cell r="Q280">
            <v>8868.3820387712949</v>
          </cell>
          <cell r="R280">
            <v>9137.6675664826325</v>
          </cell>
          <cell r="S280">
            <v>9415.1929956348413</v>
          </cell>
          <cell r="T280">
            <v>9732.7315021794511</v>
          </cell>
          <cell r="U280">
            <v>10048.641541673434</v>
          </cell>
          <cell r="V280">
            <v>10318.492010184034</v>
          </cell>
          <cell r="W280">
            <v>10667.260880779266</v>
          </cell>
          <cell r="X280">
            <v>11062.60951761475</v>
          </cell>
          <cell r="Y280">
            <v>11370.937408533331</v>
          </cell>
          <cell r="Z280">
            <v>11680.787567696787</v>
          </cell>
          <cell r="AA280">
            <v>167828.56675918883</v>
          </cell>
        </row>
        <row r="281">
          <cell r="B281" t="str">
            <v>2.1.7.  Seguros</v>
          </cell>
          <cell r="G281">
            <v>1236.2652794844441</v>
          </cell>
          <cell r="H281">
            <v>1456.2926745394443</v>
          </cell>
          <cell r="I281">
            <v>1279.774836888889</v>
          </cell>
          <cell r="J281">
            <v>1517.0118339999999</v>
          </cell>
          <cell r="K281">
            <v>1410.9657582222223</v>
          </cell>
          <cell r="L281">
            <v>1401.8755313333336</v>
          </cell>
          <cell r="M281">
            <v>1424.8455664444446</v>
          </cell>
          <cell r="N281">
            <v>1471.4558097777781</v>
          </cell>
          <cell r="O281">
            <v>1499.6461595555559</v>
          </cell>
          <cell r="P281">
            <v>1644.0042637777776</v>
          </cell>
          <cell r="Q281">
            <v>1597.6769466666667</v>
          </cell>
          <cell r="R281">
            <v>1633.7953060000002</v>
          </cell>
          <cell r="S281">
            <v>1696.7792486666667</v>
          </cell>
          <cell r="T281">
            <v>1742.8741980000002</v>
          </cell>
          <cell r="U281">
            <v>1711.6297120000004</v>
          </cell>
          <cell r="V281">
            <v>1822.0301002222225</v>
          </cell>
          <cell r="W281">
            <v>1853.2553173333333</v>
          </cell>
          <cell r="X281">
            <v>1997.4142788888889</v>
          </cell>
          <cell r="Y281">
            <v>1909.6649231111114</v>
          </cell>
          <cell r="Z281">
            <v>2026.0073339999999</v>
          </cell>
          <cell r="AA281">
            <v>32333.26507891278</v>
          </cell>
        </row>
        <row r="282">
          <cell r="B282" t="str">
            <v xml:space="preserve">2.1.8.  Garantias </v>
          </cell>
          <cell r="G282">
            <v>897.50101350300019</v>
          </cell>
          <cell r="H282">
            <v>894.81601350300014</v>
          </cell>
          <cell r="I282">
            <v>892.13101350300019</v>
          </cell>
          <cell r="J282">
            <v>889.44601350300013</v>
          </cell>
          <cell r="K282">
            <v>854.25080900200021</v>
          </cell>
          <cell r="L282">
            <v>818.35940900200012</v>
          </cell>
          <cell r="M282">
            <v>810.17760900200005</v>
          </cell>
          <cell r="N282">
            <v>806.77580900200019</v>
          </cell>
          <cell r="O282">
            <v>799.9084090020001</v>
          </cell>
          <cell r="P282">
            <v>794.67540900200015</v>
          </cell>
          <cell r="Q282">
            <v>758.50080900200021</v>
          </cell>
          <cell r="R282">
            <v>743.9102090020001</v>
          </cell>
          <cell r="S282">
            <v>728.32120900200005</v>
          </cell>
          <cell r="T282">
            <v>704.56740900200009</v>
          </cell>
          <cell r="U282">
            <v>678.66240900200012</v>
          </cell>
          <cell r="V282">
            <v>675.36140900200019</v>
          </cell>
          <cell r="W282">
            <v>650.63880900200013</v>
          </cell>
          <cell r="X282">
            <v>629.0130090020001</v>
          </cell>
          <cell r="Y282">
            <v>590.43360900200014</v>
          </cell>
          <cell r="Z282">
            <v>586.99500900200007</v>
          </cell>
          <cell r="AA282">
            <v>15204.445398044005</v>
          </cell>
        </row>
        <row r="283">
          <cell r="B283" t="str">
            <v>2.2.  INVESTIMENTOS / IMOBILIZADO     (2.2.1.+ ... + 2.2.7)</v>
          </cell>
          <cell r="G283">
            <v>38416.639999999999</v>
          </cell>
          <cell r="H283">
            <v>52346.149999999994</v>
          </cell>
          <cell r="I283">
            <v>25720.190000000002</v>
          </cell>
          <cell r="J283">
            <v>37032.100000000006</v>
          </cell>
          <cell r="K283">
            <v>36887.46</v>
          </cell>
          <cell r="L283">
            <v>67250.570000000007</v>
          </cell>
          <cell r="M283">
            <v>51423.214249355035</v>
          </cell>
          <cell r="N283">
            <v>36511.120000000003</v>
          </cell>
          <cell r="O283">
            <v>18087.849999999999</v>
          </cell>
          <cell r="P283">
            <v>16539.82</v>
          </cell>
          <cell r="Q283">
            <v>19438.670000000002</v>
          </cell>
          <cell r="R283">
            <v>17681.3</v>
          </cell>
          <cell r="S283">
            <v>20195.73</v>
          </cell>
          <cell r="T283">
            <v>34369.83</v>
          </cell>
          <cell r="U283">
            <v>6506.2100000000009</v>
          </cell>
          <cell r="V283">
            <v>7092.5700000000033</v>
          </cell>
          <cell r="W283">
            <v>3534.15</v>
          </cell>
          <cell r="X283">
            <v>32667.02</v>
          </cell>
          <cell r="Y283">
            <v>28060.95</v>
          </cell>
          <cell r="Z283">
            <v>31959.329999999998</v>
          </cell>
          <cell r="AA283">
            <v>581720.87424935505</v>
          </cell>
        </row>
        <row r="284">
          <cell r="B284" t="str">
            <v xml:space="preserve">2.2.1.  Ampliação Principal </v>
          </cell>
          <cell r="G284">
            <v>3618.28</v>
          </cell>
          <cell r="H284">
            <v>13695.91</v>
          </cell>
          <cell r="I284">
            <v>6674.4400000000005</v>
          </cell>
          <cell r="J284">
            <v>9871.4</v>
          </cell>
          <cell r="K284">
            <v>15029.04</v>
          </cell>
          <cell r="L284">
            <v>34432.239999999998</v>
          </cell>
          <cell r="M284">
            <v>22720.11</v>
          </cell>
          <cell r="N284">
            <v>9054.06</v>
          </cell>
          <cell r="O284">
            <v>5986.88</v>
          </cell>
          <cell r="P284">
            <v>6594.43</v>
          </cell>
          <cell r="Q284">
            <v>3664.38</v>
          </cell>
          <cell r="R284">
            <v>625.02</v>
          </cell>
          <cell r="S284">
            <v>1156.3700000000001</v>
          </cell>
          <cell r="T284">
            <v>3373.87</v>
          </cell>
          <cell r="U284">
            <v>2236.7000000000003</v>
          </cell>
          <cell r="V284">
            <v>365.64000000000124</v>
          </cell>
          <cell r="W284">
            <v>147.50000000000182</v>
          </cell>
          <cell r="X284">
            <v>880.97</v>
          </cell>
          <cell r="Y284">
            <v>0</v>
          </cell>
          <cell r="Z284">
            <v>7932.14</v>
          </cell>
          <cell r="AA284">
            <v>148059.38000000003</v>
          </cell>
        </row>
        <row r="285">
          <cell r="B285" t="str">
            <v>2.2.2.  Demais Obras de Ampliação/Melhoramentos</v>
          </cell>
          <cell r="G285">
            <v>11617.53</v>
          </cell>
          <cell r="H285">
            <v>10483.709999999999</v>
          </cell>
          <cell r="I285">
            <v>6362.7100000000019</v>
          </cell>
          <cell r="J285">
            <v>10159.080000000002</v>
          </cell>
          <cell r="K285">
            <v>11207.75</v>
          </cell>
          <cell r="L285">
            <v>21513.870000000003</v>
          </cell>
          <cell r="M285">
            <v>5541.2500000000018</v>
          </cell>
          <cell r="N285">
            <v>16426.55</v>
          </cell>
          <cell r="O285">
            <v>9348.9500000000007</v>
          </cell>
          <cell r="P285">
            <v>3051.5299999999997</v>
          </cell>
          <cell r="Q285">
            <v>2850.2</v>
          </cell>
          <cell r="R285">
            <v>511.15</v>
          </cell>
          <cell r="S285">
            <v>1451.2500000000009</v>
          </cell>
          <cell r="T285">
            <v>13481.060000000001</v>
          </cell>
          <cell r="U285">
            <v>1033.8500000000004</v>
          </cell>
          <cell r="V285">
            <v>1.8189894035458565E-12</v>
          </cell>
          <cell r="W285">
            <v>-1.8189894035458565E-12</v>
          </cell>
          <cell r="X285">
            <v>2054.33</v>
          </cell>
          <cell r="Y285">
            <v>0</v>
          </cell>
          <cell r="Z285">
            <v>5073.95</v>
          </cell>
          <cell r="AA285">
            <v>132168.72</v>
          </cell>
        </row>
        <row r="286">
          <cell r="B286" t="str">
            <v xml:space="preserve">2.2.3.  Equipamentos, Veiculos e Sist. Controle </v>
          </cell>
          <cell r="G286">
            <v>17448.439999999999</v>
          </cell>
          <cell r="H286">
            <v>5868.53</v>
          </cell>
          <cell r="I286">
            <v>231</v>
          </cell>
          <cell r="J286">
            <v>8464.82</v>
          </cell>
          <cell r="K286">
            <v>707.30000000000007</v>
          </cell>
          <cell r="L286">
            <v>387.75</v>
          </cell>
          <cell r="M286">
            <v>3390.03</v>
          </cell>
          <cell r="N286">
            <v>1474.3200000000002</v>
          </cell>
          <cell r="O286">
            <v>1371.42</v>
          </cell>
          <cell r="P286">
            <v>723.25</v>
          </cell>
          <cell r="Q286">
            <v>12852.6</v>
          </cell>
          <cell r="R286">
            <v>5374.66</v>
          </cell>
          <cell r="S286">
            <v>1111.3899999999999</v>
          </cell>
          <cell r="T286">
            <v>3401.5899999999997</v>
          </cell>
          <cell r="U286">
            <v>2634</v>
          </cell>
          <cell r="V286">
            <v>879.67</v>
          </cell>
          <cell r="W286">
            <v>1545.84</v>
          </cell>
          <cell r="X286">
            <v>2871.58</v>
          </cell>
          <cell r="Y286">
            <v>514.25</v>
          </cell>
          <cell r="Z286">
            <v>2729.72</v>
          </cell>
          <cell r="AA286">
            <v>73982.159999999989</v>
          </cell>
        </row>
        <row r="287">
          <cell r="B287" t="str">
            <v>2.2.4.  Desapropriações</v>
          </cell>
          <cell r="G287">
            <v>821</v>
          </cell>
          <cell r="H287">
            <v>1118</v>
          </cell>
          <cell r="I287">
            <v>328</v>
          </cell>
          <cell r="J287">
            <v>880</v>
          </cell>
          <cell r="K287">
            <v>1244</v>
          </cell>
          <cell r="L287">
            <v>0</v>
          </cell>
          <cell r="M287">
            <v>14951.37424935504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196</v>
          </cell>
          <cell r="T287">
            <v>256</v>
          </cell>
          <cell r="U287">
            <v>0</v>
          </cell>
          <cell r="V287">
            <v>320</v>
          </cell>
          <cell r="W287">
            <v>424</v>
          </cell>
          <cell r="X287">
            <v>0</v>
          </cell>
          <cell r="Y287">
            <v>0</v>
          </cell>
          <cell r="Z287">
            <v>0</v>
          </cell>
          <cell r="AA287">
            <v>20538.374249355038</v>
          </cell>
        </row>
        <row r="288">
          <cell r="B288" t="str">
            <v xml:space="preserve">2.2.5.  Conservação Especial </v>
          </cell>
          <cell r="G288">
            <v>3911.39</v>
          </cell>
          <cell r="H288">
            <v>21180</v>
          </cell>
          <cell r="I288">
            <v>12124.04</v>
          </cell>
          <cell r="J288">
            <v>7656.7999999999993</v>
          </cell>
          <cell r="K288">
            <v>8699.369999999999</v>
          </cell>
          <cell r="L288">
            <v>10916.71</v>
          </cell>
          <cell r="M288">
            <v>4820.45</v>
          </cell>
          <cell r="N288">
            <v>9556.19</v>
          </cell>
          <cell r="O288">
            <v>1380.6</v>
          </cell>
          <cell r="P288">
            <v>6170.6100000000006</v>
          </cell>
          <cell r="Q288">
            <v>71.490000000000009</v>
          </cell>
          <cell r="R288">
            <v>11170.47</v>
          </cell>
          <cell r="S288">
            <v>16280.72</v>
          </cell>
          <cell r="T288">
            <v>13857.31</v>
          </cell>
          <cell r="U288">
            <v>601.66</v>
          </cell>
          <cell r="V288">
            <v>5527.26</v>
          </cell>
          <cell r="W288">
            <v>1416.81</v>
          </cell>
          <cell r="X288">
            <v>26860.14</v>
          </cell>
          <cell r="Y288">
            <v>27546.7</v>
          </cell>
          <cell r="Z288">
            <v>16223.519999999999</v>
          </cell>
          <cell r="AA288">
            <v>205972.24000000002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1000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1000</v>
          </cell>
        </row>
        <row r="291">
          <cell r="B291" t="str">
            <v>2.3.  DIREITO DE CONCESSÃO     (2.3.1.+ ... + 2.3.2)</v>
          </cell>
          <cell r="G291">
            <v>5876.3343252499999</v>
          </cell>
          <cell r="H291">
            <v>4803.1754443269474</v>
          </cell>
          <cell r="I291">
            <v>4829.9358774783523</v>
          </cell>
          <cell r="J291">
            <v>4717.9288902779654</v>
          </cell>
          <cell r="K291">
            <v>4938.8566356862275</v>
          </cell>
          <cell r="L291">
            <v>5051.4581192259475</v>
          </cell>
          <cell r="M291">
            <v>5406.1117594523603</v>
          </cell>
          <cell r="N291">
            <v>5631.1260325186058</v>
          </cell>
          <cell r="O291">
            <v>5736.0507612875917</v>
          </cell>
          <cell r="P291">
            <v>5833.9851602952431</v>
          </cell>
          <cell r="Q291">
            <v>5929.9705683184357</v>
          </cell>
          <cell r="R291">
            <v>6029.7761131441721</v>
          </cell>
          <cell r="S291">
            <v>6132.4036748310209</v>
          </cell>
          <cell r="T291">
            <v>6250.5740052526089</v>
          </cell>
          <cell r="U291">
            <v>6367.3726070268003</v>
          </cell>
          <cell r="V291">
            <v>6466.2372563463286</v>
          </cell>
          <cell r="W291">
            <v>6595.4776069604195</v>
          </cell>
          <cell r="X291">
            <v>6741.1136316952616</v>
          </cell>
          <cell r="Y291">
            <v>6853.9308509553257</v>
          </cell>
          <cell r="Z291">
            <v>6967.0624761946328</v>
          </cell>
          <cell r="AA291">
            <v>117158.88179652425</v>
          </cell>
        </row>
        <row r="292">
          <cell r="B292" t="str">
            <v>2.3.1.  Valor Variável da Concessão</v>
          </cell>
          <cell r="G292">
            <v>1938.3343252499997</v>
          </cell>
          <cell r="H292">
            <v>2655.1754443269469</v>
          </cell>
          <cell r="I292">
            <v>2681.9358774783523</v>
          </cell>
          <cell r="J292">
            <v>2633.9288902779654</v>
          </cell>
          <cell r="K292">
            <v>2790.8566356862275</v>
          </cell>
          <cell r="L292">
            <v>2903.4581192259475</v>
          </cell>
          <cell r="M292">
            <v>3258.1117594523598</v>
          </cell>
          <cell r="N292">
            <v>3483.1260325186058</v>
          </cell>
          <cell r="O292">
            <v>3588.0507612875913</v>
          </cell>
          <cell r="P292">
            <v>3685.9851602952431</v>
          </cell>
          <cell r="Q292">
            <v>3781.9705683184357</v>
          </cell>
          <cell r="R292">
            <v>3881.7761131441721</v>
          </cell>
          <cell r="S292">
            <v>3984.4036748310205</v>
          </cell>
          <cell r="T292">
            <v>4102.5740052526089</v>
          </cell>
          <cell r="U292">
            <v>4219.3726070268003</v>
          </cell>
          <cell r="V292">
            <v>4318.2372563463286</v>
          </cell>
          <cell r="W292">
            <v>4447.4776069604195</v>
          </cell>
          <cell r="X292">
            <v>4593.1136316952616</v>
          </cell>
          <cell r="Y292">
            <v>4705.9308509553257</v>
          </cell>
          <cell r="Z292">
            <v>4819.0624761946328</v>
          </cell>
          <cell r="AA292">
            <v>72472.881796524249</v>
          </cell>
        </row>
        <row r="293">
          <cell r="B293" t="str">
            <v xml:space="preserve">2.3.2.  Valor Fixo da Concessão </v>
          </cell>
          <cell r="G293">
            <v>3938.0000000000005</v>
          </cell>
          <cell r="H293">
            <v>2148</v>
          </cell>
          <cell r="I293">
            <v>2148</v>
          </cell>
          <cell r="J293">
            <v>2084</v>
          </cell>
          <cell r="K293">
            <v>2148</v>
          </cell>
          <cell r="L293">
            <v>2148</v>
          </cell>
          <cell r="M293">
            <v>2148</v>
          </cell>
          <cell r="N293">
            <v>2148</v>
          </cell>
          <cell r="O293">
            <v>2148</v>
          </cell>
          <cell r="P293">
            <v>2148</v>
          </cell>
          <cell r="Q293">
            <v>2148</v>
          </cell>
          <cell r="R293">
            <v>2148</v>
          </cell>
          <cell r="S293">
            <v>2148</v>
          </cell>
          <cell r="T293">
            <v>2148</v>
          </cell>
          <cell r="U293">
            <v>2148</v>
          </cell>
          <cell r="V293">
            <v>2148</v>
          </cell>
          <cell r="W293">
            <v>2148</v>
          </cell>
          <cell r="X293">
            <v>2148</v>
          </cell>
          <cell r="Y293">
            <v>2148</v>
          </cell>
          <cell r="Z293">
            <v>2148</v>
          </cell>
          <cell r="AA293">
            <v>44686</v>
          </cell>
        </row>
        <row r="294">
          <cell r="B294" t="str">
            <v>2.4.  DESEMBOLSOS  SOBRE O LUCRO     (2.4.1. + 2.4.2)</v>
          </cell>
          <cell r="G294">
            <v>6654.1797840594982</v>
          </cell>
          <cell r="H294">
            <v>9589.764448676422</v>
          </cell>
          <cell r="I294">
            <v>6888.264166567702</v>
          </cell>
          <cell r="J294">
            <v>4601.6145067448469</v>
          </cell>
          <cell r="K294">
            <v>3815.1683005385712</v>
          </cell>
          <cell r="L294">
            <v>2312.8829406045497</v>
          </cell>
          <cell r="M294">
            <v>2603.7230105478716</v>
          </cell>
          <cell r="N294">
            <v>3381.9068708049754</v>
          </cell>
          <cell r="O294">
            <v>4862.9783004557303</v>
          </cell>
          <cell r="P294">
            <v>7204.8351121294245</v>
          </cell>
          <cell r="Q294">
            <v>8348.553572255194</v>
          </cell>
          <cell r="R294">
            <v>10189.417158161972</v>
          </cell>
          <cell r="S294">
            <v>11793.01882917826</v>
          </cell>
          <cell r="T294">
            <v>14154.688766055793</v>
          </cell>
          <cell r="U294">
            <v>16901.830856763754</v>
          </cell>
          <cell r="V294">
            <v>18839.524499054423</v>
          </cell>
          <cell r="W294">
            <v>20398.860395422202</v>
          </cell>
          <cell r="X294">
            <v>18951.15768052882</v>
          </cell>
          <cell r="Y294">
            <v>16174.105572821045</v>
          </cell>
          <cell r="Z294">
            <v>7477.5824712342983</v>
          </cell>
          <cell r="AA294">
            <v>195144.05724260534</v>
          </cell>
        </row>
        <row r="295">
          <cell r="B295" t="str">
            <v xml:space="preserve">2.4.1.  Contribuição Social  </v>
          </cell>
          <cell r="G295">
            <v>1618.9526749235149</v>
          </cell>
          <cell r="H295">
            <v>2330.609563315496</v>
          </cell>
          <cell r="I295">
            <v>1675.7004040164124</v>
          </cell>
          <cell r="J295">
            <v>1121.3610925442058</v>
          </cell>
          <cell r="K295">
            <v>930.70746679722924</v>
          </cell>
          <cell r="L295">
            <v>566.51707651019399</v>
          </cell>
          <cell r="M295">
            <v>637.02376013281719</v>
          </cell>
          <cell r="N295">
            <v>825.67439292241829</v>
          </cell>
          <cell r="O295">
            <v>1184.7220122316924</v>
          </cell>
          <cell r="P295">
            <v>1752.4448756677393</v>
          </cell>
          <cell r="Q295">
            <v>2029.7099569103509</v>
          </cell>
          <cell r="R295">
            <v>2475.9799171301747</v>
          </cell>
          <cell r="S295">
            <v>2864.731837376547</v>
          </cell>
          <cell r="T295">
            <v>3437.2578826801928</v>
          </cell>
          <cell r="U295">
            <v>4103.2317228518186</v>
          </cell>
          <cell r="V295">
            <v>4572.9756361344052</v>
          </cell>
          <cell r="W295">
            <v>4950.9964594962903</v>
          </cell>
          <cell r="X295">
            <v>4600.0382255827444</v>
          </cell>
          <cell r="Y295">
            <v>3926.8134721990418</v>
          </cell>
          <cell r="Z295">
            <v>1818.5654475719509</v>
          </cell>
          <cell r="AA295">
            <v>47424.013876995239</v>
          </cell>
        </row>
        <row r="296">
          <cell r="B296" t="str">
            <v xml:space="preserve">2.4.2.  Imposto de Renda  </v>
          </cell>
          <cell r="G296">
            <v>5035.2271091359835</v>
          </cell>
          <cell r="H296">
            <v>7259.1548853609256</v>
          </cell>
          <cell r="I296">
            <v>5212.56376255129</v>
          </cell>
          <cell r="J296">
            <v>3480.2534142006416</v>
          </cell>
          <cell r="K296">
            <v>2884.460833741342</v>
          </cell>
          <cell r="L296">
            <v>1746.3658640943559</v>
          </cell>
          <cell r="M296">
            <v>1966.6992504150544</v>
          </cell>
          <cell r="N296">
            <v>2556.2324778825573</v>
          </cell>
          <cell r="O296">
            <v>3678.2562882240377</v>
          </cell>
          <cell r="P296">
            <v>5452.3902364616852</v>
          </cell>
          <cell r="Q296">
            <v>6318.8436153448438</v>
          </cell>
          <cell r="R296">
            <v>7713.4372410317974</v>
          </cell>
          <cell r="S296">
            <v>8928.2869918017132</v>
          </cell>
          <cell r="T296">
            <v>10717.4308833756</v>
          </cell>
          <cell r="U296">
            <v>12798.599133911935</v>
          </cell>
          <cell r="V296">
            <v>14266.548862920017</v>
          </cell>
          <cell r="W296">
            <v>15447.86393592591</v>
          </cell>
          <cell r="X296">
            <v>14351.119454946076</v>
          </cell>
          <cell r="Y296">
            <v>12247.292100622004</v>
          </cell>
          <cell r="Z296">
            <v>5659.0170236623471</v>
          </cell>
          <cell r="AA296">
            <v>147720.04336561009</v>
          </cell>
        </row>
        <row r="297">
          <cell r="B297" t="str">
            <v>3.  SALDO DO CAIXA     (1 - 2)</v>
          </cell>
          <cell r="G297">
            <v>-22335.61334751558</v>
          </cell>
          <cell r="H297">
            <v>-22182.683815127457</v>
          </cell>
          <cell r="I297">
            <v>2159.3787812982482</v>
          </cell>
          <cell r="J297">
            <v>-9166.1104522814712</v>
          </cell>
          <cell r="K297">
            <v>-6007.2620679123938</v>
          </cell>
          <cell r="L297">
            <v>-31014.145336566304</v>
          </cell>
          <cell r="M297">
            <v>-8171.9754008410528</v>
          </cell>
          <cell r="N297">
            <v>13863.424244495473</v>
          </cell>
          <cell r="O297">
            <v>33708.631901598113</v>
          </cell>
          <cell r="P297">
            <v>35933.546522391116</v>
          </cell>
          <cell r="Q297">
            <v>34619.999218800222</v>
          </cell>
          <cell r="R297">
            <v>37714.964609944305</v>
          </cell>
          <cell r="S297">
            <v>36389.166893374131</v>
          </cell>
          <cell r="T297">
            <v>23536.079620561082</v>
          </cell>
          <cell r="U297">
            <v>51663.993716377692</v>
          </cell>
          <cell r="V297">
            <v>52135.714818840235</v>
          </cell>
          <cell r="W297">
            <v>57761.378273143317</v>
          </cell>
          <cell r="X297">
            <v>34537.060582844832</v>
          </cell>
          <cell r="Y297">
            <v>45123.160090292033</v>
          </cell>
          <cell r="Z297">
            <v>53334.501934040614</v>
          </cell>
          <cell r="AA297">
            <v>413603.2107877573</v>
          </cell>
        </row>
        <row r="298">
          <cell r="B298" t="str">
            <v xml:space="preserve">4. T.I.R. (Taxa Interna de Retorno) Anual do Projeto     </v>
          </cell>
          <cell r="G298">
            <v>0.17469029539595923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154777.12166111113</v>
          </cell>
          <cell r="H303">
            <v>159378.19531094446</v>
          </cell>
          <cell r="I303">
            <v>164117.30117027281</v>
          </cell>
          <cell r="J303">
            <v>168998.580205381</v>
          </cell>
          <cell r="K303">
            <v>174026.29761154242</v>
          </cell>
          <cell r="L303">
            <v>179204.84653988871</v>
          </cell>
          <cell r="M303">
            <v>184538.75193608538</v>
          </cell>
          <cell r="N303">
            <v>190032.67449416794</v>
          </cell>
          <cell r="O303">
            <v>195691.41472899297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1570765.1836583866</v>
          </cell>
        </row>
        <row r="304">
          <cell r="B304" t="str">
            <v>1.1.  RECEITAS     (1.1.1.+ ... + 1.1.4)</v>
          </cell>
          <cell r="G304">
            <v>154777.12166111113</v>
          </cell>
          <cell r="H304">
            <v>159378.19531094446</v>
          </cell>
          <cell r="I304">
            <v>164117.30117027281</v>
          </cell>
          <cell r="J304">
            <v>168998.580205381</v>
          </cell>
          <cell r="K304">
            <v>174026.29761154242</v>
          </cell>
          <cell r="L304">
            <v>179204.84653988871</v>
          </cell>
          <cell r="M304">
            <v>184538.75193608538</v>
          </cell>
          <cell r="N304">
            <v>190032.67449416794</v>
          </cell>
          <cell r="O304">
            <v>195691.41472899297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1570765.1836583866</v>
          </cell>
        </row>
        <row r="305">
          <cell r="B305" t="str">
            <v>1.1.1   Receitas de Pedágio</v>
          </cell>
          <cell r="G305">
            <v>153369.12166111113</v>
          </cell>
          <cell r="H305">
            <v>157970.19531094446</v>
          </cell>
          <cell r="I305">
            <v>162709.30117027281</v>
          </cell>
          <cell r="J305">
            <v>167590.580205381</v>
          </cell>
          <cell r="K305">
            <v>172618.29761154242</v>
          </cell>
          <cell r="L305">
            <v>177796.84653988871</v>
          </cell>
          <cell r="M305">
            <v>183130.75193608538</v>
          </cell>
          <cell r="N305">
            <v>188624.67449416794</v>
          </cell>
          <cell r="O305">
            <v>194283.41472899297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1558093.1836583866</v>
          </cell>
        </row>
        <row r="306">
          <cell r="B306" t="str">
            <v>1.1.2   Outras Receitas Operacionais</v>
          </cell>
          <cell r="G306">
            <v>1408</v>
          </cell>
          <cell r="H306">
            <v>1408</v>
          </cell>
          <cell r="I306">
            <v>1408</v>
          </cell>
          <cell r="J306">
            <v>1408</v>
          </cell>
          <cell r="K306">
            <v>1408</v>
          </cell>
          <cell r="L306">
            <v>1408</v>
          </cell>
          <cell r="M306">
            <v>1408</v>
          </cell>
          <cell r="N306">
            <v>1408</v>
          </cell>
          <cell r="O306">
            <v>1408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12672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B309" t="str">
            <v>2.  DESEMBOLSOS     (2.1.+ ... + 2.4)</v>
          </cell>
          <cell r="G309">
            <v>89279.870750877963</v>
          </cell>
          <cell r="H309">
            <v>91187.6992652763</v>
          </cell>
          <cell r="I309">
            <v>93152.762635106599</v>
          </cell>
          <cell r="J309">
            <v>95176.777906031799</v>
          </cell>
          <cell r="K309">
            <v>97261.513635084732</v>
          </cell>
          <cell r="L309">
            <v>99408.791436009284</v>
          </cell>
          <cell r="M309">
            <v>101620.48757096159</v>
          </cell>
          <cell r="N309">
            <v>103898.53458996242</v>
          </cell>
          <cell r="O309">
            <v>106244.92301953329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877231.36080884398</v>
          </cell>
        </row>
        <row r="310">
          <cell r="B310" t="str">
            <v>2.1.  OPERACIONAIS     (2.1.1.+ ... + 2.1.8)</v>
          </cell>
          <cell r="G310">
            <v>52412.537996004408</v>
          </cell>
          <cell r="H310">
            <v>52855.810577484546</v>
          </cell>
          <cell r="I310">
            <v>53312.381336409075</v>
          </cell>
          <cell r="J310">
            <v>53782.649218101353</v>
          </cell>
          <cell r="K310">
            <v>54267.025136244389</v>
          </cell>
          <cell r="L310">
            <v>54765.932331931719</v>
          </cell>
          <cell r="M310">
            <v>55279.80674348968</v>
          </cell>
          <cell r="N310">
            <v>55809.097387394366</v>
          </cell>
          <cell r="O310">
            <v>56354.266750616196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488839.50747767574</v>
          </cell>
        </row>
        <row r="311">
          <cell r="B311" t="str">
            <v xml:space="preserve">2.1.1.  Pessoal / Administradores   </v>
          </cell>
          <cell r="G311">
            <v>23995</v>
          </cell>
          <cell r="H311">
            <v>23995</v>
          </cell>
          <cell r="I311">
            <v>23995</v>
          </cell>
          <cell r="J311">
            <v>23995</v>
          </cell>
          <cell r="K311">
            <v>23995</v>
          </cell>
          <cell r="L311">
            <v>23995</v>
          </cell>
          <cell r="M311">
            <v>23995</v>
          </cell>
          <cell r="N311">
            <v>23995</v>
          </cell>
          <cell r="O311">
            <v>23995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215955</v>
          </cell>
        </row>
        <row r="312">
          <cell r="B312" t="str">
            <v xml:space="preserve">2.1.2.  Conservação de Rotina  </v>
          </cell>
          <cell r="G312">
            <v>8293</v>
          </cell>
          <cell r="H312">
            <v>8293</v>
          </cell>
          <cell r="I312">
            <v>8293</v>
          </cell>
          <cell r="J312">
            <v>8293</v>
          </cell>
          <cell r="K312">
            <v>8293</v>
          </cell>
          <cell r="L312">
            <v>8293</v>
          </cell>
          <cell r="M312">
            <v>8293</v>
          </cell>
          <cell r="N312">
            <v>8293</v>
          </cell>
          <cell r="O312">
            <v>8293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74637</v>
          </cell>
        </row>
        <row r="313">
          <cell r="B313" t="str">
            <v xml:space="preserve">2.1.3.  Consumo   </v>
          </cell>
          <cell r="G313">
            <v>2516</v>
          </cell>
          <cell r="H313">
            <v>2516</v>
          </cell>
          <cell r="I313">
            <v>2516</v>
          </cell>
          <cell r="J313">
            <v>2516</v>
          </cell>
          <cell r="K313">
            <v>2516</v>
          </cell>
          <cell r="L313">
            <v>2516</v>
          </cell>
          <cell r="M313">
            <v>2516</v>
          </cell>
          <cell r="N313">
            <v>2516</v>
          </cell>
          <cell r="O313">
            <v>2516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22644</v>
          </cell>
        </row>
        <row r="314">
          <cell r="B314" t="str">
            <v>2.1.4.  Transportes</v>
          </cell>
          <cell r="G314">
            <v>1497</v>
          </cell>
          <cell r="H314">
            <v>1497</v>
          </cell>
          <cell r="I314">
            <v>1497</v>
          </cell>
          <cell r="J314">
            <v>1497</v>
          </cell>
          <cell r="K314">
            <v>1497</v>
          </cell>
          <cell r="L314">
            <v>1497</v>
          </cell>
          <cell r="M314">
            <v>1497</v>
          </cell>
          <cell r="N314">
            <v>1497</v>
          </cell>
          <cell r="O314">
            <v>1497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13473</v>
          </cell>
        </row>
        <row r="315">
          <cell r="B315" t="str">
            <v>2.1.5.  Diversas</v>
          </cell>
          <cell r="G315">
            <v>861.84</v>
          </cell>
          <cell r="H315">
            <v>861.84</v>
          </cell>
          <cell r="I315">
            <v>861.84</v>
          </cell>
          <cell r="J315">
            <v>861.84</v>
          </cell>
          <cell r="K315">
            <v>861.84</v>
          </cell>
          <cell r="L315">
            <v>861.84</v>
          </cell>
          <cell r="M315">
            <v>861.84</v>
          </cell>
          <cell r="N315">
            <v>861.84</v>
          </cell>
          <cell r="O315">
            <v>861.84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7756.56</v>
          </cell>
        </row>
        <row r="316">
          <cell r="B316" t="str">
            <v>2.1.6.  Tributos s/ Faturamento</v>
          </cell>
          <cell r="G316">
            <v>13388.221023686114</v>
          </cell>
          <cell r="H316">
            <v>13786.213894396697</v>
          </cell>
          <cell r="I316">
            <v>14196.146551228598</v>
          </cell>
          <cell r="J316">
            <v>14618.377187765456</v>
          </cell>
          <cell r="K316">
            <v>15053.27474339842</v>
          </cell>
          <cell r="L316">
            <v>15501.219225700372</v>
          </cell>
          <cell r="M316">
            <v>15962.602042471384</v>
          </cell>
          <cell r="N316">
            <v>16437.826343745528</v>
          </cell>
          <cell r="O316">
            <v>16927.307374057891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135871.18838645046</v>
          </cell>
        </row>
        <row r="317">
          <cell r="B317" t="str">
            <v>2.1.7.  Seguros</v>
          </cell>
          <cell r="G317">
            <v>1514.9084753170948</v>
          </cell>
          <cell r="H317">
            <v>1558.7333295766077</v>
          </cell>
          <cell r="I317">
            <v>1603.8729294639058</v>
          </cell>
          <cell r="J317">
            <v>1650.3667173478232</v>
          </cell>
          <cell r="K317">
            <v>1698.2553188682577</v>
          </cell>
          <cell r="L317">
            <v>1747.5805784343056</v>
          </cell>
          <cell r="M317">
            <v>1798.3855957873348</v>
          </cell>
          <cell r="N317">
            <v>1850.714763660955</v>
          </cell>
          <cell r="O317">
            <v>1904.6138065707835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15327.431515027069</v>
          </cell>
        </row>
        <row r="318">
          <cell r="B318" t="str">
            <v xml:space="preserve">2.1.8.  Garantias </v>
          </cell>
          <cell r="G318">
            <v>346.56849700120341</v>
          </cell>
          <cell r="H318">
            <v>348.02335351123952</v>
          </cell>
          <cell r="I318">
            <v>349.52185571657668</v>
          </cell>
          <cell r="J318">
            <v>351.06531298807403</v>
          </cell>
          <cell r="K318">
            <v>352.6550739777162</v>
          </cell>
          <cell r="L318">
            <v>354.29252779704768</v>
          </cell>
          <cell r="M318">
            <v>355.97910523095914</v>
          </cell>
          <cell r="N318">
            <v>357.7162799878879</v>
          </cell>
          <cell r="O318">
            <v>359.50556998752461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3175.3275761982295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4643.3136498333333</v>
          </cell>
          <cell r="H327">
            <v>4781.345859328334</v>
          </cell>
          <cell r="I327">
            <v>4923.5190351081837</v>
          </cell>
          <cell r="J327">
            <v>5069.9574061614303</v>
          </cell>
          <cell r="K327">
            <v>5220.7889283462728</v>
          </cell>
          <cell r="L327">
            <v>5376.1453961966608</v>
          </cell>
          <cell r="M327">
            <v>5536.1625580825612</v>
          </cell>
          <cell r="N327">
            <v>5700.9802348250378</v>
          </cell>
          <cell r="O327">
            <v>5870.7424418697892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47122.955509751606</v>
          </cell>
        </row>
        <row r="328">
          <cell r="B328" t="str">
            <v>2.3.1.  Valor Variável da Concessão</v>
          </cell>
          <cell r="G328">
            <v>4643.3136498333333</v>
          </cell>
          <cell r="H328">
            <v>4781.345859328334</v>
          </cell>
          <cell r="I328">
            <v>4923.5190351081837</v>
          </cell>
          <cell r="J328">
            <v>5069.9574061614303</v>
          </cell>
          <cell r="K328">
            <v>5220.7889283462728</v>
          </cell>
          <cell r="L328">
            <v>5376.1453961966608</v>
          </cell>
          <cell r="M328">
            <v>5536.1625580825612</v>
          </cell>
          <cell r="N328">
            <v>5700.9802348250378</v>
          </cell>
          <cell r="O328">
            <v>5870.7424418697892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47122.955509751606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32224.019105040217</v>
          </cell>
          <cell r="H330">
            <v>33550.542828463418</v>
          </cell>
          <cell r="I330">
            <v>34916.862263589333</v>
          </cell>
          <cell r="J330">
            <v>36324.171281769013</v>
          </cell>
          <cell r="K330">
            <v>37773.699570494078</v>
          </cell>
          <cell r="L330">
            <v>39266.71370788091</v>
          </cell>
          <cell r="M330">
            <v>40804.518269389337</v>
          </cell>
          <cell r="N330">
            <v>42388.456967743019</v>
          </cell>
          <cell r="O330">
            <v>44019.913827047305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341268.89782141667</v>
          </cell>
        </row>
        <row r="331">
          <cell r="B331" t="str">
            <v xml:space="preserve">2.4.1.  Contribuição Social  </v>
          </cell>
          <cell r="G331">
            <v>7817.701601221871</v>
          </cell>
          <cell r="H331">
            <v>8139.2831099305258</v>
          </cell>
          <cell r="I331">
            <v>8470.5120639004435</v>
          </cell>
          <cell r="J331">
            <v>8811.6778864894568</v>
          </cell>
          <cell r="K331">
            <v>9163.0786837561409</v>
          </cell>
          <cell r="L331">
            <v>9525.0215049408271</v>
          </cell>
          <cell r="M331">
            <v>9897.8226107610517</v>
          </cell>
          <cell r="N331">
            <v>10281.807749755882</v>
          </cell>
          <cell r="O331">
            <v>10677.31244292056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82784.217653676766</v>
          </cell>
        </row>
        <row r="332">
          <cell r="B332" t="str">
            <v xml:space="preserve">2.4.2.  Imposto de Renda  </v>
          </cell>
          <cell r="G332">
            <v>24406.317503818347</v>
          </cell>
          <cell r="H332">
            <v>25411.259718532892</v>
          </cell>
          <cell r="I332">
            <v>26446.350199688888</v>
          </cell>
          <cell r="J332">
            <v>27512.493395279555</v>
          </cell>
          <cell r="K332">
            <v>28610.620886737939</v>
          </cell>
          <cell r="L332">
            <v>29741.692202940081</v>
          </cell>
          <cell r="M332">
            <v>30906.695658628283</v>
          </cell>
          <cell r="N332">
            <v>32106.649217987135</v>
          </cell>
          <cell r="O332">
            <v>33342.601384126749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258484.68016773989</v>
          </cell>
        </row>
        <row r="333">
          <cell r="B333" t="str">
            <v>3.  SALDO DO CAIXA     (1 - 2)</v>
          </cell>
          <cell r="G333">
            <v>65497.250910233168</v>
          </cell>
          <cell r="H333">
            <v>68190.496045668158</v>
          </cell>
          <cell r="I333">
            <v>70964.538535166212</v>
          </cell>
          <cell r="J333">
            <v>73821.802299349205</v>
          </cell>
          <cell r="K333">
            <v>76764.783976457693</v>
          </cell>
          <cell r="L333">
            <v>79796.055103879422</v>
          </cell>
          <cell r="M333">
            <v>82918.264365123789</v>
          </cell>
          <cell r="N333">
            <v>86134.139904205513</v>
          </cell>
          <cell r="O333">
            <v>89446.491709459675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693533.8228495426</v>
          </cell>
        </row>
        <row r="334">
          <cell r="B334" t="str">
            <v xml:space="preserve">4. T.I.R. (Taxa Interna de Retorno) Anual do Projeto     </v>
          </cell>
          <cell r="G334">
            <v>0.19595914572424983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Jurídico"/>
      <sheetName val="Assin Contratada"/>
      <sheetName val="Assin_Contratada"/>
      <sheetName val="Terr-preços"/>
      <sheetName val="Unit"/>
      <sheetName val="Local"/>
      <sheetName val="tabela DER julho97"/>
      <sheetName val="Plan3"/>
      <sheetName val="AVALIAÇÃO_terreno"/>
      <sheetName val="INCCTOT"/>
      <sheetName val="Assin_Contratada1"/>
      <sheetName val="tabela_DER_julho97"/>
      <sheetName val="0040"/>
      <sheetName val="Proctor BGS 2"/>
      <sheetName val="DADOS MENU"/>
      <sheetName val="P   CARGOS SAL CARAJAS "/>
      <sheetName val="Principal"/>
      <sheetName val="Proctor_BGS_2"/>
      <sheetName val="  Eco-marshall modelo "/>
      <sheetName val=" MODELO - Eco-marshall"/>
      <sheetName val=" MODELO- Eco-marshall"/>
      <sheetName val="modelo- 16-19mm - Eco-marshall"/>
      <sheetName val="modelo- Eco Marshall"/>
      <sheetName val="MATRIZ-ECO-MARSHALL"/>
      <sheetName val="Control"/>
      <sheetName val="scenario"/>
      <sheetName val="P___CARGOS_SAL_CARAJAS_"/>
      <sheetName val="Despesas"/>
      <sheetName val="Planilha1"/>
      <sheetName val="Banco de Dados - Placas"/>
      <sheetName val="RELATA VÉIO"/>
      <sheetName val="XREF"/>
      <sheetName val="Premissas"/>
      <sheetName val="OP079907"/>
      <sheetName val="Check Farol"/>
      <sheetName val="Dados"/>
      <sheetName val="Assin_Contratada2"/>
      <sheetName val="tabela_DER_julho971"/>
      <sheetName val="PLQ - Recuperação Base de Quant"/>
      <sheetName val="Métricas"/>
      <sheetName val="Recape Drenos"/>
      <sheetName val="BASE DE DADOS 1"/>
      <sheetName val="CBUQ MÊS"/>
      <sheetName val="GERAL"/>
      <sheetName val="W_Z_Q0000_Z_RTIN_01_REC_0003"/>
      <sheetName val="Padrões Horizontal"/>
      <sheetName val="M.O. - 01"/>
      <sheetName val="Resumo"/>
      <sheetName val="Controle de Contratos atualizad"/>
      <sheetName val="RELATA ANTIGO"/>
      <sheetName val="Resumo Taquaruçu 05-19"/>
      <sheetName val="Plan1"/>
      <sheetName val="Trans Assump"/>
      <sheetName val="Proctor_BGS_21"/>
      <sheetName val="DADOS_MENU"/>
      <sheetName val="P___CARGOS_SAL_CARAJAS_1"/>
      <sheetName val="__Eco-marshall_modelo_"/>
      <sheetName val="_MODELO_-_Eco-marshall"/>
      <sheetName val="_MODELO-_Eco-marshall"/>
      <sheetName val="modelo-_16-19mm_-_Eco-marshall"/>
      <sheetName val="modelo-_Eco_Marshall"/>
      <sheetName val="Assin_Contratada3"/>
      <sheetName val="tabela_DER_julho972"/>
      <sheetName val="Banco_de_Dados_-_Placas"/>
      <sheetName val="RELATA_VÉIO"/>
      <sheetName val="Check_Farol"/>
      <sheetName val="PLQ_-_Recuperação_Base_de_Quant"/>
      <sheetName val="Recape_Drenos"/>
      <sheetName val="BASE_DE_DADOS_1"/>
      <sheetName val="CBUQ_MÊS"/>
      <sheetName val="RELATA"/>
      <sheetName val="Rendimento Equipe"/>
      <sheetName val="Índice Chuva"/>
      <sheetName val="CONSSID12-96"/>
      <sheetName val="elétrica"/>
      <sheetName val="Banco de Dados - Segurança"/>
      <sheetName val="Preço dos Dispositivos"/>
      <sheetName val="resumo geral"/>
      <sheetName val="Evolução Realizado"/>
      <sheetName val="Cadastral Fonecedor"/>
      <sheetName val="Pavim-preços"/>
      <sheetName val="ABC"/>
      <sheetName val="Contr_Global"/>
      <sheetName val="Índice"/>
      <sheetName val="Projecao"/>
      <sheetName val="Anual"/>
      <sheetName val="A"/>
      <sheetName val="Parametros"/>
      <sheetName val="BR 376 Km 181,85"/>
      <sheetName val="DMT"/>
      <sheetName val="estgg"/>
      <sheetName val="mcbr"/>
      <sheetName val="#REF"/>
      <sheetName val="Rascunho"/>
      <sheetName val="samarco"/>
      <sheetName val="composições"/>
      <sheetName val="aux"/>
      <sheetName val="eaigesen"/>
      <sheetName val="1.6"/>
      <sheetName val="Compactação 100% PN"/>
      <sheetName val="Compactação 95% PN"/>
      <sheetName val="Forecasts_VDF"/>
      <sheetName val="market"/>
      <sheetName val="dados blp"/>
      <sheetName val="Cash flow"/>
      <sheetName val="RATEIO CSC"/>
      <sheetName val="RATEIO CCO"/>
      <sheetName val="Resumo 9+3"/>
      <sheetName val="RF9+3"/>
      <sheetName val="Análises"/>
      <sheetName val="Racional"/>
      <sheetName val="1. Centro de Custo"/>
      <sheetName val="Glossário"/>
      <sheetName val="1. Headcount"/>
      <sheetName val="2. Atividades e Volumetria"/>
      <sheetName val="3. ABC de Atividades"/>
      <sheetName val="4.Questionário"/>
      <sheetName val="5. Estructura de Servicios"/>
      <sheetName val="Volumetria"/>
      <sheetName val="5. ABC FTE"/>
      <sheetName val="5. ABC R$"/>
      <sheetName val="AUXILIAR"/>
      <sheetName val="apoio"/>
      <sheetName val="Base HC"/>
      <sheetName val="Auxiliar C.C."/>
      <sheetName val="Proc"/>
      <sheetName val="Evolutivo"/>
      <sheetName val="Janeiro"/>
      <sheetName val="Fevereiro"/>
      <sheetName val="Março"/>
      <sheetName val="1ºTrimestre"/>
      <sheetName val="2020 Trend"/>
      <sheetName val="B2020 Consolidated"/>
      <sheetName val="2019 Consolidated"/>
      <sheetName val="Máscara - BP"/>
      <sheetName val="Máscara - LY"/>
      <sheetName val="Máscara - YTD"/>
      <sheetName val="Máscara - Q3"/>
      <sheetName val="Máscara - BP Q3"/>
      <sheetName val="Máscara - LY Q3"/>
      <sheetName val="DNIT - Referencial"/>
    </sheetNames>
    <sheetDataSet>
      <sheetData sheetId="0" refreshError="1"/>
      <sheetData sheetId="1" refreshError="1">
        <row r="2">
          <cell r="D2" t="str">
            <v>Razão Social</v>
          </cell>
          <cell r="F2" t="str">
            <v>Objeto</v>
          </cell>
          <cell r="G2" t="str">
            <v>Área</v>
          </cell>
          <cell r="H2" t="str">
            <v>Gestor</v>
          </cell>
          <cell r="I2" t="str">
            <v>N.º Contrato</v>
          </cell>
          <cell r="J2" t="str">
            <v>Contrato/Aditivo/Encerr.</v>
          </cell>
          <cell r="K2" t="str">
            <v>Nº Aditivo</v>
          </cell>
        </row>
        <row r="3">
          <cell r="D3" t="str">
            <v>A Integração Recuperadora de Rodovias S/C Ltda</v>
          </cell>
          <cell r="F3" t="str">
            <v>Serviços de conservação civil.</v>
          </cell>
          <cell r="G3" t="str">
            <v>Conservação</v>
          </cell>
          <cell r="H3" t="str">
            <v>Nadalin</v>
          </cell>
          <cell r="I3" t="str">
            <v>ACTUA-CQ-0671/04</v>
          </cell>
          <cell r="J3" t="str">
            <v>Aditivo</v>
          </cell>
          <cell r="K3" t="str">
            <v>1º</v>
          </cell>
        </row>
        <row r="4">
          <cell r="D4" t="str">
            <v>Elena Franco Rosa Resende - ME</v>
          </cell>
          <cell r="F4" t="str">
            <v>Confecção e instalação de Gradil Orsometal de ferro chato 1' x 1/8', para proteção de Pista AVI - 01 do pedágio do km 46 da SP-270, Proteção solicitada pela Comissão da CIPA.</v>
          </cell>
          <cell r="G4" t="str">
            <v>Manutenção</v>
          </cell>
          <cell r="H4" t="str">
            <v>Savietto</v>
          </cell>
          <cell r="J4" t="str">
            <v>Contrato</v>
          </cell>
        </row>
        <row r="5">
          <cell r="D5" t="str">
            <v>Lumafran Consultoria Ltda</v>
          </cell>
          <cell r="F5" t="str">
            <v>Serviços de manutenção e suporte local e remoto de carácter especializado em banco de dados em geral.</v>
          </cell>
          <cell r="G5" t="str">
            <v>Manutenção</v>
          </cell>
          <cell r="H5" t="str">
            <v>Savietto</v>
          </cell>
          <cell r="J5" t="str">
            <v>Contrato</v>
          </cell>
        </row>
        <row r="6">
          <cell r="D6" t="str">
            <v>Marjack Moto Peças Ltda</v>
          </cell>
          <cell r="F6" t="str">
            <v>Fornecimento de peças e materiais em geral para manutenção.</v>
          </cell>
          <cell r="G6" t="str">
            <v>Manutenção</v>
          </cell>
          <cell r="H6" t="str">
            <v>Savietto</v>
          </cell>
          <cell r="J6" t="str">
            <v>Contrato</v>
          </cell>
        </row>
        <row r="7">
          <cell r="D7" t="str">
            <v xml:space="preserve">Álamo Engenharia SA </v>
          </cell>
          <cell r="F7" t="str">
            <v>Serviços de Manutenção de Sistemas Eletro-Eletrônicos para a AutoBAn, conforme os Pacotes abaixo:- Pacote C - Sistemas de emergência, grupos geradores e nobreaks;- Pacote D - Elétrica viária e predial;- Pacote E - Sistemas de climatização;- Pacotes especi</v>
          </cell>
          <cell r="G7" t="str">
            <v>Manutenção</v>
          </cell>
          <cell r="H7" t="str">
            <v>Savietto</v>
          </cell>
          <cell r="J7" t="str">
            <v>Contrato</v>
          </cell>
        </row>
        <row r="8">
          <cell r="D8" t="str">
            <v>Ultraview Sistemas, comércio e serviços Ltda ME</v>
          </cell>
          <cell r="F8" t="str">
            <v xml:space="preserve">Serviços de consultoria  em sistema eletrônicos de ITS para a Concessionária da Ponte Rio-Niterói S.A. </v>
          </cell>
          <cell r="G8" t="str">
            <v>Manutenção</v>
          </cell>
          <cell r="H8" t="str">
            <v>Savietto</v>
          </cell>
          <cell r="J8" t="str">
            <v>Contrato</v>
          </cell>
        </row>
        <row r="9">
          <cell r="D9" t="str">
            <v>Afasa Construções e Comércio Ltda</v>
          </cell>
          <cell r="F9" t="str">
            <v>Venda de equipamentos especializados para execução de selagem de trincas em pavimento asfáltico.</v>
          </cell>
          <cell r="G9" t="str">
            <v>Obras</v>
          </cell>
          <cell r="H9" t="str">
            <v>Herzen</v>
          </cell>
          <cell r="J9" t="str">
            <v>Contrato</v>
          </cell>
        </row>
        <row r="10">
          <cell r="D10" t="str">
            <v>Afasa Construções e Comércio Ltda</v>
          </cell>
          <cell r="F10" t="str">
            <v>Serviços de selagem de trincas com emprego de material asfáltico com polímetro, ao longo do pavimento da Rodovia Presidente Dutra.</v>
          </cell>
          <cell r="G10" t="str">
            <v>Obras</v>
          </cell>
          <cell r="H10" t="str">
            <v>Herzen</v>
          </cell>
          <cell r="I10" t="str">
            <v>ACTUA-CP-0282/05</v>
          </cell>
          <cell r="J10" t="str">
            <v>Contrato</v>
          </cell>
        </row>
        <row r="11">
          <cell r="D11" t="str">
            <v>Lumafran Consultoria Ltda</v>
          </cell>
          <cell r="F11" t="str">
            <v>Serviços de manutenção e suporte local e remoto de carácter especializado em banco de dados em geral.</v>
          </cell>
          <cell r="G11" t="str">
            <v>Manutenção</v>
          </cell>
          <cell r="H11" t="str">
            <v>Savietto</v>
          </cell>
          <cell r="J11" t="str">
            <v>Contrato</v>
          </cell>
        </row>
        <row r="12">
          <cell r="D12" t="str">
            <v>Jofege Pavimentação e Construção Ltda</v>
          </cell>
          <cell r="F12" t="str">
            <v>Serviços de implantação de Marginais na SP-330, Rodovia Anhanguera, entre o km 50+000 e o km 53+550 nas Pistas, Norte e Sul e entre o km 54+158 e o km 58+000 da Pista Norte.</v>
          </cell>
          <cell r="G12" t="str">
            <v>Obras</v>
          </cell>
          <cell r="H12" t="str">
            <v>Moita</v>
          </cell>
          <cell r="J12" t="str">
            <v>Contrato</v>
          </cell>
        </row>
        <row r="13">
          <cell r="D13" t="str">
            <v>Vieceli &amp; Furlan Assossiados Comércio de Serviços Ltda</v>
          </cell>
          <cell r="F13" t="str">
            <v>Desenvolvimento e fornecimento de software para contagem de veículos que utilizam sistemas de identificação automática de veículos e a instalação de duas antenas Amtech em viaduto próximo ao RJ.</v>
          </cell>
          <cell r="G13" t="str">
            <v>Manutenção</v>
          </cell>
          <cell r="H13" t="str">
            <v>Savietto</v>
          </cell>
          <cell r="J13" t="str">
            <v>Contrato</v>
          </cell>
        </row>
        <row r="14">
          <cell r="D14" t="str">
            <v>Terra Brasilis Arquitetura e Consultoria SCL</v>
          </cell>
          <cell r="F14" t="str">
            <v>Plantio de mudas de árvores de espécies nativas, baseado na técnica de sucessão secundária, num total de 4.000 mudas em Guaratinguetá na Rodovia Presidente Dutra.</v>
          </cell>
          <cell r="G14" t="str">
            <v>Ambiente</v>
          </cell>
          <cell r="H14" t="str">
            <v>Nilo</v>
          </cell>
          <cell r="J14" t="str">
            <v>Contrato</v>
          </cell>
        </row>
        <row r="15">
          <cell r="D15" t="str">
            <v>MPMEC Eletro Mecanica Ltda</v>
          </cell>
          <cell r="F15" t="str">
            <v>Serviços de conservação de estruturas metálicas localizadas na Ponte Rio Niterói.</v>
          </cell>
          <cell r="G15" t="str">
            <v>Obras</v>
          </cell>
          <cell r="H15" t="str">
            <v>Nilton</v>
          </cell>
          <cell r="J15" t="str">
            <v>Contrato</v>
          </cell>
        </row>
        <row r="16">
          <cell r="D16" t="str">
            <v>Mapylar Engenharia Ltda</v>
          </cell>
          <cell r="F16" t="str">
            <v>Serviços de Execução de dispositivos de drenagem tais como recuperação de sarjetas e implantação de meio-fio em diversos pontos ao longo da rodovia RJ-124.</v>
          </cell>
          <cell r="G16" t="str">
            <v>Manutenção</v>
          </cell>
          <cell r="H16" t="str">
            <v>Nilton</v>
          </cell>
          <cell r="J16" t="str">
            <v>Contrato</v>
          </cell>
        </row>
        <row r="17">
          <cell r="D17" t="str">
            <v>Engenharia e Construção Mectal Ltda</v>
          </cell>
          <cell r="F17" t="str">
            <v>Serviços de retirada de pórtico bandeira do canteiro de obras da manutenção elétrica,reforma e montagem do mesmo em local a ser definido pela Ponte S/A; Remoção de painel de mensagens variáveis da Av.Jansen de Melo e reinstalação do mesmo no pórtico do it</v>
          </cell>
          <cell r="G17" t="str">
            <v>Obras</v>
          </cell>
          <cell r="H17" t="str">
            <v>Nilton</v>
          </cell>
          <cell r="J17" t="str">
            <v>Contrato</v>
          </cell>
        </row>
        <row r="18">
          <cell r="D18" t="str">
            <v>Sinalta Propista Sinalização, Segurança e Comunicação Visual Ltda</v>
          </cell>
          <cell r="F18" t="str">
            <v>Confecção e implantação de Sinalização Vertical para a Rodovia Presidente Dutra, trechos de São Paulo e Rio de Janeiro.</v>
          </cell>
          <cell r="G18" t="str">
            <v>Obras</v>
          </cell>
          <cell r="H18" t="str">
            <v>Herzen</v>
          </cell>
          <cell r="J18" t="str">
            <v>Contrato</v>
          </cell>
        </row>
        <row r="19">
          <cell r="D19" t="str">
            <v>VCS -Vitória Construções e Serviços Ltda</v>
          </cell>
          <cell r="F19" t="str">
            <v>Serviços de Implantação do Ramo 831 e Acesso Local,localizados no Km 216+700/SP, Pista Norte</v>
          </cell>
          <cell r="G19" t="str">
            <v>Obras</v>
          </cell>
          <cell r="H19" t="str">
            <v>Herzen</v>
          </cell>
          <cell r="J19" t="str">
            <v>Contrato</v>
          </cell>
        </row>
        <row r="21">
          <cell r="I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D6" t="str">
            <v>E-mail</v>
          </cell>
        </row>
      </sheetData>
      <sheetData sheetId="28" refreshError="1"/>
      <sheetData sheetId="29">
        <row r="6">
          <cell r="D6" t="str">
            <v>E-mail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">
          <cell r="D2">
            <v>0</v>
          </cell>
        </row>
      </sheetData>
      <sheetData sheetId="38">
        <row r="2">
          <cell r="D2">
            <v>0</v>
          </cell>
        </row>
      </sheetData>
      <sheetData sheetId="39">
        <row r="2">
          <cell r="D2">
            <v>0</v>
          </cell>
        </row>
      </sheetData>
      <sheetData sheetId="40">
        <row r="2">
          <cell r="D2">
            <v>0</v>
          </cell>
        </row>
      </sheetData>
      <sheetData sheetId="41">
        <row r="2">
          <cell r="D2">
            <v>0</v>
          </cell>
        </row>
      </sheetData>
      <sheetData sheetId="42">
        <row r="2">
          <cell r="D2">
            <v>0</v>
          </cell>
        </row>
      </sheetData>
      <sheetData sheetId="43">
        <row r="2">
          <cell r="D2">
            <v>0</v>
          </cell>
        </row>
      </sheetData>
      <sheetData sheetId="44" refreshError="1"/>
      <sheetData sheetId="45">
        <row r="2">
          <cell r="D2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">
          <cell r="D2">
            <v>0</v>
          </cell>
        </row>
      </sheetData>
      <sheetData sheetId="55">
        <row r="2">
          <cell r="D2">
            <v>0</v>
          </cell>
        </row>
      </sheetData>
      <sheetData sheetId="56">
        <row r="2">
          <cell r="D2">
            <v>0</v>
          </cell>
        </row>
      </sheetData>
      <sheetData sheetId="57">
        <row r="2">
          <cell r="D2">
            <v>0</v>
          </cell>
        </row>
      </sheetData>
      <sheetData sheetId="58">
        <row r="2">
          <cell r="D2">
            <v>0</v>
          </cell>
        </row>
      </sheetData>
      <sheetData sheetId="59">
        <row r="6">
          <cell r="D6" t="str">
            <v>E-mail</v>
          </cell>
        </row>
      </sheetData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/>
      <sheetData sheetId="63"/>
      <sheetData sheetId="64"/>
      <sheetData sheetId="65">
        <row r="7">
          <cell r="D7" t="str">
            <v>JAN</v>
          </cell>
        </row>
      </sheetData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>
        <row r="2">
          <cell r="F2">
            <v>0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2">
          <cell r="G2" t="str">
            <v>Jan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全状況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remissas"/>
      <sheetName val="Resumo"/>
      <sheetName val="Outorga"/>
      <sheetName val="Premissas"/>
      <sheetName val="Projeções em R$"/>
      <sheetName val="Fin 1 Água"/>
      <sheetName val="Fin 1 Esgoto"/>
      <sheetName val="Fin 2 Água"/>
      <sheetName val="Fin 2 Esgoto"/>
      <sheetName val="Fin Ponte"/>
      <sheetName val="Fin 1 Com"/>
      <sheetName val="Fin 2 Com"/>
      <sheetName val="Fin 3 Com"/>
      <sheetName val="Fin 4 Com"/>
      <sheetName val="Checagem"/>
      <sheetName val="Depreciação"/>
      <sheetName val="Populações"/>
      <sheetName val="Parâmetros"/>
      <sheetName val="Projeção"/>
      <sheetName val="Receita "/>
      <sheetName val="Dados base transfer"/>
      <sheetName val="histograma com aumento"/>
      <sheetName val="Histograma 2010"/>
      <sheetName val="Histograma 2011"/>
      <sheetName val="Histograma 2012"/>
      <sheetName val="Obras Água"/>
      <sheetName val="Obras Esgoto"/>
      <sheetName val="Despesa"/>
      <sheetName val="Transfer para PN"/>
      <sheetName val="Descrição Sist"/>
      <sheetName val="organograma"/>
      <sheetName val="Dimensiomento Pessoal e Carros"/>
      <sheetName val="Salários"/>
      <sheetName val="Água_Prod"/>
      <sheetName val="Água_Distr"/>
      <sheetName val="Esgoto_Col"/>
      <sheetName val="Esgoto_Trat"/>
      <sheetName val="Comercial"/>
      <sheetName val="Administrativo"/>
      <sheetName val="Gestão"/>
      <sheetName val="Diversos"/>
      <sheetName val="Indicador"/>
      <sheetName val="Plan1"/>
    </sheetNames>
    <sheetDataSet>
      <sheetData sheetId="0">
        <row r="33">
          <cell r="D33">
            <v>2.81E-2</v>
          </cell>
        </row>
      </sheetData>
      <sheetData sheetId="1">
        <row r="349">
          <cell r="D349" t="str">
            <v>ESAP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1">
          <cell r="B11">
            <v>2012</v>
          </cell>
        </row>
      </sheetData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4.458_04-L1"/>
      <sheetName val="DAEE 23.348_04"/>
      <sheetName val="272_97"/>
      <sheetName val="84.508_96"/>
      <sheetName val="84.509_96"/>
      <sheetName val="84.510_96"/>
      <sheetName val="94.500_96"/>
      <sheetName val="94.501_96"/>
      <sheetName val="94.502_96"/>
      <sheetName val="94.503_96"/>
      <sheetName val="94.504_96"/>
      <sheetName val="94.506_96"/>
      <sheetName val="94.507_96"/>
      <sheetName val="94.508_96"/>
      <sheetName val="94.509_96"/>
      <sheetName val="94.510_96"/>
      <sheetName val="94.512_96"/>
      <sheetName val="94.513_96"/>
      <sheetName val="94.515_96"/>
      <sheetName val="94.516_96"/>
      <sheetName val="94.517_96"/>
      <sheetName val="94.518_96"/>
      <sheetName val="94.521_96"/>
      <sheetName val="96.001_96"/>
      <sheetName val="96.003_96"/>
      <sheetName val="am2bc"/>
      <sheetName val="am1p"/>
      <sheetName val="am2p"/>
      <sheetName val="am3p"/>
      <sheetName val="2.365_97"/>
      <sheetName val="am1at"/>
      <sheetName val="am3at"/>
      <sheetName val="am7at"/>
      <sheetName val="am8at"/>
      <sheetName val="am1rg"/>
      <sheetName val="am2rg"/>
      <sheetName val="am3rg"/>
      <sheetName val="am1rc"/>
      <sheetName val="am2rc"/>
      <sheetName val="am3rc"/>
      <sheetName val="am4rc"/>
      <sheetName val="am7g"/>
      <sheetName val="am8g"/>
      <sheetName val="1.079_97"/>
      <sheetName val="1.079_97-A"/>
      <sheetName val="1.079_97-B"/>
      <sheetName val="1.079_97-C"/>
      <sheetName val="am3c"/>
      <sheetName val="am8c"/>
      <sheetName val="6.371_97"/>
      <sheetName val="3.256_97"/>
      <sheetName val="am11c"/>
      <sheetName val="am12C"/>
      <sheetName val="3.461_97"/>
      <sheetName val="4.704_97"/>
      <sheetName val="6.210_97"/>
      <sheetName val="7187_97"/>
      <sheetName val="10812_97"/>
      <sheetName val="10101_97"/>
      <sheetName val="10109_98"/>
      <sheetName val="1044_93"/>
      <sheetName val="10787_97"/>
      <sheetName val="11611_97"/>
      <sheetName val="11612_97"/>
      <sheetName val="11683_97"/>
      <sheetName val="Cia_Suzano"/>
      <sheetName val="75621_96"/>
      <sheetName val="11.977_97"/>
      <sheetName val="am4c"/>
      <sheetName val="AM1AC"/>
      <sheetName val="AM2C"/>
      <sheetName val="9.452_98"/>
      <sheetName val="AM7C"/>
      <sheetName val="11461_98"/>
      <sheetName val="5391_98"/>
      <sheetName val="am11g"/>
      <sheetName val="AM12G"/>
      <sheetName val="9425_98"/>
      <sheetName val="9675_98"/>
      <sheetName val="5595_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RODUT MENSAL"/>
      <sheetName val="PRODUÇÃO ACUM"/>
      <sheetName val="CUSTO MÉD ACUM"/>
      <sheetName val="Produt JAN"/>
      <sheetName val="Produt FEV"/>
      <sheetName val="Produt MAR"/>
      <sheetName val="Produt ABR"/>
      <sheetName val="Produt MAI"/>
      <sheetName val="Produt JUN"/>
      <sheetName val="Produt JUL"/>
      <sheetName val="Produt AGO"/>
      <sheetName val="Produt SET"/>
      <sheetName val="Produt OUT"/>
      <sheetName val="Produt NOV"/>
      <sheetName val="Produt DEZ"/>
      <sheetName val="MACROS"/>
    </sheetNames>
    <sheetDataSet>
      <sheetData sheetId="0" refreshError="1">
        <row r="1">
          <cell r="A1" t="str">
            <v>ACOMPANHAMENTO DAS METAS</v>
          </cell>
        </row>
        <row r="13">
          <cell r="A13">
            <v>1998</v>
          </cell>
          <cell r="K13" t="e">
            <v>#N/A</v>
          </cell>
          <cell r="T13" t="e">
            <v>#N/A</v>
          </cell>
        </row>
        <row r="14">
          <cell r="A14">
            <v>1999</v>
          </cell>
          <cell r="K14" t="e">
            <v>#N/A</v>
          </cell>
          <cell r="T14" t="e">
            <v>#N/A</v>
          </cell>
        </row>
        <row r="15">
          <cell r="A15" t="str">
            <v>JAN</v>
          </cell>
          <cell r="E15">
            <v>0.36</v>
          </cell>
          <cell r="G15">
            <v>30016</v>
          </cell>
          <cell r="J15">
            <v>77327</v>
          </cell>
          <cell r="L15">
            <v>30016</v>
          </cell>
          <cell r="M15" t="e">
            <v>#N/A</v>
          </cell>
          <cell r="O15">
            <v>77327</v>
          </cell>
          <cell r="P15">
            <v>30016</v>
          </cell>
          <cell r="Q15" t="e">
            <v>#N/A</v>
          </cell>
          <cell r="S15">
            <v>0.45999999999999996</v>
          </cell>
          <cell r="U15">
            <v>0.31</v>
          </cell>
          <cell r="V15">
            <v>0.31</v>
          </cell>
          <cell r="W15" t="e">
            <v>#N/A</v>
          </cell>
        </row>
        <row r="16">
          <cell r="A16" t="str">
            <v>FEV</v>
          </cell>
          <cell r="E16">
            <v>0.36</v>
          </cell>
          <cell r="G16">
            <v>51760</v>
          </cell>
          <cell r="J16">
            <v>69594.5</v>
          </cell>
          <cell r="L16">
            <v>40888</v>
          </cell>
          <cell r="M16" t="e">
            <v>#N/A</v>
          </cell>
          <cell r="O16">
            <v>139189</v>
          </cell>
          <cell r="P16">
            <v>81776</v>
          </cell>
          <cell r="Q16" t="e">
            <v>#N/A</v>
          </cell>
          <cell r="S16">
            <v>0.46</v>
          </cell>
          <cell r="U16">
            <v>0.25</v>
          </cell>
          <cell r="V16">
            <v>0.27202308745842302</v>
          </cell>
          <cell r="W16" t="e">
            <v>#N/A</v>
          </cell>
        </row>
        <row r="17">
          <cell r="A17" t="str">
            <v>MAR</v>
          </cell>
          <cell r="E17">
            <v>0.36</v>
          </cell>
          <cell r="G17">
            <v>68112</v>
          </cell>
          <cell r="J17">
            <v>77327.333333333328</v>
          </cell>
          <cell r="L17">
            <v>49962.666666666664</v>
          </cell>
          <cell r="M17" t="e">
            <v>#N/A</v>
          </cell>
          <cell r="O17">
            <v>231982</v>
          </cell>
          <cell r="P17">
            <v>149888</v>
          </cell>
          <cell r="Q17" t="e">
            <v>#N/A</v>
          </cell>
          <cell r="S17">
            <v>0.46</v>
          </cell>
          <cell r="U17">
            <v>0.32</v>
          </cell>
          <cell r="V17">
            <v>0.29382472245943642</v>
          </cell>
          <cell r="W17" t="e">
            <v>#N/A</v>
          </cell>
        </row>
        <row r="18">
          <cell r="A18" t="str">
            <v>ABR</v>
          </cell>
          <cell r="E18">
            <v>0.36</v>
          </cell>
          <cell r="G18">
            <v>125376</v>
          </cell>
          <cell r="J18">
            <v>86348.75</v>
          </cell>
          <cell r="L18">
            <v>68816</v>
          </cell>
          <cell r="M18">
            <v>68816</v>
          </cell>
          <cell r="O18">
            <v>345395</v>
          </cell>
          <cell r="P18">
            <v>275264</v>
          </cell>
          <cell r="Q18">
            <v>275264</v>
          </cell>
          <cell r="S18">
            <v>0.46656714775836361</v>
          </cell>
          <cell r="U18">
            <v>0.21</v>
          </cell>
          <cell r="V18">
            <v>0.25564461753080681</v>
          </cell>
          <cell r="W18">
            <v>0.25564461753080681</v>
          </cell>
        </row>
        <row r="19">
          <cell r="A19" t="str">
            <v>MAI</v>
          </cell>
          <cell r="E19">
            <v>0.36</v>
          </cell>
          <cell r="J19">
            <v>94854.8</v>
          </cell>
          <cell r="L19" t="e">
            <v>#N/A</v>
          </cell>
          <cell r="M19">
            <v>109395.8</v>
          </cell>
          <cell r="O19">
            <v>474274</v>
          </cell>
          <cell r="P19" t="e">
            <v>#N/A</v>
          </cell>
          <cell r="Q19">
            <v>421603</v>
          </cell>
          <cell r="S19">
            <v>0.47021738488721709</v>
          </cell>
          <cell r="U19" t="e">
            <v>#N/A</v>
          </cell>
          <cell r="V19" t="e">
            <v>#N/A</v>
          </cell>
          <cell r="W19">
            <v>0.33351868938314011</v>
          </cell>
        </row>
        <row r="20">
          <cell r="A20" t="str">
            <v>JUN</v>
          </cell>
          <cell r="E20">
            <v>0.36</v>
          </cell>
          <cell r="J20">
            <v>100542</v>
          </cell>
          <cell r="L20" t="e">
            <v>#N/A</v>
          </cell>
          <cell r="M20">
            <v>115553</v>
          </cell>
          <cell r="O20">
            <v>603252</v>
          </cell>
          <cell r="P20" t="e">
            <v>#N/A</v>
          </cell>
          <cell r="Q20">
            <v>567942</v>
          </cell>
          <cell r="S20">
            <v>0.47230895214603519</v>
          </cell>
          <cell r="U20" t="e">
            <v>#N/A</v>
          </cell>
          <cell r="V20" t="e">
            <v>#N/A</v>
          </cell>
          <cell r="W20">
            <v>0.37126185420342223</v>
          </cell>
        </row>
        <row r="21">
          <cell r="A21" t="str">
            <v>JUL</v>
          </cell>
          <cell r="E21">
            <v>0.36</v>
          </cell>
          <cell r="J21">
            <v>103860.71428571429</v>
          </cell>
          <cell r="L21" t="e">
            <v>#N/A</v>
          </cell>
          <cell r="M21">
            <v>121623.42857142857</v>
          </cell>
          <cell r="O21">
            <v>727025</v>
          </cell>
          <cell r="P21" t="e">
            <v>#N/A</v>
          </cell>
          <cell r="Q21">
            <v>725988</v>
          </cell>
          <cell r="S21">
            <v>0.4736183212406726</v>
          </cell>
          <cell r="U21" t="e">
            <v>#N/A</v>
          </cell>
          <cell r="V21" t="e">
            <v>#N/A</v>
          </cell>
          <cell r="W21">
            <v>0.39493391075334583</v>
          </cell>
        </row>
        <row r="22">
          <cell r="A22" t="str">
            <v>AGO</v>
          </cell>
          <cell r="J22" t="e">
            <v>#N/A</v>
          </cell>
          <cell r="L22" t="e">
            <v>#N/A</v>
          </cell>
          <cell r="M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S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A23" t="str">
            <v>SET</v>
          </cell>
          <cell r="J23" t="e">
            <v>#N/A</v>
          </cell>
          <cell r="L23" t="e">
            <v>#N/A</v>
          </cell>
          <cell r="M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S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A24" t="str">
            <v>OUT</v>
          </cell>
          <cell r="J24" t="e">
            <v>#N/A</v>
          </cell>
          <cell r="L24" t="e">
            <v>#N/A</v>
          </cell>
          <cell r="M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S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A25" t="str">
            <v>NOV</v>
          </cell>
          <cell r="J25" t="e">
            <v>#N/A</v>
          </cell>
          <cell r="L25" t="e">
            <v>#N/A</v>
          </cell>
          <cell r="M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S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A26" t="str">
            <v>DEZ</v>
          </cell>
          <cell r="J26" t="e">
            <v>#N/A</v>
          </cell>
          <cell r="L26" t="e">
            <v>#N/A</v>
          </cell>
          <cell r="M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S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8">
          <cell r="J28">
            <v>0</v>
          </cell>
          <cell r="K28">
            <v>0</v>
          </cell>
          <cell r="L28">
            <v>1</v>
          </cell>
          <cell r="O28">
            <v>0</v>
          </cell>
          <cell r="P28">
            <v>0</v>
          </cell>
          <cell r="Q28">
            <v>1</v>
          </cell>
          <cell r="S28">
            <v>1</v>
          </cell>
          <cell r="T28">
            <v>0</v>
          </cell>
          <cell r="U28">
            <v>0</v>
          </cell>
        </row>
        <row r="30">
          <cell r="J30">
            <v>1</v>
          </cell>
          <cell r="K30">
            <v>0</v>
          </cell>
          <cell r="L30">
            <v>0</v>
          </cell>
          <cell r="O30">
            <v>0</v>
          </cell>
          <cell r="P30">
            <v>1</v>
          </cell>
          <cell r="Q30">
            <v>0</v>
          </cell>
          <cell r="S30">
            <v>1</v>
          </cell>
          <cell r="T30">
            <v>0</v>
          </cell>
          <cell r="U30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2">
          <cell r="J2" t="str">
            <v>ACOMPANHAMENTO DAS METAS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 t="e">
            <v>#N/A</v>
          </cell>
          <cell r="AK42" t="e">
            <v>#N/A</v>
          </cell>
        </row>
        <row r="43">
          <cell r="AE43">
            <v>0</v>
          </cell>
          <cell r="AF43" t="e">
            <v>#N/A</v>
          </cell>
          <cell r="AG43">
            <v>0</v>
          </cell>
          <cell r="AH43" t="e">
            <v>#DIV/0!</v>
          </cell>
          <cell r="AJ43" t="e">
            <v>#N/A</v>
          </cell>
          <cell r="AK43" t="e">
            <v>#N/A</v>
          </cell>
        </row>
        <row r="44">
          <cell r="AE44">
            <v>0</v>
          </cell>
          <cell r="AF44" t="e">
            <v>#N/A</v>
          </cell>
          <cell r="AG44">
            <v>0</v>
          </cell>
          <cell r="AH44" t="e">
            <v>#DIV/0!</v>
          </cell>
          <cell r="AJ44">
            <v>0</v>
          </cell>
          <cell r="AK44">
            <v>0</v>
          </cell>
        </row>
        <row r="46">
          <cell r="J46" t="e">
            <v>#N/A</v>
          </cell>
          <cell r="K46" t="e">
            <v>#N/A</v>
          </cell>
          <cell r="L46" t="e">
            <v>#N/A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5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>
            <v>0</v>
          </cell>
          <cell r="AK42">
            <v>0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6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 t="e">
            <v>#N/A</v>
          </cell>
          <cell r="AK42" t="e">
            <v>#N/A</v>
          </cell>
        </row>
        <row r="43">
          <cell r="AE43">
            <v>0</v>
          </cell>
          <cell r="AF43" t="e">
            <v>#N/A</v>
          </cell>
          <cell r="AG43">
            <v>0</v>
          </cell>
          <cell r="AH43" t="e">
            <v>#DIV/0!</v>
          </cell>
          <cell r="AJ43" t="e">
            <v>#N/A</v>
          </cell>
          <cell r="AK43" t="e">
            <v>#N/A</v>
          </cell>
        </row>
        <row r="44">
          <cell r="AE44">
            <v>0</v>
          </cell>
          <cell r="AF44" t="e">
            <v>#N/A</v>
          </cell>
          <cell r="AG44">
            <v>0</v>
          </cell>
          <cell r="AH44" t="e">
            <v>#DIV/0!</v>
          </cell>
          <cell r="AJ44">
            <v>0</v>
          </cell>
          <cell r="AK44">
            <v>0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7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 t="e">
            <v>#N/A</v>
          </cell>
          <cell r="AK42" t="e">
            <v>#N/A</v>
          </cell>
        </row>
        <row r="43">
          <cell r="AE43">
            <v>0</v>
          </cell>
          <cell r="AF43" t="e">
            <v>#N/A</v>
          </cell>
          <cell r="AG43">
            <v>0</v>
          </cell>
          <cell r="AH43" t="e">
            <v>#DIV/0!</v>
          </cell>
          <cell r="AJ43">
            <v>0</v>
          </cell>
          <cell r="AK43">
            <v>0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8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 t="e">
            <v>#N/A</v>
          </cell>
          <cell r="AK42" t="e">
            <v>#N/A</v>
          </cell>
        </row>
        <row r="43">
          <cell r="AE43">
            <v>0</v>
          </cell>
          <cell r="AF43" t="e">
            <v>#N/A</v>
          </cell>
          <cell r="AG43">
            <v>0</v>
          </cell>
          <cell r="AH43" t="e">
            <v>#DIV/0!</v>
          </cell>
          <cell r="AJ43" t="e">
            <v>#N/A</v>
          </cell>
          <cell r="AK43" t="e">
            <v>#N/A</v>
          </cell>
        </row>
        <row r="44">
          <cell r="AE44">
            <v>0</v>
          </cell>
          <cell r="AF44" t="e">
            <v>#N/A</v>
          </cell>
          <cell r="AG44">
            <v>0</v>
          </cell>
          <cell r="AH44" t="e">
            <v>#DIV/0!</v>
          </cell>
          <cell r="AJ44">
            <v>0</v>
          </cell>
          <cell r="AK44">
            <v>0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9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D14">
            <v>6500</v>
          </cell>
          <cell r="AE14">
            <v>7000</v>
          </cell>
          <cell r="AF14">
            <v>6500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D15">
            <v>4800</v>
          </cell>
          <cell r="AE15">
            <v>7000</v>
          </cell>
          <cell r="AF15">
            <v>5650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>
            <v>7000</v>
          </cell>
          <cell r="AF16">
            <v>5650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>
            <v>7000</v>
          </cell>
          <cell r="AF17">
            <v>5650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D18">
            <v>5200</v>
          </cell>
          <cell r="AE18">
            <v>7000</v>
          </cell>
          <cell r="AF18">
            <v>5500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D19">
            <v>7000</v>
          </cell>
          <cell r="AE19">
            <v>7000</v>
          </cell>
          <cell r="AF19">
            <v>5875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D20">
            <v>7500</v>
          </cell>
          <cell r="AE20">
            <v>7000</v>
          </cell>
          <cell r="AF20">
            <v>6200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D21">
            <v>8000</v>
          </cell>
          <cell r="AE21">
            <v>7000</v>
          </cell>
          <cell r="AF21">
            <v>6500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D22">
            <v>7500</v>
          </cell>
          <cell r="AE22">
            <v>7000</v>
          </cell>
          <cell r="AF22">
            <v>6642.8571428571431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>
            <v>7000</v>
          </cell>
          <cell r="AF23">
            <v>6642.8571428571431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>
            <v>7000</v>
          </cell>
          <cell r="AF24">
            <v>6642.8571428571431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D25">
            <v>4500</v>
          </cell>
          <cell r="AE25">
            <v>7000</v>
          </cell>
          <cell r="AF25">
            <v>6375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D26">
            <v>4900</v>
          </cell>
          <cell r="AE26">
            <v>7000</v>
          </cell>
          <cell r="AF26">
            <v>6211.1111111111113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D27">
            <v>4800</v>
          </cell>
          <cell r="AE27">
            <v>7000</v>
          </cell>
          <cell r="AF27">
            <v>6070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D28">
            <v>5700</v>
          </cell>
          <cell r="AE28">
            <v>7000</v>
          </cell>
          <cell r="AF28">
            <v>6036.363636363636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D29">
            <v>6500</v>
          </cell>
          <cell r="AE29">
            <v>7000</v>
          </cell>
          <cell r="AF29">
            <v>6075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>
            <v>7000</v>
          </cell>
          <cell r="AF30">
            <v>6075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>
            <v>7000</v>
          </cell>
          <cell r="AF31">
            <v>6075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D32">
            <v>7200</v>
          </cell>
          <cell r="AE32">
            <v>7000</v>
          </cell>
          <cell r="AF32">
            <v>6161.5384615384619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D33">
            <v>7500</v>
          </cell>
          <cell r="AE33">
            <v>7000</v>
          </cell>
          <cell r="AF33">
            <v>6257.1428571428569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D34">
            <v>6800</v>
          </cell>
          <cell r="AE34">
            <v>7000</v>
          </cell>
          <cell r="AF34">
            <v>6293.333333333333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D35">
            <v>6900</v>
          </cell>
          <cell r="AE35">
            <v>7000</v>
          </cell>
          <cell r="AF35">
            <v>6331.25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D36">
            <v>6522</v>
          </cell>
          <cell r="AE36">
            <v>7000</v>
          </cell>
          <cell r="AF36">
            <v>6342.4705882352937</v>
          </cell>
          <cell r="AG36">
            <v>6342.4705882352937</v>
          </cell>
          <cell r="AH36">
            <v>6342.4705882352937</v>
          </cell>
          <cell r="AJ36" t="e">
            <v>#N/A</v>
          </cell>
          <cell r="AK36" t="e">
            <v>#N/A</v>
          </cell>
        </row>
        <row r="37">
          <cell r="AE37">
            <v>7000</v>
          </cell>
          <cell r="AF37" t="e">
            <v>#N/A</v>
          </cell>
          <cell r="AG37">
            <v>6715.5570934256057</v>
          </cell>
          <cell r="AH37">
            <v>6885.7411764705885</v>
          </cell>
          <cell r="AJ37" t="e">
            <v>#N/A</v>
          </cell>
          <cell r="AK37" t="e">
            <v>#N/A</v>
          </cell>
        </row>
        <row r="38">
          <cell r="AE38">
            <v>7000</v>
          </cell>
          <cell r="AF38" t="e">
            <v>#N/A</v>
          </cell>
          <cell r="AG38">
            <v>7088.6435986159177</v>
          </cell>
          <cell r="AH38">
            <v>7429.0117647058833</v>
          </cell>
          <cell r="AJ38" t="e">
            <v>#N/A</v>
          </cell>
          <cell r="AK38" t="e">
            <v>#N/A</v>
          </cell>
        </row>
        <row r="39">
          <cell r="AE39">
            <v>7000</v>
          </cell>
          <cell r="AF39" t="e">
            <v>#N/A</v>
          </cell>
          <cell r="AG39">
            <v>7047.1895424836612</v>
          </cell>
          <cell r="AH39">
            <v>7529.3777777777786</v>
          </cell>
          <cell r="AJ39" t="e">
            <v>#N/A</v>
          </cell>
          <cell r="AK39" t="e">
            <v>#N/A</v>
          </cell>
        </row>
        <row r="40">
          <cell r="AE40">
            <v>7000</v>
          </cell>
          <cell r="AF40" t="e">
            <v>#N/A</v>
          </cell>
          <cell r="AG40">
            <v>7010.0990712074317</v>
          </cell>
          <cell r="AH40">
            <v>7619.1789473684221</v>
          </cell>
          <cell r="AJ40" t="e">
            <v>#N/A</v>
          </cell>
          <cell r="AK40" t="e">
            <v>#N/A</v>
          </cell>
        </row>
        <row r="41">
          <cell r="AE41">
            <v>7000</v>
          </cell>
          <cell r="AF41" t="e">
            <v>#N/A</v>
          </cell>
          <cell r="AG41">
            <v>6976.7176470588256</v>
          </cell>
          <cell r="AH41">
            <v>7700.0000000000018</v>
          </cell>
          <cell r="AJ41" t="e">
            <v>#N/A</v>
          </cell>
          <cell r="AK41" t="e">
            <v>#N/A</v>
          </cell>
        </row>
        <row r="42">
          <cell r="AE42">
            <v>7000</v>
          </cell>
          <cell r="AF42" t="e">
            <v>#N/A</v>
          </cell>
          <cell r="AG42">
            <v>6946.5154061624671</v>
          </cell>
          <cell r="AH42">
            <v>7773.1238095238114</v>
          </cell>
          <cell r="AJ42" t="e">
            <v>#N/A</v>
          </cell>
          <cell r="AK42" t="e">
            <v>#N/A</v>
          </cell>
        </row>
        <row r="43">
          <cell r="AE43">
            <v>7000</v>
          </cell>
          <cell r="AF43" t="e">
            <v>#N/A</v>
          </cell>
          <cell r="AG43">
            <v>6919.0588235294135</v>
          </cell>
          <cell r="AH43">
            <v>7839.6000000000022</v>
          </cell>
          <cell r="AJ43">
            <v>7000</v>
          </cell>
          <cell r="AK43">
            <v>6919.0588235294135</v>
          </cell>
        </row>
        <row r="48">
          <cell r="J48">
            <v>0</v>
          </cell>
          <cell r="K48">
            <v>1</v>
          </cell>
          <cell r="L48">
            <v>0</v>
          </cell>
        </row>
      </sheetData>
      <sheetData sheetId="10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6342.4705882352937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 t="e">
            <v>#N/A</v>
          </cell>
          <cell r="AK14" t="e">
            <v>#N/A</v>
          </cell>
        </row>
        <row r="15">
          <cell r="AE15">
            <v>0</v>
          </cell>
          <cell r="AF15" t="e">
            <v>#N/A</v>
          </cell>
          <cell r="AG15">
            <v>0</v>
          </cell>
          <cell r="AH15" t="e">
            <v>#DIV/0!</v>
          </cell>
          <cell r="AJ15" t="e">
            <v>#N/A</v>
          </cell>
          <cell r="AK15" t="e">
            <v>#N/A</v>
          </cell>
        </row>
        <row r="16">
          <cell r="AE16">
            <v>0</v>
          </cell>
          <cell r="AF16" t="e">
            <v>#N/A</v>
          </cell>
          <cell r="AG16">
            <v>0</v>
          </cell>
          <cell r="AH16" t="e">
            <v>#DIV/0!</v>
          </cell>
          <cell r="AJ16" t="e">
            <v>#N/A</v>
          </cell>
          <cell r="AK16" t="e">
            <v>#N/A</v>
          </cell>
        </row>
        <row r="17">
          <cell r="AE17">
            <v>0</v>
          </cell>
          <cell r="AF17" t="e">
            <v>#N/A</v>
          </cell>
          <cell r="AG17">
            <v>0</v>
          </cell>
          <cell r="AH17" t="e">
            <v>#DIV/0!</v>
          </cell>
          <cell r="AJ17" t="e">
            <v>#N/A</v>
          </cell>
          <cell r="AK17" t="e">
            <v>#N/A</v>
          </cell>
        </row>
        <row r="18">
          <cell r="AE18">
            <v>0</v>
          </cell>
          <cell r="AF18" t="e">
            <v>#N/A</v>
          </cell>
          <cell r="AG18">
            <v>0</v>
          </cell>
          <cell r="AH18" t="e">
            <v>#DIV/0!</v>
          </cell>
          <cell r="AJ18" t="e">
            <v>#N/A</v>
          </cell>
          <cell r="AK18" t="e">
            <v>#N/A</v>
          </cell>
        </row>
        <row r="19">
          <cell r="AE19">
            <v>0</v>
          </cell>
          <cell r="AF19" t="e">
            <v>#N/A</v>
          </cell>
          <cell r="AG19">
            <v>0</v>
          </cell>
          <cell r="AH19" t="e">
            <v>#DIV/0!</v>
          </cell>
          <cell r="AJ19" t="e">
            <v>#N/A</v>
          </cell>
          <cell r="AK19" t="e">
            <v>#N/A</v>
          </cell>
        </row>
        <row r="20">
          <cell r="AE20">
            <v>0</v>
          </cell>
          <cell r="AF20" t="e">
            <v>#N/A</v>
          </cell>
          <cell r="AG20">
            <v>0</v>
          </cell>
          <cell r="AH20" t="e">
            <v>#DIV/0!</v>
          </cell>
          <cell r="AJ20" t="e">
            <v>#N/A</v>
          </cell>
          <cell r="AK20" t="e">
            <v>#N/A</v>
          </cell>
        </row>
        <row r="21">
          <cell r="AE21">
            <v>0</v>
          </cell>
          <cell r="AF21" t="e">
            <v>#N/A</v>
          </cell>
          <cell r="AG21">
            <v>0</v>
          </cell>
          <cell r="AH21" t="e">
            <v>#DIV/0!</v>
          </cell>
          <cell r="AJ21" t="e">
            <v>#N/A</v>
          </cell>
          <cell r="AK21" t="e">
            <v>#N/A</v>
          </cell>
        </row>
        <row r="22">
          <cell r="AE22">
            <v>0</v>
          </cell>
          <cell r="AF22" t="e">
            <v>#N/A</v>
          </cell>
          <cell r="AG22">
            <v>0</v>
          </cell>
          <cell r="AH22" t="e">
            <v>#DIV/0!</v>
          </cell>
          <cell r="AJ22" t="e">
            <v>#N/A</v>
          </cell>
          <cell r="AK22" t="e">
            <v>#N/A</v>
          </cell>
        </row>
        <row r="23">
          <cell r="AE23">
            <v>0</v>
          </cell>
          <cell r="AF23" t="e">
            <v>#N/A</v>
          </cell>
          <cell r="AG23">
            <v>0</v>
          </cell>
          <cell r="AH23" t="e">
            <v>#DIV/0!</v>
          </cell>
          <cell r="AJ23" t="e">
            <v>#N/A</v>
          </cell>
          <cell r="AK23" t="e">
            <v>#N/A</v>
          </cell>
        </row>
        <row r="24">
          <cell r="AE24">
            <v>0</v>
          </cell>
          <cell r="AF24" t="e">
            <v>#N/A</v>
          </cell>
          <cell r="AG24">
            <v>0</v>
          </cell>
          <cell r="AH24" t="e">
            <v>#DIV/0!</v>
          </cell>
          <cell r="AJ24" t="e">
            <v>#N/A</v>
          </cell>
          <cell r="AK24" t="e">
            <v>#N/A</v>
          </cell>
        </row>
        <row r="25">
          <cell r="AE25">
            <v>0</v>
          </cell>
          <cell r="AF25" t="e">
            <v>#N/A</v>
          </cell>
          <cell r="AG25">
            <v>0</v>
          </cell>
          <cell r="AH25" t="e">
            <v>#DIV/0!</v>
          </cell>
          <cell r="AJ25" t="e">
            <v>#N/A</v>
          </cell>
          <cell r="AK25" t="e">
            <v>#N/A</v>
          </cell>
        </row>
        <row r="26">
          <cell r="AE26">
            <v>0</v>
          </cell>
          <cell r="AF26" t="e">
            <v>#N/A</v>
          </cell>
          <cell r="AG26">
            <v>0</v>
          </cell>
          <cell r="AH26" t="e">
            <v>#DIV/0!</v>
          </cell>
          <cell r="AJ26" t="e">
            <v>#N/A</v>
          </cell>
          <cell r="AK26" t="e">
            <v>#N/A</v>
          </cell>
        </row>
        <row r="27">
          <cell r="AE27">
            <v>0</v>
          </cell>
          <cell r="AF27" t="e">
            <v>#N/A</v>
          </cell>
          <cell r="AG27">
            <v>0</v>
          </cell>
          <cell r="AH27" t="e">
            <v>#DIV/0!</v>
          </cell>
          <cell r="AJ27" t="e">
            <v>#N/A</v>
          </cell>
          <cell r="AK27" t="e">
            <v>#N/A</v>
          </cell>
        </row>
        <row r="28">
          <cell r="AE28">
            <v>0</v>
          </cell>
          <cell r="AF28" t="e">
            <v>#N/A</v>
          </cell>
          <cell r="AG28">
            <v>0</v>
          </cell>
          <cell r="AH28" t="e">
            <v>#DIV/0!</v>
          </cell>
          <cell r="AJ28" t="e">
            <v>#N/A</v>
          </cell>
          <cell r="AK28" t="e">
            <v>#N/A</v>
          </cell>
        </row>
        <row r="29">
          <cell r="AE29">
            <v>0</v>
          </cell>
          <cell r="AF29" t="e">
            <v>#N/A</v>
          </cell>
          <cell r="AG29">
            <v>0</v>
          </cell>
          <cell r="AH29" t="e">
            <v>#DIV/0!</v>
          </cell>
          <cell r="AJ29" t="e">
            <v>#N/A</v>
          </cell>
          <cell r="AK29" t="e">
            <v>#N/A</v>
          </cell>
        </row>
        <row r="30">
          <cell r="AE30">
            <v>0</v>
          </cell>
          <cell r="AF30" t="e">
            <v>#N/A</v>
          </cell>
          <cell r="AG30">
            <v>0</v>
          </cell>
          <cell r="AH30" t="e">
            <v>#DIV/0!</v>
          </cell>
          <cell r="AJ30" t="e">
            <v>#N/A</v>
          </cell>
          <cell r="AK30" t="e">
            <v>#N/A</v>
          </cell>
        </row>
        <row r="31">
          <cell r="AE31">
            <v>0</v>
          </cell>
          <cell r="AF31" t="e">
            <v>#N/A</v>
          </cell>
          <cell r="AG31">
            <v>0</v>
          </cell>
          <cell r="AH31" t="e">
            <v>#DIV/0!</v>
          </cell>
          <cell r="AJ31" t="e">
            <v>#N/A</v>
          </cell>
          <cell r="AK31" t="e">
            <v>#N/A</v>
          </cell>
        </row>
        <row r="32">
          <cell r="AE32">
            <v>0</v>
          </cell>
          <cell r="AF32" t="e">
            <v>#N/A</v>
          </cell>
          <cell r="AG32">
            <v>0</v>
          </cell>
          <cell r="AH32" t="e">
            <v>#DIV/0!</v>
          </cell>
          <cell r="AJ32" t="e">
            <v>#N/A</v>
          </cell>
          <cell r="AK32" t="e">
            <v>#N/A</v>
          </cell>
        </row>
        <row r="33">
          <cell r="AE33">
            <v>0</v>
          </cell>
          <cell r="AF33" t="e">
            <v>#N/A</v>
          </cell>
          <cell r="AG33">
            <v>0</v>
          </cell>
          <cell r="AH33" t="e">
            <v>#DIV/0!</v>
          </cell>
          <cell r="AJ33" t="e">
            <v>#N/A</v>
          </cell>
          <cell r="AK33" t="e">
            <v>#N/A</v>
          </cell>
        </row>
        <row r="34">
          <cell r="AE34">
            <v>0</v>
          </cell>
          <cell r="AF34" t="e">
            <v>#N/A</v>
          </cell>
          <cell r="AG34">
            <v>0</v>
          </cell>
          <cell r="AH34" t="e">
            <v>#DIV/0!</v>
          </cell>
          <cell r="AJ34" t="e">
            <v>#N/A</v>
          </cell>
          <cell r="AK34" t="e">
            <v>#N/A</v>
          </cell>
        </row>
        <row r="35">
          <cell r="AE35">
            <v>0</v>
          </cell>
          <cell r="AF35" t="e">
            <v>#N/A</v>
          </cell>
          <cell r="AG35">
            <v>0</v>
          </cell>
          <cell r="AH35" t="e">
            <v>#DIV/0!</v>
          </cell>
          <cell r="AJ35" t="e">
            <v>#N/A</v>
          </cell>
          <cell r="AK35" t="e">
            <v>#N/A</v>
          </cell>
        </row>
        <row r="36">
          <cell r="AE36">
            <v>0</v>
          </cell>
          <cell r="AF36" t="e">
            <v>#N/A</v>
          </cell>
          <cell r="AG36">
            <v>0</v>
          </cell>
          <cell r="AH36" t="e">
            <v>#DIV/0!</v>
          </cell>
          <cell r="AJ36" t="e">
            <v>#N/A</v>
          </cell>
          <cell r="AK36" t="e">
            <v>#N/A</v>
          </cell>
        </row>
        <row r="37">
          <cell r="AE37">
            <v>0</v>
          </cell>
          <cell r="AF37" t="e">
            <v>#N/A</v>
          </cell>
          <cell r="AG37">
            <v>0</v>
          </cell>
          <cell r="AH37" t="e">
            <v>#DIV/0!</v>
          </cell>
          <cell r="AJ37" t="e">
            <v>#N/A</v>
          </cell>
          <cell r="AK37" t="e">
            <v>#N/A</v>
          </cell>
        </row>
        <row r="38">
          <cell r="AE38">
            <v>0</v>
          </cell>
          <cell r="AF38" t="e">
            <v>#N/A</v>
          </cell>
          <cell r="AG38">
            <v>0</v>
          </cell>
          <cell r="AH38" t="e">
            <v>#DIV/0!</v>
          </cell>
          <cell r="AJ38" t="e">
            <v>#N/A</v>
          </cell>
          <cell r="AK38" t="e">
            <v>#N/A</v>
          </cell>
        </row>
        <row r="39">
          <cell r="AE39">
            <v>0</v>
          </cell>
          <cell r="AF39" t="e">
            <v>#N/A</v>
          </cell>
          <cell r="AG39">
            <v>0</v>
          </cell>
          <cell r="AH39" t="e">
            <v>#DIV/0!</v>
          </cell>
          <cell r="AJ39" t="e">
            <v>#N/A</v>
          </cell>
          <cell r="AK39" t="e">
            <v>#N/A</v>
          </cell>
        </row>
        <row r="40">
          <cell r="AE40">
            <v>0</v>
          </cell>
          <cell r="AF40" t="e">
            <v>#N/A</v>
          </cell>
          <cell r="AG40">
            <v>0</v>
          </cell>
          <cell r="AH40" t="e">
            <v>#DIV/0!</v>
          </cell>
          <cell r="AJ40" t="e">
            <v>#N/A</v>
          </cell>
          <cell r="AK40" t="e">
            <v>#N/A</v>
          </cell>
        </row>
        <row r="41">
          <cell r="AE41">
            <v>0</v>
          </cell>
          <cell r="AF41" t="e">
            <v>#N/A</v>
          </cell>
          <cell r="AG41">
            <v>0</v>
          </cell>
          <cell r="AH41" t="e">
            <v>#DIV/0!</v>
          </cell>
          <cell r="AJ41" t="e">
            <v>#N/A</v>
          </cell>
          <cell r="AK41" t="e">
            <v>#N/A</v>
          </cell>
        </row>
        <row r="42">
          <cell r="AE42">
            <v>0</v>
          </cell>
          <cell r="AF42" t="e">
            <v>#N/A</v>
          </cell>
          <cell r="AG42">
            <v>0</v>
          </cell>
          <cell r="AH42" t="e">
            <v>#DIV/0!</v>
          </cell>
          <cell r="AJ42" t="e">
            <v>#N/A</v>
          </cell>
          <cell r="AK42" t="e">
            <v>#N/A</v>
          </cell>
        </row>
        <row r="43">
          <cell r="AE43">
            <v>0</v>
          </cell>
          <cell r="AF43" t="e">
            <v>#N/A</v>
          </cell>
          <cell r="AG43">
            <v>0</v>
          </cell>
          <cell r="AH43" t="e">
            <v>#DIV/0!</v>
          </cell>
          <cell r="AJ43" t="e">
            <v>#N/A</v>
          </cell>
          <cell r="AK43" t="e">
            <v>#N/A</v>
          </cell>
        </row>
        <row r="44">
          <cell r="AE44">
            <v>0</v>
          </cell>
          <cell r="AF44" t="e">
            <v>#N/A</v>
          </cell>
          <cell r="AG44">
            <v>0</v>
          </cell>
          <cell r="AH44" t="e">
            <v>#DIV/0!</v>
          </cell>
          <cell r="AJ44">
            <v>0</v>
          </cell>
          <cell r="AK44">
            <v>0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11" refreshError="1">
        <row r="2">
          <cell r="J2" t="str">
            <v>ACOMPANHAMENTO DAS METAS</v>
          </cell>
        </row>
        <row r="12">
          <cell r="B12">
            <v>6342.4705882352937</v>
          </cell>
        </row>
        <row r="13">
          <cell r="B13">
            <v>0</v>
          </cell>
        </row>
        <row r="14"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J36" t="e">
            <v>#N/A</v>
          </cell>
          <cell r="AK36" t="e">
            <v>#N/A</v>
          </cell>
        </row>
        <row r="37"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J37" t="e">
            <v>#N/A</v>
          </cell>
          <cell r="AK37" t="e">
            <v>#N/A</v>
          </cell>
        </row>
        <row r="38"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J38" t="e">
            <v>#N/A</v>
          </cell>
          <cell r="AK38" t="e">
            <v>#N/A</v>
          </cell>
        </row>
        <row r="39"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</row>
        <row r="40"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J40" t="e">
            <v>#N/A</v>
          </cell>
          <cell r="AK40" t="e">
            <v>#N/A</v>
          </cell>
        </row>
        <row r="41"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J41" t="e">
            <v>#N/A</v>
          </cell>
          <cell r="AK41" t="e">
            <v>#N/A</v>
          </cell>
        </row>
        <row r="42"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J42" t="e">
            <v>#N/A</v>
          </cell>
          <cell r="AK42" t="e">
            <v>#N/A</v>
          </cell>
        </row>
        <row r="43"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</row>
        <row r="44">
          <cell r="AE44" t="e">
            <v>#N/A</v>
          </cell>
          <cell r="AF44" t="e">
            <v>#N/A</v>
          </cell>
          <cell r="AG44" t="e">
            <v>#N/A</v>
          </cell>
          <cell r="AH44" t="e">
            <v>#N/A</v>
          </cell>
          <cell r="AJ44" t="e">
            <v>#N/A</v>
          </cell>
          <cell r="AK44" t="e">
            <v>#N/A</v>
          </cell>
        </row>
        <row r="48">
          <cell r="J48" t="e">
            <v>#VALUE!</v>
          </cell>
          <cell r="K48" t="e">
            <v>#VALUE!</v>
          </cell>
          <cell r="L48" t="e">
            <v>#VALUE!</v>
          </cell>
        </row>
      </sheetData>
      <sheetData sheetId="12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J36" t="e">
            <v>#N/A</v>
          </cell>
          <cell r="AK36" t="e">
            <v>#N/A</v>
          </cell>
        </row>
        <row r="37"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J37" t="e">
            <v>#N/A</v>
          </cell>
          <cell r="AK37" t="e">
            <v>#N/A</v>
          </cell>
        </row>
        <row r="38"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J38" t="e">
            <v>#N/A</v>
          </cell>
          <cell r="AK38" t="e">
            <v>#N/A</v>
          </cell>
        </row>
        <row r="39"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</row>
        <row r="40"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J40" t="e">
            <v>#N/A</v>
          </cell>
          <cell r="AK40" t="e">
            <v>#N/A</v>
          </cell>
        </row>
        <row r="41"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J41" t="e">
            <v>#N/A</v>
          </cell>
          <cell r="AK41" t="e">
            <v>#N/A</v>
          </cell>
        </row>
        <row r="42"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J42" t="e">
            <v>#N/A</v>
          </cell>
          <cell r="AK42" t="e">
            <v>#N/A</v>
          </cell>
        </row>
        <row r="43"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13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J36" t="e">
            <v>#N/A</v>
          </cell>
          <cell r="AK36" t="e">
            <v>#N/A</v>
          </cell>
        </row>
        <row r="37"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J37" t="e">
            <v>#N/A</v>
          </cell>
          <cell r="AK37" t="e">
            <v>#N/A</v>
          </cell>
        </row>
        <row r="38"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J38" t="e">
            <v>#N/A</v>
          </cell>
          <cell r="AK38" t="e">
            <v>#N/A</v>
          </cell>
        </row>
        <row r="39"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</row>
        <row r="40"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J40" t="e">
            <v>#N/A</v>
          </cell>
          <cell r="AK40" t="e">
            <v>#N/A</v>
          </cell>
        </row>
        <row r="41"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J41" t="e">
            <v>#N/A</v>
          </cell>
          <cell r="AK41" t="e">
            <v>#N/A</v>
          </cell>
        </row>
        <row r="42"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J42" t="e">
            <v>#N/A</v>
          </cell>
          <cell r="AK42" t="e">
            <v>#N/A</v>
          </cell>
        </row>
        <row r="43"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</row>
        <row r="44">
          <cell r="AE44" t="e">
            <v>#N/A</v>
          </cell>
          <cell r="AF44" t="e">
            <v>#N/A</v>
          </cell>
          <cell r="AG44" t="e">
            <v>#N/A</v>
          </cell>
          <cell r="AH44" t="e">
            <v>#N/A</v>
          </cell>
          <cell r="AJ44" t="e">
            <v>#N/A</v>
          </cell>
          <cell r="AK44" t="e">
            <v>#N/A</v>
          </cell>
        </row>
        <row r="48">
          <cell r="J48" t="e">
            <v>#VALUE!</v>
          </cell>
          <cell r="K48" t="e">
            <v>#VALUE!</v>
          </cell>
          <cell r="L48" t="e">
            <v>#VALUE!</v>
          </cell>
        </row>
      </sheetData>
      <sheetData sheetId="14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J36" t="e">
            <v>#N/A</v>
          </cell>
          <cell r="AK36" t="e">
            <v>#N/A</v>
          </cell>
        </row>
        <row r="37"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J37" t="e">
            <v>#N/A</v>
          </cell>
          <cell r="AK37" t="e">
            <v>#N/A</v>
          </cell>
        </row>
        <row r="38"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J38" t="e">
            <v>#N/A</v>
          </cell>
          <cell r="AK38" t="e">
            <v>#N/A</v>
          </cell>
        </row>
        <row r="39"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</row>
        <row r="40"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J40" t="e">
            <v>#N/A</v>
          </cell>
          <cell r="AK40" t="e">
            <v>#N/A</v>
          </cell>
        </row>
        <row r="41"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J41" t="e">
            <v>#N/A</v>
          </cell>
          <cell r="AK41" t="e">
            <v>#N/A</v>
          </cell>
        </row>
        <row r="42"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J42" t="e">
            <v>#N/A</v>
          </cell>
          <cell r="AK42" t="e">
            <v>#N/A</v>
          </cell>
        </row>
        <row r="43"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</row>
        <row r="48"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15" refreshError="1">
        <row r="2">
          <cell r="J2" t="str">
            <v>ACOMPANHAMENTO DAS METAS</v>
          </cell>
        </row>
        <row r="12">
          <cell r="B12">
            <v>0</v>
          </cell>
        </row>
        <row r="13">
          <cell r="B13">
            <v>0</v>
          </cell>
        </row>
        <row r="14"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J14" t="e">
            <v>#N/A</v>
          </cell>
          <cell r="AK14" t="e">
            <v>#N/A</v>
          </cell>
        </row>
        <row r="15"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J15" t="e">
            <v>#N/A</v>
          </cell>
          <cell r="AK15" t="e">
            <v>#N/A</v>
          </cell>
        </row>
        <row r="16"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J16" t="e">
            <v>#N/A</v>
          </cell>
          <cell r="AK16" t="e">
            <v>#N/A</v>
          </cell>
        </row>
        <row r="17"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J17" t="e">
            <v>#N/A</v>
          </cell>
          <cell r="AK17" t="e">
            <v>#N/A</v>
          </cell>
        </row>
        <row r="18"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J18" t="e">
            <v>#N/A</v>
          </cell>
          <cell r="AK18" t="e">
            <v>#N/A</v>
          </cell>
        </row>
        <row r="19"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J19" t="e">
            <v>#N/A</v>
          </cell>
          <cell r="AK19" t="e">
            <v>#N/A</v>
          </cell>
        </row>
        <row r="20"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J20" t="e">
            <v>#N/A</v>
          </cell>
          <cell r="AK20" t="e">
            <v>#N/A</v>
          </cell>
        </row>
        <row r="21"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J21" t="e">
            <v>#N/A</v>
          </cell>
          <cell r="AK21" t="e">
            <v>#N/A</v>
          </cell>
        </row>
        <row r="22"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J22" t="e">
            <v>#N/A</v>
          </cell>
          <cell r="AK22" t="e">
            <v>#N/A</v>
          </cell>
        </row>
        <row r="23"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J23" t="e">
            <v>#N/A</v>
          </cell>
          <cell r="AK23" t="e">
            <v>#N/A</v>
          </cell>
        </row>
        <row r="24"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J24" t="e">
            <v>#N/A</v>
          </cell>
          <cell r="AK24" t="e">
            <v>#N/A</v>
          </cell>
        </row>
        <row r="25"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J25" t="e">
            <v>#N/A</v>
          </cell>
          <cell r="AK25" t="e">
            <v>#N/A</v>
          </cell>
        </row>
        <row r="26"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J26" t="e">
            <v>#N/A</v>
          </cell>
          <cell r="AK26" t="e">
            <v>#N/A</v>
          </cell>
        </row>
        <row r="27"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J27" t="e">
            <v>#N/A</v>
          </cell>
          <cell r="AK27" t="e">
            <v>#N/A</v>
          </cell>
        </row>
        <row r="28"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J28" t="e">
            <v>#N/A</v>
          </cell>
          <cell r="AK28" t="e">
            <v>#N/A</v>
          </cell>
        </row>
        <row r="29"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J29" t="e">
            <v>#N/A</v>
          </cell>
          <cell r="AK29" t="e">
            <v>#N/A</v>
          </cell>
        </row>
        <row r="30"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J30" t="e">
            <v>#N/A</v>
          </cell>
          <cell r="AK30" t="e">
            <v>#N/A</v>
          </cell>
        </row>
        <row r="31"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J31" t="e">
            <v>#N/A</v>
          </cell>
          <cell r="AK31" t="e">
            <v>#N/A</v>
          </cell>
        </row>
        <row r="32"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J32" t="e">
            <v>#N/A</v>
          </cell>
          <cell r="AK32" t="e">
            <v>#N/A</v>
          </cell>
        </row>
        <row r="33"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J33" t="e">
            <v>#N/A</v>
          </cell>
          <cell r="AK33" t="e">
            <v>#N/A</v>
          </cell>
        </row>
        <row r="34"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J34" t="e">
            <v>#N/A</v>
          </cell>
          <cell r="AK34" t="e">
            <v>#N/A</v>
          </cell>
        </row>
        <row r="35"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J35" t="e">
            <v>#N/A</v>
          </cell>
          <cell r="AK35" t="e">
            <v>#N/A</v>
          </cell>
        </row>
        <row r="36"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J36" t="e">
            <v>#N/A</v>
          </cell>
          <cell r="AK36" t="e">
            <v>#N/A</v>
          </cell>
        </row>
        <row r="37"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J37" t="e">
            <v>#N/A</v>
          </cell>
          <cell r="AK37" t="e">
            <v>#N/A</v>
          </cell>
        </row>
        <row r="38"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J38" t="e">
            <v>#N/A</v>
          </cell>
          <cell r="AK38" t="e">
            <v>#N/A</v>
          </cell>
        </row>
        <row r="39"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J39" t="e">
            <v>#N/A</v>
          </cell>
          <cell r="AK39" t="e">
            <v>#N/A</v>
          </cell>
        </row>
        <row r="40"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J40" t="e">
            <v>#N/A</v>
          </cell>
          <cell r="AK40" t="e">
            <v>#N/A</v>
          </cell>
        </row>
        <row r="41"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J41" t="e">
            <v>#N/A</v>
          </cell>
          <cell r="AK41" t="e">
            <v>#N/A</v>
          </cell>
        </row>
        <row r="42"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J42" t="e">
            <v>#N/A</v>
          </cell>
          <cell r="AK42" t="e">
            <v>#N/A</v>
          </cell>
        </row>
        <row r="43"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J43" t="e">
            <v>#N/A</v>
          </cell>
          <cell r="AK43" t="e">
            <v>#N/A</v>
          </cell>
        </row>
        <row r="44">
          <cell r="AE44" t="e">
            <v>#N/A</v>
          </cell>
          <cell r="AF44" t="e">
            <v>#N/A</v>
          </cell>
          <cell r="AG44" t="e">
            <v>#N/A</v>
          </cell>
          <cell r="AH44" t="e">
            <v>#N/A</v>
          </cell>
          <cell r="AJ44" t="e">
            <v>#N/A</v>
          </cell>
          <cell r="AK44" t="e">
            <v>#N/A</v>
          </cell>
        </row>
        <row r="48">
          <cell r="J48" t="e">
            <v>#VALUE!</v>
          </cell>
          <cell r="K48" t="e">
            <v>#VALUE!</v>
          </cell>
          <cell r="L48" t="e">
            <v>#VALUE!</v>
          </cell>
        </row>
      </sheetData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EMP AN"/>
      <sheetName val="DESEMP COM NE"/>
      <sheetName val="DESEMP COM SE"/>
      <sheetName val="DESEMP COM SL"/>
      <sheetName val="DESEMP COM TC"/>
      <sheetName val="DADOS"/>
      <sheetName val="Contratações"/>
      <sheetName val="PROP ELAB GANH"/>
      <sheetName val="PARETOS"/>
      <sheetName val="FAIXA PROPOSTAS"/>
      <sheetName val="DER janeiro98"/>
      <sheetName val="REAJU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ANO</v>
          </cell>
        </row>
      </sheetData>
      <sheetData sheetId="6" refreshError="1"/>
      <sheetData sheetId="7" refreshError="1">
        <row r="9">
          <cell r="C9" t="e">
            <v>#NAME?</v>
          </cell>
        </row>
        <row r="47">
          <cell r="P47" t="e">
            <v>#NAME?</v>
          </cell>
        </row>
        <row r="48">
          <cell r="P48" t="e">
            <v>#NAME?</v>
          </cell>
        </row>
        <row r="49">
          <cell r="P49" t="e">
            <v>#NAME?</v>
          </cell>
        </row>
        <row r="50">
          <cell r="P50" t="e">
            <v>#NAME?</v>
          </cell>
        </row>
        <row r="51">
          <cell r="P51" t="e">
            <v>#NAME?</v>
          </cell>
        </row>
        <row r="52">
          <cell r="P52" t="e">
            <v>#NAME?</v>
          </cell>
        </row>
        <row r="53">
          <cell r="P53" t="e">
            <v>#NAME?</v>
          </cell>
        </row>
        <row r="54">
          <cell r="P54" t="e">
            <v>#NAME?</v>
          </cell>
        </row>
        <row r="55">
          <cell r="P55" t="e">
            <v>#NAME?</v>
          </cell>
        </row>
        <row r="70">
          <cell r="L70">
            <v>1993</v>
          </cell>
          <cell r="P70" t="e">
            <v>#NAME?</v>
          </cell>
        </row>
        <row r="71">
          <cell r="L71">
            <v>1994</v>
          </cell>
          <cell r="P71" t="e">
            <v>#NAME?</v>
          </cell>
        </row>
        <row r="72">
          <cell r="L72">
            <v>1995</v>
          </cell>
          <cell r="P72" t="e">
            <v>#NAME?</v>
          </cell>
        </row>
        <row r="73">
          <cell r="L73">
            <v>1996</v>
          </cell>
          <cell r="P73" t="e">
            <v>#NAME?</v>
          </cell>
        </row>
        <row r="74">
          <cell r="L74">
            <v>1997</v>
          </cell>
          <cell r="P74" t="e">
            <v>#NAME?</v>
          </cell>
        </row>
        <row r="75">
          <cell r="L75">
            <v>1998</v>
          </cell>
          <cell r="P75" t="e">
            <v>#NAME?</v>
          </cell>
        </row>
        <row r="76">
          <cell r="L76">
            <v>1999</v>
          </cell>
          <cell r="P76" t="e">
            <v>#NAME?</v>
          </cell>
        </row>
        <row r="77">
          <cell r="L77">
            <v>2000</v>
          </cell>
          <cell r="P77" t="e">
            <v>#NAME?</v>
          </cell>
        </row>
        <row r="78">
          <cell r="L78" t="str">
            <v>Geral</v>
          </cell>
          <cell r="P78" t="e">
            <v>#NAME?</v>
          </cell>
        </row>
      </sheetData>
      <sheetData sheetId="8" refreshError="1">
        <row r="4">
          <cell r="M4" t="e">
            <v>#NAME?</v>
          </cell>
          <cell r="N4" t="e">
            <v>#NAME?</v>
          </cell>
        </row>
        <row r="5">
          <cell r="M5" t="e">
            <v>#NAME?</v>
          </cell>
          <cell r="N5" t="e">
            <v>#NAME?</v>
          </cell>
        </row>
        <row r="6">
          <cell r="M6" t="e">
            <v>#NAME?</v>
          </cell>
          <cell r="N6" t="e">
            <v>#NAME?</v>
          </cell>
        </row>
        <row r="7">
          <cell r="M7" t="e">
            <v>#NAME?</v>
          </cell>
          <cell r="N7" t="e">
            <v>#NAME?</v>
          </cell>
        </row>
        <row r="8">
          <cell r="M8" t="e">
            <v>#NAME?</v>
          </cell>
          <cell r="N8" t="e">
            <v>#NAME?</v>
          </cell>
        </row>
        <row r="9">
          <cell r="M9" t="e">
            <v>#NAME?</v>
          </cell>
          <cell r="N9" t="e">
            <v>#NAME?</v>
          </cell>
        </row>
        <row r="10">
          <cell r="M10" t="e">
            <v>#NAME?</v>
          </cell>
          <cell r="N10">
            <v>47009000</v>
          </cell>
        </row>
        <row r="28">
          <cell r="O28" t="e">
            <v>#NAME?</v>
          </cell>
        </row>
        <row r="29">
          <cell r="M29" t="str">
            <v>Rodoviário</v>
          </cell>
          <cell r="N29" t="e">
            <v>#NAME?</v>
          </cell>
          <cell r="O29" t="e">
            <v>#NAME?</v>
          </cell>
        </row>
        <row r="30">
          <cell r="M30" t="str">
            <v>Saneamento</v>
          </cell>
          <cell r="N30" t="e">
            <v>#NAME?</v>
          </cell>
          <cell r="O30" t="e">
            <v>#NAME?</v>
          </cell>
        </row>
        <row r="31">
          <cell r="M31" t="str">
            <v>Urbanização</v>
          </cell>
          <cell r="N31" t="e">
            <v>#NAME?</v>
          </cell>
          <cell r="O31" t="e">
            <v>#NAME?</v>
          </cell>
        </row>
        <row r="32">
          <cell r="M32" t="str">
            <v>Energia</v>
          </cell>
          <cell r="N32" t="e">
            <v>#NAME?</v>
          </cell>
          <cell r="O32" t="e">
            <v>#NAME?</v>
          </cell>
        </row>
        <row r="33">
          <cell r="M33" t="str">
            <v>Diversos</v>
          </cell>
          <cell r="N33" t="e">
            <v>#NAME?</v>
          </cell>
          <cell r="O33" t="e">
            <v>#NAME?</v>
          </cell>
        </row>
        <row r="34">
          <cell r="M34" t="str">
            <v>Transp.Urbano</v>
          </cell>
          <cell r="N34" t="e">
            <v>#NAME?</v>
          </cell>
          <cell r="O34" t="e">
            <v>#NAME?</v>
          </cell>
        </row>
        <row r="35">
          <cell r="M35" t="str">
            <v>Aeronáutica</v>
          </cell>
          <cell r="N35" t="e">
            <v>#NAME?</v>
          </cell>
          <cell r="O35" t="e">
            <v>#NAME?</v>
          </cell>
        </row>
        <row r="36">
          <cell r="M36" t="str">
            <v>Outros</v>
          </cell>
          <cell r="N36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  <sheetName val="Transaction"/>
      <sheetName val="Invest"/>
      <sheetName val="RECEI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算過程シート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 Price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Debt-EBITDA"/>
      <sheetName val="Sum"/>
      <sheetName val="Mults"/>
      <sheetName val="Reverse Mults"/>
      <sheetName val="Prem"/>
      <sheetName val="LBO"/>
      <sheetName val="No trans"/>
      <sheetName val="Recap"/>
      <sheetName val="Recap-Base"/>
      <sheetName val="Recap-Bank"/>
      <sheetName val="Recap-PP"/>
      <sheetName val="Recap-144A"/>
      <sheetName val="Recap-Equity"/>
      <sheetName val="DCF"/>
      <sheetName val="WACC"/>
      <sheetName val="Overview"/>
      <sheetName val="Adjusted EBITDA"/>
      <sheetName val="Targets"/>
      <sheetName val="own"/>
      <sheetName val="own-raw"/>
      <sheetName val="Output LCs"/>
      <sheetName val="Output"/>
      <sheetName val="GDYS"/>
      <sheetName val="FRED"/>
      <sheetName val="FDO"/>
      <sheetName val="STGS"/>
      <sheetName val="DG"/>
      <sheetName val="JCP"/>
      <sheetName val="TJX"/>
      <sheetName val="ROST"/>
      <sheetName val="__FDSCACHE__"/>
      <sheetName val="DUCK"/>
      <sheetName val="BONT"/>
      <sheetName val="Example"/>
    </sheetNames>
    <sheetDataSet>
      <sheetData sheetId="0"/>
      <sheetData sheetId="1"/>
      <sheetData sheetId="2"/>
      <sheetData sheetId="3" refreshError="1">
        <row r="1">
          <cell r="AQ1" t="str">
            <v>Fred's</v>
          </cell>
          <cell r="AT1" t="str">
            <v>Family Dollar</v>
          </cell>
          <cell r="AW1" t="str">
            <v>Stage Stores</v>
          </cell>
          <cell r="AZ1" t="str">
            <v>Dollar General</v>
          </cell>
          <cell r="BC1" t="str">
            <v>JC Penney</v>
          </cell>
          <cell r="BF1" t="str">
            <v>TJX</v>
          </cell>
          <cell r="BI1" t="str">
            <v>Ross Stores</v>
          </cell>
          <cell r="BM1" t="str">
            <v>Grant</v>
          </cell>
        </row>
        <row r="2">
          <cell r="AQ2" t="str">
            <v>2003E</v>
          </cell>
          <cell r="AR2" t="str">
            <v>2004E</v>
          </cell>
          <cell r="AT2" t="str">
            <v>2003E</v>
          </cell>
          <cell r="AU2" t="str">
            <v>2004E</v>
          </cell>
          <cell r="AW2" t="str">
            <v>2003E</v>
          </cell>
          <cell r="AX2" t="str">
            <v>2004E</v>
          </cell>
          <cell r="AZ2" t="str">
            <v>2003E</v>
          </cell>
          <cell r="BA2" t="str">
            <v>2004E</v>
          </cell>
          <cell r="BC2" t="str">
            <v>2003E</v>
          </cell>
          <cell r="BD2" t="str">
            <v>2004E</v>
          </cell>
          <cell r="BF2" t="str">
            <v>2003E</v>
          </cell>
          <cell r="BG2" t="str">
            <v>2004E</v>
          </cell>
          <cell r="BI2" t="str">
            <v>2003E</v>
          </cell>
          <cell r="BJ2" t="str">
            <v>2004E</v>
          </cell>
          <cell r="BM2" t="str">
            <v>2003E</v>
          </cell>
          <cell r="BN2" t="str">
            <v>2004E</v>
          </cell>
        </row>
        <row r="3">
          <cell r="AP3" t="str">
            <v>Multiple</v>
          </cell>
          <cell r="AQ3">
            <v>0</v>
          </cell>
          <cell r="AR3">
            <v>0</v>
          </cell>
          <cell r="AT3">
            <v>0</v>
          </cell>
          <cell r="AU3">
            <v>0</v>
          </cell>
          <cell r="AW3">
            <v>0</v>
          </cell>
          <cell r="AX3">
            <v>0</v>
          </cell>
          <cell r="AZ3">
            <v>0</v>
          </cell>
          <cell r="BA3">
            <v>0</v>
          </cell>
          <cell r="BC3">
            <v>0</v>
          </cell>
          <cell r="BD3">
            <v>0</v>
          </cell>
          <cell r="BF3">
            <v>0</v>
          </cell>
          <cell r="BG3">
            <v>0</v>
          </cell>
          <cell r="BI3">
            <v>0</v>
          </cell>
          <cell r="BJ3">
            <v>0</v>
          </cell>
          <cell r="BL3" t="str">
            <v>Multiple</v>
          </cell>
          <cell r="BM3">
            <v>4.3281420628544414</v>
          </cell>
          <cell r="BN3">
            <v>3.5488096752091582</v>
          </cell>
        </row>
        <row r="4">
          <cell r="AP4" t="str">
            <v>Sales Growth</v>
          </cell>
          <cell r="AQ4">
            <v>11.518827006486774</v>
          </cell>
          <cell r="AR4">
            <v>14.235561368486263</v>
          </cell>
          <cell r="AT4">
            <v>11.641897745654589</v>
          </cell>
          <cell r="AU4">
            <v>12.001424501424498</v>
          </cell>
          <cell r="AW4">
            <v>27.677913870637266</v>
          </cell>
          <cell r="AX4">
            <v>6.8154354305969669</v>
          </cell>
          <cell r="AZ4">
            <v>11.432085485547713</v>
          </cell>
          <cell r="BA4">
            <v>12.312415214994145</v>
          </cell>
          <cell r="BC4">
            <v>2.1983582593050714</v>
          </cell>
          <cell r="BD4">
            <v>2.4371458436485671</v>
          </cell>
          <cell r="BF4" t="e">
            <v>#REF!</v>
          </cell>
          <cell r="BG4" t="e">
            <v>#REF!</v>
          </cell>
          <cell r="BI4" t="e">
            <v>#REF!</v>
          </cell>
          <cell r="BJ4" t="e">
            <v>#REF!</v>
          </cell>
          <cell r="BL4" t="str">
            <v>Sales Growth</v>
          </cell>
          <cell r="BM4">
            <v>3.2567202811336635</v>
          </cell>
          <cell r="BN4">
            <v>8.6193846374841936</v>
          </cell>
        </row>
        <row r="5">
          <cell r="AP5" t="str">
            <v>EBITDA Margin</v>
          </cell>
          <cell r="AQ5">
            <v>5.2591725752047918</v>
          </cell>
          <cell r="AR5">
            <v>5.3088279602289843</v>
          </cell>
          <cell r="AT5">
            <v>8.7403337403337407</v>
          </cell>
          <cell r="AU5">
            <v>8.8394276629570729</v>
          </cell>
          <cell r="AW5">
            <v>9.7627532824517775</v>
          </cell>
          <cell r="AX5">
            <v>10.663354979578203</v>
          </cell>
          <cell r="AZ5">
            <v>9.5035209446714681</v>
          </cell>
          <cell r="BA5">
            <v>9.6946086479296394</v>
          </cell>
          <cell r="BC5">
            <v>9.0531396370474511</v>
          </cell>
          <cell r="BD5">
            <v>9.1965716852083137</v>
          </cell>
          <cell r="BF5" t="e">
            <v>#REF!</v>
          </cell>
          <cell r="BG5" t="e">
            <v>#REF!</v>
          </cell>
          <cell r="BI5" t="e">
            <v>#REF!</v>
          </cell>
          <cell r="BJ5" t="e">
            <v>#REF!</v>
          </cell>
          <cell r="BL5" t="str">
            <v>EBITDA Margin</v>
          </cell>
          <cell r="BM5">
            <v>3.6742113018777536</v>
          </cell>
          <cell r="BN5">
            <v>4.125490481034733</v>
          </cell>
        </row>
        <row r="7">
          <cell r="D7" t="str">
            <v>Grant</v>
          </cell>
          <cell r="N7" t="str">
            <v>Implied</v>
          </cell>
          <cell r="R7" t="str">
            <v>Implied</v>
          </cell>
        </row>
        <row r="8">
          <cell r="D8" t="str">
            <v xml:space="preserve">Financial </v>
          </cell>
          <cell r="F8" t="str">
            <v xml:space="preserve">Selected </v>
          </cell>
          <cell r="J8" t="str">
            <v>Implied Enterprise</v>
          </cell>
          <cell r="N8" t="str">
            <v>Equity Reference</v>
          </cell>
          <cell r="R8" t="str">
            <v>Per Share</v>
          </cell>
        </row>
        <row r="9">
          <cell r="B9" t="str">
            <v>Methodology</v>
          </cell>
          <cell r="D9" t="str">
            <v>Results(1)</v>
          </cell>
          <cell r="F9" t="str">
            <v>Multiples</v>
          </cell>
          <cell r="J9" t="str">
            <v>Reference Range</v>
          </cell>
          <cell r="N9" t="str">
            <v>Range(2)</v>
          </cell>
          <cell r="R9" t="str">
            <v>Reference Range</v>
          </cell>
        </row>
        <row r="11">
          <cell r="B11" t="str">
            <v>Selected Public Companies</v>
          </cell>
          <cell r="Y11">
            <v>225</v>
          </cell>
        </row>
        <row r="13">
          <cell r="B13" t="str">
            <v>LTM</v>
          </cell>
          <cell r="D13">
            <v>1266.4949999999999</v>
          </cell>
          <cell r="F13">
            <v>0.5</v>
          </cell>
          <cell r="G13" t="str">
            <v>-</v>
          </cell>
          <cell r="H13">
            <v>0.6</v>
          </cell>
          <cell r="J13">
            <v>633.24749999999995</v>
          </cell>
          <cell r="K13" t="str">
            <v>-</v>
          </cell>
          <cell r="L13">
            <v>759.89699999999993</v>
          </cell>
          <cell r="N13">
            <v>690.97665720833322</v>
          </cell>
          <cell r="O13" t="str">
            <v>-</v>
          </cell>
          <cell r="P13">
            <v>817.62615720833321</v>
          </cell>
          <cell r="R13">
            <v>20.458614244064677</v>
          </cell>
          <cell r="S13" t="str">
            <v>-</v>
          </cell>
          <cell r="T13">
            <v>24.20848515167545</v>
          </cell>
        </row>
        <row r="14">
          <cell r="A14" t="str">
            <v>Revenues(3)</v>
          </cell>
          <cell r="B14" t="str">
            <v>FY 2004E</v>
          </cell>
          <cell r="D14">
            <v>1266.9929999999999</v>
          </cell>
          <cell r="F14">
            <v>0.55000000000000004</v>
          </cell>
          <cell r="G14" t="str">
            <v>-</v>
          </cell>
          <cell r="H14">
            <v>0.6</v>
          </cell>
          <cell r="J14">
            <v>696.84614999999997</v>
          </cell>
          <cell r="K14" t="str">
            <v>-</v>
          </cell>
          <cell r="L14">
            <v>760.19579999999996</v>
          </cell>
          <cell r="N14">
            <v>754.57530720833324</v>
          </cell>
          <cell r="O14" t="str">
            <v>-</v>
          </cell>
          <cell r="P14">
            <v>817.92495720833324</v>
          </cell>
          <cell r="R14">
            <v>22.341659399381673</v>
          </cell>
          <cell r="S14" t="str">
            <v>-</v>
          </cell>
          <cell r="T14">
            <v>24.217332098779025</v>
          </cell>
          <cell r="Y14">
            <v>282.72915720833333</v>
          </cell>
          <cell r="AB14">
            <v>8.3711174647262041</v>
          </cell>
        </row>
        <row r="15">
          <cell r="B15" t="str">
            <v xml:space="preserve">FY 2005E </v>
          </cell>
          <cell r="D15">
            <v>1376.2</v>
          </cell>
          <cell r="F15">
            <v>0.55000000000000004</v>
          </cell>
          <cell r="G15" t="str">
            <v>-</v>
          </cell>
          <cell r="H15">
            <v>0.6</v>
          </cell>
          <cell r="J15">
            <v>756.91000000000008</v>
          </cell>
          <cell r="K15" t="str">
            <v>-</v>
          </cell>
          <cell r="L15">
            <v>825.72</v>
          </cell>
          <cell r="N15">
            <v>814.63915720833336</v>
          </cell>
          <cell r="O15" t="str">
            <v>-</v>
          </cell>
          <cell r="P15">
            <v>883.4491572083333</v>
          </cell>
          <cell r="R15">
            <v>24.120045288896417</v>
          </cell>
          <cell r="S15" t="str">
            <v>-</v>
          </cell>
          <cell r="T15">
            <v>26.157389432795107</v>
          </cell>
        </row>
        <row r="17">
          <cell r="B17" t="str">
            <v>LTM</v>
          </cell>
          <cell r="D17">
            <v>0</v>
          </cell>
          <cell r="F17">
            <v>5.5</v>
          </cell>
          <cell r="G17" t="str">
            <v>-</v>
          </cell>
          <cell r="H17">
            <v>6.5</v>
          </cell>
          <cell r="J17">
            <v>0</v>
          </cell>
          <cell r="K17" t="str">
            <v>-</v>
          </cell>
          <cell r="L17">
            <v>0</v>
          </cell>
          <cell r="N17">
            <v>57.729157208333319</v>
          </cell>
          <cell r="O17" t="str">
            <v>-</v>
          </cell>
          <cell r="P17">
            <v>57.729157208333319</v>
          </cell>
          <cell r="R17">
            <v>1.7092597060108234</v>
          </cell>
          <cell r="S17" t="str">
            <v>-</v>
          </cell>
          <cell r="T17">
            <v>1.7092597060108234</v>
          </cell>
          <cell r="AB17" t="str">
            <v>Reminders:</v>
          </cell>
        </row>
        <row r="18">
          <cell r="A18" t="str">
            <v>EBITDA</v>
          </cell>
          <cell r="B18" t="str">
            <v>FY 2004E</v>
          </cell>
          <cell r="D18">
            <v>46.552</v>
          </cell>
          <cell r="F18">
            <v>6.5</v>
          </cell>
          <cell r="G18" t="str">
            <v>-</v>
          </cell>
          <cell r="H18">
            <v>7.5</v>
          </cell>
          <cell r="J18">
            <v>302.58800000000002</v>
          </cell>
          <cell r="K18" t="str">
            <v>-</v>
          </cell>
          <cell r="L18">
            <v>349.14</v>
          </cell>
          <cell r="N18">
            <v>360.31715720833336</v>
          </cell>
          <cell r="O18" t="str">
            <v>-</v>
          </cell>
          <cell r="P18">
            <v>406.86915720833332</v>
          </cell>
          <cell r="R18">
            <v>10.668362885984912</v>
          </cell>
          <cell r="S18" t="str">
            <v>-</v>
          </cell>
          <cell r="T18">
            <v>12.04668645213477</v>
          </cell>
          <cell r="AB18" t="str">
            <v>Net Cash</v>
          </cell>
          <cell r="AC18">
            <v>57.729157208333319</v>
          </cell>
        </row>
        <row r="19">
          <cell r="B19" t="str">
            <v xml:space="preserve">FY 2005E </v>
          </cell>
          <cell r="D19">
            <v>56.774999999999999</v>
          </cell>
          <cell r="F19">
            <v>6.5</v>
          </cell>
          <cell r="G19" t="str">
            <v>-</v>
          </cell>
          <cell r="H19">
            <v>7.5</v>
          </cell>
          <cell r="J19">
            <v>369.03749999999997</v>
          </cell>
          <cell r="K19" t="str">
            <v>-</v>
          </cell>
          <cell r="L19">
            <v>425.8125</v>
          </cell>
          <cell r="N19">
            <v>426.7666572083333</v>
          </cell>
          <cell r="O19" t="str">
            <v>-</v>
          </cell>
          <cell r="P19">
            <v>483.54165720833333</v>
          </cell>
          <cell r="R19">
            <v>12.635816739930499</v>
          </cell>
          <cell r="S19" t="str">
            <v>-</v>
          </cell>
          <cell r="T19">
            <v>14.316825514379682</v>
          </cell>
          <cell r="AB19" t="str">
            <v>Primare shares</v>
          </cell>
          <cell r="AC19">
            <v>32.789118999999999</v>
          </cell>
        </row>
        <row r="20">
          <cell r="AB20" t="str">
            <v>Options</v>
          </cell>
          <cell r="AC20">
            <v>0.98524367017913583</v>
          </cell>
        </row>
        <row r="21">
          <cell r="B21" t="str">
            <v>LTM</v>
          </cell>
          <cell r="D21">
            <v>0</v>
          </cell>
          <cell r="F21">
            <v>5.5</v>
          </cell>
          <cell r="G21" t="str">
            <v>-</v>
          </cell>
          <cell r="H21">
            <v>6.5</v>
          </cell>
          <cell r="J21">
            <v>0</v>
          </cell>
          <cell r="K21" t="str">
            <v>-</v>
          </cell>
          <cell r="L21">
            <v>0</v>
          </cell>
          <cell r="N21">
            <v>57.729157208333319</v>
          </cell>
          <cell r="O21" t="str">
            <v>-</v>
          </cell>
          <cell r="P21">
            <v>57.729157208333319</v>
          </cell>
          <cell r="R21">
            <v>1.7092597060108234</v>
          </cell>
          <cell r="S21" t="str">
            <v>-</v>
          </cell>
          <cell r="T21">
            <v>1.7092597060108234</v>
          </cell>
        </row>
        <row r="22">
          <cell r="A22" t="str">
            <v>Adjusted</v>
          </cell>
          <cell r="B22" t="str">
            <v>FY 2004E</v>
          </cell>
          <cell r="D22">
            <v>50.068223359999998</v>
          </cell>
          <cell r="F22">
            <v>6.5</v>
          </cell>
          <cell r="G22" t="str">
            <v>-</v>
          </cell>
          <cell r="H22">
            <v>7.5</v>
          </cell>
          <cell r="J22">
            <v>325.44345183999997</v>
          </cell>
          <cell r="K22" t="str">
            <v>-</v>
          </cell>
          <cell r="L22">
            <v>375.51167519999996</v>
          </cell>
          <cell r="N22">
            <v>383.1726090483333</v>
          </cell>
          <cell r="O22" t="str">
            <v>-</v>
          </cell>
          <cell r="P22">
            <v>433.24083240833329</v>
          </cell>
          <cell r="R22">
            <v>11.345072971181574</v>
          </cell>
          <cell r="S22" t="str">
            <v>-</v>
          </cell>
          <cell r="T22">
            <v>12.827505781207844</v>
          </cell>
        </row>
        <row r="23">
          <cell r="A23" t="str">
            <v>EBITDA</v>
          </cell>
          <cell r="B23" t="str">
            <v xml:space="preserve">FY 2005E </v>
          </cell>
          <cell r="D23">
            <v>59.323</v>
          </cell>
          <cell r="F23">
            <v>6.5</v>
          </cell>
          <cell r="G23" t="str">
            <v>-</v>
          </cell>
          <cell r="H23">
            <v>7.5</v>
          </cell>
          <cell r="J23">
            <v>385.59949999999998</v>
          </cell>
          <cell r="K23" t="str">
            <v>-</v>
          </cell>
          <cell r="L23">
            <v>444.92250000000001</v>
          </cell>
          <cell r="N23">
            <v>443.32865720833331</v>
          </cell>
          <cell r="O23" t="str">
            <v>-</v>
          </cell>
          <cell r="P23">
            <v>502.65165720833335</v>
          </cell>
          <cell r="R23">
            <v>13.126188687485362</v>
          </cell>
          <cell r="S23" t="str">
            <v>-</v>
          </cell>
          <cell r="T23">
            <v>14.882639300019909</v>
          </cell>
        </row>
        <row r="25">
          <cell r="B25" t="str">
            <v>LTM</v>
          </cell>
          <cell r="D25">
            <v>25.416</v>
          </cell>
          <cell r="F25">
            <v>9</v>
          </cell>
          <cell r="G25" t="str">
            <v>-</v>
          </cell>
          <cell r="H25">
            <v>10</v>
          </cell>
          <cell r="J25">
            <v>228.744</v>
          </cell>
          <cell r="K25" t="str">
            <v>-</v>
          </cell>
          <cell r="L25">
            <v>254.16</v>
          </cell>
          <cell r="N25">
            <v>286.4731572083333</v>
          </cell>
          <cell r="O25" t="str">
            <v>-</v>
          </cell>
          <cell r="P25">
            <v>311.8891572083333</v>
          </cell>
          <cell r="R25">
            <v>8.4819707778312274</v>
          </cell>
          <cell r="S25" t="str">
            <v>-</v>
          </cell>
          <cell r="T25">
            <v>9.2344942302557165</v>
          </cell>
          <cell r="AB25" t="str">
            <v>Dil. Shares</v>
          </cell>
          <cell r="AC25">
            <v>33.774362670179137</v>
          </cell>
        </row>
        <row r="26">
          <cell r="A26" t="str">
            <v>EBIT</v>
          </cell>
          <cell r="B26" t="str">
            <v>FY 2004E</v>
          </cell>
          <cell r="D26">
            <v>24.02</v>
          </cell>
          <cell r="F26">
            <v>10</v>
          </cell>
          <cell r="G26" t="str">
            <v>-</v>
          </cell>
          <cell r="H26">
            <v>12</v>
          </cell>
          <cell r="J26">
            <v>240.2</v>
          </cell>
          <cell r="K26" t="str">
            <v>-</v>
          </cell>
          <cell r="L26">
            <v>288.24</v>
          </cell>
          <cell r="N26">
            <v>297.92915720833332</v>
          </cell>
          <cell r="O26" t="str">
            <v>-</v>
          </cell>
          <cell r="P26">
            <v>345.96915720833334</v>
          </cell>
          <cell r="R26">
            <v>8.8211629666483091</v>
          </cell>
          <cell r="S26" t="str">
            <v>-</v>
          </cell>
          <cell r="T26">
            <v>10.243543618775808</v>
          </cell>
        </row>
        <row r="27">
          <cell r="B27" t="str">
            <v>FY 2005E</v>
          </cell>
          <cell r="D27">
            <v>32.58</v>
          </cell>
          <cell r="F27">
            <v>9</v>
          </cell>
          <cell r="G27" t="str">
            <v>-</v>
          </cell>
          <cell r="H27">
            <v>10.5</v>
          </cell>
          <cell r="J27">
            <v>293.21999999999997</v>
          </cell>
          <cell r="K27" t="str">
            <v>-</v>
          </cell>
          <cell r="L27">
            <v>342.09</v>
          </cell>
          <cell r="N27">
            <v>350.9491572083333</v>
          </cell>
          <cell r="O27" t="str">
            <v>-</v>
          </cell>
          <cell r="P27">
            <v>399.81915720833331</v>
          </cell>
          <cell r="R27">
            <v>10.390992737168707</v>
          </cell>
          <cell r="S27" t="str">
            <v>-</v>
          </cell>
          <cell r="T27">
            <v>11.837948242361687</v>
          </cell>
        </row>
        <row r="29">
          <cell r="B29" t="str">
            <v>LTM</v>
          </cell>
          <cell r="D29">
            <v>16.461000000000002</v>
          </cell>
          <cell r="F29">
            <v>17</v>
          </cell>
          <cell r="G29" t="str">
            <v>-</v>
          </cell>
          <cell r="H29">
            <v>19</v>
          </cell>
          <cell r="J29">
            <v>222.10784279166671</v>
          </cell>
          <cell r="K29" t="str">
            <v>-</v>
          </cell>
          <cell r="L29">
            <v>255.02984279166668</v>
          </cell>
          <cell r="N29">
            <v>279.83700000000005</v>
          </cell>
          <cell r="O29" t="str">
            <v>-</v>
          </cell>
          <cell r="P29">
            <v>312.75900000000001</v>
          </cell>
          <cell r="R29">
            <v>8.2854857316694943</v>
          </cell>
          <cell r="S29" t="str">
            <v>-</v>
          </cell>
          <cell r="T29">
            <v>9.2602487589247282</v>
          </cell>
        </row>
        <row r="30">
          <cell r="A30" t="str">
            <v>Net Income</v>
          </cell>
          <cell r="B30" t="str">
            <v>FY 2004E</v>
          </cell>
          <cell r="D30">
            <v>15.653</v>
          </cell>
          <cell r="F30">
            <v>17.5</v>
          </cell>
          <cell r="G30" t="str">
            <v>-</v>
          </cell>
          <cell r="H30">
            <v>19.5</v>
          </cell>
          <cell r="J30">
            <v>216.19834279166668</v>
          </cell>
          <cell r="K30" t="str">
            <v>-</v>
          </cell>
          <cell r="L30">
            <v>247.50434279166666</v>
          </cell>
          <cell r="N30">
            <v>273.92750000000001</v>
          </cell>
          <cell r="O30" t="str">
            <v>-</v>
          </cell>
          <cell r="P30">
            <v>305.23349999999999</v>
          </cell>
          <cell r="R30">
            <v>8.1105157386689228</v>
          </cell>
          <cell r="S30" t="str">
            <v>-</v>
          </cell>
          <cell r="T30">
            <v>9.0374318230882267</v>
          </cell>
        </row>
        <row r="31">
          <cell r="B31" t="str">
            <v xml:space="preserve">FY 2005E </v>
          </cell>
          <cell r="D31">
            <v>20.375131</v>
          </cell>
          <cell r="F31">
            <v>15</v>
          </cell>
          <cell r="G31" t="str">
            <v>-</v>
          </cell>
          <cell r="H31">
            <v>16</v>
          </cell>
          <cell r="J31">
            <v>247.89780779166665</v>
          </cell>
          <cell r="K31" t="str">
            <v>-</v>
          </cell>
          <cell r="L31">
            <v>268.27293879166666</v>
          </cell>
          <cell r="N31">
            <v>305.62696499999998</v>
          </cell>
          <cell r="O31" t="str">
            <v>-</v>
          </cell>
          <cell r="P31">
            <v>326.00209599999999</v>
          </cell>
          <cell r="R31">
            <v>9.0490816358128168</v>
          </cell>
          <cell r="S31" t="str">
            <v>-</v>
          </cell>
          <cell r="T31">
            <v>9.6523537448670051</v>
          </cell>
        </row>
        <row r="36">
          <cell r="D36" t="str">
            <v>Grant</v>
          </cell>
          <cell r="N36" t="str">
            <v>Implied</v>
          </cell>
          <cell r="R36" t="str">
            <v>Implied</v>
          </cell>
        </row>
        <row r="37">
          <cell r="D37" t="str">
            <v xml:space="preserve">Financial </v>
          </cell>
          <cell r="F37" t="str">
            <v>Selected LTM</v>
          </cell>
          <cell r="J37" t="str">
            <v>Implied Enterprise</v>
          </cell>
          <cell r="N37" t="str">
            <v>Equity Reference</v>
          </cell>
          <cell r="R37" t="str">
            <v>Per Share</v>
          </cell>
        </row>
        <row r="38">
          <cell r="B38" t="str">
            <v>Methodology</v>
          </cell>
          <cell r="D38" t="str">
            <v>Results(1)</v>
          </cell>
          <cell r="F38" t="str">
            <v>Multiples</v>
          </cell>
          <cell r="J38" t="str">
            <v>Reference Range</v>
          </cell>
          <cell r="N38" t="str">
            <v>Range(2)</v>
          </cell>
          <cell r="R38" t="str">
            <v>Reference Range</v>
          </cell>
        </row>
        <row r="40">
          <cell r="B40" t="str">
            <v>Selected Precedent Transactions</v>
          </cell>
        </row>
        <row r="42">
          <cell r="A42" t="str">
            <v>Revenues(3)</v>
          </cell>
          <cell r="B42" t="str">
            <v>FY 2004E</v>
          </cell>
          <cell r="D42">
            <v>1266.9929999999999</v>
          </cell>
          <cell r="F42">
            <v>0.3</v>
          </cell>
          <cell r="G42" t="str">
            <v>-</v>
          </cell>
          <cell r="H42">
            <v>0.4</v>
          </cell>
          <cell r="J42">
            <v>380.09789999999998</v>
          </cell>
          <cell r="K42" t="str">
            <v>-</v>
          </cell>
          <cell r="L42">
            <v>506.79719999999998</v>
          </cell>
          <cell r="N42">
            <v>437.82705720833331</v>
          </cell>
          <cell r="O42" t="str">
            <v>-</v>
          </cell>
          <cell r="P42">
            <v>564.52635720833325</v>
          </cell>
          <cell r="R42">
            <v>12.963295902394925</v>
          </cell>
          <cell r="S42" t="str">
            <v>-</v>
          </cell>
          <cell r="T42">
            <v>16.714641301189623</v>
          </cell>
        </row>
        <row r="45">
          <cell r="A45" t="str">
            <v>EBITDA</v>
          </cell>
          <cell r="B45" t="str">
            <v>FY 2004E</v>
          </cell>
          <cell r="D45">
            <v>46.552</v>
          </cell>
          <cell r="F45">
            <v>5</v>
          </cell>
          <cell r="G45" t="str">
            <v>-</v>
          </cell>
          <cell r="H45">
            <v>6</v>
          </cell>
          <cell r="J45">
            <v>232.76</v>
          </cell>
          <cell r="K45" t="str">
            <v>-</v>
          </cell>
          <cell r="L45">
            <v>279.31200000000001</v>
          </cell>
          <cell r="N45">
            <v>290.48915720833332</v>
          </cell>
          <cell r="O45" t="str">
            <v>-</v>
          </cell>
          <cell r="P45">
            <v>337.04115720833335</v>
          </cell>
          <cell r="R45">
            <v>8.6008775367601213</v>
          </cell>
          <cell r="S45" t="str">
            <v>-</v>
          </cell>
          <cell r="T45">
            <v>9.9792011029099807</v>
          </cell>
        </row>
        <row r="48">
          <cell r="A48" t="str">
            <v>Adjusted</v>
          </cell>
          <cell r="B48" t="str">
            <v>FY 2004E</v>
          </cell>
          <cell r="D48">
            <v>50.068223359999998</v>
          </cell>
          <cell r="F48">
            <v>5</v>
          </cell>
          <cell r="G48" t="str">
            <v>-</v>
          </cell>
          <cell r="H48">
            <v>6</v>
          </cell>
          <cell r="J48">
            <v>250.34111679999998</v>
          </cell>
          <cell r="K48" t="str">
            <v>-</v>
          </cell>
          <cell r="L48">
            <v>300.40934016</v>
          </cell>
          <cell r="N48">
            <v>308.07027400833329</v>
          </cell>
          <cell r="O48" t="str">
            <v>-</v>
          </cell>
          <cell r="P48">
            <v>358.13849736833333</v>
          </cell>
          <cell r="R48">
            <v>9.1214237561421712</v>
          </cell>
          <cell r="S48" t="str">
            <v>-</v>
          </cell>
          <cell r="T48">
            <v>10.603856566168441</v>
          </cell>
        </row>
        <row r="49">
          <cell r="A49" t="str">
            <v>EBITDA</v>
          </cell>
        </row>
        <row r="51">
          <cell r="A51" t="str">
            <v>EBIT</v>
          </cell>
          <cell r="B51" t="str">
            <v>FY 2004E</v>
          </cell>
          <cell r="D51">
            <v>24.02</v>
          </cell>
          <cell r="F51">
            <v>8.5</v>
          </cell>
          <cell r="G51" t="str">
            <v>-</v>
          </cell>
          <cell r="H51">
            <v>9.5</v>
          </cell>
          <cell r="J51">
            <v>204.17</v>
          </cell>
          <cell r="K51" t="str">
            <v>-</v>
          </cell>
          <cell r="L51">
            <v>228.19</v>
          </cell>
          <cell r="N51">
            <v>261.89915720833329</v>
          </cell>
          <cell r="O51" t="str">
            <v>-</v>
          </cell>
          <cell r="P51">
            <v>285.91915720833333</v>
          </cell>
          <cell r="R51">
            <v>7.7543774775526861</v>
          </cell>
          <cell r="S51" t="str">
            <v>-</v>
          </cell>
          <cell r="T51">
            <v>8.4655678036164357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G1" t="str">
            <v>Summary Financial Data</v>
          </cell>
        </row>
        <row r="2">
          <cell r="G2" t="str">
            <v>($ in millions, except per share data)</v>
          </cell>
        </row>
        <row r="4">
          <cell r="I4" t="str">
            <v>Historical</v>
          </cell>
          <cell r="O4" t="str">
            <v>Historical</v>
          </cell>
          <cell r="P4" t="str">
            <v>Historical</v>
          </cell>
          <cell r="Q4" t="str">
            <v>Historical</v>
          </cell>
          <cell r="R4" t="str">
            <v>Historical</v>
          </cell>
          <cell r="S4" t="str">
            <v>Historical</v>
          </cell>
          <cell r="T4" t="str">
            <v>Historical</v>
          </cell>
          <cell r="V4" t="str">
            <v>Projected</v>
          </cell>
        </row>
        <row r="5">
          <cell r="B5" t="str">
            <v>($ in millions, except per share data)</v>
          </cell>
          <cell r="Q5" t="str">
            <v>LTM</v>
          </cell>
        </row>
        <row r="6">
          <cell r="G6" t="str">
            <v>2000A</v>
          </cell>
          <cell r="I6" t="str">
            <v>2001A</v>
          </cell>
          <cell r="K6" t="str">
            <v>2002A</v>
          </cell>
          <cell r="M6" t="str">
            <v>2003A</v>
          </cell>
          <cell r="O6">
            <v>37987</v>
          </cell>
          <cell r="P6" t="str">
            <v>48 weeks 12/05</v>
          </cell>
          <cell r="Q6">
            <v>38353</v>
          </cell>
          <cell r="S6" t="str">
            <v>Actual 9 weeks ended 12/31</v>
          </cell>
          <cell r="T6" t="str">
            <v>Budget 13 weeks ended 1/31/05</v>
          </cell>
          <cell r="U6" t="str">
            <v>Budget 4 weeks ended 1/31/05</v>
          </cell>
          <cell r="V6" t="str">
            <v>2004E(4)</v>
          </cell>
          <cell r="X6" t="str">
            <v>2005E</v>
          </cell>
          <cell r="AH6" t="str">
            <v>1999A</v>
          </cell>
        </row>
        <row r="8">
          <cell r="A8" t="str">
            <v>Summary Income Statement Data</v>
          </cell>
          <cell r="G8">
            <v>1250.6040000000003</v>
          </cell>
          <cell r="I8">
            <v>1192.546</v>
          </cell>
          <cell r="K8">
            <v>1192.546</v>
          </cell>
          <cell r="M8">
            <v>1193.4050000000002</v>
          </cell>
          <cell r="AM8">
            <v>9.1651391434760868E-4</v>
          </cell>
          <cell r="AO8">
            <v>38353</v>
          </cell>
        </row>
        <row r="10">
          <cell r="C10" t="str">
            <v>Women's</v>
          </cell>
          <cell r="G10">
            <v>696.49300000000005</v>
          </cell>
          <cell r="I10">
            <v>702.22799999999995</v>
          </cell>
          <cell r="K10">
            <v>702.22799999999995</v>
          </cell>
          <cell r="M10">
            <v>723.52300000000002</v>
          </cell>
          <cell r="AK10" t="str">
            <v>Women's</v>
          </cell>
        </row>
        <row r="11">
          <cell r="C11" t="str">
            <v>Men's</v>
          </cell>
          <cell r="G11">
            <v>328.91500000000002</v>
          </cell>
          <cell r="I11">
            <v>280.92200000000003</v>
          </cell>
          <cell r="K11">
            <v>280.92200000000003</v>
          </cell>
          <cell r="M11">
            <v>256.32100000000003</v>
          </cell>
          <cell r="AK11" t="str">
            <v>Men's</v>
          </cell>
        </row>
        <row r="12">
          <cell r="C12" t="str">
            <v>Children's</v>
          </cell>
          <cell r="G12">
            <v>143.02699999999999</v>
          </cell>
          <cell r="I12">
            <v>137.52699999999999</v>
          </cell>
          <cell r="K12">
            <v>137.52699999999999</v>
          </cell>
          <cell r="M12">
            <v>135.05600000000001</v>
          </cell>
          <cell r="AK12" t="str">
            <v>Children's</v>
          </cell>
        </row>
        <row r="13">
          <cell r="C13" t="str">
            <v>Shoes</v>
          </cell>
          <cell r="G13">
            <v>74.852999999999994</v>
          </cell>
          <cell r="I13">
            <v>64.266000000000005</v>
          </cell>
          <cell r="K13">
            <v>64.266000000000005</v>
          </cell>
          <cell r="M13">
            <v>70.796000000000006</v>
          </cell>
          <cell r="AK13" t="str">
            <v>Shoes</v>
          </cell>
        </row>
        <row r="14">
          <cell r="C14" t="str">
            <v>Other</v>
          </cell>
          <cell r="G14">
            <v>7.3159999999999998</v>
          </cell>
          <cell r="I14">
            <v>7.6029999999999998</v>
          </cell>
          <cell r="K14">
            <v>7.6029999999999998</v>
          </cell>
          <cell r="M14">
            <v>7.7089999999999996</v>
          </cell>
          <cell r="AK14" t="str">
            <v>Other</v>
          </cell>
        </row>
        <row r="15">
          <cell r="B15" t="str">
            <v>Sales</v>
          </cell>
          <cell r="G15">
            <v>1250.604</v>
          </cell>
          <cell r="I15">
            <v>1192.546</v>
          </cell>
          <cell r="K15">
            <v>1193.405</v>
          </cell>
          <cell r="M15">
            <v>1227.0319999999999</v>
          </cell>
          <cell r="O15">
            <v>60.723999999999997</v>
          </cell>
          <cell r="P15">
            <v>1205.771</v>
          </cell>
          <cell r="Q15">
            <v>1266.4949999999999</v>
          </cell>
          <cell r="S15">
            <v>323.46699999999998</v>
          </cell>
          <cell r="T15">
            <v>403.30900000000003</v>
          </cell>
          <cell r="U15">
            <v>66.120999999999995</v>
          </cell>
          <cell r="V15">
            <v>1266.9929999999999</v>
          </cell>
          <cell r="X15">
            <v>1376.2</v>
          </cell>
          <cell r="AH15">
            <v>1180.93</v>
          </cell>
        </row>
        <row r="16">
          <cell r="C16" t="str">
            <v>% Growth</v>
          </cell>
          <cell r="I16">
            <v>-4.6423967938691968E-2</v>
          </cell>
          <cell r="K16">
            <v>7.203076443171863E-4</v>
          </cell>
          <cell r="M16">
            <v>2.8177358063691704E-2</v>
          </cell>
          <cell r="Q16">
            <v>3.216134542538418E-2</v>
          </cell>
          <cell r="V16">
            <v>3.2567202811336626E-2</v>
          </cell>
          <cell r="X16">
            <v>8.6193846374841954E-2</v>
          </cell>
        </row>
        <row r="17">
          <cell r="C17" t="str">
            <v>Comp store growth %</v>
          </cell>
          <cell r="I17">
            <v>-8.5</v>
          </cell>
          <cell r="K17">
            <v>-1.2</v>
          </cell>
          <cell r="M17">
            <v>1.6</v>
          </cell>
          <cell r="V17">
            <v>-0.28999999999999998</v>
          </cell>
          <cell r="X17">
            <v>2.16</v>
          </cell>
        </row>
        <row r="19">
          <cell r="B19" t="str">
            <v>Gross Profit</v>
          </cell>
          <cell r="G19">
            <v>338.01600000000002</v>
          </cell>
          <cell r="I19">
            <v>297.46899999999999</v>
          </cell>
          <cell r="K19">
            <v>339.822</v>
          </cell>
          <cell r="M19">
            <v>357.65</v>
          </cell>
          <cell r="O19">
            <v>20.64</v>
          </cell>
          <cell r="P19">
            <v>355.642</v>
          </cell>
          <cell r="Q19">
            <v>376.28199999999998</v>
          </cell>
          <cell r="S19">
            <v>90.905000000000001</v>
          </cell>
          <cell r="T19">
            <v>107.822</v>
          </cell>
          <cell r="U19">
            <v>20.582999999999998</v>
          </cell>
          <cell r="V19">
            <v>373.59699999999998</v>
          </cell>
          <cell r="X19">
            <v>415.35042099999998</v>
          </cell>
          <cell r="AH19">
            <v>312.78500000000003</v>
          </cell>
        </row>
        <row r="20">
          <cell r="C20" t="str">
            <v>% Margin</v>
          </cell>
          <cell r="G20">
            <v>0.27028219964113342</v>
          </cell>
          <cell r="I20">
            <v>0.24944027316346706</v>
          </cell>
          <cell r="K20">
            <v>0.28474993820203537</v>
          </cell>
          <cell r="M20">
            <v>0.29147569093552572</v>
          </cell>
          <cell r="Q20">
            <v>0.29710500238848159</v>
          </cell>
          <cell r="V20">
            <v>0.29486903242559354</v>
          </cell>
          <cell r="X20">
            <v>0.30180963595407639</v>
          </cell>
          <cell r="AH20">
            <v>0.26486328571549544</v>
          </cell>
        </row>
        <row r="22">
          <cell r="B22" t="str">
            <v xml:space="preserve">EBITDA </v>
          </cell>
          <cell r="G22">
            <v>39.058999999999997</v>
          </cell>
          <cell r="I22">
            <v>-7.7489999999999988</v>
          </cell>
          <cell r="K22">
            <v>34.142000000000003</v>
          </cell>
          <cell r="M22">
            <v>52.567000000000029</v>
          </cell>
          <cell r="Q22">
            <v>0</v>
          </cell>
          <cell r="V22">
            <v>46.552</v>
          </cell>
          <cell r="X22">
            <v>56.774999999999999</v>
          </cell>
          <cell r="Y22" t="str">
            <v>(5)</v>
          </cell>
          <cell r="AH22">
            <v>45.274999999999999</v>
          </cell>
        </row>
        <row r="23">
          <cell r="C23" t="str">
            <v>% Margin</v>
          </cell>
          <cell r="G23">
            <v>3.1232108645102685E-2</v>
          </cell>
          <cell r="I23">
            <v>-6.4978625562452088E-3</v>
          </cell>
          <cell r="K23">
            <v>2.8608896393093716E-2</v>
          </cell>
          <cell r="M23">
            <v>4.2840773508759374E-2</v>
          </cell>
          <cell r="Q23">
            <v>0</v>
          </cell>
          <cell r="V23">
            <v>3.6742113018777535E-2</v>
          </cell>
          <cell r="X23">
            <v>4.1254904810347333E-2</v>
          </cell>
          <cell r="AH23">
            <v>3.8338428187953556E-2</v>
          </cell>
        </row>
        <row r="25">
          <cell r="B25" t="str">
            <v xml:space="preserve">Adjusted EBITDA </v>
          </cell>
          <cell r="G25" t="e">
            <v>#VALUE!</v>
          </cell>
          <cell r="I25" t="str">
            <v>n.a.</v>
          </cell>
          <cell r="K25" t="str">
            <v>n.a.</v>
          </cell>
          <cell r="M25">
            <v>53.606999999999999</v>
          </cell>
          <cell r="N25" t="str">
            <v>(6)</v>
          </cell>
          <cell r="Q25">
            <v>0</v>
          </cell>
          <cell r="V25">
            <v>50.068223359999998</v>
          </cell>
          <cell r="W25" t="str">
            <v>(7)</v>
          </cell>
          <cell r="X25">
            <v>59.323</v>
          </cell>
          <cell r="Y25" t="str">
            <v>(8)</v>
          </cell>
          <cell r="AH25">
            <v>19.725000000000001</v>
          </cell>
        </row>
        <row r="26">
          <cell r="C26" t="str">
            <v>% Margin</v>
          </cell>
          <cell r="G26" t="e">
            <v>#VALUE!</v>
          </cell>
          <cell r="I26" t="str">
            <v>n.a.</v>
          </cell>
          <cell r="K26" t="str">
            <v>n.a.</v>
          </cell>
          <cell r="M26">
            <v>4.368834716617008E-2</v>
          </cell>
          <cell r="Q26" t="e">
            <v>#DIV/0!</v>
          </cell>
          <cell r="V26">
            <v>3.9517363837053558E-2</v>
          </cell>
          <cell r="X26">
            <v>4.3106379886644383E-2</v>
          </cell>
          <cell r="AH26" t="e">
            <v>#DIV/0!</v>
          </cell>
        </row>
        <row r="28">
          <cell r="B28" t="str">
            <v>EBIT</v>
          </cell>
          <cell r="G28">
            <v>18.991</v>
          </cell>
          <cell r="I28">
            <v>-31.527999999999999</v>
          </cell>
          <cell r="K28">
            <v>11.447000000000003</v>
          </cell>
          <cell r="M28">
            <v>30.933</v>
          </cell>
          <cell r="O28">
            <v>-6.532</v>
          </cell>
          <cell r="P28">
            <v>31.948</v>
          </cell>
          <cell r="Q28">
            <v>25.416</v>
          </cell>
          <cell r="S28">
            <v>19.928999999999998</v>
          </cell>
          <cell r="T28">
            <v>13.965</v>
          </cell>
          <cell r="U28">
            <v>-4.7080000000000002</v>
          </cell>
          <cell r="V28">
            <v>24.02</v>
          </cell>
          <cell r="X28">
            <v>32.58</v>
          </cell>
          <cell r="AH28">
            <v>28.651</v>
          </cell>
        </row>
        <row r="29">
          <cell r="C29" t="str">
            <v>% Margin</v>
          </cell>
          <cell r="G29">
            <v>1.5185462384575773E-2</v>
          </cell>
          <cell r="I29">
            <v>-2.6437554610052774E-2</v>
          </cell>
          <cell r="K29">
            <v>9.5918820517762234E-3</v>
          </cell>
          <cell r="M29">
            <v>2.5209611485275039E-2</v>
          </cell>
          <cell r="Q29">
            <v>2.0067982897682187E-2</v>
          </cell>
          <cell r="V29">
            <v>1.8958273644763626E-2</v>
          </cell>
          <cell r="X29">
            <v>2.3673884609795085E-2</v>
          </cell>
          <cell r="AH29">
            <v>2.4261387211773771E-2</v>
          </cell>
        </row>
        <row r="31">
          <cell r="B31" t="str">
            <v>Net earnings (loss)</v>
          </cell>
          <cell r="G31">
            <v>13.342000000000001</v>
          </cell>
          <cell r="I31">
            <v>-19.34995</v>
          </cell>
          <cell r="K31">
            <v>7.5297500000000026</v>
          </cell>
          <cell r="M31">
            <v>19.910730000000029</v>
          </cell>
          <cell r="O31">
            <v>-4.0629999999999997</v>
          </cell>
          <cell r="P31">
            <v>20.524000000000001</v>
          </cell>
          <cell r="Q31">
            <v>16.461000000000002</v>
          </cell>
          <cell r="S31">
            <v>12.012</v>
          </cell>
          <cell r="T31">
            <v>8.9030000000000005</v>
          </cell>
          <cell r="U31">
            <v>-2.8940000000000001</v>
          </cell>
          <cell r="V31">
            <v>15.653</v>
          </cell>
          <cell r="X31">
            <v>20.375131</v>
          </cell>
          <cell r="AH31">
            <v>19.725000000000001</v>
          </cell>
        </row>
        <row r="33">
          <cell r="B33" t="str">
            <v>Earnings (loss) per fully diluted share</v>
          </cell>
          <cell r="G33">
            <v>0.41</v>
          </cell>
          <cell r="I33">
            <v>-0.59407447365987487</v>
          </cell>
          <cell r="K33">
            <v>0.22775900184730929</v>
          </cell>
          <cell r="M33">
            <v>0.59621889504416914</v>
          </cell>
          <cell r="O33">
            <v>-0.12</v>
          </cell>
          <cell r="P33">
            <v>0.61</v>
          </cell>
          <cell r="Q33">
            <v>0.49</v>
          </cell>
          <cell r="S33">
            <v>0.36</v>
          </cell>
          <cell r="T33">
            <v>0.26</v>
          </cell>
          <cell r="U33">
            <v>-0.08</v>
          </cell>
          <cell r="V33">
            <v>0.46</v>
          </cell>
          <cell r="X33">
            <v>0.60019999999999996</v>
          </cell>
          <cell r="AH33">
            <v>0.59</v>
          </cell>
        </row>
        <row r="35">
          <cell r="B35" t="str">
            <v>Depreciation and Amortization</v>
          </cell>
          <cell r="G35">
            <v>20.068000000000001</v>
          </cell>
          <cell r="I35">
            <v>23.779</v>
          </cell>
          <cell r="K35">
            <v>23.779</v>
          </cell>
          <cell r="M35">
            <v>21.661999999999999</v>
          </cell>
          <cell r="Q35">
            <v>22.405000000000001</v>
          </cell>
          <cell r="V35">
            <v>22.532</v>
          </cell>
          <cell r="X35">
            <v>24.195</v>
          </cell>
          <cell r="AH35">
            <v>16.623999999999999</v>
          </cell>
          <cell r="AM35" t="str">
            <v>GDYS</v>
          </cell>
        </row>
        <row r="36">
          <cell r="B36" t="str">
            <v>Capital Expenditures</v>
          </cell>
          <cell r="G36">
            <v>43.329000000000001</v>
          </cell>
          <cell r="I36">
            <v>15.257999999999999</v>
          </cell>
          <cell r="K36">
            <v>15.257999999999999</v>
          </cell>
          <cell r="M36">
            <v>20.454000000000001</v>
          </cell>
          <cell r="Q36">
            <v>29.473000000000003</v>
          </cell>
          <cell r="V36">
            <v>-30.317</v>
          </cell>
          <cell r="X36">
            <v>47</v>
          </cell>
          <cell r="Y36" t="str">
            <v>(9)</v>
          </cell>
          <cell r="AH36">
            <v>31.292999999999999</v>
          </cell>
          <cell r="AM36">
            <v>38413</v>
          </cell>
        </row>
        <row r="38">
          <cell r="G38" t="str">
            <v>Historical</v>
          </cell>
          <cell r="I38" t="str">
            <v>Historical</v>
          </cell>
          <cell r="Q38" t="str">
            <v>Projected</v>
          </cell>
        </row>
        <row r="40">
          <cell r="G40" t="str">
            <v>2000A</v>
          </cell>
          <cell r="I40" t="str">
            <v>2001A</v>
          </cell>
          <cell r="K40" t="str">
            <v>2002A</v>
          </cell>
          <cell r="M40" t="str">
            <v>2003A</v>
          </cell>
          <cell r="Q40" t="str">
            <v>2004E</v>
          </cell>
          <cell r="V40" t="str">
            <v>2005E</v>
          </cell>
          <cell r="X40" t="str">
            <v>2006E</v>
          </cell>
          <cell r="Z40" t="str">
            <v>2007E</v>
          </cell>
          <cell r="AB40" t="str">
            <v>2008E</v>
          </cell>
          <cell r="AD40" t="str">
            <v>2009E</v>
          </cell>
          <cell r="AH40" t="str">
            <v>1999A</v>
          </cell>
        </row>
        <row r="42">
          <cell r="B42" t="str">
            <v>Number of Stores (Period End)</v>
          </cell>
          <cell r="G42">
            <v>317</v>
          </cell>
          <cell r="I42">
            <v>332</v>
          </cell>
          <cell r="K42">
            <v>328</v>
          </cell>
          <cell r="M42">
            <v>335</v>
          </cell>
          <cell r="Q42">
            <v>357</v>
          </cell>
          <cell r="V42">
            <v>388</v>
          </cell>
          <cell r="X42">
            <v>430</v>
          </cell>
          <cell r="Z42">
            <v>475</v>
          </cell>
          <cell r="AB42">
            <v>525</v>
          </cell>
          <cell r="AD42">
            <v>580</v>
          </cell>
          <cell r="AH42">
            <v>287</v>
          </cell>
        </row>
        <row r="43">
          <cell r="B43" t="str">
            <v>New Stores Opened</v>
          </cell>
          <cell r="G43">
            <v>32</v>
          </cell>
          <cell r="I43">
            <v>18</v>
          </cell>
          <cell r="K43">
            <v>2</v>
          </cell>
          <cell r="M43">
            <v>10</v>
          </cell>
          <cell r="Q43">
            <v>24</v>
          </cell>
          <cell r="V43">
            <v>35</v>
          </cell>
          <cell r="X43">
            <v>40</v>
          </cell>
          <cell r="Z43">
            <v>45</v>
          </cell>
          <cell r="AB43">
            <v>50</v>
          </cell>
          <cell r="AD43">
            <v>55</v>
          </cell>
          <cell r="AH43">
            <v>32</v>
          </cell>
        </row>
        <row r="44">
          <cell r="B44" t="str">
            <v>Stores Remodeled or Relocated</v>
          </cell>
          <cell r="G44">
            <v>13</v>
          </cell>
          <cell r="I44">
            <v>12</v>
          </cell>
          <cell r="K44">
            <v>7</v>
          </cell>
          <cell r="M44">
            <v>3</v>
          </cell>
          <cell r="Q44">
            <v>13</v>
          </cell>
          <cell r="V44">
            <v>15</v>
          </cell>
          <cell r="X44" t="str">
            <v>n.a</v>
          </cell>
          <cell r="Z44" t="str">
            <v>n.a</v>
          </cell>
          <cell r="AB44" t="str">
            <v>n.a</v>
          </cell>
          <cell r="AD44" t="str">
            <v>n.a</v>
          </cell>
        </row>
        <row r="45">
          <cell r="B45" t="str">
            <v>Stores Closed</v>
          </cell>
          <cell r="G45">
            <v>2</v>
          </cell>
          <cell r="I45">
            <v>3</v>
          </cell>
          <cell r="K45">
            <v>6</v>
          </cell>
          <cell r="M45">
            <v>6</v>
          </cell>
          <cell r="Q45">
            <v>2</v>
          </cell>
          <cell r="V45">
            <v>4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</row>
        <row r="46">
          <cell r="B46" t="str">
            <v>Same Store Sales</v>
          </cell>
          <cell r="G46">
            <v>-4.8</v>
          </cell>
          <cell r="I46">
            <v>-8.5</v>
          </cell>
          <cell r="K46">
            <v>-1.2</v>
          </cell>
          <cell r="M46">
            <v>1.6</v>
          </cell>
          <cell r="Q46">
            <v>-0.28999999999999998</v>
          </cell>
          <cell r="V46">
            <v>2.16</v>
          </cell>
          <cell r="X46">
            <v>3</v>
          </cell>
          <cell r="Z46">
            <v>3</v>
          </cell>
          <cell r="AB46">
            <v>3</v>
          </cell>
          <cell r="AD46">
            <v>3</v>
          </cell>
          <cell r="AH46">
            <v>-2.1</v>
          </cell>
        </row>
        <row r="47">
          <cell r="B47" t="str">
            <v>Gross Store Sq. Footage (millions)</v>
          </cell>
          <cell r="G47">
            <v>8.6940000000000008</v>
          </cell>
          <cell r="I47">
            <v>9.266</v>
          </cell>
          <cell r="K47">
            <v>9.1470000000000002</v>
          </cell>
          <cell r="M47">
            <v>9.3130000000000006</v>
          </cell>
          <cell r="Q47">
            <v>9.9459999999999997</v>
          </cell>
          <cell r="V47">
            <v>10.721</v>
          </cell>
          <cell r="X47">
            <v>11.721</v>
          </cell>
          <cell r="Z47">
            <v>12.846</v>
          </cell>
          <cell r="AB47">
            <v>14.096</v>
          </cell>
          <cell r="AD47">
            <v>15.471</v>
          </cell>
        </row>
        <row r="48">
          <cell r="B48" t="str">
            <v>Average Sq. Feet per Store (thousands)</v>
          </cell>
          <cell r="G48">
            <v>27.4</v>
          </cell>
          <cell r="I48">
            <v>27.4</v>
          </cell>
          <cell r="K48">
            <v>27.9</v>
          </cell>
          <cell r="M48">
            <v>28.093514328808446</v>
          </cell>
          <cell r="Q48">
            <v>28.745664739884393</v>
          </cell>
          <cell r="V48">
            <v>28.781208053691277</v>
          </cell>
          <cell r="X48">
            <v>28.657701711491441</v>
          </cell>
          <cell r="Z48">
            <v>28.388950276243094</v>
          </cell>
          <cell r="AB48">
            <v>28.192</v>
          </cell>
          <cell r="AD48">
            <v>28.001809954751131</v>
          </cell>
        </row>
        <row r="49">
          <cell r="B49" t="str">
            <v>Sales per Gross Sq. Feet ($ per sq. ft.)</v>
          </cell>
          <cell r="G49">
            <v>152</v>
          </cell>
          <cell r="I49">
            <v>136</v>
          </cell>
          <cell r="K49">
            <v>133</v>
          </cell>
          <cell r="M49">
            <v>133</v>
          </cell>
          <cell r="Q49">
            <v>131.47</v>
          </cell>
          <cell r="V49">
            <v>136</v>
          </cell>
          <cell r="X49">
            <v>140</v>
          </cell>
          <cell r="Z49">
            <v>143</v>
          </cell>
          <cell r="AB49">
            <v>146</v>
          </cell>
          <cell r="AD49">
            <v>150</v>
          </cell>
          <cell r="AH49">
            <v>160</v>
          </cell>
        </row>
        <row r="50">
          <cell r="B50" t="str">
            <v>Average Sales per Store ($ millions)</v>
          </cell>
          <cell r="G50">
            <v>4.1479999999999997</v>
          </cell>
          <cell r="I50">
            <v>3.67</v>
          </cell>
          <cell r="K50">
            <v>3.653</v>
          </cell>
          <cell r="M50">
            <v>3.7210000000000001</v>
          </cell>
          <cell r="Q50">
            <v>3.661829479768786</v>
          </cell>
          <cell r="V50">
            <v>3.694496644295302</v>
          </cell>
          <cell r="AH50">
            <v>4.3019999999999996</v>
          </cell>
        </row>
        <row r="52">
          <cell r="G52" t="str">
            <v>Summary Financial Data</v>
          </cell>
        </row>
        <row r="53">
          <cell r="G53" t="str">
            <v>($ in millions)</v>
          </cell>
        </row>
        <row r="55">
          <cell r="G55" t="str">
            <v>Historical (1)</v>
          </cell>
          <cell r="L55" t="str">
            <v>Year ended</v>
          </cell>
          <cell r="M55" t="str">
            <v>Year ended</v>
          </cell>
          <cell r="V55" t="str">
            <v>Jan 31,</v>
          </cell>
        </row>
        <row r="57">
          <cell r="B57" t="str">
            <v>($ in millions)</v>
          </cell>
          <cell r="G57" t="str">
            <v>2000A</v>
          </cell>
          <cell r="I57" t="str">
            <v>2001A</v>
          </cell>
          <cell r="K57" t="str">
            <v>2002A</v>
          </cell>
          <cell r="M57" t="str">
            <v>2003A</v>
          </cell>
          <cell r="Q57">
            <v>38353</v>
          </cell>
          <cell r="V57" t="str">
            <v>2004E(1)</v>
          </cell>
          <cell r="X57" t="str">
            <v>2005E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H57" t="str">
            <v>1999A</v>
          </cell>
          <cell r="AJ57">
            <v>37625</v>
          </cell>
        </row>
        <row r="59">
          <cell r="B59" t="str">
            <v>Cash and equivalents</v>
          </cell>
          <cell r="G59">
            <v>62.75</v>
          </cell>
          <cell r="I59">
            <v>53.805999999999997</v>
          </cell>
          <cell r="K59">
            <v>53.805999999999997</v>
          </cell>
          <cell r="M59">
            <v>123.032748</v>
          </cell>
          <cell r="Q59">
            <v>140.82711800000001</v>
          </cell>
          <cell r="V59">
            <v>121.614</v>
          </cell>
          <cell r="X59">
            <v>140.4</v>
          </cell>
          <cell r="AH59">
            <v>97.299000000000007</v>
          </cell>
          <cell r="AJ59">
            <v>128.23699999999999</v>
          </cell>
        </row>
        <row r="60">
          <cell r="B60" t="str">
            <v>Inventories</v>
          </cell>
          <cell r="G60">
            <v>207.72</v>
          </cell>
          <cell r="I60">
            <v>179.971</v>
          </cell>
          <cell r="K60">
            <v>179.971</v>
          </cell>
          <cell r="M60">
            <v>198.72622899999999</v>
          </cell>
          <cell r="Q60">
            <v>207.81069199999999</v>
          </cell>
          <cell r="V60">
            <v>230.61699999999999</v>
          </cell>
          <cell r="X60">
            <v>176.3</v>
          </cell>
          <cell r="AH60">
            <v>182.89400000000001</v>
          </cell>
          <cell r="AJ60">
            <v>178.37100000000001</v>
          </cell>
        </row>
        <row r="61">
          <cell r="B61" t="str">
            <v>Accounts Receivable and Other</v>
          </cell>
          <cell r="G61">
            <v>17.602</v>
          </cell>
          <cell r="I61">
            <v>24.831</v>
          </cell>
          <cell r="K61">
            <v>24.831</v>
          </cell>
          <cell r="M61">
            <v>13.176897</v>
          </cell>
          <cell r="Q61">
            <v>20.123197000000001</v>
          </cell>
          <cell r="V61">
            <v>20.337</v>
          </cell>
          <cell r="X61">
            <v>5.4219999999999997</v>
          </cell>
          <cell r="AH61">
            <v>20.352</v>
          </cell>
          <cell r="AJ61">
            <v>10.215</v>
          </cell>
        </row>
        <row r="62">
          <cell r="B62" t="str">
            <v>Total Current Assets</v>
          </cell>
          <cell r="G62">
            <v>288.072</v>
          </cell>
          <cell r="I62">
            <v>258.608</v>
          </cell>
          <cell r="K62">
            <v>258.608</v>
          </cell>
          <cell r="M62">
            <v>334.93587399999996</v>
          </cell>
          <cell r="Q62">
            <v>368.76100700000001</v>
          </cell>
          <cell r="V62">
            <v>372.56799999999998</v>
          </cell>
          <cell r="X62">
            <v>322.12200000000007</v>
          </cell>
          <cell r="AH62">
            <v>300.54499999999996</v>
          </cell>
          <cell r="AJ62">
            <v>316.82299999999998</v>
          </cell>
        </row>
        <row r="64">
          <cell r="B64" t="str">
            <v>Property and Equipment</v>
          </cell>
          <cell r="G64">
            <v>138.50399999999999</v>
          </cell>
          <cell r="I64">
            <v>128.041</v>
          </cell>
          <cell r="K64">
            <v>128.041</v>
          </cell>
          <cell r="M64">
            <v>106.967871</v>
          </cell>
          <cell r="Q64">
            <v>114.514903</v>
          </cell>
          <cell r="V64">
            <v>113.875</v>
          </cell>
          <cell r="X64">
            <v>132.57300000000001</v>
          </cell>
          <cell r="AH64">
            <v>116.892</v>
          </cell>
          <cell r="AJ64">
            <v>113.15</v>
          </cell>
        </row>
        <row r="65">
          <cell r="B65" t="str">
            <v>Other Assets</v>
          </cell>
          <cell r="G65">
            <v>10.051</v>
          </cell>
          <cell r="I65">
            <v>9.5850000000000009</v>
          </cell>
          <cell r="K65">
            <v>9.5850000000000009</v>
          </cell>
          <cell r="M65">
            <v>5.4368249999999998</v>
          </cell>
          <cell r="Q65">
            <v>5.0645420000000003</v>
          </cell>
          <cell r="V65">
            <v>4.9880000000000004</v>
          </cell>
          <cell r="X65">
            <v>5.0270000000000001</v>
          </cell>
          <cell r="AH65">
            <v>5.8559999999999999</v>
          </cell>
          <cell r="AJ65">
            <v>9.4740000000000002</v>
          </cell>
        </row>
        <row r="66">
          <cell r="B66" t="str">
            <v>Total Assets</v>
          </cell>
          <cell r="G66">
            <v>436.62700000000001</v>
          </cell>
          <cell r="I66">
            <v>396.23399999999998</v>
          </cell>
          <cell r="K66">
            <v>396.23399999999998</v>
          </cell>
          <cell r="M66">
            <v>447.34056999999996</v>
          </cell>
          <cell r="Q66">
            <v>488.34045200000003</v>
          </cell>
          <cell r="V66">
            <v>491.43099999999998</v>
          </cell>
          <cell r="X66">
            <v>459.72200000000004</v>
          </cell>
          <cell r="AH66">
            <v>423.29299999999995</v>
          </cell>
          <cell r="AJ66">
            <v>439.44699999999995</v>
          </cell>
        </row>
        <row r="68">
          <cell r="B68" t="str">
            <v>Borrowings Under Credit Facilities</v>
          </cell>
          <cell r="G68" t="str">
            <v>-</v>
          </cell>
          <cell r="I68" t="str">
            <v>-</v>
          </cell>
          <cell r="K68" t="str">
            <v>-</v>
          </cell>
          <cell r="M68" t="str">
            <v>-</v>
          </cell>
          <cell r="Q68" t="str">
            <v>-</v>
          </cell>
          <cell r="V68" t="str">
            <v>-</v>
          </cell>
          <cell r="X68" t="str">
            <v>-</v>
          </cell>
          <cell r="AH68" t="str">
            <v>-</v>
          </cell>
          <cell r="AJ68" t="str">
            <v>-</v>
          </cell>
        </row>
        <row r="69">
          <cell r="B69" t="str">
            <v>Accounts Payable - Trade</v>
          </cell>
          <cell r="G69">
            <v>129.857</v>
          </cell>
          <cell r="I69">
            <v>134.11099999999999</v>
          </cell>
          <cell r="K69">
            <v>134.11099999999999</v>
          </cell>
          <cell r="M69">
            <v>119.411204</v>
          </cell>
          <cell r="Q69">
            <v>115.18767</v>
          </cell>
          <cell r="V69">
            <v>136.11600000000001</v>
          </cell>
          <cell r="X69">
            <v>128.679</v>
          </cell>
          <cell r="AH69">
            <v>143.685</v>
          </cell>
          <cell r="AJ69">
            <v>135.83100000000002</v>
          </cell>
        </row>
        <row r="70">
          <cell r="B70" t="str">
            <v>Accounts Payable - Other</v>
          </cell>
          <cell r="M70">
            <v>11.999000000000001</v>
          </cell>
          <cell r="V70">
            <v>17.716000000000001</v>
          </cell>
        </row>
        <row r="71">
          <cell r="B71" t="str">
            <v>Accrued Expenses</v>
          </cell>
          <cell r="G71">
            <v>61.115000000000002</v>
          </cell>
          <cell r="I71">
            <v>39.253</v>
          </cell>
          <cell r="K71">
            <v>39.253</v>
          </cell>
          <cell r="M71">
            <v>46.094999999999999</v>
          </cell>
          <cell r="Q71">
            <v>80.573520000000002</v>
          </cell>
          <cell r="V71">
            <v>46.277000000000001</v>
          </cell>
          <cell r="X71">
            <v>53.088999999999999</v>
          </cell>
          <cell r="AH71">
            <v>52.329000000000001</v>
          </cell>
          <cell r="AJ71">
            <v>64.524000000000001</v>
          </cell>
        </row>
        <row r="72">
          <cell r="B72" t="str">
            <v>Current Portion of Long Term Debt</v>
          </cell>
          <cell r="G72" t="str">
            <v>-</v>
          </cell>
          <cell r="I72" t="str">
            <v>-</v>
          </cell>
          <cell r="K72" t="str">
            <v>-</v>
          </cell>
          <cell r="M72" t="str">
            <v>-</v>
          </cell>
          <cell r="Q72" t="str">
            <v>-</v>
          </cell>
          <cell r="V72" t="str">
            <v>-</v>
          </cell>
          <cell r="X72" t="str">
            <v>-</v>
          </cell>
          <cell r="AH72">
            <v>0.318</v>
          </cell>
          <cell r="AJ72" t="str">
            <v>-</v>
          </cell>
        </row>
        <row r="73">
          <cell r="B73" t="str">
            <v>Current Deferred Tax Liability</v>
          </cell>
          <cell r="G73">
            <v>4.9859999999999998</v>
          </cell>
          <cell r="I73" t="str">
            <v>-</v>
          </cell>
          <cell r="K73" t="str">
            <v>-</v>
          </cell>
          <cell r="M73">
            <v>21.908723999999999</v>
          </cell>
          <cell r="Q73">
            <v>24.769611999999999</v>
          </cell>
          <cell r="V73">
            <v>28.087</v>
          </cell>
          <cell r="X73">
            <v>8.1140000000000008</v>
          </cell>
          <cell r="AH73" t="str">
            <v>-</v>
          </cell>
          <cell r="AJ73" t="str">
            <v>-</v>
          </cell>
        </row>
        <row r="74">
          <cell r="B74" t="str">
            <v>Total Current Liabilities</v>
          </cell>
          <cell r="G74">
            <v>195.958</v>
          </cell>
          <cell r="I74">
            <v>173.36399999999998</v>
          </cell>
          <cell r="K74">
            <v>173.36399999999998</v>
          </cell>
          <cell r="M74">
            <v>199.413928</v>
          </cell>
          <cell r="Q74">
            <v>220.53080199999999</v>
          </cell>
          <cell r="V74">
            <v>228.19600000000003</v>
          </cell>
          <cell r="X74">
            <v>189.88200000000001</v>
          </cell>
          <cell r="AH74">
            <v>196.33200000000002</v>
          </cell>
          <cell r="AJ74">
            <v>200.35500000000002</v>
          </cell>
        </row>
        <row r="76">
          <cell r="B76" t="str">
            <v>Deferred Income Taxes</v>
          </cell>
          <cell r="G76">
            <v>13.161</v>
          </cell>
          <cell r="I76">
            <v>14.077</v>
          </cell>
          <cell r="K76">
            <v>14.077</v>
          </cell>
          <cell r="M76">
            <v>12.212517999999999</v>
          </cell>
          <cell r="Q76">
            <v>13.906831</v>
          </cell>
          <cell r="V76">
            <v>14.512</v>
          </cell>
          <cell r="X76">
            <v>14.4</v>
          </cell>
          <cell r="AH76">
            <v>11.61</v>
          </cell>
          <cell r="AJ76">
            <v>16.63</v>
          </cell>
        </row>
        <row r="77">
          <cell r="B77" t="str">
            <v>Other Liabilities</v>
          </cell>
          <cell r="G77">
            <v>5.3609999999999998</v>
          </cell>
          <cell r="I77">
            <v>6.077</v>
          </cell>
          <cell r="K77">
            <v>6.077</v>
          </cell>
          <cell r="M77">
            <v>6.9447919999999996</v>
          </cell>
          <cell r="Q77">
            <v>7.4761689999999996</v>
          </cell>
          <cell r="V77">
            <v>9.0530000000000008</v>
          </cell>
          <cell r="X77">
            <v>7.1059999999999999</v>
          </cell>
          <cell r="AH77">
            <v>4.3449999999999998</v>
          </cell>
          <cell r="AJ77">
            <v>6.8520000000000003</v>
          </cell>
        </row>
        <row r="78">
          <cell r="B78" t="str">
            <v>Long-Term Debt</v>
          </cell>
          <cell r="G78" t="str">
            <v>-</v>
          </cell>
          <cell r="I78" t="str">
            <v>-</v>
          </cell>
          <cell r="K78" t="str">
            <v>-</v>
          </cell>
          <cell r="M78" t="str">
            <v>-</v>
          </cell>
          <cell r="Q78" t="str">
            <v>-</v>
          </cell>
          <cell r="V78" t="str">
            <v>-</v>
          </cell>
          <cell r="X78" t="str">
            <v xml:space="preserve">          -</v>
          </cell>
          <cell r="AH78" t="str">
            <v>-</v>
          </cell>
          <cell r="AJ78" t="str">
            <v xml:space="preserve">          -</v>
          </cell>
        </row>
        <row r="79">
          <cell r="B79" t="str">
            <v>Total Liabilities</v>
          </cell>
          <cell r="G79">
            <v>214.48</v>
          </cell>
          <cell r="I79">
            <v>193.51799999999997</v>
          </cell>
          <cell r="K79">
            <v>193.51799999999997</v>
          </cell>
          <cell r="M79">
            <v>218.57123799999999</v>
          </cell>
          <cell r="Q79">
            <v>241.913802</v>
          </cell>
          <cell r="V79">
            <v>251.76100000000002</v>
          </cell>
          <cell r="X79">
            <v>211.38800000000001</v>
          </cell>
          <cell r="AH79">
            <v>212.28700000000001</v>
          </cell>
          <cell r="AJ79">
            <v>223.83700000000002</v>
          </cell>
        </row>
        <row r="81">
          <cell r="B81" t="str">
            <v>Shareholders' Equity</v>
          </cell>
          <cell r="G81">
            <v>222.14699999999999</v>
          </cell>
          <cell r="I81">
            <v>202.71600000000001</v>
          </cell>
          <cell r="K81">
            <v>202.71600000000001</v>
          </cell>
          <cell r="M81">
            <v>228.76965100000001</v>
          </cell>
          <cell r="Q81">
            <v>246.426649</v>
          </cell>
          <cell r="V81">
            <v>239.69</v>
          </cell>
          <cell r="X81">
            <v>248.334</v>
          </cell>
          <cell r="AH81">
            <v>211.006</v>
          </cell>
          <cell r="AJ81">
            <v>439.447</v>
          </cell>
        </row>
        <row r="83">
          <cell r="B83" t="str">
            <v xml:space="preserve">Total Liabilities and </v>
          </cell>
          <cell r="G83">
            <v>436.62699999999995</v>
          </cell>
          <cell r="I83">
            <v>396.23399999999998</v>
          </cell>
          <cell r="K83">
            <v>396.23399999999998</v>
          </cell>
          <cell r="M83">
            <v>447.340889</v>
          </cell>
          <cell r="Q83">
            <v>488.34045100000003</v>
          </cell>
          <cell r="V83">
            <v>491.45100000000002</v>
          </cell>
          <cell r="X83">
            <v>459.72199999999998</v>
          </cell>
          <cell r="AH83">
            <v>423.29300000000001</v>
          </cell>
          <cell r="AJ83">
            <v>663.28399999999999</v>
          </cell>
        </row>
        <row r="84">
          <cell r="B84" t="str">
            <v>Shareholders' Equity</v>
          </cell>
        </row>
        <row r="85">
          <cell r="D85" t="str">
            <v>check</v>
          </cell>
          <cell r="I85">
            <v>0</v>
          </cell>
          <cell r="K85">
            <v>0</v>
          </cell>
          <cell r="M85">
            <v>3.1900000004725371E-4</v>
          </cell>
          <cell r="Q85">
            <v>-9.9999999747524271E-7</v>
          </cell>
          <cell r="V85">
            <v>2.0000000000038654E-2</v>
          </cell>
          <cell r="X85">
            <v>0</v>
          </cell>
        </row>
        <row r="86">
          <cell r="G86" t="str">
            <v>Historical</v>
          </cell>
          <cell r="I86" t="str">
            <v>Historical</v>
          </cell>
          <cell r="V86" t="str">
            <v>Projected</v>
          </cell>
        </row>
        <row r="87">
          <cell r="Q87" t="str">
            <v>LTM</v>
          </cell>
        </row>
        <row r="88">
          <cell r="G88" t="str">
            <v>2000A</v>
          </cell>
          <cell r="I88" t="str">
            <v>2001A</v>
          </cell>
          <cell r="K88" t="str">
            <v>2002A</v>
          </cell>
          <cell r="M88" t="str">
            <v>2003A</v>
          </cell>
          <cell r="O88">
            <v>37987</v>
          </cell>
          <cell r="P88" t="str">
            <v>48 weeks 12/05</v>
          </cell>
          <cell r="Q88">
            <v>38353</v>
          </cell>
          <cell r="S88" t="str">
            <v>Actual 9 weeks ended 12/31</v>
          </cell>
          <cell r="T88" t="str">
            <v>Budget 13 weeks ended 1/31/05</v>
          </cell>
          <cell r="U88" t="str">
            <v>Budget 4 weeks ended 1/31/05</v>
          </cell>
          <cell r="V88" t="str">
            <v>2004E(1)</v>
          </cell>
          <cell r="X88" t="str">
            <v>2005E</v>
          </cell>
        </row>
        <row r="93">
          <cell r="G93" t="str">
            <v>wc</v>
          </cell>
          <cell r="AK93" t="str">
            <v>Capitalization</v>
          </cell>
        </row>
        <row r="95">
          <cell r="G95">
            <v>95.465000000000003</v>
          </cell>
          <cell r="H95">
            <v>0</v>
          </cell>
          <cell r="I95">
            <v>70.691000000000003</v>
          </cell>
          <cell r="J95">
            <v>0</v>
          </cell>
          <cell r="K95">
            <v>70.691000000000003</v>
          </cell>
          <cell r="L95">
            <v>0</v>
          </cell>
          <cell r="N95">
            <v>0</v>
          </cell>
          <cell r="Q95">
            <v>112.746219</v>
          </cell>
          <cell r="R95">
            <v>0</v>
          </cell>
          <cell r="V95">
            <v>85.828000000000003</v>
          </cell>
          <cell r="AK95" t="str">
            <v>($ in millions, except per share data)</v>
          </cell>
        </row>
        <row r="96">
          <cell r="G96">
            <v>7.6335114872493615E-2</v>
          </cell>
          <cell r="H96" t="e">
            <v>#DIV/0!</v>
          </cell>
          <cell r="I96">
            <v>5.9277377979549635E-2</v>
          </cell>
          <cell r="J96" t="e">
            <v>#DIV/0!</v>
          </cell>
          <cell r="K96">
            <v>5.9234710764576988E-2</v>
          </cell>
          <cell r="L96" t="e">
            <v>#DIV/0!</v>
          </cell>
          <cell r="N96" t="e">
            <v>#DIV/0!</v>
          </cell>
          <cell r="Q96">
            <v>8.9022237750642524E-2</v>
          </cell>
          <cell r="V96">
            <v>6.7741495020098769E-2</v>
          </cell>
          <cell r="AK96" t="str">
            <v>Stock price (3/02/05)</v>
          </cell>
          <cell r="AN96" t="e">
            <v>#NAME?</v>
          </cell>
        </row>
        <row r="97">
          <cell r="AK97" t="str">
            <v xml:space="preserve">Shares, basic </v>
          </cell>
          <cell r="AN97">
            <v>32.789118999999999</v>
          </cell>
        </row>
        <row r="98">
          <cell r="AK98" t="str">
            <v>Shares from options(1)</v>
          </cell>
          <cell r="AN98">
            <v>1.2569999999999999</v>
          </cell>
        </row>
        <row r="99">
          <cell r="B99" t="str">
            <v>(1) Source: Company public filings</v>
          </cell>
          <cell r="AK99" t="str">
            <v>Fully diluted shares (m)</v>
          </cell>
          <cell r="AN99">
            <v>34.046118999999997</v>
          </cell>
        </row>
        <row r="100">
          <cell r="B100" t="str">
            <v>(2) Source: Management projects dated October 3, 2003</v>
          </cell>
          <cell r="AK100" t="str">
            <v>Market Cap</v>
          </cell>
          <cell r="AN100" t="e">
            <v>#NAME?</v>
          </cell>
        </row>
        <row r="101">
          <cell r="B101" t="str">
            <v>(3) Does not include a pre-tax restructuring charge of $1.36 million</v>
          </cell>
          <cell r="AK101">
            <v>0</v>
          </cell>
          <cell r="AL101" t="str">
            <v>Plus: Total debt (as of 1/31/05)</v>
          </cell>
          <cell r="AN101">
            <v>0</v>
          </cell>
        </row>
        <row r="102">
          <cell r="B102" t="str">
            <v>(4) Does not include a pre-tax restructuring credit of $0.74 million</v>
          </cell>
          <cell r="AL102" t="str">
            <v>Plus: Preferred stock</v>
          </cell>
          <cell r="AN102">
            <v>0</v>
          </cell>
        </row>
        <row r="103">
          <cell r="B103" t="str">
            <v>(5) Does not included a pre-tax charge of $3.57 million for the settlement of the Tommy Hilfiger law suit</v>
          </cell>
          <cell r="AL103" t="str">
            <v>Less: Cash (as of 1/31/05)(2)</v>
          </cell>
          <cell r="AN103">
            <v>-121.614</v>
          </cell>
        </row>
        <row r="104">
          <cell r="AK104" t="str">
            <v>Enterprise Value</v>
          </cell>
          <cell r="AN104" t="e">
            <v>#NAME?</v>
          </cell>
        </row>
        <row r="105">
          <cell r="AK105" t="str">
            <v>EV / LTM EBITDA</v>
          </cell>
          <cell r="AN105" t="e">
            <v>#NAME?</v>
          </cell>
        </row>
        <row r="106">
          <cell r="AK106" t="str">
            <v>EV / 2004E EBITDA</v>
          </cell>
          <cell r="AN106" t="e">
            <v>#NAME?</v>
          </cell>
        </row>
        <row r="107">
          <cell r="AK107" t="str">
            <v>EV / 2005E EBITDA</v>
          </cell>
          <cell r="AN107" t="e">
            <v>#NAME?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cro"/>
      <sheetName val="Ke"/>
      <sheetName val="Painel de controle"/>
      <sheetName val="Cenários"/>
      <sheetName val="Premissas unitárias"/>
      <sheetName val="Demanda"/>
      <sheetName val="Capex"/>
      <sheetName val="Project Finance"/>
      <sheetName val="Outras dívidas"/>
      <sheetName val="Receitas"/>
      <sheetName val="Despesas"/>
      <sheetName val="Rec acessórias"/>
      <sheetName val="WC"/>
      <sheetName val="Imobilizado"/>
      <sheetName val="DRE"/>
      <sheetName val="Fluxo de caixa"/>
      <sheetName val="Balanço"/>
      <sheetName val="DDM"/>
      <sheetName val="Gráficos"/>
      <sheetName val="BP Output"/>
      <sheetName val="DRE Output"/>
      <sheetName val="DDM Output"/>
      <sheetName val="Investimento Governo"/>
      <sheetName val="IGPM"/>
      <sheetName val="Detalhes despesas Cons. &gt;&gt;"/>
      <sheetName val="Energia Tração - Contrato"/>
      <sheetName val="Intervalos - Contrato"/>
      <sheetName val="Energia Tração - Otimi."/>
      <sheetName val="Intervalos - Otim."/>
      <sheetName val="Energia - Baixa tensão"/>
      <sheetName val="Material de consumo"/>
      <sheetName val="Serviços Terceirizados"/>
      <sheetName val="Gastos diversos"/>
      <sheetName val="Despesas - Premissas unitárias"/>
      <sheetName val="Drivers operacionais"/>
    </sheetNames>
    <sheetDataSet>
      <sheetData sheetId="0" refreshError="1"/>
      <sheetData sheetId="1"/>
      <sheetData sheetId="2" refreshError="1"/>
      <sheetData sheetId="3"/>
      <sheetData sheetId="4">
        <row r="1">
          <cell r="A1" t="str">
            <v>Barra para Min = Max</v>
          </cell>
          <cell r="B1">
            <v>10</v>
          </cell>
        </row>
        <row r="2">
          <cell r="N2" t="str">
            <v>Diferenças em relação ao caso base</v>
          </cell>
        </row>
        <row r="3">
          <cell r="B3" t="str">
            <v>transparente</v>
          </cell>
          <cell r="C3" t="str">
            <v>barra</v>
          </cell>
          <cell r="D3" t="str">
            <v>complem.</v>
          </cell>
          <cell r="E3" t="str">
            <v>Entrada</v>
          </cell>
          <cell r="G3" t="str">
            <v xml:space="preserve">Min </v>
          </cell>
          <cell r="H3" t="str">
            <v>Max</v>
          </cell>
          <cell r="J3" t="str">
            <v xml:space="preserve">Min </v>
          </cell>
          <cell r="K3" t="str">
            <v>Med</v>
          </cell>
          <cell r="L3" t="str">
            <v>Max</v>
          </cell>
          <cell r="N3" t="str">
            <v xml:space="preserve">Min </v>
          </cell>
          <cell r="O3" t="str">
            <v>Med</v>
          </cell>
          <cell r="P3" t="str">
            <v>Max</v>
          </cell>
        </row>
        <row r="4">
          <cell r="A4" t="str">
            <v>Caso Base</v>
          </cell>
          <cell r="B4">
            <v>-86.26595938344407</v>
          </cell>
          <cell r="C4">
            <v>-145.10931624162379</v>
          </cell>
          <cell r="D4">
            <v>0</v>
          </cell>
          <cell r="E4">
            <v>-231.37527562506787</v>
          </cell>
          <cell r="G4">
            <v>-231.37527562506787</v>
          </cell>
          <cell r="H4">
            <v>-86.26595938344407</v>
          </cell>
          <cell r="J4">
            <v>-231.37527562506787</v>
          </cell>
          <cell r="K4">
            <v>-182.14148261775171</v>
          </cell>
          <cell r="L4">
            <v>-86.26595938344407</v>
          </cell>
          <cell r="O4">
            <v>-182.14148261775171</v>
          </cell>
        </row>
        <row r="5">
          <cell r="A5" t="str">
            <v>Caso Base sem curva de aprendizado da demanda</v>
          </cell>
          <cell r="B5">
            <v>-9.2985346909718736</v>
          </cell>
          <cell r="C5">
            <v>-163.29876514256128</v>
          </cell>
          <cell r="D5">
            <v>0</v>
          </cell>
          <cell r="E5">
            <v>-172.59729983353316</v>
          </cell>
          <cell r="G5">
            <v>-172.59729983353316</v>
          </cell>
          <cell r="H5">
            <v>-9.2985346909718736</v>
          </cell>
          <cell r="J5">
            <v>-172.59729983353316</v>
          </cell>
          <cell r="K5">
            <v>-114.70190947841304</v>
          </cell>
          <cell r="L5">
            <v>-9.2985346909718736</v>
          </cell>
          <cell r="N5">
            <v>58.777975791534715</v>
          </cell>
          <cell r="O5">
            <v>67.439573139338663</v>
          </cell>
          <cell r="P5">
            <v>76.967424692472193</v>
          </cell>
        </row>
        <row r="6">
          <cell r="A6" t="str">
            <v>Caso Base com estacionamento / shopping</v>
          </cell>
          <cell r="B6">
            <v>-61.366629556693624</v>
          </cell>
          <cell r="C6">
            <v>-169.20533997106733</v>
          </cell>
          <cell r="D6">
            <v>0</v>
          </cell>
          <cell r="E6">
            <v>-230.57196952776096</v>
          </cell>
          <cell r="G6">
            <v>-230.57196952776096</v>
          </cell>
          <cell r="H6">
            <v>-61.366629556693624</v>
          </cell>
          <cell r="J6">
            <v>-230.57196952776096</v>
          </cell>
          <cell r="K6">
            <v>-171.90830864754804</v>
          </cell>
          <cell r="L6">
            <v>-61.366629556693624</v>
          </cell>
          <cell r="N6">
            <v>0.80330609730691549</v>
          </cell>
          <cell r="O6">
            <v>10.233173970203666</v>
          </cell>
          <cell r="P6">
            <v>24.899329826750446</v>
          </cell>
        </row>
        <row r="7">
          <cell r="A7" t="str">
            <v>Caso Base com headway otimizado</v>
          </cell>
          <cell r="B7">
            <v>-81.422527998109544</v>
          </cell>
          <cell r="C7">
            <v>-147.19933736940322</v>
          </cell>
          <cell r="D7">
            <v>0</v>
          </cell>
          <cell r="E7">
            <v>-228.62186536751278</v>
          </cell>
          <cell r="G7">
            <v>-228.62186536751278</v>
          </cell>
          <cell r="H7">
            <v>-81.422527998109544</v>
          </cell>
          <cell r="J7">
            <v>-228.62186536751278</v>
          </cell>
          <cell r="K7">
            <v>-178.52748451596347</v>
          </cell>
          <cell r="L7">
            <v>-81.422527998109544</v>
          </cell>
          <cell r="N7">
            <v>2.7534102575550889</v>
          </cell>
          <cell r="O7">
            <v>3.6139981017882405</v>
          </cell>
          <cell r="P7">
            <v>4.8434313853345259</v>
          </cell>
        </row>
        <row r="8">
          <cell r="A8" t="str">
            <v>Caso Base com extensão da concessão por mais 25 anos</v>
          </cell>
          <cell r="B8">
            <v>0</v>
          </cell>
          <cell r="C8">
            <v>73.55274839012624</v>
          </cell>
          <cell r="D8">
            <v>-198.34907416730147</v>
          </cell>
          <cell r="E8">
            <v>73.55274839012624</v>
          </cell>
          <cell r="G8">
            <v>-198.34907416730147</v>
          </cell>
          <cell r="H8">
            <v>73.55274839012624</v>
          </cell>
          <cell r="J8">
            <v>-198.34907416730147</v>
          </cell>
          <cell r="K8">
            <v>-110.9433207776039</v>
          </cell>
          <cell r="L8">
            <v>73.55274839012624</v>
          </cell>
          <cell r="N8">
            <v>33.026201457766405</v>
          </cell>
          <cell r="O8">
            <v>71.198161840147804</v>
          </cell>
          <cell r="P8">
            <v>159.81870777357031</v>
          </cell>
        </row>
        <row r="9">
          <cell r="A9" t="str">
            <v>Caso Base com - 10% de Capex</v>
          </cell>
          <cell r="B9">
            <v>0</v>
          </cell>
          <cell r="C9">
            <v>59.482706284611567</v>
          </cell>
          <cell r="D9">
            <v>-120.95285873773457</v>
          </cell>
          <cell r="E9">
            <v>59.482706284611567</v>
          </cell>
          <cell r="G9">
            <v>-120.95285873773457</v>
          </cell>
          <cell r="H9">
            <v>59.482706284611567</v>
          </cell>
          <cell r="J9">
            <v>-120.95285873773457</v>
          </cell>
          <cell r="K9">
            <v>-55.734664989767985</v>
          </cell>
          <cell r="L9">
            <v>59.482706284611567</v>
          </cell>
          <cell r="N9">
            <v>110.4224168873333</v>
          </cell>
          <cell r="O9">
            <v>126.40681762798371</v>
          </cell>
          <cell r="P9">
            <v>145.74866566805565</v>
          </cell>
        </row>
        <row r="10">
          <cell r="A10" t="str">
            <v>Caso Base com + 10% de Capex</v>
          </cell>
          <cell r="B10">
            <v>-240.00118654762315</v>
          </cell>
          <cell r="C10">
            <v>-108.09210389462754</v>
          </cell>
          <cell r="D10">
            <v>0</v>
          </cell>
          <cell r="E10">
            <v>-348.09329044225069</v>
          </cell>
          <cell r="G10">
            <v>-348.09329044225069</v>
          </cell>
          <cell r="H10">
            <v>-240.00118654762315</v>
          </cell>
          <cell r="J10">
            <v>-348.09329044225069</v>
          </cell>
          <cell r="K10">
            <v>-315.66998461133227</v>
          </cell>
          <cell r="L10">
            <v>-240.00118654762315</v>
          </cell>
          <cell r="N10">
            <v>-116.71801481718282</v>
          </cell>
          <cell r="O10">
            <v>-133.52850199358056</v>
          </cell>
          <cell r="P10">
            <v>-153.73522716417909</v>
          </cell>
        </row>
        <row r="11">
          <cell r="A11" t="str">
            <v>Caso Base com ressarcimento de acordo com Lei 4510</v>
          </cell>
          <cell r="B11">
            <v>-106.72097014299473</v>
          </cell>
          <cell r="C11">
            <v>-136.09187020044814</v>
          </cell>
          <cell r="D11">
            <v>0</v>
          </cell>
          <cell r="E11">
            <v>-242.81284034344287</v>
          </cell>
          <cell r="G11">
            <v>-242.81284034344287</v>
          </cell>
          <cell r="H11">
            <v>-106.72097014299473</v>
          </cell>
          <cell r="J11">
            <v>-242.81284034344287</v>
          </cell>
          <cell r="K11">
            <v>-197.27401179546172</v>
          </cell>
          <cell r="L11">
            <v>-106.72097014299473</v>
          </cell>
        </row>
        <row r="12">
          <cell r="A12" t="str">
            <v>Caso Base com - 0,5% de custo da dívida</v>
          </cell>
          <cell r="B12">
            <v>-68.63414791101988</v>
          </cell>
          <cell r="C12">
            <v>-150.56361350110089</v>
          </cell>
          <cell r="D12">
            <v>0</v>
          </cell>
          <cell r="E12">
            <v>-219.19776141212077</v>
          </cell>
          <cell r="G12">
            <v>-219.19776141212077</v>
          </cell>
          <cell r="H12">
            <v>-68.63414791101988</v>
          </cell>
          <cell r="J12">
            <v>-219.19776141212077</v>
          </cell>
          <cell r="K12">
            <v>-167.52228213553983</v>
          </cell>
          <cell r="L12">
            <v>-68.63414791101988</v>
          </cell>
        </row>
        <row r="13">
          <cell r="A13" t="str">
            <v>Caso Base com + 0,5% de custo da dívida</v>
          </cell>
          <cell r="B13">
            <v>-104.19583919231914</v>
          </cell>
          <cell r="C13">
            <v>-139.64037661849497</v>
          </cell>
          <cell r="D13">
            <v>0</v>
          </cell>
          <cell r="E13">
            <v>-243.83621581081411</v>
          </cell>
          <cell r="G13">
            <v>-243.83621581081411</v>
          </cell>
          <cell r="H13">
            <v>-104.19583919231914</v>
          </cell>
          <cell r="J13">
            <v>-243.83621581081411</v>
          </cell>
          <cell r="K13">
            <v>-197.06653891756199</v>
          </cell>
          <cell r="L13">
            <v>-104.19583919231914</v>
          </cell>
        </row>
        <row r="50">
          <cell r="A50" t="str">
            <v>NÃO ALTERAR LINHAS E COLUNAS</v>
          </cell>
        </row>
        <row r="51">
          <cell r="A51" t="str">
            <v>Barra para Min = Max</v>
          </cell>
          <cell r="B51">
            <v>10</v>
          </cell>
        </row>
        <row r="53">
          <cell r="B53" t="str">
            <v>transparente</v>
          </cell>
          <cell r="C53" t="str">
            <v>barra</v>
          </cell>
          <cell r="D53" t="str">
            <v>complem.</v>
          </cell>
          <cell r="E53" t="str">
            <v>Entrada</v>
          </cell>
          <cell r="G53" t="str">
            <v xml:space="preserve">Min </v>
          </cell>
          <cell r="H53" t="str">
            <v>Max</v>
          </cell>
          <cell r="I53" t="str">
            <v>Label do gráfico</v>
          </cell>
        </row>
        <row r="54">
          <cell r="A54" t="str">
            <v>Demanda cheia</v>
          </cell>
          <cell r="B54">
            <v>-114.70190947841304</v>
          </cell>
          <cell r="C54">
            <v>-67.439573139338663</v>
          </cell>
          <cell r="D54">
            <v>0</v>
          </cell>
          <cell r="E54">
            <v>-182.14148261775171</v>
          </cell>
          <cell r="G54">
            <v>-182.14148261775171</v>
          </cell>
          <cell r="H54">
            <v>-114.70190947841304</v>
          </cell>
          <cell r="I54">
            <v>0</v>
          </cell>
          <cell r="J54">
            <v>67.439573139338663</v>
          </cell>
        </row>
        <row r="55">
          <cell r="A55" t="str">
            <v>Receitas acessórias</v>
          </cell>
          <cell r="B55">
            <v>-171.90830864754804</v>
          </cell>
          <cell r="C55">
            <v>-10.233173970203666</v>
          </cell>
          <cell r="D55">
            <v>0</v>
          </cell>
          <cell r="E55">
            <v>-182.14148261775171</v>
          </cell>
          <cell r="G55">
            <v>-182.14148261775171</v>
          </cell>
          <cell r="H55">
            <v>-171.90830864754804</v>
          </cell>
          <cell r="I55">
            <v>0</v>
          </cell>
          <cell r="J55">
            <v>10.233173970203666</v>
          </cell>
        </row>
        <row r="56">
          <cell r="A56" t="str">
            <v>Headway otimizado</v>
          </cell>
          <cell r="B56">
            <v>-178.52748451596347</v>
          </cell>
          <cell r="C56">
            <v>-3.6139981017882405</v>
          </cell>
          <cell r="D56">
            <v>0</v>
          </cell>
          <cell r="E56">
            <v>-182.14148261775171</v>
          </cell>
          <cell r="G56">
            <v>-182.14148261775171</v>
          </cell>
          <cell r="H56">
            <v>-178.52748451596347</v>
          </cell>
          <cell r="I56">
            <v>0</v>
          </cell>
          <cell r="J56">
            <v>3.6139981017882405</v>
          </cell>
        </row>
        <row r="57">
          <cell r="A57" t="str">
            <v>Extensão da concessão</v>
          </cell>
          <cell r="B57">
            <v>-110.9433207776039</v>
          </cell>
          <cell r="C57">
            <v>-71.198161840147804</v>
          </cell>
          <cell r="D57">
            <v>0</v>
          </cell>
          <cell r="E57">
            <v>-182.14148261775171</v>
          </cell>
          <cell r="G57">
            <v>-182.14148261775171</v>
          </cell>
          <cell r="H57">
            <v>-110.9433207776039</v>
          </cell>
          <cell r="I57">
            <v>0</v>
          </cell>
          <cell r="J57">
            <v>71.198161840147804</v>
          </cell>
        </row>
        <row r="58">
          <cell r="A58" t="str">
            <v>Total de investimentos</v>
          </cell>
          <cell r="B58">
            <v>-55.734664989767985</v>
          </cell>
          <cell r="C58">
            <v>-259.9353196215643</v>
          </cell>
          <cell r="D58">
            <v>0</v>
          </cell>
          <cell r="E58">
            <v>-315.66998461133227</v>
          </cell>
          <cell r="G58">
            <v>-315.66998461133227</v>
          </cell>
          <cell r="H58">
            <v>-55.734664989767985</v>
          </cell>
          <cell r="I58">
            <v>-133.52850199358056</v>
          </cell>
          <cell r="J58">
            <v>126.40681762798371</v>
          </cell>
        </row>
        <row r="59">
          <cell r="A59" t="str">
            <v>Ressarcimento gratuidade</v>
          </cell>
          <cell r="B59">
            <v>-182.14148261775171</v>
          </cell>
          <cell r="C59">
            <v>-15.132529177710012</v>
          </cell>
          <cell r="D59">
            <v>0</v>
          </cell>
          <cell r="E59">
            <v>-197.27401179546172</v>
          </cell>
          <cell r="G59">
            <v>-197.27401179546172</v>
          </cell>
          <cell r="H59">
            <v>-182.14148261775171</v>
          </cell>
          <cell r="I59">
            <v>-15.132529177710012</v>
          </cell>
          <cell r="J59">
            <v>0</v>
          </cell>
        </row>
        <row r="60">
          <cell r="A60" t="str">
            <v>Custo da dívida</v>
          </cell>
          <cell r="B60">
            <v>-167.52228213553983</v>
          </cell>
          <cell r="C60">
            <v>-29.54425678202216</v>
          </cell>
          <cell r="D60">
            <v>0</v>
          </cell>
          <cell r="E60">
            <v>-197.06653891756199</v>
          </cell>
          <cell r="G60">
            <v>-197.06653891756199</v>
          </cell>
          <cell r="H60">
            <v>-167.52228213553983</v>
          </cell>
          <cell r="I60">
            <v>-14.925056299810279</v>
          </cell>
          <cell r="J60">
            <v>14.61920048221188</v>
          </cell>
        </row>
        <row r="61">
          <cell r="A61" t="str">
            <v>Custo de capital próprio</v>
          </cell>
          <cell r="B61">
            <v>-86.26595938344407</v>
          </cell>
          <cell r="C61">
            <v>-145.10931624162379</v>
          </cell>
          <cell r="D61">
            <v>0</v>
          </cell>
          <cell r="E61">
            <v>-231.37527562506787</v>
          </cell>
          <cell r="G61">
            <v>-231.37527562506787</v>
          </cell>
          <cell r="H61">
            <v>-86.26595938344407</v>
          </cell>
          <cell r="I61">
            <v>-49.233793007316166</v>
          </cell>
          <cell r="J61">
            <v>95.875523234307636</v>
          </cell>
        </row>
        <row r="64">
          <cell r="A64" t="str">
            <v>Caso Base</v>
          </cell>
          <cell r="B64">
            <v>-182.14148261775171</v>
          </cell>
          <cell r="C64">
            <v>10</v>
          </cell>
          <cell r="D64">
            <v>0</v>
          </cell>
          <cell r="E64">
            <v>-182.14148261775171</v>
          </cell>
          <cell r="G64">
            <v>-182.14148261775171</v>
          </cell>
          <cell r="H64">
            <v>-182.14148261775171</v>
          </cell>
          <cell r="J64">
            <v>-182.14148261775171</v>
          </cell>
        </row>
        <row r="70">
          <cell r="I70" t="str">
            <v>ATUALIZAR LABELS DO GRÁFICO A MÃO</v>
          </cell>
        </row>
      </sheetData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2">
          <cell r="C2" t="str">
            <v>Projeto Pepê</v>
          </cell>
          <cell r="N2" t="str">
            <v>Cenário: Linha 4 - Base</v>
          </cell>
          <cell r="AH2" t="str">
            <v>Free Cash Flow to Equity</v>
          </cell>
        </row>
        <row r="6">
          <cell r="C6" t="str">
            <v>DDM</v>
          </cell>
          <cell r="AJ6" t="str">
            <v>Último fluxo</v>
          </cell>
          <cell r="AK6" t="str">
            <v>Check para extensão por mais 25 anos</v>
          </cell>
        </row>
        <row r="7"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>
            <v>2014</v>
          </cell>
          <cell r="O7">
            <v>2015</v>
          </cell>
          <cell r="P7">
            <v>2016</v>
          </cell>
          <cell r="Q7">
            <v>2017</v>
          </cell>
          <cell r="R7">
            <v>2018</v>
          </cell>
          <cell r="S7">
            <v>2019</v>
          </cell>
          <cell r="T7">
            <v>2020</v>
          </cell>
          <cell r="U7">
            <v>2021</v>
          </cell>
          <cell r="V7">
            <v>2022</v>
          </cell>
          <cell r="W7">
            <v>2023</v>
          </cell>
          <cell r="X7">
            <v>2024</v>
          </cell>
          <cell r="Y7">
            <v>2025</v>
          </cell>
          <cell r="Z7">
            <v>2026</v>
          </cell>
          <cell r="AA7">
            <v>2027</v>
          </cell>
          <cell r="AB7">
            <v>2028</v>
          </cell>
          <cell r="AC7">
            <v>2029</v>
          </cell>
          <cell r="AD7">
            <v>2030</v>
          </cell>
          <cell r="AE7">
            <v>2031</v>
          </cell>
          <cell r="AF7">
            <v>2032</v>
          </cell>
          <cell r="AG7">
            <v>2033</v>
          </cell>
          <cell r="AH7">
            <v>2034</v>
          </cell>
          <cell r="AJ7" t="str">
            <v>da projeção</v>
          </cell>
        </row>
        <row r="8">
          <cell r="C8" t="str">
            <v>Dividendos + JSCP líquido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17.340505704375683</v>
          </cell>
          <cell r="R8">
            <v>141.55773713381333</v>
          </cell>
          <cell r="S8">
            <v>137.74384384248742</v>
          </cell>
          <cell r="T8">
            <v>81.580229071466505</v>
          </cell>
          <cell r="U8">
            <v>173.4703658533553</v>
          </cell>
          <cell r="V8">
            <v>198.41838726224358</v>
          </cell>
          <cell r="W8">
            <v>221.0186820321058</v>
          </cell>
          <cell r="X8">
            <v>277.52421931238524</v>
          </cell>
          <cell r="Y8">
            <v>307.08038560592996</v>
          </cell>
          <cell r="Z8">
            <v>334.74298079075942</v>
          </cell>
          <cell r="AA8">
            <v>360.02154860798464</v>
          </cell>
          <cell r="AB8">
            <v>379.4632092523409</v>
          </cell>
          <cell r="AC8">
            <v>415.84540512118258</v>
          </cell>
          <cell r="AD8">
            <v>456.02772862752801</v>
          </cell>
          <cell r="AE8">
            <v>494.54754676921658</v>
          </cell>
          <cell r="AF8">
            <v>540.06506346378751</v>
          </cell>
          <cell r="AG8">
            <v>586.44983729788123</v>
          </cell>
          <cell r="AH8">
            <v>0</v>
          </cell>
          <cell r="AJ8">
            <v>586.44983729788123</v>
          </cell>
          <cell r="AK8">
            <v>612.66414502509645</v>
          </cell>
          <cell r="AL8">
            <v>640.05023230771826</v>
          </cell>
          <cell r="AM8">
            <v>668.66047769187321</v>
          </cell>
          <cell r="AN8">
            <v>698.5496010446999</v>
          </cell>
          <cell r="AO8">
            <v>729.77476821139794</v>
          </cell>
          <cell r="AP8">
            <v>762.39570035044744</v>
          </cell>
          <cell r="AQ8">
            <v>796.47478815611237</v>
          </cell>
          <cell r="AR8">
            <v>832.07721118669053</v>
          </cell>
          <cell r="AS8">
            <v>869.27106252673559</v>
          </cell>
          <cell r="AT8">
            <v>908.12747902168064</v>
          </cell>
          <cell r="AU8">
            <v>948.72077733394974</v>
          </cell>
          <cell r="AV8">
            <v>991.12859608077724</v>
          </cell>
          <cell r="AW8">
            <v>1035.4320443255879</v>
          </cell>
          <cell r="AX8">
            <v>1081.7158567069416</v>
          </cell>
          <cell r="AY8">
            <v>1130.0685555017419</v>
          </cell>
          <cell r="AZ8">
            <v>1180.5826199326698</v>
          </cell>
          <cell r="BA8">
            <v>1233.3546630436601</v>
          </cell>
          <cell r="BB8">
            <v>1288.4856164817118</v>
          </cell>
          <cell r="BC8">
            <v>1346.0809235384443</v>
          </cell>
          <cell r="BD8">
            <v>1406.2507408206127</v>
          </cell>
          <cell r="BE8">
            <v>1469.1101489352941</v>
          </cell>
          <cell r="BF8">
            <v>1534.7793725927017</v>
          </cell>
          <cell r="BG8">
            <v>1603.3840105475954</v>
          </cell>
          <cell r="BH8">
            <v>1675.0552758190729</v>
          </cell>
          <cell r="BI8">
            <v>1749.9302466481854</v>
          </cell>
        </row>
        <row r="9">
          <cell r="C9" t="str">
            <v>Aporte de capital</v>
          </cell>
          <cell r="I9">
            <v>0</v>
          </cell>
          <cell r="J9">
            <v>-61.263924744710835</v>
          </cell>
          <cell r="K9">
            <v>-215.03138850689493</v>
          </cell>
          <cell r="L9">
            <v>-177.08366200757615</v>
          </cell>
          <cell r="M9">
            <v>-115.46829223846019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0">
          <cell r="C10" t="str">
            <v>Redução de capital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70</v>
          </cell>
          <cell r="S10">
            <v>70</v>
          </cell>
          <cell r="T10">
            <v>130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-54.089689879254948</v>
          </cell>
          <cell r="Z10">
            <v>22.175770319015186</v>
          </cell>
          <cell r="AA10">
            <v>20.368967817753312</v>
          </cell>
          <cell r="AB10">
            <v>52.558226878046348</v>
          </cell>
          <cell r="AC10">
            <v>50.685597009865873</v>
          </cell>
          <cell r="AD10">
            <v>50.247583677111258</v>
          </cell>
          <cell r="AE10">
            <v>50.851780194472312</v>
          </cell>
          <cell r="AF10">
            <v>50.385631268323408</v>
          </cell>
          <cell r="AG10">
            <v>64.951859648150332</v>
          </cell>
          <cell r="AH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</row>
        <row r="11">
          <cell r="C11" t="str">
            <v>Fluxo valor residual</v>
          </cell>
          <cell r="AG11">
            <v>3.59754056415888</v>
          </cell>
          <cell r="AH11">
            <v>0</v>
          </cell>
        </row>
        <row r="12">
          <cell r="C12" t="str">
            <v>Fluxo</v>
          </cell>
          <cell r="I12">
            <v>0</v>
          </cell>
          <cell r="J12">
            <v>-61.263924744710835</v>
          </cell>
          <cell r="K12">
            <v>-215.03138850689493</v>
          </cell>
          <cell r="L12">
            <v>-177.08366200757615</v>
          </cell>
          <cell r="M12">
            <v>-115.46829223846019</v>
          </cell>
          <cell r="N12">
            <v>0</v>
          </cell>
          <cell r="O12">
            <v>0</v>
          </cell>
          <cell r="P12">
            <v>0</v>
          </cell>
          <cell r="Q12">
            <v>17.340505704375683</v>
          </cell>
          <cell r="R12">
            <v>211.55773713381333</v>
          </cell>
          <cell r="S12">
            <v>207.74384384248742</v>
          </cell>
          <cell r="T12">
            <v>211.5802290714665</v>
          </cell>
          <cell r="U12">
            <v>173.4703658533553</v>
          </cell>
          <cell r="V12">
            <v>198.41838726224358</v>
          </cell>
          <cell r="W12">
            <v>221.0186820321058</v>
          </cell>
          <cell r="X12">
            <v>277.52421931238524</v>
          </cell>
          <cell r="Y12">
            <v>252.99069572667503</v>
          </cell>
          <cell r="Z12">
            <v>356.91875110977458</v>
          </cell>
          <cell r="AA12">
            <v>380.39051642573793</v>
          </cell>
          <cell r="AB12">
            <v>432.02143613038726</v>
          </cell>
          <cell r="AC12">
            <v>466.53100213104847</v>
          </cell>
          <cell r="AD12">
            <v>506.27531230463927</v>
          </cell>
          <cell r="AE12">
            <v>545.39932696368885</v>
          </cell>
          <cell r="AF12">
            <v>590.45069473211095</v>
          </cell>
          <cell r="AG12">
            <v>654.99923751019037</v>
          </cell>
          <cell r="AH12">
            <v>0</v>
          </cell>
          <cell r="AJ12">
            <v>586.44983729788123</v>
          </cell>
          <cell r="AK12">
            <v>612.66414502509645</v>
          </cell>
          <cell r="AL12">
            <v>640.05023230771826</v>
          </cell>
          <cell r="AM12">
            <v>668.66047769187321</v>
          </cell>
          <cell r="AN12">
            <v>698.5496010446999</v>
          </cell>
          <cell r="AO12">
            <v>729.77476821139794</v>
          </cell>
          <cell r="AP12">
            <v>762.39570035044744</v>
          </cell>
          <cell r="AQ12">
            <v>796.47478815611237</v>
          </cell>
          <cell r="AR12">
            <v>832.07721118669053</v>
          </cell>
          <cell r="AS12">
            <v>869.27106252673559</v>
          </cell>
          <cell r="AT12">
            <v>908.12747902168064</v>
          </cell>
          <cell r="AU12">
            <v>948.72077733394974</v>
          </cell>
          <cell r="AV12">
            <v>991.12859608077724</v>
          </cell>
          <cell r="AW12">
            <v>1035.4320443255879</v>
          </cell>
          <cell r="AX12">
            <v>1081.7158567069416</v>
          </cell>
          <cell r="AY12">
            <v>1130.0685555017419</v>
          </cell>
          <cell r="AZ12">
            <v>1180.5826199326698</v>
          </cell>
          <cell r="BA12">
            <v>1233.3546630436601</v>
          </cell>
          <cell r="BB12">
            <v>1288.4856164817118</v>
          </cell>
          <cell r="BC12">
            <v>1346.0809235384443</v>
          </cell>
          <cell r="BD12">
            <v>1406.2507408206127</v>
          </cell>
          <cell r="BE12">
            <v>1469.1101489352941</v>
          </cell>
          <cell r="BF12">
            <v>1534.7793725927017</v>
          </cell>
          <cell r="BG12">
            <v>1603.3840105475954</v>
          </cell>
          <cell r="BH12">
            <v>1675.0552758190729</v>
          </cell>
          <cell r="BI12">
            <v>1749.9302466481854</v>
          </cell>
        </row>
        <row r="14">
          <cell r="C14" t="str">
            <v>Custo de Capital Próprio</v>
          </cell>
          <cell r="E14">
            <v>0.17899999999999999</v>
          </cell>
        </row>
        <row r="15">
          <cell r="C15" t="str">
            <v>Período de desconto (mid-year convention)</v>
          </cell>
          <cell r="I15">
            <v>0.5</v>
          </cell>
          <cell r="J15">
            <v>1.5</v>
          </cell>
          <cell r="K15">
            <v>2.5</v>
          </cell>
          <cell r="L15">
            <v>3.5</v>
          </cell>
          <cell r="M15">
            <v>4.5</v>
          </cell>
          <cell r="N15">
            <v>5.5</v>
          </cell>
          <cell r="O15">
            <v>6.5</v>
          </cell>
          <cell r="P15">
            <v>7.5</v>
          </cell>
          <cell r="Q15">
            <v>8.5</v>
          </cell>
          <cell r="R15">
            <v>9.5</v>
          </cell>
          <cell r="S15">
            <v>10.5</v>
          </cell>
          <cell r="T15">
            <v>11.5</v>
          </cell>
          <cell r="U15">
            <v>12.5</v>
          </cell>
          <cell r="V15">
            <v>13.5</v>
          </cell>
          <cell r="W15">
            <v>14.5</v>
          </cell>
          <cell r="X15">
            <v>15.5</v>
          </cell>
          <cell r="Y15">
            <v>16.5</v>
          </cell>
          <cell r="Z15">
            <v>17.5</v>
          </cell>
          <cell r="AA15">
            <v>18.5</v>
          </cell>
          <cell r="AB15">
            <v>19.5</v>
          </cell>
          <cell r="AC15">
            <v>20.5</v>
          </cell>
          <cell r="AD15">
            <v>21.5</v>
          </cell>
          <cell r="AE15">
            <v>22.5</v>
          </cell>
          <cell r="AF15">
            <v>23.5</v>
          </cell>
          <cell r="AG15">
            <v>24.5</v>
          </cell>
          <cell r="AH15">
            <v>25.5</v>
          </cell>
          <cell r="AK15">
            <v>1</v>
          </cell>
          <cell r="AL15">
            <v>2</v>
          </cell>
          <cell r="AM15">
            <v>3</v>
          </cell>
          <cell r="AN15">
            <v>4</v>
          </cell>
          <cell r="AO15">
            <v>5</v>
          </cell>
          <cell r="AP15">
            <v>6</v>
          </cell>
          <cell r="AQ15">
            <v>7</v>
          </cell>
          <cell r="AR15">
            <v>8</v>
          </cell>
          <cell r="AS15">
            <v>9</v>
          </cell>
          <cell r="AT15">
            <v>10</v>
          </cell>
          <cell r="AU15">
            <v>11</v>
          </cell>
          <cell r="AV15">
            <v>12</v>
          </cell>
          <cell r="AW15">
            <v>13</v>
          </cell>
          <cell r="AX15">
            <v>14</v>
          </cell>
          <cell r="AY15">
            <v>15</v>
          </cell>
          <cell r="AZ15">
            <v>16</v>
          </cell>
          <cell r="BA15">
            <v>17</v>
          </cell>
          <cell r="BB15">
            <v>18</v>
          </cell>
          <cell r="BC15">
            <v>19</v>
          </cell>
          <cell r="BD15">
            <v>20</v>
          </cell>
          <cell r="BE15">
            <v>21</v>
          </cell>
          <cell r="BF15">
            <v>22</v>
          </cell>
          <cell r="BG15">
            <v>23</v>
          </cell>
          <cell r="BH15">
            <v>24</v>
          </cell>
          <cell r="BI15">
            <v>25</v>
          </cell>
        </row>
        <row r="16">
          <cell r="C16" t="str">
            <v>Fator de desconto</v>
          </cell>
          <cell r="I16">
            <v>0.92096493999256279</v>
          </cell>
          <cell r="J16">
            <v>0.78114074638894204</v>
          </cell>
          <cell r="K16">
            <v>0.66254516233158778</v>
          </cell>
          <cell r="L16">
            <v>0.56195518433552816</v>
          </cell>
          <cell r="M16">
            <v>0.47663713684099085</v>
          </cell>
          <cell r="N16">
            <v>0.40427238069634502</v>
          </cell>
          <cell r="O16">
            <v>0.34289430084507633</v>
          </cell>
          <cell r="P16">
            <v>0.2908348607676644</v>
          </cell>
          <cell r="Q16">
            <v>0.24667927121939304</v>
          </cell>
          <cell r="R16">
            <v>0.20922754132264038</v>
          </cell>
          <cell r="S16">
            <v>0.17746186710995793</v>
          </cell>
          <cell r="T16">
            <v>0.15051897125526539</v>
          </cell>
          <cell r="U16">
            <v>0.12766664228606051</v>
          </cell>
          <cell r="V16">
            <v>0.10828383569640422</v>
          </cell>
          <cell r="W16">
            <v>9.1843796180156215E-2</v>
          </cell>
          <cell r="X16">
            <v>7.7899742307172379E-2</v>
          </cell>
          <cell r="Y16">
            <v>6.6072724603199615E-2</v>
          </cell>
          <cell r="Z16">
            <v>5.6041327059541679E-2</v>
          </cell>
          <cell r="AA16">
            <v>4.753293219638817E-2</v>
          </cell>
          <cell r="AB16">
            <v>4.0316312295494643E-2</v>
          </cell>
          <cell r="AC16">
            <v>3.4195345458434799E-2</v>
          </cell>
          <cell r="AD16">
            <v>2.9003685715381519E-2</v>
          </cell>
          <cell r="AE16">
            <v>2.4600242337049619E-2</v>
          </cell>
          <cell r="AF16">
            <v>2.0865345493680774E-2</v>
          </cell>
          <cell r="AG16">
            <v>1.7697494057405228E-2</v>
          </cell>
          <cell r="AH16">
            <v>1.5010597164889936E-2</v>
          </cell>
          <cell r="AK16">
            <v>0.84817642069550458</v>
          </cell>
          <cell r="AL16">
            <v>0.71940324062383765</v>
          </cell>
          <cell r="AM16">
            <v>0.61018086566907348</v>
          </cell>
          <cell r="AN16">
            <v>0.51754102262007928</v>
          </cell>
          <cell r="AO16">
            <v>0.43896609212899002</v>
          </cell>
          <cell r="AP16">
            <v>0.37232068882865987</v>
          </cell>
          <cell r="AQ16">
            <v>0.3157936292015775</v>
          </cell>
          <cell r="AR16">
            <v>0.2678487100946374</v>
          </cell>
          <cell r="AS16">
            <v>0.22718296021597745</v>
          </cell>
          <cell r="AT16">
            <v>0.19269123003899696</v>
          </cell>
          <cell r="AU16">
            <v>0.16343615779389056</v>
          </cell>
          <cell r="AV16">
            <v>0.13862269532984781</v>
          </cell>
          <cell r="AW16">
            <v>0.11757650155203375</v>
          </cell>
          <cell r="AX16">
            <v>9.9725616244303428E-2</v>
          </cell>
          <cell r="AY16">
            <v>8.4584916237746749E-2</v>
          </cell>
          <cell r="AZ16">
            <v>7.1742931499361118E-2</v>
          </cell>
          <cell r="BA16">
            <v>6.0850662849330883E-2</v>
          </cell>
          <cell r="BB16">
            <v>5.1612097412494395E-2</v>
          </cell>
          <cell r="BC16">
            <v>4.3776164047917204E-2</v>
          </cell>
          <cell r="BD16">
            <v>3.7129910133941652E-2</v>
          </cell>
          <cell r="BE16">
            <v>3.1492714278152374E-2</v>
          </cell>
          <cell r="BF16">
            <v>2.6711377674429493E-2</v>
          </cell>
          <cell r="BG16">
            <v>2.2655960707743422E-2</v>
          </cell>
          <cell r="BH16">
            <v>1.9216251660511809E-2</v>
          </cell>
          <cell r="BI16">
            <v>1.6298771552596951E-2</v>
          </cell>
        </row>
        <row r="17">
          <cell r="C17" t="str">
            <v>Fluxos de caixa descontados</v>
          </cell>
          <cell r="I17">
            <v>0</v>
          </cell>
          <cell r="J17">
            <v>-47.855747901799397</v>
          </cell>
          <cell r="K17">
            <v>-142.46800620468741</v>
          </cell>
          <cell r="L17">
            <v>-99.51308192627782</v>
          </cell>
          <cell r="M17">
            <v>-55.036476208458474</v>
          </cell>
          <cell r="N17">
            <v>0</v>
          </cell>
          <cell r="O17">
            <v>0</v>
          </cell>
          <cell r="P17">
            <v>0</v>
          </cell>
          <cell r="Q17">
            <v>4.2775433097311213</v>
          </cell>
          <cell r="R17">
            <v>44.263705188289222</v>
          </cell>
          <cell r="S17">
            <v>36.866610408887354</v>
          </cell>
          <cell r="T17">
            <v>31.846838417790533</v>
          </cell>
          <cell r="U17">
            <v>22.146379144632355</v>
          </cell>
          <cell r="V17">
            <v>21.485504045450288</v>
          </cell>
          <cell r="W17">
            <v>20.299194784563479</v>
          </cell>
          <cell r="X17">
            <v>21.619065168434002</v>
          </cell>
          <cell r="Y17">
            <v>16.715784565920469</v>
          </cell>
          <cell r="Z17">
            <v>20.002200464626032</v>
          </cell>
          <cell r="AA17">
            <v>18.081076625413683</v>
          </cell>
          <cell r="AB17">
            <v>17.417511137380785</v>
          </cell>
          <cell r="AC17">
            <v>15.953188784940984</v>
          </cell>
          <cell r="AD17">
            <v>14.683850043540383</v>
          </cell>
          <cell r="AE17">
            <v>13.416955613770506</v>
          </cell>
          <cell r="AF17">
            <v>12.319957742569333</v>
          </cell>
          <cell r="AG17">
            <v>11.591845113441549</v>
          </cell>
          <cell r="AH17">
            <v>0</v>
          </cell>
          <cell r="AK17">
            <v>519.64728161585788</v>
          </cell>
          <cell r="AL17">
            <v>460.45421128421265</v>
          </cell>
          <cell r="AM17">
            <v>408.00382911672341</v>
          </cell>
          <cell r="AN17">
            <v>361.52807487552241</v>
          </cell>
          <cell r="AO17">
            <v>320.34637813609686</v>
          </cell>
          <cell r="AP17">
            <v>283.85569231448716</v>
          </cell>
          <cell r="AQ17">
            <v>251.52166391937635</v>
          </cell>
          <cell r="AR17">
            <v>222.87080771549824</v>
          </cell>
          <cell r="AS17">
            <v>197.48357321491181</v>
          </cell>
          <cell r="AT17">
            <v>174.98820096490104</v>
          </cell>
          <cell r="AU17">
            <v>155.05527866669394</v>
          </cell>
          <cell r="AV17">
            <v>137.39291740720537</v>
          </cell>
          <cell r="AW17">
            <v>121.74247736667296</v>
          </cell>
          <cell r="AX17">
            <v>107.87478041133437</v>
          </cell>
          <cell r="AY17">
            <v>95.586754110026305</v>
          </cell>
          <cell r="AZ17">
            <v>84.698458031165814</v>
          </cell>
          <cell r="BA17">
            <v>75.050448774519865</v>
          </cell>
          <cell r="BB17">
            <v>66.501445152452007</v>
          </cell>
          <cell r="BC17">
            <v>58.926259330590831</v>
          </cell>
          <cell r="BD17">
            <v>52.213963632458224</v>
          </cell>
          <cell r="BE17">
            <v>46.266266163553098</v>
          </cell>
          <cell r="BF17">
            <v>40.9960714682476</v>
          </cell>
          <cell r="BG17">
            <v>36.326205142390386</v>
          </cell>
          <cell r="BH17">
            <v>32.188283725407324</v>
          </cell>
          <cell r="BI17">
            <v>28.52171332309841</v>
          </cell>
        </row>
        <row r="18">
          <cell r="C18" t="str">
            <v>Resumo da avaliação</v>
          </cell>
          <cell r="E18" t="str">
            <v>R$ MM</v>
          </cell>
          <cell r="L18" t="str">
            <v>Taxa de desconto</v>
          </cell>
        </row>
        <row r="19">
          <cell r="C19" t="str">
            <v>Valor dos fluxos descontados (Equity Value)</v>
          </cell>
          <cell r="E19">
            <v>-1.8861016818409606</v>
          </cell>
          <cell r="J19">
            <v>0.15</v>
          </cell>
          <cell r="K19">
            <v>0.17899999999999999</v>
          </cell>
          <cell r="L19">
            <v>0.20799999999999999</v>
          </cell>
        </row>
        <row r="20">
          <cell r="C20" t="str">
            <v>Data base - 31/12/2008</v>
          </cell>
          <cell r="I20">
            <v>-1.8861016818409606</v>
          </cell>
          <cell r="J20">
            <v>133.18774540775385</v>
          </cell>
          <cell r="K20">
            <v>-1.8861016818409606</v>
          </cell>
          <cell r="L20">
            <v>-82.589154338112948</v>
          </cell>
        </row>
        <row r="22">
          <cell r="C22" t="str">
            <v>TIR</v>
          </cell>
          <cell r="I22">
            <v>0.1784731066246637</v>
          </cell>
        </row>
        <row r="24">
          <cell r="C24" t="str">
            <v>% crescimento DDM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>
            <v>7.1634145824301321</v>
          </cell>
          <cell r="S24">
            <v>-2.6942316036888014E-2</v>
          </cell>
          <cell r="T24">
            <v>-0.40773956355715635</v>
          </cell>
          <cell r="U24">
            <v>1.1263775283272439</v>
          </cell>
          <cell r="V24">
            <v>0.14381719486300226</v>
          </cell>
          <cell r="W24">
            <v>0.11390221985824378</v>
          </cell>
          <cell r="X24">
            <v>0.25565955221862779</v>
          </cell>
          <cell r="Y24">
            <v>0.10649941243605787</v>
          </cell>
          <cell r="Z24">
            <v>9.008258580321149E-2</v>
          </cell>
          <cell r="AA24">
            <v>7.5516349162900953E-2</v>
          </cell>
          <cell r="AB24">
            <v>5.4001380527157306E-2</v>
          </cell>
          <cell r="AC24">
            <v>9.5878058746527106E-2</v>
          </cell>
          <cell r="AD24">
            <v>9.6628032945646591E-2</v>
          </cell>
          <cell r="AE24">
            <v>8.4468149025978656E-2</v>
          </cell>
          <cell r="AF24">
            <v>9.2038706878495358E-2</v>
          </cell>
          <cell r="AG24">
            <v>8.5887380932582635E-2</v>
          </cell>
          <cell r="AH24">
            <v>-1</v>
          </cell>
        </row>
        <row r="27">
          <cell r="C27" t="str">
            <v>Fluxo valor residual</v>
          </cell>
          <cell r="I27">
            <v>2009</v>
          </cell>
          <cell r="J27">
            <v>2010</v>
          </cell>
          <cell r="K27">
            <v>2011</v>
          </cell>
          <cell r="L27">
            <v>2012</v>
          </cell>
          <cell r="M27">
            <v>2013</v>
          </cell>
          <cell r="N27">
            <v>2014</v>
          </cell>
          <cell r="O27">
            <v>2015</v>
          </cell>
          <cell r="P27">
            <v>2016</v>
          </cell>
          <cell r="Q27">
            <v>2017</v>
          </cell>
          <cell r="R27">
            <v>2018</v>
          </cell>
          <cell r="S27">
            <v>2019</v>
          </cell>
          <cell r="T27">
            <v>2020</v>
          </cell>
          <cell r="U27">
            <v>2021</v>
          </cell>
          <cell r="V27">
            <v>2022</v>
          </cell>
          <cell r="W27">
            <v>2023</v>
          </cell>
          <cell r="X27">
            <v>2024</v>
          </cell>
          <cell r="Y27">
            <v>2025</v>
          </cell>
          <cell r="Z27">
            <v>2026</v>
          </cell>
          <cell r="AA27">
            <v>2027</v>
          </cell>
          <cell r="AB27">
            <v>2028</v>
          </cell>
          <cell r="AC27">
            <v>2029</v>
          </cell>
          <cell r="AD27">
            <v>2030</v>
          </cell>
          <cell r="AE27">
            <v>2031</v>
          </cell>
          <cell r="AF27">
            <v>2032</v>
          </cell>
          <cell r="AG27">
            <v>2033</v>
          </cell>
          <cell r="AH27">
            <v>2034</v>
          </cell>
        </row>
        <row r="28">
          <cell r="C28" t="str">
            <v>Escolhido:</v>
          </cell>
          <cell r="D28" t="str">
            <v>1. PL no final de 25 anos</v>
          </cell>
          <cell r="AG28">
            <v>3.59754056415888</v>
          </cell>
          <cell r="AH28">
            <v>0</v>
          </cell>
        </row>
        <row r="29">
          <cell r="C29" t="str">
            <v>1. PL no final de 25 anos</v>
          </cell>
          <cell r="AG29">
            <v>3.59754056415888</v>
          </cell>
          <cell r="AH29">
            <v>0</v>
          </cell>
        </row>
        <row r="30">
          <cell r="C30" t="str">
            <v>2. Extensão da concessão por mais 25 anos</v>
          </cell>
          <cell r="AG30">
            <v>4340.0410358634063</v>
          </cell>
          <cell r="AH30">
            <v>4340.0410358634063</v>
          </cell>
          <cell r="AI30">
            <v>0</v>
          </cell>
        </row>
        <row r="31">
          <cell r="C31" t="str">
            <v>Valor dos dividendos considerando extensão por mais 25 anos</v>
          </cell>
        </row>
        <row r="32">
          <cell r="C32" t="str">
            <v>crescimento a.a. dos dividendos (real)</v>
          </cell>
          <cell r="E32">
            <v>0</v>
          </cell>
        </row>
        <row r="33">
          <cell r="C33" t="str">
            <v>inflação de longo prazo</v>
          </cell>
          <cell r="E33">
            <v>4.4699999999999997E-2</v>
          </cell>
        </row>
        <row r="34">
          <cell r="C34" t="str">
            <v>crescimento a.a. dos dividendos (nominal)</v>
          </cell>
          <cell r="E34">
            <v>4.4699999999999997E-2</v>
          </cell>
        </row>
        <row r="35">
          <cell r="C35" t="str">
            <v>Número de anos</v>
          </cell>
          <cell r="E35">
            <v>25</v>
          </cell>
        </row>
      </sheetData>
      <sheetData sheetId="19" refreshError="1"/>
      <sheetData sheetId="20">
        <row r="2">
          <cell r="C2" t="str">
            <v>Projeto Pepê</v>
          </cell>
          <cell r="N2" t="str">
            <v>Cenário: Linha 4 - Base</v>
          </cell>
          <cell r="AH2" t="str">
            <v>Balanço Output</v>
          </cell>
        </row>
        <row r="5">
          <cell r="H5">
            <v>2008</v>
          </cell>
          <cell r="I5">
            <v>2009</v>
          </cell>
          <cell r="J5">
            <v>2010</v>
          </cell>
          <cell r="K5">
            <v>2011</v>
          </cell>
          <cell r="L5">
            <v>2012</v>
          </cell>
          <cell r="M5">
            <v>2013</v>
          </cell>
          <cell r="N5">
            <v>2014</v>
          </cell>
          <cell r="O5">
            <v>2015</v>
          </cell>
          <cell r="P5">
            <v>2016</v>
          </cell>
          <cell r="Q5">
            <v>2017</v>
          </cell>
          <cell r="R5">
            <v>2018</v>
          </cell>
          <cell r="S5">
            <v>2019</v>
          </cell>
          <cell r="T5">
            <v>2020</v>
          </cell>
          <cell r="U5">
            <v>2021</v>
          </cell>
          <cell r="V5">
            <v>2022</v>
          </cell>
          <cell r="W5">
            <v>2023</v>
          </cell>
          <cell r="X5">
            <v>2024</v>
          </cell>
          <cell r="Y5">
            <v>2025</v>
          </cell>
          <cell r="Z5">
            <v>2026</v>
          </cell>
          <cell r="AA5">
            <v>2027</v>
          </cell>
          <cell r="AB5">
            <v>2028</v>
          </cell>
          <cell r="AC5">
            <v>2029</v>
          </cell>
          <cell r="AD5">
            <v>2030</v>
          </cell>
          <cell r="AE5">
            <v>2031</v>
          </cell>
          <cell r="AF5">
            <v>2032</v>
          </cell>
          <cell r="AG5">
            <v>2033</v>
          </cell>
          <cell r="AH5">
            <v>2034</v>
          </cell>
        </row>
        <row r="7">
          <cell r="C7" t="str">
            <v>Disponibilidades e aplicações financeiras</v>
          </cell>
          <cell r="H7">
            <v>0.28199999999999997</v>
          </cell>
          <cell r="I7">
            <v>17.076832860911129</v>
          </cell>
          <cell r="J7">
            <v>9.9999999999999893</v>
          </cell>
          <cell r="K7">
            <v>9.9999999999999893</v>
          </cell>
          <cell r="L7">
            <v>9.9999999999999893</v>
          </cell>
          <cell r="M7">
            <v>37.238191386531412</v>
          </cell>
          <cell r="N7">
            <v>187.59684501746423</v>
          </cell>
          <cell r="O7">
            <v>363.65174206310104</v>
          </cell>
          <cell r="P7">
            <v>437.35673867336521</v>
          </cell>
          <cell r="Q7">
            <v>472.64848229800577</v>
          </cell>
          <cell r="R7">
            <v>381.54377655018249</v>
          </cell>
          <cell r="S7">
            <v>264.45715929971789</v>
          </cell>
          <cell r="T7">
            <v>153.23464453962981</v>
          </cell>
          <cell r="U7">
            <v>101.44411333269633</v>
          </cell>
          <cell r="V7">
            <v>55.00979830644814</v>
          </cell>
          <cell r="W7">
            <v>52.067229845125397</v>
          </cell>
          <cell r="X7">
            <v>49.124269234456861</v>
          </cell>
          <cell r="Y7">
            <v>13.688661391148457</v>
          </cell>
          <cell r="Z7">
            <v>14.805334007608833</v>
          </cell>
          <cell r="AA7">
            <v>16.685246427022697</v>
          </cell>
          <cell r="AB7">
            <v>15.43862839000969</v>
          </cell>
          <cell r="AC7">
            <v>15.175944163936233</v>
          </cell>
          <cell r="AD7">
            <v>14.913804548475619</v>
          </cell>
          <cell r="AE7">
            <v>14.652769441092113</v>
          </cell>
          <cell r="AF7">
            <v>14.391693506409261</v>
          </cell>
          <cell r="AG7">
            <v>0</v>
          </cell>
          <cell r="AH7">
            <v>0</v>
          </cell>
        </row>
        <row r="8">
          <cell r="C8" t="str">
            <v>Outros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2.1577423570580918</v>
          </cell>
          <cell r="O8">
            <v>2.2915603725074312</v>
          </cell>
          <cell r="P8">
            <v>2.4799750686826219</v>
          </cell>
          <cell r="Q8">
            <v>2.6293769875871478</v>
          </cell>
          <cell r="R8">
            <v>2.7965917660291204</v>
          </cell>
          <cell r="S8">
            <v>3.0115852269709249</v>
          </cell>
          <cell r="T8">
            <v>3.19594832897738</v>
          </cell>
          <cell r="U8">
            <v>3.4049516805011169</v>
          </cell>
          <cell r="V8">
            <v>3.6526738651578814</v>
          </cell>
          <cell r="W8">
            <v>3.8705379477725996</v>
          </cell>
          <cell r="X8">
            <v>4.1852581376503881</v>
          </cell>
          <cell r="Y8">
            <v>4.4803326476787211</v>
          </cell>
          <cell r="Z8">
            <v>4.7934242964713292</v>
          </cell>
          <cell r="AA8">
            <v>5.1255542308059949</v>
          </cell>
          <cell r="AB8">
            <v>5.4777988881176469</v>
          </cell>
          <cell r="AC8">
            <v>5.8940376867071915</v>
          </cell>
          <cell r="AD8">
            <v>6.3365430987102842</v>
          </cell>
          <cell r="AE8">
            <v>6.8068316767850199</v>
          </cell>
          <cell r="AF8">
            <v>7.3065030703395353</v>
          </cell>
          <cell r="AG8">
            <v>7.8372444241727521</v>
          </cell>
          <cell r="AH8">
            <v>0</v>
          </cell>
        </row>
        <row r="10">
          <cell r="C10" t="str">
            <v>Imobilizado líquido</v>
          </cell>
          <cell r="H10">
            <v>20.23</v>
          </cell>
          <cell r="I10">
            <v>25.202363999999999</v>
          </cell>
          <cell r="J10">
            <v>176.03445141734113</v>
          </cell>
          <cell r="K10">
            <v>910.40803802861444</v>
          </cell>
          <cell r="L10">
            <v>1554.4281642616625</v>
          </cell>
          <cell r="M10">
            <v>1930.4325060509404</v>
          </cell>
          <cell r="N10">
            <v>1745.9451983175763</v>
          </cell>
          <cell r="O10">
            <v>1559.3184409319185</v>
          </cell>
          <cell r="P10">
            <v>1372.7257883785242</v>
          </cell>
          <cell r="Q10">
            <v>1186.0757234991443</v>
          </cell>
          <cell r="R10">
            <v>999.42800457056774</v>
          </cell>
          <cell r="S10">
            <v>1045.3598940122413</v>
          </cell>
          <cell r="T10">
            <v>949.88005942844688</v>
          </cell>
          <cell r="U10">
            <v>854.42356549655847</v>
          </cell>
          <cell r="V10">
            <v>758.98986597813632</v>
          </cell>
          <cell r="W10">
            <v>663.50521547979588</v>
          </cell>
          <cell r="X10">
            <v>606.75998121859016</v>
          </cell>
          <cell r="Y10">
            <v>549.9581926691219</v>
          </cell>
          <cell r="Z10">
            <v>493.15178657638285</v>
          </cell>
          <cell r="AA10">
            <v>436.34688549270072</v>
          </cell>
          <cell r="AB10">
            <v>454.96581342121181</v>
          </cell>
          <cell r="AC10">
            <v>482.77219360972867</v>
          </cell>
          <cell r="AD10">
            <v>423.00974565543743</v>
          </cell>
          <cell r="AE10">
            <v>363.23950943453451</v>
          </cell>
          <cell r="AF10">
            <v>303.46093799264759</v>
          </cell>
          <cell r="AG10">
            <v>243.67344596389466</v>
          </cell>
          <cell r="AH10">
            <v>0</v>
          </cell>
        </row>
        <row r="12">
          <cell r="C12" t="str">
            <v>Total do Ativo</v>
          </cell>
          <cell r="H12">
            <v>20.512</v>
          </cell>
          <cell r="I12">
            <v>42.279196860911128</v>
          </cell>
          <cell r="J12">
            <v>186.03445141734113</v>
          </cell>
          <cell r="K12">
            <v>920.40803802861444</v>
          </cell>
          <cell r="L12">
            <v>1564.4281642616625</v>
          </cell>
          <cell r="M12">
            <v>1967.670697437472</v>
          </cell>
          <cell r="N12">
            <v>1935.6997856920987</v>
          </cell>
          <cell r="O12">
            <v>1925.2617433675271</v>
          </cell>
          <cell r="P12">
            <v>1812.5625021205719</v>
          </cell>
          <cell r="Q12">
            <v>1661.3535827847372</v>
          </cell>
          <cell r="R12">
            <v>1383.7683728867794</v>
          </cell>
          <cell r="S12">
            <v>1312.8286385389301</v>
          </cell>
          <cell r="T12">
            <v>1106.310652297054</v>
          </cell>
          <cell r="U12">
            <v>959.27263050975591</v>
          </cell>
          <cell r="V12">
            <v>817.65233814974238</v>
          </cell>
          <cell r="W12">
            <v>719.44298327269382</v>
          </cell>
          <cell r="X12">
            <v>660.06950859069741</v>
          </cell>
          <cell r="Y12">
            <v>568.12718670794902</v>
          </cell>
          <cell r="Z12">
            <v>512.75054488046305</v>
          </cell>
          <cell r="AA12">
            <v>458.1576861505294</v>
          </cell>
          <cell r="AB12">
            <v>475.88224069933915</v>
          </cell>
          <cell r="AC12">
            <v>503.84217546037212</v>
          </cell>
          <cell r="AD12">
            <v>444.26009330262332</v>
          </cell>
          <cell r="AE12">
            <v>384.69911055241164</v>
          </cell>
          <cell r="AF12">
            <v>325.15913456939637</v>
          </cell>
          <cell r="AG12">
            <v>251.51069038806742</v>
          </cell>
          <cell r="AH12">
            <v>0</v>
          </cell>
        </row>
        <row r="14">
          <cell r="C14" t="str">
            <v xml:space="preserve">Passivo </v>
          </cell>
          <cell r="H14">
            <v>7.6260000000000048</v>
          </cell>
          <cell r="I14">
            <v>29.393196860911132</v>
          </cell>
          <cell r="J14">
            <v>111.88452667263027</v>
          </cell>
          <cell r="K14">
            <v>631.22672477700871</v>
          </cell>
          <cell r="L14">
            <v>1098.1631890024805</v>
          </cell>
          <cell r="M14">
            <v>1385.9374299398298</v>
          </cell>
          <cell r="N14">
            <v>1394.8128436019877</v>
          </cell>
          <cell r="O14">
            <v>1395.2478109396573</v>
          </cell>
          <cell r="P14">
            <v>1258.7026126427991</v>
          </cell>
          <cell r="Q14">
            <v>1220.983886174201</v>
          </cell>
          <cell r="R14">
            <v>1083.3986762762434</v>
          </cell>
          <cell r="S14">
            <v>941.09537104128833</v>
          </cell>
          <cell r="T14">
            <v>794.57738479941179</v>
          </cell>
          <cell r="U14">
            <v>647.53936301211377</v>
          </cell>
          <cell r="V14">
            <v>505.91907065209989</v>
          </cell>
          <cell r="W14">
            <v>407.70971577505156</v>
          </cell>
          <cell r="X14">
            <v>348.33624109305492</v>
          </cell>
          <cell r="Y14">
            <v>202.30422933105206</v>
          </cell>
          <cell r="Z14">
            <v>252.91837738763246</v>
          </cell>
          <cell r="AA14">
            <v>306.25603741506143</v>
          </cell>
          <cell r="AB14">
            <v>292.7237992768662</v>
          </cell>
          <cell r="AC14">
            <v>283.80778010815595</v>
          </cell>
          <cell r="AD14">
            <v>274.47328162751819</v>
          </cell>
          <cell r="AE14">
            <v>265.76407907177872</v>
          </cell>
          <cell r="AF14">
            <v>256.60973435708712</v>
          </cell>
          <cell r="AG14">
            <v>247.91314982390782</v>
          </cell>
          <cell r="AH14">
            <v>0</v>
          </cell>
        </row>
        <row r="15">
          <cell r="C15" t="str">
            <v>Circulante</v>
          </cell>
        </row>
        <row r="16">
          <cell r="C16" t="str">
            <v>Empréstimos e financiamentos</v>
          </cell>
          <cell r="H16">
            <v>0</v>
          </cell>
          <cell r="I16">
            <v>0</v>
          </cell>
          <cell r="J16">
            <v>104.25852667263027</v>
          </cell>
          <cell r="K16">
            <v>623.60072477700874</v>
          </cell>
          <cell r="L16">
            <v>1090.5371890024805</v>
          </cell>
          <cell r="M16">
            <v>1378.3114299398298</v>
          </cell>
          <cell r="N16">
            <v>1379.8306057809391</v>
          </cell>
          <cell r="O16">
            <v>1379.8575571365689</v>
          </cell>
          <cell r="P16">
            <v>1241.9380274812424</v>
          </cell>
          <cell r="Q16">
            <v>1202.9359492567819</v>
          </cell>
          <cell r="R16">
            <v>1064.982365493079</v>
          </cell>
          <cell r="S16">
            <v>917.163372478273</v>
          </cell>
          <cell r="T16">
            <v>769.30952600928117</v>
          </cell>
          <cell r="U16">
            <v>621.46319217353209</v>
          </cell>
          <cell r="V16">
            <v>473.63924661783449</v>
          </cell>
          <cell r="W16">
            <v>325.77596836551601</v>
          </cell>
          <cell r="X16">
            <v>177.98378307962338</v>
          </cell>
          <cell r="Y16">
            <v>30.158969155122222</v>
          </cell>
          <cell r="Z16">
            <v>78.981992057676393</v>
          </cell>
          <cell r="AA16">
            <v>130.42781891326331</v>
          </cell>
          <cell r="AB16">
            <v>114.71722570740368</v>
          </cell>
          <cell r="AC16">
            <v>102.81609814790792</v>
          </cell>
          <cell r="AD16">
            <v>90.918839501328762</v>
          </cell>
          <cell r="AE16">
            <v>79.0244239978433</v>
          </cell>
          <cell r="AF16">
            <v>67.129449196111821</v>
          </cell>
          <cell r="AG16">
            <v>55.235057615337269</v>
          </cell>
          <cell r="AH16">
            <v>0</v>
          </cell>
        </row>
        <row r="17">
          <cell r="C17" t="str">
            <v>Revolver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4.4640703616751338</v>
          </cell>
          <cell r="W17">
            <v>52.560365843883702</v>
          </cell>
          <cell r="X17">
            <v>137.72923384654706</v>
          </cell>
          <cell r="Y17">
            <v>137.72923384654712</v>
          </cell>
          <cell r="Z17">
            <v>137.7292338465472</v>
          </cell>
          <cell r="AA17">
            <v>137.72923384654717</v>
          </cell>
          <cell r="AB17">
            <v>137.72923384654717</v>
          </cell>
          <cell r="AC17">
            <v>137.72923384654715</v>
          </cell>
          <cell r="AD17">
            <v>137.72923384654712</v>
          </cell>
          <cell r="AE17">
            <v>137.72923384654712</v>
          </cell>
          <cell r="AF17">
            <v>137.72923384654715</v>
          </cell>
          <cell r="AG17">
            <v>137.72923384654715</v>
          </cell>
          <cell r="AH17">
            <v>0</v>
          </cell>
        </row>
        <row r="18">
          <cell r="C18" t="str">
            <v>Fornecedores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C19" t="str">
            <v>Salários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5.6301578138455266</v>
          </cell>
          <cell r="O19">
            <v>5.931126445994237</v>
          </cell>
          <cell r="P19">
            <v>6.5425757306216887</v>
          </cell>
          <cell r="Q19">
            <v>7.1578682049185698</v>
          </cell>
          <cell r="R19">
            <v>7.4778249136784316</v>
          </cell>
          <cell r="S19">
            <v>8.4050090997590896</v>
          </cell>
          <cell r="T19">
            <v>8.6671769074936584</v>
          </cell>
          <cell r="U19">
            <v>9.0545997152586271</v>
          </cell>
          <cell r="V19">
            <v>9.5396882018905202</v>
          </cell>
          <cell r="W19">
            <v>9.9661122645150257</v>
          </cell>
          <cell r="X19">
            <v>10.571681914599488</v>
          </cell>
          <cell r="Y19">
            <v>10.876995890217273</v>
          </cell>
          <cell r="Z19">
            <v>11.363197606509985</v>
          </cell>
          <cell r="AA19">
            <v>11.871132539520982</v>
          </cell>
          <cell r="AB19">
            <v>12.900542038129556</v>
          </cell>
          <cell r="AC19">
            <v>13.898720430033618</v>
          </cell>
          <cell r="AD19">
            <v>14.296680411825369</v>
          </cell>
          <cell r="AE19">
            <v>14.999568440215544</v>
          </cell>
          <cell r="AF19">
            <v>15.670049149493174</v>
          </cell>
          <cell r="AG19">
            <v>16.37050034647552</v>
          </cell>
          <cell r="AH19">
            <v>0</v>
          </cell>
        </row>
        <row r="20">
          <cell r="C20" t="str">
            <v>Impostos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1.7260800072030704</v>
          </cell>
          <cell r="O20">
            <v>1.8331273570941016</v>
          </cell>
          <cell r="P20">
            <v>2.5960094309351467</v>
          </cell>
          <cell r="Q20">
            <v>3.2640687125005976</v>
          </cell>
          <cell r="R20">
            <v>3.3124858694858554</v>
          </cell>
          <cell r="S20">
            <v>7.9009894632561704</v>
          </cell>
          <cell r="T20">
            <v>8.9746818826370234</v>
          </cell>
          <cell r="U20">
            <v>9.3955711233231121</v>
          </cell>
          <cell r="V20">
            <v>10.65006547069976</v>
          </cell>
          <cell r="W20">
            <v>11.781269301136875</v>
          </cell>
          <cell r="X20">
            <v>14.425542252285037</v>
          </cell>
          <cell r="Y20">
            <v>15.913030439165428</v>
          </cell>
          <cell r="Z20">
            <v>17.217953876898857</v>
          </cell>
          <cell r="AA20">
            <v>18.601852115729898</v>
          </cell>
          <cell r="AB20">
            <v>19.75079768478577</v>
          </cell>
          <cell r="AC20">
            <v>21.737727683667234</v>
          </cell>
          <cell r="AD20">
            <v>23.902527867816918</v>
          </cell>
          <cell r="AE20">
            <v>26.384852787172779</v>
          </cell>
          <cell r="AF20">
            <v>28.455002164934978</v>
          </cell>
          <cell r="AG20">
            <v>30.95235801554788</v>
          </cell>
          <cell r="AH20">
            <v>0</v>
          </cell>
        </row>
        <row r="22">
          <cell r="C22" t="str">
            <v>Passivo não circulante</v>
          </cell>
        </row>
        <row r="23">
          <cell r="C23" t="str">
            <v>Adiantamentos do Governo</v>
          </cell>
          <cell r="H23">
            <v>0</v>
          </cell>
          <cell r="I23">
            <v>21.767196860911127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C24" t="str">
            <v>Outros</v>
          </cell>
          <cell r="H24">
            <v>7.6260000000000048</v>
          </cell>
          <cell r="I24">
            <v>7.6260000000000048</v>
          </cell>
          <cell r="J24">
            <v>7.6260000000000048</v>
          </cell>
          <cell r="K24">
            <v>7.6260000000000048</v>
          </cell>
          <cell r="L24">
            <v>7.6260000000000048</v>
          </cell>
          <cell r="M24">
            <v>7.6260000000000048</v>
          </cell>
          <cell r="N24">
            <v>7.6260000000000048</v>
          </cell>
          <cell r="O24">
            <v>7.6260000000000048</v>
          </cell>
          <cell r="P24">
            <v>7.6260000000000048</v>
          </cell>
          <cell r="Q24">
            <v>7.6260000000000048</v>
          </cell>
          <cell r="R24">
            <v>7.6260000000000048</v>
          </cell>
          <cell r="S24">
            <v>7.6260000000000048</v>
          </cell>
          <cell r="T24">
            <v>7.6260000000000048</v>
          </cell>
          <cell r="U24">
            <v>7.6260000000000048</v>
          </cell>
          <cell r="V24">
            <v>7.6260000000000048</v>
          </cell>
          <cell r="W24">
            <v>7.6260000000000048</v>
          </cell>
          <cell r="X24">
            <v>7.6260000000000048</v>
          </cell>
          <cell r="Y24">
            <v>7.6260000000000048</v>
          </cell>
          <cell r="Z24">
            <v>7.6260000000000048</v>
          </cell>
          <cell r="AA24">
            <v>7.6260000000000048</v>
          </cell>
          <cell r="AB24">
            <v>7.6260000000000048</v>
          </cell>
          <cell r="AC24">
            <v>7.6260000000000048</v>
          </cell>
          <cell r="AD24">
            <v>7.6260000000000048</v>
          </cell>
          <cell r="AE24">
            <v>7.6260000000000048</v>
          </cell>
          <cell r="AF24">
            <v>7.6260000000000048</v>
          </cell>
          <cell r="AG24">
            <v>7.6260000000000048</v>
          </cell>
          <cell r="AH24">
            <v>0</v>
          </cell>
        </row>
        <row r="26">
          <cell r="C26" t="str">
            <v>Patrimônio Líquido</v>
          </cell>
          <cell r="H26">
            <v>12.885999999999999</v>
          </cell>
          <cell r="I26">
            <v>12.885999999999999</v>
          </cell>
          <cell r="J26">
            <v>74.14992474471083</v>
          </cell>
          <cell r="K26">
            <v>289.18131325160573</v>
          </cell>
          <cell r="L26">
            <v>466.26497525918188</v>
          </cell>
          <cell r="M26">
            <v>581.73326749764203</v>
          </cell>
          <cell r="N26">
            <v>540.88694209011089</v>
          </cell>
          <cell r="O26">
            <v>530.0139324278698</v>
          </cell>
          <cell r="P26">
            <v>553.85988947777264</v>
          </cell>
          <cell r="Q26">
            <v>581.73326749764203</v>
          </cell>
          <cell r="R26">
            <v>441.73326749764203</v>
          </cell>
          <cell r="S26">
            <v>371.73326749764203</v>
          </cell>
          <cell r="T26">
            <v>311.73326749764203</v>
          </cell>
          <cell r="U26">
            <v>311.73326749764203</v>
          </cell>
          <cell r="V26">
            <v>311.73326749764203</v>
          </cell>
          <cell r="W26">
            <v>311.73326749764203</v>
          </cell>
          <cell r="X26">
            <v>311.73326749764203</v>
          </cell>
          <cell r="Y26">
            <v>365.82295737689697</v>
          </cell>
          <cell r="Z26">
            <v>343.64718705788175</v>
          </cell>
          <cell r="AA26">
            <v>323.27821924012846</v>
          </cell>
          <cell r="AB26">
            <v>270.71999236208211</v>
          </cell>
          <cell r="AC26">
            <v>220.03439535221622</v>
          </cell>
          <cell r="AD26">
            <v>169.78681167510496</v>
          </cell>
          <cell r="AE26">
            <v>118.93503148063265</v>
          </cell>
          <cell r="AF26">
            <v>68.549400212309251</v>
          </cell>
          <cell r="AG26">
            <v>3.59754056415888</v>
          </cell>
          <cell r="AH26">
            <v>0</v>
          </cell>
        </row>
        <row r="27">
          <cell r="C27" t="str">
            <v>Capital social</v>
          </cell>
          <cell r="H27">
            <v>12.885999999999999</v>
          </cell>
          <cell r="I27">
            <v>12.885999999999999</v>
          </cell>
          <cell r="J27">
            <v>74.14992474471083</v>
          </cell>
          <cell r="K27">
            <v>289.18131325160573</v>
          </cell>
          <cell r="L27">
            <v>466.26497525918188</v>
          </cell>
          <cell r="M27">
            <v>581.73326749764203</v>
          </cell>
          <cell r="N27">
            <v>581.73326749764203</v>
          </cell>
          <cell r="O27">
            <v>581.73326749764203</v>
          </cell>
          <cell r="P27">
            <v>581.73326749764203</v>
          </cell>
          <cell r="Q27">
            <v>581.73326749764203</v>
          </cell>
          <cell r="R27">
            <v>511.73326749764203</v>
          </cell>
          <cell r="S27">
            <v>441.73326749764203</v>
          </cell>
          <cell r="T27">
            <v>311.73326749764203</v>
          </cell>
          <cell r="U27">
            <v>311.73326749764203</v>
          </cell>
          <cell r="V27">
            <v>311.73326749764203</v>
          </cell>
          <cell r="W27">
            <v>311.73326749764203</v>
          </cell>
          <cell r="X27">
            <v>311.73326749764203</v>
          </cell>
          <cell r="Y27">
            <v>365.82295737689697</v>
          </cell>
          <cell r="Z27">
            <v>343.64718705788175</v>
          </cell>
          <cell r="AA27">
            <v>323.27821924012846</v>
          </cell>
          <cell r="AB27">
            <v>270.71999236208211</v>
          </cell>
          <cell r="AC27">
            <v>220.03439535221622</v>
          </cell>
          <cell r="AD27">
            <v>169.78681167510496</v>
          </cell>
          <cell r="AE27">
            <v>118.93503148063265</v>
          </cell>
          <cell r="AF27">
            <v>68.549400212309237</v>
          </cell>
          <cell r="AG27">
            <v>3.5975405641589049</v>
          </cell>
          <cell r="AH27">
            <v>0</v>
          </cell>
        </row>
        <row r="28">
          <cell r="C28" t="str">
            <v>Lucros acumulados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-40.84632540753109</v>
          </cell>
          <cell r="O28">
            <v>-51.719335069772171</v>
          </cell>
          <cell r="P28">
            <v>-27.873378019869346</v>
          </cell>
          <cell r="Q28">
            <v>0</v>
          </cell>
          <cell r="R28">
            <v>-70</v>
          </cell>
          <cell r="S28">
            <v>-70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-1.4210854715202004E-14</v>
          </cell>
          <cell r="AE28">
            <v>0</v>
          </cell>
          <cell r="AF28">
            <v>1.1546319456101628E-14</v>
          </cell>
          <cell r="AG28">
            <v>-2.4868995751603507E-14</v>
          </cell>
          <cell r="AH28">
            <v>0</v>
          </cell>
        </row>
        <row r="30">
          <cell r="C30" t="str">
            <v>Total do Passivo e PL</v>
          </cell>
          <cell r="H30">
            <v>20.512000000000004</v>
          </cell>
          <cell r="I30">
            <v>42.279196860911128</v>
          </cell>
          <cell r="J30">
            <v>186.0344514173411</v>
          </cell>
          <cell r="K30">
            <v>920.40803802861444</v>
          </cell>
          <cell r="L30">
            <v>1564.4281642616625</v>
          </cell>
          <cell r="M30">
            <v>1967.670697437472</v>
          </cell>
          <cell r="N30">
            <v>1935.6997856920984</v>
          </cell>
          <cell r="O30">
            <v>1925.2617433675271</v>
          </cell>
          <cell r="P30">
            <v>1812.5625021205717</v>
          </cell>
          <cell r="Q30">
            <v>1802.7171536718429</v>
          </cell>
          <cell r="R30">
            <v>1525.1319437738853</v>
          </cell>
          <cell r="S30">
            <v>1312.8286385389304</v>
          </cell>
          <cell r="T30">
            <v>1106.3106522970538</v>
          </cell>
          <cell r="U30">
            <v>959.2726305097558</v>
          </cell>
          <cell r="V30">
            <v>817.65233814974192</v>
          </cell>
          <cell r="W30">
            <v>719.4429832726936</v>
          </cell>
          <cell r="X30">
            <v>660.06950859069696</v>
          </cell>
          <cell r="Y30">
            <v>568.12718670794902</v>
          </cell>
          <cell r="Z30">
            <v>596.56556444551416</v>
          </cell>
          <cell r="AA30">
            <v>629.53425665518989</v>
          </cell>
          <cell r="AB30">
            <v>563.44379163894837</v>
          </cell>
          <cell r="AC30">
            <v>503.84217546037218</v>
          </cell>
          <cell r="AD30">
            <v>444.26009330262315</v>
          </cell>
          <cell r="AE30">
            <v>384.69911055241136</v>
          </cell>
          <cell r="AF30">
            <v>325.15913456939637</v>
          </cell>
          <cell r="AG30">
            <v>251.51069038806671</v>
          </cell>
          <cell r="AH30">
            <v>0</v>
          </cell>
        </row>
        <row r="32">
          <cell r="C32" t="str">
            <v>Check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C33">
            <v>0</v>
          </cell>
        </row>
      </sheetData>
      <sheetData sheetId="21">
        <row r="2">
          <cell r="C2" t="str">
            <v>Projeto Pepê</v>
          </cell>
          <cell r="N2" t="str">
            <v>Cenário: Linha 4 - Base</v>
          </cell>
          <cell r="AH2" t="str">
            <v>DRE Output</v>
          </cell>
        </row>
        <row r="5">
          <cell r="I5">
            <v>2009</v>
          </cell>
          <cell r="J5">
            <v>2010</v>
          </cell>
          <cell r="K5">
            <v>2011</v>
          </cell>
          <cell r="L5">
            <v>2012</v>
          </cell>
          <cell r="M5">
            <v>2013</v>
          </cell>
          <cell r="N5">
            <v>2014</v>
          </cell>
          <cell r="O5">
            <v>2015</v>
          </cell>
          <cell r="P5">
            <v>2016</v>
          </cell>
          <cell r="Q5">
            <v>2017</v>
          </cell>
          <cell r="R5">
            <v>2018</v>
          </cell>
          <cell r="S5">
            <v>2019</v>
          </cell>
          <cell r="T5">
            <v>2020</v>
          </cell>
          <cell r="U5">
            <v>2021</v>
          </cell>
          <cell r="V5">
            <v>2022</v>
          </cell>
          <cell r="W5">
            <v>2023</v>
          </cell>
          <cell r="X5">
            <v>2024</v>
          </cell>
          <cell r="Y5">
            <v>2025</v>
          </cell>
          <cell r="Z5">
            <v>2026</v>
          </cell>
          <cell r="AA5">
            <v>2027</v>
          </cell>
          <cell r="AB5">
            <v>2028</v>
          </cell>
          <cell r="AC5">
            <v>2029</v>
          </cell>
          <cell r="AD5">
            <v>2030</v>
          </cell>
          <cell r="AE5">
            <v>2031</v>
          </cell>
          <cell r="AF5">
            <v>2032</v>
          </cell>
          <cell r="AG5">
            <v>2033</v>
          </cell>
          <cell r="AH5">
            <v>2034</v>
          </cell>
        </row>
        <row r="7">
          <cell r="C7" t="str">
            <v>Passageiros transportados por dia (mil)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196.91458320998385</v>
          </cell>
          <cell r="O7">
            <v>201.45746961031739</v>
          </cell>
          <cell r="P7">
            <v>206.0003560106509</v>
          </cell>
          <cell r="Q7">
            <v>210.54324241098442</v>
          </cell>
          <cell r="R7">
            <v>215.08612881131793</v>
          </cell>
          <cell r="S7">
            <v>219.51997699501129</v>
          </cell>
          <cell r="T7">
            <v>223.95382517870465</v>
          </cell>
          <cell r="U7">
            <v>228.38767336239803</v>
          </cell>
          <cell r="V7">
            <v>232.82152154609139</v>
          </cell>
          <cell r="W7">
            <v>237.25536972978475</v>
          </cell>
          <cell r="X7">
            <v>243.26380167399307</v>
          </cell>
          <cell r="Y7">
            <v>249.27223361820137</v>
          </cell>
          <cell r="Z7">
            <v>255.28066556240967</v>
          </cell>
          <cell r="AA7">
            <v>261.28909750661796</v>
          </cell>
          <cell r="AB7">
            <v>267.29752945082635</v>
          </cell>
          <cell r="AC7">
            <v>275.30251249272715</v>
          </cell>
          <cell r="AD7">
            <v>283.30749553462795</v>
          </cell>
          <cell r="AE7">
            <v>291.31247857652875</v>
          </cell>
          <cell r="AF7">
            <v>299.31746161842949</v>
          </cell>
          <cell r="AG7">
            <v>307.32244466033023</v>
          </cell>
          <cell r="AH7">
            <v>0</v>
          </cell>
        </row>
        <row r="8">
          <cell r="C8" t="str">
            <v>Crescimento</v>
          </cell>
          <cell r="I8" t="str">
            <v>na</v>
          </cell>
          <cell r="J8" t="str">
            <v>na</v>
          </cell>
          <cell r="K8" t="str">
            <v>na</v>
          </cell>
          <cell r="L8" t="str">
            <v>na</v>
          </cell>
          <cell r="M8" t="str">
            <v>na</v>
          </cell>
          <cell r="N8" t="str">
            <v>na</v>
          </cell>
          <cell r="O8">
            <v>2.3070340074757834E-2</v>
          </cell>
          <cell r="P8">
            <v>2.255010156297943E-2</v>
          </cell>
          <cell r="Q8">
            <v>2.2052808491741738E-2</v>
          </cell>
          <cell r="R8">
            <v>2.1576975581413915E-2</v>
          </cell>
          <cell r="S8">
            <v>2.0614291624463155E-2</v>
          </cell>
          <cell r="T8">
            <v>2.019792569399792E-2</v>
          </cell>
          <cell r="U8">
            <v>1.9798046227410326E-2</v>
          </cell>
          <cell r="V8">
            <v>1.9413693035253532E-2</v>
          </cell>
          <cell r="W8">
            <v>1.9043979071391881E-2</v>
          </cell>
          <cell r="X8">
            <v>2.5324745867928877E-2</v>
          </cell>
          <cell r="Y8">
            <v>2.4699243795673453E-2</v>
          </cell>
          <cell r="Z8">
            <v>2.4103895796958819E-2</v>
          </cell>
          <cell r="AA8">
            <v>2.3536572701152725E-2</v>
          </cell>
          <cell r="AB8">
            <v>2.2995341181643481E-2</v>
          </cell>
          <cell r="AC8">
            <v>2.9947837746002959E-2</v>
          </cell>
          <cell r="AD8">
            <v>2.9077043174868589E-2</v>
          </cell>
          <cell r="AE8">
            <v>2.8255458002601097E-2</v>
          </cell>
          <cell r="AF8">
            <v>2.747902555021442E-2</v>
          </cell>
          <cell r="AG8">
            <v>2.6744123108011442E-2</v>
          </cell>
          <cell r="AH8">
            <v>-1</v>
          </cell>
        </row>
        <row r="11">
          <cell r="C11" t="str">
            <v>Receita líquida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322.43838076199057</v>
          </cell>
          <cell r="O11">
            <v>342.43523723427893</v>
          </cell>
          <cell r="P11">
            <v>370.59065131685816</v>
          </cell>
          <cell r="Q11">
            <v>392.91626060785313</v>
          </cell>
          <cell r="R11">
            <v>417.90370279433142</v>
          </cell>
          <cell r="S11">
            <v>450.03086718619471</v>
          </cell>
          <cell r="T11">
            <v>477.58083852024612</v>
          </cell>
          <cell r="U11">
            <v>508.81288159466806</v>
          </cell>
          <cell r="V11">
            <v>545.83080444271968</v>
          </cell>
          <cell r="W11">
            <v>578.38693506447942</v>
          </cell>
          <cell r="X11">
            <v>625.41658533081466</v>
          </cell>
          <cell r="Y11">
            <v>669.51051846720338</v>
          </cell>
          <cell r="Z11">
            <v>716.29681060100165</v>
          </cell>
          <cell r="AA11">
            <v>765.92805497971733</v>
          </cell>
          <cell r="AB11">
            <v>818.56510711159672</v>
          </cell>
          <cell r="AC11">
            <v>880.76500961085321</v>
          </cell>
          <cell r="AD11">
            <v>946.89001663867487</v>
          </cell>
          <cell r="AE11">
            <v>1017.1667515367302</v>
          </cell>
          <cell r="AF11">
            <v>1091.8342550613261</v>
          </cell>
          <cell r="AG11">
            <v>1171.1446426864425</v>
          </cell>
          <cell r="AH11">
            <v>0</v>
          </cell>
        </row>
        <row r="12">
          <cell r="C12" t="str">
            <v>Crescimento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>
            <v>6.2017606046251395E-2</v>
          </cell>
          <cell r="P12">
            <v>8.2221135622548625E-2</v>
          </cell>
          <cell r="Q12">
            <v>6.0243314858761554E-2</v>
          </cell>
          <cell r="R12">
            <v>6.3594828444671681E-2</v>
          </cell>
          <cell r="S12">
            <v>7.6876955569054717E-2</v>
          </cell>
          <cell r="T12">
            <v>6.1217959350892581E-2</v>
          </cell>
          <cell r="U12">
            <v>6.5396348754678701E-2</v>
          </cell>
          <cell r="V12">
            <v>7.2753509565312013E-2</v>
          </cell>
          <cell r="W12">
            <v>5.9645095800334724E-2</v>
          </cell>
          <cell r="X12">
            <v>8.1311743774247436E-2</v>
          </cell>
          <cell r="Y12">
            <v>7.050329999333993E-2</v>
          </cell>
          <cell r="Z12">
            <v>6.9881339939082965E-2</v>
          </cell>
          <cell r="AA12">
            <v>6.9288657500894191E-2</v>
          </cell>
          <cell r="AB12">
            <v>6.8723232932462963E-2</v>
          </cell>
          <cell r="AC12">
            <v>7.5986506093249195E-2</v>
          </cell>
          <cell r="AD12">
            <v>7.5076787004785261E-2</v>
          </cell>
          <cell r="AE12">
            <v>7.421847697531736E-2</v>
          </cell>
          <cell r="AF12">
            <v>7.340733799230903E-2</v>
          </cell>
          <cell r="AG12">
            <v>7.2639585410939178E-2</v>
          </cell>
          <cell r="AH12">
            <v>-1</v>
          </cell>
        </row>
        <row r="14">
          <cell r="C14" t="str">
            <v>(-) Custos e despesas operacionais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-71.111466753423969</v>
          </cell>
          <cell r="O14">
            <v>-74.935192978844483</v>
          </cell>
          <cell r="P14">
            <v>-82.602504525048545</v>
          </cell>
          <cell r="Q14">
            <v>-90.269363178871899</v>
          </cell>
          <cell r="R14">
            <v>-94.364526427610386</v>
          </cell>
          <cell r="S14">
            <v>-105.90544383108401</v>
          </cell>
          <cell r="T14">
            <v>-109.31826099815346</v>
          </cell>
          <cell r="U14">
            <v>-114.28483264169255</v>
          </cell>
          <cell r="V14">
            <v>-120.48652602538598</v>
          </cell>
          <cell r="W14">
            <v>-125.9383358381483</v>
          </cell>
          <cell r="X14">
            <v>-133.68696167885804</v>
          </cell>
          <cell r="Y14">
            <v>-137.75870239889719</v>
          </cell>
          <cell r="Z14">
            <v>-144.05304758329936</v>
          </cell>
          <cell r="AA14">
            <v>-150.63485294151093</v>
          </cell>
          <cell r="AB14">
            <v>-163.58560754635337</v>
          </cell>
          <cell r="AC14">
            <v>-176.23382683217196</v>
          </cell>
          <cell r="AD14">
            <v>-181.6111755981517</v>
          </cell>
          <cell r="AE14">
            <v>-190.73210433887343</v>
          </cell>
          <cell r="AF14">
            <v>-199.49430193647828</v>
          </cell>
          <cell r="AG14">
            <v>-208.65874008895059</v>
          </cell>
          <cell r="AH14">
            <v>0</v>
          </cell>
        </row>
        <row r="16">
          <cell r="C16" t="str">
            <v>EBITDA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251.3269140085666</v>
          </cell>
          <cell r="O16">
            <v>267.50004425543443</v>
          </cell>
          <cell r="P16">
            <v>287.98814679180964</v>
          </cell>
          <cell r="Q16">
            <v>302.64689742898122</v>
          </cell>
          <cell r="R16">
            <v>323.53917636672105</v>
          </cell>
          <cell r="S16">
            <v>344.12542335511068</v>
          </cell>
          <cell r="T16">
            <v>368.26257752209267</v>
          </cell>
          <cell r="U16">
            <v>394.5280489529755</v>
          </cell>
          <cell r="V16">
            <v>425.34427841733373</v>
          </cell>
          <cell r="W16">
            <v>452.44859922633111</v>
          </cell>
          <cell r="X16">
            <v>491.72962365195662</v>
          </cell>
          <cell r="Y16">
            <v>531.7518160683062</v>
          </cell>
          <cell r="Z16">
            <v>572.24376301770235</v>
          </cell>
          <cell r="AA16">
            <v>615.29320203820635</v>
          </cell>
          <cell r="AB16">
            <v>654.97949956524337</v>
          </cell>
          <cell r="AC16">
            <v>704.53118277868123</v>
          </cell>
          <cell r="AD16">
            <v>765.27884104052316</v>
          </cell>
          <cell r="AE16">
            <v>826.43464719785675</v>
          </cell>
          <cell r="AF16">
            <v>892.33995312484785</v>
          </cell>
          <cell r="AG16">
            <v>962.48590259749187</v>
          </cell>
          <cell r="AH16">
            <v>0</v>
          </cell>
        </row>
        <row r="17">
          <cell r="C17" t="str">
            <v xml:space="preserve">Margem 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>
            <v>0.77945718935390873</v>
          </cell>
          <cell r="O17">
            <v>0.78116973713316429</v>
          </cell>
          <cell r="P17">
            <v>0.77710580601121892</v>
          </cell>
          <cell r="Q17">
            <v>0.77025801111101244</v>
          </cell>
          <cell r="R17">
            <v>0.77419552447935291</v>
          </cell>
          <cell r="S17">
            <v>0.76467071138196629</v>
          </cell>
          <cell r="T17">
            <v>0.77109998521534251</v>
          </cell>
          <cell r="U17">
            <v>0.77538927024899018</v>
          </cell>
          <cell r="V17">
            <v>0.77926030366058241</v>
          </cell>
          <cell r="W17">
            <v>0.78225936963097464</v>
          </cell>
          <cell r="X17">
            <v>0.78624333793747381</v>
          </cell>
          <cell r="Y17">
            <v>0.79423967421111485</v>
          </cell>
          <cell r="Z17">
            <v>0.79889196007667118</v>
          </cell>
          <cell r="AA17">
            <v>0.80333028414072127</v>
          </cell>
          <cell r="AB17">
            <v>0.80015565515175158</v>
          </cell>
          <cell r="AC17">
            <v>0.79990823328683658</v>
          </cell>
          <cell r="AD17">
            <v>0.8082024602573743</v>
          </cell>
          <cell r="AE17">
            <v>0.81248688668724534</v>
          </cell>
          <cell r="AF17">
            <v>0.81728517766162867</v>
          </cell>
          <cell r="AG17">
            <v>0.82183350161572144</v>
          </cell>
          <cell r="AH17" t="str">
            <v>na</v>
          </cell>
        </row>
        <row r="19">
          <cell r="C19" t="str">
            <v>(-) Depreciação e amortização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-186.65755893494884</v>
          </cell>
          <cell r="O19">
            <v>-186.6652593222716</v>
          </cell>
          <cell r="P19">
            <v>-186.68341101449087</v>
          </cell>
          <cell r="Q19">
            <v>-186.69174754826872</v>
          </cell>
          <cell r="R19">
            <v>-186.70275470319172</v>
          </cell>
          <cell r="S19">
            <v>-95.533800788356984</v>
          </cell>
          <cell r="T19">
            <v>-95.537666855344085</v>
          </cell>
          <cell r="U19">
            <v>-95.53527047093398</v>
          </cell>
          <cell r="V19">
            <v>-95.550242541839538</v>
          </cell>
          <cell r="W19">
            <v>-95.552881609060591</v>
          </cell>
          <cell r="X19">
            <v>-56.926681054876269</v>
          </cell>
          <cell r="Y19">
            <v>-56.943446113341025</v>
          </cell>
          <cell r="Z19">
            <v>-56.95801198373001</v>
          </cell>
          <cell r="AA19">
            <v>-56.967153952887749</v>
          </cell>
          <cell r="AB19">
            <v>-65.369739199925988</v>
          </cell>
          <cell r="AC19">
            <v>-60.002767120279827</v>
          </cell>
          <cell r="AD19">
            <v>-60.027432520808574</v>
          </cell>
          <cell r="AE19">
            <v>-60.05383012303728</v>
          </cell>
          <cell r="AF19">
            <v>-60.082081576023484</v>
          </cell>
          <cell r="AG19">
            <v>-60.112317071994553</v>
          </cell>
          <cell r="AH19">
            <v>0</v>
          </cell>
        </row>
        <row r="20">
          <cell r="C20" t="str">
            <v>EBIT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64.669355073617766</v>
          </cell>
          <cell r="O20">
            <v>80.834784933162837</v>
          </cell>
          <cell r="P20">
            <v>101.30473577731877</v>
          </cell>
          <cell r="Q20">
            <v>115.9551498807125</v>
          </cell>
          <cell r="R20">
            <v>136.83642166352934</v>
          </cell>
          <cell r="S20">
            <v>248.5916225667537</v>
          </cell>
          <cell r="T20">
            <v>272.7249106667486</v>
          </cell>
          <cell r="U20">
            <v>298.9927784820415</v>
          </cell>
          <cell r="V20">
            <v>329.79403587549416</v>
          </cell>
          <cell r="W20">
            <v>356.89571761727052</v>
          </cell>
          <cell r="X20">
            <v>434.80294259708035</v>
          </cell>
          <cell r="Y20">
            <v>474.8083699549652</v>
          </cell>
          <cell r="Z20">
            <v>515.28575103397236</v>
          </cell>
          <cell r="AA20">
            <v>558.32604808531858</v>
          </cell>
          <cell r="AB20">
            <v>589.60976036531736</v>
          </cell>
          <cell r="AC20">
            <v>644.5284156584014</v>
          </cell>
          <cell r="AD20">
            <v>705.25140851971457</v>
          </cell>
          <cell r="AE20">
            <v>766.38081707481945</v>
          </cell>
          <cell r="AF20">
            <v>832.25787154882437</v>
          </cell>
          <cell r="AG20">
            <v>902.37358552549733</v>
          </cell>
          <cell r="AH20">
            <v>0</v>
          </cell>
        </row>
        <row r="21">
          <cell r="C21" t="str">
            <v xml:space="preserve">Margem 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>
            <v>0.20056345314968493</v>
          </cell>
          <cell r="O21">
            <v>0.2360586065442187</v>
          </cell>
          <cell r="P21">
            <v>0.27336020327912253</v>
          </cell>
          <cell r="Q21">
            <v>0.29511415409819497</v>
          </cell>
          <cell r="R21">
            <v>0.32743529370179447</v>
          </cell>
          <cell r="S21">
            <v>0.55238793756762905</v>
          </cell>
          <cell r="T21">
            <v>0.57105496843585557</v>
          </cell>
          <cell r="U21">
            <v>0.58762816213490832</v>
          </cell>
          <cell r="V21">
            <v>0.60420561315187415</v>
          </cell>
          <cell r="W21">
            <v>0.61705356048107007</v>
          </cell>
          <cell r="X21">
            <v>0.69522131775109697</v>
          </cell>
          <cell r="Y21">
            <v>0.70918731947931923</v>
          </cell>
          <cell r="Z21">
            <v>0.71937462712088163</v>
          </cell>
          <cell r="AA21">
            <v>0.72895364578348509</v>
          </cell>
          <cell r="AB21">
            <v>0.72029671829749109</v>
          </cell>
          <cell r="AC21">
            <v>0.73178249433770337</v>
          </cell>
          <cell r="AD21">
            <v>0.74480815736473482</v>
          </cell>
          <cell r="AE21">
            <v>0.75344658672432552</v>
          </cell>
          <cell r="AF21">
            <v>0.76225660414187879</v>
          </cell>
          <cell r="AG21">
            <v>0.77050566824570721</v>
          </cell>
          <cell r="AH21" t="str">
            <v>na</v>
          </cell>
        </row>
        <row r="23">
          <cell r="C23" t="str">
            <v>(+) Resultado financeiro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-105.51568048114885</v>
          </cell>
          <cell r="O23">
            <v>-91.707794595403911</v>
          </cell>
          <cell r="P23">
            <v>-70.010828887682521</v>
          </cell>
          <cell r="Q23">
            <v>-56.619344468317443</v>
          </cell>
          <cell r="R23">
            <v>-46.959537829637235</v>
          </cell>
          <cell r="S23">
            <v>-44.029902676536253</v>
          </cell>
          <cell r="T23">
            <v>-43.057896922102358</v>
          </cell>
          <cell r="U23">
            <v>-41.543374536765448</v>
          </cell>
          <cell r="V23">
            <v>-34.544599492508617</v>
          </cell>
          <cell r="W23">
            <v>-27.403410370857344</v>
          </cell>
          <cell r="X23">
            <v>-19.69618492600133</v>
          </cell>
          <cell r="Y23">
            <v>-14.91954214215178</v>
          </cell>
          <cell r="Z23">
            <v>-14.41817667539247</v>
          </cell>
          <cell r="AA23">
            <v>-18.774577364826452</v>
          </cell>
          <cell r="AB23">
            <v>-20.249400436524269</v>
          </cell>
          <cell r="AC23">
            <v>-19.13569261559098</v>
          </cell>
          <cell r="AD23">
            <v>-18.100898640149833</v>
          </cell>
          <cell r="AE23">
            <v>-17.066352272976101</v>
          </cell>
          <cell r="AF23">
            <v>-16.031804723205685</v>
          </cell>
          <cell r="AG23">
            <v>-14.997261077829158</v>
          </cell>
          <cell r="AH23">
            <v>-10.880609473877225</v>
          </cell>
        </row>
        <row r="24">
          <cell r="C24" t="str">
            <v>(-) Juros sobre capital próprio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-34.90399604985852</v>
          </cell>
          <cell r="S24">
            <v>0</v>
          </cell>
          <cell r="T24">
            <v>0</v>
          </cell>
          <cell r="U24">
            <v>-18.703996049858521</v>
          </cell>
          <cell r="V24">
            <v>-18.703996049858521</v>
          </cell>
          <cell r="W24">
            <v>-18.703996049858521</v>
          </cell>
          <cell r="X24">
            <v>-18.703996049858521</v>
          </cell>
          <cell r="Y24">
            <v>-18.703996049858521</v>
          </cell>
          <cell r="Z24">
            <v>-21.949377442613816</v>
          </cell>
          <cell r="AA24">
            <v>-20.618831223472906</v>
          </cell>
          <cell r="AB24">
            <v>-19.396693154407707</v>
          </cell>
          <cell r="AC24">
            <v>-16.243199541724927</v>
          </cell>
          <cell r="AD24">
            <v>-13.202063721132973</v>
          </cell>
          <cell r="AE24">
            <v>0</v>
          </cell>
          <cell r="AF24">
            <v>-7.1361018888379588</v>
          </cell>
          <cell r="AG24">
            <v>-4.1129640127385549</v>
          </cell>
          <cell r="AH24">
            <v>0</v>
          </cell>
        </row>
        <row r="26">
          <cell r="C26" t="str">
            <v>EBT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-40.846325407531083</v>
          </cell>
          <cell r="O26">
            <v>-10.873009662241074</v>
          </cell>
          <cell r="P26">
            <v>31.293906889636247</v>
          </cell>
          <cell r="Q26">
            <v>59.335805412395054</v>
          </cell>
          <cell r="R26">
            <v>54.972887784033574</v>
          </cell>
          <cell r="S26">
            <v>204.56171989021743</v>
          </cell>
          <cell r="T26">
            <v>229.66701374464623</v>
          </cell>
          <cell r="U26">
            <v>238.74540789541754</v>
          </cell>
          <cell r="V26">
            <v>276.54544033312703</v>
          </cell>
          <cell r="W26">
            <v>310.78831119655467</v>
          </cell>
          <cell r="X26">
            <v>396.40276162122052</v>
          </cell>
          <cell r="Y26">
            <v>441.1848317629549</v>
          </cell>
          <cell r="Z26">
            <v>478.91819691596606</v>
          </cell>
          <cell r="AA26">
            <v>518.9326394970193</v>
          </cell>
          <cell r="AB26">
            <v>549.96366677438539</v>
          </cell>
          <cell r="AC26">
            <v>609.14952350108547</v>
          </cell>
          <cell r="AD26">
            <v>673.94844615843181</v>
          </cell>
          <cell r="AE26">
            <v>749.31446480184331</v>
          </cell>
          <cell r="AF26">
            <v>809.08996493678069</v>
          </cell>
          <cell r="AG26">
            <v>883.26336043492961</v>
          </cell>
          <cell r="AH26">
            <v>-10.880609473877225</v>
          </cell>
        </row>
        <row r="27">
          <cell r="C27" t="str">
            <v>(-) Provisão de IR e CS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-7.4479498397334298</v>
          </cell>
          <cell r="Q27">
            <v>-14.121921688150024</v>
          </cell>
          <cell r="R27">
            <v>-13.08354729259999</v>
          </cell>
          <cell r="S27">
            <v>-66.817876047730024</v>
          </cell>
          <cell r="T27">
            <v>-78.086784673179721</v>
          </cell>
          <cell r="U27">
            <v>-81.173438684441976</v>
          </cell>
          <cell r="V27">
            <v>-94.0254497132632</v>
          </cell>
          <cell r="W27">
            <v>-105.6680258068286</v>
          </cell>
          <cell r="X27">
            <v>-134.77693895121499</v>
          </cell>
          <cell r="Y27">
            <v>-150.0028427994047</v>
          </cell>
          <cell r="Z27">
            <v>-162.8321869514285</v>
          </cell>
          <cell r="AA27">
            <v>-176.43709742898653</v>
          </cell>
          <cell r="AB27">
            <v>-186.98764670329103</v>
          </cell>
          <cell r="AC27">
            <v>-207.11083799036908</v>
          </cell>
          <cell r="AD27">
            <v>-229.14247169386684</v>
          </cell>
          <cell r="AE27">
            <v>-254.76691803262673</v>
          </cell>
          <cell r="AF27">
            <v>-275.09058807850545</v>
          </cell>
          <cell r="AG27">
            <v>-300.30954254787611</v>
          </cell>
          <cell r="AH27">
            <v>0</v>
          </cell>
        </row>
        <row r="28">
          <cell r="C28" t="str">
            <v>(+) Reversão do JSCP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34.90399604985852</v>
          </cell>
          <cell r="S28">
            <v>0</v>
          </cell>
          <cell r="T28">
            <v>0</v>
          </cell>
          <cell r="U28">
            <v>18.703996049858521</v>
          </cell>
          <cell r="V28">
            <v>18.703996049858521</v>
          </cell>
          <cell r="W28">
            <v>18.703996049858521</v>
          </cell>
          <cell r="X28">
            <v>18.703996049858521</v>
          </cell>
          <cell r="Y28">
            <v>18.703996049858521</v>
          </cell>
          <cell r="Z28">
            <v>21.949377442613816</v>
          </cell>
          <cell r="AA28">
            <v>20.618831223472906</v>
          </cell>
          <cell r="AB28">
            <v>19.396693154407707</v>
          </cell>
          <cell r="AC28">
            <v>16.243199541724927</v>
          </cell>
          <cell r="AD28">
            <v>13.202063721132973</v>
          </cell>
          <cell r="AE28">
            <v>0</v>
          </cell>
          <cell r="AF28">
            <v>7.1361018888379588</v>
          </cell>
          <cell r="AG28">
            <v>4.1129640127385549</v>
          </cell>
          <cell r="AH28">
            <v>0</v>
          </cell>
        </row>
        <row r="30">
          <cell r="C30" t="str">
            <v>Lucro Líquido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-40.846325407531083</v>
          </cell>
          <cell r="O30">
            <v>-10.873009662241074</v>
          </cell>
          <cell r="P30">
            <v>23.845957049902818</v>
          </cell>
          <cell r="Q30">
            <v>45.213883724245029</v>
          </cell>
          <cell r="R30">
            <v>76.793336541292106</v>
          </cell>
          <cell r="S30">
            <v>137.74384384248742</v>
          </cell>
          <cell r="T30">
            <v>151.5802290714665</v>
          </cell>
          <cell r="U30">
            <v>176.27596526083408</v>
          </cell>
          <cell r="V30">
            <v>201.22398666972236</v>
          </cell>
          <cell r="W30">
            <v>223.82428143958458</v>
          </cell>
          <cell r="X30">
            <v>280.32981871986402</v>
          </cell>
          <cell r="Y30">
            <v>309.88598501340874</v>
          </cell>
          <cell r="Z30">
            <v>338.03538740715135</v>
          </cell>
          <cell r="AA30">
            <v>363.11437329150567</v>
          </cell>
          <cell r="AB30">
            <v>382.37271322550208</v>
          </cell>
          <cell r="AC30">
            <v>418.28188505244134</v>
          </cell>
          <cell r="AD30">
            <v>458.00803818569796</v>
          </cell>
          <cell r="AE30">
            <v>494.54754676921658</v>
          </cell>
          <cell r="AF30">
            <v>541.13547874711321</v>
          </cell>
          <cell r="AG30">
            <v>587.06678189979198</v>
          </cell>
          <cell r="AH30">
            <v>-10.880609473877225</v>
          </cell>
        </row>
        <row r="31">
          <cell r="C31" t="str">
            <v>Margem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>
            <v>-0.12667947690036935</v>
          </cell>
          <cell r="O31">
            <v>-3.1752017549532281E-2</v>
          </cell>
          <cell r="P31">
            <v>6.4345813811461539E-2</v>
          </cell>
          <cell r="Q31">
            <v>0.11507256954522016</v>
          </cell>
          <cell r="R31">
            <v>0.18375844968065633</v>
          </cell>
          <cell r="S31">
            <v>0.30607643583145067</v>
          </cell>
          <cell r="T31">
            <v>0.31739177296377347</v>
          </cell>
          <cell r="U31">
            <v>0.34644556306901747</v>
          </cell>
          <cell r="V31">
            <v>0.3686563400817352</v>
          </cell>
          <cell r="W31">
            <v>0.38698018207246043</v>
          </cell>
          <cell r="X31">
            <v>0.44822894898379345</v>
          </cell>
          <cell r="Y31">
            <v>0.46285454293215678</v>
          </cell>
          <cell r="Z31">
            <v>0.47192083282281566</v>
          </cell>
          <cell r="AA31">
            <v>0.47408417922636525</v>
          </cell>
          <cell r="AB31">
            <v>0.4671255956349632</v>
          </cell>
          <cell r="AC31">
            <v>0.47490747303557174</v>
          </cell>
          <cell r="AD31">
            <v>0.48369718778064791</v>
          </cell>
          <cell r="AE31">
            <v>0.48620105407698072</v>
          </cell>
          <cell r="AF31">
            <v>0.49562053602789624</v>
          </cell>
          <cell r="AG31">
            <v>0.501276068302838</v>
          </cell>
          <cell r="AH31" t="e">
            <v>#DIV/0!</v>
          </cell>
        </row>
        <row r="34">
          <cell r="C34" t="str">
            <v>Novos aportes de capital</v>
          </cell>
          <cell r="I34">
            <v>0</v>
          </cell>
          <cell r="J34">
            <v>61.263924744710835</v>
          </cell>
          <cell r="K34">
            <v>215.03138850689493</v>
          </cell>
          <cell r="L34">
            <v>177.08366200757615</v>
          </cell>
          <cell r="M34">
            <v>115.46829223846019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C35" t="str">
            <v>Nova dívida</v>
          </cell>
          <cell r="I35">
            <v>0</v>
          </cell>
          <cell r="J35">
            <v>100.13754555346318</v>
          </cell>
          <cell r="K35">
            <v>491.21994718275471</v>
          </cell>
          <cell r="L35">
            <v>402.09127257127756</v>
          </cell>
          <cell r="M35">
            <v>194.1005525779797</v>
          </cell>
          <cell r="N35">
            <v>1.5191758411092682</v>
          </cell>
          <cell r="O35">
            <v>2.6951355629654609E-2</v>
          </cell>
          <cell r="P35">
            <v>6.3530922767445708E-2</v>
          </cell>
          <cell r="Q35">
            <v>98.983677489196367</v>
          </cell>
          <cell r="R35">
            <v>3.8525042230564348E-2</v>
          </cell>
          <cell r="S35">
            <v>7.1483540047448058E-2</v>
          </cell>
          <cell r="T35">
            <v>4.0482590084506949E-2</v>
          </cell>
          <cell r="U35">
            <v>4.5192139390072086</v>
          </cell>
          <cell r="V35">
            <v>48.17787559860048</v>
          </cell>
          <cell r="W35">
            <v>85.216629780167622</v>
          </cell>
          <cell r="X35">
            <v>0.12701275556930638</v>
          </cell>
          <cell r="Y35">
            <v>9.9160294711257896E-2</v>
          </cell>
          <cell r="Z35">
            <v>58.776637819229514</v>
          </cell>
          <cell r="AA35">
            <v>61.406662666170433</v>
          </cell>
          <cell r="AB35">
            <v>0.12155329437008187</v>
          </cell>
          <cell r="AC35">
            <v>0.17331745843135896</v>
          </cell>
          <cell r="AD35">
            <v>0.1854891965619048</v>
          </cell>
          <cell r="AE35">
            <v>0.19851573149403512</v>
          </cell>
          <cell r="AF35">
            <v>0.21245709389572071</v>
          </cell>
          <cell r="AG35">
            <v>11.107987004146064</v>
          </cell>
          <cell r="AH35">
            <v>0</v>
          </cell>
        </row>
        <row r="39">
          <cell r="C39" t="str">
            <v>Check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C40">
            <v>0</v>
          </cell>
        </row>
      </sheetData>
      <sheetData sheetId="22">
        <row r="2">
          <cell r="C2" t="str">
            <v>Projeto Pepê</v>
          </cell>
          <cell r="N2" t="str">
            <v>Cenário: Linha 4 - Base</v>
          </cell>
          <cell r="AH2" t="str">
            <v>DDM Output</v>
          </cell>
        </row>
        <row r="5">
          <cell r="I5">
            <v>2009</v>
          </cell>
          <cell r="J5">
            <v>2010</v>
          </cell>
          <cell r="K5">
            <v>2011</v>
          </cell>
          <cell r="L5">
            <v>2012</v>
          </cell>
          <cell r="M5">
            <v>2013</v>
          </cell>
          <cell r="N5">
            <v>2014</v>
          </cell>
          <cell r="O5">
            <v>2015</v>
          </cell>
          <cell r="P5">
            <v>2016</v>
          </cell>
          <cell r="Q5">
            <v>2017</v>
          </cell>
          <cell r="R5">
            <v>2018</v>
          </cell>
          <cell r="S5">
            <v>2019</v>
          </cell>
          <cell r="T5">
            <v>2020</v>
          </cell>
          <cell r="U5">
            <v>2021</v>
          </cell>
          <cell r="V5">
            <v>2022</v>
          </cell>
          <cell r="W5">
            <v>2023</v>
          </cell>
          <cell r="X5">
            <v>2024</v>
          </cell>
          <cell r="Y5">
            <v>2025</v>
          </cell>
          <cell r="Z5">
            <v>2026</v>
          </cell>
          <cell r="AA5">
            <v>2027</v>
          </cell>
          <cell r="AB5">
            <v>2028</v>
          </cell>
          <cell r="AC5">
            <v>2029</v>
          </cell>
          <cell r="AD5">
            <v>2030</v>
          </cell>
          <cell r="AE5">
            <v>2031</v>
          </cell>
          <cell r="AF5">
            <v>2032</v>
          </cell>
          <cell r="AG5">
            <v>2033</v>
          </cell>
          <cell r="AH5">
            <v>2034</v>
          </cell>
        </row>
        <row r="7">
          <cell r="C7" t="str">
            <v>Dividendos + JSCP líquido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17.340505704375683</v>
          </cell>
          <cell r="R7">
            <v>141.55773713381333</v>
          </cell>
          <cell r="S7">
            <v>137.74384384248742</v>
          </cell>
          <cell r="T7">
            <v>81.580229071466505</v>
          </cell>
          <cell r="U7">
            <v>173.4703658533553</v>
          </cell>
          <cell r="V7">
            <v>198.41838726224358</v>
          </cell>
          <cell r="W7">
            <v>221.0186820321058</v>
          </cell>
          <cell r="X7">
            <v>277.52421931238524</v>
          </cell>
          <cell r="Y7">
            <v>307.08038560592996</v>
          </cell>
          <cell r="Z7">
            <v>334.74298079075942</v>
          </cell>
          <cell r="AA7">
            <v>360.02154860798464</v>
          </cell>
          <cell r="AB7">
            <v>379.4632092523409</v>
          </cell>
          <cell r="AC7">
            <v>415.84540512118258</v>
          </cell>
          <cell r="AD7">
            <v>456.02772862752801</v>
          </cell>
          <cell r="AE7">
            <v>494.54754676921658</v>
          </cell>
          <cell r="AF7">
            <v>540.06506346378751</v>
          </cell>
          <cell r="AG7">
            <v>586.44983729788123</v>
          </cell>
          <cell r="AH7">
            <v>0</v>
          </cell>
        </row>
        <row r="8">
          <cell r="C8" t="str">
            <v>Aporte de capital</v>
          </cell>
          <cell r="I8">
            <v>0</v>
          </cell>
          <cell r="J8">
            <v>-61.263924744710835</v>
          </cell>
          <cell r="K8">
            <v>-215.03138850689493</v>
          </cell>
          <cell r="L8">
            <v>-177.08366200757615</v>
          </cell>
          <cell r="M8">
            <v>-115.46829223846019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Redução de capital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70</v>
          </cell>
          <cell r="S9">
            <v>70</v>
          </cell>
          <cell r="T9">
            <v>130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-54.089689879254948</v>
          </cell>
          <cell r="Z9">
            <v>22.175770319015186</v>
          </cell>
          <cell r="AA9">
            <v>20.368967817753312</v>
          </cell>
          <cell r="AB9">
            <v>52.558226878046348</v>
          </cell>
          <cell r="AC9">
            <v>50.685597009865873</v>
          </cell>
          <cell r="AD9">
            <v>50.247583677111258</v>
          </cell>
          <cell r="AE9">
            <v>50.851780194472312</v>
          </cell>
          <cell r="AF9">
            <v>50.385631268323408</v>
          </cell>
          <cell r="AG9">
            <v>64.951859648150332</v>
          </cell>
          <cell r="AH9">
            <v>0</v>
          </cell>
        </row>
        <row r="10">
          <cell r="C10" t="str">
            <v>Fluxo valor residual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3.59754056415888</v>
          </cell>
          <cell r="AH10">
            <v>0</v>
          </cell>
        </row>
        <row r="11">
          <cell r="C11" t="str">
            <v>Fluxo</v>
          </cell>
          <cell r="I11">
            <v>0</v>
          </cell>
          <cell r="J11">
            <v>-61.263924744710835</v>
          </cell>
          <cell r="K11">
            <v>-215.03138850689493</v>
          </cell>
          <cell r="L11">
            <v>-177.08366200757615</v>
          </cell>
          <cell r="M11">
            <v>-115.46829223846019</v>
          </cell>
          <cell r="N11">
            <v>0</v>
          </cell>
          <cell r="O11">
            <v>0</v>
          </cell>
          <cell r="P11">
            <v>0</v>
          </cell>
          <cell r="Q11">
            <v>17.340505704375683</v>
          </cell>
          <cell r="R11">
            <v>211.55773713381333</v>
          </cell>
          <cell r="S11">
            <v>207.74384384248742</v>
          </cell>
          <cell r="T11">
            <v>211.5802290714665</v>
          </cell>
          <cell r="U11">
            <v>173.4703658533553</v>
          </cell>
          <cell r="V11">
            <v>198.41838726224358</v>
          </cell>
          <cell r="W11">
            <v>221.0186820321058</v>
          </cell>
          <cell r="X11">
            <v>277.52421931238524</v>
          </cell>
          <cell r="Y11">
            <v>252.99069572667503</v>
          </cell>
          <cell r="Z11">
            <v>356.91875110977458</v>
          </cell>
          <cell r="AA11">
            <v>380.39051642573793</v>
          </cell>
          <cell r="AB11">
            <v>432.02143613038726</v>
          </cell>
          <cell r="AC11">
            <v>466.53100213104847</v>
          </cell>
          <cell r="AD11">
            <v>506.27531230463927</v>
          </cell>
          <cell r="AE11">
            <v>545.39932696368885</v>
          </cell>
          <cell r="AF11">
            <v>590.45069473211095</v>
          </cell>
          <cell r="AG11">
            <v>654.99923751019037</v>
          </cell>
          <cell r="AH11">
            <v>0</v>
          </cell>
        </row>
        <row r="13">
          <cell r="C13" t="str">
            <v>Fator de desconto</v>
          </cell>
          <cell r="I13">
            <v>0.92096493999256279</v>
          </cell>
          <cell r="J13">
            <v>0.78114074638894204</v>
          </cell>
          <cell r="K13">
            <v>0.66254516233158778</v>
          </cell>
          <cell r="L13">
            <v>0.56195518433552816</v>
          </cell>
          <cell r="M13">
            <v>0.47663713684099085</v>
          </cell>
          <cell r="N13">
            <v>0.40427238069634502</v>
          </cell>
          <cell r="O13">
            <v>0.34289430084507633</v>
          </cell>
          <cell r="P13">
            <v>0.2908348607676644</v>
          </cell>
          <cell r="Q13">
            <v>0.24667927121939304</v>
          </cell>
          <cell r="R13">
            <v>0.20922754132264038</v>
          </cell>
          <cell r="S13">
            <v>0.17746186710995793</v>
          </cell>
          <cell r="T13">
            <v>0.15051897125526539</v>
          </cell>
          <cell r="U13">
            <v>0.12766664228606051</v>
          </cell>
          <cell r="V13">
            <v>0.10828383569640422</v>
          </cell>
          <cell r="W13">
            <v>9.1843796180156215E-2</v>
          </cell>
          <cell r="X13">
            <v>7.7899742307172379E-2</v>
          </cell>
          <cell r="Y13">
            <v>6.6072724603199615E-2</v>
          </cell>
          <cell r="Z13">
            <v>5.6041327059541679E-2</v>
          </cell>
          <cell r="AA13">
            <v>4.753293219638817E-2</v>
          </cell>
          <cell r="AB13">
            <v>4.0316312295494643E-2</v>
          </cell>
          <cell r="AC13">
            <v>3.4195345458434799E-2</v>
          </cell>
          <cell r="AD13">
            <v>2.9003685715381519E-2</v>
          </cell>
          <cell r="AE13">
            <v>2.4600242337049619E-2</v>
          </cell>
          <cell r="AF13">
            <v>2.0865345493680774E-2</v>
          </cell>
          <cell r="AG13">
            <v>1.7697494057405228E-2</v>
          </cell>
          <cell r="AH13">
            <v>1.5010597164889936E-2</v>
          </cell>
        </row>
        <row r="14">
          <cell r="C14" t="str">
            <v>Fluxos de caixa descontados</v>
          </cell>
          <cell r="I14">
            <v>0</v>
          </cell>
          <cell r="J14">
            <v>-47.855747901799397</v>
          </cell>
          <cell r="K14">
            <v>-142.46800620468741</v>
          </cell>
          <cell r="L14">
            <v>-99.51308192627782</v>
          </cell>
          <cell r="M14">
            <v>-55.036476208458474</v>
          </cell>
          <cell r="N14">
            <v>0</v>
          </cell>
          <cell r="O14">
            <v>0</v>
          </cell>
          <cell r="P14">
            <v>0</v>
          </cell>
          <cell r="Q14">
            <v>4.2775433097311213</v>
          </cell>
          <cell r="R14">
            <v>44.263705188289222</v>
          </cell>
          <cell r="S14">
            <v>36.866610408887354</v>
          </cell>
          <cell r="T14">
            <v>31.846838417790533</v>
          </cell>
          <cell r="U14">
            <v>22.146379144632355</v>
          </cell>
          <cell r="V14">
            <v>21.485504045450288</v>
          </cell>
          <cell r="W14">
            <v>20.299194784563479</v>
          </cell>
          <cell r="X14">
            <v>21.619065168434002</v>
          </cell>
          <cell r="Y14">
            <v>16.715784565920469</v>
          </cell>
          <cell r="Z14">
            <v>20.002200464626032</v>
          </cell>
          <cell r="AA14">
            <v>18.081076625413683</v>
          </cell>
          <cell r="AB14">
            <v>17.417511137380785</v>
          </cell>
          <cell r="AC14">
            <v>15.953188784940984</v>
          </cell>
          <cell r="AD14">
            <v>14.683850043540383</v>
          </cell>
          <cell r="AE14">
            <v>13.416955613770506</v>
          </cell>
          <cell r="AF14">
            <v>12.319957742569333</v>
          </cell>
          <cell r="AG14">
            <v>11.591845113441549</v>
          </cell>
          <cell r="AH14">
            <v>0</v>
          </cell>
        </row>
        <row r="16">
          <cell r="C16" t="str">
            <v>Cenário Base</v>
          </cell>
          <cell r="X16" t="str">
            <v>Sensibilidade da taxa de desconto</v>
          </cell>
        </row>
        <row r="17">
          <cell r="C17" t="str">
            <v>Data base - 31/12/2008</v>
          </cell>
          <cell r="AB17" t="str">
            <v>Taxa de desconto</v>
          </cell>
        </row>
        <row r="18">
          <cell r="C18" t="str">
            <v>Custo de Capital Próprio</v>
          </cell>
          <cell r="V18">
            <v>0.17899999999999999</v>
          </cell>
          <cell r="Z18">
            <v>0.15</v>
          </cell>
          <cell r="AA18">
            <v>0.17899999999999999</v>
          </cell>
          <cell r="AB18">
            <v>0.20799999999999999</v>
          </cell>
        </row>
        <row r="19">
          <cell r="C19" t="str">
            <v>Valor dos fluxos descontados (Equity Value)</v>
          </cell>
          <cell r="V19">
            <v>-1.8861016818409606</v>
          </cell>
          <cell r="X19" t="str">
            <v>Equity Value</v>
          </cell>
          <cell r="Z19">
            <v>133.18774540775385</v>
          </cell>
          <cell r="AA19">
            <v>-1.8861016818409606</v>
          </cell>
          <cell r="AB19">
            <v>-82.589154338112948</v>
          </cell>
        </row>
        <row r="22">
          <cell r="C22" t="str">
            <v>Check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C23">
            <v>0</v>
          </cell>
          <cell r="H23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remissas"/>
      <sheetName val="Premissas"/>
      <sheetName val="Projeções em R$"/>
      <sheetName val="Premissas CAB"/>
      <sheetName val="Depreciação"/>
      <sheetName val="Financiamento_Investimentos"/>
      <sheetName val="Financiamento_Compra"/>
      <sheetName val="VME Risco Mitigado"/>
      <sheetName val="Checagem"/>
      <sheetName val="Gráficos"/>
      <sheetName val="Cenário_eficiênc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INDIPORT"/>
      <sheetName val="TABPG076"/>
      <sheetName val="TABPG081"/>
      <sheetName val="Feriad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_Contrato"/>
      <sheetName val="Custos_IPs"/>
      <sheetName val="Premissas_SSMQ"/>
      <sheetName val="Premissas_Cálculos"/>
      <sheetName val="Tabela"/>
      <sheetName val="PGR"/>
      <sheetName val="M_Eletrom"/>
      <sheetName val="M_Civil"/>
      <sheetName val="SSMQ"/>
      <sheetName val="Mem Calc"/>
      <sheetName val="Sintetico"/>
      <sheetName val="Qualitativa"/>
      <sheetName val="Qualit_Graficos"/>
    </sheetNames>
    <sheetDataSet>
      <sheetData sheetId="0">
        <row r="18">
          <cell r="B18">
            <v>881.04747222222238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績実績"/>
      <sheetName val="中期計画"/>
      <sheetName val="中期計②"/>
      <sheetName val="業況要約"/>
      <sheetName val="木質部材"/>
      <sheetName val="保全状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 BS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"/>
      <sheetName val="FC PRojeto"/>
      <sheetName val="FC Alvaro"/>
      <sheetName val="Amortização"/>
      <sheetName val="Ativo Financeiro"/>
      <sheetName val="Diferimento da Margem Constr"/>
      <sheetName val="Investimentos "/>
      <sheetName val="resumo receitas e custos "/>
      <sheetName val="O&amp;M "/>
      <sheetName val="Adm e Canteiro"/>
      <sheetName val="MO Operação"/>
      <sheetName val="Custos Equipamentos"/>
      <sheetName val="Cotações"/>
      <sheetName val="Custo de capital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Comparativo de Mercado"/>
      <sheetName val="Capa Simulador"/>
      <sheetName val="FLUXO + DRE  Original 20 anos"/>
      <sheetName val="Fatores 20 anos"/>
      <sheetName val="Prorrogação Fluxo 29 anos"/>
      <sheetName val="Prorrogação DRE 29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TEBE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1º Reequilíbrio - Receitas+COFINS+PIS</v>
          </cell>
          <cell r="G67">
            <v>-7095.8332157358036</v>
          </cell>
          <cell r="H67">
            <v>-37260.049380658973</v>
          </cell>
          <cell r="I67">
            <v>0.13354321432380231</v>
          </cell>
        </row>
        <row r="68">
          <cell r="B68" t="str">
            <v>FATOR 2</v>
          </cell>
          <cell r="C68" t="str">
            <v>Parcelamento de Reajuste Tarifário - Julho 2003</v>
          </cell>
          <cell r="G68">
            <v>-132.39474470268942</v>
          </cell>
          <cell r="H68">
            <v>-695.20161697464789</v>
          </cell>
          <cell r="I68">
            <v>0.20095179847485328</v>
          </cell>
        </row>
        <row r="69">
          <cell r="B69" t="str">
            <v>FATOR 3</v>
          </cell>
          <cell r="C69" t="str">
            <v>1ª Adequação de Investimentos</v>
          </cell>
          <cell r="G69">
            <v>7340.3797089265454</v>
          </cell>
          <cell r="H69">
            <v>38544.157128843857</v>
          </cell>
          <cell r="I69">
            <v>0.32776232815137124</v>
          </cell>
        </row>
        <row r="70">
          <cell r="B70" t="str">
            <v>FATOR 4</v>
          </cell>
          <cell r="C70" t="str">
            <v>2ª Adequação de Investimentos</v>
          </cell>
          <cell r="G70">
            <v>-339.34997848369534</v>
          </cell>
          <cell r="H70">
            <v>-1781.9185670243951</v>
          </cell>
          <cell r="I70">
            <v>0.19884536202145106</v>
          </cell>
        </row>
        <row r="71">
          <cell r="B71" t="str">
            <v>FATOR 5</v>
          </cell>
          <cell r="C71" t="str">
            <v>Majoração de COFINS</v>
          </cell>
          <cell r="G71">
            <v>-533.66559293607872</v>
          </cell>
          <cell r="H71">
            <v>-2802.2651802836981</v>
          </cell>
          <cell r="I71">
            <v>0.19675885765369922</v>
          </cell>
        </row>
        <row r="72">
          <cell r="B72" t="str">
            <v>FATOR 6</v>
          </cell>
          <cell r="C72" t="str">
            <v>Majoração do PIS</v>
          </cell>
          <cell r="G72">
            <v>-25.030657244900151</v>
          </cell>
          <cell r="H72">
            <v>-131.43537856936769</v>
          </cell>
          <cell r="I72">
            <v>0.20207561886214545</v>
          </cell>
        </row>
        <row r="73">
          <cell r="B73" t="str">
            <v>FATOR 7</v>
          </cell>
          <cell r="C73" t="str">
            <v>Alteração do ISSQN</v>
          </cell>
          <cell r="G73">
            <v>-1139.10927523488</v>
          </cell>
          <cell r="H73">
            <v>-5981.4353797233553</v>
          </cell>
          <cell r="I73">
            <v>0.19003801664196485</v>
          </cell>
        </row>
        <row r="74">
          <cell r="B74" t="str">
            <v>FATOR 8</v>
          </cell>
          <cell r="C74" t="str">
            <v>3ª Adequação - Investimentos</v>
          </cell>
          <cell r="G74">
            <v>661.45198081494823</v>
          </cell>
          <cell r="H74">
            <v>3473.2684265245966</v>
          </cell>
          <cell r="I74">
            <v>0.20945940392164439</v>
          </cell>
        </row>
        <row r="75">
          <cell r="B75" t="str">
            <v>FATOR 9</v>
          </cell>
          <cell r="C75" t="str">
            <v>Redução de pagamento do Ônus Fixo</v>
          </cell>
          <cell r="G75">
            <v>133.37577095264731</v>
          </cell>
          <cell r="H75">
            <v>700.35296219455711</v>
          </cell>
          <cell r="I75">
            <v>0.20372928159262807</v>
          </cell>
        </row>
        <row r="76">
          <cell r="B76" t="str">
            <v>FATOR 10</v>
          </cell>
          <cell r="C76">
            <v>0</v>
          </cell>
          <cell r="G76">
            <v>3.8767462324097654E-12</v>
          </cell>
          <cell r="H76">
            <v>2.035670113208727E-11</v>
          </cell>
          <cell r="I76">
            <v>0.20233826697728008</v>
          </cell>
        </row>
        <row r="77">
          <cell r="B77" t="str">
            <v>FATOR 11</v>
          </cell>
          <cell r="C77">
            <v>0</v>
          </cell>
          <cell r="G77">
            <v>3.8767462324097654E-12</v>
          </cell>
          <cell r="H77">
            <v>2.035670113208727E-11</v>
          </cell>
          <cell r="I77">
            <v>0.20233826697728008</v>
          </cell>
        </row>
        <row r="78">
          <cell r="B78" t="str">
            <v>FATOR 12</v>
          </cell>
          <cell r="C78">
            <v>0</v>
          </cell>
          <cell r="G78">
            <v>3.8767462324097654E-12</v>
          </cell>
          <cell r="H78">
            <v>2.035670113208727E-11</v>
          </cell>
          <cell r="I78">
            <v>0.20233826697728008</v>
          </cell>
        </row>
        <row r="79">
          <cell r="B79" t="str">
            <v>FATOR 13</v>
          </cell>
          <cell r="C79">
            <v>0</v>
          </cell>
          <cell r="G79">
            <v>3.8767462324097654E-12</v>
          </cell>
          <cell r="H79">
            <v>2.035670113208727E-11</v>
          </cell>
          <cell r="I79">
            <v>0.20233826697728008</v>
          </cell>
        </row>
        <row r="80">
          <cell r="B80" t="str">
            <v>FATOR 14</v>
          </cell>
          <cell r="C80">
            <v>0</v>
          </cell>
          <cell r="G80">
            <v>3.8767462324097654E-12</v>
          </cell>
          <cell r="H80">
            <v>2.035670113208727E-11</v>
          </cell>
          <cell r="I80">
            <v>0.20233826697728008</v>
          </cell>
        </row>
        <row r="81">
          <cell r="B81" t="str">
            <v>FATOR 15</v>
          </cell>
          <cell r="C81">
            <v>0</v>
          </cell>
          <cell r="G81">
            <v>3.8767462324097654E-12</v>
          </cell>
          <cell r="H81">
            <v>2.035670113208727E-11</v>
          </cell>
          <cell r="I81">
            <v>0.20233826697728008</v>
          </cell>
        </row>
        <row r="82">
          <cell r="B82" t="str">
            <v>TOTAL GERAL</v>
          </cell>
          <cell r="G82">
            <v>-1130.176003643883</v>
          </cell>
          <cell r="H82">
            <v>-5934.5269856713066</v>
          </cell>
          <cell r="I82">
            <v>0.18474435310345066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27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0.20233826697728008</v>
          </cell>
        </row>
        <row r="98">
          <cell r="B98" t="str">
            <v>TIR Resultante dos Desequilibrio no Contrato Original (ao ano)</v>
          </cell>
          <cell r="J98">
            <v>0.18474435310345066</v>
          </cell>
        </row>
        <row r="100">
          <cell r="B100" t="str">
            <v>Diferença entre a TIR Original x TIR Desequilibrios</v>
          </cell>
          <cell r="J100">
            <v>-1.7593913873829414E-2</v>
          </cell>
        </row>
        <row r="102">
          <cell r="B102" t="str">
            <v>TIR Resultante das Alternativas Utilizadas para o Reequilibrio (ao ano)</v>
          </cell>
          <cell r="J102">
            <v>0.2023838002243197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3.8767462324097654E-12</v>
          </cell>
          <cell r="G136">
            <v>0.20233826697728008</v>
          </cell>
          <cell r="H136">
            <v>-10661.322015000002</v>
          </cell>
          <cell r="I136">
            <v>-1397.4164949999977</v>
          </cell>
          <cell r="J136">
            <v>-4197.0290050000003</v>
          </cell>
          <cell r="K136">
            <v>-209.85901999999987</v>
          </cell>
          <cell r="L136">
            <v>5927.0457299999998</v>
          </cell>
          <cell r="M136">
            <v>4960.9413800000002</v>
          </cell>
          <cell r="N136">
            <v>4394.2356600000021</v>
          </cell>
          <cell r="O136">
            <v>-457.22938499999873</v>
          </cell>
          <cell r="P136">
            <v>208.80238000000099</v>
          </cell>
          <cell r="Q136">
            <v>6690.3230000000003</v>
          </cell>
          <cell r="R136">
            <v>1640.3524750000033</v>
          </cell>
          <cell r="S136">
            <v>9072.5808050000014</v>
          </cell>
          <cell r="T136">
            <v>9650.467990000001</v>
          </cell>
          <cell r="U136">
            <v>10568.066075000001</v>
          </cell>
          <cell r="V136">
            <v>11679.659374999999</v>
          </cell>
          <cell r="W136">
            <v>11335.195395000002</v>
          </cell>
          <cell r="X136">
            <v>14070.37845</v>
          </cell>
          <cell r="Y136">
            <v>12208.944674999999</v>
          </cell>
          <cell r="Z136">
            <v>14795.037710000001</v>
          </cell>
          <cell r="AA136">
            <v>16728.171869999998</v>
          </cell>
        </row>
        <row r="137">
          <cell r="B137" t="str">
            <v>(+)Desequilibrio do Projeto Original (a)</v>
          </cell>
        </row>
        <row r="138">
          <cell r="B138" t="str">
            <v>1º Reequilíbrio - Receitas+COFINS+PIS</v>
          </cell>
        </row>
        <row r="139">
          <cell r="B139" t="str">
            <v>Fluxo de Caixa do Fator</v>
          </cell>
          <cell r="H139">
            <v>-698.82506294938025</v>
          </cell>
          <cell r="I139">
            <v>-1433.1178728405398</v>
          </cell>
          <cell r="J139">
            <v>-1474.4325007610796</v>
          </cell>
          <cell r="K139">
            <v>-1516.9504571463995</v>
          </cell>
          <cell r="L139">
            <v>-1560.6943247444815</v>
          </cell>
          <cell r="M139">
            <v>-1606.1914288</v>
          </cell>
          <cell r="N139">
            <v>-1652.0160320085395</v>
          </cell>
          <cell r="O139">
            <v>-1699.6725332697415</v>
          </cell>
          <cell r="P139">
            <v>-1748.7067793869594</v>
          </cell>
          <cell r="Q139">
            <v>-1799.1598597851996</v>
          </cell>
          <cell r="R139">
            <v>-1851.0742444941395</v>
          </cell>
          <cell r="S139">
            <v>-1904.4872098401397</v>
          </cell>
          <cell r="T139">
            <v>-1959.4491478940204</v>
          </cell>
          <cell r="U139">
            <v>-2016.0024958139195</v>
          </cell>
          <cell r="V139">
            <v>-2074.1913672065211</v>
          </cell>
          <cell r="W139">
            <v>-2134.0625711447792</v>
          </cell>
          <cell r="X139">
            <v>-2195.6711674581998</v>
          </cell>
          <cell r="Y139">
            <v>-2259.0636365043406</v>
          </cell>
          <cell r="Z139">
            <v>-2324.2900087670805</v>
          </cell>
          <cell r="AA139">
            <v>-2391.4080724137402</v>
          </cell>
        </row>
        <row r="140">
          <cell r="B140" t="str">
            <v>Somatoria com Projeto Original</v>
          </cell>
          <cell r="F140">
            <v>-7095.8332157358036</v>
          </cell>
          <cell r="G140">
            <v>0.13354321432380231</v>
          </cell>
          <cell r="H140">
            <v>-11360.147077949381</v>
          </cell>
          <cell r="I140">
            <v>-2830.5343678405375</v>
          </cell>
          <cell r="J140">
            <v>-5671.4615057610799</v>
          </cell>
          <cell r="K140">
            <v>-1726.8094771463993</v>
          </cell>
          <cell r="L140">
            <v>4366.3514052555183</v>
          </cell>
          <cell r="M140">
            <v>3354.7499512000004</v>
          </cell>
          <cell r="N140">
            <v>2742.2196279914624</v>
          </cell>
          <cell r="O140">
            <v>-2156.9019182697402</v>
          </cell>
          <cell r="P140">
            <v>-1539.9043993869584</v>
          </cell>
          <cell r="Q140">
            <v>4891.1631402148005</v>
          </cell>
          <cell r="R140">
            <v>-210.7217694941362</v>
          </cell>
          <cell r="S140">
            <v>7168.0935951598622</v>
          </cell>
          <cell r="T140">
            <v>7691.0188421059811</v>
          </cell>
          <cell r="U140">
            <v>8552.0635791860805</v>
          </cell>
          <cell r="V140">
            <v>9605.468007793479</v>
          </cell>
          <cell r="W140">
            <v>9201.1328238552233</v>
          </cell>
          <cell r="X140">
            <v>11874.7072825418</v>
          </cell>
          <cell r="Y140">
            <v>9949.8810384956578</v>
          </cell>
          <cell r="Z140">
            <v>12470.74770123292</v>
          </cell>
          <cell r="AA140">
            <v>14336.763797586258</v>
          </cell>
        </row>
        <row r="141">
          <cell r="B141" t="str">
            <v>Parcelamento de Reajuste Tarifário - Julho 2003</v>
          </cell>
        </row>
        <row r="142">
          <cell r="B142" t="str">
            <v>Fluxo de Caixa do Fator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-399.97308204391589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B143" t="str">
            <v>Somatoria com Projeto Original</v>
          </cell>
          <cell r="F143">
            <v>-132.39474470268942</v>
          </cell>
          <cell r="G143">
            <v>0.20095179847485328</v>
          </cell>
          <cell r="H143">
            <v>-10661.322015000002</v>
          </cell>
          <cell r="I143">
            <v>-1397.4164949999977</v>
          </cell>
          <cell r="J143">
            <v>-4197.0290050000003</v>
          </cell>
          <cell r="K143">
            <v>-209.85901999999987</v>
          </cell>
          <cell r="L143">
            <v>5927.0457299999998</v>
          </cell>
          <cell r="M143">
            <v>4560.9682979560839</v>
          </cell>
          <cell r="N143">
            <v>4394.2356600000021</v>
          </cell>
          <cell r="O143">
            <v>-457.22938499999873</v>
          </cell>
          <cell r="P143">
            <v>208.80238000000099</v>
          </cell>
          <cell r="Q143">
            <v>6690.3230000000003</v>
          </cell>
          <cell r="R143">
            <v>1640.3524750000033</v>
          </cell>
          <cell r="S143">
            <v>9072.5808050000014</v>
          </cell>
          <cell r="T143">
            <v>9650.467990000001</v>
          </cell>
          <cell r="U143">
            <v>10568.066075000001</v>
          </cell>
          <cell r="V143">
            <v>11679.659374999999</v>
          </cell>
          <cell r="W143">
            <v>11335.195395000002</v>
          </cell>
          <cell r="X143">
            <v>14070.37845</v>
          </cell>
          <cell r="Y143">
            <v>12208.944674999999</v>
          </cell>
          <cell r="Z143">
            <v>14795.037710000001</v>
          </cell>
          <cell r="AA143">
            <v>16728.171869999998</v>
          </cell>
        </row>
        <row r="144">
          <cell r="B144" t="str">
            <v>1ª Adequação de Investimentos</v>
          </cell>
        </row>
        <row r="145">
          <cell r="B145" t="str">
            <v>Fluxo de Caixa do Fator</v>
          </cell>
          <cell r="H145">
            <v>4527.2453999999998</v>
          </cell>
          <cell r="I145">
            <v>178.4639021052632</v>
          </cell>
          <cell r="J145">
            <v>2481.0024577719305</v>
          </cell>
          <cell r="K145">
            <v>3780.8897645484003</v>
          </cell>
          <cell r="L145">
            <v>-1224.2443544615994</v>
          </cell>
          <cell r="M145">
            <v>-940.72466082559947</v>
          </cell>
          <cell r="N145">
            <v>-2899.9166611383425</v>
          </cell>
          <cell r="O145">
            <v>8359.7617411917417</v>
          </cell>
          <cell r="P145">
            <v>4870.0947305975042</v>
          </cell>
          <cell r="Q145">
            <v>-117.30698534055557</v>
          </cell>
          <cell r="R145">
            <v>3443.3355433232409</v>
          </cell>
          <cell r="S145">
            <v>-4022.0822272197538</v>
          </cell>
          <cell r="T145">
            <v>-512.19078954555073</v>
          </cell>
          <cell r="U145">
            <v>-606.01299836960027</v>
          </cell>
          <cell r="V145">
            <v>-8380.0731808068867</v>
          </cell>
          <cell r="W145">
            <v>7.1185097307409393</v>
          </cell>
          <cell r="X145">
            <v>-9941.6047559466824</v>
          </cell>
          <cell r="Y145">
            <v>622.0022846468637</v>
          </cell>
          <cell r="Z145">
            <v>-386.72195013055693</v>
          </cell>
          <cell r="AA145">
            <v>759.94304986944189</v>
          </cell>
        </row>
        <row r="146">
          <cell r="B146" t="str">
            <v>Somatoria com Projeto Original</v>
          </cell>
          <cell r="F146">
            <v>7340.3797089265454</v>
          </cell>
          <cell r="G146">
            <v>0.32776232815137124</v>
          </cell>
          <cell r="H146">
            <v>-6134.0766150000018</v>
          </cell>
          <cell r="I146">
            <v>-1218.9525928947344</v>
          </cell>
          <cell r="J146">
            <v>-1716.0265472280698</v>
          </cell>
          <cell r="K146">
            <v>3571.0307445484004</v>
          </cell>
          <cell r="L146">
            <v>4702.8013755384</v>
          </cell>
          <cell r="M146">
            <v>4020.2167191744006</v>
          </cell>
          <cell r="N146">
            <v>1494.3189988616596</v>
          </cell>
          <cell r="O146">
            <v>7902.532356191743</v>
          </cell>
          <cell r="P146">
            <v>5078.8971105975052</v>
          </cell>
          <cell r="Q146">
            <v>6573.0160146594444</v>
          </cell>
          <cell r="R146">
            <v>5083.6880183232443</v>
          </cell>
          <cell r="S146">
            <v>5050.4985777802476</v>
          </cell>
          <cell r="T146">
            <v>9138.2772004544495</v>
          </cell>
          <cell r="U146">
            <v>9962.0530766304</v>
          </cell>
          <cell r="V146">
            <v>3299.5861941931125</v>
          </cell>
          <cell r="W146">
            <v>11342.313904730743</v>
          </cell>
          <cell r="X146">
            <v>4128.7736940533177</v>
          </cell>
          <cell r="Y146">
            <v>12830.946959646863</v>
          </cell>
          <cell r="Z146">
            <v>14408.315759869443</v>
          </cell>
          <cell r="AA146">
            <v>17488.11491986944</v>
          </cell>
        </row>
        <row r="147">
          <cell r="B147" t="str">
            <v>2ª Adequação de Investimentos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-347.86240833333386</v>
          </cell>
          <cell r="K148">
            <v>299.83460360784306</v>
          </cell>
          <cell r="L148">
            <v>-1160.449285042157</v>
          </cell>
          <cell r="M148">
            <v>-972.96917595215712</v>
          </cell>
          <cell r="N148">
            <v>661.92282222884307</v>
          </cell>
          <cell r="O148">
            <v>408.36552059174329</v>
          </cell>
          <cell r="P148">
            <v>2848.0134216183533</v>
          </cell>
          <cell r="Q148">
            <v>-2375.2105027076982</v>
          </cell>
          <cell r="R148">
            <v>1043.4218273988563</v>
          </cell>
          <cell r="S148">
            <v>-987.47605740114352</v>
          </cell>
          <cell r="T148">
            <v>11.984361718856466</v>
          </cell>
          <cell r="U148">
            <v>14.106363190856445</v>
          </cell>
          <cell r="V148">
            <v>41.929564074056344</v>
          </cell>
          <cell r="W148">
            <v>11.613484603975921</v>
          </cell>
          <cell r="X148">
            <v>664.68383692192822</v>
          </cell>
          <cell r="Y148">
            <v>-47.429951687300566</v>
          </cell>
          <cell r="Z148">
            <v>-47.472622415760924</v>
          </cell>
          <cell r="AA148">
            <v>-47.472622415759723</v>
          </cell>
        </row>
        <row r="149">
          <cell r="B149" t="str">
            <v>Somatoria com Projeto Original</v>
          </cell>
          <cell r="F149">
            <v>-339.34997848369534</v>
          </cell>
          <cell r="G149">
            <v>0.19884536202145106</v>
          </cell>
          <cell r="H149">
            <v>-10661.322015000002</v>
          </cell>
          <cell r="I149">
            <v>-1397.4164949999977</v>
          </cell>
          <cell r="J149">
            <v>-4544.8914133333346</v>
          </cell>
          <cell r="K149">
            <v>89.975583607843191</v>
          </cell>
          <cell r="L149">
            <v>4766.5964449578423</v>
          </cell>
          <cell r="M149">
            <v>3987.9722040478432</v>
          </cell>
          <cell r="N149">
            <v>5056.1584822288451</v>
          </cell>
          <cell r="O149">
            <v>-48.863864408255438</v>
          </cell>
          <cell r="P149">
            <v>3056.8158016183543</v>
          </cell>
          <cell r="Q149">
            <v>4315.1124972923026</v>
          </cell>
          <cell r="R149">
            <v>2683.7743023988596</v>
          </cell>
          <cell r="S149">
            <v>8085.104747598858</v>
          </cell>
          <cell r="T149">
            <v>9662.4523517188572</v>
          </cell>
          <cell r="U149">
            <v>10582.172438190857</v>
          </cell>
          <cell r="V149">
            <v>11721.588939074056</v>
          </cell>
          <cell r="W149">
            <v>11346.808879603979</v>
          </cell>
          <cell r="X149">
            <v>14735.062286921928</v>
          </cell>
          <cell r="Y149">
            <v>12161.514723312699</v>
          </cell>
          <cell r="Z149">
            <v>14747.56508758424</v>
          </cell>
          <cell r="AA149">
            <v>16680.699247584238</v>
          </cell>
        </row>
        <row r="150">
          <cell r="B150" t="str">
            <v>Majoração de COFINS</v>
          </cell>
        </row>
        <row r="151">
          <cell r="B151" t="str">
            <v>Fluxo de Caixa do Fator</v>
          </cell>
          <cell r="H151">
            <v>-6.6078398004333305</v>
          </cell>
          <cell r="I151">
            <v>-105.48712991159996</v>
          </cell>
          <cell r="J151">
            <v>-108.6270430232</v>
          </cell>
          <cell r="K151">
            <v>-111.60680225600001</v>
          </cell>
          <cell r="L151">
            <v>-115.39096825920006</v>
          </cell>
          <cell r="M151">
            <v>-136.68594680047448</v>
          </cell>
          <cell r="N151">
            <v>-222.96131072217992</v>
          </cell>
          <cell r="O151">
            <v>-135.49196127959993</v>
          </cell>
          <cell r="P151">
            <v>-133.94045543839997</v>
          </cell>
          <cell r="Q151">
            <v>-133.80771160799998</v>
          </cell>
          <cell r="R151">
            <v>-140.74137965559999</v>
          </cell>
          <cell r="S151">
            <v>-140.28916449559995</v>
          </cell>
          <cell r="T151">
            <v>-150.58073203080002</v>
          </cell>
          <cell r="U151">
            <v>-161.11003247679994</v>
          </cell>
          <cell r="V151">
            <v>-172.40589828079996</v>
          </cell>
          <cell r="W151">
            <v>-184.37403332119999</v>
          </cell>
          <cell r="X151">
            <v>-195.15125402799998</v>
          </cell>
          <cell r="Y151">
            <v>-209.03846776359995</v>
          </cell>
          <cell r="Z151">
            <v>-220.33344426319994</v>
          </cell>
          <cell r="AA151">
            <v>-235.33357103959995</v>
          </cell>
        </row>
        <row r="152">
          <cell r="B152" t="str">
            <v>Somatoria com Projeto Original</v>
          </cell>
          <cell r="F152">
            <v>-533.66559293607872</v>
          </cell>
          <cell r="G152">
            <v>0.19675885765369922</v>
          </cell>
          <cell r="H152">
            <v>-10667.929854800435</v>
          </cell>
          <cell r="I152">
            <v>-1502.9036249115977</v>
          </cell>
          <cell r="J152">
            <v>-4305.6560480232001</v>
          </cell>
          <cell r="K152">
            <v>-321.46582225599991</v>
          </cell>
          <cell r="L152">
            <v>5811.6547617407996</v>
          </cell>
          <cell r="M152">
            <v>4824.2554331995261</v>
          </cell>
          <cell r="N152">
            <v>4171.2743492778218</v>
          </cell>
          <cell r="O152">
            <v>-592.72134627959872</v>
          </cell>
          <cell r="P152">
            <v>74.861924561601029</v>
          </cell>
          <cell r="Q152">
            <v>6556.515288392</v>
          </cell>
          <cell r="R152">
            <v>1499.6110953444033</v>
          </cell>
          <cell r="S152">
            <v>8932.2916405044016</v>
          </cell>
          <cell r="T152">
            <v>9499.8872579692015</v>
          </cell>
          <cell r="U152">
            <v>10406.956042523201</v>
          </cell>
          <cell r="V152">
            <v>11507.253476719199</v>
          </cell>
          <cell r="W152">
            <v>11150.821361678802</v>
          </cell>
          <cell r="X152">
            <v>13875.227195972</v>
          </cell>
          <cell r="Y152">
            <v>11999.906207236399</v>
          </cell>
          <cell r="Z152">
            <v>14574.7042657368</v>
          </cell>
          <cell r="AA152">
            <v>16492.8382989604</v>
          </cell>
        </row>
        <row r="153">
          <cell r="B153" t="str">
            <v>Majoração do PIS</v>
          </cell>
        </row>
        <row r="154">
          <cell r="B154" t="str">
            <v>Fluxo de Caixa do Fator</v>
          </cell>
          <cell r="H154">
            <v>0</v>
          </cell>
          <cell r="I154">
            <v>-2.1774999999999239E-2</v>
          </cell>
          <cell r="J154">
            <v>-3.9194999999996726E-2</v>
          </cell>
          <cell r="K154">
            <v>-8.709999999993983E-3</v>
          </cell>
          <cell r="L154">
            <v>-11.730488886990113</v>
          </cell>
          <cell r="M154">
            <v>-36.784570978605579</v>
          </cell>
          <cell r="N154">
            <v>-18.266548057906967</v>
          </cell>
          <cell r="O154">
            <v>-2.2602450000000047</v>
          </cell>
          <cell r="P154">
            <v>-1.1410100000000019</v>
          </cell>
          <cell r="Q154">
            <v>-0.30485000000000839</v>
          </cell>
          <cell r="R154">
            <v>-0.9755200000000116</v>
          </cell>
          <cell r="S154">
            <v>-2.1774999999999239E-2</v>
          </cell>
          <cell r="T154">
            <v>-1.3718250000000092</v>
          </cell>
          <cell r="U154">
            <v>-2.7480049999999916</v>
          </cell>
          <cell r="V154">
            <v>-4.254835000000007</v>
          </cell>
          <cell r="W154">
            <v>-5.8879599999999881</v>
          </cell>
          <cell r="X154">
            <v>-7.2336550000000059</v>
          </cell>
          <cell r="Y154">
            <v>-9.2195349999999863</v>
          </cell>
          <cell r="Z154">
            <v>-10.621844999999997</v>
          </cell>
          <cell r="AA154">
            <v>-12.794989999999986</v>
          </cell>
        </row>
        <row r="155">
          <cell r="B155" t="str">
            <v>Somatoria com Projeto Original</v>
          </cell>
          <cell r="F155">
            <v>-25.030657244900151</v>
          </cell>
          <cell r="G155">
            <v>0.20207561886214545</v>
          </cell>
          <cell r="H155">
            <v>-10661.322015000002</v>
          </cell>
          <cell r="I155">
            <v>-1397.4382699999976</v>
          </cell>
          <cell r="J155">
            <v>-4197.0682000000006</v>
          </cell>
          <cell r="K155">
            <v>-209.86772999999988</v>
          </cell>
          <cell r="L155">
            <v>5915.3152411130095</v>
          </cell>
          <cell r="M155">
            <v>4924.156809021395</v>
          </cell>
          <cell r="N155">
            <v>4375.969111942095</v>
          </cell>
          <cell r="O155">
            <v>-459.48962999999873</v>
          </cell>
          <cell r="P155">
            <v>207.661370000001</v>
          </cell>
          <cell r="Q155">
            <v>6690.0181499999999</v>
          </cell>
          <cell r="R155">
            <v>1639.3769550000034</v>
          </cell>
          <cell r="S155">
            <v>9072.5590300000022</v>
          </cell>
          <cell r="T155">
            <v>9649.0961650000008</v>
          </cell>
          <cell r="U155">
            <v>10565.318070000001</v>
          </cell>
          <cell r="V155">
            <v>11675.40454</v>
          </cell>
          <cell r="W155">
            <v>11329.307435000002</v>
          </cell>
          <cell r="X155">
            <v>14063.144795</v>
          </cell>
          <cell r="Y155">
            <v>12199.725139999999</v>
          </cell>
          <cell r="Z155">
            <v>14784.415865000001</v>
          </cell>
          <cell r="AA155">
            <v>16715.37688</v>
          </cell>
        </row>
        <row r="156">
          <cell r="B156" t="str">
            <v>Alteração do ISSQN</v>
          </cell>
        </row>
        <row r="157">
          <cell r="B157" t="str">
            <v>Fluxo de Caixa do Fator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-332.1660523056554</v>
          </cell>
          <cell r="N157">
            <v>-607.75932315800014</v>
          </cell>
          <cell r="O157">
            <v>-625.30030639799998</v>
          </cell>
          <cell r="P157">
            <v>-643.37127719200009</v>
          </cell>
          <cell r="Q157">
            <v>-662.00355804000003</v>
          </cell>
          <cell r="R157">
            <v>-681.19489827799998</v>
          </cell>
          <cell r="S157">
            <v>-700.94332247800003</v>
          </cell>
          <cell r="T157">
            <v>-721.24616015399999</v>
          </cell>
          <cell r="U157">
            <v>-742.13466238400008</v>
          </cell>
          <cell r="V157">
            <v>-763.84099140399996</v>
          </cell>
          <cell r="W157">
            <v>-785.99416660600014</v>
          </cell>
          <cell r="X157">
            <v>-808.82577014000003</v>
          </cell>
          <cell r="Y157">
            <v>-832.43383881800003</v>
          </cell>
          <cell r="Z157">
            <v>-856.54772131599998</v>
          </cell>
          <cell r="AA157">
            <v>-881.39885519800009</v>
          </cell>
        </row>
        <row r="158">
          <cell r="B158" t="str">
            <v>Somatoria com Projeto Original</v>
          </cell>
          <cell r="F158">
            <v>-1139.10927523488</v>
          </cell>
          <cell r="G158">
            <v>0.19003801664196485</v>
          </cell>
          <cell r="H158">
            <v>-10661.322015000002</v>
          </cell>
          <cell r="I158">
            <v>-1397.4164949999977</v>
          </cell>
          <cell r="J158">
            <v>-4197.0290050000003</v>
          </cell>
          <cell r="K158">
            <v>-209.85901999999987</v>
          </cell>
          <cell r="L158">
            <v>5927.0457299999998</v>
          </cell>
          <cell r="M158">
            <v>4628.7753276943449</v>
          </cell>
          <cell r="N158">
            <v>3786.4763368420017</v>
          </cell>
          <cell r="O158">
            <v>-1082.5296913979987</v>
          </cell>
          <cell r="P158">
            <v>-434.5688971919991</v>
          </cell>
          <cell r="Q158">
            <v>6028.3194419600004</v>
          </cell>
          <cell r="R158">
            <v>959.15757672200334</v>
          </cell>
          <cell r="S158">
            <v>8371.6374825220009</v>
          </cell>
          <cell r="T158">
            <v>8929.2218298460011</v>
          </cell>
          <cell r="U158">
            <v>9825.9314126160007</v>
          </cell>
          <cell r="V158">
            <v>10915.818383595999</v>
          </cell>
          <cell r="W158">
            <v>10549.201228394002</v>
          </cell>
          <cell r="X158">
            <v>13261.55267986</v>
          </cell>
          <cell r="Y158">
            <v>11376.510836181998</v>
          </cell>
          <cell r="Z158">
            <v>13938.489988684001</v>
          </cell>
          <cell r="AA158">
            <v>15846.773014801998</v>
          </cell>
        </row>
        <row r="159">
          <cell r="B159" t="str">
            <v>3ª Adequação - Investimentos</v>
          </cell>
        </row>
        <row r="160">
          <cell r="B160" t="str">
            <v>Fluxo de Caixa do Fator</v>
          </cell>
          <cell r="H160">
            <v>55.603725000000239</v>
          </cell>
          <cell r="I160">
            <v>-0.94363500000000844</v>
          </cell>
          <cell r="J160">
            <v>2.5741000000025438E-2</v>
          </cell>
          <cell r="K160">
            <v>-0.96882059999997416</v>
          </cell>
          <cell r="L160">
            <v>-0.99330729000002294</v>
          </cell>
          <cell r="M160">
            <v>734.23709781400021</v>
          </cell>
          <cell r="N160">
            <v>5447.2849481218855</v>
          </cell>
          <cell r="O160">
            <v>-2033.4316160515666</v>
          </cell>
          <cell r="P160">
            <v>-3597.2883287307504</v>
          </cell>
          <cell r="Q160">
            <v>468.57101305798386</v>
          </cell>
          <cell r="R160">
            <v>174.50295058784485</v>
          </cell>
          <cell r="S160">
            <v>-767.04115198282204</v>
          </cell>
          <cell r="T160">
            <v>16.836636474777801</v>
          </cell>
          <cell r="U160">
            <v>18.337559549337655</v>
          </cell>
          <cell r="V160">
            <v>21.038113394073779</v>
          </cell>
          <cell r="W160">
            <v>22.938645700915576</v>
          </cell>
          <cell r="X160">
            <v>103.43334508502075</v>
          </cell>
          <cell r="Y160">
            <v>16.571664715483621</v>
          </cell>
          <cell r="Z160">
            <v>17.290409576906786</v>
          </cell>
          <cell r="AA160">
            <v>16.955409576907385</v>
          </cell>
        </row>
        <row r="161">
          <cell r="B161" t="str">
            <v>Somatoria com Projeto Original</v>
          </cell>
          <cell r="F161">
            <v>661.45198081494823</v>
          </cell>
          <cell r="G161">
            <v>0.20945940392164439</v>
          </cell>
          <cell r="H161">
            <v>-10605.718290000001</v>
          </cell>
          <cell r="I161">
            <v>-1398.3601299999978</v>
          </cell>
          <cell r="J161">
            <v>-4197.0032639999999</v>
          </cell>
          <cell r="K161">
            <v>-210.82784059999986</v>
          </cell>
          <cell r="L161">
            <v>5926.0524227099995</v>
          </cell>
          <cell r="M161">
            <v>5695.1784778140009</v>
          </cell>
          <cell r="N161">
            <v>9841.5206081218876</v>
          </cell>
          <cell r="O161">
            <v>-2490.6610010515651</v>
          </cell>
          <cell r="P161">
            <v>-3388.4859487307494</v>
          </cell>
          <cell r="Q161">
            <v>7158.894013057984</v>
          </cell>
          <cell r="R161">
            <v>1814.8554255878482</v>
          </cell>
          <cell r="S161">
            <v>8305.5396530171802</v>
          </cell>
          <cell r="T161">
            <v>9667.3046264747791</v>
          </cell>
          <cell r="U161">
            <v>10586.403634549339</v>
          </cell>
          <cell r="V161">
            <v>11700.697488394073</v>
          </cell>
          <cell r="W161">
            <v>11358.134040700917</v>
          </cell>
          <cell r="X161">
            <v>14173.811795085021</v>
          </cell>
          <cell r="Y161">
            <v>12225.516339715483</v>
          </cell>
          <cell r="Z161">
            <v>14812.328119576907</v>
          </cell>
          <cell r="AA161">
            <v>16745.127279576907</v>
          </cell>
        </row>
        <row r="162">
          <cell r="B162" t="str">
            <v>Redução de pagamento do Ônus Fixo</v>
          </cell>
        </row>
        <row r="163">
          <cell r="B163" t="str">
            <v>Fluxo de Caixa do Fator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163.20878399999998</v>
          </cell>
          <cell r="R163">
            <v>163.20878399999998</v>
          </cell>
          <cell r="S163">
            <v>163.20878399999998</v>
          </cell>
          <cell r="T163">
            <v>163.20878399999998</v>
          </cell>
          <cell r="U163">
            <v>163.20878399999998</v>
          </cell>
          <cell r="V163">
            <v>163.20878399999998</v>
          </cell>
          <cell r="W163">
            <v>163.20878399999998</v>
          </cell>
          <cell r="X163">
            <v>163.20878399999998</v>
          </cell>
          <cell r="Y163">
            <v>163.20878399999998</v>
          </cell>
          <cell r="Z163">
            <v>163.20878399999998</v>
          </cell>
          <cell r="AA163">
            <v>163.20878399999998</v>
          </cell>
        </row>
        <row r="164">
          <cell r="B164" t="str">
            <v>Somatoria com Projeto Original</v>
          </cell>
          <cell r="F164">
            <v>133.37577095264731</v>
          </cell>
          <cell r="G164">
            <v>0.20372928159262807</v>
          </cell>
          <cell r="H164">
            <v>-10661.322015000002</v>
          </cell>
          <cell r="I164">
            <v>-1397.4164949999977</v>
          </cell>
          <cell r="J164">
            <v>-4197.0290050000003</v>
          </cell>
          <cell r="K164">
            <v>-209.85901999999987</v>
          </cell>
          <cell r="L164">
            <v>5927.0457299999998</v>
          </cell>
          <cell r="M164">
            <v>4960.9413800000002</v>
          </cell>
          <cell r="N164">
            <v>4394.2356600000021</v>
          </cell>
          <cell r="O164">
            <v>-457.22938499999873</v>
          </cell>
          <cell r="P164">
            <v>208.80238000000099</v>
          </cell>
          <cell r="Q164">
            <v>6853.5317840000007</v>
          </cell>
          <cell r="R164">
            <v>1803.5612590000032</v>
          </cell>
          <cell r="S164">
            <v>9235.7895890000018</v>
          </cell>
          <cell r="T164">
            <v>9813.6767740000014</v>
          </cell>
          <cell r="U164">
            <v>10731.274859000001</v>
          </cell>
          <cell r="V164">
            <v>11842.868159</v>
          </cell>
          <cell r="W164">
            <v>11498.404179000003</v>
          </cell>
          <cell r="X164">
            <v>14233.587234000001</v>
          </cell>
          <cell r="Y164">
            <v>12372.153458999999</v>
          </cell>
          <cell r="Z164">
            <v>14958.246494000001</v>
          </cell>
          <cell r="AA164">
            <v>16891.380653999997</v>
          </cell>
        </row>
        <row r="165">
          <cell r="B165">
            <v>0</v>
          </cell>
        </row>
        <row r="166">
          <cell r="B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B167">
            <v>0</v>
          </cell>
          <cell r="F167">
            <v>3.8767462324097654E-12</v>
          </cell>
          <cell r="G167">
            <v>0.20233826697728008</v>
          </cell>
          <cell r="H167">
            <v>-10661.322015000002</v>
          </cell>
          <cell r="I167">
            <v>-1397.4164949999977</v>
          </cell>
          <cell r="J167">
            <v>-4197.0290050000003</v>
          </cell>
          <cell r="K167">
            <v>-209.85901999999987</v>
          </cell>
          <cell r="L167">
            <v>5927.0457299999998</v>
          </cell>
          <cell r="M167">
            <v>4960.9413800000002</v>
          </cell>
          <cell r="N167">
            <v>4394.2356600000021</v>
          </cell>
          <cell r="O167">
            <v>-457.22938499999873</v>
          </cell>
          <cell r="P167">
            <v>208.80238000000099</v>
          </cell>
          <cell r="Q167">
            <v>6690.3230000000003</v>
          </cell>
          <cell r="R167">
            <v>1640.3524750000033</v>
          </cell>
          <cell r="S167">
            <v>9072.5808050000014</v>
          </cell>
          <cell r="T167">
            <v>9650.467990000001</v>
          </cell>
          <cell r="U167">
            <v>10568.066075000001</v>
          </cell>
          <cell r="V167">
            <v>11679.659374999999</v>
          </cell>
          <cell r="W167">
            <v>11335.195395000002</v>
          </cell>
          <cell r="X167">
            <v>14070.37845</v>
          </cell>
          <cell r="Y167">
            <v>12208.944674999999</v>
          </cell>
          <cell r="Z167">
            <v>14795.037710000001</v>
          </cell>
          <cell r="AA167">
            <v>16728.171869999998</v>
          </cell>
        </row>
        <row r="168">
          <cell r="B168">
            <v>0</v>
          </cell>
        </row>
        <row r="169">
          <cell r="B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>
            <v>0</v>
          </cell>
          <cell r="F170">
            <v>3.8767462324097654E-12</v>
          </cell>
          <cell r="G170">
            <v>0.20233826697728008</v>
          </cell>
          <cell r="H170">
            <v>-10661.322015000002</v>
          </cell>
          <cell r="I170">
            <v>-1397.4164949999977</v>
          </cell>
          <cell r="J170">
            <v>-4197.0290050000003</v>
          </cell>
          <cell r="K170">
            <v>-209.85901999999987</v>
          </cell>
          <cell r="L170">
            <v>5927.0457299999998</v>
          </cell>
          <cell r="M170">
            <v>4960.9413800000002</v>
          </cell>
          <cell r="N170">
            <v>4394.2356600000021</v>
          </cell>
          <cell r="O170">
            <v>-457.22938499999873</v>
          </cell>
          <cell r="P170">
            <v>208.80238000000099</v>
          </cell>
          <cell r="Q170">
            <v>6690.3230000000003</v>
          </cell>
          <cell r="R170">
            <v>1640.3524750000033</v>
          </cell>
          <cell r="S170">
            <v>9072.5808050000014</v>
          </cell>
          <cell r="T170">
            <v>9650.467990000001</v>
          </cell>
          <cell r="U170">
            <v>10568.066075000001</v>
          </cell>
          <cell r="V170">
            <v>11679.659374999999</v>
          </cell>
          <cell r="W170">
            <v>11335.195395000002</v>
          </cell>
          <cell r="X170">
            <v>14070.37845</v>
          </cell>
          <cell r="Y170">
            <v>12208.944674999999</v>
          </cell>
          <cell r="Z170">
            <v>14795.037710000001</v>
          </cell>
          <cell r="AA170">
            <v>16728.171869999998</v>
          </cell>
        </row>
        <row r="171">
          <cell r="B171">
            <v>0</v>
          </cell>
        </row>
        <row r="172">
          <cell r="B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>
            <v>0</v>
          </cell>
          <cell r="F173">
            <v>3.8767462324097654E-12</v>
          </cell>
          <cell r="G173">
            <v>0.20233826697728008</v>
          </cell>
          <cell r="H173">
            <v>-10661.322015000002</v>
          </cell>
          <cell r="I173">
            <v>-1397.4164949999977</v>
          </cell>
          <cell r="J173">
            <v>-4197.0290050000003</v>
          </cell>
          <cell r="K173">
            <v>-209.85901999999987</v>
          </cell>
          <cell r="L173">
            <v>5927.0457299999998</v>
          </cell>
          <cell r="M173">
            <v>4960.9413800000002</v>
          </cell>
          <cell r="N173">
            <v>4394.2356600000021</v>
          </cell>
          <cell r="O173">
            <v>-457.22938499999873</v>
          </cell>
          <cell r="P173">
            <v>208.80238000000099</v>
          </cell>
          <cell r="Q173">
            <v>6690.3230000000003</v>
          </cell>
          <cell r="R173">
            <v>1640.3524750000033</v>
          </cell>
          <cell r="S173">
            <v>9072.5808050000014</v>
          </cell>
          <cell r="T173">
            <v>9650.467990000001</v>
          </cell>
          <cell r="U173">
            <v>10568.066075000001</v>
          </cell>
          <cell r="V173">
            <v>11679.659374999999</v>
          </cell>
          <cell r="W173">
            <v>11335.195395000002</v>
          </cell>
          <cell r="X173">
            <v>14070.37845</v>
          </cell>
          <cell r="Y173">
            <v>12208.944674999999</v>
          </cell>
          <cell r="Z173">
            <v>14795.037710000001</v>
          </cell>
          <cell r="AA173">
            <v>16728.171869999998</v>
          </cell>
        </row>
        <row r="174">
          <cell r="B174">
            <v>0</v>
          </cell>
        </row>
        <row r="175">
          <cell r="B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>
            <v>0</v>
          </cell>
          <cell r="F176">
            <v>3.8767462324097654E-12</v>
          </cell>
          <cell r="G176">
            <v>0.20233826697728008</v>
          </cell>
          <cell r="H176">
            <v>-10661.322015000002</v>
          </cell>
          <cell r="I176">
            <v>-1397.4164949999977</v>
          </cell>
          <cell r="J176">
            <v>-4197.0290050000003</v>
          </cell>
          <cell r="K176">
            <v>-209.85901999999987</v>
          </cell>
          <cell r="L176">
            <v>5927.0457299999998</v>
          </cell>
          <cell r="M176">
            <v>4960.9413800000002</v>
          </cell>
          <cell r="N176">
            <v>4394.2356600000021</v>
          </cell>
          <cell r="O176">
            <v>-457.22938499999873</v>
          </cell>
          <cell r="P176">
            <v>208.80238000000099</v>
          </cell>
          <cell r="Q176">
            <v>6690.3230000000003</v>
          </cell>
          <cell r="R176">
            <v>1640.3524750000033</v>
          </cell>
          <cell r="S176">
            <v>9072.5808050000014</v>
          </cell>
          <cell r="T176">
            <v>9650.467990000001</v>
          </cell>
          <cell r="U176">
            <v>10568.066075000001</v>
          </cell>
          <cell r="V176">
            <v>11679.659374999999</v>
          </cell>
          <cell r="W176">
            <v>11335.195395000002</v>
          </cell>
          <cell r="X176">
            <v>14070.37845</v>
          </cell>
          <cell r="Y176">
            <v>12208.944674999999</v>
          </cell>
          <cell r="Z176">
            <v>14795.037710000001</v>
          </cell>
          <cell r="AA176">
            <v>16728.171869999998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3.8767462324097654E-12</v>
          </cell>
          <cell r="G179">
            <v>0.20233826697728008</v>
          </cell>
          <cell r="H179">
            <v>-10661.322015000002</v>
          </cell>
          <cell r="I179">
            <v>-1397.4164949999977</v>
          </cell>
          <cell r="J179">
            <v>-4197.0290050000003</v>
          </cell>
          <cell r="K179">
            <v>-209.85901999999987</v>
          </cell>
          <cell r="L179">
            <v>5927.0457299999998</v>
          </cell>
          <cell r="M179">
            <v>4960.9413800000002</v>
          </cell>
          <cell r="N179">
            <v>4394.2356600000021</v>
          </cell>
          <cell r="O179">
            <v>-457.22938499999873</v>
          </cell>
          <cell r="P179">
            <v>208.80238000000099</v>
          </cell>
          <cell r="Q179">
            <v>6690.3230000000003</v>
          </cell>
          <cell r="R179">
            <v>1640.3524750000033</v>
          </cell>
          <cell r="S179">
            <v>9072.5808050000014</v>
          </cell>
          <cell r="T179">
            <v>9650.467990000001</v>
          </cell>
          <cell r="U179">
            <v>10568.066075000001</v>
          </cell>
          <cell r="V179">
            <v>11679.659374999999</v>
          </cell>
          <cell r="W179">
            <v>11335.195395000002</v>
          </cell>
          <cell r="X179">
            <v>14070.37845</v>
          </cell>
          <cell r="Y179">
            <v>12208.944674999999</v>
          </cell>
          <cell r="Z179">
            <v>14795.037710000001</v>
          </cell>
          <cell r="AA179">
            <v>16728.171869999998</v>
          </cell>
        </row>
        <row r="180">
          <cell r="B180">
            <v>0</v>
          </cell>
        </row>
        <row r="181">
          <cell r="B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>
            <v>0</v>
          </cell>
          <cell r="F182">
            <v>3.8767462324097654E-12</v>
          </cell>
          <cell r="G182">
            <v>0.20233826697728008</v>
          </cell>
          <cell r="H182">
            <v>-10661.322015000002</v>
          </cell>
          <cell r="I182">
            <v>-1397.4164949999977</v>
          </cell>
          <cell r="J182">
            <v>-4197.0290050000003</v>
          </cell>
          <cell r="K182">
            <v>-209.85901999999987</v>
          </cell>
          <cell r="L182">
            <v>5927.0457299999998</v>
          </cell>
          <cell r="M182">
            <v>4960.9413800000002</v>
          </cell>
          <cell r="N182">
            <v>4394.2356600000021</v>
          </cell>
          <cell r="O182">
            <v>-457.22938499999873</v>
          </cell>
          <cell r="P182">
            <v>208.80238000000099</v>
          </cell>
          <cell r="Q182">
            <v>6690.3230000000003</v>
          </cell>
          <cell r="R182">
            <v>1640.3524750000033</v>
          </cell>
          <cell r="S182">
            <v>9072.5808050000014</v>
          </cell>
          <cell r="T182">
            <v>9650.467990000001</v>
          </cell>
          <cell r="U182">
            <v>10568.066075000001</v>
          </cell>
          <cell r="V182">
            <v>11679.659374999999</v>
          </cell>
          <cell r="W182">
            <v>11335.195395000002</v>
          </cell>
          <cell r="X182">
            <v>14070.37845</v>
          </cell>
          <cell r="Y182">
            <v>12208.944674999999</v>
          </cell>
          <cell r="Z182">
            <v>14795.037710000001</v>
          </cell>
          <cell r="AA182">
            <v>16728.171869999998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3877.4162222501864</v>
          </cell>
          <cell r="I184">
            <v>-1361.1065106468766</v>
          </cell>
          <cell r="J184">
            <v>550.06705165431708</v>
          </cell>
          <cell r="K184">
            <v>2451.1895781538437</v>
          </cell>
          <cell r="L184">
            <v>-4073.5027286844283</v>
          </cell>
          <cell r="M184">
            <v>-3691.257819892408</v>
          </cell>
          <cell r="N184">
            <v>708.28789526575838</v>
          </cell>
          <cell r="O184">
            <v>4271.9705997845758</v>
          </cell>
          <cell r="P184">
            <v>1593.6603014677476</v>
          </cell>
          <cell r="Q184">
            <v>-4456.0136704234701</v>
          </cell>
          <cell r="R184">
            <v>2150.4830628822024</v>
          </cell>
          <cell r="S184">
            <v>-8359.1321244174578</v>
          </cell>
          <cell r="T184">
            <v>-3152.8088724307368</v>
          </cell>
          <cell r="U184">
            <v>-3332.3554873041257</v>
          </cell>
          <cell r="V184">
            <v>-11168.589811230078</v>
          </cell>
          <cell r="W184">
            <v>-2905.4393070363467</v>
          </cell>
          <cell r="X184">
            <v>-12217.160636565934</v>
          </cell>
          <cell r="Y184">
            <v>-2555.4026964108939</v>
          </cell>
          <cell r="Z184">
            <v>-3665.4883983156915</v>
          </cell>
          <cell r="AA184">
            <v>-2628.3008676207514</v>
          </cell>
        </row>
        <row r="185">
          <cell r="B185" t="str">
            <v>Somatoria com Projeto Original</v>
          </cell>
          <cell r="F185">
            <v>-1130.1760036439334</v>
          </cell>
          <cell r="G185">
            <v>0.18474435310345066</v>
          </cell>
          <cell r="H185">
            <v>-6783.9057927498152</v>
          </cell>
          <cell r="I185">
            <v>-2758.5230056468745</v>
          </cell>
          <cell r="J185">
            <v>-3646.9619533456835</v>
          </cell>
          <cell r="K185">
            <v>2241.3305581538439</v>
          </cell>
          <cell r="L185">
            <v>1853.5430013155715</v>
          </cell>
          <cell r="M185">
            <v>1269.6835601075923</v>
          </cell>
          <cell r="N185">
            <v>5102.5235552657605</v>
          </cell>
          <cell r="O185">
            <v>3814.7412147845771</v>
          </cell>
          <cell r="P185">
            <v>1802.4626814677486</v>
          </cell>
          <cell r="Q185">
            <v>2234.3093295765302</v>
          </cell>
          <cell r="R185">
            <v>3790.8355378822057</v>
          </cell>
          <cell r="S185">
            <v>713.4486805825436</v>
          </cell>
          <cell r="T185">
            <v>6497.6591175692647</v>
          </cell>
          <cell r="U185">
            <v>7235.7105876958749</v>
          </cell>
          <cell r="V185">
            <v>511.06956376992093</v>
          </cell>
          <cell r="W185">
            <v>8429.7560879636549</v>
          </cell>
          <cell r="X185">
            <v>1853.2178134340666</v>
          </cell>
          <cell r="Y185">
            <v>9653.5419785891045</v>
          </cell>
          <cell r="Z185">
            <v>11129.54931168431</v>
          </cell>
          <cell r="AA185">
            <v>14099.871002379246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11834.936956</v>
          </cell>
          <cell r="H191">
            <v>15729.347748</v>
          </cell>
          <cell r="I191">
            <v>16185.991496000001</v>
          </cell>
          <cell r="J191">
            <v>16651.731680000001</v>
          </cell>
          <cell r="K191">
            <v>17132.532575999998</v>
          </cell>
          <cell r="L191">
            <v>16997.836365321382</v>
          </cell>
          <cell r="M191">
            <v>18142.069348000001</v>
          </cell>
          <cell r="N191">
            <v>18665.680787999998</v>
          </cell>
          <cell r="O191">
            <v>19205.112752000001</v>
          </cell>
          <cell r="P191">
            <v>19761.30024</v>
          </cell>
          <cell r="Q191">
            <v>20334.176068000001</v>
          </cell>
          <cell r="R191">
            <v>20923.681268</v>
          </cell>
          <cell r="S191">
            <v>21529.736123999999</v>
          </cell>
          <cell r="T191">
            <v>22153.273504000001</v>
          </cell>
          <cell r="U191">
            <v>22801.223623999998</v>
          </cell>
          <cell r="V191">
            <v>23462.512436000001</v>
          </cell>
          <cell r="W191">
            <v>24144.05284</v>
          </cell>
          <cell r="X191">
            <v>24848.771307999999</v>
          </cell>
          <cell r="Y191">
            <v>25568.588695999999</v>
          </cell>
          <cell r="Z191">
            <v>26310.413587999999</v>
          </cell>
          <cell r="AA191">
            <v>402382.9694053214</v>
          </cell>
        </row>
        <row r="192">
          <cell r="B192" t="str">
            <v>1.1 - Operacionais    (1.1.1 + 1.1.2)</v>
          </cell>
          <cell r="G192">
            <v>11834.936956</v>
          </cell>
          <cell r="H192">
            <v>15729.347748</v>
          </cell>
          <cell r="I192">
            <v>16185.991496000001</v>
          </cell>
          <cell r="J192">
            <v>16651.731680000001</v>
          </cell>
          <cell r="K192">
            <v>17132.532575999998</v>
          </cell>
          <cell r="L192">
            <v>16997.836365321382</v>
          </cell>
          <cell r="M192">
            <v>18142.069348000001</v>
          </cell>
          <cell r="N192">
            <v>18665.680787999998</v>
          </cell>
          <cell r="O192">
            <v>19205.112752000001</v>
          </cell>
          <cell r="P192">
            <v>19761.30024</v>
          </cell>
          <cell r="Q192">
            <v>20334.176068000001</v>
          </cell>
          <cell r="R192">
            <v>20923.681268</v>
          </cell>
          <cell r="S192">
            <v>21529.736123999999</v>
          </cell>
          <cell r="T192">
            <v>22153.273504000001</v>
          </cell>
          <cell r="U192">
            <v>22801.223623999998</v>
          </cell>
          <cell r="V192">
            <v>23462.512436000001</v>
          </cell>
          <cell r="W192">
            <v>24144.05284</v>
          </cell>
          <cell r="X192">
            <v>24848.771307999999</v>
          </cell>
          <cell r="Y192">
            <v>25568.588695999999</v>
          </cell>
          <cell r="Z192">
            <v>26310.413587999999</v>
          </cell>
          <cell r="AA192">
            <v>402382.9694053214</v>
          </cell>
        </row>
        <row r="193">
          <cell r="B193" t="str">
            <v>1.1.1 - Receitas de  Pedágios    (Transp. Qd.2.1.1.2)</v>
          </cell>
          <cell r="G193">
            <v>11484.936956</v>
          </cell>
          <cell r="H193">
            <v>15379.347748</v>
          </cell>
          <cell r="I193">
            <v>15835.991496000001</v>
          </cell>
          <cell r="J193">
            <v>16301.731680000001</v>
          </cell>
          <cell r="K193">
            <v>16782.532575999998</v>
          </cell>
          <cell r="L193">
            <v>16647.836365321382</v>
          </cell>
          <cell r="M193">
            <v>17792.069348000001</v>
          </cell>
          <cell r="N193">
            <v>18315.680787999998</v>
          </cell>
          <cell r="O193">
            <v>18855.112752000001</v>
          </cell>
          <cell r="P193">
            <v>19411.30024</v>
          </cell>
          <cell r="Q193">
            <v>19984.176068000001</v>
          </cell>
          <cell r="R193">
            <v>20573.681268</v>
          </cell>
          <cell r="S193">
            <v>21179.736123999999</v>
          </cell>
          <cell r="T193">
            <v>21803.273504000001</v>
          </cell>
          <cell r="U193">
            <v>22451.223623999998</v>
          </cell>
          <cell r="V193">
            <v>23112.512436000001</v>
          </cell>
          <cell r="W193">
            <v>23794.05284</v>
          </cell>
          <cell r="X193">
            <v>24498.771307999999</v>
          </cell>
          <cell r="Y193">
            <v>25218.588695999999</v>
          </cell>
          <cell r="Z193">
            <v>25960.413587999999</v>
          </cell>
          <cell r="AA193">
            <v>395382.9694053214</v>
          </cell>
        </row>
        <row r="194">
          <cell r="B194" t="str">
            <v>1.1.2 - Outras Receitas Operacionais    (calculado 2.1.2.)</v>
          </cell>
          <cell r="G194">
            <v>350</v>
          </cell>
          <cell r="H194">
            <v>350</v>
          </cell>
          <cell r="I194">
            <v>350</v>
          </cell>
          <cell r="J194">
            <v>350</v>
          </cell>
          <cell r="K194">
            <v>349.99999999999994</v>
          </cell>
          <cell r="L194">
            <v>350</v>
          </cell>
          <cell r="M194">
            <v>350</v>
          </cell>
          <cell r="N194">
            <v>350.00000000000006</v>
          </cell>
          <cell r="O194">
            <v>349.99999999999994</v>
          </cell>
          <cell r="P194">
            <v>350</v>
          </cell>
          <cell r="Q194">
            <v>350</v>
          </cell>
          <cell r="R194">
            <v>350</v>
          </cell>
          <cell r="S194">
            <v>350</v>
          </cell>
          <cell r="T194">
            <v>350</v>
          </cell>
          <cell r="U194">
            <v>350</v>
          </cell>
          <cell r="V194">
            <v>350</v>
          </cell>
          <cell r="W194">
            <v>350</v>
          </cell>
          <cell r="X194">
            <v>350</v>
          </cell>
          <cell r="Y194">
            <v>350</v>
          </cell>
          <cell r="Z194">
            <v>350</v>
          </cell>
          <cell r="AA194">
            <v>7000</v>
          </cell>
        </row>
        <row r="195">
          <cell r="B195" t="str">
            <v>2 -  DEDUÇÕES DA RECEITA    (2.1)</v>
          </cell>
          <cell r="G195">
            <v>323.4882767973333</v>
          </cell>
          <cell r="H195">
            <v>574.303692802</v>
          </cell>
          <cell r="I195">
            <v>591.11718960400003</v>
          </cell>
          <cell r="J195">
            <v>607.86120632000006</v>
          </cell>
          <cell r="K195">
            <v>643.74563139264194</v>
          </cell>
          <cell r="L195">
            <v>1205.1241115686814</v>
          </cell>
          <cell r="M195">
            <v>1747.9098853907867</v>
          </cell>
          <cell r="N195">
            <v>1633.524888162</v>
          </cell>
          <cell r="O195">
            <v>1670.8052530480002</v>
          </cell>
          <cell r="P195">
            <v>1711.9074707600003</v>
          </cell>
          <cell r="Q195">
            <v>1767.0822298820003</v>
          </cell>
          <cell r="R195">
            <v>1810.080929682</v>
          </cell>
          <cell r="S195">
            <v>1873.8196747260001</v>
          </cell>
          <cell r="T195">
            <v>1939.289658096</v>
          </cell>
          <cell r="U195">
            <v>2007.9663434759998</v>
          </cell>
          <cell r="V195">
            <v>2078.8553257140002</v>
          </cell>
          <cell r="W195">
            <v>2149.0870706599999</v>
          </cell>
          <cell r="X195">
            <v>2226.6892181419998</v>
          </cell>
          <cell r="Y195">
            <v>2300.7064222039999</v>
          </cell>
          <cell r="Z195">
            <v>2383.0877753619998</v>
          </cell>
          <cell r="AA195">
            <v>31246.452253789445</v>
          </cell>
        </row>
        <row r="196">
          <cell r="B196" t="str">
            <v>2.1 - Tributos sobre Faturamento    (2.1.1+ .... + 2.1.4)</v>
          </cell>
          <cell r="G196">
            <v>323.4882767973333</v>
          </cell>
          <cell r="H196">
            <v>574.303692802</v>
          </cell>
          <cell r="I196">
            <v>591.11718960400003</v>
          </cell>
          <cell r="J196">
            <v>607.86120632000006</v>
          </cell>
          <cell r="K196">
            <v>643.74563139264194</v>
          </cell>
          <cell r="L196">
            <v>1205.1241115686814</v>
          </cell>
          <cell r="M196">
            <v>1747.9098853907867</v>
          </cell>
          <cell r="N196">
            <v>1633.524888162</v>
          </cell>
          <cell r="O196">
            <v>1670.8052530480002</v>
          </cell>
          <cell r="P196">
            <v>1711.9074707600003</v>
          </cell>
          <cell r="Q196">
            <v>1767.0822298820003</v>
          </cell>
          <cell r="R196">
            <v>1810.080929682</v>
          </cell>
          <cell r="S196">
            <v>1873.8196747260001</v>
          </cell>
          <cell r="T196">
            <v>1939.289658096</v>
          </cell>
          <cell r="U196">
            <v>2007.9663434759998</v>
          </cell>
          <cell r="V196">
            <v>2078.8553257140002</v>
          </cell>
          <cell r="W196">
            <v>2149.0870706599999</v>
          </cell>
          <cell r="X196">
            <v>2226.6892181419998</v>
          </cell>
          <cell r="Y196">
            <v>2300.7064222039999</v>
          </cell>
          <cell r="Z196">
            <v>2383.0877753619998</v>
          </cell>
          <cell r="AA196">
            <v>31246.452253789445</v>
          </cell>
        </row>
        <row r="197">
          <cell r="B197" t="str">
            <v>2.1.1 - I.S.S    (transp. Qd  1.3.)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495.77022732187373</v>
          </cell>
          <cell r="M197">
            <v>907.10346740000011</v>
          </cell>
          <cell r="N197">
            <v>933.28403939999998</v>
          </cell>
          <cell r="O197">
            <v>960.25563760000011</v>
          </cell>
          <cell r="P197">
            <v>988.06501200000002</v>
          </cell>
          <cell r="Q197">
            <v>1016.7088034000001</v>
          </cell>
          <cell r="R197">
            <v>1046.1840634</v>
          </cell>
          <cell r="S197">
            <v>1076.4868062</v>
          </cell>
          <cell r="T197">
            <v>1107.6636752000002</v>
          </cell>
          <cell r="U197">
            <v>1140.0611812</v>
          </cell>
          <cell r="V197">
            <v>1173.1256218000001</v>
          </cell>
          <cell r="W197">
            <v>1207.202642</v>
          </cell>
          <cell r="X197">
            <v>1242.4385654</v>
          </cell>
          <cell r="Y197">
            <v>1278.4294348000001</v>
          </cell>
          <cell r="Z197">
            <v>1315.5206794000001</v>
          </cell>
          <cell r="AA197">
            <v>15888.299856521875</v>
          </cell>
        </row>
        <row r="198">
          <cell r="B198" t="str">
            <v>2.1.2 - Cofins    (transp. Qd 1.3.)</v>
          </cell>
          <cell r="G198">
            <v>246.56118658333332</v>
          </cell>
          <cell r="H198">
            <v>472.03043243999997</v>
          </cell>
          <cell r="I198">
            <v>485.84974488000006</v>
          </cell>
          <cell r="J198">
            <v>499.61195040000001</v>
          </cell>
          <cell r="K198">
            <v>514.87597728000003</v>
          </cell>
          <cell r="L198">
            <v>543.96560312803138</v>
          </cell>
          <cell r="M198">
            <v>695.61946266474615</v>
          </cell>
          <cell r="N198">
            <v>575.54042363999986</v>
          </cell>
          <cell r="O198">
            <v>584.01338255999997</v>
          </cell>
          <cell r="P198">
            <v>594.93900719999999</v>
          </cell>
          <cell r="Q198">
            <v>616.74528204000001</v>
          </cell>
          <cell r="R198">
            <v>627.86043803999996</v>
          </cell>
          <cell r="S198">
            <v>655.34208372000001</v>
          </cell>
          <cell r="T198">
            <v>683.52820511999994</v>
          </cell>
          <cell r="U198">
            <v>713.34670871999992</v>
          </cell>
          <cell r="V198">
            <v>744.43537307999998</v>
          </cell>
          <cell r="W198">
            <v>774.1515852</v>
          </cell>
          <cell r="X198">
            <v>808.97313923999991</v>
          </cell>
          <cell r="Y198">
            <v>840.2276608799998</v>
          </cell>
          <cell r="Z198">
            <v>877.45240763999993</v>
          </cell>
          <cell r="AA198">
            <v>12555.070054456111</v>
          </cell>
        </row>
        <row r="199">
          <cell r="B199" t="str">
            <v>2.1.3 - Pis / Pasep    (transp. Qd 1.3.)</v>
          </cell>
          <cell r="G199">
            <v>76.927090213999989</v>
          </cell>
          <cell r="H199">
            <v>102.273260362</v>
          </cell>
          <cell r="I199">
            <v>105.267444724</v>
          </cell>
          <cell r="J199">
            <v>108.24925592</v>
          </cell>
          <cell r="K199">
            <v>128.86965411264194</v>
          </cell>
          <cell r="L199">
            <v>165.3882811187764</v>
          </cell>
          <cell r="M199">
            <v>145.18695532604025</v>
          </cell>
          <cell r="N199">
            <v>124.70042512199997</v>
          </cell>
          <cell r="O199">
            <v>126.536232888</v>
          </cell>
          <cell r="P199">
            <v>128.90345156000001</v>
          </cell>
          <cell r="Q199">
            <v>133.62814444200001</v>
          </cell>
          <cell r="R199">
            <v>136.036428242</v>
          </cell>
          <cell r="S199">
            <v>141.99078480600002</v>
          </cell>
          <cell r="T199">
            <v>148.09777777599996</v>
          </cell>
          <cell r="U199">
            <v>154.55845355599999</v>
          </cell>
          <cell r="V199">
            <v>161.29433083399999</v>
          </cell>
          <cell r="W199">
            <v>167.73284346</v>
          </cell>
          <cell r="X199">
            <v>175.27751350199998</v>
          </cell>
          <cell r="Y199">
            <v>182.04932652399998</v>
          </cell>
          <cell r="Z199">
            <v>190.11468832199998</v>
          </cell>
          <cell r="AA199">
            <v>2803.0823428114581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11511.448679202666</v>
          </cell>
          <cell r="H201">
            <v>15155.044055198001</v>
          </cell>
          <cell r="I201">
            <v>15594.874306396001</v>
          </cell>
          <cell r="J201">
            <v>16043.870473680001</v>
          </cell>
          <cell r="K201">
            <v>16488.786944607356</v>
          </cell>
          <cell r="L201">
            <v>15792.712253752701</v>
          </cell>
          <cell r="M201">
            <v>16394.159462609216</v>
          </cell>
          <cell r="N201">
            <v>17032.155899837999</v>
          </cell>
          <cell r="O201">
            <v>17534.307498951999</v>
          </cell>
          <cell r="P201">
            <v>18049.392769239999</v>
          </cell>
          <cell r="Q201">
            <v>18567.093838118002</v>
          </cell>
          <cell r="R201">
            <v>19113.600338318</v>
          </cell>
          <cell r="S201">
            <v>19655.916449273998</v>
          </cell>
          <cell r="T201">
            <v>20213.983845904</v>
          </cell>
          <cell r="U201">
            <v>20793.257280523998</v>
          </cell>
          <cell r="V201">
            <v>21383.657110286</v>
          </cell>
          <cell r="W201">
            <v>21994.96576934</v>
          </cell>
          <cell r="X201">
            <v>22622.082089857999</v>
          </cell>
          <cell r="Y201">
            <v>23267.882273796</v>
          </cell>
          <cell r="Z201">
            <v>23927.325812637999</v>
          </cell>
          <cell r="AA201">
            <v>371136.51715153194</v>
          </cell>
        </row>
        <row r="202">
          <cell r="B202" t="str">
            <v>4 -  DESPESAS    (4.1)</v>
          </cell>
          <cell r="G202">
            <v>10891.322112506601</v>
          </cell>
          <cell r="H202">
            <v>11532.540515728269</v>
          </cell>
          <cell r="I202">
            <v>11732.328907777601</v>
          </cell>
          <cell r="J202">
            <v>11790.783655627311</v>
          </cell>
          <cell r="K202">
            <v>11929.218969104531</v>
          </cell>
          <cell r="L202">
            <v>12962.062620997925</v>
          </cell>
          <cell r="M202">
            <v>12478.092889217982</v>
          </cell>
          <cell r="N202">
            <v>12370.140298720746</v>
          </cell>
          <cell r="O202">
            <v>12419.214907135474</v>
          </cell>
          <cell r="P202">
            <v>12468.003315186068</v>
          </cell>
          <cell r="Q202">
            <v>13520.544637304929</v>
          </cell>
          <cell r="R202">
            <v>14187.337403871983</v>
          </cell>
          <cell r="S202">
            <v>13977.137477792161</v>
          </cell>
          <cell r="T202">
            <v>13921.408994226693</v>
          </cell>
          <cell r="U202">
            <v>16417.959644366401</v>
          </cell>
          <cell r="V202">
            <v>16273.422791883511</v>
          </cell>
          <cell r="W202">
            <v>18154.44088913106</v>
          </cell>
          <cell r="X202">
            <v>18807.812769480865</v>
          </cell>
          <cell r="Y202">
            <v>20020.911156039041</v>
          </cell>
          <cell r="Z202">
            <v>20773.63389088224</v>
          </cell>
          <cell r="AA202">
            <v>286628.31784698146</v>
          </cell>
        </row>
        <row r="203">
          <cell r="B203" t="str">
            <v>4.1 - Operacionais    (4.1.1+ .... + 4.1.10)</v>
          </cell>
          <cell r="G203">
            <v>10891.322112506601</v>
          </cell>
          <cell r="H203">
            <v>11532.540515728269</v>
          </cell>
          <cell r="I203">
            <v>11732.328907777601</v>
          </cell>
          <cell r="J203">
            <v>11790.783655627311</v>
          </cell>
          <cell r="K203">
            <v>11929.218969104531</v>
          </cell>
          <cell r="L203">
            <v>12962.062620997925</v>
          </cell>
          <cell r="M203">
            <v>12478.092889217982</v>
          </cell>
          <cell r="N203">
            <v>12370.140298720746</v>
          </cell>
          <cell r="O203">
            <v>12419.214907135474</v>
          </cell>
          <cell r="P203">
            <v>12468.003315186068</v>
          </cell>
          <cell r="Q203">
            <v>13520.544637304929</v>
          </cell>
          <cell r="R203">
            <v>14187.337403871983</v>
          </cell>
          <cell r="S203">
            <v>13977.137477792161</v>
          </cell>
          <cell r="T203">
            <v>13921.408994226693</v>
          </cell>
          <cell r="U203">
            <v>16417.959644366401</v>
          </cell>
          <cell r="V203">
            <v>16273.422791883511</v>
          </cell>
          <cell r="W203">
            <v>18154.44088913106</v>
          </cell>
          <cell r="X203">
            <v>18807.812769480865</v>
          </cell>
          <cell r="Y203">
            <v>20020.911156039041</v>
          </cell>
          <cell r="Z203">
            <v>20773.63389088224</v>
          </cell>
          <cell r="AA203">
            <v>286628.31784698146</v>
          </cell>
        </row>
        <row r="204">
          <cell r="B204" t="str">
            <v>4.1.1  -  Pessoal e Administradores    (Transp. Qd. 1.3.)</v>
          </cell>
          <cell r="G204">
            <v>5080</v>
          </cell>
          <cell r="H204">
            <v>5725</v>
          </cell>
          <cell r="I204">
            <v>5725</v>
          </cell>
          <cell r="J204">
            <v>5725</v>
          </cell>
          <cell r="K204">
            <v>5725</v>
          </cell>
          <cell r="L204">
            <v>5725</v>
          </cell>
          <cell r="M204">
            <v>5725</v>
          </cell>
          <cell r="N204">
            <v>5725</v>
          </cell>
          <cell r="O204">
            <v>5725</v>
          </cell>
          <cell r="P204">
            <v>5725</v>
          </cell>
          <cell r="Q204">
            <v>5875</v>
          </cell>
          <cell r="R204">
            <v>5875</v>
          </cell>
          <cell r="S204">
            <v>5875</v>
          </cell>
          <cell r="T204">
            <v>5875</v>
          </cell>
          <cell r="U204">
            <v>5875</v>
          </cell>
          <cell r="V204">
            <v>5875</v>
          </cell>
          <cell r="W204">
            <v>5875</v>
          </cell>
          <cell r="X204">
            <v>5875</v>
          </cell>
          <cell r="Y204">
            <v>5875</v>
          </cell>
          <cell r="Z204">
            <v>5875</v>
          </cell>
          <cell r="AA204">
            <v>115355</v>
          </cell>
        </row>
        <row r="205">
          <cell r="B205" t="str">
            <v>4.1.2  -  Conservação de Rotina    (Transp. Qd. 1.3.)</v>
          </cell>
          <cell r="G205">
            <v>1908</v>
          </cell>
          <cell r="H205">
            <v>2015</v>
          </cell>
          <cell r="I205">
            <v>2015</v>
          </cell>
          <cell r="J205">
            <v>2015</v>
          </cell>
          <cell r="K205">
            <v>2070</v>
          </cell>
          <cell r="L205">
            <v>2070</v>
          </cell>
          <cell r="M205">
            <v>2070</v>
          </cell>
          <cell r="N205">
            <v>2070</v>
          </cell>
          <cell r="O205">
            <v>2070</v>
          </cell>
          <cell r="P205">
            <v>2177</v>
          </cell>
          <cell r="Q205">
            <v>2177</v>
          </cell>
          <cell r="R205">
            <v>2177</v>
          </cell>
          <cell r="S205">
            <v>2177</v>
          </cell>
          <cell r="T205">
            <v>2177</v>
          </cell>
          <cell r="U205">
            <v>2177</v>
          </cell>
          <cell r="V205">
            <v>2177</v>
          </cell>
          <cell r="W205">
            <v>2177</v>
          </cell>
          <cell r="X205">
            <v>2177</v>
          </cell>
          <cell r="Y205">
            <v>2177</v>
          </cell>
          <cell r="Z205">
            <v>2177</v>
          </cell>
          <cell r="AA205">
            <v>42250</v>
          </cell>
        </row>
        <row r="206">
          <cell r="B206" t="str">
            <v>4.1.3  -  Consumo    (Transp. Qd. 1.3.)</v>
          </cell>
          <cell r="G206">
            <v>174</v>
          </cell>
          <cell r="H206">
            <v>174</v>
          </cell>
          <cell r="I206">
            <v>174</v>
          </cell>
          <cell r="J206">
            <v>174</v>
          </cell>
          <cell r="K206">
            <v>174</v>
          </cell>
          <cell r="L206">
            <v>174</v>
          </cell>
          <cell r="M206">
            <v>174</v>
          </cell>
          <cell r="N206">
            <v>174</v>
          </cell>
          <cell r="O206">
            <v>174</v>
          </cell>
          <cell r="P206">
            <v>174</v>
          </cell>
          <cell r="Q206">
            <v>174</v>
          </cell>
          <cell r="R206">
            <v>174</v>
          </cell>
          <cell r="S206">
            <v>174</v>
          </cell>
          <cell r="T206">
            <v>174</v>
          </cell>
          <cell r="U206">
            <v>174</v>
          </cell>
          <cell r="V206">
            <v>174</v>
          </cell>
          <cell r="W206">
            <v>174</v>
          </cell>
          <cell r="X206">
            <v>174</v>
          </cell>
          <cell r="Y206">
            <v>174</v>
          </cell>
          <cell r="Z206">
            <v>174</v>
          </cell>
          <cell r="AA206">
            <v>3480</v>
          </cell>
        </row>
        <row r="207">
          <cell r="B207" t="str">
            <v>4.1.4  -  Transportes    (Transp. Qd. 1.3.)</v>
          </cell>
          <cell r="G207">
            <v>287</v>
          </cell>
          <cell r="H207">
            <v>287</v>
          </cell>
          <cell r="I207">
            <v>287</v>
          </cell>
          <cell r="J207">
            <v>287</v>
          </cell>
          <cell r="K207">
            <v>287</v>
          </cell>
          <cell r="L207">
            <v>287</v>
          </cell>
          <cell r="M207">
            <v>287</v>
          </cell>
          <cell r="N207">
            <v>287</v>
          </cell>
          <cell r="O207">
            <v>287</v>
          </cell>
          <cell r="P207">
            <v>287</v>
          </cell>
          <cell r="Q207">
            <v>287</v>
          </cell>
          <cell r="R207">
            <v>287</v>
          </cell>
          <cell r="S207">
            <v>287</v>
          </cell>
          <cell r="T207">
            <v>287</v>
          </cell>
          <cell r="U207">
            <v>287</v>
          </cell>
          <cell r="V207">
            <v>287</v>
          </cell>
          <cell r="W207">
            <v>287</v>
          </cell>
          <cell r="X207">
            <v>287</v>
          </cell>
          <cell r="Y207">
            <v>287</v>
          </cell>
          <cell r="Z207">
            <v>287</v>
          </cell>
          <cell r="AA207">
            <v>5740</v>
          </cell>
        </row>
        <row r="208">
          <cell r="B208" t="str">
            <v>4.1.5  -  Diversas    (Transp. Qd. 1.3.)</v>
          </cell>
          <cell r="G208">
            <v>258</v>
          </cell>
          <cell r="H208">
            <v>258</v>
          </cell>
          <cell r="I208">
            <v>258</v>
          </cell>
          <cell r="J208">
            <v>258</v>
          </cell>
          <cell r="K208">
            <v>258</v>
          </cell>
          <cell r="L208">
            <v>258</v>
          </cell>
          <cell r="M208">
            <v>258</v>
          </cell>
          <cell r="N208">
            <v>258</v>
          </cell>
          <cell r="O208">
            <v>258</v>
          </cell>
          <cell r="P208">
            <v>258</v>
          </cell>
          <cell r="Q208">
            <v>258</v>
          </cell>
          <cell r="R208">
            <v>258</v>
          </cell>
          <cell r="S208">
            <v>258</v>
          </cell>
          <cell r="T208">
            <v>258</v>
          </cell>
          <cell r="U208">
            <v>258</v>
          </cell>
          <cell r="V208">
            <v>258</v>
          </cell>
          <cell r="W208">
            <v>258</v>
          </cell>
          <cell r="X208">
            <v>258</v>
          </cell>
          <cell r="Y208">
            <v>258</v>
          </cell>
          <cell r="Z208">
            <v>258</v>
          </cell>
          <cell r="AA208">
            <v>5160</v>
          </cell>
        </row>
        <row r="209">
          <cell r="B209" t="str">
            <v>4.1.6  -  Depreciação/Amortização    (Transp. Qd. 1.3.)</v>
          </cell>
          <cell r="G209">
            <v>1472.3982142857144</v>
          </cell>
          <cell r="H209">
            <v>1655.9196177944864</v>
          </cell>
          <cell r="I209">
            <v>1846.1181733500418</v>
          </cell>
          <cell r="J209">
            <v>1902.0069204088654</v>
          </cell>
          <cell r="K209">
            <v>1977.135725408865</v>
          </cell>
          <cell r="L209">
            <v>3015.1651430755319</v>
          </cell>
          <cell r="M209">
            <v>2497.7441202326745</v>
          </cell>
          <cell r="N209">
            <v>2377.9475154672168</v>
          </cell>
          <cell r="O209">
            <v>2421.7718994768843</v>
          </cell>
          <cell r="P209">
            <v>2601.0360985818029</v>
          </cell>
          <cell r="Q209">
            <v>3487.3972817012327</v>
          </cell>
          <cell r="R209">
            <v>4137.0369041850863</v>
          </cell>
          <cell r="S209">
            <v>3909.187344342065</v>
          </cell>
          <cell r="T209">
            <v>3835.2847512933949</v>
          </cell>
          <cell r="U209">
            <v>6312.9289097499068</v>
          </cell>
          <cell r="V209">
            <v>6149.0854048238152</v>
          </cell>
          <cell r="W209">
            <v>8010.1893018681612</v>
          </cell>
          <cell r="X209">
            <v>8642.9516400947687</v>
          </cell>
          <cell r="Y209">
            <v>9834.9875169297447</v>
          </cell>
          <cell r="Z209">
            <v>10565.987516929747</v>
          </cell>
          <cell r="AA209">
            <v>86652.28</v>
          </cell>
        </row>
        <row r="210">
          <cell r="B210" t="str">
            <v>4.1.7  -  Seguros    (transp. Qd 1.3.)</v>
          </cell>
          <cell r="G210">
            <v>304</v>
          </cell>
          <cell r="H210">
            <v>304</v>
          </cell>
          <cell r="I210">
            <v>304</v>
          </cell>
          <cell r="J210">
            <v>304</v>
          </cell>
          <cell r="K210">
            <v>304</v>
          </cell>
          <cell r="L210">
            <v>304</v>
          </cell>
          <cell r="M210">
            <v>304</v>
          </cell>
          <cell r="N210">
            <v>304</v>
          </cell>
          <cell r="O210">
            <v>304</v>
          </cell>
          <cell r="P210">
            <v>304</v>
          </cell>
          <cell r="Q210">
            <v>304</v>
          </cell>
          <cell r="R210">
            <v>304</v>
          </cell>
          <cell r="S210">
            <v>304</v>
          </cell>
          <cell r="T210">
            <v>304</v>
          </cell>
          <cell r="U210">
            <v>304</v>
          </cell>
          <cell r="V210">
            <v>304</v>
          </cell>
          <cell r="W210">
            <v>304</v>
          </cell>
          <cell r="X210">
            <v>304</v>
          </cell>
          <cell r="Y210">
            <v>304</v>
          </cell>
          <cell r="Z210">
            <v>304</v>
          </cell>
          <cell r="AA210">
            <v>6080</v>
          </cell>
        </row>
        <row r="211">
          <cell r="B211" t="str">
            <v xml:space="preserve">4.1.8  -  Garantias  (transp. Qd 1.3.)  </v>
          </cell>
          <cell r="G211">
            <v>159.89338559999999</v>
          </cell>
          <cell r="H211">
            <v>154.55006549378271</v>
          </cell>
          <cell r="I211">
            <v>150.4405895475588</v>
          </cell>
          <cell r="J211">
            <v>139.03438481844543</v>
          </cell>
          <cell r="K211">
            <v>132.91686641566551</v>
          </cell>
          <cell r="L211">
            <v>131.77198696275326</v>
          </cell>
          <cell r="M211">
            <v>130.89628854530989</v>
          </cell>
          <cell r="N211">
            <v>127.03195961353089</v>
          </cell>
          <cell r="O211">
            <v>116.09922509859052</v>
          </cell>
          <cell r="P211">
            <v>105.53300940426631</v>
          </cell>
          <cell r="Q211">
            <v>104.52687356369655</v>
          </cell>
          <cell r="R211">
            <v>103.99486164689655</v>
          </cell>
          <cell r="S211">
            <v>103.46284973009655</v>
          </cell>
          <cell r="T211">
            <v>102.93083781329655</v>
          </cell>
          <cell r="U211">
            <v>102.39882589649655</v>
          </cell>
          <cell r="V211">
            <v>101.86681397969654</v>
          </cell>
          <cell r="W211">
            <v>101.33480206289656</v>
          </cell>
          <cell r="X211">
            <v>100.80279014609656</v>
          </cell>
          <cell r="Y211">
            <v>100.27077822929655</v>
          </cell>
          <cell r="Z211">
            <v>99.738766312496551</v>
          </cell>
          <cell r="AA211">
            <v>2369.495960880869</v>
          </cell>
        </row>
        <row r="212">
          <cell r="B212" t="str">
            <v xml:space="preserve">4.1.9  -  Parc.Variável da Concessão   </v>
          </cell>
          <cell r="G212">
            <v>355.04810867999998</v>
          </cell>
          <cell r="H212">
            <v>471.88043243999994</v>
          </cell>
          <cell r="I212">
            <v>485.57974487999996</v>
          </cell>
          <cell r="J212">
            <v>499.55195039999995</v>
          </cell>
          <cell r="K212">
            <v>513.97597727999982</v>
          </cell>
          <cell r="L212">
            <v>509.9350909596414</v>
          </cell>
          <cell r="M212">
            <v>544.26208043999998</v>
          </cell>
          <cell r="N212">
            <v>559.97042363999992</v>
          </cell>
          <cell r="O212">
            <v>576.15338255999995</v>
          </cell>
          <cell r="P212">
            <v>592.83900719999997</v>
          </cell>
          <cell r="Q212">
            <v>610.02528203999998</v>
          </cell>
          <cell r="R212">
            <v>627.71043803999999</v>
          </cell>
          <cell r="S212">
            <v>645.89208371999996</v>
          </cell>
          <cell r="T212">
            <v>664.59820511999999</v>
          </cell>
          <cell r="U212">
            <v>684.03670871999998</v>
          </cell>
          <cell r="V212">
            <v>703.87537307999992</v>
          </cell>
          <cell r="W212">
            <v>724.32158519999996</v>
          </cell>
          <cell r="X212">
            <v>745.46313923999992</v>
          </cell>
          <cell r="Y212">
            <v>767.05766087999996</v>
          </cell>
          <cell r="Z212">
            <v>789.31240763999995</v>
          </cell>
          <cell r="AA212">
            <v>12071.48908215964</v>
          </cell>
        </row>
        <row r="213">
          <cell r="B213" t="str">
            <v xml:space="preserve">4.1.10 - Parcela Fixa da Concessão   </v>
          </cell>
          <cell r="G213">
            <v>892.98240394088668</v>
          </cell>
          <cell r="H213">
            <v>487.19039999999995</v>
          </cell>
          <cell r="I213">
            <v>487.19039999999995</v>
          </cell>
          <cell r="J213">
            <v>487.19039999999995</v>
          </cell>
          <cell r="K213">
            <v>487.19039999999995</v>
          </cell>
          <cell r="L213">
            <v>487.19039999999995</v>
          </cell>
          <cell r="M213">
            <v>487.19039999999995</v>
          </cell>
          <cell r="N213">
            <v>487.19039999999995</v>
          </cell>
          <cell r="O213">
            <v>487.19039999999995</v>
          </cell>
          <cell r="P213">
            <v>243.59519999999998</v>
          </cell>
          <cell r="Q213">
            <v>243.59519999999998</v>
          </cell>
          <cell r="R213">
            <v>243.59519999999998</v>
          </cell>
          <cell r="S213">
            <v>243.59519999999998</v>
          </cell>
          <cell r="T213">
            <v>243.59519999999998</v>
          </cell>
          <cell r="U213">
            <v>243.59519999999998</v>
          </cell>
          <cell r="V213">
            <v>243.59519999999998</v>
          </cell>
          <cell r="W213">
            <v>243.59519999999998</v>
          </cell>
          <cell r="X213">
            <v>243.59519999999998</v>
          </cell>
          <cell r="Y213">
            <v>243.59519999999998</v>
          </cell>
          <cell r="Z213">
            <v>243.59519999999998</v>
          </cell>
          <cell r="AA213">
            <v>7470.0528039408837</v>
          </cell>
        </row>
        <row r="214">
          <cell r="B214" t="str">
            <v>5 -  RESULTADO BRUTO OPERACIONAL     (3 - 4)</v>
          </cell>
          <cell r="G214">
            <v>620.1265666960644</v>
          </cell>
          <cell r="H214">
            <v>3622.5035394697315</v>
          </cell>
          <cell r="I214">
            <v>3862.5453986184002</v>
          </cell>
          <cell r="J214">
            <v>4253.0868180526904</v>
          </cell>
          <cell r="K214">
            <v>4559.567975502825</v>
          </cell>
          <cell r="L214">
            <v>2830.6496327547757</v>
          </cell>
          <cell r="M214">
            <v>3916.0665733912338</v>
          </cell>
          <cell r="N214">
            <v>4662.015601117253</v>
          </cell>
          <cell r="O214">
            <v>5115.0925918165249</v>
          </cell>
          <cell r="P214">
            <v>5581.3894540539313</v>
          </cell>
          <cell r="Q214">
            <v>5046.5492008130732</v>
          </cell>
          <cell r="R214">
            <v>4926.2629344460165</v>
          </cell>
          <cell r="S214">
            <v>5678.7789714818373</v>
          </cell>
          <cell r="T214">
            <v>6292.5748516773074</v>
          </cell>
          <cell r="U214">
            <v>4375.2976361575966</v>
          </cell>
          <cell r="V214">
            <v>5110.2343184024885</v>
          </cell>
          <cell r="W214">
            <v>3840.5248802089409</v>
          </cell>
          <cell r="X214">
            <v>3814.2693203771341</v>
          </cell>
          <cell r="Y214">
            <v>3246.9711177569588</v>
          </cell>
          <cell r="Z214">
            <v>3153.6919217557588</v>
          </cell>
          <cell r="AA214">
            <v>84508.199304550479</v>
          </cell>
        </row>
        <row r="215">
          <cell r="B215" t="str">
            <v>6 -  RESULTADO FINANCEIRO    (6.1)</v>
          </cell>
          <cell r="G215">
            <v>0</v>
          </cell>
          <cell r="H215">
            <v>5</v>
          </cell>
          <cell r="I215">
            <v>9</v>
          </cell>
          <cell r="J215">
            <v>2</v>
          </cell>
          <cell r="K215">
            <v>30</v>
          </cell>
          <cell r="L215">
            <v>248.00000000000003</v>
          </cell>
          <cell r="M215">
            <v>399.99999999999994</v>
          </cell>
          <cell r="N215">
            <v>519</v>
          </cell>
          <cell r="O215">
            <v>262</v>
          </cell>
          <cell r="P215">
            <v>70</v>
          </cell>
          <cell r="Q215">
            <v>224</v>
          </cell>
          <cell r="R215">
            <v>5</v>
          </cell>
          <cell r="S215">
            <v>315</v>
          </cell>
          <cell r="T215">
            <v>631</v>
          </cell>
          <cell r="U215">
            <v>977</v>
          </cell>
          <cell r="V215">
            <v>1352</v>
          </cell>
          <cell r="W215">
            <v>1661</v>
          </cell>
          <cell r="X215">
            <v>2117</v>
          </cell>
          <cell r="Y215">
            <v>2439</v>
          </cell>
          <cell r="Z215">
            <v>2938</v>
          </cell>
          <cell r="AA215">
            <v>14204</v>
          </cell>
        </row>
        <row r="216">
          <cell r="B216" t="str">
            <v>6.1 - Receitas    (Transp. Qd. 2B)</v>
          </cell>
          <cell r="G216">
            <v>0</v>
          </cell>
          <cell r="H216">
            <v>5</v>
          </cell>
          <cell r="I216">
            <v>9</v>
          </cell>
          <cell r="J216">
            <v>2</v>
          </cell>
          <cell r="K216">
            <v>30</v>
          </cell>
          <cell r="L216">
            <v>248.00000000000003</v>
          </cell>
          <cell r="M216">
            <v>399.99999999999994</v>
          </cell>
          <cell r="N216">
            <v>519</v>
          </cell>
          <cell r="O216">
            <v>262</v>
          </cell>
          <cell r="P216">
            <v>70</v>
          </cell>
          <cell r="Q216">
            <v>224</v>
          </cell>
          <cell r="R216">
            <v>5</v>
          </cell>
          <cell r="S216">
            <v>315</v>
          </cell>
          <cell r="T216">
            <v>631</v>
          </cell>
          <cell r="U216">
            <v>977</v>
          </cell>
          <cell r="V216">
            <v>1352</v>
          </cell>
          <cell r="W216">
            <v>1661</v>
          </cell>
          <cell r="X216">
            <v>2117</v>
          </cell>
          <cell r="Y216">
            <v>2439</v>
          </cell>
          <cell r="Z216">
            <v>2938</v>
          </cell>
          <cell r="AA216">
            <v>14204</v>
          </cell>
        </row>
        <row r="217">
          <cell r="B217" t="str">
            <v>7 -  RESULTADO OPERACIONAL    (5 + 6)</v>
          </cell>
          <cell r="G217">
            <v>620.1265666960644</v>
          </cell>
          <cell r="H217">
            <v>3627.5035394697315</v>
          </cell>
          <cell r="I217">
            <v>3871.5453986184002</v>
          </cell>
          <cell r="J217">
            <v>4255.0868180526904</v>
          </cell>
          <cell r="K217">
            <v>4589.567975502825</v>
          </cell>
          <cell r="L217">
            <v>3078.6496327547757</v>
          </cell>
          <cell r="M217">
            <v>4316.0665733912338</v>
          </cell>
          <cell r="N217">
            <v>5181.015601117253</v>
          </cell>
          <cell r="O217">
            <v>5377.0925918165249</v>
          </cell>
          <cell r="P217">
            <v>5651.3894540539313</v>
          </cell>
          <cell r="Q217">
            <v>5270.5492008130732</v>
          </cell>
          <cell r="R217">
            <v>4931.2629344460165</v>
          </cell>
          <cell r="S217">
            <v>5993.7789714818373</v>
          </cell>
          <cell r="T217">
            <v>6923.5748516773074</v>
          </cell>
          <cell r="U217">
            <v>5352.2976361575966</v>
          </cell>
          <cell r="V217">
            <v>6462.2343184024885</v>
          </cell>
          <cell r="W217">
            <v>5501.5248802089409</v>
          </cell>
          <cell r="X217">
            <v>5931.2693203771341</v>
          </cell>
          <cell r="Y217">
            <v>5685.9711177569588</v>
          </cell>
          <cell r="Z217">
            <v>6091.6919217557588</v>
          </cell>
          <cell r="AA217">
            <v>98712.199304550479</v>
          </cell>
        </row>
        <row r="218">
          <cell r="B218" t="str">
            <v>8 -  RESULTADO NÃO OPERACIONAL    (Tr. item 2, Qd. 3A)</v>
          </cell>
          <cell r="G218">
            <v>101.01348486052611</v>
          </cell>
          <cell r="H218">
            <v>141.01127104711153</v>
          </cell>
          <cell r="I218">
            <v>144.9890617256759</v>
          </cell>
          <cell r="J218">
            <v>150.0016850326308</v>
          </cell>
          <cell r="K218">
            <v>154.00416129702762</v>
          </cell>
          <cell r="L218">
            <v>157.97647622892904</v>
          </cell>
          <cell r="M218">
            <v>162.96939454848513</v>
          </cell>
          <cell r="N218">
            <v>167.98055722246036</v>
          </cell>
          <cell r="O218">
            <v>172.98959470713427</v>
          </cell>
          <cell r="P218">
            <v>177.99191999999999</v>
          </cell>
          <cell r="Q218">
            <v>182.99209037328092</v>
          </cell>
          <cell r="R218">
            <v>188.995030323593</v>
          </cell>
          <cell r="S218">
            <v>194.00471572181937</v>
          </cell>
          <cell r="T218">
            <v>200.01793075845507</v>
          </cell>
          <cell r="U218">
            <v>205.98422468415939</v>
          </cell>
          <cell r="V218">
            <v>211.99543672822023</v>
          </cell>
          <cell r="W218">
            <v>218.00135950110052</v>
          </cell>
          <cell r="X218">
            <v>224.9830839123463</v>
          </cell>
          <cell r="Y218">
            <v>231.01031535585713</v>
          </cell>
          <cell r="Z218">
            <v>238.03241525423726</v>
          </cell>
          <cell r="AA218">
            <v>3626.94420928305</v>
          </cell>
        </row>
        <row r="219">
          <cell r="B219" t="str">
            <v>9 -  RESULTADO ANTES CONTRIBUIÇÃO SOCIAL   (7 + 8)</v>
          </cell>
          <cell r="G219">
            <v>721.14005155659049</v>
          </cell>
          <cell r="H219">
            <v>3768.5148105168432</v>
          </cell>
          <cell r="I219">
            <v>4016.5344603440763</v>
          </cell>
          <cell r="J219">
            <v>4405.0885030853215</v>
          </cell>
          <cell r="K219">
            <v>4743.5721367998522</v>
          </cell>
          <cell r="L219">
            <v>3236.6261089837049</v>
          </cell>
          <cell r="M219">
            <v>4479.0359679397188</v>
          </cell>
          <cell r="N219">
            <v>5348.9961583397135</v>
          </cell>
          <cell r="O219">
            <v>5550.0821865236594</v>
          </cell>
          <cell r="P219">
            <v>5829.3813740539317</v>
          </cell>
          <cell r="Q219">
            <v>5453.5412911863541</v>
          </cell>
          <cell r="R219">
            <v>5120.2579647696093</v>
          </cell>
          <cell r="S219">
            <v>6187.7836872036569</v>
          </cell>
          <cell r="T219">
            <v>7123.5927824357623</v>
          </cell>
          <cell r="U219">
            <v>5558.2818608417556</v>
          </cell>
          <cell r="V219">
            <v>6674.2297551307083</v>
          </cell>
          <cell r="W219">
            <v>5719.5262397100414</v>
          </cell>
          <cell r="X219">
            <v>6156.2524042894802</v>
          </cell>
          <cell r="Y219">
            <v>5916.9814331128164</v>
          </cell>
          <cell r="Z219">
            <v>6329.7243370099959</v>
          </cell>
          <cell r="AA219">
            <v>102339.14351383352</v>
          </cell>
        </row>
        <row r="220">
          <cell r="B220" t="str">
            <v>10- CONTRIBUIÇÃO SOCIAL (Legislação vigente)</v>
          </cell>
          <cell r="G220">
            <v>57.691204124527282</v>
          </cell>
          <cell r="H220">
            <v>301.48118484134733</v>
          </cell>
          <cell r="I220">
            <v>321.32275682752612</v>
          </cell>
          <cell r="J220">
            <v>352.40708024682567</v>
          </cell>
          <cell r="K220">
            <v>379.48577094398809</v>
          </cell>
          <cell r="L220">
            <v>258.93008871869603</v>
          </cell>
          <cell r="M220">
            <v>358.32287743517725</v>
          </cell>
          <cell r="N220">
            <v>427.91969266717678</v>
          </cell>
          <cell r="O220">
            <v>444.0065749218931</v>
          </cell>
          <cell r="P220">
            <v>466.35050992431439</v>
          </cell>
          <cell r="Q220">
            <v>436.28330329490825</v>
          </cell>
          <cell r="R220">
            <v>409.62063718156872</v>
          </cell>
          <cell r="S220">
            <v>495.0226949762926</v>
          </cell>
          <cell r="T220">
            <v>569.88742259486105</v>
          </cell>
          <cell r="U220">
            <v>444.66254886734049</v>
          </cell>
          <cell r="V220">
            <v>533.93838041045683</v>
          </cell>
          <cell r="W220">
            <v>457.5620991768036</v>
          </cell>
          <cell r="X220">
            <v>492.50019234315863</v>
          </cell>
          <cell r="Y220">
            <v>473.35851464902532</v>
          </cell>
          <cell r="Z220">
            <v>506.37794696079942</v>
          </cell>
          <cell r="AA220">
            <v>8187.1314811066868</v>
          </cell>
        </row>
        <row r="221">
          <cell r="B221" t="str">
            <v>11- RESULTADO ANTES IMPOSTO DE RENDA    (9 - 10)</v>
          </cell>
          <cell r="G221">
            <v>663.44884743206319</v>
          </cell>
          <cell r="H221">
            <v>3467.0336256754958</v>
          </cell>
          <cell r="I221">
            <v>3695.2117035165502</v>
          </cell>
          <cell r="J221">
            <v>4052.6814228384956</v>
          </cell>
          <cell r="K221">
            <v>4364.0863658558637</v>
          </cell>
          <cell r="L221">
            <v>2977.6960202650089</v>
          </cell>
          <cell r="M221">
            <v>4120.7130905045415</v>
          </cell>
          <cell r="N221">
            <v>4921.0764656725369</v>
          </cell>
          <cell r="O221">
            <v>5106.0756116017665</v>
          </cell>
          <cell r="P221">
            <v>5363.0308641296169</v>
          </cell>
          <cell r="Q221">
            <v>5017.2579878914457</v>
          </cell>
          <cell r="R221">
            <v>4710.6373275880405</v>
          </cell>
          <cell r="S221">
            <v>5692.7609922273641</v>
          </cell>
          <cell r="T221">
            <v>6553.7053598409011</v>
          </cell>
          <cell r="U221">
            <v>5113.6193119744148</v>
          </cell>
          <cell r="V221">
            <v>6140.291374720251</v>
          </cell>
          <cell r="W221">
            <v>5261.9641405332377</v>
          </cell>
          <cell r="X221">
            <v>5663.7522119463219</v>
          </cell>
          <cell r="Y221">
            <v>5443.6229184637914</v>
          </cell>
          <cell r="Z221">
            <v>5823.3463900491961</v>
          </cell>
          <cell r="AA221">
            <v>94152.012032726838</v>
          </cell>
        </row>
        <row r="222">
          <cell r="B222" t="str">
            <v>12- IMPOSTO DE RENDA (Legislação vigente)</v>
          </cell>
          <cell r="G222">
            <v>156.28501288914777</v>
          </cell>
          <cell r="H222">
            <v>918.12870262921047</v>
          </cell>
          <cell r="I222">
            <v>980.13361508601906</v>
          </cell>
          <cell r="J222">
            <v>1077.2721257713301</v>
          </cell>
          <cell r="K222">
            <v>1161.8930341999624</v>
          </cell>
          <cell r="L222">
            <v>785.1565272459253</v>
          </cell>
          <cell r="M222">
            <v>1095.7589919849293</v>
          </cell>
          <cell r="N222">
            <v>1313.2490395849277</v>
          </cell>
          <cell r="O222">
            <v>1363.5205466309158</v>
          </cell>
          <cell r="P222">
            <v>1433.3453435134827</v>
          </cell>
          <cell r="Q222">
            <v>1339.3853227965883</v>
          </cell>
          <cell r="R222">
            <v>1256.0644911924019</v>
          </cell>
          <cell r="S222">
            <v>1522.9459218009142</v>
          </cell>
          <cell r="T222">
            <v>1756.8981956089408</v>
          </cell>
          <cell r="U222">
            <v>1365.5704652104391</v>
          </cell>
          <cell r="V222">
            <v>1644.5574387826773</v>
          </cell>
          <cell r="W222">
            <v>1405.8815599275101</v>
          </cell>
          <cell r="X222">
            <v>1515.06310107237</v>
          </cell>
          <cell r="Y222">
            <v>1455.2453582782039</v>
          </cell>
          <cell r="Z222">
            <v>1558.4310842524987</v>
          </cell>
          <cell r="AA222">
            <v>25104.785878458399</v>
          </cell>
        </row>
        <row r="223">
          <cell r="B223" t="str">
            <v>13- RESULTADO DE EXERCÍCIO    (11 - 12)</v>
          </cell>
          <cell r="G223">
            <v>507.16383454291542</v>
          </cell>
          <cell r="H223">
            <v>2548.9049230462851</v>
          </cell>
          <cell r="I223">
            <v>2715.0780884305314</v>
          </cell>
          <cell r="J223">
            <v>2975.4092970671654</v>
          </cell>
          <cell r="K223">
            <v>3202.1933316559016</v>
          </cell>
          <cell r="L223">
            <v>2192.5394930190837</v>
          </cell>
          <cell r="M223">
            <v>3024.9540985196122</v>
          </cell>
          <cell r="N223">
            <v>3607.8274260876092</v>
          </cell>
          <cell r="O223">
            <v>3742.5550649708507</v>
          </cell>
          <cell r="P223">
            <v>3929.6855206161345</v>
          </cell>
          <cell r="Q223">
            <v>3677.8726650948574</v>
          </cell>
          <cell r="R223">
            <v>3454.5728363956387</v>
          </cell>
          <cell r="S223">
            <v>4169.8150704264499</v>
          </cell>
          <cell r="T223">
            <v>4796.8071642319601</v>
          </cell>
          <cell r="U223">
            <v>3748.0488467639757</v>
          </cell>
          <cell r="V223">
            <v>4495.7339359375737</v>
          </cell>
          <cell r="W223">
            <v>3856.0825806057273</v>
          </cell>
          <cell r="X223">
            <v>4148.6891108739519</v>
          </cell>
          <cell r="Y223">
            <v>3988.3775601855878</v>
          </cell>
          <cell r="Z223">
            <v>4264.9153057966978</v>
          </cell>
          <cell r="AA223">
            <v>69047.226154268443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27040.18286063206</v>
          </cell>
          <cell r="H229">
            <v>27837.212083353701</v>
          </cell>
          <cell r="I229">
            <v>28657.734327004469</v>
          </cell>
          <cell r="J229">
            <v>29502.442065607454</v>
          </cell>
          <cell r="K229">
            <v>30372.048184365471</v>
          </cell>
          <cell r="L229">
            <v>31267.286581295575</v>
          </cell>
          <cell r="M229">
            <v>32188.912786597142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206865.81888885589</v>
          </cell>
        </row>
        <row r="230">
          <cell r="B230" t="str">
            <v>1.1 - Operacionais    (1.1.1 + 1.1.2)</v>
          </cell>
          <cell r="G230">
            <v>27040.18286063206</v>
          </cell>
          <cell r="H230">
            <v>27837.212083353701</v>
          </cell>
          <cell r="I230">
            <v>28657.734327004469</v>
          </cell>
          <cell r="J230">
            <v>29502.442065607454</v>
          </cell>
          <cell r="K230">
            <v>30372.048184365471</v>
          </cell>
          <cell r="L230">
            <v>31267.286581295575</v>
          </cell>
          <cell r="M230">
            <v>32188.912786597142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206865.81888885589</v>
          </cell>
        </row>
        <row r="231">
          <cell r="B231" t="str">
            <v>1.1.1 - Receitas de  Pedágios    (Transp. Qd.2.1.1.2)</v>
          </cell>
          <cell r="G231">
            <v>26725.615819442763</v>
          </cell>
          <cell r="H231">
            <v>27513.372947902866</v>
          </cell>
          <cell r="I231">
            <v>28324.349795513026</v>
          </cell>
          <cell r="J231">
            <v>29159.230780525933</v>
          </cell>
          <cell r="K231">
            <v>30018.720494924273</v>
          </cell>
          <cell r="L231">
            <v>30903.544299056211</v>
          </cell>
          <cell r="M231">
            <v>31814.448933798198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204459.28307116329</v>
          </cell>
        </row>
        <row r="232">
          <cell r="B232" t="str">
            <v>1.1.2 - Outras Receitas Operacionais    (calculado 2.1.2.)</v>
          </cell>
          <cell r="G232">
            <v>314.56704118929804</v>
          </cell>
          <cell r="H232">
            <v>323.83913545083408</v>
          </cell>
          <cell r="I232">
            <v>333.38453149144334</v>
          </cell>
          <cell r="J232">
            <v>343.21128508151992</v>
          </cell>
          <cell r="K232">
            <v>353.32768944119908</v>
          </cell>
          <cell r="L232">
            <v>363.74228223936217</v>
          </cell>
          <cell r="M232">
            <v>374.46385279894298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2406.5358176925993</v>
          </cell>
        </row>
        <row r="233">
          <cell r="B233" t="str">
            <v>2 -  DEDUÇÕES DA RECEITA    (2.1)</v>
          </cell>
          <cell r="G233">
            <v>2423.0835471849514</v>
          </cell>
          <cell r="H233">
            <v>2494.5057119741609</v>
          </cell>
          <cell r="I233">
            <v>2568.0330974558647</v>
          </cell>
          <cell r="J233">
            <v>2643.7277565540708</v>
          </cell>
          <cell r="K233">
            <v>2721.6535712482341</v>
          </cell>
          <cell r="L233">
            <v>2801.8763064860118</v>
          </cell>
          <cell r="M233">
            <v>2884.4636656851249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18537.343656588419</v>
          </cell>
        </row>
        <row r="234">
          <cell r="B234" t="str">
            <v>2.1 - Tributos sobre Faturamento    (2.1.1+ .... + 2.1.4)</v>
          </cell>
          <cell r="G234">
            <v>2423.0835471849514</v>
          </cell>
          <cell r="H234">
            <v>2494.5057119741609</v>
          </cell>
          <cell r="I234">
            <v>2568.0330974558647</v>
          </cell>
          <cell r="J234">
            <v>2643.7277565540708</v>
          </cell>
          <cell r="K234">
            <v>2721.6535712482341</v>
          </cell>
          <cell r="L234">
            <v>2801.8763064860118</v>
          </cell>
          <cell r="M234">
            <v>2884.4636656851249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18537.343656588419</v>
          </cell>
        </row>
        <row r="235">
          <cell r="B235" t="str">
            <v>2.1.1 - I.S.S    (transp. Qd  1.3.)</v>
          </cell>
          <cell r="G235">
            <v>1352.0091430316031</v>
          </cell>
          <cell r="H235">
            <v>1391.8606041676851</v>
          </cell>
          <cell r="I235">
            <v>1432.8867163502237</v>
          </cell>
          <cell r="J235">
            <v>1475.1221032803728</v>
          </cell>
          <cell r="K235">
            <v>1518.6024092182736</v>
          </cell>
          <cell r="L235">
            <v>1563.3643290647788</v>
          </cell>
          <cell r="M235">
            <v>1609.4456393298572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10343.290944442793</v>
          </cell>
        </row>
        <row r="236">
          <cell r="B236" t="str">
            <v>2.1.2 - Cofins    (transp. Qd 1.3.)</v>
          </cell>
          <cell r="G236">
            <v>880.33512670138214</v>
          </cell>
          <cell r="H236">
            <v>906.28365025189771</v>
          </cell>
          <cell r="I236">
            <v>932.9970255662804</v>
          </cell>
          <cell r="J236">
            <v>960.49779721125867</v>
          </cell>
          <cell r="K236">
            <v>988.80917427120062</v>
          </cell>
          <cell r="L236">
            <v>1017.9550499352598</v>
          </cell>
          <cell r="M236">
            <v>1047.9600216618639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6734.8378455991433</v>
          </cell>
        </row>
        <row r="237">
          <cell r="B237" t="str">
            <v>2.1.3 - Pis / Pasep    (transp. Qd 1.3.)</v>
          </cell>
          <cell r="G237">
            <v>190.73927745196613</v>
          </cell>
          <cell r="H237">
            <v>196.36145755457784</v>
          </cell>
          <cell r="I237">
            <v>202.14935553936076</v>
          </cell>
          <cell r="J237">
            <v>208.10785606243937</v>
          </cell>
          <cell r="K237">
            <v>214.24198775876013</v>
          </cell>
          <cell r="L237">
            <v>220.55692748597295</v>
          </cell>
          <cell r="M237">
            <v>227.05800469340386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1459.2148665464811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24617.099313447106</v>
          </cell>
          <cell r="H239">
            <v>25342.70637137954</v>
          </cell>
          <cell r="I239">
            <v>26089.701229548606</v>
          </cell>
          <cell r="J239">
            <v>26858.714309053383</v>
          </cell>
          <cell r="K239">
            <v>27650.394613117238</v>
          </cell>
          <cell r="L239">
            <v>28465.410274809565</v>
          </cell>
          <cell r="M239">
            <v>29304.449120912017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188328.47523226746</v>
          </cell>
        </row>
        <row r="240">
          <cell r="B240" t="str">
            <v>4 -  DESPESAS    (4.1)</v>
          </cell>
          <cell r="G240">
            <v>9958.2810617557243</v>
          </cell>
          <cell r="H240">
            <v>9982.3660096196145</v>
          </cell>
          <cell r="I240">
            <v>10007.160878987153</v>
          </cell>
          <cell r="J240">
            <v>10032.686595315352</v>
          </cell>
          <cell r="K240">
            <v>10058.964700854431</v>
          </cell>
          <cell r="L240">
            <v>10086.017372828223</v>
          </cell>
          <cell r="M240">
            <v>10113.867442150507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70239.344061511001</v>
          </cell>
        </row>
        <row r="241">
          <cell r="B241" t="str">
            <v>4.1 - Operacionais    (4.1.1+ .... + 4.1.10)</v>
          </cell>
          <cell r="G241">
            <v>9958.2810617557243</v>
          </cell>
          <cell r="H241">
            <v>9982.3660096196145</v>
          </cell>
          <cell r="I241">
            <v>10007.160878987153</v>
          </cell>
          <cell r="J241">
            <v>10032.686595315352</v>
          </cell>
          <cell r="K241">
            <v>10058.964700854431</v>
          </cell>
          <cell r="L241">
            <v>10086.017372828223</v>
          </cell>
          <cell r="M241">
            <v>10113.867442150507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70239.344061511001</v>
          </cell>
        </row>
        <row r="242">
          <cell r="B242" t="str">
            <v>4.1.1  -  Pessoal e Administradores    (Transp. Qd. 1.3.)</v>
          </cell>
          <cell r="G242">
            <v>5875</v>
          </cell>
          <cell r="H242">
            <v>5875</v>
          </cell>
          <cell r="I242">
            <v>5875</v>
          </cell>
          <cell r="J242">
            <v>5875</v>
          </cell>
          <cell r="K242">
            <v>5875</v>
          </cell>
          <cell r="L242">
            <v>5875</v>
          </cell>
          <cell r="M242">
            <v>5875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41125</v>
          </cell>
        </row>
        <row r="243">
          <cell r="B243" t="str">
            <v>4.1.2  -  Conservação de Rotina    (Transp. Qd. 1.3.)</v>
          </cell>
          <cell r="G243">
            <v>2177</v>
          </cell>
          <cell r="H243">
            <v>2177</v>
          </cell>
          <cell r="I243">
            <v>2177</v>
          </cell>
          <cell r="J243">
            <v>2177</v>
          </cell>
          <cell r="K243">
            <v>2177</v>
          </cell>
          <cell r="L243">
            <v>2177</v>
          </cell>
          <cell r="M243">
            <v>2177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15239</v>
          </cell>
        </row>
        <row r="244">
          <cell r="B244" t="str">
            <v>4.1.3  -  Consumo    (Transp. Qd. 1.3.)</v>
          </cell>
          <cell r="G244">
            <v>174</v>
          </cell>
          <cell r="H244">
            <v>174</v>
          </cell>
          <cell r="I244">
            <v>174</v>
          </cell>
          <cell r="J244">
            <v>174</v>
          </cell>
          <cell r="K244">
            <v>174</v>
          </cell>
          <cell r="L244">
            <v>174</v>
          </cell>
          <cell r="M244">
            <v>174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1218</v>
          </cell>
        </row>
        <row r="245">
          <cell r="B245" t="str">
            <v>4.1.4  -  Transportes    (Transp. Qd. 1.3.)</v>
          </cell>
          <cell r="G245">
            <v>287</v>
          </cell>
          <cell r="H245">
            <v>287</v>
          </cell>
          <cell r="I245">
            <v>287</v>
          </cell>
          <cell r="J245">
            <v>287</v>
          </cell>
          <cell r="K245">
            <v>287</v>
          </cell>
          <cell r="L245">
            <v>287</v>
          </cell>
          <cell r="M245">
            <v>287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2009</v>
          </cell>
        </row>
        <row r="246">
          <cell r="B246" t="str">
            <v>4.1.5  -  Diversas    (Transp. Qd. 1.3.)</v>
          </cell>
          <cell r="G246">
            <v>258</v>
          </cell>
          <cell r="H246">
            <v>258</v>
          </cell>
          <cell r="I246">
            <v>258</v>
          </cell>
          <cell r="J246">
            <v>258</v>
          </cell>
          <cell r="K246">
            <v>258</v>
          </cell>
          <cell r="L246">
            <v>258</v>
          </cell>
          <cell r="M246">
            <v>258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1806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304</v>
          </cell>
          <cell r="H248">
            <v>304</v>
          </cell>
          <cell r="I248">
            <v>304</v>
          </cell>
          <cell r="J248">
            <v>304</v>
          </cell>
          <cell r="K248">
            <v>304</v>
          </cell>
          <cell r="L248">
            <v>304</v>
          </cell>
          <cell r="M248">
            <v>304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2128</v>
          </cell>
        </row>
        <row r="249">
          <cell r="B249" t="str">
            <v xml:space="preserve">4.1.8  -  Garantias  (transp. Qd 1.3.)  </v>
          </cell>
          <cell r="G249">
            <v>72.075575936762036</v>
          </cell>
          <cell r="H249">
            <v>72.249647119004436</v>
          </cell>
          <cell r="I249">
            <v>72.428849177017767</v>
          </cell>
          <cell r="J249">
            <v>72.613333347128673</v>
          </cell>
          <cell r="K249">
            <v>72.803255323465422</v>
          </cell>
          <cell r="L249">
            <v>72.998775389354961</v>
          </cell>
          <cell r="M249">
            <v>73.200058552592807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508.36949484532607</v>
          </cell>
        </row>
        <row r="250">
          <cell r="B250" t="str">
            <v xml:space="preserve">4.1.9  -  Parc.Variável da Concessão   </v>
          </cell>
          <cell r="G250">
            <v>811.20548581896173</v>
          </cell>
          <cell r="H250">
            <v>835.11636250061099</v>
          </cell>
          <cell r="I250">
            <v>859.73202981013401</v>
          </cell>
          <cell r="J250">
            <v>885.07326196822362</v>
          </cell>
          <cell r="K250">
            <v>911.1614455309641</v>
          </cell>
          <cell r="L250">
            <v>938.01859743886723</v>
          </cell>
          <cell r="M250">
            <v>965.66738359791418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6205.9745666656754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14658.818251691382</v>
          </cell>
          <cell r="H252">
            <v>15360.340361759925</v>
          </cell>
          <cell r="I252">
            <v>16082.540350561452</v>
          </cell>
          <cell r="J252">
            <v>16826.027713738033</v>
          </cell>
          <cell r="K252">
            <v>17591.429912262807</v>
          </cell>
          <cell r="L252">
            <v>18379.392901981344</v>
          </cell>
          <cell r="M252">
            <v>19190.581678761511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118089.13117075646</v>
          </cell>
        </row>
        <row r="253">
          <cell r="B253" t="str">
            <v>6 -  RESULTADO FINANCEIRO    (6.1)</v>
          </cell>
          <cell r="G253">
            <v>2304.3213627473447</v>
          </cell>
          <cell r="H253">
            <v>2372.2429250428913</v>
          </cell>
          <cell r="I253">
            <v>2442.1665252048783</v>
          </cell>
          <cell r="J253">
            <v>2514.1511747678346</v>
          </cell>
          <cell r="K253">
            <v>2588.2576246745516</v>
          </cell>
          <cell r="L253">
            <v>2664.5484165464195</v>
          </cell>
          <cell r="M253">
            <v>2743.0879354649883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17628.775964448909</v>
          </cell>
        </row>
        <row r="254">
          <cell r="B254" t="str">
            <v>6.1 - Receitas    (Transp. Qd. 2B)</v>
          </cell>
          <cell r="G254">
            <v>2304.3213627473447</v>
          </cell>
          <cell r="H254">
            <v>2372.2429250428913</v>
          </cell>
          <cell r="I254">
            <v>2442.1665252048783</v>
          </cell>
          <cell r="J254">
            <v>2514.1511747678346</v>
          </cell>
          <cell r="K254">
            <v>2588.2576246745516</v>
          </cell>
          <cell r="L254">
            <v>2664.5484165464195</v>
          </cell>
          <cell r="M254">
            <v>2743.0879354649883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17628.775964448909</v>
          </cell>
        </row>
        <row r="255">
          <cell r="B255" t="str">
            <v>7 -  RESULTADO OPERACIONAL    (5 + 6)</v>
          </cell>
          <cell r="G255">
            <v>16963.139614438725</v>
          </cell>
          <cell r="H255">
            <v>17732.583286802816</v>
          </cell>
          <cell r="I255">
            <v>18524.706875766329</v>
          </cell>
          <cell r="J255">
            <v>19340.178888505867</v>
          </cell>
          <cell r="K255">
            <v>20179.687536937359</v>
          </cell>
          <cell r="L255">
            <v>21043.941318527763</v>
          </cell>
          <cell r="M255">
            <v>21933.669614226499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135717.90713520537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16963.139614438725</v>
          </cell>
          <cell r="H257">
            <v>17732.583286802816</v>
          </cell>
          <cell r="I257">
            <v>18524.706875766329</v>
          </cell>
          <cell r="J257">
            <v>19340.178888505867</v>
          </cell>
          <cell r="K257">
            <v>20179.687536937359</v>
          </cell>
          <cell r="L257">
            <v>21043.941318527763</v>
          </cell>
          <cell r="M257">
            <v>21933.669614226499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135717.90713520537</v>
          </cell>
        </row>
        <row r="258">
          <cell r="B258" t="str">
            <v>10- CONTRIBUIÇÃO SOCIAL (Legislação vigente)</v>
          </cell>
          <cell r="G258">
            <v>1357.051169155098</v>
          </cell>
          <cell r="H258">
            <v>1418.6066629442253</v>
          </cell>
          <cell r="I258">
            <v>1481.9765500613064</v>
          </cell>
          <cell r="J258">
            <v>1547.2143110804693</v>
          </cell>
          <cell r="K258">
            <v>1614.3750029549888</v>
          </cell>
          <cell r="L258">
            <v>1683.515305482221</v>
          </cell>
          <cell r="M258">
            <v>1754.69356913812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10857.432570816429</v>
          </cell>
        </row>
        <row r="259">
          <cell r="B259" t="str">
            <v>11- RESULTADO ANTES IMPOSTO DE RENDA    (9 - 10)</v>
          </cell>
          <cell r="G259">
            <v>15606.088445283627</v>
          </cell>
          <cell r="H259">
            <v>16313.976623858591</v>
          </cell>
          <cell r="I259">
            <v>17042.730325705023</v>
          </cell>
          <cell r="J259">
            <v>17792.964577425399</v>
          </cell>
          <cell r="K259">
            <v>18565.312533982371</v>
          </cell>
          <cell r="L259">
            <v>19360.42601304554</v>
          </cell>
          <cell r="M259">
            <v>20178.97604508838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124860.47456438895</v>
          </cell>
        </row>
        <row r="260">
          <cell r="B260" t="str">
            <v>12- IMPOSTO DE RENDA (Legislação vigente)</v>
          </cell>
          <cell r="G260">
            <v>4216.7849036096814</v>
          </cell>
          <cell r="H260">
            <v>4409.1458217007039</v>
          </cell>
          <cell r="I260">
            <v>4607.1767189415823</v>
          </cell>
          <cell r="J260">
            <v>4811.0447221264667</v>
          </cell>
          <cell r="K260">
            <v>5020.9218842343398</v>
          </cell>
          <cell r="L260">
            <v>5236.9853296319407</v>
          </cell>
          <cell r="M260">
            <v>5459.4174035566248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33761.476783801336</v>
          </cell>
        </row>
        <row r="261">
          <cell r="B261" t="str">
            <v>13- RESULTADO DE EXERCÍCIO    (11 - 12)</v>
          </cell>
          <cell r="G261">
            <v>11389.303541673946</v>
          </cell>
          <cell r="H261">
            <v>11904.830802157887</v>
          </cell>
          <cell r="I261">
            <v>12435.55360676344</v>
          </cell>
          <cell r="J261">
            <v>12981.919855298933</v>
          </cell>
          <cell r="K261">
            <v>13544.390649748031</v>
          </cell>
          <cell r="L261">
            <v>14123.440683413599</v>
          </cell>
          <cell r="M261">
            <v>14719.558641531756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91098.997780587611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11935.950440860526</v>
          </cell>
          <cell r="H267">
            <v>15875.359019047111</v>
          </cell>
          <cell r="I267">
            <v>16339.980557725676</v>
          </cell>
          <cell r="J267">
            <v>16803.733365032633</v>
          </cell>
          <cell r="K267">
            <v>17316.536737297025</v>
          </cell>
          <cell r="L267">
            <v>17403.812841550312</v>
          </cell>
          <cell r="M267">
            <v>18705.038742548488</v>
          </cell>
          <cell r="N267">
            <v>19352.661345222459</v>
          </cell>
          <cell r="O267">
            <v>19640.102346707135</v>
          </cell>
          <cell r="P267">
            <v>20009.292160000001</v>
          </cell>
          <cell r="Q267">
            <v>20741.168158373282</v>
          </cell>
          <cell r="R267">
            <v>21117.676298323593</v>
          </cell>
          <cell r="S267">
            <v>22038.740839721817</v>
          </cell>
          <cell r="T267">
            <v>22984.291434758456</v>
          </cell>
          <cell r="U267">
            <v>23984.207848684156</v>
          </cell>
          <cell r="V267">
            <v>25026.50787272822</v>
          </cell>
          <cell r="W267">
            <v>26023.054199501101</v>
          </cell>
          <cell r="X267">
            <v>27190.754391912345</v>
          </cell>
          <cell r="Y267">
            <v>28238.599011355855</v>
          </cell>
          <cell r="Z267">
            <v>29486.446003254237</v>
          </cell>
          <cell r="AA267">
            <v>420213.91361460445</v>
          </cell>
        </row>
        <row r="268">
          <cell r="B268" t="str">
            <v>1.1.  RECEITAS     (1.1.1.+ ... + 1.1.4)</v>
          </cell>
          <cell r="G268">
            <v>11935.950440860526</v>
          </cell>
          <cell r="H268">
            <v>15875.359019047111</v>
          </cell>
          <cell r="I268">
            <v>16339.980557725676</v>
          </cell>
          <cell r="J268">
            <v>16803.733365032633</v>
          </cell>
          <cell r="K268">
            <v>17316.536737297025</v>
          </cell>
          <cell r="L268">
            <v>17403.812841550312</v>
          </cell>
          <cell r="M268">
            <v>18705.038742548488</v>
          </cell>
          <cell r="N268">
            <v>19352.661345222459</v>
          </cell>
          <cell r="O268">
            <v>19640.102346707135</v>
          </cell>
          <cell r="P268">
            <v>20009.292160000001</v>
          </cell>
          <cell r="Q268">
            <v>20741.168158373282</v>
          </cell>
          <cell r="R268">
            <v>21117.676298323593</v>
          </cell>
          <cell r="S268">
            <v>22038.740839721817</v>
          </cell>
          <cell r="T268">
            <v>22984.291434758456</v>
          </cell>
          <cell r="U268">
            <v>23984.207848684156</v>
          </cell>
          <cell r="V268">
            <v>25026.50787272822</v>
          </cell>
          <cell r="W268">
            <v>26023.054199501101</v>
          </cell>
          <cell r="X268">
            <v>27190.754391912345</v>
          </cell>
          <cell r="Y268">
            <v>28238.599011355855</v>
          </cell>
          <cell r="Z268">
            <v>29486.446003254237</v>
          </cell>
          <cell r="AA268">
            <v>420213.91361460445</v>
          </cell>
        </row>
        <row r="269">
          <cell r="B269" t="str">
            <v>1.1.1   Receitas de Pedágio</v>
          </cell>
          <cell r="G269">
            <v>11484.936956</v>
          </cell>
          <cell r="H269">
            <v>15379.347748</v>
          </cell>
          <cell r="I269">
            <v>15835.991496000001</v>
          </cell>
          <cell r="J269">
            <v>16301.731680000001</v>
          </cell>
          <cell r="K269">
            <v>16782.532575999998</v>
          </cell>
          <cell r="L269">
            <v>16647.836365321382</v>
          </cell>
          <cell r="M269">
            <v>17792.069348000001</v>
          </cell>
          <cell r="N269">
            <v>18315.680787999998</v>
          </cell>
          <cell r="O269">
            <v>18855.112752000001</v>
          </cell>
          <cell r="P269">
            <v>19411.30024</v>
          </cell>
          <cell r="Q269">
            <v>19984.176068000001</v>
          </cell>
          <cell r="R269">
            <v>20573.681268</v>
          </cell>
          <cell r="S269">
            <v>21179.736123999999</v>
          </cell>
          <cell r="T269">
            <v>21803.273504000001</v>
          </cell>
          <cell r="U269">
            <v>22451.223623999998</v>
          </cell>
          <cell r="V269">
            <v>23112.512436000001</v>
          </cell>
          <cell r="W269">
            <v>23794.05284</v>
          </cell>
          <cell r="X269">
            <v>24498.771307999999</v>
          </cell>
          <cell r="Y269">
            <v>25218.588695999999</v>
          </cell>
          <cell r="Z269">
            <v>25960.413587999999</v>
          </cell>
          <cell r="AA269">
            <v>395382.9694053214</v>
          </cell>
        </row>
        <row r="270">
          <cell r="B270" t="str">
            <v>1.1.2   Outras Receitas Operacionais</v>
          </cell>
          <cell r="G270">
            <v>350</v>
          </cell>
          <cell r="H270">
            <v>350</v>
          </cell>
          <cell r="I270">
            <v>350</v>
          </cell>
          <cell r="J270">
            <v>350</v>
          </cell>
          <cell r="K270">
            <v>349.99999999999994</v>
          </cell>
          <cell r="L270">
            <v>350</v>
          </cell>
          <cell r="M270">
            <v>350</v>
          </cell>
          <cell r="N270">
            <v>350.00000000000006</v>
          </cell>
          <cell r="O270">
            <v>349.99999999999994</v>
          </cell>
          <cell r="P270">
            <v>350</v>
          </cell>
          <cell r="Q270">
            <v>350</v>
          </cell>
          <cell r="R270">
            <v>350</v>
          </cell>
          <cell r="S270">
            <v>350</v>
          </cell>
          <cell r="T270">
            <v>350</v>
          </cell>
          <cell r="U270">
            <v>350</v>
          </cell>
          <cell r="V270">
            <v>350</v>
          </cell>
          <cell r="W270">
            <v>350</v>
          </cell>
          <cell r="X270">
            <v>350</v>
          </cell>
          <cell r="Y270">
            <v>350</v>
          </cell>
          <cell r="Z270">
            <v>350</v>
          </cell>
          <cell r="AA270">
            <v>7000</v>
          </cell>
        </row>
        <row r="271">
          <cell r="B271" t="str">
            <v>1.1.3   Receitas Não Operacionais</v>
          </cell>
          <cell r="G271">
            <v>101.01348486052611</v>
          </cell>
          <cell r="H271">
            <v>141.01127104711153</v>
          </cell>
          <cell r="I271">
            <v>144.9890617256759</v>
          </cell>
          <cell r="J271">
            <v>150.0016850326308</v>
          </cell>
          <cell r="K271">
            <v>154.00416129702762</v>
          </cell>
          <cell r="L271">
            <v>157.97647622892904</v>
          </cell>
          <cell r="M271">
            <v>162.96939454848513</v>
          </cell>
          <cell r="N271">
            <v>167.98055722246036</v>
          </cell>
          <cell r="O271">
            <v>172.98959470713427</v>
          </cell>
          <cell r="P271">
            <v>177.99191999999999</v>
          </cell>
          <cell r="Q271">
            <v>182.99209037328092</v>
          </cell>
          <cell r="R271">
            <v>188.995030323593</v>
          </cell>
          <cell r="S271">
            <v>194.00471572181937</v>
          </cell>
          <cell r="T271">
            <v>200.01793075845507</v>
          </cell>
          <cell r="U271">
            <v>205.98422468415939</v>
          </cell>
          <cell r="V271">
            <v>211.99543672822023</v>
          </cell>
          <cell r="W271">
            <v>218.00135950110052</v>
          </cell>
          <cell r="X271">
            <v>224.9830839123463</v>
          </cell>
          <cell r="Y271">
            <v>231.01031535585713</v>
          </cell>
          <cell r="Z271">
            <v>238.03241525423726</v>
          </cell>
          <cell r="AA271">
            <v>3626.94420928305</v>
          </cell>
        </row>
        <row r="272">
          <cell r="B272" t="str">
            <v xml:space="preserve">1.1.4   Receitas Financeiras </v>
          </cell>
          <cell r="G272">
            <v>0</v>
          </cell>
          <cell r="H272">
            <v>5</v>
          </cell>
          <cell r="I272">
            <v>9</v>
          </cell>
          <cell r="J272">
            <v>2</v>
          </cell>
          <cell r="K272">
            <v>30</v>
          </cell>
          <cell r="L272">
            <v>248.00000000000003</v>
          </cell>
          <cell r="M272">
            <v>399.99999999999994</v>
          </cell>
          <cell r="N272">
            <v>519</v>
          </cell>
          <cell r="O272">
            <v>262</v>
          </cell>
          <cell r="P272">
            <v>70</v>
          </cell>
          <cell r="Q272">
            <v>224</v>
          </cell>
          <cell r="R272">
            <v>5</v>
          </cell>
          <cell r="S272">
            <v>315</v>
          </cell>
          <cell r="T272">
            <v>631</v>
          </cell>
          <cell r="U272">
            <v>977</v>
          </cell>
          <cell r="V272">
            <v>1352</v>
          </cell>
          <cell r="W272">
            <v>1661</v>
          </cell>
          <cell r="X272">
            <v>2117</v>
          </cell>
          <cell r="Y272">
            <v>2439</v>
          </cell>
          <cell r="Z272">
            <v>2938</v>
          </cell>
          <cell r="AA272">
            <v>14204</v>
          </cell>
        </row>
        <row r="273">
          <cell r="B273" t="str">
            <v>2.  DESEMBOLSOS     (2.1.+ ... + 2.4)</v>
          </cell>
          <cell r="G273">
            <v>18721.638392031895</v>
          </cell>
          <cell r="H273">
            <v>18633.534478206337</v>
          </cell>
          <cell r="I273">
            <v>19987.784295945105</v>
          </cell>
          <cell r="J273">
            <v>14561.317147556601</v>
          </cell>
          <cell r="K273">
            <v>15463.237680232258</v>
          </cell>
          <cell r="L273">
            <v>16134.108205455695</v>
          </cell>
          <cell r="M273">
            <v>13602.340523796202</v>
          </cell>
          <cell r="N273">
            <v>15536.886403667633</v>
          </cell>
          <cell r="O273">
            <v>17837.775382259399</v>
          </cell>
          <cell r="P273">
            <v>17774.570540802062</v>
          </cell>
          <cell r="Q273">
            <v>16940.898211577191</v>
          </cell>
          <cell r="R273">
            <v>20413.06655774287</v>
          </cell>
          <cell r="S273">
            <v>15541.738424953304</v>
          </cell>
          <cell r="T273">
            <v>15748.1995192331</v>
          </cell>
          <cell r="U273">
            <v>23474.230092170277</v>
          </cell>
          <cell r="V273">
            <v>16596.688531966833</v>
          </cell>
          <cell r="W273">
            <v>24170.782317027206</v>
          </cell>
          <cell r="X273">
            <v>17537.113640943626</v>
          </cell>
          <cell r="Y273">
            <v>17109.233934240525</v>
          </cell>
          <cell r="Z273">
            <v>15385.543180527795</v>
          </cell>
          <cell r="AA273">
            <v>351170.68746033596</v>
          </cell>
        </row>
        <row r="274">
          <cell r="B274" t="str">
            <v>2.1.  OPERACIONAIS     (2.1.1.+ ... + 2.1.8)</v>
          </cell>
          <cell r="G274">
            <v>8494.3816623973325</v>
          </cell>
          <cell r="H274">
            <v>9491.8537582957815</v>
          </cell>
          <cell r="I274">
            <v>9504.5577791515589</v>
          </cell>
          <cell r="J274">
            <v>9509.8955911384455</v>
          </cell>
          <cell r="K274">
            <v>9594.6624978083073</v>
          </cell>
          <cell r="L274">
            <v>10154.896098531433</v>
          </cell>
          <cell r="M274">
            <v>10696.806173936096</v>
          </cell>
          <cell r="N274">
            <v>10578.55684777553</v>
          </cell>
          <cell r="O274">
            <v>10604.904478146591</v>
          </cell>
          <cell r="P274">
            <v>10742.440480164267</v>
          </cell>
          <cell r="Q274">
            <v>10946.609103445697</v>
          </cell>
          <cell r="R274">
            <v>10989.075791328898</v>
          </cell>
          <cell r="S274">
            <v>11052.282524456097</v>
          </cell>
          <cell r="T274">
            <v>11117.220495909298</v>
          </cell>
          <cell r="U274">
            <v>11185.365169372497</v>
          </cell>
          <cell r="V274">
            <v>11255.722139693698</v>
          </cell>
          <cell r="W274">
            <v>11325.421872722896</v>
          </cell>
          <cell r="X274">
            <v>11402.492008288098</v>
          </cell>
          <cell r="Y274">
            <v>11475.977200433295</v>
          </cell>
          <cell r="Z274">
            <v>11557.826541674498</v>
          </cell>
          <cell r="AA274">
            <v>211680.94821467029</v>
          </cell>
        </row>
        <row r="275">
          <cell r="B275" t="str">
            <v xml:space="preserve">2.1.1.  Pessoal / Administradores   </v>
          </cell>
          <cell r="G275">
            <v>5080</v>
          </cell>
          <cell r="H275">
            <v>5725</v>
          </cell>
          <cell r="I275">
            <v>5725</v>
          </cell>
          <cell r="J275">
            <v>5725</v>
          </cell>
          <cell r="K275">
            <v>5725</v>
          </cell>
          <cell r="L275">
            <v>5725</v>
          </cell>
          <cell r="M275">
            <v>5725</v>
          </cell>
          <cell r="N275">
            <v>5725</v>
          </cell>
          <cell r="O275">
            <v>5725</v>
          </cell>
          <cell r="P275">
            <v>5725</v>
          </cell>
          <cell r="Q275">
            <v>5875</v>
          </cell>
          <cell r="R275">
            <v>5875</v>
          </cell>
          <cell r="S275">
            <v>5875</v>
          </cell>
          <cell r="T275">
            <v>5875</v>
          </cell>
          <cell r="U275">
            <v>5875</v>
          </cell>
          <cell r="V275">
            <v>5875</v>
          </cell>
          <cell r="W275">
            <v>5875</v>
          </cell>
          <cell r="X275">
            <v>5875</v>
          </cell>
          <cell r="Y275">
            <v>5875</v>
          </cell>
          <cell r="Z275">
            <v>5875</v>
          </cell>
          <cell r="AA275">
            <v>115355</v>
          </cell>
        </row>
        <row r="276">
          <cell r="B276" t="str">
            <v xml:space="preserve">2.1.2.  Conservação de Rotina  </v>
          </cell>
          <cell r="G276">
            <v>1908</v>
          </cell>
          <cell r="H276">
            <v>2015</v>
          </cell>
          <cell r="I276">
            <v>2015</v>
          </cell>
          <cell r="J276">
            <v>2015</v>
          </cell>
          <cell r="K276">
            <v>2070</v>
          </cell>
          <cell r="L276">
            <v>2070</v>
          </cell>
          <cell r="M276">
            <v>2070</v>
          </cell>
          <cell r="N276">
            <v>2070</v>
          </cell>
          <cell r="O276">
            <v>2070</v>
          </cell>
          <cell r="P276">
            <v>2177</v>
          </cell>
          <cell r="Q276">
            <v>2177</v>
          </cell>
          <cell r="R276">
            <v>2177</v>
          </cell>
          <cell r="S276">
            <v>2177</v>
          </cell>
          <cell r="T276">
            <v>2177</v>
          </cell>
          <cell r="U276">
            <v>2177</v>
          </cell>
          <cell r="V276">
            <v>2177</v>
          </cell>
          <cell r="W276">
            <v>2177</v>
          </cell>
          <cell r="X276">
            <v>2177</v>
          </cell>
          <cell r="Y276">
            <v>2177</v>
          </cell>
          <cell r="Z276">
            <v>2177</v>
          </cell>
          <cell r="AA276">
            <v>42250</v>
          </cell>
        </row>
        <row r="277">
          <cell r="B277" t="str">
            <v xml:space="preserve">2.1.3.  Consumo   </v>
          </cell>
          <cell r="G277">
            <v>174</v>
          </cell>
          <cell r="H277">
            <v>174</v>
          </cell>
          <cell r="I277">
            <v>174</v>
          </cell>
          <cell r="J277">
            <v>174</v>
          </cell>
          <cell r="K277">
            <v>174</v>
          </cell>
          <cell r="L277">
            <v>174</v>
          </cell>
          <cell r="M277">
            <v>174</v>
          </cell>
          <cell r="N277">
            <v>174</v>
          </cell>
          <cell r="O277">
            <v>174</v>
          </cell>
          <cell r="P277">
            <v>174</v>
          </cell>
          <cell r="Q277">
            <v>174</v>
          </cell>
          <cell r="R277">
            <v>174</v>
          </cell>
          <cell r="S277">
            <v>174</v>
          </cell>
          <cell r="T277">
            <v>174</v>
          </cell>
          <cell r="U277">
            <v>174</v>
          </cell>
          <cell r="V277">
            <v>174</v>
          </cell>
          <cell r="W277">
            <v>174</v>
          </cell>
          <cell r="X277">
            <v>174</v>
          </cell>
          <cell r="Y277">
            <v>174</v>
          </cell>
          <cell r="Z277">
            <v>174</v>
          </cell>
          <cell r="AA277">
            <v>3480</v>
          </cell>
        </row>
        <row r="278">
          <cell r="B278" t="str">
            <v>2.1.4.  Transportes</v>
          </cell>
          <cell r="G278">
            <v>287</v>
          </cell>
          <cell r="H278">
            <v>287</v>
          </cell>
          <cell r="I278">
            <v>287</v>
          </cell>
          <cell r="J278">
            <v>287</v>
          </cell>
          <cell r="K278">
            <v>287</v>
          </cell>
          <cell r="L278">
            <v>287</v>
          </cell>
          <cell r="M278">
            <v>287</v>
          </cell>
          <cell r="N278">
            <v>287</v>
          </cell>
          <cell r="O278">
            <v>287</v>
          </cell>
          <cell r="P278">
            <v>287</v>
          </cell>
          <cell r="Q278">
            <v>287</v>
          </cell>
          <cell r="R278">
            <v>287</v>
          </cell>
          <cell r="S278">
            <v>287</v>
          </cell>
          <cell r="T278">
            <v>287</v>
          </cell>
          <cell r="U278">
            <v>287</v>
          </cell>
          <cell r="V278">
            <v>287</v>
          </cell>
          <cell r="W278">
            <v>287</v>
          </cell>
          <cell r="X278">
            <v>287</v>
          </cell>
          <cell r="Y278">
            <v>287</v>
          </cell>
          <cell r="Z278">
            <v>287</v>
          </cell>
          <cell r="AA278">
            <v>5740</v>
          </cell>
        </row>
        <row r="279">
          <cell r="B279" t="str">
            <v>2.1.5.  Diversas</v>
          </cell>
          <cell r="G279">
            <v>258</v>
          </cell>
          <cell r="H279">
            <v>258</v>
          </cell>
          <cell r="I279">
            <v>258</v>
          </cell>
          <cell r="J279">
            <v>258</v>
          </cell>
          <cell r="K279">
            <v>258</v>
          </cell>
          <cell r="L279">
            <v>258</v>
          </cell>
          <cell r="M279">
            <v>258</v>
          </cell>
          <cell r="N279">
            <v>258</v>
          </cell>
          <cell r="O279">
            <v>258</v>
          </cell>
          <cell r="P279">
            <v>258</v>
          </cell>
          <cell r="Q279">
            <v>258</v>
          </cell>
          <cell r="R279">
            <v>258</v>
          </cell>
          <cell r="S279">
            <v>258</v>
          </cell>
          <cell r="T279">
            <v>258</v>
          </cell>
          <cell r="U279">
            <v>258</v>
          </cell>
          <cell r="V279">
            <v>258</v>
          </cell>
          <cell r="W279">
            <v>258</v>
          </cell>
          <cell r="X279">
            <v>258</v>
          </cell>
          <cell r="Y279">
            <v>258</v>
          </cell>
          <cell r="Z279">
            <v>258</v>
          </cell>
          <cell r="AA279">
            <v>5160</v>
          </cell>
        </row>
        <row r="280">
          <cell r="B280" t="str">
            <v>2.1.6.  Tributos s/ Faturamento</v>
          </cell>
          <cell r="G280">
            <v>323.4882767973333</v>
          </cell>
          <cell r="H280">
            <v>574.303692802</v>
          </cell>
          <cell r="I280">
            <v>591.11718960400003</v>
          </cell>
          <cell r="J280">
            <v>607.86120632000006</v>
          </cell>
          <cell r="K280">
            <v>643.74563139264194</v>
          </cell>
          <cell r="L280">
            <v>1205.1241115686814</v>
          </cell>
          <cell r="M280">
            <v>1747.9098853907867</v>
          </cell>
          <cell r="N280">
            <v>1633.524888162</v>
          </cell>
          <cell r="O280">
            <v>1670.8052530480002</v>
          </cell>
          <cell r="P280">
            <v>1711.9074707600003</v>
          </cell>
          <cell r="Q280">
            <v>1767.0822298820003</v>
          </cell>
          <cell r="R280">
            <v>1810.080929682</v>
          </cell>
          <cell r="S280">
            <v>1873.8196747260001</v>
          </cell>
          <cell r="T280">
            <v>1939.289658096</v>
          </cell>
          <cell r="U280">
            <v>2007.9663434759998</v>
          </cell>
          <cell r="V280">
            <v>2078.8553257140002</v>
          </cell>
          <cell r="W280">
            <v>2149.0870706599999</v>
          </cell>
          <cell r="X280">
            <v>2226.6892181419998</v>
          </cell>
          <cell r="Y280">
            <v>2300.7064222039999</v>
          </cell>
          <cell r="Z280">
            <v>2383.0877753619998</v>
          </cell>
          <cell r="AA280">
            <v>31246.452253789448</v>
          </cell>
        </row>
        <row r="281">
          <cell r="B281" t="str">
            <v>2.1.7.  Seguros</v>
          </cell>
          <cell r="G281">
            <v>304</v>
          </cell>
          <cell r="H281">
            <v>304</v>
          </cell>
          <cell r="I281">
            <v>304</v>
          </cell>
          <cell r="J281">
            <v>304</v>
          </cell>
          <cell r="K281">
            <v>304</v>
          </cell>
          <cell r="L281">
            <v>304</v>
          </cell>
          <cell r="M281">
            <v>304</v>
          </cell>
          <cell r="N281">
            <v>304</v>
          </cell>
          <cell r="O281">
            <v>304</v>
          </cell>
          <cell r="P281">
            <v>304</v>
          </cell>
          <cell r="Q281">
            <v>304</v>
          </cell>
          <cell r="R281">
            <v>304</v>
          </cell>
          <cell r="S281">
            <v>304</v>
          </cell>
          <cell r="T281">
            <v>304</v>
          </cell>
          <cell r="U281">
            <v>304</v>
          </cell>
          <cell r="V281">
            <v>304</v>
          </cell>
          <cell r="W281">
            <v>304</v>
          </cell>
          <cell r="X281">
            <v>304</v>
          </cell>
          <cell r="Y281">
            <v>304</v>
          </cell>
          <cell r="Z281">
            <v>304</v>
          </cell>
          <cell r="AA281">
            <v>6080</v>
          </cell>
        </row>
        <row r="282">
          <cell r="B282" t="str">
            <v xml:space="preserve">2.1.8.  Garantias </v>
          </cell>
          <cell r="G282">
            <v>159.89338559999999</v>
          </cell>
          <cell r="H282">
            <v>154.55006549378271</v>
          </cell>
          <cell r="I282">
            <v>150.4405895475588</v>
          </cell>
          <cell r="J282">
            <v>139.03438481844543</v>
          </cell>
          <cell r="K282">
            <v>132.91686641566551</v>
          </cell>
          <cell r="L282">
            <v>131.77198696275326</v>
          </cell>
          <cell r="M282">
            <v>130.89628854530989</v>
          </cell>
          <cell r="N282">
            <v>127.03195961353089</v>
          </cell>
          <cell r="O282">
            <v>116.09922509859052</v>
          </cell>
          <cell r="P282">
            <v>105.53300940426631</v>
          </cell>
          <cell r="Q282">
            <v>104.52687356369655</v>
          </cell>
          <cell r="R282">
            <v>103.99486164689655</v>
          </cell>
          <cell r="S282">
            <v>103.46284973009655</v>
          </cell>
          <cell r="T282">
            <v>102.93083781329655</v>
          </cell>
          <cell r="U282">
            <v>102.39882589649655</v>
          </cell>
          <cell r="V282">
            <v>101.86681397969654</v>
          </cell>
          <cell r="W282">
            <v>101.33480206289656</v>
          </cell>
          <cell r="X282">
            <v>100.80279014609656</v>
          </cell>
          <cell r="Y282">
            <v>100.27077822929655</v>
          </cell>
          <cell r="Z282">
            <v>99.738766312496551</v>
          </cell>
          <cell r="AA282">
            <v>2369.495960880869</v>
          </cell>
        </row>
        <row r="283">
          <cell r="B283" t="str">
            <v>2.2.  INVESTIMENTOS / IMOBILIZADO     (2.2.1.+ ... + 2.2.7)</v>
          </cell>
          <cell r="G283">
            <v>8765.25</v>
          </cell>
          <cell r="H283">
            <v>6963</v>
          </cell>
          <cell r="I283">
            <v>8209</v>
          </cell>
          <cell r="J283">
            <v>2635</v>
          </cell>
          <cell r="K283">
            <v>3326.0299999999997</v>
          </cell>
          <cell r="L283">
            <v>3938</v>
          </cell>
          <cell r="M283">
            <v>420.00000000000023</v>
          </cell>
          <cell r="N283">
            <v>2169.9999999999995</v>
          </cell>
          <cell r="O283">
            <v>4362</v>
          </cell>
          <cell r="P283">
            <v>4296</v>
          </cell>
          <cell r="Q283">
            <v>3364.9999999999991</v>
          </cell>
          <cell r="R283">
            <v>6887</v>
          </cell>
          <cell r="S283">
            <v>1582</v>
          </cell>
          <cell r="T283">
            <v>1396</v>
          </cell>
          <cell r="U283">
            <v>9551</v>
          </cell>
          <cell r="V283">
            <v>2215</v>
          </cell>
          <cell r="W283">
            <v>10014</v>
          </cell>
          <cell r="X283">
            <v>3138</v>
          </cell>
          <cell r="Y283">
            <v>2694</v>
          </cell>
          <cell r="Z283">
            <v>730</v>
          </cell>
          <cell r="AA283">
            <v>86656.28</v>
          </cell>
        </row>
        <row r="284">
          <cell r="B284" t="str">
            <v xml:space="preserve">2.2.1.  Ampliação Principal </v>
          </cell>
          <cell r="G284">
            <v>200</v>
          </cell>
          <cell r="H284">
            <v>400</v>
          </cell>
          <cell r="I284">
            <v>400</v>
          </cell>
          <cell r="J284">
            <v>200</v>
          </cell>
          <cell r="K284">
            <v>400</v>
          </cell>
          <cell r="L284">
            <v>200</v>
          </cell>
          <cell r="M284">
            <v>0</v>
          </cell>
          <cell r="N284">
            <v>877</v>
          </cell>
          <cell r="O284">
            <v>1505</v>
          </cell>
          <cell r="P284">
            <v>1018</v>
          </cell>
          <cell r="Q284">
            <v>0</v>
          </cell>
          <cell r="R284">
            <v>2573</v>
          </cell>
          <cell r="S284">
            <v>0</v>
          </cell>
          <cell r="T284">
            <v>0</v>
          </cell>
          <cell r="U284">
            <v>1930</v>
          </cell>
          <cell r="V284">
            <v>0</v>
          </cell>
          <cell r="W284">
            <v>530</v>
          </cell>
          <cell r="X284">
            <v>0</v>
          </cell>
          <cell r="Y284">
            <v>0</v>
          </cell>
          <cell r="Z284">
            <v>0</v>
          </cell>
          <cell r="AA284">
            <v>10233</v>
          </cell>
        </row>
        <row r="285">
          <cell r="B285" t="str">
            <v>2.2.2.  Demais Obras de Ampliação/Melhoramentos</v>
          </cell>
          <cell r="G285">
            <v>2736.25</v>
          </cell>
          <cell r="H285">
            <v>1730</v>
          </cell>
          <cell r="I285">
            <v>6077</v>
          </cell>
          <cell r="J285">
            <v>288.00000000000011</v>
          </cell>
          <cell r="K285">
            <v>779.03</v>
          </cell>
          <cell r="L285">
            <v>432</v>
          </cell>
          <cell r="M285">
            <v>100</v>
          </cell>
          <cell r="N285">
            <v>900.99999999999966</v>
          </cell>
          <cell r="O285">
            <v>2485</v>
          </cell>
          <cell r="P285">
            <v>1971</v>
          </cell>
          <cell r="Q285">
            <v>0</v>
          </cell>
          <cell r="R285">
            <v>1790</v>
          </cell>
          <cell r="S285">
            <v>0</v>
          </cell>
          <cell r="T285">
            <v>0</v>
          </cell>
          <cell r="U285">
            <v>2131</v>
          </cell>
          <cell r="V285">
            <v>81</v>
          </cell>
          <cell r="W285">
            <v>9371</v>
          </cell>
          <cell r="X285">
            <v>0</v>
          </cell>
          <cell r="Y285">
            <v>0</v>
          </cell>
          <cell r="Z285">
            <v>0</v>
          </cell>
          <cell r="AA285">
            <v>30872.28</v>
          </cell>
        </row>
        <row r="286">
          <cell r="B286" t="str">
            <v xml:space="preserve">2.2.3.  Equipamentos, Veiculos e Sist. Controle </v>
          </cell>
          <cell r="G286">
            <v>2517.9999999999991</v>
          </cell>
          <cell r="H286">
            <v>113</v>
          </cell>
          <cell r="I286">
            <v>0</v>
          </cell>
          <cell r="J286">
            <v>196</v>
          </cell>
          <cell r="K286">
            <v>0</v>
          </cell>
          <cell r="L286">
            <v>2804</v>
          </cell>
          <cell r="M286">
            <v>113</v>
          </cell>
          <cell r="N286">
            <v>359</v>
          </cell>
          <cell r="O286">
            <v>0</v>
          </cell>
          <cell r="P286">
            <v>0</v>
          </cell>
          <cell r="Q286">
            <v>2304.9999999999991</v>
          </cell>
          <cell r="R286">
            <v>1259</v>
          </cell>
          <cell r="S286">
            <v>0</v>
          </cell>
          <cell r="T286">
            <v>0</v>
          </cell>
          <cell r="U286">
            <v>4495</v>
          </cell>
          <cell r="V286">
            <v>1051</v>
          </cell>
          <cell r="W286">
            <v>113</v>
          </cell>
          <cell r="X286">
            <v>0</v>
          </cell>
          <cell r="Y286">
            <v>1146</v>
          </cell>
          <cell r="Z286">
            <v>0</v>
          </cell>
          <cell r="AA286">
            <v>16472</v>
          </cell>
        </row>
        <row r="287">
          <cell r="B287" t="str">
            <v>2.2.4.  Desapropriações</v>
          </cell>
          <cell r="G287">
            <v>250</v>
          </cell>
          <cell r="H287">
            <v>250</v>
          </cell>
          <cell r="I287">
            <v>250</v>
          </cell>
          <cell r="J287">
            <v>250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1000</v>
          </cell>
        </row>
        <row r="288">
          <cell r="B288" t="str">
            <v xml:space="preserve">2.2.5.  Conservação Especial </v>
          </cell>
          <cell r="G288">
            <v>3061</v>
          </cell>
          <cell r="H288">
            <v>4470</v>
          </cell>
          <cell r="I288">
            <v>1482</v>
          </cell>
          <cell r="J288">
            <v>1701</v>
          </cell>
          <cell r="K288">
            <v>2147</v>
          </cell>
          <cell r="L288">
            <v>502</v>
          </cell>
          <cell r="M288">
            <v>207.00000000000023</v>
          </cell>
          <cell r="N288">
            <v>32.999999999999979</v>
          </cell>
          <cell r="O288">
            <v>372</v>
          </cell>
          <cell r="P288">
            <v>1307</v>
          </cell>
          <cell r="Q288">
            <v>1060</v>
          </cell>
          <cell r="R288">
            <v>1265</v>
          </cell>
          <cell r="S288">
            <v>1582</v>
          </cell>
          <cell r="T288">
            <v>1396</v>
          </cell>
          <cell r="U288">
            <v>995</v>
          </cell>
          <cell r="V288">
            <v>1083</v>
          </cell>
          <cell r="W288">
            <v>0</v>
          </cell>
          <cell r="X288">
            <v>3138</v>
          </cell>
          <cell r="Y288">
            <v>1548</v>
          </cell>
          <cell r="Z288">
            <v>730</v>
          </cell>
          <cell r="AA288">
            <v>28079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1248.0305126208866</v>
          </cell>
          <cell r="H291">
            <v>959.07083243999989</v>
          </cell>
          <cell r="I291">
            <v>972.77014487999986</v>
          </cell>
          <cell r="J291">
            <v>986.74235039999985</v>
          </cell>
          <cell r="K291">
            <v>1001.1663772799998</v>
          </cell>
          <cell r="L291">
            <v>997.12549095964141</v>
          </cell>
          <cell r="M291">
            <v>1031.4524804399998</v>
          </cell>
          <cell r="N291">
            <v>1047.1608236399998</v>
          </cell>
          <cell r="O291">
            <v>1063.3437825599999</v>
          </cell>
          <cell r="P291">
            <v>836.43420719999995</v>
          </cell>
          <cell r="Q291">
            <v>853.62048203999996</v>
          </cell>
          <cell r="R291">
            <v>871.30563803999996</v>
          </cell>
          <cell r="S291">
            <v>889.48728371999994</v>
          </cell>
          <cell r="T291">
            <v>908.19340511999997</v>
          </cell>
          <cell r="U291">
            <v>927.63190871999996</v>
          </cell>
          <cell r="V291">
            <v>947.47057307999989</v>
          </cell>
          <cell r="W291">
            <v>967.91678519999994</v>
          </cell>
          <cell r="X291">
            <v>989.0583392399999</v>
          </cell>
          <cell r="Y291">
            <v>1010.6528608799999</v>
          </cell>
          <cell r="Z291">
            <v>1032.9076076399999</v>
          </cell>
          <cell r="AA291">
            <v>19541.541886100524</v>
          </cell>
        </row>
        <row r="292">
          <cell r="B292" t="str">
            <v>2.3.1.  Valor Variável da Concessão</v>
          </cell>
          <cell r="G292">
            <v>355.04810867999998</v>
          </cell>
          <cell r="H292">
            <v>471.88043243999994</v>
          </cell>
          <cell r="I292">
            <v>485.57974487999996</v>
          </cell>
          <cell r="J292">
            <v>499.55195039999995</v>
          </cell>
          <cell r="K292">
            <v>513.97597727999982</v>
          </cell>
          <cell r="L292">
            <v>509.9350909596414</v>
          </cell>
          <cell r="M292">
            <v>544.26208043999998</v>
          </cell>
          <cell r="N292">
            <v>559.97042363999992</v>
          </cell>
          <cell r="O292">
            <v>576.15338255999995</v>
          </cell>
          <cell r="P292">
            <v>592.83900719999997</v>
          </cell>
          <cell r="Q292">
            <v>610.02528203999998</v>
          </cell>
          <cell r="R292">
            <v>627.71043803999999</v>
          </cell>
          <cell r="S292">
            <v>645.89208371999996</v>
          </cell>
          <cell r="T292">
            <v>664.59820511999999</v>
          </cell>
          <cell r="U292">
            <v>684.03670871999998</v>
          </cell>
          <cell r="V292">
            <v>703.87537307999992</v>
          </cell>
          <cell r="W292">
            <v>724.32158519999996</v>
          </cell>
          <cell r="X292">
            <v>745.46313923999992</v>
          </cell>
          <cell r="Y292">
            <v>767.05766087999996</v>
          </cell>
          <cell r="Z292">
            <v>789.31240763999995</v>
          </cell>
          <cell r="AA292">
            <v>12071.48908215964</v>
          </cell>
        </row>
        <row r="293">
          <cell r="B293" t="str">
            <v xml:space="preserve">2.3.2.  Valor Fixo da Concessão </v>
          </cell>
          <cell r="G293">
            <v>892.98240394088668</v>
          </cell>
          <cell r="H293">
            <v>487.19039999999995</v>
          </cell>
          <cell r="I293">
            <v>487.19039999999995</v>
          </cell>
          <cell r="J293">
            <v>487.19039999999995</v>
          </cell>
          <cell r="K293">
            <v>487.19039999999995</v>
          </cell>
          <cell r="L293">
            <v>487.19039999999995</v>
          </cell>
          <cell r="M293">
            <v>487.19039999999995</v>
          </cell>
          <cell r="N293">
            <v>487.19039999999995</v>
          </cell>
          <cell r="O293">
            <v>487.19039999999995</v>
          </cell>
          <cell r="P293">
            <v>243.59519999999998</v>
          </cell>
          <cell r="Q293">
            <v>243.59519999999998</v>
          </cell>
          <cell r="R293">
            <v>243.59519999999998</v>
          </cell>
          <cell r="S293">
            <v>243.59519999999998</v>
          </cell>
          <cell r="T293">
            <v>243.59519999999998</v>
          </cell>
          <cell r="U293">
            <v>243.59519999999998</v>
          </cell>
          <cell r="V293">
            <v>243.59519999999998</v>
          </cell>
          <cell r="W293">
            <v>243.59519999999998</v>
          </cell>
          <cell r="X293">
            <v>243.59519999999998</v>
          </cell>
          <cell r="Y293">
            <v>243.59519999999998</v>
          </cell>
          <cell r="Z293">
            <v>243.59519999999998</v>
          </cell>
          <cell r="AA293">
            <v>7470.0528039408837</v>
          </cell>
        </row>
        <row r="294">
          <cell r="B294" t="str">
            <v>2.4.  DESEMBOLSOS  SOBRE O LUCRO     (2.4.1. + 2.4.2)</v>
          </cell>
          <cell r="G294">
            <v>213.97621701367504</v>
          </cell>
          <cell r="H294">
            <v>1219.6098874705579</v>
          </cell>
          <cell r="I294">
            <v>1301.4563719135451</v>
          </cell>
          <cell r="J294">
            <v>1429.6792060181558</v>
          </cell>
          <cell r="K294">
            <v>1541.3788051439506</v>
          </cell>
          <cell r="L294">
            <v>1044.0866159646214</v>
          </cell>
          <cell r="M294">
            <v>1454.0818694201066</v>
          </cell>
          <cell r="N294">
            <v>1741.1687322521045</v>
          </cell>
          <cell r="O294">
            <v>1807.5271215528089</v>
          </cell>
          <cell r="P294">
            <v>1899.695853437797</v>
          </cell>
          <cell r="Q294">
            <v>1775.6686260914967</v>
          </cell>
          <cell r="R294">
            <v>1665.6851283739707</v>
          </cell>
          <cell r="S294">
            <v>2017.9686167772068</v>
          </cell>
          <cell r="T294">
            <v>2326.7856182038017</v>
          </cell>
          <cell r="U294">
            <v>1810.2330140777797</v>
          </cell>
          <cell r="V294">
            <v>2178.4958191931341</v>
          </cell>
          <cell r="W294">
            <v>1863.4436591043136</v>
          </cell>
          <cell r="X294">
            <v>2007.5632934155287</v>
          </cell>
          <cell r="Y294">
            <v>1928.6038729272291</v>
          </cell>
          <cell r="Z294">
            <v>2064.8090312132981</v>
          </cell>
          <cell r="AA294">
            <v>33291.917359565086</v>
          </cell>
        </row>
        <row r="295">
          <cell r="B295" t="str">
            <v xml:space="preserve">2.4.1.  Contribuição Social  </v>
          </cell>
          <cell r="G295">
            <v>57.691204124527282</v>
          </cell>
          <cell r="H295">
            <v>301.48118484134733</v>
          </cell>
          <cell r="I295">
            <v>321.32275682752612</v>
          </cell>
          <cell r="J295">
            <v>352.40708024682567</v>
          </cell>
          <cell r="K295">
            <v>379.48577094398809</v>
          </cell>
          <cell r="L295">
            <v>258.93008871869603</v>
          </cell>
          <cell r="M295">
            <v>358.32287743517725</v>
          </cell>
          <cell r="N295">
            <v>427.91969266717678</v>
          </cell>
          <cell r="O295">
            <v>444.0065749218931</v>
          </cell>
          <cell r="P295">
            <v>466.35050992431439</v>
          </cell>
          <cell r="Q295">
            <v>436.28330329490825</v>
          </cell>
          <cell r="R295">
            <v>409.62063718156872</v>
          </cell>
          <cell r="S295">
            <v>495.0226949762926</v>
          </cell>
          <cell r="T295">
            <v>569.88742259486105</v>
          </cell>
          <cell r="U295">
            <v>444.66254886734049</v>
          </cell>
          <cell r="V295">
            <v>533.93838041045683</v>
          </cell>
          <cell r="W295">
            <v>457.5620991768036</v>
          </cell>
          <cell r="X295">
            <v>492.50019234315863</v>
          </cell>
          <cell r="Y295">
            <v>473.35851464902532</v>
          </cell>
          <cell r="Z295">
            <v>506.37794696079942</v>
          </cell>
          <cell r="AA295">
            <v>8187.1314811066868</v>
          </cell>
        </row>
        <row r="296">
          <cell r="B296" t="str">
            <v xml:space="preserve">2.4.2.  Imposto de Renda  </v>
          </cell>
          <cell r="G296">
            <v>156.28501288914777</v>
          </cell>
          <cell r="H296">
            <v>918.12870262921047</v>
          </cell>
          <cell r="I296">
            <v>980.13361508601906</v>
          </cell>
          <cell r="J296">
            <v>1077.2721257713301</v>
          </cell>
          <cell r="K296">
            <v>1161.8930341999624</v>
          </cell>
          <cell r="L296">
            <v>785.1565272459253</v>
          </cell>
          <cell r="M296">
            <v>1095.7589919849293</v>
          </cell>
          <cell r="N296">
            <v>1313.2490395849277</v>
          </cell>
          <cell r="O296">
            <v>1363.5205466309158</v>
          </cell>
          <cell r="P296">
            <v>1433.3453435134827</v>
          </cell>
          <cell r="Q296">
            <v>1339.3853227965883</v>
          </cell>
          <cell r="R296">
            <v>1256.0644911924019</v>
          </cell>
          <cell r="S296">
            <v>1522.9459218009142</v>
          </cell>
          <cell r="T296">
            <v>1756.8981956089408</v>
          </cell>
          <cell r="U296">
            <v>1365.5704652104391</v>
          </cell>
          <cell r="V296">
            <v>1644.5574387826773</v>
          </cell>
          <cell r="W296">
            <v>1405.8815599275101</v>
          </cell>
          <cell r="X296">
            <v>1515.06310107237</v>
          </cell>
          <cell r="Y296">
            <v>1455.2453582782039</v>
          </cell>
          <cell r="Z296">
            <v>1558.4310842524987</v>
          </cell>
          <cell r="AA296">
            <v>25104.785878458399</v>
          </cell>
        </row>
        <row r="297">
          <cell r="B297" t="str">
            <v>3.  SALDO DO CAIXA     (1 - 2)</v>
          </cell>
          <cell r="G297">
            <v>-6785.6879511713687</v>
          </cell>
          <cell r="H297">
            <v>-2758.1754591592253</v>
          </cell>
          <cell r="I297">
            <v>-3647.8037382194289</v>
          </cell>
          <cell r="J297">
            <v>2242.4162174760313</v>
          </cell>
          <cell r="K297">
            <v>1853.2990570647671</v>
          </cell>
          <cell r="L297">
            <v>1269.7046360946169</v>
          </cell>
          <cell r="M297">
            <v>5102.6982187522863</v>
          </cell>
          <cell r="N297">
            <v>3815.774941554826</v>
          </cell>
          <cell r="O297">
            <v>1802.3269644477368</v>
          </cell>
          <cell r="P297">
            <v>2234.7216191979387</v>
          </cell>
          <cell r="Q297">
            <v>3800.269946796092</v>
          </cell>
          <cell r="R297">
            <v>704.60974058072316</v>
          </cell>
          <cell r="S297">
            <v>6497.0024147685126</v>
          </cell>
          <cell r="T297">
            <v>7236.0919155253559</v>
          </cell>
          <cell r="U297">
            <v>509.97775651387929</v>
          </cell>
          <cell r="V297">
            <v>8429.8193407613871</v>
          </cell>
          <cell r="W297">
            <v>1852.2718824738949</v>
          </cell>
          <cell r="X297">
            <v>9653.6407509687197</v>
          </cell>
          <cell r="Y297">
            <v>11129.36507711533</v>
          </cell>
          <cell r="Z297">
            <v>14100.902822726443</v>
          </cell>
          <cell r="AA297">
            <v>69043.226154268486</v>
          </cell>
        </row>
        <row r="298">
          <cell r="B298" t="str">
            <v xml:space="preserve">4. T.I.R. (Taxa Interna de Retorno) Anual do Projeto     </v>
          </cell>
          <cell r="G298">
            <v>0.18474435310345083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29344.504223379405</v>
          </cell>
          <cell r="H303">
            <v>30209.455008396591</v>
          </cell>
          <cell r="I303">
            <v>31099.900852209346</v>
          </cell>
          <cell r="J303">
            <v>32016.593240375289</v>
          </cell>
          <cell r="K303">
            <v>32960.305809040023</v>
          </cell>
          <cell r="L303">
            <v>33931.834997841994</v>
          </cell>
          <cell r="M303">
            <v>34932.000722062134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224494.59485330479</v>
          </cell>
        </row>
        <row r="304">
          <cell r="B304" t="str">
            <v>1.1.  RECEITAS     (1.1.1.+ ... + 1.1.4)</v>
          </cell>
          <cell r="G304">
            <v>29344.504223379405</v>
          </cell>
          <cell r="H304">
            <v>30209.455008396591</v>
          </cell>
          <cell r="I304">
            <v>31099.900852209346</v>
          </cell>
          <cell r="J304">
            <v>32016.593240375289</v>
          </cell>
          <cell r="K304">
            <v>32960.305809040023</v>
          </cell>
          <cell r="L304">
            <v>33931.834997841994</v>
          </cell>
          <cell r="M304">
            <v>34932.000722062134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224494.59485330479</v>
          </cell>
        </row>
        <row r="305">
          <cell r="B305" t="str">
            <v>1.1.1   Receitas de Pedágio</v>
          </cell>
          <cell r="G305">
            <v>26725.615819442763</v>
          </cell>
          <cell r="H305">
            <v>27513.372947902866</v>
          </cell>
          <cell r="I305">
            <v>28324.349795513026</v>
          </cell>
          <cell r="J305">
            <v>29159.230780525933</v>
          </cell>
          <cell r="K305">
            <v>30018.720494924273</v>
          </cell>
          <cell r="L305">
            <v>30903.544299056211</v>
          </cell>
          <cell r="M305">
            <v>31814.448933798198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204459.28307116329</v>
          </cell>
        </row>
        <row r="306">
          <cell r="B306" t="str">
            <v>1.1.2   Outras Receitas Operacionais</v>
          </cell>
          <cell r="G306">
            <v>314.56704118929804</v>
          </cell>
          <cell r="H306">
            <v>323.83913545083408</v>
          </cell>
          <cell r="I306">
            <v>333.38453149144334</v>
          </cell>
          <cell r="J306">
            <v>343.21128508151992</v>
          </cell>
          <cell r="K306">
            <v>353.32768944119908</v>
          </cell>
          <cell r="L306">
            <v>363.74228223936217</v>
          </cell>
          <cell r="M306">
            <v>374.46385279894298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2406.5358176925993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2304.3213627473447</v>
          </cell>
          <cell r="H308">
            <v>2372.2429250428913</v>
          </cell>
          <cell r="I308">
            <v>2442.1665252048783</v>
          </cell>
          <cell r="J308">
            <v>2514.1511747678346</v>
          </cell>
          <cell r="K308">
            <v>2588.2576246745516</v>
          </cell>
          <cell r="L308">
            <v>2664.5484165464195</v>
          </cell>
          <cell r="M308">
            <v>2743.0879354649883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17628.775964448909</v>
          </cell>
        </row>
        <row r="309">
          <cell r="B309" t="str">
            <v>2.  DESEMBOLSOS     (2.1.+ ... + 2.4)</v>
          </cell>
          <cell r="G309">
            <v>17955.200681705457</v>
          </cell>
          <cell r="H309">
            <v>18304.624206238703</v>
          </cell>
          <cell r="I309">
            <v>18664.347245445904</v>
          </cell>
          <cell r="J309">
            <v>19034.673385076359</v>
          </cell>
          <cell r="K309">
            <v>19415.915159291995</v>
          </cell>
          <cell r="L309">
            <v>19808.394314428399</v>
          </cell>
          <cell r="M309">
            <v>20212.442080530378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133395.59707271718</v>
          </cell>
        </row>
        <row r="310">
          <cell r="B310" t="str">
            <v>2.1.  OPERACIONAIS     (2.1.1.+ ... + 2.1.8)</v>
          </cell>
          <cell r="G310">
            <v>11570.159123121713</v>
          </cell>
          <cell r="H310">
            <v>11641.755359093166</v>
          </cell>
          <cell r="I310">
            <v>11715.461946632882</v>
          </cell>
          <cell r="J310">
            <v>11791.3410899012</v>
          </cell>
          <cell r="K310">
            <v>11869.456826571701</v>
          </cell>
          <cell r="L310">
            <v>11949.875081875367</v>
          </cell>
          <cell r="M310">
            <v>12032.663724237718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82570.713151433738</v>
          </cell>
        </row>
        <row r="311">
          <cell r="B311" t="str">
            <v xml:space="preserve">2.1.1.  Pessoal / Administradores   </v>
          </cell>
          <cell r="G311">
            <v>5875</v>
          </cell>
          <cell r="H311">
            <v>5875</v>
          </cell>
          <cell r="I311">
            <v>5875</v>
          </cell>
          <cell r="J311">
            <v>5875</v>
          </cell>
          <cell r="K311">
            <v>5875</v>
          </cell>
          <cell r="L311">
            <v>5875</v>
          </cell>
          <cell r="M311">
            <v>5875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41125</v>
          </cell>
        </row>
        <row r="312">
          <cell r="B312" t="str">
            <v xml:space="preserve">2.1.2.  Conservação de Rotina  </v>
          </cell>
          <cell r="G312">
            <v>2177</v>
          </cell>
          <cell r="H312">
            <v>2177</v>
          </cell>
          <cell r="I312">
            <v>2177</v>
          </cell>
          <cell r="J312">
            <v>2177</v>
          </cell>
          <cell r="K312">
            <v>2177</v>
          </cell>
          <cell r="L312">
            <v>2177</v>
          </cell>
          <cell r="M312">
            <v>2177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15239</v>
          </cell>
        </row>
        <row r="313">
          <cell r="B313" t="str">
            <v xml:space="preserve">2.1.3.  Consumo   </v>
          </cell>
          <cell r="G313">
            <v>174</v>
          </cell>
          <cell r="H313">
            <v>174</v>
          </cell>
          <cell r="I313">
            <v>174</v>
          </cell>
          <cell r="J313">
            <v>174</v>
          </cell>
          <cell r="K313">
            <v>174</v>
          </cell>
          <cell r="L313">
            <v>174</v>
          </cell>
          <cell r="M313">
            <v>174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1218</v>
          </cell>
        </row>
        <row r="314">
          <cell r="B314" t="str">
            <v>2.1.4.  Transportes</v>
          </cell>
          <cell r="G314">
            <v>287</v>
          </cell>
          <cell r="H314">
            <v>287</v>
          </cell>
          <cell r="I314">
            <v>287</v>
          </cell>
          <cell r="J314">
            <v>287</v>
          </cell>
          <cell r="K314">
            <v>287</v>
          </cell>
          <cell r="L314">
            <v>287</v>
          </cell>
          <cell r="M314">
            <v>287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2009</v>
          </cell>
        </row>
        <row r="315">
          <cell r="B315" t="str">
            <v>2.1.5.  Diversas</v>
          </cell>
          <cell r="G315">
            <v>258</v>
          </cell>
          <cell r="H315">
            <v>258</v>
          </cell>
          <cell r="I315">
            <v>258</v>
          </cell>
          <cell r="J315">
            <v>258</v>
          </cell>
          <cell r="K315">
            <v>258</v>
          </cell>
          <cell r="L315">
            <v>258</v>
          </cell>
          <cell r="M315">
            <v>258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1806</v>
          </cell>
        </row>
        <row r="316">
          <cell r="B316" t="str">
            <v>2.1.6.  Tributos s/ Faturamento</v>
          </cell>
          <cell r="G316">
            <v>2423.0835471849514</v>
          </cell>
          <cell r="H316">
            <v>2494.5057119741609</v>
          </cell>
          <cell r="I316">
            <v>2568.0330974558647</v>
          </cell>
          <cell r="J316">
            <v>2643.7277565540708</v>
          </cell>
          <cell r="K316">
            <v>2721.6535712482341</v>
          </cell>
          <cell r="L316">
            <v>2801.8763064860118</v>
          </cell>
          <cell r="M316">
            <v>2884.4636656851249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18537.343656588419</v>
          </cell>
        </row>
        <row r="317">
          <cell r="B317" t="str">
            <v>2.1.7.  Seguros</v>
          </cell>
          <cell r="G317">
            <v>304</v>
          </cell>
          <cell r="H317">
            <v>304</v>
          </cell>
          <cell r="I317">
            <v>304</v>
          </cell>
          <cell r="J317">
            <v>304</v>
          </cell>
          <cell r="K317">
            <v>304</v>
          </cell>
          <cell r="L317">
            <v>304</v>
          </cell>
          <cell r="M317">
            <v>304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2128</v>
          </cell>
        </row>
        <row r="318">
          <cell r="B318" t="str">
            <v xml:space="preserve">2.1.8.  Garantias </v>
          </cell>
          <cell r="G318">
            <v>72.075575936762036</v>
          </cell>
          <cell r="H318">
            <v>72.249647119004436</v>
          </cell>
          <cell r="I318">
            <v>72.428849177017767</v>
          </cell>
          <cell r="J318">
            <v>72.613333347128673</v>
          </cell>
          <cell r="K318">
            <v>72.803255323465422</v>
          </cell>
          <cell r="L318">
            <v>72.998775389354961</v>
          </cell>
          <cell r="M318">
            <v>73.200058552592807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508.36949484532607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811.20548581896173</v>
          </cell>
          <cell r="H327">
            <v>835.11636250061099</v>
          </cell>
          <cell r="I327">
            <v>859.73202981013401</v>
          </cell>
          <cell r="J327">
            <v>885.07326196822362</v>
          </cell>
          <cell r="K327">
            <v>911.1614455309641</v>
          </cell>
          <cell r="L327">
            <v>938.01859743886723</v>
          </cell>
          <cell r="M327">
            <v>965.66738359791418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6205.9745666656754</v>
          </cell>
        </row>
        <row r="328">
          <cell r="B328" t="str">
            <v>2.3.1.  Valor Variável da Concessão</v>
          </cell>
          <cell r="G328">
            <v>811.20548581896173</v>
          </cell>
          <cell r="H328">
            <v>835.11636250061099</v>
          </cell>
          <cell r="I328">
            <v>859.73202981013401</v>
          </cell>
          <cell r="J328">
            <v>885.07326196822362</v>
          </cell>
          <cell r="K328">
            <v>911.1614455309641</v>
          </cell>
          <cell r="L328">
            <v>938.01859743886723</v>
          </cell>
          <cell r="M328">
            <v>965.66738359791418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6205.9745666656754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5573.8360727647796</v>
          </cell>
          <cell r="H330">
            <v>5827.7524846449287</v>
          </cell>
          <cell r="I330">
            <v>6089.1532690028889</v>
          </cell>
          <cell r="J330">
            <v>6358.2590332069358</v>
          </cell>
          <cell r="K330">
            <v>6635.2968871893281</v>
          </cell>
          <cell r="L330">
            <v>6920.5006351141619</v>
          </cell>
          <cell r="M330">
            <v>7214.1109726947452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44618.909354617761</v>
          </cell>
        </row>
        <row r="331">
          <cell r="B331" t="str">
            <v xml:space="preserve">2.4.1.  Contribuição Social  </v>
          </cell>
          <cell r="G331">
            <v>1357.051169155098</v>
          </cell>
          <cell r="H331">
            <v>1418.6066629442253</v>
          </cell>
          <cell r="I331">
            <v>1481.9765500613064</v>
          </cell>
          <cell r="J331">
            <v>1547.2143110804693</v>
          </cell>
          <cell r="K331">
            <v>1614.3750029549888</v>
          </cell>
          <cell r="L331">
            <v>1683.515305482221</v>
          </cell>
          <cell r="M331">
            <v>1754.69356913812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10857.432570816429</v>
          </cell>
        </row>
        <row r="332">
          <cell r="B332" t="str">
            <v xml:space="preserve">2.4.2.  Imposto de Renda  </v>
          </cell>
          <cell r="G332">
            <v>4216.7849036096814</v>
          </cell>
          <cell r="H332">
            <v>4409.1458217007039</v>
          </cell>
          <cell r="I332">
            <v>4607.1767189415823</v>
          </cell>
          <cell r="J332">
            <v>4811.0447221264667</v>
          </cell>
          <cell r="K332">
            <v>5020.9218842343398</v>
          </cell>
          <cell r="L332">
            <v>5236.9853296319407</v>
          </cell>
          <cell r="M332">
            <v>5459.4174035566248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33761.476783801336</v>
          </cell>
        </row>
        <row r="333">
          <cell r="B333" t="str">
            <v>3.  SALDO DO CAIXA     (1 - 2)</v>
          </cell>
          <cell r="G333">
            <v>11389.303541673948</v>
          </cell>
          <cell r="H333">
            <v>11904.830802157889</v>
          </cell>
          <cell r="I333">
            <v>12435.553606763442</v>
          </cell>
          <cell r="J333">
            <v>12981.919855298929</v>
          </cell>
          <cell r="K333">
            <v>13544.390649748027</v>
          </cell>
          <cell r="L333">
            <v>14123.440683413595</v>
          </cell>
          <cell r="M333">
            <v>14719.558641531756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91098.997780587611</v>
          </cell>
        </row>
        <row r="334">
          <cell r="B334" t="str">
            <v xml:space="preserve">4. T.I.R. (Taxa Interna de Retorno) Anual do Projeto     </v>
          </cell>
          <cell r="G334">
            <v>0.2023838002243197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stema"/>
      <sheetName val="Premissas"/>
      <sheetName val="Planej"/>
    </sheetNames>
    <sheetDataSet>
      <sheetData sheetId="0" refreshError="1"/>
      <sheetData sheetId="1">
        <row r="46">
          <cell r="E46" t="str">
            <v>EEE-BN-1.1</v>
          </cell>
        </row>
        <row r="47">
          <cell r="E47" t="str">
            <v>EEE-BN-1.2</v>
          </cell>
        </row>
        <row r="48">
          <cell r="E48" t="str">
            <v>EEE-BN-1.3</v>
          </cell>
        </row>
        <row r="49">
          <cell r="E49" t="str">
            <v>EEE-BM-1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1"/>
      <sheetName val="RESUMO 2"/>
      <sheetName val="SC"/>
      <sheetName val="AN"/>
      <sheetName val="USB"/>
      <sheetName val="CSG"/>
      <sheetName val="CSG2"/>
      <sheetName val="SG"/>
      <sheetName val="SR"/>
      <sheetName val="BSW"/>
      <sheetName val="Custos Unitários"/>
      <sheetName val="Dados Gerais"/>
      <sheetName val="REAC1"/>
      <sheetName val="REAC2"/>
      <sheetName val="MDCF"/>
      <sheetName val="Dados Mundo"/>
      <sheetName val="DD Outras CP"/>
      <sheetName val="SS Mutação PL"/>
      <sheetName val="EE Exigível LP"/>
      <sheetName val="FF Impostos"/>
      <sheetName val="AA Emprét. Financ."/>
      <sheetName val="XREF"/>
      <sheetName val="BB Fornecedores"/>
      <sheetName val="CC Encargos Sociais"/>
      <sheetName val="RESUMO_1"/>
      <sheetName val="RESUMO_2"/>
      <sheetName val="Custos_Unitários"/>
      <sheetName val="Dados_Gerais"/>
      <sheetName val="Dados_Mundo"/>
      <sheetName val="DD_Outras_CP"/>
      <sheetName val="SS_Mutação_PL"/>
      <sheetName val="EE_Exigível_LP"/>
      <sheetName val="FF_Impostos"/>
      <sheetName val="AA_Emprét__Financ_"/>
      <sheetName val="BB_Fornecedores"/>
      <sheetName val="CC_Encargos_Sociais"/>
      <sheetName val="Critérios"/>
      <sheetName val="suporte_pmo"/>
      <sheetName val="Banco_dados"/>
      <sheetName val="Configuraç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Equipamentos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5"/>
      <sheetName val="Comparativo de Mercado "/>
      <sheetName val="Capa Simulador"/>
      <sheetName val="FLUXO + DRE  Original 20 anos"/>
      <sheetName val="Fatores 20 anos"/>
      <sheetName val="Prorrogação Fluxo 25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VIAOESTE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25733.44526868036</v>
          </cell>
          <cell r="H67">
            <v>126225.66413471791</v>
          </cell>
          <cell r="I67">
            <v>0.20939254423031073</v>
          </cell>
        </row>
        <row r="68">
          <cell r="B68" t="str">
            <v>FATOR 2</v>
          </cell>
          <cell r="C68" t="str">
            <v>3ª Adequação - Investimentos</v>
          </cell>
          <cell r="G68">
            <v>1778.4553827698655</v>
          </cell>
          <cell r="H68">
            <v>8723.5389385388025</v>
          </cell>
          <cell r="I68">
            <v>0.19430100682593032</v>
          </cell>
        </row>
        <row r="69">
          <cell r="B69" t="str">
            <v>FATOR 3</v>
          </cell>
          <cell r="C69" t="str">
            <v>DIFERENÇA DE RECEITA DA SP-270</v>
          </cell>
          <cell r="G69">
            <v>-2965.2502231429698</v>
          </cell>
          <cell r="H69">
            <v>-14544.911294772615</v>
          </cell>
          <cell r="I69">
            <v>0.19164958126844359</v>
          </cell>
        </row>
        <row r="70">
          <cell r="B70" t="str">
            <v>FATOR 4</v>
          </cell>
          <cell r="C70" t="str">
            <v>DIFERENÇA DE RECEITA DA SP-075 X SP-270</v>
          </cell>
          <cell r="G70">
            <v>-1208.6874455252214</v>
          </cell>
          <cell r="H70">
            <v>-5928.7582346543904</v>
          </cell>
          <cell r="I70">
            <v>0.19260923388099299</v>
          </cell>
        </row>
        <row r="71">
          <cell r="B71" t="str">
            <v>FATOR 5</v>
          </cell>
          <cell r="C71" t="str">
            <v>DIFERENÇA DE ISSQN</v>
          </cell>
          <cell r="G71">
            <v>-9731.3297676935636</v>
          </cell>
          <cell r="H71">
            <v>-47733.350510048556</v>
          </cell>
          <cell r="I71">
            <v>0.18785617026087006</v>
          </cell>
        </row>
        <row r="72">
          <cell r="B72" t="str">
            <v>FATOR 6</v>
          </cell>
          <cell r="C72" t="str">
            <v>DIFERENÇA DE COFINS</v>
          </cell>
          <cell r="G72">
            <v>-4562.4934014118271</v>
          </cell>
          <cell r="H72">
            <v>-22379.582434086136</v>
          </cell>
          <cell r="I72">
            <v>0.19076783767096686</v>
          </cell>
        </row>
        <row r="73">
          <cell r="B73" t="str">
            <v>FATOR 7</v>
          </cell>
          <cell r="C73" t="str">
            <v>TRIBUTOS (COFINS  + ISSQN) DESCONTADOS NO ÔNUS FIXO</v>
          </cell>
          <cell r="G73">
            <v>5571.3339401237272</v>
          </cell>
          <cell r="H73">
            <v>27328.067398900428</v>
          </cell>
          <cell r="I73">
            <v>0.19633802026245029</v>
          </cell>
        </row>
        <row r="74">
          <cell r="B74" t="str">
            <v>FATOR 8</v>
          </cell>
          <cell r="C74" t="str">
            <v>DIFERENÇA PELO NÃO INÍCIO DA OPERAÇÃO DAS MARGINAIS - SP 280</v>
          </cell>
          <cell r="G74">
            <v>-19567.903452309554</v>
          </cell>
          <cell r="H74">
            <v>-95982.935172616155</v>
          </cell>
          <cell r="I74">
            <v>0.18293804140810907</v>
          </cell>
        </row>
        <row r="75">
          <cell r="B75" t="str">
            <v>FATOR 9</v>
          </cell>
          <cell r="C75" t="str">
            <v>4ª Adequação - Investimentos</v>
          </cell>
          <cell r="G75">
            <v>26590.71447300016</v>
          </cell>
          <cell r="H75">
            <v>130430.6733562856</v>
          </cell>
          <cell r="I75">
            <v>0.20829608837028563</v>
          </cell>
        </row>
        <row r="76">
          <cell r="B76" t="str">
            <v>FATOR 10</v>
          </cell>
          <cell r="C76" t="str">
            <v>REGIME TARIFÁRIO ESPECIAL DAS MARGINAIS DA SP-280</v>
          </cell>
          <cell r="G76">
            <v>-16534.230355471744</v>
          </cell>
          <cell r="H76">
            <v>-81102.401399626498</v>
          </cell>
          <cell r="I76">
            <v>0.18390646773845529</v>
          </cell>
        </row>
        <row r="77">
          <cell r="B77" t="str">
            <v>FATOR 11</v>
          </cell>
          <cell r="C77" t="str">
            <v>DIFERENÇA DE RECEITA DA SP-075 X SP-270 - 2</v>
          </cell>
          <cell r="G77">
            <v>-633.74691018944065</v>
          </cell>
          <cell r="H77">
            <v>-3108.6053109782379</v>
          </cell>
          <cell r="I77">
            <v>0.19292347618797812</v>
          </cell>
        </row>
        <row r="78">
          <cell r="B78" t="str">
            <v>FATOR 12</v>
          </cell>
          <cell r="C78" t="str">
            <v>DIFERENÇA DE RECEITA PELA POSTERGAÇÃO DA DUPLICAÇÃO</v>
          </cell>
          <cell r="G78">
            <v>-5701.1889491448674</v>
          </cell>
          <cell r="H78">
            <v>-27965.021937392106</v>
          </cell>
          <cell r="I78">
            <v>0.19012072224241236</v>
          </cell>
        </row>
        <row r="79">
          <cell r="B79" t="str">
            <v>FATOR 13</v>
          </cell>
          <cell r="C79" t="str">
            <v>DIFERENÇA DE IGPM 2003 - RECEITA REAL</v>
          </cell>
          <cell r="G79">
            <v>-688.00404272528317</v>
          </cell>
          <cell r="H79">
            <v>-3374.7431140153412</v>
          </cell>
          <cell r="I79">
            <v>0.19289373267658125</v>
          </cell>
        </row>
        <row r="80">
          <cell r="B80" t="str">
            <v>FATOR 14</v>
          </cell>
          <cell r="C80" t="str">
            <v>POSTERGAÇÃO DE ÔNUS FIXO - CONTORNOS</v>
          </cell>
          <cell r="G80">
            <v>2424.52179222616</v>
          </cell>
          <cell r="H80">
            <v>11892.57288472425</v>
          </cell>
          <cell r="I80">
            <v>0.19460066417465308</v>
          </cell>
        </row>
        <row r="81">
          <cell r="B81" t="str">
            <v>FATOR 15</v>
          </cell>
          <cell r="C81" t="str">
            <v>5ª Adequação - Investimentos</v>
          </cell>
          <cell r="G81">
            <v>-2176.5888463964843</v>
          </cell>
          <cell r="H81">
            <v>-10676.431772584985</v>
          </cell>
          <cell r="I81">
            <v>0.19208059764202703</v>
          </cell>
        </row>
        <row r="82">
          <cell r="B82" t="str">
            <v>TOTAL GERAL</v>
          </cell>
          <cell r="G82">
            <v>-1670.9525372106812</v>
          </cell>
          <cell r="H82">
            <v>-8196.2244676080245</v>
          </cell>
          <cell r="I82">
            <v>0.1920789598753872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25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0.19327037557252341</v>
          </cell>
        </row>
        <row r="98">
          <cell r="B98" t="str">
            <v>TIR Resultante dos Desequilibrio no Contrato Original (ao ano)</v>
          </cell>
          <cell r="J98">
            <v>0.1920789598753872</v>
          </cell>
        </row>
        <row r="100">
          <cell r="B100" t="str">
            <v>Diferença entre a TIR Original x TIR Desequilibrios</v>
          </cell>
          <cell r="J100">
            <v>-1.1914156971362111E-3</v>
          </cell>
        </row>
        <row r="102">
          <cell r="B102" t="str">
            <v>TIR Resultante das Alternativas Utilizadas para o Reequilibrio (ao ano)</v>
          </cell>
          <cell r="J102">
            <v>0.19360997399325544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5.5798919494794395E-8</v>
          </cell>
          <cell r="G136">
            <v>0.19327037557252341</v>
          </cell>
          <cell r="H136">
            <v>-146068.54176000002</v>
          </cell>
          <cell r="I136">
            <v>-163024.19148499999</v>
          </cell>
          <cell r="J136">
            <v>-95881.515604999979</v>
          </cell>
          <cell r="K136">
            <v>39032.087509999998</v>
          </cell>
          <cell r="L136">
            <v>106526.57626999999</v>
          </cell>
          <cell r="M136">
            <v>106644.66430999996</v>
          </cell>
          <cell r="N136">
            <v>109145.42567499998</v>
          </cell>
          <cell r="O136">
            <v>104084.74404999999</v>
          </cell>
          <cell r="P136">
            <v>100262.04817999998</v>
          </cell>
          <cell r="Q136">
            <v>123874.85308500002</v>
          </cell>
          <cell r="R136">
            <v>101005.17119000001</v>
          </cell>
          <cell r="S136">
            <v>136260.60897500001</v>
          </cell>
          <cell r="T136">
            <v>119240.515145</v>
          </cell>
          <cell r="U136">
            <v>131747.38472</v>
          </cell>
          <cell r="V136">
            <v>121928.21519000002</v>
          </cell>
          <cell r="W136">
            <v>146150.786555</v>
          </cell>
          <cell r="X136">
            <v>152240.71505</v>
          </cell>
          <cell r="Y136">
            <v>147233.66691</v>
          </cell>
          <cell r="Z136">
            <v>147030.22589999999</v>
          </cell>
          <cell r="AA136">
            <v>155787.40448999999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72706.0625</v>
          </cell>
          <cell r="I139">
            <v>36766.289130000005</v>
          </cell>
          <cell r="J139">
            <v>-72807.668019999997</v>
          </cell>
          <cell r="K139">
            <v>-35306.57321000001</v>
          </cell>
          <cell r="L139">
            <v>-15478.82735</v>
          </cell>
          <cell r="M139">
            <v>4733.0540700000001</v>
          </cell>
          <cell r="N139">
            <v>8654.1</v>
          </cell>
          <cell r="O139">
            <v>7082.4160000000002</v>
          </cell>
          <cell r="P139">
            <v>1303.58214</v>
          </cell>
          <cell r="Q139">
            <v>-550.23214000000007</v>
          </cell>
          <cell r="R139">
            <v>3342.2550699999993</v>
          </cell>
          <cell r="S139">
            <v>-1860.079</v>
          </cell>
          <cell r="T139">
            <v>-3990.4539299999997</v>
          </cell>
          <cell r="U139">
            <v>-210.99</v>
          </cell>
          <cell r="V139">
            <v>242.26499999999999</v>
          </cell>
          <cell r="W139">
            <v>-4132.1959299999999</v>
          </cell>
          <cell r="X139">
            <v>-225.64999999999998</v>
          </cell>
          <cell r="Y139">
            <v>-220.08399999999995</v>
          </cell>
          <cell r="Z139">
            <v>1199.1624999999999</v>
          </cell>
          <cell r="AA139">
            <v>-1069.9375</v>
          </cell>
        </row>
        <row r="140">
          <cell r="B140" t="str">
            <v>Somatoria com Projeto Original</v>
          </cell>
          <cell r="F140">
            <v>25733.44526868036</v>
          </cell>
          <cell r="G140">
            <v>0.20939254423031073</v>
          </cell>
          <cell r="H140">
            <v>-73362.479260000022</v>
          </cell>
          <cell r="I140">
            <v>-126257.90235499998</v>
          </cell>
          <cell r="J140">
            <v>-168689.18362499998</v>
          </cell>
          <cell r="K140">
            <v>3725.514299999988</v>
          </cell>
          <cell r="L140">
            <v>91047.748919999984</v>
          </cell>
          <cell r="M140">
            <v>111377.71837999996</v>
          </cell>
          <cell r="N140">
            <v>117799.52567499998</v>
          </cell>
          <cell r="O140">
            <v>111167.16004999999</v>
          </cell>
          <cell r="P140">
            <v>101565.63031999998</v>
          </cell>
          <cell r="Q140">
            <v>123324.62094500003</v>
          </cell>
          <cell r="R140">
            <v>104347.42626000001</v>
          </cell>
          <cell r="S140">
            <v>134400.52997500001</v>
          </cell>
          <cell r="T140">
            <v>115250.06121499999</v>
          </cell>
          <cell r="U140">
            <v>131536.39472000001</v>
          </cell>
          <cell r="V140">
            <v>122170.48019000002</v>
          </cell>
          <cell r="W140">
            <v>142018.59062500001</v>
          </cell>
          <cell r="X140">
            <v>152015.06505</v>
          </cell>
          <cell r="Y140">
            <v>147013.58291</v>
          </cell>
          <cell r="Z140">
            <v>148229.3884</v>
          </cell>
          <cell r="AA140">
            <v>154717.46698999999</v>
          </cell>
        </row>
        <row r="141">
          <cell r="B141" t="str">
            <v>3ª Adequação - Investimentos</v>
          </cell>
        </row>
        <row r="142">
          <cell r="B142" t="str">
            <v>Fluxo de Caixa do Fator</v>
          </cell>
          <cell r="H142">
            <v>-231.29576864375031</v>
          </cell>
          <cell r="I142">
            <v>6080.3526833195565</v>
          </cell>
          <cell r="J142">
            <v>79686.847775654853</v>
          </cell>
          <cell r="K142">
            <v>-15606.036056441877</v>
          </cell>
          <cell r="L142">
            <v>-30741.278609232471</v>
          </cell>
          <cell r="M142">
            <v>-52950.702785041802</v>
          </cell>
          <cell r="N142">
            <v>-33805.394018680745</v>
          </cell>
          <cell r="O142">
            <v>-16188.901003732462</v>
          </cell>
          <cell r="P142">
            <v>10896.143145544609</v>
          </cell>
          <cell r="Q142">
            <v>-12431.627418080854</v>
          </cell>
          <cell r="R142">
            <v>-4020.8364311166497</v>
          </cell>
          <cell r="S142">
            <v>474.44344726845111</v>
          </cell>
          <cell r="T142">
            <v>5122.0182893240344</v>
          </cell>
          <cell r="U142">
            <v>13787.710893231633</v>
          </cell>
          <cell r="V142">
            <v>21918.596014579231</v>
          </cell>
          <cell r="W142">
            <v>1373.8504236792323</v>
          </cell>
          <cell r="X142">
            <v>2483.5654556363729</v>
          </cell>
          <cell r="Y142">
            <v>-3786.8134761664833</v>
          </cell>
          <cell r="Z142">
            <v>2838.2716307297687</v>
          </cell>
          <cell r="AA142">
            <v>11991.674966036016</v>
          </cell>
        </row>
        <row r="143">
          <cell r="B143" t="str">
            <v>Somatoria com Projeto Original</v>
          </cell>
          <cell r="F143">
            <v>1778.4553827698655</v>
          </cell>
          <cell r="G143">
            <v>0.19430100682593032</v>
          </cell>
          <cell r="H143">
            <v>-146299.83752864378</v>
          </cell>
          <cell r="I143">
            <v>-156943.83880168042</v>
          </cell>
          <cell r="J143">
            <v>-16194.667829345126</v>
          </cell>
          <cell r="K143">
            <v>23426.051453558121</v>
          </cell>
          <cell r="L143">
            <v>75785.297660767523</v>
          </cell>
          <cell r="M143">
            <v>53693.961524958162</v>
          </cell>
          <cell r="N143">
            <v>75340.031656319232</v>
          </cell>
          <cell r="O143">
            <v>87895.843046267531</v>
          </cell>
          <cell r="P143">
            <v>111158.1913255446</v>
          </cell>
          <cell r="Q143">
            <v>111443.22566691917</v>
          </cell>
          <cell r="R143">
            <v>96984.334758883357</v>
          </cell>
          <cell r="S143">
            <v>136735.05242226846</v>
          </cell>
          <cell r="T143">
            <v>124362.53343432402</v>
          </cell>
          <cell r="U143">
            <v>145535.09561323165</v>
          </cell>
          <cell r="V143">
            <v>143846.81120457925</v>
          </cell>
          <cell r="W143">
            <v>147524.63697867922</v>
          </cell>
          <cell r="X143">
            <v>154724.28050563636</v>
          </cell>
          <cell r="Y143">
            <v>143446.85343383352</v>
          </cell>
          <cell r="Z143">
            <v>149868.49753072977</v>
          </cell>
          <cell r="AA143">
            <v>167779.07945603601</v>
          </cell>
        </row>
        <row r="144">
          <cell r="B144" t="str">
            <v>DIFERENÇA DE RECEITA DA SP-270</v>
          </cell>
        </row>
        <row r="145">
          <cell r="B145" t="str">
            <v>Fluxo de Caixa do Fator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-3263.1747</v>
          </cell>
          <cell r="M145">
            <v>-3026.3967000000002</v>
          </cell>
          <cell r="N145">
            <v>-1957.1570999999999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B146" t="str">
            <v>Somatoria com Projeto Original</v>
          </cell>
          <cell r="F146">
            <v>-2965.2502231429698</v>
          </cell>
          <cell r="G146">
            <v>0.19164958126844359</v>
          </cell>
          <cell r="H146">
            <v>-146068.54176000002</v>
          </cell>
          <cell r="I146">
            <v>-163024.19148499999</v>
          </cell>
          <cell r="J146">
            <v>-95881.515604999979</v>
          </cell>
          <cell r="K146">
            <v>39032.087509999998</v>
          </cell>
          <cell r="L146">
            <v>103263.40156999999</v>
          </cell>
          <cell r="M146">
            <v>103618.26760999997</v>
          </cell>
          <cell r="N146">
            <v>107188.26857499998</v>
          </cell>
          <cell r="O146">
            <v>104084.74404999999</v>
          </cell>
          <cell r="P146">
            <v>100262.04817999998</v>
          </cell>
          <cell r="Q146">
            <v>123874.85308500002</v>
          </cell>
          <cell r="R146">
            <v>101005.17119000001</v>
          </cell>
          <cell r="S146">
            <v>136260.60897500001</v>
          </cell>
          <cell r="T146">
            <v>119240.515145</v>
          </cell>
          <cell r="U146">
            <v>131747.38472</v>
          </cell>
          <cell r="V146">
            <v>121928.21519000002</v>
          </cell>
          <cell r="W146">
            <v>146150.786555</v>
          </cell>
          <cell r="X146">
            <v>152240.71505</v>
          </cell>
          <cell r="Y146">
            <v>147233.66691</v>
          </cell>
          <cell r="Z146">
            <v>147030.22589999999</v>
          </cell>
          <cell r="AA146">
            <v>155787.40448999999</v>
          </cell>
        </row>
        <row r="147">
          <cell r="B147" t="str">
            <v>DIFERENÇA DE RECEITA DA SP-075 X SP-270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-2924.2083000000002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B149" t="str">
            <v>Somatoria com Projeto Original</v>
          </cell>
          <cell r="F149">
            <v>-1208.6874455252214</v>
          </cell>
          <cell r="G149">
            <v>0.19260923388099299</v>
          </cell>
          <cell r="H149">
            <v>-146068.54176000002</v>
          </cell>
          <cell r="I149">
            <v>-163024.19148499999</v>
          </cell>
          <cell r="J149">
            <v>-95881.515604999979</v>
          </cell>
          <cell r="K149">
            <v>39032.087509999998</v>
          </cell>
          <cell r="L149">
            <v>103602.36796999999</v>
          </cell>
          <cell r="M149">
            <v>106644.66430999996</v>
          </cell>
          <cell r="N149">
            <v>109145.42567499998</v>
          </cell>
          <cell r="O149">
            <v>104084.74404999999</v>
          </cell>
          <cell r="P149">
            <v>100262.04817999998</v>
          </cell>
          <cell r="Q149">
            <v>123874.85308500002</v>
          </cell>
          <cell r="R149">
            <v>101005.17119000001</v>
          </cell>
          <cell r="S149">
            <v>136260.60897500001</v>
          </cell>
          <cell r="T149">
            <v>119240.515145</v>
          </cell>
          <cell r="U149">
            <v>131747.38472</v>
          </cell>
          <cell r="V149">
            <v>121928.21519000002</v>
          </cell>
          <cell r="W149">
            <v>146150.786555</v>
          </cell>
          <cell r="X149">
            <v>152240.71505</v>
          </cell>
          <cell r="Y149">
            <v>147233.66691</v>
          </cell>
          <cell r="Z149">
            <v>147030.22589999999</v>
          </cell>
          <cell r="AA149">
            <v>155787.40448999999</v>
          </cell>
        </row>
        <row r="150">
          <cell r="B150" t="str">
            <v>DIFERENÇA DE ISSQN</v>
          </cell>
        </row>
        <row r="151">
          <cell r="B151" t="str">
            <v>Fluxo de Caixa do Fator</v>
          </cell>
          <cell r="H151">
            <v>996.31679999999994</v>
          </cell>
          <cell r="I151">
            <v>1107.8671100000001</v>
          </cell>
          <cell r="J151">
            <v>-201.56212999999997</v>
          </cell>
          <cell r="K151">
            <v>-4179.3863000000001</v>
          </cell>
          <cell r="L151">
            <v>-1386.1228000000001</v>
          </cell>
          <cell r="M151">
            <v>-670.15409999999997</v>
          </cell>
          <cell r="N151">
            <v>-4691.1523999999999</v>
          </cell>
          <cell r="O151">
            <v>-4846.1435000000001</v>
          </cell>
          <cell r="P151">
            <v>-4939.9903999999997</v>
          </cell>
          <cell r="Q151">
            <v>-5035.7467999999999</v>
          </cell>
          <cell r="R151">
            <v>-5118.6391999999996</v>
          </cell>
          <cell r="S151">
            <v>-5202.8179999999993</v>
          </cell>
          <cell r="T151">
            <v>-5288.4640999999992</v>
          </cell>
          <cell r="U151">
            <v>-5375.4971000000005</v>
          </cell>
          <cell r="V151">
            <v>-5463.9571999999998</v>
          </cell>
          <cell r="W151">
            <v>-5553.8444</v>
          </cell>
          <cell r="X151">
            <v>-5645.219000000001</v>
          </cell>
          <cell r="Y151">
            <v>-5738.1412999999993</v>
          </cell>
          <cell r="Z151">
            <v>-5832.5509999999995</v>
          </cell>
          <cell r="AA151">
            <v>-5928.5686999999998</v>
          </cell>
        </row>
        <row r="152">
          <cell r="B152" t="str">
            <v>Somatoria com Projeto Original</v>
          </cell>
          <cell r="F152">
            <v>-9731.3297676935636</v>
          </cell>
          <cell r="G152">
            <v>0.18785617026087006</v>
          </cell>
          <cell r="H152">
            <v>-145072.22496000002</v>
          </cell>
          <cell r="I152">
            <v>-161916.324375</v>
          </cell>
          <cell r="J152">
            <v>-96083.077734999984</v>
          </cell>
          <cell r="K152">
            <v>34852.701209999999</v>
          </cell>
          <cell r="L152">
            <v>105140.45346999999</v>
          </cell>
          <cell r="M152">
            <v>105974.51020999996</v>
          </cell>
          <cell r="N152">
            <v>104454.27327499997</v>
          </cell>
          <cell r="O152">
            <v>99238.600549999988</v>
          </cell>
          <cell r="P152">
            <v>95322.057779999988</v>
          </cell>
          <cell r="Q152">
            <v>118839.10628500003</v>
          </cell>
          <cell r="R152">
            <v>95886.531990000003</v>
          </cell>
          <cell r="S152">
            <v>131057.79097500001</v>
          </cell>
          <cell r="T152">
            <v>113952.051045</v>
          </cell>
          <cell r="U152">
            <v>126371.88761999999</v>
          </cell>
          <cell r="V152">
            <v>116464.25799000001</v>
          </cell>
          <cell r="W152">
            <v>140596.942155</v>
          </cell>
          <cell r="X152">
            <v>146595.49604999999</v>
          </cell>
          <cell r="Y152">
            <v>141495.52561000001</v>
          </cell>
          <cell r="Z152">
            <v>141197.67489999998</v>
          </cell>
          <cell r="AA152">
            <v>149858.83578999998</v>
          </cell>
        </row>
        <row r="153">
          <cell r="B153" t="str">
            <v>DIFERENÇA DE COFINS</v>
          </cell>
        </row>
        <row r="154">
          <cell r="B154" t="str">
            <v>Fluxo de Caixa do Fator</v>
          </cell>
          <cell r="H154">
            <v>-79.242033333333893</v>
          </cell>
          <cell r="I154">
            <v>-603.75040000000001</v>
          </cell>
          <cell r="J154">
            <v>-916.94190000000003</v>
          </cell>
          <cell r="K154">
            <v>-1323.0825</v>
          </cell>
          <cell r="L154">
            <v>-389.28786666666667</v>
          </cell>
          <cell r="M154">
            <v>-150.604833333333</v>
          </cell>
          <cell r="N154">
            <v>-1490.9107999999999</v>
          </cell>
          <cell r="O154">
            <v>-1542.5477000000001</v>
          </cell>
          <cell r="P154">
            <v>-1573.8032000000001</v>
          </cell>
          <cell r="Q154">
            <v>-1605.6952000000001</v>
          </cell>
          <cell r="R154">
            <v>-1633.2992000000002</v>
          </cell>
          <cell r="S154">
            <v>-1661.3319999999999</v>
          </cell>
          <cell r="T154">
            <v>-1689.8539000000001</v>
          </cell>
          <cell r="U154">
            <v>-1718.8380999999999</v>
          </cell>
          <cell r="V154">
            <v>-1748.2980000000002</v>
          </cell>
          <cell r="W154">
            <v>-1778.2336</v>
          </cell>
          <cell r="X154">
            <v>-1808.665</v>
          </cell>
          <cell r="Y154">
            <v>-1839.6123</v>
          </cell>
          <cell r="Z154">
            <v>-1871.0554</v>
          </cell>
          <cell r="AA154">
            <v>-1903.0345</v>
          </cell>
        </row>
        <row r="155">
          <cell r="B155" t="str">
            <v>Somatoria com Projeto Original</v>
          </cell>
          <cell r="F155">
            <v>-4562.4934014118271</v>
          </cell>
          <cell r="G155">
            <v>0.19076783767096686</v>
          </cell>
          <cell r="H155">
            <v>-146147.78379333336</v>
          </cell>
          <cell r="I155">
            <v>-163627.94188499998</v>
          </cell>
          <cell r="J155">
            <v>-96798.457504999984</v>
          </cell>
          <cell r="K155">
            <v>37709.005010000001</v>
          </cell>
          <cell r="L155">
            <v>106137.28840333332</v>
          </cell>
          <cell r="M155">
            <v>106494.05947666663</v>
          </cell>
          <cell r="N155">
            <v>107654.51487499998</v>
          </cell>
          <cell r="O155">
            <v>102542.19635</v>
          </cell>
          <cell r="P155">
            <v>98688.244979999989</v>
          </cell>
          <cell r="Q155">
            <v>122269.15788500002</v>
          </cell>
          <cell r="R155">
            <v>99371.871990000014</v>
          </cell>
          <cell r="S155">
            <v>134599.27697500002</v>
          </cell>
          <cell r="T155">
            <v>117550.661245</v>
          </cell>
          <cell r="U155">
            <v>130028.54662000001</v>
          </cell>
          <cell r="V155">
            <v>120179.91719000002</v>
          </cell>
          <cell r="W155">
            <v>144372.55295499999</v>
          </cell>
          <cell r="X155">
            <v>150432.05004999999</v>
          </cell>
          <cell r="Y155">
            <v>145394.05460999999</v>
          </cell>
          <cell r="Z155">
            <v>145159.17049999998</v>
          </cell>
          <cell r="AA155">
            <v>153884.36998999998</v>
          </cell>
        </row>
        <row r="156">
          <cell r="B156" t="str">
            <v>TRIBUTOS (COFINS  + ISSQN) DESCONTADOS NO ÔNUS FIXO</v>
          </cell>
        </row>
        <row r="157">
          <cell r="B157" t="str">
            <v>Fluxo de Caixa do Fator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13478.87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B158" t="str">
            <v>Somatoria com Projeto Original</v>
          </cell>
          <cell r="F158">
            <v>5571.3339401237272</v>
          </cell>
          <cell r="G158">
            <v>0.19633802026245029</v>
          </cell>
          <cell r="H158">
            <v>-146068.54176000002</v>
          </cell>
          <cell r="I158">
            <v>-163024.19148499999</v>
          </cell>
          <cell r="J158">
            <v>-95881.515604999979</v>
          </cell>
          <cell r="K158">
            <v>39032.087509999998</v>
          </cell>
          <cell r="L158">
            <v>120005.44626999999</v>
          </cell>
          <cell r="M158">
            <v>106644.66430999996</v>
          </cell>
          <cell r="N158">
            <v>109145.42567499998</v>
          </cell>
          <cell r="O158">
            <v>104084.74404999999</v>
          </cell>
          <cell r="P158">
            <v>100262.04817999998</v>
          </cell>
          <cell r="Q158">
            <v>123874.85308500002</v>
          </cell>
          <cell r="R158">
            <v>101005.17119000001</v>
          </cell>
          <cell r="S158">
            <v>136260.60897500001</v>
          </cell>
          <cell r="T158">
            <v>119240.515145</v>
          </cell>
          <cell r="U158">
            <v>131747.38472</v>
          </cell>
          <cell r="V158">
            <v>121928.21519000002</v>
          </cell>
          <cell r="W158">
            <v>146150.786555</v>
          </cell>
          <cell r="X158">
            <v>152240.71505</v>
          </cell>
          <cell r="Y158">
            <v>147233.66691</v>
          </cell>
          <cell r="Z158">
            <v>147030.22589999999</v>
          </cell>
          <cell r="AA158">
            <v>155787.40448999999</v>
          </cell>
        </row>
        <row r="159">
          <cell r="B159" t="str">
            <v>DIFERENÇA PELO NÃO INÍCIO DA OPERAÇÃO DAS MARGINAIS - SP 280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-33247.643830000001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B161" t="str">
            <v>Somatoria com Projeto Original</v>
          </cell>
          <cell r="F161">
            <v>-19567.903452309554</v>
          </cell>
          <cell r="G161">
            <v>0.18293804140810907</v>
          </cell>
          <cell r="H161">
            <v>-146068.54176000002</v>
          </cell>
          <cell r="I161">
            <v>-163024.19148499999</v>
          </cell>
          <cell r="J161">
            <v>-129129.15943499998</v>
          </cell>
          <cell r="K161">
            <v>39032.087509999998</v>
          </cell>
          <cell r="L161">
            <v>106526.57626999999</v>
          </cell>
          <cell r="M161">
            <v>106644.66430999996</v>
          </cell>
          <cell r="N161">
            <v>109145.42567499998</v>
          </cell>
          <cell r="O161">
            <v>104084.74404999999</v>
          </cell>
          <cell r="P161">
            <v>100262.04817999998</v>
          </cell>
          <cell r="Q161">
            <v>123874.85308500002</v>
          </cell>
          <cell r="R161">
            <v>101005.17119000001</v>
          </cell>
          <cell r="S161">
            <v>136260.60897500001</v>
          </cell>
          <cell r="T161">
            <v>119240.515145</v>
          </cell>
          <cell r="U161">
            <v>131747.38472</v>
          </cell>
          <cell r="V161">
            <v>121928.21519000002</v>
          </cell>
          <cell r="W161">
            <v>146150.786555</v>
          </cell>
          <cell r="X161">
            <v>152240.71505</v>
          </cell>
          <cell r="Y161">
            <v>147233.66691</v>
          </cell>
          <cell r="Z161">
            <v>147030.22589999999</v>
          </cell>
          <cell r="AA161">
            <v>155787.40448999999</v>
          </cell>
        </row>
        <row r="162">
          <cell r="B162" t="str">
            <v>4ª Adequação - Investimentos</v>
          </cell>
        </row>
        <row r="163">
          <cell r="B163" t="str">
            <v>Fluxo de Caixa do Fator</v>
          </cell>
          <cell r="H163">
            <v>-511.10808647978018</v>
          </cell>
          <cell r="I163">
            <v>-167.77705492051876</v>
          </cell>
          <cell r="J163">
            <v>618.97384530058571</v>
          </cell>
          <cell r="K163">
            <v>2161.2874772078139</v>
          </cell>
          <cell r="L163">
            <v>27667.025176100331</v>
          </cell>
          <cell r="M163">
            <v>31712.880688786256</v>
          </cell>
          <cell r="N163">
            <v>19111.911574356753</v>
          </cell>
          <cell r="O163">
            <v>8427.3983512601189</v>
          </cell>
          <cell r="P163">
            <v>-10824.669053098758</v>
          </cell>
          <cell r="Q163">
            <v>2109.6555196277504</v>
          </cell>
          <cell r="R163">
            <v>17978.916899197615</v>
          </cell>
          <cell r="S163">
            <v>1263.9623038715072</v>
          </cell>
          <cell r="T163">
            <v>-4660.3257340271903</v>
          </cell>
          <cell r="U163">
            <v>-9566.8373873293458</v>
          </cell>
          <cell r="V163">
            <v>-23204.735786401103</v>
          </cell>
          <cell r="W163">
            <v>-33197.511816020931</v>
          </cell>
          <cell r="X163">
            <v>-9470.5231093187831</v>
          </cell>
          <cell r="Y163">
            <v>9107.4668117632591</v>
          </cell>
          <cell r="Z163">
            <v>-901.71930928458914</v>
          </cell>
          <cell r="AA163">
            <v>-6549.9477161736322</v>
          </cell>
        </row>
        <row r="164">
          <cell r="B164" t="str">
            <v>Somatoria com Projeto Original</v>
          </cell>
          <cell r="F164">
            <v>26590.71447300016</v>
          </cell>
          <cell r="G164">
            <v>0.20829608837028563</v>
          </cell>
          <cell r="H164">
            <v>-146579.64984647979</v>
          </cell>
          <cell r="I164">
            <v>-163191.96853992052</v>
          </cell>
          <cell r="J164">
            <v>-95262.541759699394</v>
          </cell>
          <cell r="K164">
            <v>41193.374987207812</v>
          </cell>
          <cell r="L164">
            <v>134193.60144610034</v>
          </cell>
          <cell r="M164">
            <v>138357.54499878621</v>
          </cell>
          <cell r="N164">
            <v>128257.33724935673</v>
          </cell>
          <cell r="O164">
            <v>112512.14240126012</v>
          </cell>
          <cell r="P164">
            <v>89437.379126901229</v>
          </cell>
          <cell r="Q164">
            <v>125984.50860462777</v>
          </cell>
          <cell r="R164">
            <v>118984.08808919763</v>
          </cell>
          <cell r="S164">
            <v>137524.5712788715</v>
          </cell>
          <cell r="T164">
            <v>114580.1894109728</v>
          </cell>
          <cell r="U164">
            <v>122180.54733267066</v>
          </cell>
          <cell r="V164">
            <v>98723.479403598918</v>
          </cell>
          <cell r="W164">
            <v>112953.27473897906</v>
          </cell>
          <cell r="X164">
            <v>142770.19194068122</v>
          </cell>
          <cell r="Y164">
            <v>156341.13372176327</v>
          </cell>
          <cell r="Z164">
            <v>146128.50659071541</v>
          </cell>
          <cell r="AA164">
            <v>149237.45677382636</v>
          </cell>
        </row>
        <row r="165">
          <cell r="B165" t="str">
            <v>REGIME TARIFÁRIO ESPECIAL DAS MARGINAIS DA SP-280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-8178.6143751711525</v>
          </cell>
          <cell r="O166">
            <v>-8798.3715978230102</v>
          </cell>
          <cell r="P166">
            <v>-9383.6817083732221</v>
          </cell>
          <cell r="Q166">
            <v>-9929.9919448196088</v>
          </cell>
          <cell r="R166">
            <v>-10432.449537227483</v>
          </cell>
          <cell r="S166">
            <v>-10745.423023344309</v>
          </cell>
          <cell r="T166">
            <v>-11067.785714044638</v>
          </cell>
          <cell r="U166">
            <v>-11399.819285465977</v>
          </cell>
          <cell r="V166">
            <v>-11741.813864029955</v>
          </cell>
          <cell r="W166">
            <v>-12094.068279950852</v>
          </cell>
          <cell r="X166">
            <v>-12456.890328349382</v>
          </cell>
          <cell r="Y166">
            <v>-12830.597038199863</v>
          </cell>
          <cell r="Z166">
            <v>-13215.514949345858</v>
          </cell>
          <cell r="AA166">
            <v>-13611.980397826233</v>
          </cell>
        </row>
        <row r="167">
          <cell r="B167" t="str">
            <v>Somatoria com Projeto Original</v>
          </cell>
          <cell r="F167">
            <v>-16534.230355471744</v>
          </cell>
          <cell r="G167">
            <v>0.18390646773845529</v>
          </cell>
          <cell r="H167">
            <v>-146068.54176000002</v>
          </cell>
          <cell r="I167">
            <v>-163024.19148499999</v>
          </cell>
          <cell r="J167">
            <v>-95881.515604999979</v>
          </cell>
          <cell r="K167">
            <v>39032.087509999998</v>
          </cell>
          <cell r="L167">
            <v>106526.57626999999</v>
          </cell>
          <cell r="M167">
            <v>106644.66430999996</v>
          </cell>
          <cell r="N167">
            <v>100966.81129982883</v>
          </cell>
          <cell r="O167">
            <v>95286.372452176991</v>
          </cell>
          <cell r="P167">
            <v>90878.366471626767</v>
          </cell>
          <cell r="Q167">
            <v>113944.86114018041</v>
          </cell>
          <cell r="R167">
            <v>90572.721652772525</v>
          </cell>
          <cell r="S167">
            <v>125515.1859516557</v>
          </cell>
          <cell r="T167">
            <v>108172.72943095535</v>
          </cell>
          <cell r="U167">
            <v>120347.56543453403</v>
          </cell>
          <cell r="V167">
            <v>110186.40132597006</v>
          </cell>
          <cell r="W167">
            <v>134056.71827504915</v>
          </cell>
          <cell r="X167">
            <v>139783.82472165063</v>
          </cell>
          <cell r="Y167">
            <v>134403.06987180014</v>
          </cell>
          <cell r="Z167">
            <v>133814.71095065415</v>
          </cell>
          <cell r="AA167">
            <v>142175.42409217375</v>
          </cell>
        </row>
        <row r="168">
          <cell r="B168" t="str">
            <v>DIFERENÇA DE RECEITA DA SP-075 X SP-270 - 2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-769.67909080799984</v>
          </cell>
          <cell r="M169">
            <v>-911.13464840099959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-633.74691018944065</v>
          </cell>
          <cell r="G170">
            <v>0.19292347618797812</v>
          </cell>
          <cell r="H170">
            <v>-146068.54176000002</v>
          </cell>
          <cell r="I170">
            <v>-163024.19148499999</v>
          </cell>
          <cell r="J170">
            <v>-95881.515604999979</v>
          </cell>
          <cell r="K170">
            <v>39032.087509999998</v>
          </cell>
          <cell r="L170">
            <v>105756.89717919199</v>
          </cell>
          <cell r="M170">
            <v>105733.52966159896</v>
          </cell>
          <cell r="N170">
            <v>109145.42567499998</v>
          </cell>
          <cell r="O170">
            <v>104084.74404999999</v>
          </cell>
          <cell r="P170">
            <v>100262.04817999998</v>
          </cell>
          <cell r="Q170">
            <v>123874.85308500002</v>
          </cell>
          <cell r="R170">
            <v>101005.17119000001</v>
          </cell>
          <cell r="S170">
            <v>136260.60897500001</v>
          </cell>
          <cell r="T170">
            <v>119240.515145</v>
          </cell>
          <cell r="U170">
            <v>131747.38472</v>
          </cell>
          <cell r="V170">
            <v>121928.21519000002</v>
          </cell>
          <cell r="W170">
            <v>146150.786555</v>
          </cell>
          <cell r="X170">
            <v>152240.71505</v>
          </cell>
          <cell r="Y170">
            <v>147233.66691</v>
          </cell>
          <cell r="Z170">
            <v>147030.22589999999</v>
          </cell>
          <cell r="AA170">
            <v>155787.40448999999</v>
          </cell>
        </row>
        <row r="171">
          <cell r="B171" t="str">
            <v>DIFERENÇA DE RECEITA PELA POSTERGAÇÃO DA DUPLICAÇÃO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-304.63454957400012</v>
          </cell>
          <cell r="M172">
            <v>-624.8313331979997</v>
          </cell>
          <cell r="N172">
            <v>-1738.5499235070001</v>
          </cell>
          <cell r="O172">
            <v>-3698.5593759149997</v>
          </cell>
          <cell r="P172">
            <v>-3802.0952919750002</v>
          </cell>
          <cell r="Q172">
            <v>-3908.560388673</v>
          </cell>
          <cell r="R172">
            <v>-3978.9340067759999</v>
          </cell>
          <cell r="S172">
            <v>-4050.607299321</v>
          </cell>
          <cell r="T172">
            <v>-4123.5963672119997</v>
          </cell>
          <cell r="U172">
            <v>-4197.9228756359998</v>
          </cell>
          <cell r="V172">
            <v>-4273.6293262440004</v>
          </cell>
          <cell r="W172">
            <v>-4350.6999732989998</v>
          </cell>
          <cell r="X172">
            <v>-2583.7020314122501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 t="str">
            <v>Somatoria com Projeto Original</v>
          </cell>
          <cell r="F173">
            <v>-5701.1889491448674</v>
          </cell>
          <cell r="G173">
            <v>0.19012072224241236</v>
          </cell>
          <cell r="H173">
            <v>-146068.54176000002</v>
          </cell>
          <cell r="I173">
            <v>-163024.19148499999</v>
          </cell>
          <cell r="J173">
            <v>-95881.515604999979</v>
          </cell>
          <cell r="K173">
            <v>39032.087509999998</v>
          </cell>
          <cell r="L173">
            <v>106221.941720426</v>
          </cell>
          <cell r="M173">
            <v>106019.83297680196</v>
          </cell>
          <cell r="N173">
            <v>107406.87575149297</v>
          </cell>
          <cell r="O173">
            <v>100386.184674085</v>
          </cell>
          <cell r="P173">
            <v>96459.952888024985</v>
          </cell>
          <cell r="Q173">
            <v>119966.29269632703</v>
          </cell>
          <cell r="R173">
            <v>97026.237183224002</v>
          </cell>
          <cell r="S173">
            <v>132210.001675679</v>
          </cell>
          <cell r="T173">
            <v>115116.918777788</v>
          </cell>
          <cell r="U173">
            <v>127549.46184436401</v>
          </cell>
          <cell r="V173">
            <v>117654.58586375602</v>
          </cell>
          <cell r="W173">
            <v>141800.08658170101</v>
          </cell>
          <cell r="X173">
            <v>149657.01301858775</v>
          </cell>
          <cell r="Y173">
            <v>147233.66691</v>
          </cell>
          <cell r="Z173">
            <v>147030.22589999999</v>
          </cell>
          <cell r="AA173">
            <v>155787.40448999999</v>
          </cell>
        </row>
        <row r="174">
          <cell r="B174" t="str">
            <v>DIFERENÇA DE IGPM 2003 - RECEITA REAL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-1986.205331559705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-688.00404272528317</v>
          </cell>
          <cell r="G176">
            <v>0.19289373267658125</v>
          </cell>
          <cell r="H176">
            <v>-146068.54176000002</v>
          </cell>
          <cell r="I176">
            <v>-163024.19148499999</v>
          </cell>
          <cell r="J176">
            <v>-95881.515604999979</v>
          </cell>
          <cell r="K176">
            <v>39032.087509999998</v>
          </cell>
          <cell r="L176">
            <v>106526.57626999999</v>
          </cell>
          <cell r="M176">
            <v>104658.45897844026</v>
          </cell>
          <cell r="N176">
            <v>109145.42567499998</v>
          </cell>
          <cell r="O176">
            <v>104084.74404999999</v>
          </cell>
          <cell r="P176">
            <v>100262.04817999998</v>
          </cell>
          <cell r="Q176">
            <v>123874.85308500002</v>
          </cell>
          <cell r="R176">
            <v>101005.17119000001</v>
          </cell>
          <cell r="S176">
            <v>136260.60897500001</v>
          </cell>
          <cell r="T176">
            <v>119240.515145</v>
          </cell>
          <cell r="U176">
            <v>131747.38472</v>
          </cell>
          <cell r="V176">
            <v>121928.21519000002</v>
          </cell>
          <cell r="W176">
            <v>146150.786555</v>
          </cell>
          <cell r="X176">
            <v>152240.71505</v>
          </cell>
          <cell r="Y176">
            <v>147233.66691</v>
          </cell>
          <cell r="Z176">
            <v>147030.22589999999</v>
          </cell>
          <cell r="AA176">
            <v>155787.40448999999</v>
          </cell>
        </row>
        <row r="177">
          <cell r="B177" t="str">
            <v>POSTERGAÇÃO DE ÔNUS FIXO - CONTORNOS</v>
          </cell>
        </row>
        <row r="178">
          <cell r="B178" t="str">
            <v>Fluxo de Caixa do Fator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2949.4983443591659</v>
          </cell>
          <cell r="O178">
            <v>4029.3967196450249</v>
          </cell>
          <cell r="P178">
            <v>1569.3555314773885</v>
          </cell>
          <cell r="Q178">
            <v>1513.159661726012</v>
          </cell>
          <cell r="R178">
            <v>5968.1212058856772</v>
          </cell>
          <cell r="S178">
            <v>5543.9973545309995</v>
          </cell>
          <cell r="T178">
            <v>5272.8832099261144</v>
          </cell>
          <cell r="U178">
            <v>396.55190018754729</v>
          </cell>
          <cell r="V178">
            <v>-15487.830998637635</v>
          </cell>
          <cell r="W178">
            <v>-18314.138522011344</v>
          </cell>
          <cell r="X178">
            <v>-8990.0223111406085</v>
          </cell>
          <cell r="Y178">
            <v>5240.4900210230899</v>
          </cell>
          <cell r="Z178">
            <v>5500.2128609781412</v>
          </cell>
          <cell r="AA178">
            <v>4808</v>
          </cell>
        </row>
        <row r="179">
          <cell r="B179" t="str">
            <v>Somatoria com Projeto Original</v>
          </cell>
          <cell r="F179">
            <v>2424.52179222616</v>
          </cell>
          <cell r="G179">
            <v>0.19460066417465308</v>
          </cell>
          <cell r="H179">
            <v>-146068.54176000002</v>
          </cell>
          <cell r="I179">
            <v>-163024.19148499999</v>
          </cell>
          <cell r="J179">
            <v>-95881.515604999979</v>
          </cell>
          <cell r="K179">
            <v>39032.087509999998</v>
          </cell>
          <cell r="L179">
            <v>106526.57626999999</v>
          </cell>
          <cell r="M179">
            <v>106644.66430999996</v>
          </cell>
          <cell r="N179">
            <v>112094.92401935914</v>
          </cell>
          <cell r="O179">
            <v>108114.14076964502</v>
          </cell>
          <cell r="P179">
            <v>101831.40371147737</v>
          </cell>
          <cell r="Q179">
            <v>125388.01274672603</v>
          </cell>
          <cell r="R179">
            <v>106973.29239588568</v>
          </cell>
          <cell r="S179">
            <v>141804.606329531</v>
          </cell>
          <cell r="T179">
            <v>124513.39835492612</v>
          </cell>
          <cell r="U179">
            <v>132143.93662018754</v>
          </cell>
          <cell r="V179">
            <v>106440.38419136238</v>
          </cell>
          <cell r="W179">
            <v>127836.64803298865</v>
          </cell>
          <cell r="X179">
            <v>143250.69273885939</v>
          </cell>
          <cell r="Y179">
            <v>152474.15693102308</v>
          </cell>
          <cell r="Z179">
            <v>152530.43876097814</v>
          </cell>
          <cell r="AA179">
            <v>160595.40448999999</v>
          </cell>
        </row>
        <row r="180">
          <cell r="B180" t="str">
            <v>5ª Adequação - Investimentos</v>
          </cell>
        </row>
        <row r="181">
          <cell r="B181" t="str">
            <v>Fluxo de Caixa do Fator</v>
          </cell>
          <cell r="H181">
            <v>-4.7545707411700278E-3</v>
          </cell>
          <cell r="I181">
            <v>-4.3047690141975181E-2</v>
          </cell>
          <cell r="J181">
            <v>1.2799929911125218E-2</v>
          </cell>
          <cell r="K181">
            <v>-8.8630168811505428E-3</v>
          </cell>
          <cell r="L181">
            <v>-1.6817437248732858E-2</v>
          </cell>
          <cell r="M181">
            <v>49.132733959264968</v>
          </cell>
          <cell r="N181">
            <v>427.42931750932394</v>
          </cell>
          <cell r="O181">
            <v>-1020.9408521737435</v>
          </cell>
          <cell r="P181">
            <v>-24841.842011920169</v>
          </cell>
          <cell r="Q181">
            <v>281.02712509579931</v>
          </cell>
          <cell r="R181">
            <v>12737.234363257021</v>
          </cell>
          <cell r="S181">
            <v>1096.4040134913676</v>
          </cell>
          <cell r="T181">
            <v>4660.7451778745108</v>
          </cell>
          <cell r="U181">
            <v>-324.98927756876861</v>
          </cell>
          <cell r="V181">
            <v>3724.3490021469506</v>
          </cell>
          <cell r="W181">
            <v>12213.988464310578</v>
          </cell>
          <cell r="X181">
            <v>218.38289198839925</v>
          </cell>
          <cell r="Y181">
            <v>-1972.5952578898077</v>
          </cell>
          <cell r="Z181">
            <v>-9043.6600218135482</v>
          </cell>
          <cell r="AA181">
            <v>-1678.9002256918711</v>
          </cell>
        </row>
        <row r="182">
          <cell r="B182" t="str">
            <v>Somatoria com Projeto Original</v>
          </cell>
          <cell r="F182">
            <v>-2176.5888463964843</v>
          </cell>
          <cell r="G182">
            <v>0.19208059764202703</v>
          </cell>
          <cell r="H182">
            <v>-146068.54651457077</v>
          </cell>
          <cell r="I182">
            <v>-163024.23453269014</v>
          </cell>
          <cell r="J182">
            <v>-95881.502805070064</v>
          </cell>
          <cell r="K182">
            <v>39032.078646983115</v>
          </cell>
          <cell r="L182">
            <v>106526.55945256274</v>
          </cell>
          <cell r="M182">
            <v>106693.79704395923</v>
          </cell>
          <cell r="N182">
            <v>109572.8549925093</v>
          </cell>
          <cell r="O182">
            <v>103063.80319782624</v>
          </cell>
          <cell r="P182">
            <v>75420.206168079807</v>
          </cell>
          <cell r="Q182">
            <v>124155.88021009583</v>
          </cell>
          <cell r="R182">
            <v>113742.40555325703</v>
          </cell>
          <cell r="S182">
            <v>137357.01298849139</v>
          </cell>
          <cell r="T182">
            <v>123901.26032287451</v>
          </cell>
          <cell r="U182">
            <v>131422.39544243124</v>
          </cell>
          <cell r="V182">
            <v>125652.56419214697</v>
          </cell>
          <cell r="W182">
            <v>158364.77501931059</v>
          </cell>
          <cell r="X182">
            <v>152459.09794198841</v>
          </cell>
          <cell r="Y182">
            <v>145261.0716521102</v>
          </cell>
          <cell r="Z182">
            <v>137986.56587818643</v>
          </cell>
          <cell r="AA182">
            <v>154108.50426430811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72880.728656972409</v>
          </cell>
          <cell r="I184">
            <v>43182.938420708902</v>
          </cell>
          <cell r="J184">
            <v>-26867.98145911465</v>
          </cell>
          <cell r="K184">
            <v>-54253.799452250947</v>
          </cell>
          <cell r="L184">
            <v>-14111.334907618055</v>
          </cell>
          <cell r="M184">
            <v>-23824.962238788314</v>
          </cell>
          <cell r="N184">
            <v>-20718.839381133657</v>
          </cell>
          <cell r="O184">
            <v>-16556.252958739071</v>
          </cell>
          <cell r="P184">
            <v>-41597.000848345153</v>
          </cell>
          <cell r="Q184">
            <v>-29558.011585123902</v>
          </cell>
          <cell r="R184">
            <v>14842.369163220179</v>
          </cell>
          <cell r="S184">
            <v>-15141.452203502984</v>
          </cell>
          <cell r="T184">
            <v>-15764.833068159167</v>
          </cell>
          <cell r="U184">
            <v>-18610.631232580912</v>
          </cell>
          <cell r="V184">
            <v>-36035.055158586518</v>
          </cell>
          <cell r="W184">
            <v>-65832.853633292325</v>
          </cell>
          <cell r="X184">
            <v>-38478.723432596256</v>
          </cell>
          <cell r="Y184">
            <v>-12039.886539469804</v>
          </cell>
          <cell r="Z184">
            <v>-21326.853688736082</v>
          </cell>
          <cell r="AA184">
            <v>-13942.694073655719</v>
          </cell>
        </row>
        <row r="185">
          <cell r="B185" t="str">
            <v>Somatoria com Projeto Original</v>
          </cell>
          <cell r="F185">
            <v>-1670.952537991561</v>
          </cell>
          <cell r="G185">
            <v>0.1920789598753872</v>
          </cell>
          <cell r="H185">
            <v>-73187.813103027613</v>
          </cell>
          <cell r="I185">
            <v>-119841.25306429109</v>
          </cell>
          <cell r="J185">
            <v>-122749.49706411464</v>
          </cell>
          <cell r="K185">
            <v>-15221.71194225095</v>
          </cell>
          <cell r="L185">
            <v>92415.24136238193</v>
          </cell>
          <cell r="M185">
            <v>82819.70207121165</v>
          </cell>
          <cell r="N185">
            <v>88426.586293866319</v>
          </cell>
          <cell r="O185">
            <v>87528.491091260919</v>
          </cell>
          <cell r="P185">
            <v>58665.04733165483</v>
          </cell>
          <cell r="Q185">
            <v>94316.841499876115</v>
          </cell>
          <cell r="R185">
            <v>115847.54035322019</v>
          </cell>
          <cell r="S185">
            <v>121119.15677149703</v>
          </cell>
          <cell r="T185">
            <v>103475.68207684084</v>
          </cell>
          <cell r="U185">
            <v>113136.75348741909</v>
          </cell>
          <cell r="V185">
            <v>85893.160031413499</v>
          </cell>
          <cell r="W185">
            <v>80317.932921707674</v>
          </cell>
          <cell r="X185">
            <v>113761.99161740375</v>
          </cell>
          <cell r="Y185">
            <v>135193.78037053021</v>
          </cell>
          <cell r="Z185">
            <v>125703.37221126391</v>
          </cell>
          <cell r="AA185">
            <v>141844.71041634426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74352</v>
          </cell>
          <cell r="H191">
            <v>99547</v>
          </cell>
          <cell r="I191">
            <v>106637</v>
          </cell>
          <cell r="J191">
            <v>220998</v>
          </cell>
          <cell r="K191">
            <v>229501.11239999998</v>
          </cell>
          <cell r="L191">
            <v>234830.83349270842</v>
          </cell>
          <cell r="M191">
            <v>230516.41174760429</v>
          </cell>
          <cell r="N191">
            <v>233540.70425958713</v>
          </cell>
          <cell r="O191">
            <v>237029.27272684977</v>
          </cell>
          <cell r="P191">
            <v>240676.75116454266</v>
          </cell>
          <cell r="Q191">
            <v>243822.58230852691</v>
          </cell>
          <cell r="R191">
            <v>247362.97268178276</v>
          </cell>
          <cell r="S191">
            <v>250958.19439623621</v>
          </cell>
          <cell r="T191">
            <v>254603.73247612332</v>
          </cell>
          <cell r="U191">
            <v>258301.02239440699</v>
          </cell>
          <cell r="V191">
            <v>262049.58324223923</v>
          </cell>
          <cell r="W191">
            <v>268969.46703550639</v>
          </cell>
          <cell r="X191">
            <v>277327.56110807159</v>
          </cell>
          <cell r="Y191">
            <v>281375.84794131375</v>
          </cell>
          <cell r="Z191">
            <v>285484.52337955317</v>
          </cell>
          <cell r="AA191">
            <v>4537884.5727550527</v>
          </cell>
        </row>
        <row r="192">
          <cell r="B192" t="str">
            <v>1.1 - Operacionais    (1.1.1 + 1.1.2)</v>
          </cell>
          <cell r="G192">
            <v>74352</v>
          </cell>
          <cell r="H192">
            <v>99547</v>
          </cell>
          <cell r="I192">
            <v>106637</v>
          </cell>
          <cell r="J192">
            <v>220998</v>
          </cell>
          <cell r="K192">
            <v>229501.11239999998</v>
          </cell>
          <cell r="L192">
            <v>234830.83349270842</v>
          </cell>
          <cell r="M192">
            <v>230516.41174760429</v>
          </cell>
          <cell r="N192">
            <v>233540.70425958713</v>
          </cell>
          <cell r="O192">
            <v>237029.27272684977</v>
          </cell>
          <cell r="P192">
            <v>240676.75116454266</v>
          </cell>
          <cell r="Q192">
            <v>243822.58230852691</v>
          </cell>
          <cell r="R192">
            <v>247362.97268178276</v>
          </cell>
          <cell r="S192">
            <v>250958.19439623621</v>
          </cell>
          <cell r="T192">
            <v>254603.73247612332</v>
          </cell>
          <cell r="U192">
            <v>258301.02239440699</v>
          </cell>
          <cell r="V192">
            <v>262049.58324223923</v>
          </cell>
          <cell r="W192">
            <v>268969.46703550639</v>
          </cell>
          <cell r="X192">
            <v>277327.56110807159</v>
          </cell>
          <cell r="Y192">
            <v>281375.84794131375</v>
          </cell>
          <cell r="Z192">
            <v>285484.52337955317</v>
          </cell>
          <cell r="AA192">
            <v>4537884.5727550527</v>
          </cell>
        </row>
        <row r="193">
          <cell r="B193" t="str">
            <v>1.1.1 - Receitas de  Pedágios    (Transp. Qd.2.1.1.2)</v>
          </cell>
          <cell r="G193">
            <v>73430</v>
          </cell>
          <cell r="H193">
            <v>96402</v>
          </cell>
          <cell r="I193">
            <v>98799</v>
          </cell>
          <cell r="J193">
            <v>213157</v>
          </cell>
          <cell r="K193">
            <v>221357.11239999998</v>
          </cell>
          <cell r="L193">
            <v>226683.83349270842</v>
          </cell>
          <cell r="M193">
            <v>222366.41174760429</v>
          </cell>
          <cell r="N193">
            <v>225387.70425958713</v>
          </cell>
          <cell r="O193">
            <v>228873.27272684977</v>
          </cell>
          <cell r="P193">
            <v>232517.75116454266</v>
          </cell>
          <cell r="Q193">
            <v>235660.58230852691</v>
          </cell>
          <cell r="R193">
            <v>239197.97268178276</v>
          </cell>
          <cell r="S193">
            <v>242790.19439623621</v>
          </cell>
          <cell r="T193">
            <v>246432.73247612332</v>
          </cell>
          <cell r="U193">
            <v>250127.02239440699</v>
          </cell>
          <cell r="V193">
            <v>253872.58324223923</v>
          </cell>
          <cell r="W193">
            <v>260789.46703550639</v>
          </cell>
          <cell r="X193">
            <v>269144.56110807159</v>
          </cell>
          <cell r="Y193">
            <v>273189.84794131375</v>
          </cell>
          <cell r="Z193">
            <v>277295.52337955317</v>
          </cell>
          <cell r="AA193">
            <v>4387474.5727550527</v>
          </cell>
        </row>
        <row r="194">
          <cell r="B194" t="str">
            <v>1.1.2 - Outras Receitas Operacionais    (calculado 2.1.2.)</v>
          </cell>
          <cell r="G194">
            <v>922</v>
          </cell>
          <cell r="H194">
            <v>3145</v>
          </cell>
          <cell r="I194">
            <v>7838</v>
          </cell>
          <cell r="J194">
            <v>7841</v>
          </cell>
          <cell r="K194">
            <v>8144</v>
          </cell>
          <cell r="L194">
            <v>8147.0000000000009</v>
          </cell>
          <cell r="M194">
            <v>8150</v>
          </cell>
          <cell r="N194">
            <v>8153</v>
          </cell>
          <cell r="O194">
            <v>8156</v>
          </cell>
          <cell r="P194">
            <v>8159</v>
          </cell>
          <cell r="Q194">
            <v>8162</v>
          </cell>
          <cell r="R194">
            <v>8165</v>
          </cell>
          <cell r="S194">
            <v>8168</v>
          </cell>
          <cell r="T194">
            <v>8170.9999999999991</v>
          </cell>
          <cell r="U194">
            <v>8174</v>
          </cell>
          <cell r="V194">
            <v>8177</v>
          </cell>
          <cell r="W194">
            <v>8180</v>
          </cell>
          <cell r="X194">
            <v>8183</v>
          </cell>
          <cell r="Y194">
            <v>8186.0000000000009</v>
          </cell>
          <cell r="Z194">
            <v>8189</v>
          </cell>
          <cell r="AA194">
            <v>150410</v>
          </cell>
        </row>
        <row r="195">
          <cell r="B195" t="str">
            <v>2 -  DEDUÇÕES DA RECEITA    (2.1)</v>
          </cell>
          <cell r="G195">
            <v>3457.3679999999999</v>
          </cell>
          <cell r="H195">
            <v>4628.9354999999996</v>
          </cell>
          <cell r="I195">
            <v>4958.6204999999991</v>
          </cell>
          <cell r="J195">
            <v>10276.406999999999</v>
          </cell>
          <cell r="K195">
            <v>10671.801726600001</v>
          </cell>
          <cell r="L195">
            <v>11063.396787475691</v>
          </cell>
          <cell r="M195">
            <v>19190.083929921766</v>
          </cell>
          <cell r="N195">
            <v>19875.150918454288</v>
          </cell>
          <cell r="O195">
            <v>20176.792090872506</v>
          </cell>
          <cell r="P195">
            <v>20492.178975732942</v>
          </cell>
          <cell r="Q195">
            <v>20764.173369687582</v>
          </cell>
          <cell r="R195">
            <v>21070.297136974208</v>
          </cell>
          <cell r="S195">
            <v>21381.163815274434</v>
          </cell>
          <cell r="T195">
            <v>21696.382859184665</v>
          </cell>
          <cell r="U195">
            <v>22016.078437116201</v>
          </cell>
          <cell r="V195">
            <v>22340.208950453693</v>
          </cell>
          <cell r="W195">
            <v>22938.658898571306</v>
          </cell>
          <cell r="X195">
            <v>23661.514035848195</v>
          </cell>
          <cell r="Y195">
            <v>24011.570846923642</v>
          </cell>
          <cell r="Z195">
            <v>24366.851272331354</v>
          </cell>
          <cell r="AA195">
            <v>349037.6350514224</v>
          </cell>
        </row>
        <row r="196">
          <cell r="B196" t="str">
            <v>2.1 - Tributos sobre Faturamento    (2.1.1+ .... + 2.1.4)</v>
          </cell>
          <cell r="G196">
            <v>3457.3679999999999</v>
          </cell>
          <cell r="H196">
            <v>4628.9354999999996</v>
          </cell>
          <cell r="I196">
            <v>4958.6204999999991</v>
          </cell>
          <cell r="J196">
            <v>10276.406999999999</v>
          </cell>
          <cell r="K196">
            <v>10671.801726600001</v>
          </cell>
          <cell r="L196">
            <v>11063.396787475691</v>
          </cell>
          <cell r="M196">
            <v>19190.083929921766</v>
          </cell>
          <cell r="N196">
            <v>19875.150918454288</v>
          </cell>
          <cell r="O196">
            <v>20176.792090872506</v>
          </cell>
          <cell r="P196">
            <v>20492.178975732942</v>
          </cell>
          <cell r="Q196">
            <v>20764.173369687582</v>
          </cell>
          <cell r="R196">
            <v>21070.297136974208</v>
          </cell>
          <cell r="S196">
            <v>21381.163815274434</v>
          </cell>
          <cell r="T196">
            <v>21696.382859184665</v>
          </cell>
          <cell r="U196">
            <v>22016.078437116201</v>
          </cell>
          <cell r="V196">
            <v>22340.208950453693</v>
          </cell>
          <cell r="W196">
            <v>22938.658898571306</v>
          </cell>
          <cell r="X196">
            <v>23661.514035848195</v>
          </cell>
          <cell r="Y196">
            <v>24011.570846923642</v>
          </cell>
          <cell r="Z196">
            <v>24366.851272331354</v>
          </cell>
          <cell r="AA196">
            <v>349037.6350514224</v>
          </cell>
        </row>
        <row r="197">
          <cell r="B197" t="str">
            <v>2.1.1 - I.S.S    (transp. Qd  1.3.)</v>
          </cell>
          <cell r="G197">
            <v>1487.04</v>
          </cell>
          <cell r="H197">
            <v>1990.94</v>
          </cell>
          <cell r="I197">
            <v>2132.7399999999998</v>
          </cell>
          <cell r="J197">
            <v>4419.96</v>
          </cell>
          <cell r="K197">
            <v>4590.0222480000002</v>
          </cell>
          <cell r="L197">
            <v>4804.4389424027304</v>
          </cell>
          <cell r="M197">
            <v>11003.362572695711</v>
          </cell>
          <cell r="N197">
            <v>11432.445212979357</v>
          </cell>
          <cell r="O197">
            <v>11606.78363634249</v>
          </cell>
          <cell r="P197">
            <v>11789.067558227134</v>
          </cell>
          <cell r="Q197">
            <v>11946.269115426347</v>
          </cell>
          <cell r="R197">
            <v>12123.198634089138</v>
          </cell>
          <cell r="S197">
            <v>12302.869719811812</v>
          </cell>
          <cell r="T197">
            <v>12485.056623806166</v>
          </cell>
          <cell r="U197">
            <v>12669.831119720349</v>
          </cell>
          <cell r="V197">
            <v>12857.169162111961</v>
          </cell>
          <cell r="W197">
            <v>13203.073351775321</v>
          </cell>
          <cell r="X197">
            <v>13620.888055403582</v>
          </cell>
          <cell r="Y197">
            <v>13823.212397065688</v>
          </cell>
          <cell r="Z197">
            <v>14028.55616897766</v>
          </cell>
          <cell r="AA197">
            <v>194316.92451883544</v>
          </cell>
        </row>
        <row r="198">
          <cell r="B198" t="str">
            <v>2.1.2 - Cofins    (transp. Qd 1.3.)</v>
          </cell>
          <cell r="G198">
            <v>1487.04</v>
          </cell>
          <cell r="H198">
            <v>1990.94</v>
          </cell>
          <cell r="I198">
            <v>2132.7399999999998</v>
          </cell>
          <cell r="J198">
            <v>4419.96</v>
          </cell>
          <cell r="K198">
            <v>4590.0222480000002</v>
          </cell>
          <cell r="L198">
            <v>4732.557427370356</v>
          </cell>
          <cell r="M198">
            <v>6741.3396808666266</v>
          </cell>
          <cell r="N198">
            <v>6924.6911277876143</v>
          </cell>
          <cell r="O198">
            <v>7029.3181818054927</v>
          </cell>
          <cell r="P198">
            <v>7138.7125349362805</v>
          </cell>
          <cell r="Q198">
            <v>7233.0574692558084</v>
          </cell>
          <cell r="R198">
            <v>7339.2391804534827</v>
          </cell>
          <cell r="S198">
            <v>7447.0658318870856</v>
          </cell>
          <cell r="T198">
            <v>7556.401974283699</v>
          </cell>
          <cell r="U198">
            <v>7667.2906718322083</v>
          </cell>
          <cell r="V198">
            <v>7779.7174972671764</v>
          </cell>
          <cell r="W198">
            <v>7987.2840110651914</v>
          </cell>
          <cell r="X198">
            <v>8237.9968332421486</v>
          </cell>
          <cell r="Y198">
            <v>8359.4154382394117</v>
          </cell>
          <cell r="Z198">
            <v>8482.6457013865966</v>
          </cell>
          <cell r="AA198">
            <v>125277.43580967917</v>
          </cell>
        </row>
        <row r="199">
          <cell r="B199" t="str">
            <v>2.1.3 - Pis / Pasep    (transp. Qd 1.3.)</v>
          </cell>
          <cell r="G199">
            <v>483.28799999999995</v>
          </cell>
          <cell r="H199">
            <v>647.05549999999994</v>
          </cell>
          <cell r="I199">
            <v>693.14049999999997</v>
          </cell>
          <cell r="J199">
            <v>1436.4869999999999</v>
          </cell>
          <cell r="K199">
            <v>1491.7572306</v>
          </cell>
          <cell r="L199">
            <v>1526.400417702605</v>
          </cell>
          <cell r="M199">
            <v>1445.381676359428</v>
          </cell>
          <cell r="N199">
            <v>1518.0145776873164</v>
          </cell>
          <cell r="O199">
            <v>1540.6902727245233</v>
          </cell>
          <cell r="P199">
            <v>1564.3988825695271</v>
          </cell>
          <cell r="Q199">
            <v>1584.8467850054251</v>
          </cell>
          <cell r="R199">
            <v>1607.8593224315878</v>
          </cell>
          <cell r="S199">
            <v>1631.2282635755355</v>
          </cell>
          <cell r="T199">
            <v>1654.9242610948011</v>
          </cell>
          <cell r="U199">
            <v>1678.9566455636455</v>
          </cell>
          <cell r="V199">
            <v>1703.3222910745549</v>
          </cell>
          <cell r="W199">
            <v>1748.3015357307916</v>
          </cell>
          <cell r="X199">
            <v>1802.629147202465</v>
          </cell>
          <cell r="Y199">
            <v>1828.9430116185392</v>
          </cell>
          <cell r="Z199">
            <v>1855.6494019670954</v>
          </cell>
          <cell r="AA199">
            <v>29443.274722907838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70894.631999999998</v>
          </cell>
          <cell r="H201">
            <v>94918.064500000008</v>
          </cell>
          <cell r="I201">
            <v>101678.3795</v>
          </cell>
          <cell r="J201">
            <v>210721.59299999999</v>
          </cell>
          <cell r="K201">
            <v>218829.31067339997</v>
          </cell>
          <cell r="L201">
            <v>223767.43670523274</v>
          </cell>
          <cell r="M201">
            <v>211326.32781768253</v>
          </cell>
          <cell r="N201">
            <v>213665.55334113285</v>
          </cell>
          <cell r="O201">
            <v>216852.48063597726</v>
          </cell>
          <cell r="P201">
            <v>220184.57218880972</v>
          </cell>
          <cell r="Q201">
            <v>223058.40893883933</v>
          </cell>
          <cell r="R201">
            <v>226292.67554480856</v>
          </cell>
          <cell r="S201">
            <v>229577.03058096179</v>
          </cell>
          <cell r="T201">
            <v>232907.34961693865</v>
          </cell>
          <cell r="U201">
            <v>236284.94395729079</v>
          </cell>
          <cell r="V201">
            <v>239709.37429178553</v>
          </cell>
          <cell r="W201">
            <v>246030.80813693508</v>
          </cell>
          <cell r="X201">
            <v>253666.04707222339</v>
          </cell>
          <cell r="Y201">
            <v>257364.27709439013</v>
          </cell>
          <cell r="Z201">
            <v>261117.67210722182</v>
          </cell>
          <cell r="AA201">
            <v>4188846.9377036304</v>
          </cell>
        </row>
        <row r="202">
          <cell r="B202" t="str">
            <v>4 -  DESPESAS    (4.1)</v>
          </cell>
          <cell r="G202">
            <v>56958.214179615381</v>
          </cell>
          <cell r="H202">
            <v>78419.906818825373</v>
          </cell>
          <cell r="I202">
            <v>89364.985024705675</v>
          </cell>
          <cell r="J202">
            <v>101777.0051740217</v>
          </cell>
          <cell r="K202">
            <v>106500.71432268093</v>
          </cell>
          <cell r="L202">
            <v>108759.88472509553</v>
          </cell>
          <cell r="M202">
            <v>104284.7709688094</v>
          </cell>
          <cell r="N202">
            <v>101727.72783768243</v>
          </cell>
          <cell r="O202">
            <v>105144.03123900748</v>
          </cell>
          <cell r="P202">
            <v>108712.23716354033</v>
          </cell>
          <cell r="Q202">
            <v>119029.31275247855</v>
          </cell>
          <cell r="R202">
            <v>119113.69745930994</v>
          </cell>
          <cell r="S202">
            <v>119047.71608359212</v>
          </cell>
          <cell r="T202">
            <v>120652.59866587407</v>
          </cell>
          <cell r="U202">
            <v>125257.38797551821</v>
          </cell>
          <cell r="V202">
            <v>137025.23193219703</v>
          </cell>
          <cell r="W202">
            <v>147601.54451624458</v>
          </cell>
          <cell r="X202">
            <v>152614.86723866261</v>
          </cell>
          <cell r="Y202">
            <v>162776.11761464371</v>
          </cell>
          <cell r="Z202">
            <v>190844.88185366627</v>
          </cell>
          <cell r="AA202">
            <v>2355612.8335461714</v>
          </cell>
        </row>
        <row r="203">
          <cell r="B203" t="str">
            <v>4.1 - Operacionais    (4.1.1+ .... + 4.1.10)</v>
          </cell>
          <cell r="G203">
            <v>56958.214179615381</v>
          </cell>
          <cell r="H203">
            <v>78419.906818825373</v>
          </cell>
          <cell r="I203">
            <v>89364.985024705675</v>
          </cell>
          <cell r="J203">
            <v>101777.0051740217</v>
          </cell>
          <cell r="K203">
            <v>106500.71432268093</v>
          </cell>
          <cell r="L203">
            <v>108759.88472509553</v>
          </cell>
          <cell r="M203">
            <v>104284.7709688094</v>
          </cell>
          <cell r="N203">
            <v>101727.72783768243</v>
          </cell>
          <cell r="O203">
            <v>105144.03123900748</v>
          </cell>
          <cell r="P203">
            <v>108712.23716354033</v>
          </cell>
          <cell r="Q203">
            <v>119029.31275247855</v>
          </cell>
          <cell r="R203">
            <v>119113.69745930994</v>
          </cell>
          <cell r="S203">
            <v>119047.71608359212</v>
          </cell>
          <cell r="T203">
            <v>120652.59866587407</v>
          </cell>
          <cell r="U203">
            <v>125257.38797551821</v>
          </cell>
          <cell r="V203">
            <v>137025.23193219703</v>
          </cell>
          <cell r="W203">
            <v>147601.54451624458</v>
          </cell>
          <cell r="X203">
            <v>152614.86723866261</v>
          </cell>
          <cell r="Y203">
            <v>162776.11761464371</v>
          </cell>
          <cell r="Z203">
            <v>190844.88185366627</v>
          </cell>
          <cell r="AA203">
            <v>2355612.8335461714</v>
          </cell>
        </row>
        <row r="204">
          <cell r="B204" t="str">
            <v>4.1.1  -  Pessoal e Administradores    (Transp. Qd. 1.3.)</v>
          </cell>
          <cell r="G204">
            <v>20034</v>
          </cell>
          <cell r="H204">
            <v>27971</v>
          </cell>
          <cell r="I204">
            <v>31249</v>
          </cell>
          <cell r="J204">
            <v>34297</v>
          </cell>
          <cell r="K204">
            <v>34048</v>
          </cell>
          <cell r="L204">
            <v>34047</v>
          </cell>
          <cell r="M204">
            <v>34048</v>
          </cell>
          <cell r="N204">
            <v>34047</v>
          </cell>
          <cell r="O204">
            <v>34048</v>
          </cell>
          <cell r="P204">
            <v>34047</v>
          </cell>
          <cell r="Q204">
            <v>34048</v>
          </cell>
          <cell r="R204">
            <v>34047</v>
          </cell>
          <cell r="S204">
            <v>34048</v>
          </cell>
          <cell r="T204">
            <v>34047</v>
          </cell>
          <cell r="U204">
            <v>34048</v>
          </cell>
          <cell r="V204">
            <v>34047</v>
          </cell>
          <cell r="W204">
            <v>34047</v>
          </cell>
          <cell r="X204">
            <v>34047</v>
          </cell>
          <cell r="Y204">
            <v>34047</v>
          </cell>
          <cell r="Z204">
            <v>34047</v>
          </cell>
          <cell r="AA204">
            <v>658309</v>
          </cell>
        </row>
        <row r="205">
          <cell r="B205" t="str">
            <v>4.1.2  -  Conservação de Rotina    (Transp. Qd. 1.3.)</v>
          </cell>
          <cell r="G205">
            <v>2691</v>
          </cell>
          <cell r="H205">
            <v>5382</v>
          </cell>
          <cell r="I205">
            <v>5457</v>
          </cell>
          <cell r="J205">
            <v>5560</v>
          </cell>
          <cell r="K205">
            <v>6466</v>
          </cell>
          <cell r="L205">
            <v>6466</v>
          </cell>
          <cell r="M205">
            <v>6466</v>
          </cell>
          <cell r="N205">
            <v>6466</v>
          </cell>
          <cell r="O205">
            <v>6997</v>
          </cell>
          <cell r="P205">
            <v>6997</v>
          </cell>
          <cell r="Q205">
            <v>6997</v>
          </cell>
          <cell r="R205">
            <v>6997</v>
          </cell>
          <cell r="S205">
            <v>6997</v>
          </cell>
          <cell r="T205">
            <v>6997</v>
          </cell>
          <cell r="U205">
            <v>6997</v>
          </cell>
          <cell r="V205">
            <v>6997</v>
          </cell>
          <cell r="W205">
            <v>6997</v>
          </cell>
          <cell r="X205">
            <v>6997</v>
          </cell>
          <cell r="Y205">
            <v>6997</v>
          </cell>
          <cell r="Z205">
            <v>6997</v>
          </cell>
          <cell r="AA205">
            <v>128918</v>
          </cell>
        </row>
        <row r="206">
          <cell r="B206" t="str">
            <v>4.1.3  -  Consumo    (Transp. Qd. 1.3.)</v>
          </cell>
          <cell r="G206">
            <v>925</v>
          </cell>
          <cell r="H206">
            <v>987</v>
          </cell>
          <cell r="I206">
            <v>1000</v>
          </cell>
          <cell r="J206">
            <v>1135</v>
          </cell>
          <cell r="K206">
            <v>1135</v>
          </cell>
          <cell r="L206">
            <v>1135</v>
          </cell>
          <cell r="M206">
            <v>1135</v>
          </cell>
          <cell r="N206">
            <v>1135</v>
          </cell>
          <cell r="O206">
            <v>1135</v>
          </cell>
          <cell r="P206">
            <v>1135</v>
          </cell>
          <cell r="Q206">
            <v>1135</v>
          </cell>
          <cell r="R206">
            <v>1135</v>
          </cell>
          <cell r="S206">
            <v>1135</v>
          </cell>
          <cell r="T206">
            <v>1135</v>
          </cell>
          <cell r="U206">
            <v>1135</v>
          </cell>
          <cell r="V206">
            <v>1135</v>
          </cell>
          <cell r="W206">
            <v>1135</v>
          </cell>
          <cell r="X206">
            <v>1135</v>
          </cell>
          <cell r="Y206">
            <v>1135</v>
          </cell>
          <cell r="Z206">
            <v>1135</v>
          </cell>
          <cell r="AA206">
            <v>22207</v>
          </cell>
        </row>
        <row r="207">
          <cell r="B207" t="str">
            <v>4.1.4  -  Transportes    (Transp. Qd. 1.3.)</v>
          </cell>
          <cell r="G207">
            <v>2399</v>
          </cell>
          <cell r="H207">
            <v>4565</v>
          </cell>
          <cell r="I207">
            <v>4981</v>
          </cell>
          <cell r="J207">
            <v>5230</v>
          </cell>
          <cell r="K207">
            <v>5306</v>
          </cell>
          <cell r="L207">
            <v>5307</v>
          </cell>
          <cell r="M207">
            <v>5306</v>
          </cell>
          <cell r="N207">
            <v>5307</v>
          </cell>
          <cell r="O207">
            <v>5306</v>
          </cell>
          <cell r="P207">
            <v>5307</v>
          </cell>
          <cell r="Q207">
            <v>5306</v>
          </cell>
          <cell r="R207">
            <v>5307</v>
          </cell>
          <cell r="S207">
            <v>5306</v>
          </cell>
          <cell r="T207">
            <v>5307</v>
          </cell>
          <cell r="U207">
            <v>5306</v>
          </cell>
          <cell r="V207">
            <v>5307</v>
          </cell>
          <cell r="W207">
            <v>5306</v>
          </cell>
          <cell r="X207">
            <v>5307</v>
          </cell>
          <cell r="Y207">
            <v>5306</v>
          </cell>
          <cell r="Z207">
            <v>5306</v>
          </cell>
          <cell r="AA207">
            <v>102078</v>
          </cell>
        </row>
        <row r="208">
          <cell r="B208" t="str">
            <v>4.1.5  -  Diversas    (Transp. Qd. 1.3.)</v>
          </cell>
          <cell r="G208">
            <v>3376</v>
          </cell>
          <cell r="H208">
            <v>4638</v>
          </cell>
          <cell r="I208">
            <v>4059</v>
          </cell>
          <cell r="J208">
            <v>2441</v>
          </cell>
          <cell r="K208">
            <v>1745</v>
          </cell>
          <cell r="L208">
            <v>1745</v>
          </cell>
          <cell r="M208">
            <v>1745</v>
          </cell>
          <cell r="N208">
            <v>1745</v>
          </cell>
          <cell r="O208">
            <v>1745</v>
          </cell>
          <cell r="P208">
            <v>1745</v>
          </cell>
          <cell r="Q208">
            <v>1745</v>
          </cell>
          <cell r="R208">
            <v>1745</v>
          </cell>
          <cell r="S208">
            <v>1745</v>
          </cell>
          <cell r="T208">
            <v>1745</v>
          </cell>
          <cell r="U208">
            <v>1745</v>
          </cell>
          <cell r="V208">
            <v>1745</v>
          </cell>
          <cell r="W208">
            <v>1745</v>
          </cell>
          <cell r="X208">
            <v>1745</v>
          </cell>
          <cell r="Y208">
            <v>1745</v>
          </cell>
          <cell r="Z208">
            <v>1745</v>
          </cell>
          <cell r="AA208">
            <v>42434</v>
          </cell>
        </row>
        <row r="209">
          <cell r="B209" t="str">
            <v>4.1.6  -  Depreciação/Amortização    (Transp. Qd. 1.3.)</v>
          </cell>
          <cell r="G209">
            <v>2664.2541796153846</v>
          </cell>
          <cell r="H209">
            <v>9402.0968188253628</v>
          </cell>
          <cell r="I209">
            <v>17123.475024705673</v>
          </cell>
          <cell r="J209">
            <v>24333.665174021691</v>
          </cell>
          <cell r="K209">
            <v>28827.280950680914</v>
          </cell>
          <cell r="L209">
            <v>30952.55972031429</v>
          </cell>
          <cell r="M209">
            <v>32879.566282379776</v>
          </cell>
          <cell r="N209">
            <v>34592.2279404664</v>
          </cell>
          <cell r="O209">
            <v>37253.858743852506</v>
          </cell>
          <cell r="P209">
            <v>40757.640315254546</v>
          </cell>
          <cell r="Q209">
            <v>42325.252897664504</v>
          </cell>
          <cell r="R209">
            <v>40618.408278856456</v>
          </cell>
          <cell r="S209">
            <v>40461.570251705038</v>
          </cell>
          <cell r="T209">
            <v>41994.086691590368</v>
          </cell>
          <cell r="U209">
            <v>46516.957303686017</v>
          </cell>
          <cell r="V209">
            <v>58215.344434929844</v>
          </cell>
          <cell r="W209">
            <v>68605.060505179383</v>
          </cell>
          <cell r="X209">
            <v>73382.640405420461</v>
          </cell>
          <cell r="Y209">
            <v>83447.442176404293</v>
          </cell>
          <cell r="Z209">
            <v>111414.94615227968</v>
          </cell>
          <cell r="AA209">
            <v>865768.33424783242</v>
          </cell>
        </row>
        <row r="210">
          <cell r="B210" t="str">
            <v>4.1.7  -  Seguros    (transp. Qd 1.3.)</v>
          </cell>
          <cell r="G210">
            <v>910</v>
          </cell>
          <cell r="H210">
            <v>910</v>
          </cell>
          <cell r="I210">
            <v>910</v>
          </cell>
          <cell r="J210">
            <v>910</v>
          </cell>
          <cell r="K210">
            <v>910</v>
          </cell>
          <cell r="L210">
            <v>910</v>
          </cell>
          <cell r="M210">
            <v>910</v>
          </cell>
          <cell r="N210">
            <v>910</v>
          </cell>
          <cell r="O210">
            <v>910</v>
          </cell>
          <cell r="P210">
            <v>910</v>
          </cell>
          <cell r="Q210">
            <v>910</v>
          </cell>
          <cell r="R210">
            <v>910</v>
          </cell>
          <cell r="S210">
            <v>910</v>
          </cell>
          <cell r="T210">
            <v>910</v>
          </cell>
          <cell r="U210">
            <v>910</v>
          </cell>
          <cell r="V210">
            <v>910</v>
          </cell>
          <cell r="W210">
            <v>910</v>
          </cell>
          <cell r="X210">
            <v>910</v>
          </cell>
          <cell r="Y210">
            <v>910</v>
          </cell>
          <cell r="Z210">
            <v>910</v>
          </cell>
          <cell r="AA210">
            <v>18200</v>
          </cell>
        </row>
        <row r="211">
          <cell r="B211" t="str">
            <v xml:space="preserve">4.1.8  -  Garantias  (transp. Qd 1.3.)  </v>
          </cell>
          <cell r="G211">
            <v>2478</v>
          </cell>
          <cell r="H211">
            <v>2328</v>
          </cell>
          <cell r="I211">
            <v>2136</v>
          </cell>
          <cell r="J211">
            <v>1990</v>
          </cell>
          <cell r="K211">
            <v>1928</v>
          </cell>
          <cell r="L211">
            <v>1902</v>
          </cell>
          <cell r="M211">
            <v>1873</v>
          </cell>
          <cell r="N211">
            <v>1843</v>
          </cell>
          <cell r="O211">
            <v>1804</v>
          </cell>
          <cell r="P211">
            <v>1759</v>
          </cell>
          <cell r="Q211">
            <v>1734</v>
          </cell>
          <cell r="R211">
            <v>1683</v>
          </cell>
          <cell r="S211">
            <v>1666</v>
          </cell>
          <cell r="T211">
            <v>1629</v>
          </cell>
          <cell r="U211">
            <v>1600</v>
          </cell>
          <cell r="V211">
            <v>1557</v>
          </cell>
          <cell r="W211">
            <v>1537</v>
          </cell>
          <cell r="X211">
            <v>1521</v>
          </cell>
          <cell r="Y211">
            <v>1497</v>
          </cell>
          <cell r="Z211">
            <v>1467</v>
          </cell>
          <cell r="AA211">
            <v>35932</v>
          </cell>
        </row>
        <row r="212">
          <cell r="B212" t="str">
            <v xml:space="preserve">4.1.9  -  Parc.Variável da Concessão   </v>
          </cell>
          <cell r="G212">
            <v>2230.56</v>
          </cell>
          <cell r="H212">
            <v>2986.41</v>
          </cell>
          <cell r="I212">
            <v>3199.11</v>
          </cell>
          <cell r="J212">
            <v>6629.94</v>
          </cell>
          <cell r="K212">
            <v>6885.0333720000008</v>
          </cell>
          <cell r="L212">
            <v>7044.9250047812529</v>
          </cell>
          <cell r="M212">
            <v>6915.4923524281276</v>
          </cell>
          <cell r="N212">
            <v>7006.221127787614</v>
          </cell>
          <cell r="O212">
            <v>7110.8781818054922</v>
          </cell>
          <cell r="P212">
            <v>7220.3025349362797</v>
          </cell>
          <cell r="Q212">
            <v>7314.6774692558083</v>
          </cell>
          <cell r="R212">
            <v>7420.8891804534815</v>
          </cell>
          <cell r="S212">
            <v>7528.7458318870858</v>
          </cell>
          <cell r="T212">
            <v>7638.1119742837</v>
          </cell>
          <cell r="U212">
            <v>7749.0306718322099</v>
          </cell>
          <cell r="V212">
            <v>7861.4874972671769</v>
          </cell>
          <cell r="W212">
            <v>8069.0840110651907</v>
          </cell>
          <cell r="X212">
            <v>8319.8268332421449</v>
          </cell>
          <cell r="Y212">
            <v>8441.2754382394123</v>
          </cell>
          <cell r="Z212">
            <v>8564.5357013865942</v>
          </cell>
          <cell r="AA212">
            <v>136136.53718265161</v>
          </cell>
        </row>
        <row r="213">
          <cell r="B213" t="str">
            <v xml:space="preserve">4.1.10 - Parcela Fixa da Concessão   </v>
          </cell>
          <cell r="G213">
            <v>19250.400000000001</v>
          </cell>
          <cell r="H213">
            <v>19250.400000000001</v>
          </cell>
          <cell r="I213">
            <v>19250.400000000001</v>
          </cell>
          <cell r="J213">
            <v>19250.400000000001</v>
          </cell>
          <cell r="K213">
            <v>19250.400000000001</v>
          </cell>
          <cell r="L213">
            <v>19250.400000000001</v>
          </cell>
          <cell r="M213">
            <v>13006.712334001502</v>
          </cell>
          <cell r="N213">
            <v>8676.2787694284016</v>
          </cell>
          <cell r="O213">
            <v>8834.294313349501</v>
          </cell>
          <cell r="P213">
            <v>8834.294313349501</v>
          </cell>
          <cell r="Q213">
            <v>17514.382385558252</v>
          </cell>
          <cell r="R213">
            <v>19250.400000000001</v>
          </cell>
          <cell r="S213">
            <v>19250.400000000001</v>
          </cell>
          <cell r="T213">
            <v>19250.400000000001</v>
          </cell>
          <cell r="U213">
            <v>19250.400000000001</v>
          </cell>
          <cell r="V213">
            <v>19250.400000000001</v>
          </cell>
          <cell r="W213">
            <v>19250.400000000001</v>
          </cell>
          <cell r="X213">
            <v>19250.400000000001</v>
          </cell>
          <cell r="Y213">
            <v>19250.400000000001</v>
          </cell>
          <cell r="Z213">
            <v>19258.400000000001</v>
          </cell>
          <cell r="AA213">
            <v>345629.9621156872</v>
          </cell>
        </row>
        <row r="214">
          <cell r="B214" t="str">
            <v>5 -  RESULTADO BRUTO OPERACIONAL     (3 - 4)</v>
          </cell>
          <cell r="G214">
            <v>13936.417820384617</v>
          </cell>
          <cell r="H214">
            <v>16498.157681174634</v>
          </cell>
          <cell r="I214">
            <v>12313.394475294321</v>
          </cell>
          <cell r="J214">
            <v>108944.58782597829</v>
          </cell>
          <cell r="K214">
            <v>112328.59635071905</v>
          </cell>
          <cell r="L214">
            <v>115007.55198013721</v>
          </cell>
          <cell r="M214">
            <v>107041.55684887312</v>
          </cell>
          <cell r="N214">
            <v>111937.82550345043</v>
          </cell>
          <cell r="O214">
            <v>111708.44939696978</v>
          </cell>
          <cell r="P214">
            <v>111472.33502526939</v>
          </cell>
          <cell r="Q214">
            <v>104029.09618636078</v>
          </cell>
          <cell r="R214">
            <v>107178.97808549862</v>
          </cell>
          <cell r="S214">
            <v>110529.31449736966</v>
          </cell>
          <cell r="T214">
            <v>112254.75095106458</v>
          </cell>
          <cell r="U214">
            <v>111027.55598177257</v>
          </cell>
          <cell r="V214">
            <v>102684.1423595885</v>
          </cell>
          <cell r="W214">
            <v>98429.263620690501</v>
          </cell>
          <cell r="X214">
            <v>101051.17983356077</v>
          </cell>
          <cell r="Y214">
            <v>94588.15947974642</v>
          </cell>
          <cell r="Z214">
            <v>70272.790253555548</v>
          </cell>
          <cell r="AA214">
            <v>1833234.104157459</v>
          </cell>
        </row>
        <row r="215">
          <cell r="B215" t="str">
            <v>6 -  RESULTADO FINANCEIRO    (6.1)</v>
          </cell>
          <cell r="G215">
            <v>367</v>
          </cell>
          <cell r="H215">
            <v>482</v>
          </cell>
          <cell r="I215">
            <v>763</v>
          </cell>
          <cell r="J215">
            <v>1066</v>
          </cell>
          <cell r="K215">
            <v>1166</v>
          </cell>
          <cell r="L215">
            <v>1187</v>
          </cell>
          <cell r="M215">
            <v>1210</v>
          </cell>
          <cell r="N215">
            <v>1233</v>
          </cell>
          <cell r="O215">
            <v>1256</v>
          </cell>
          <cell r="P215">
            <v>1280</v>
          </cell>
          <cell r="Q215">
            <v>1301</v>
          </cell>
          <cell r="R215">
            <v>1321</v>
          </cell>
          <cell r="S215">
            <v>1343</v>
          </cell>
          <cell r="T215">
            <v>1364</v>
          </cell>
          <cell r="U215">
            <v>1386</v>
          </cell>
          <cell r="V215">
            <v>1409</v>
          </cell>
          <cell r="W215">
            <v>1432</v>
          </cell>
          <cell r="X215">
            <v>1455</v>
          </cell>
          <cell r="Y215">
            <v>1478</v>
          </cell>
          <cell r="Z215">
            <v>1502.0000000000002</v>
          </cell>
          <cell r="AA215">
            <v>24001</v>
          </cell>
        </row>
        <row r="216">
          <cell r="B216" t="str">
            <v>6.1 - Receitas    (Transp. Qd. 2B)</v>
          </cell>
          <cell r="G216">
            <v>367</v>
          </cell>
          <cell r="H216">
            <v>482</v>
          </cell>
          <cell r="I216">
            <v>763</v>
          </cell>
          <cell r="J216">
            <v>1066</v>
          </cell>
          <cell r="K216">
            <v>1166</v>
          </cell>
          <cell r="L216">
            <v>1187</v>
          </cell>
          <cell r="M216">
            <v>1210</v>
          </cell>
          <cell r="N216">
            <v>1233</v>
          </cell>
          <cell r="O216">
            <v>1256</v>
          </cell>
          <cell r="P216">
            <v>1280</v>
          </cell>
          <cell r="Q216">
            <v>1301</v>
          </cell>
          <cell r="R216">
            <v>1321</v>
          </cell>
          <cell r="S216">
            <v>1343</v>
          </cell>
          <cell r="T216">
            <v>1364</v>
          </cell>
          <cell r="U216">
            <v>1386</v>
          </cell>
          <cell r="V216">
            <v>1409</v>
          </cell>
          <cell r="W216">
            <v>1432</v>
          </cell>
          <cell r="X216">
            <v>1455</v>
          </cell>
          <cell r="Y216">
            <v>1478</v>
          </cell>
          <cell r="Z216">
            <v>1502.0000000000002</v>
          </cell>
          <cell r="AA216">
            <v>24001</v>
          </cell>
        </row>
        <row r="217">
          <cell r="B217" t="str">
            <v>7 -  RESULTADO OPERACIONAL    (5 + 6)</v>
          </cell>
          <cell r="G217">
            <v>14303.417820384617</v>
          </cell>
          <cell r="H217">
            <v>16980.157681174634</v>
          </cell>
          <cell r="I217">
            <v>13076.394475294321</v>
          </cell>
          <cell r="J217">
            <v>110010.58782597829</v>
          </cell>
          <cell r="K217">
            <v>113494.59635071905</v>
          </cell>
          <cell r="L217">
            <v>116194.55198013721</v>
          </cell>
          <cell r="M217">
            <v>108251.55684887312</v>
          </cell>
          <cell r="N217">
            <v>113170.82550345043</v>
          </cell>
          <cell r="O217">
            <v>112964.44939696978</v>
          </cell>
          <cell r="P217">
            <v>112752.33502526939</v>
          </cell>
          <cell r="Q217">
            <v>105330.09618636078</v>
          </cell>
          <cell r="R217">
            <v>108499.97808549862</v>
          </cell>
          <cell r="S217">
            <v>111872.31449736966</v>
          </cell>
          <cell r="T217">
            <v>113618.75095106458</v>
          </cell>
          <cell r="U217">
            <v>112413.55598177257</v>
          </cell>
          <cell r="V217">
            <v>104093.1423595885</v>
          </cell>
          <cell r="W217">
            <v>99861.263620690501</v>
          </cell>
          <cell r="X217">
            <v>102506.17983356077</v>
          </cell>
          <cell r="Y217">
            <v>96066.15947974642</v>
          </cell>
          <cell r="Z217">
            <v>71774.790253555548</v>
          </cell>
          <cell r="AA217">
            <v>1857235.104157459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14303.417820384617</v>
          </cell>
          <cell r="H219">
            <v>16980.157681174634</v>
          </cell>
          <cell r="I219">
            <v>13076.394475294321</v>
          </cell>
          <cell r="J219">
            <v>110010.58782597829</v>
          </cell>
          <cell r="K219">
            <v>113494.59635071905</v>
          </cell>
          <cell r="L219">
            <v>116194.55198013721</v>
          </cell>
          <cell r="M219">
            <v>108251.55684887312</v>
          </cell>
          <cell r="N219">
            <v>113170.82550345043</v>
          </cell>
          <cell r="O219">
            <v>112964.44939696978</v>
          </cell>
          <cell r="P219">
            <v>112752.33502526939</v>
          </cell>
          <cell r="Q219">
            <v>105330.09618636078</v>
          </cell>
          <cell r="R219">
            <v>108499.97808549862</v>
          </cell>
          <cell r="S219">
            <v>111872.31449736966</v>
          </cell>
          <cell r="T219">
            <v>113618.75095106458</v>
          </cell>
          <cell r="U219">
            <v>112413.55598177257</v>
          </cell>
          <cell r="V219">
            <v>104093.1423595885</v>
          </cell>
          <cell r="W219">
            <v>99861.263620690501</v>
          </cell>
          <cell r="X219">
            <v>102506.17983356077</v>
          </cell>
          <cell r="Y219">
            <v>96066.15947974642</v>
          </cell>
          <cell r="Z219">
            <v>71774.790253555548</v>
          </cell>
          <cell r="AA219">
            <v>1857235.104157459</v>
          </cell>
        </row>
        <row r="220">
          <cell r="B220" t="str">
            <v>10- CONTRIBUIÇÃO SOCIAL (Legislação vigente)</v>
          </cell>
          <cell r="G220">
            <v>1145.0414256307693</v>
          </cell>
          <cell r="H220">
            <v>1358.4126144939717</v>
          </cell>
          <cell r="I220">
            <v>1046.1115580235455</v>
          </cell>
          <cell r="J220">
            <v>8800.8470260782669</v>
          </cell>
          <cell r="K220">
            <v>9079.5677080575279</v>
          </cell>
          <cell r="L220">
            <v>9295.5641584109708</v>
          </cell>
          <cell r="M220">
            <v>8660.1245479098488</v>
          </cell>
          <cell r="N220">
            <v>9053.6660402760353</v>
          </cell>
          <cell r="O220">
            <v>9037.1559517575788</v>
          </cell>
          <cell r="P220">
            <v>9020.1868020215516</v>
          </cell>
          <cell r="Q220">
            <v>8426.4076949088612</v>
          </cell>
          <cell r="R220">
            <v>8679.9982468398866</v>
          </cell>
          <cell r="S220">
            <v>8949.7851597895751</v>
          </cell>
          <cell r="T220">
            <v>9089.500076085169</v>
          </cell>
          <cell r="U220">
            <v>8993.084478541803</v>
          </cell>
          <cell r="V220">
            <v>8327.4513887670819</v>
          </cell>
          <cell r="W220">
            <v>7988.9010896552427</v>
          </cell>
          <cell r="X220">
            <v>8200.4943866848607</v>
          </cell>
          <cell r="Y220">
            <v>7685.29275837971</v>
          </cell>
          <cell r="Z220">
            <v>5741.9832202844409</v>
          </cell>
          <cell r="AA220">
            <v>148579.57633259665</v>
          </cell>
        </row>
        <row r="221">
          <cell r="B221" t="str">
            <v>11- RESULTADO ANTES IMPOSTO DE RENDA    (9 - 10)</v>
          </cell>
          <cell r="G221">
            <v>13158.376394753848</v>
          </cell>
          <cell r="H221">
            <v>15621.745066680664</v>
          </cell>
          <cell r="I221">
            <v>12030.282917270775</v>
          </cell>
          <cell r="J221">
            <v>101209.74079990003</v>
          </cell>
          <cell r="K221">
            <v>104415.02864266152</v>
          </cell>
          <cell r="L221">
            <v>106898.98782172624</v>
          </cell>
          <cell r="M221">
            <v>99591.432300963279</v>
          </cell>
          <cell r="N221">
            <v>104117.15946317439</v>
          </cell>
          <cell r="O221">
            <v>103927.2934452122</v>
          </cell>
          <cell r="P221">
            <v>103732.14822324784</v>
          </cell>
          <cell r="Q221">
            <v>96903.688491451918</v>
          </cell>
          <cell r="R221">
            <v>99819.979838658735</v>
          </cell>
          <cell r="S221">
            <v>102922.52933758008</v>
          </cell>
          <cell r="T221">
            <v>104529.25087497941</v>
          </cell>
          <cell r="U221">
            <v>103420.47150323077</v>
          </cell>
          <cell r="V221">
            <v>95765.690970821423</v>
          </cell>
          <cell r="W221">
            <v>91872.362531035265</v>
          </cell>
          <cell r="X221">
            <v>94305.685446875912</v>
          </cell>
          <cell r="Y221">
            <v>88380.866721366707</v>
          </cell>
          <cell r="Z221">
            <v>66032.807033271107</v>
          </cell>
          <cell r="AA221">
            <v>1708655.5278248624</v>
          </cell>
        </row>
        <row r="222">
          <cell r="B222" t="str">
            <v>12- IMPOSTO DE RENDA (Legislação vigente)</v>
          </cell>
          <cell r="G222">
            <v>3554.2544550961538</v>
          </cell>
          <cell r="H222">
            <v>4221.0394202936623</v>
          </cell>
          <cell r="I222">
            <v>3245.0986188235784</v>
          </cell>
          <cell r="J222">
            <v>27478.646956494576</v>
          </cell>
          <cell r="K222">
            <v>28349.649087679762</v>
          </cell>
          <cell r="L222">
            <v>29024.637995034296</v>
          </cell>
          <cell r="M222">
            <v>27038.889212218266</v>
          </cell>
          <cell r="N222">
            <v>28268.70637586261</v>
          </cell>
          <cell r="O222">
            <v>28217.11234924243</v>
          </cell>
          <cell r="P222">
            <v>28164.083756317348</v>
          </cell>
          <cell r="Q222">
            <v>26308.524046590195</v>
          </cell>
          <cell r="R222">
            <v>27100.994521374651</v>
          </cell>
          <cell r="S222">
            <v>27944.078624342415</v>
          </cell>
          <cell r="T222">
            <v>28380.687737766144</v>
          </cell>
          <cell r="U222">
            <v>28079.388995443136</v>
          </cell>
          <cell r="V222">
            <v>25999.285589897114</v>
          </cell>
          <cell r="W222">
            <v>24941.315905172632</v>
          </cell>
          <cell r="X222">
            <v>25602.544958390183</v>
          </cell>
          <cell r="Y222">
            <v>23992.539869936598</v>
          </cell>
          <cell r="Z222">
            <v>17919.697563388876</v>
          </cell>
          <cell r="AA222">
            <v>463831.1760393646</v>
          </cell>
        </row>
        <row r="223">
          <cell r="B223" t="str">
            <v>13- RESULTADO DE EXERCÍCIO    (11 - 12)</v>
          </cell>
          <cell r="G223">
            <v>9604.1219396576944</v>
          </cell>
          <cell r="H223">
            <v>11400.705646387001</v>
          </cell>
          <cell r="I223">
            <v>8785.1842984471969</v>
          </cell>
          <cell r="J223">
            <v>73731.093843405455</v>
          </cell>
          <cell r="K223">
            <v>76065.379554981759</v>
          </cell>
          <cell r="L223">
            <v>77874.349826691949</v>
          </cell>
          <cell r="M223">
            <v>72552.543088745006</v>
          </cell>
          <cell r="N223">
            <v>75848.453087311791</v>
          </cell>
          <cell r="O223">
            <v>75710.181095969776</v>
          </cell>
          <cell r="P223">
            <v>75568.064466930489</v>
          </cell>
          <cell r="Q223">
            <v>70595.16444486173</v>
          </cell>
          <cell r="R223">
            <v>72718.985317284081</v>
          </cell>
          <cell r="S223">
            <v>74978.45071323766</v>
          </cell>
          <cell r="T223">
            <v>76148.563137213263</v>
          </cell>
          <cell r="U223">
            <v>75341.082507787636</v>
          </cell>
          <cell r="V223">
            <v>69766.405380924305</v>
          </cell>
          <cell r="W223">
            <v>66931.046625862626</v>
          </cell>
          <cell r="X223">
            <v>68703.140488485733</v>
          </cell>
          <cell r="Y223">
            <v>64388.326851430109</v>
          </cell>
          <cell r="Z223">
            <v>48113.109469882227</v>
          </cell>
          <cell r="AA223">
            <v>1244824.3517854977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281870.43451357714</v>
          </cell>
          <cell r="H229">
            <v>286574.27087079739</v>
          </cell>
          <cell r="I229">
            <v>291357.04521706002</v>
          </cell>
          <cell r="J229">
            <v>296220.09080758004</v>
          </cell>
          <cell r="K229">
            <v>301164.76358093088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1457186.6049899457</v>
          </cell>
        </row>
        <row r="230">
          <cell r="B230" t="str">
            <v>1.1 - Operacionais    (1.1.1 + 1.1.2)</v>
          </cell>
          <cell r="G230">
            <v>281870.43451357714</v>
          </cell>
          <cell r="H230">
            <v>286574.27087079739</v>
          </cell>
          <cell r="I230">
            <v>291357.04521706002</v>
          </cell>
          <cell r="J230">
            <v>296220.09080758004</v>
          </cell>
          <cell r="K230">
            <v>301164.76358093088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1457186.6049899457</v>
          </cell>
        </row>
        <row r="231">
          <cell r="B231" t="str">
            <v>1.1.1 - Receitas de  Pedágios    (Transp. Qd.2.1.1.2)</v>
          </cell>
          <cell r="G231">
            <v>274390.77790658275</v>
          </cell>
          <cell r="H231">
            <v>278969.79421749973</v>
          </cell>
          <cell r="I231">
            <v>283625.65383501293</v>
          </cell>
          <cell r="J231">
            <v>288359.6546353476</v>
          </cell>
          <cell r="K231">
            <v>293173.11657616671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1418518.9971706099</v>
          </cell>
        </row>
        <row r="232">
          <cell r="B232" t="str">
            <v>1.1.2 - Outras Receitas Operacionais    (calculado 2.1.2.)</v>
          </cell>
          <cell r="G232">
            <v>7479.656606994391</v>
          </cell>
          <cell r="H232">
            <v>7604.4766532976446</v>
          </cell>
          <cell r="I232">
            <v>7731.391382047118</v>
          </cell>
          <cell r="J232">
            <v>7860.436172232432</v>
          </cell>
          <cell r="K232">
            <v>7991.6470047642051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38667.60781933579</v>
          </cell>
        </row>
        <row r="233">
          <cell r="B233" t="str">
            <v>2 -  DEDUÇÕES DA RECEITA    (2.1)</v>
          </cell>
          <cell r="G233">
            <v>25452.900236576013</v>
          </cell>
          <cell r="H233">
            <v>25877.656659633005</v>
          </cell>
          <cell r="I233">
            <v>26309.541183100519</v>
          </cell>
          <cell r="J233">
            <v>26748.67419992448</v>
          </cell>
          <cell r="K233">
            <v>27195.178151358057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131583.95043059206</v>
          </cell>
        </row>
        <row r="234">
          <cell r="B234" t="str">
            <v>2.1 - Tributos sobre Faturamento    (2.1.1+ .... + 2.1.4)</v>
          </cell>
          <cell r="G234">
            <v>25452.900236576013</v>
          </cell>
          <cell r="H234">
            <v>25877.656659633005</v>
          </cell>
          <cell r="I234">
            <v>26309.541183100519</v>
          </cell>
          <cell r="J234">
            <v>26748.67419992448</v>
          </cell>
          <cell r="K234">
            <v>27195.178151358057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131583.95043059206</v>
          </cell>
        </row>
        <row r="235">
          <cell r="B235" t="str">
            <v>2.1.1 - I.S.S    (transp. Qd  1.3.)</v>
          </cell>
          <cell r="G235">
            <v>14093.521725678858</v>
          </cell>
          <cell r="H235">
            <v>14328.71354353987</v>
          </cell>
          <cell r="I235">
            <v>14567.852260853002</v>
          </cell>
          <cell r="J235">
            <v>14811.004540379003</v>
          </cell>
          <cell r="K235">
            <v>15058.238179046544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72859.330249497274</v>
          </cell>
        </row>
        <row r="236">
          <cell r="B236" t="str">
            <v>2.1.2 - Cofins    (transp. Qd 1.3.)</v>
          </cell>
          <cell r="G236">
            <v>8456.1130354073139</v>
          </cell>
          <cell r="H236">
            <v>8597.2281261239223</v>
          </cell>
          <cell r="I236">
            <v>8740.7113565117997</v>
          </cell>
          <cell r="J236">
            <v>8886.6027242274013</v>
          </cell>
          <cell r="K236">
            <v>9034.9429074279269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43715.598149698359</v>
          </cell>
        </row>
        <row r="237">
          <cell r="B237" t="str">
            <v>2.1.3 - Pis / Pasep    (transp. Qd 1.3.)</v>
          </cell>
          <cell r="G237">
            <v>1832.1578243382514</v>
          </cell>
          <cell r="H237">
            <v>1862.732760660183</v>
          </cell>
          <cell r="I237">
            <v>1893.82079391089</v>
          </cell>
          <cell r="J237">
            <v>1925.4305902492702</v>
          </cell>
          <cell r="K237">
            <v>1957.5709632760506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9471.7129324346442</v>
          </cell>
        </row>
        <row r="238">
          <cell r="B238" t="str">
            <v>2.1.4 - CPMF    (transp Qd 1.3.)</v>
          </cell>
          <cell r="G238">
            <v>1071.1076511515932</v>
          </cell>
          <cell r="H238">
            <v>1088.9822293090301</v>
          </cell>
          <cell r="I238">
            <v>1107.156771824828</v>
          </cell>
          <cell r="J238">
            <v>1125.6363450688041</v>
          </cell>
          <cell r="K238">
            <v>1144.4261016075372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5537.3090989617922</v>
          </cell>
        </row>
        <row r="239">
          <cell r="B239" t="str">
            <v>3 -  RECEITA LIQUIDA    (1 - 2)</v>
          </cell>
          <cell r="G239">
            <v>256417.53427700113</v>
          </cell>
          <cell r="H239">
            <v>260696.61421116439</v>
          </cell>
          <cell r="I239">
            <v>265047.50403395947</v>
          </cell>
          <cell r="J239">
            <v>269471.41660765558</v>
          </cell>
          <cell r="K239">
            <v>273969.58542957285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1325602.6545593536</v>
          </cell>
        </row>
        <row r="240">
          <cell r="B240" t="str">
            <v>4 -  DESPESAS    (4.1)</v>
          </cell>
          <cell r="G240">
            <v>59182.074165761383</v>
          </cell>
          <cell r="H240">
            <v>59324.600407385165</v>
          </cell>
          <cell r="I240">
            <v>59469.518470076917</v>
          </cell>
          <cell r="J240">
            <v>59616.868751469672</v>
          </cell>
          <cell r="K240">
            <v>59766.692336502201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297359.75413119537</v>
          </cell>
        </row>
        <row r="241">
          <cell r="B241" t="str">
            <v>4.1 - Operacionais    (4.1.1+ .... + 4.1.10)</v>
          </cell>
          <cell r="G241">
            <v>59182.074165761383</v>
          </cell>
          <cell r="H241">
            <v>59324.600407385165</v>
          </cell>
          <cell r="I241">
            <v>59469.518470076917</v>
          </cell>
          <cell r="J241">
            <v>59616.868751469672</v>
          </cell>
          <cell r="K241">
            <v>59766.692336502201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297359.75413119537</v>
          </cell>
        </row>
        <row r="242">
          <cell r="B242" t="str">
            <v>4.1.1  -  Pessoal e Administradores    (Transp. Qd. 1.3.)</v>
          </cell>
          <cell r="G242">
            <v>34047</v>
          </cell>
          <cell r="H242">
            <v>34047</v>
          </cell>
          <cell r="I242">
            <v>34047</v>
          </cell>
          <cell r="J242">
            <v>34047</v>
          </cell>
          <cell r="K242">
            <v>34047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170235</v>
          </cell>
        </row>
        <row r="243">
          <cell r="B243" t="str">
            <v>4.1.2  -  Conservação de Rotina    (Transp. Qd. 1.3.)</v>
          </cell>
          <cell r="G243">
            <v>6997</v>
          </cell>
          <cell r="H243">
            <v>6997</v>
          </cell>
          <cell r="I243">
            <v>6997</v>
          </cell>
          <cell r="J243">
            <v>6997</v>
          </cell>
          <cell r="K243">
            <v>6997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34985</v>
          </cell>
        </row>
        <row r="244">
          <cell r="B244" t="str">
            <v>4.1.3  -  Consumo    (Transp. Qd. 1.3.)</v>
          </cell>
          <cell r="G244">
            <v>1135</v>
          </cell>
          <cell r="H244">
            <v>1135</v>
          </cell>
          <cell r="I244">
            <v>1135</v>
          </cell>
          <cell r="J244">
            <v>1135</v>
          </cell>
          <cell r="K244">
            <v>1135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5675</v>
          </cell>
        </row>
        <row r="245">
          <cell r="B245" t="str">
            <v>4.1.4  -  Transportes    (Transp. Qd. 1.3.)</v>
          </cell>
          <cell r="G245">
            <v>5306</v>
          </cell>
          <cell r="H245">
            <v>5306</v>
          </cell>
          <cell r="I245">
            <v>5306</v>
          </cell>
          <cell r="J245">
            <v>5306</v>
          </cell>
          <cell r="K245">
            <v>5306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26530</v>
          </cell>
        </row>
        <row r="246">
          <cell r="B246" t="str">
            <v>4.1.5  -  Diversas    (Transp. Qd. 1.3.)</v>
          </cell>
          <cell r="G246">
            <v>1745</v>
          </cell>
          <cell r="H246">
            <v>1745</v>
          </cell>
          <cell r="I246">
            <v>1745</v>
          </cell>
          <cell r="J246">
            <v>1745</v>
          </cell>
          <cell r="K246">
            <v>1745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8725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910</v>
          </cell>
          <cell r="H248">
            <v>910</v>
          </cell>
          <cell r="I248">
            <v>910</v>
          </cell>
          <cell r="J248">
            <v>910</v>
          </cell>
          <cell r="K248">
            <v>910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4550</v>
          </cell>
        </row>
        <row r="249">
          <cell r="B249" t="str">
            <v xml:space="preserve">4.1.8  -  Garantias  (transp. Qd 1.3.)  </v>
          </cell>
          <cell r="G249">
            <v>585.96113035407313</v>
          </cell>
          <cell r="H249">
            <v>587.37228126123932</v>
          </cell>
          <cell r="I249">
            <v>588.80711356511802</v>
          </cell>
          <cell r="J249">
            <v>590.26602724227405</v>
          </cell>
          <cell r="K249">
            <v>591.74942907427931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2944.1559814969837</v>
          </cell>
        </row>
        <row r="250">
          <cell r="B250" t="str">
            <v xml:space="preserve">4.1.9  -  Parc.Variável da Concessão   </v>
          </cell>
          <cell r="G250">
            <v>8456.1130354073139</v>
          </cell>
          <cell r="H250">
            <v>8597.2281261239223</v>
          </cell>
          <cell r="I250">
            <v>8740.7113565117997</v>
          </cell>
          <cell r="J250">
            <v>8886.6027242274013</v>
          </cell>
          <cell r="K250">
            <v>9034.9429074279269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43715.598149698359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197235.46011123975</v>
          </cell>
          <cell r="H252">
            <v>201372.01380377921</v>
          </cell>
          <cell r="I252">
            <v>205577.98556388257</v>
          </cell>
          <cell r="J252">
            <v>209854.54785618591</v>
          </cell>
          <cell r="K252">
            <v>214202.89309307066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1028242.9004281582</v>
          </cell>
        </row>
        <row r="253">
          <cell r="B253" t="str">
            <v>6 -  RESULTADO FINANCEIRO    (6.1)</v>
          </cell>
          <cell r="G253">
            <v>1371.8945199298544</v>
          </cell>
          <cell r="H253">
            <v>1394.7886107281797</v>
          </cell>
          <cell r="I253">
            <v>1418.0669014329922</v>
          </cell>
          <cell r="J253">
            <v>1441.7358811445981</v>
          </cell>
          <cell r="K253">
            <v>1465.8021493657147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7092.2880626013393</v>
          </cell>
        </row>
        <row r="254">
          <cell r="B254" t="str">
            <v>6.1 - Receitas    (Transp. Qd. 2B)</v>
          </cell>
          <cell r="G254">
            <v>1371.8945199298544</v>
          </cell>
          <cell r="H254">
            <v>1394.7886107281797</v>
          </cell>
          <cell r="I254">
            <v>1418.0669014329922</v>
          </cell>
          <cell r="J254">
            <v>1441.7358811445981</v>
          </cell>
          <cell r="K254">
            <v>1465.8021493657147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7092.2880626013393</v>
          </cell>
        </row>
        <row r="255">
          <cell r="B255" t="str">
            <v>7 -  RESULTADO OPERACIONAL    (5 + 6)</v>
          </cell>
          <cell r="G255">
            <v>198607.35463116961</v>
          </cell>
          <cell r="H255">
            <v>202766.80241450737</v>
          </cell>
          <cell r="I255">
            <v>206996.05246531556</v>
          </cell>
          <cell r="J255">
            <v>211296.28373733049</v>
          </cell>
          <cell r="K255">
            <v>215668.69524243637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1035335.1884907596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198607.35463116961</v>
          </cell>
          <cell r="H257">
            <v>202766.80241450737</v>
          </cell>
          <cell r="I257">
            <v>206996.05246531556</v>
          </cell>
          <cell r="J257">
            <v>211296.28373733049</v>
          </cell>
          <cell r="K257">
            <v>215668.69524243637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1035335.1884907596</v>
          </cell>
        </row>
        <row r="258">
          <cell r="B258" t="str">
            <v>10- CONTRIBUIÇÃO SOCIAL (Legislação vigente)</v>
          </cell>
          <cell r="G258">
            <v>15888.58837049357</v>
          </cell>
          <cell r="H258">
            <v>16221.34419316059</v>
          </cell>
          <cell r="I258">
            <v>16559.684197225244</v>
          </cell>
          <cell r="J258">
            <v>16903.702698986439</v>
          </cell>
          <cell r="K258">
            <v>17253.495619394911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82826.815079260763</v>
          </cell>
        </row>
        <row r="259">
          <cell r="B259" t="str">
            <v>11- RESULTADO ANTES IMPOSTO DE RENDA    (9 - 10)</v>
          </cell>
          <cell r="G259">
            <v>182718.76626067603</v>
          </cell>
          <cell r="H259">
            <v>186545.45822134678</v>
          </cell>
          <cell r="I259">
            <v>190436.3682680903</v>
          </cell>
          <cell r="J259">
            <v>194392.58103834407</v>
          </cell>
          <cell r="K259">
            <v>198415.19962304147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952508.37341149885</v>
          </cell>
        </row>
        <row r="260">
          <cell r="B260" t="str">
            <v>12- IMPOSTO DE RENDA (Legislação vigente)</v>
          </cell>
          <cell r="G260">
            <v>49627.838657792403</v>
          </cell>
          <cell r="H260">
            <v>50667.700603626843</v>
          </cell>
          <cell r="I260">
            <v>51725.01311632889</v>
          </cell>
          <cell r="J260">
            <v>52800.070934332623</v>
          </cell>
          <cell r="K260">
            <v>53893.173810609092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258713.79712268984</v>
          </cell>
        </row>
        <row r="261">
          <cell r="B261" t="str">
            <v>13- RESULTADO DE EXERCÍCIO    (11 - 12)</v>
          </cell>
          <cell r="G261">
            <v>133090.92760288363</v>
          </cell>
          <cell r="H261">
            <v>135877.75761771994</v>
          </cell>
          <cell r="I261">
            <v>138711.35515176141</v>
          </cell>
          <cell r="J261">
            <v>141592.51010401145</v>
          </cell>
          <cell r="K261">
            <v>144522.02581243237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693794.57628880907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74719</v>
          </cell>
          <cell r="H267">
            <v>100029</v>
          </cell>
          <cell r="I267">
            <v>107400</v>
          </cell>
          <cell r="J267">
            <v>222064</v>
          </cell>
          <cell r="K267">
            <v>230667.11239999998</v>
          </cell>
          <cell r="L267">
            <v>236017.83349270842</v>
          </cell>
          <cell r="M267">
            <v>231726.41174760429</v>
          </cell>
          <cell r="N267">
            <v>234773.70425958713</v>
          </cell>
          <cell r="O267">
            <v>238285.27272684977</v>
          </cell>
          <cell r="P267">
            <v>241956.75116454266</v>
          </cell>
          <cell r="Q267">
            <v>245123.58230852691</v>
          </cell>
          <cell r="R267">
            <v>248683.97268178276</v>
          </cell>
          <cell r="S267">
            <v>252301.19439623621</v>
          </cell>
          <cell r="T267">
            <v>255967.73247612332</v>
          </cell>
          <cell r="U267">
            <v>259687.02239440699</v>
          </cell>
          <cell r="V267">
            <v>263458.5832422392</v>
          </cell>
          <cell r="W267">
            <v>270401.46703550639</v>
          </cell>
          <cell r="X267">
            <v>278782.56110807159</v>
          </cell>
          <cell r="Y267">
            <v>282853.84794131375</v>
          </cell>
          <cell r="Z267">
            <v>286986.52337955317</v>
          </cell>
          <cell r="AA267">
            <v>4561885.5727550527</v>
          </cell>
        </row>
        <row r="268">
          <cell r="B268" t="str">
            <v>1.1.  RECEITAS     (1.1.1.+ ... + 1.1.4)</v>
          </cell>
          <cell r="G268">
            <v>74719</v>
          </cell>
          <cell r="H268">
            <v>100029</v>
          </cell>
          <cell r="I268">
            <v>107400</v>
          </cell>
          <cell r="J268">
            <v>222064</v>
          </cell>
          <cell r="K268">
            <v>230667.11239999998</v>
          </cell>
          <cell r="L268">
            <v>236017.83349270842</v>
          </cell>
          <cell r="M268">
            <v>231726.41174760429</v>
          </cell>
          <cell r="N268">
            <v>234773.70425958713</v>
          </cell>
          <cell r="O268">
            <v>238285.27272684977</v>
          </cell>
          <cell r="P268">
            <v>241956.75116454266</v>
          </cell>
          <cell r="Q268">
            <v>245123.58230852691</v>
          </cell>
          <cell r="R268">
            <v>248683.97268178276</v>
          </cell>
          <cell r="S268">
            <v>252301.19439623621</v>
          </cell>
          <cell r="T268">
            <v>255967.73247612332</v>
          </cell>
          <cell r="U268">
            <v>259687.02239440699</v>
          </cell>
          <cell r="V268">
            <v>263458.5832422392</v>
          </cell>
          <cell r="W268">
            <v>270401.46703550639</v>
          </cell>
          <cell r="X268">
            <v>278782.56110807159</v>
          </cell>
          <cell r="Y268">
            <v>282853.84794131375</v>
          </cell>
          <cell r="Z268">
            <v>286986.52337955317</v>
          </cell>
          <cell r="AA268">
            <v>4561885.5727550527</v>
          </cell>
        </row>
        <row r="269">
          <cell r="B269" t="str">
            <v>1.1.1   Receitas de Pedágio</v>
          </cell>
          <cell r="G269">
            <v>73430</v>
          </cell>
          <cell r="H269">
            <v>96402</v>
          </cell>
          <cell r="I269">
            <v>98799</v>
          </cell>
          <cell r="J269">
            <v>213157</v>
          </cell>
          <cell r="K269">
            <v>221357.11239999998</v>
          </cell>
          <cell r="L269">
            <v>226683.83349270842</v>
          </cell>
          <cell r="M269">
            <v>222366.41174760429</v>
          </cell>
          <cell r="N269">
            <v>225387.70425958713</v>
          </cell>
          <cell r="O269">
            <v>228873.27272684977</v>
          </cell>
          <cell r="P269">
            <v>232517.75116454266</v>
          </cell>
          <cell r="Q269">
            <v>235660.58230852691</v>
          </cell>
          <cell r="R269">
            <v>239197.97268178276</v>
          </cell>
          <cell r="S269">
            <v>242790.19439623621</v>
          </cell>
          <cell r="T269">
            <v>246432.73247612332</v>
          </cell>
          <cell r="U269">
            <v>250127.02239440699</v>
          </cell>
          <cell r="V269">
            <v>253872.58324223923</v>
          </cell>
          <cell r="W269">
            <v>260789.46703550639</v>
          </cell>
          <cell r="X269">
            <v>269144.56110807159</v>
          </cell>
          <cell r="Y269">
            <v>273189.84794131375</v>
          </cell>
          <cell r="Z269">
            <v>277295.52337955317</v>
          </cell>
          <cell r="AA269">
            <v>4387474.5727550527</v>
          </cell>
        </row>
        <row r="270">
          <cell r="B270" t="str">
            <v>1.1.2   Outras Receitas Operacionais</v>
          </cell>
          <cell r="G270">
            <v>922</v>
          </cell>
          <cell r="H270">
            <v>3145</v>
          </cell>
          <cell r="I270">
            <v>7838</v>
          </cell>
          <cell r="J270">
            <v>7841</v>
          </cell>
          <cell r="K270">
            <v>8144</v>
          </cell>
          <cell r="L270">
            <v>8147.0000000000009</v>
          </cell>
          <cell r="M270">
            <v>8150</v>
          </cell>
          <cell r="N270">
            <v>8153</v>
          </cell>
          <cell r="O270">
            <v>8156</v>
          </cell>
          <cell r="P270">
            <v>8159</v>
          </cell>
          <cell r="Q270">
            <v>8162</v>
          </cell>
          <cell r="R270">
            <v>8165</v>
          </cell>
          <cell r="S270">
            <v>8168</v>
          </cell>
          <cell r="T270">
            <v>8170.9999999999991</v>
          </cell>
          <cell r="U270">
            <v>8174</v>
          </cell>
          <cell r="V270">
            <v>8177</v>
          </cell>
          <cell r="W270">
            <v>8180</v>
          </cell>
          <cell r="X270">
            <v>8183</v>
          </cell>
          <cell r="Y270">
            <v>8186.0000000000009</v>
          </cell>
          <cell r="Z270">
            <v>8189</v>
          </cell>
          <cell r="AA270">
            <v>150410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367</v>
          </cell>
          <cell r="H272">
            <v>482</v>
          </cell>
          <cell r="I272">
            <v>763</v>
          </cell>
          <cell r="J272">
            <v>1066</v>
          </cell>
          <cell r="K272">
            <v>1166</v>
          </cell>
          <cell r="L272">
            <v>1187</v>
          </cell>
          <cell r="M272">
            <v>1210</v>
          </cell>
          <cell r="N272">
            <v>1233</v>
          </cell>
          <cell r="O272">
            <v>1256</v>
          </cell>
          <cell r="P272">
            <v>1280</v>
          </cell>
          <cell r="Q272">
            <v>1301</v>
          </cell>
          <cell r="R272">
            <v>1321</v>
          </cell>
          <cell r="S272">
            <v>1343</v>
          </cell>
          <cell r="T272">
            <v>1364</v>
          </cell>
          <cell r="U272">
            <v>1386</v>
          </cell>
          <cell r="V272">
            <v>1409</v>
          </cell>
          <cell r="W272">
            <v>1432</v>
          </cell>
          <cell r="X272">
            <v>1455</v>
          </cell>
          <cell r="Y272">
            <v>1478</v>
          </cell>
          <cell r="Z272">
            <v>1502.0000000000002</v>
          </cell>
          <cell r="AA272">
            <v>24001</v>
          </cell>
        </row>
        <row r="273">
          <cell r="B273" t="str">
            <v>2.  DESEMBOLSOS     (2.1.+ ... + 2.4)</v>
          </cell>
          <cell r="G273">
            <v>148826.92388072691</v>
          </cell>
          <cell r="H273">
            <v>220374.23753478762</v>
          </cell>
          <cell r="I273">
            <v>229030.86067684711</v>
          </cell>
          <cell r="J273">
            <v>231783.11098257283</v>
          </cell>
          <cell r="K273">
            <v>149960.5918943373</v>
          </cell>
          <cell r="L273">
            <v>152611.87394570222</v>
          </cell>
          <cell r="M273">
            <v>141811.6823764795</v>
          </cell>
          <cell r="N273">
            <v>144688.10323180893</v>
          </cell>
          <cell r="O273">
            <v>191144.8028870275</v>
          </cell>
          <cell r="P273">
            <v>168771.24638235764</v>
          </cell>
          <cell r="Q273">
            <v>132985.26496600069</v>
          </cell>
          <cell r="R273">
            <v>132014.80908564222</v>
          </cell>
          <cell r="S273">
            <v>153006.16343129351</v>
          </cell>
          <cell r="T273">
            <v>142137.14264731968</v>
          </cell>
          <cell r="U273">
            <v>181275.39258293336</v>
          </cell>
          <cell r="V273">
            <v>198314.99342638504</v>
          </cell>
          <cell r="W273">
            <v>157208.37990446435</v>
          </cell>
          <cell r="X273">
            <v>142137.98021416541</v>
          </cell>
          <cell r="Y273">
            <v>155864.99891347936</v>
          </cell>
          <cell r="Z273">
            <v>143105.24775739125</v>
          </cell>
          <cell r="AA273">
            <v>3317053.8067217227</v>
          </cell>
        </row>
        <row r="274">
          <cell r="B274" t="str">
            <v>2.1.  OPERACIONAIS     (2.1.1.+ ... + 2.1.8)</v>
          </cell>
          <cell r="G274">
            <v>36270.368000000002</v>
          </cell>
          <cell r="H274">
            <v>51409.9355</v>
          </cell>
          <cell r="I274">
            <v>54750.620499999997</v>
          </cell>
          <cell r="J274">
            <v>61839.406999999999</v>
          </cell>
          <cell r="K274">
            <v>62209.801726600002</v>
          </cell>
          <cell r="L274">
            <v>62575.396787475693</v>
          </cell>
          <cell r="M274">
            <v>70673.083929921762</v>
          </cell>
          <cell r="N274">
            <v>71328.150918454281</v>
          </cell>
          <cell r="O274">
            <v>72121.792090872506</v>
          </cell>
          <cell r="P274">
            <v>72392.178975732939</v>
          </cell>
          <cell r="Q274">
            <v>72639.173369687574</v>
          </cell>
          <cell r="R274">
            <v>72894.297136974201</v>
          </cell>
          <cell r="S274">
            <v>73188.163815274427</v>
          </cell>
          <cell r="T274">
            <v>73466.382859184669</v>
          </cell>
          <cell r="U274">
            <v>73757.078437116201</v>
          </cell>
          <cell r="V274">
            <v>74038.2089504537</v>
          </cell>
          <cell r="W274">
            <v>74615.658898571302</v>
          </cell>
          <cell r="X274">
            <v>75323.514035848202</v>
          </cell>
          <cell r="Y274">
            <v>75648.570846923642</v>
          </cell>
          <cell r="Z274">
            <v>75973.851272331347</v>
          </cell>
          <cell r="AA274">
            <v>1357115.6350514225</v>
          </cell>
        </row>
        <row r="275">
          <cell r="B275" t="str">
            <v xml:space="preserve">2.1.1.  Pessoal / Administradores   </v>
          </cell>
          <cell r="G275">
            <v>20034</v>
          </cell>
          <cell r="H275">
            <v>27971</v>
          </cell>
          <cell r="I275">
            <v>31249</v>
          </cell>
          <cell r="J275">
            <v>34297</v>
          </cell>
          <cell r="K275">
            <v>34048</v>
          </cell>
          <cell r="L275">
            <v>34047</v>
          </cell>
          <cell r="M275">
            <v>34048</v>
          </cell>
          <cell r="N275">
            <v>34047</v>
          </cell>
          <cell r="O275">
            <v>34048</v>
          </cell>
          <cell r="P275">
            <v>34047</v>
          </cell>
          <cell r="Q275">
            <v>34048</v>
          </cell>
          <cell r="R275">
            <v>34047</v>
          </cell>
          <cell r="S275">
            <v>34048</v>
          </cell>
          <cell r="T275">
            <v>34047</v>
          </cell>
          <cell r="U275">
            <v>34048</v>
          </cell>
          <cell r="V275">
            <v>34047</v>
          </cell>
          <cell r="W275">
            <v>34047</v>
          </cell>
          <cell r="X275">
            <v>34047</v>
          </cell>
          <cell r="Y275">
            <v>34047</v>
          </cell>
          <cell r="Z275">
            <v>34047</v>
          </cell>
          <cell r="AA275">
            <v>658309</v>
          </cell>
        </row>
        <row r="276">
          <cell r="B276" t="str">
            <v xml:space="preserve">2.1.2.  Conservação de Rotina  </v>
          </cell>
          <cell r="G276">
            <v>2691</v>
          </cell>
          <cell r="H276">
            <v>5382</v>
          </cell>
          <cell r="I276">
            <v>5457</v>
          </cell>
          <cell r="J276">
            <v>5560</v>
          </cell>
          <cell r="K276">
            <v>6466</v>
          </cell>
          <cell r="L276">
            <v>6466</v>
          </cell>
          <cell r="M276">
            <v>6466</v>
          </cell>
          <cell r="N276">
            <v>6466</v>
          </cell>
          <cell r="O276">
            <v>6997</v>
          </cell>
          <cell r="P276">
            <v>6997</v>
          </cell>
          <cell r="Q276">
            <v>6997</v>
          </cell>
          <cell r="R276">
            <v>6997</v>
          </cell>
          <cell r="S276">
            <v>6997</v>
          </cell>
          <cell r="T276">
            <v>6997</v>
          </cell>
          <cell r="U276">
            <v>6997</v>
          </cell>
          <cell r="V276">
            <v>6997</v>
          </cell>
          <cell r="W276">
            <v>6997</v>
          </cell>
          <cell r="X276">
            <v>6997</v>
          </cell>
          <cell r="Y276">
            <v>6997</v>
          </cell>
          <cell r="Z276">
            <v>6997</v>
          </cell>
          <cell r="AA276">
            <v>128918</v>
          </cell>
        </row>
        <row r="277">
          <cell r="B277" t="str">
            <v xml:space="preserve">2.1.3.  Consumo   </v>
          </cell>
          <cell r="G277">
            <v>925</v>
          </cell>
          <cell r="H277">
            <v>987</v>
          </cell>
          <cell r="I277">
            <v>1000</v>
          </cell>
          <cell r="J277">
            <v>1135</v>
          </cell>
          <cell r="K277">
            <v>1135</v>
          </cell>
          <cell r="L277">
            <v>1135</v>
          </cell>
          <cell r="M277">
            <v>1135</v>
          </cell>
          <cell r="N277">
            <v>1135</v>
          </cell>
          <cell r="O277">
            <v>1135</v>
          </cell>
          <cell r="P277">
            <v>1135</v>
          </cell>
          <cell r="Q277">
            <v>1135</v>
          </cell>
          <cell r="R277">
            <v>1135</v>
          </cell>
          <cell r="S277">
            <v>1135</v>
          </cell>
          <cell r="T277">
            <v>1135</v>
          </cell>
          <cell r="U277">
            <v>1135</v>
          </cell>
          <cell r="V277">
            <v>1135</v>
          </cell>
          <cell r="W277">
            <v>1135</v>
          </cell>
          <cell r="X277">
            <v>1135</v>
          </cell>
          <cell r="Y277">
            <v>1135</v>
          </cell>
          <cell r="Z277">
            <v>1135</v>
          </cell>
          <cell r="AA277">
            <v>22207</v>
          </cell>
        </row>
        <row r="278">
          <cell r="B278" t="str">
            <v>2.1.4.  Transportes</v>
          </cell>
          <cell r="G278">
            <v>2399</v>
          </cell>
          <cell r="H278">
            <v>4565</v>
          </cell>
          <cell r="I278">
            <v>4981</v>
          </cell>
          <cell r="J278">
            <v>5230</v>
          </cell>
          <cell r="K278">
            <v>5306</v>
          </cell>
          <cell r="L278">
            <v>5307</v>
          </cell>
          <cell r="M278">
            <v>5306</v>
          </cell>
          <cell r="N278">
            <v>5307</v>
          </cell>
          <cell r="O278">
            <v>5306</v>
          </cell>
          <cell r="P278">
            <v>5307</v>
          </cell>
          <cell r="Q278">
            <v>5306</v>
          </cell>
          <cell r="R278">
            <v>5307</v>
          </cell>
          <cell r="S278">
            <v>5306</v>
          </cell>
          <cell r="T278">
            <v>5307</v>
          </cell>
          <cell r="U278">
            <v>5306</v>
          </cell>
          <cell r="V278">
            <v>5307</v>
          </cell>
          <cell r="W278">
            <v>5306</v>
          </cell>
          <cell r="X278">
            <v>5307</v>
          </cell>
          <cell r="Y278">
            <v>5306</v>
          </cell>
          <cell r="Z278">
            <v>5306</v>
          </cell>
          <cell r="AA278">
            <v>102078</v>
          </cell>
        </row>
        <row r="279">
          <cell r="B279" t="str">
            <v>2.1.5.  Diversas</v>
          </cell>
          <cell r="G279">
            <v>3376</v>
          </cell>
          <cell r="H279">
            <v>4638</v>
          </cell>
          <cell r="I279">
            <v>4059</v>
          </cell>
          <cell r="J279">
            <v>2441</v>
          </cell>
          <cell r="K279">
            <v>1745</v>
          </cell>
          <cell r="L279">
            <v>1745</v>
          </cell>
          <cell r="M279">
            <v>1745</v>
          </cell>
          <cell r="N279">
            <v>1745</v>
          </cell>
          <cell r="O279">
            <v>1745</v>
          </cell>
          <cell r="P279">
            <v>1745</v>
          </cell>
          <cell r="Q279">
            <v>1745</v>
          </cell>
          <cell r="R279">
            <v>1745</v>
          </cell>
          <cell r="S279">
            <v>1745</v>
          </cell>
          <cell r="T279">
            <v>1745</v>
          </cell>
          <cell r="U279">
            <v>1745</v>
          </cell>
          <cell r="V279">
            <v>1745</v>
          </cell>
          <cell r="W279">
            <v>1745</v>
          </cell>
          <cell r="X279">
            <v>1745</v>
          </cell>
          <cell r="Y279">
            <v>1745</v>
          </cell>
          <cell r="Z279">
            <v>1745</v>
          </cell>
          <cell r="AA279">
            <v>42434</v>
          </cell>
        </row>
        <row r="280">
          <cell r="B280" t="str">
            <v>2.1.6.  Tributos s/ Faturamento</v>
          </cell>
          <cell r="G280">
            <v>3457.3679999999999</v>
          </cell>
          <cell r="H280">
            <v>4628.9354999999996</v>
          </cell>
          <cell r="I280">
            <v>4958.6204999999991</v>
          </cell>
          <cell r="J280">
            <v>10276.406999999999</v>
          </cell>
          <cell r="K280">
            <v>10671.801726600001</v>
          </cell>
          <cell r="L280">
            <v>11063.396787475691</v>
          </cell>
          <cell r="M280">
            <v>19190.083929921766</v>
          </cell>
          <cell r="N280">
            <v>19875.150918454288</v>
          </cell>
          <cell r="O280">
            <v>20176.792090872506</v>
          </cell>
          <cell r="P280">
            <v>20492.178975732942</v>
          </cell>
          <cell r="Q280">
            <v>20764.173369687582</v>
          </cell>
          <cell r="R280">
            <v>21070.297136974208</v>
          </cell>
          <cell r="S280">
            <v>21381.163815274434</v>
          </cell>
          <cell r="T280">
            <v>21696.382859184665</v>
          </cell>
          <cell r="U280">
            <v>22016.078437116201</v>
          </cell>
          <cell r="V280">
            <v>22340.208950453693</v>
          </cell>
          <cell r="W280">
            <v>22938.658898571306</v>
          </cell>
          <cell r="X280">
            <v>23661.514035848195</v>
          </cell>
          <cell r="Y280">
            <v>24011.570846923642</v>
          </cell>
          <cell r="Z280">
            <v>24366.851272331354</v>
          </cell>
          <cell r="AA280">
            <v>349037.63505142246</v>
          </cell>
        </row>
        <row r="281">
          <cell r="B281" t="str">
            <v>2.1.7.  Seguros</v>
          </cell>
          <cell r="G281">
            <v>910</v>
          </cell>
          <cell r="H281">
            <v>910</v>
          </cell>
          <cell r="I281">
            <v>910</v>
          </cell>
          <cell r="J281">
            <v>910</v>
          </cell>
          <cell r="K281">
            <v>910</v>
          </cell>
          <cell r="L281">
            <v>910</v>
          </cell>
          <cell r="M281">
            <v>910</v>
          </cell>
          <cell r="N281">
            <v>910</v>
          </cell>
          <cell r="O281">
            <v>910</v>
          </cell>
          <cell r="P281">
            <v>910</v>
          </cell>
          <cell r="Q281">
            <v>910</v>
          </cell>
          <cell r="R281">
            <v>910</v>
          </cell>
          <cell r="S281">
            <v>910</v>
          </cell>
          <cell r="T281">
            <v>910</v>
          </cell>
          <cell r="U281">
            <v>910</v>
          </cell>
          <cell r="V281">
            <v>910</v>
          </cell>
          <cell r="W281">
            <v>910</v>
          </cell>
          <cell r="X281">
            <v>910</v>
          </cell>
          <cell r="Y281">
            <v>910</v>
          </cell>
          <cell r="Z281">
            <v>910</v>
          </cell>
          <cell r="AA281">
            <v>18200</v>
          </cell>
        </row>
        <row r="282">
          <cell r="B282" t="str">
            <v xml:space="preserve">2.1.8.  Garantias </v>
          </cell>
          <cell r="G282">
            <v>2478</v>
          </cell>
          <cell r="H282">
            <v>2328</v>
          </cell>
          <cell r="I282">
            <v>2136</v>
          </cell>
          <cell r="J282">
            <v>1990</v>
          </cell>
          <cell r="K282">
            <v>1928</v>
          </cell>
          <cell r="L282">
            <v>1902</v>
          </cell>
          <cell r="M282">
            <v>1873</v>
          </cell>
          <cell r="N282">
            <v>1843</v>
          </cell>
          <cell r="O282">
            <v>1804</v>
          </cell>
          <cell r="P282">
            <v>1759</v>
          </cell>
          <cell r="Q282">
            <v>1734</v>
          </cell>
          <cell r="R282">
            <v>1683</v>
          </cell>
          <cell r="S282">
            <v>1666</v>
          </cell>
          <cell r="T282">
            <v>1629</v>
          </cell>
          <cell r="U282">
            <v>1600</v>
          </cell>
          <cell r="V282">
            <v>1557</v>
          </cell>
          <cell r="W282">
            <v>1537</v>
          </cell>
          <cell r="X282">
            <v>1521</v>
          </cell>
          <cell r="Y282">
            <v>1497</v>
          </cell>
          <cell r="Z282">
            <v>1467</v>
          </cell>
          <cell r="AA282">
            <v>35932</v>
          </cell>
        </row>
        <row r="283">
          <cell r="B283" t="str">
            <v>2.2.  INVESTIMENTOS / IMOBILIZADO     (2.2.1.+ ... + 2.2.7)</v>
          </cell>
          <cell r="G283">
            <v>77642.7</v>
          </cell>
          <cell r="H283">
            <v>131178.44</v>
          </cell>
          <cell r="I283">
            <v>118033.92</v>
          </cell>
          <cell r="J283">
            <v>92210.27</v>
          </cell>
          <cell r="K283">
            <v>28172.539999999997</v>
          </cell>
          <cell r="L283">
            <v>29407.350000000002</v>
          </cell>
          <cell r="M283">
            <v>19503.780000000002</v>
          </cell>
          <cell r="N283">
            <v>24341.48</v>
          </cell>
          <cell r="O283">
            <v>69809.97</v>
          </cell>
          <cell r="P283">
            <v>47126.600000000006</v>
          </cell>
          <cell r="Q283">
            <v>4768.5</v>
          </cell>
          <cell r="R283">
            <v>654.63000000000034</v>
          </cell>
          <cell r="S283">
            <v>20131.39</v>
          </cell>
          <cell r="T283">
            <v>8298.4599999999991</v>
          </cell>
          <cell r="U283">
            <v>47432.81</v>
          </cell>
          <cell r="V283">
            <v>66824.56</v>
          </cell>
          <cell r="W283">
            <v>26329.420000000002</v>
          </cell>
          <cell r="X283">
            <v>9427.6</v>
          </cell>
          <cell r="Y283">
            <v>24833.32</v>
          </cell>
          <cell r="Z283">
            <v>19641.18</v>
          </cell>
          <cell r="AA283">
            <v>865768.91999999993</v>
          </cell>
        </row>
        <row r="284">
          <cell r="B284" t="str">
            <v xml:space="preserve">2.2.1.  Ampliação Principal </v>
          </cell>
          <cell r="G284">
            <v>13858.4</v>
          </cell>
          <cell r="H284">
            <v>37111.25</v>
          </cell>
          <cell r="I284">
            <v>36050.32</v>
          </cell>
          <cell r="J284">
            <v>12038.28</v>
          </cell>
          <cell r="K284">
            <v>3053.3700000000003</v>
          </cell>
          <cell r="L284">
            <v>2336.0000000000009</v>
          </cell>
          <cell r="M284">
            <v>2742.6300000000006</v>
          </cell>
          <cell r="N284">
            <v>2692.6300000000006</v>
          </cell>
          <cell r="O284">
            <v>27657.599999999999</v>
          </cell>
          <cell r="P284">
            <v>11464.49</v>
          </cell>
          <cell r="Q284">
            <v>50</v>
          </cell>
          <cell r="R284">
            <v>38.82</v>
          </cell>
          <cell r="S284">
            <v>0</v>
          </cell>
          <cell r="T284">
            <v>3278.07</v>
          </cell>
          <cell r="U284">
            <v>33379.33</v>
          </cell>
          <cell r="V284">
            <v>46931.12</v>
          </cell>
          <cell r="W284">
            <v>19774.8</v>
          </cell>
          <cell r="X284">
            <v>0</v>
          </cell>
          <cell r="Y284">
            <v>0</v>
          </cell>
          <cell r="Z284">
            <v>0</v>
          </cell>
          <cell r="AA284">
            <v>252457.11</v>
          </cell>
        </row>
        <row r="285">
          <cell r="B285" t="str">
            <v>2.2.2.  Demais Obras de Ampliação/Melhoramentos</v>
          </cell>
          <cell r="G285">
            <v>16090.85</v>
          </cell>
          <cell r="H285">
            <v>29200.639999999999</v>
          </cell>
          <cell r="I285">
            <v>36249.01</v>
          </cell>
          <cell r="J285">
            <v>19933.34</v>
          </cell>
          <cell r="K285">
            <v>3939.89</v>
          </cell>
          <cell r="L285">
            <v>4060.4200000000005</v>
          </cell>
          <cell r="M285">
            <v>7584.34</v>
          </cell>
          <cell r="N285">
            <v>14452.340000000002</v>
          </cell>
          <cell r="O285">
            <v>20397.320000000003</v>
          </cell>
          <cell r="P285">
            <v>19914.62</v>
          </cell>
          <cell r="Q285">
            <v>3239.9</v>
          </cell>
          <cell r="R285">
            <v>241.78000000000034</v>
          </cell>
          <cell r="S285">
            <v>0</v>
          </cell>
          <cell r="T285">
            <v>700.44999999999982</v>
          </cell>
          <cell r="U285">
            <v>2705.5099999999984</v>
          </cell>
          <cell r="V285">
            <v>5544.2100000000028</v>
          </cell>
          <cell r="W285">
            <v>1829.92</v>
          </cell>
          <cell r="X285">
            <v>1594.18</v>
          </cell>
          <cell r="Y285">
            <v>1953.95</v>
          </cell>
          <cell r="Z285">
            <v>379.28</v>
          </cell>
          <cell r="AA285">
            <v>190011.95</v>
          </cell>
        </row>
        <row r="286">
          <cell r="B286" t="str">
            <v xml:space="preserve">2.2.3.  Equipamentos, Veiculos e Sist. Controle </v>
          </cell>
          <cell r="G286">
            <v>18270.07</v>
          </cell>
          <cell r="H286">
            <v>14890.93</v>
          </cell>
          <cell r="I286">
            <v>8116.82</v>
          </cell>
          <cell r="J286">
            <v>23857.84</v>
          </cell>
          <cell r="K286">
            <v>741.48</v>
          </cell>
          <cell r="L286">
            <v>6425.2</v>
          </cell>
          <cell r="M286">
            <v>415.54</v>
          </cell>
          <cell r="N286">
            <v>269.32</v>
          </cell>
          <cell r="O286">
            <v>12542.599999999999</v>
          </cell>
          <cell r="P286">
            <v>1045.97</v>
          </cell>
          <cell r="Q286">
            <v>209.85000000000036</v>
          </cell>
          <cell r="R286">
            <v>5.2799999999999914</v>
          </cell>
          <cell r="S286">
            <v>745.48999999999978</v>
          </cell>
          <cell r="T286">
            <v>872.88</v>
          </cell>
          <cell r="U286">
            <v>692.5</v>
          </cell>
          <cell r="V286">
            <v>755.88999999999942</v>
          </cell>
          <cell r="W286">
            <v>1355.19</v>
          </cell>
          <cell r="X286">
            <v>1189.67</v>
          </cell>
          <cell r="Y286">
            <v>9378.869999999999</v>
          </cell>
          <cell r="Z286">
            <v>3833.37</v>
          </cell>
          <cell r="AA286">
            <v>105614.76</v>
          </cell>
        </row>
        <row r="287">
          <cell r="B287" t="str">
            <v>2.2.4.  Desapropriações</v>
          </cell>
          <cell r="G287">
            <v>1765.1400000000008</v>
          </cell>
          <cell r="H287">
            <v>27575.53</v>
          </cell>
          <cell r="I287">
            <v>21168.94000000001</v>
          </cell>
          <cell r="J287">
            <v>24411.09</v>
          </cell>
          <cell r="K287">
            <v>15283.4</v>
          </cell>
          <cell r="L287">
            <v>5000</v>
          </cell>
          <cell r="M287">
            <v>2000</v>
          </cell>
          <cell r="N287">
            <v>2000</v>
          </cell>
          <cell r="O287">
            <v>1500</v>
          </cell>
          <cell r="P287">
            <v>1500</v>
          </cell>
          <cell r="Q287">
            <v>900</v>
          </cell>
          <cell r="R287">
            <v>0</v>
          </cell>
          <cell r="S287">
            <v>0</v>
          </cell>
          <cell r="T287">
            <v>0</v>
          </cell>
          <cell r="U287">
            <v>2000</v>
          </cell>
          <cell r="V287">
            <v>2000</v>
          </cell>
          <cell r="W287">
            <v>1387.9</v>
          </cell>
          <cell r="X287">
            <v>250</v>
          </cell>
          <cell r="Y287">
            <v>200</v>
          </cell>
          <cell r="Z287">
            <v>0</v>
          </cell>
          <cell r="AA287">
            <v>108942</v>
          </cell>
        </row>
        <row r="288">
          <cell r="B288" t="str">
            <v xml:space="preserve">2.2.5.  Conservação Especial </v>
          </cell>
          <cell r="G288">
            <v>27658.240000000002</v>
          </cell>
          <cell r="H288">
            <v>22400.09</v>
          </cell>
          <cell r="I288">
            <v>16448.830000000002</v>
          </cell>
          <cell r="J288">
            <v>11969.72</v>
          </cell>
          <cell r="K288">
            <v>5154.3999999999987</v>
          </cell>
          <cell r="L288">
            <v>11585.73</v>
          </cell>
          <cell r="M288">
            <v>6761.2700000000013</v>
          </cell>
          <cell r="N288">
            <v>4927.1899999999996</v>
          </cell>
          <cell r="O288">
            <v>7712.45</v>
          </cell>
          <cell r="P288">
            <v>13201.52</v>
          </cell>
          <cell r="Q288">
            <v>368.75</v>
          </cell>
          <cell r="R288">
            <v>368.75</v>
          </cell>
          <cell r="S288">
            <v>19385.900000000001</v>
          </cell>
          <cell r="T288">
            <v>3447.06</v>
          </cell>
          <cell r="U288">
            <v>8655.4699999999993</v>
          </cell>
          <cell r="V288">
            <v>11593.34</v>
          </cell>
          <cell r="W288">
            <v>1981.61</v>
          </cell>
          <cell r="X288">
            <v>6393.75</v>
          </cell>
          <cell r="Y288">
            <v>13300.5</v>
          </cell>
          <cell r="Z288">
            <v>15428.53</v>
          </cell>
          <cell r="AA288">
            <v>208743.09999999998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30214.560000000005</v>
          </cell>
          <cell r="H291">
            <v>32206.41</v>
          </cell>
          <cell r="I291">
            <v>51955.11</v>
          </cell>
          <cell r="J291">
            <v>41453.94</v>
          </cell>
          <cell r="K291">
            <v>22149.033372000002</v>
          </cell>
          <cell r="L291">
            <v>22308.925004781253</v>
          </cell>
          <cell r="M291">
            <v>15935.804686429627</v>
          </cell>
          <cell r="N291">
            <v>11696.099897216014</v>
          </cell>
          <cell r="O291">
            <v>11958.772495154992</v>
          </cell>
          <cell r="P291">
            <v>12068.196848285779</v>
          </cell>
          <cell r="Q291">
            <v>20842.659854814061</v>
          </cell>
          <cell r="R291">
            <v>22684.88918045348</v>
          </cell>
          <cell r="S291">
            <v>22792.745831887085</v>
          </cell>
          <cell r="T291">
            <v>22902.1119742837</v>
          </cell>
          <cell r="U291">
            <v>23013.03067183221</v>
          </cell>
          <cell r="V291">
            <v>23125.487497267175</v>
          </cell>
          <cell r="W291">
            <v>23333.084011065192</v>
          </cell>
          <cell r="X291">
            <v>23583.826833242143</v>
          </cell>
          <cell r="Y291">
            <v>23705.275438239412</v>
          </cell>
          <cell r="Z291">
            <v>23828.535701386594</v>
          </cell>
          <cell r="AA291">
            <v>481758.49929833878</v>
          </cell>
        </row>
        <row r="292">
          <cell r="B292" t="str">
            <v>2.3.1.  Valor Variável da Concessão</v>
          </cell>
          <cell r="G292">
            <v>2230.56</v>
          </cell>
          <cell r="H292">
            <v>2986.41</v>
          </cell>
          <cell r="I292">
            <v>3199.11</v>
          </cell>
          <cell r="J292">
            <v>6629.94</v>
          </cell>
          <cell r="K292">
            <v>6885.0333720000008</v>
          </cell>
          <cell r="L292">
            <v>7044.9250047812529</v>
          </cell>
          <cell r="M292">
            <v>6915.4923524281276</v>
          </cell>
          <cell r="N292">
            <v>7006.221127787614</v>
          </cell>
          <cell r="O292">
            <v>7110.8781818054922</v>
          </cell>
          <cell r="P292">
            <v>7220.3025349362797</v>
          </cell>
          <cell r="Q292">
            <v>7314.6774692558083</v>
          </cell>
          <cell r="R292">
            <v>7420.8891804534815</v>
          </cell>
          <cell r="S292">
            <v>7528.7458318870858</v>
          </cell>
          <cell r="T292">
            <v>7638.1119742837</v>
          </cell>
          <cell r="U292">
            <v>7749.0306718322099</v>
          </cell>
          <cell r="V292">
            <v>7861.4874972671769</v>
          </cell>
          <cell r="W292">
            <v>8069.0840110651907</v>
          </cell>
          <cell r="X292">
            <v>8319.8268332421449</v>
          </cell>
          <cell r="Y292">
            <v>8441.2754382394123</v>
          </cell>
          <cell r="Z292">
            <v>8564.5357013865942</v>
          </cell>
          <cell r="AA292">
            <v>136136.53718265161</v>
          </cell>
        </row>
        <row r="293">
          <cell r="B293" t="str">
            <v xml:space="preserve">2.3.2.  Valor Fixo da Concessão </v>
          </cell>
          <cell r="G293">
            <v>27984.000000000004</v>
          </cell>
          <cell r="H293">
            <v>29220</v>
          </cell>
          <cell r="I293">
            <v>48756</v>
          </cell>
          <cell r="J293">
            <v>34824</v>
          </cell>
          <cell r="K293">
            <v>15264</v>
          </cell>
          <cell r="L293">
            <v>15264</v>
          </cell>
          <cell r="M293">
            <v>9020.312334001499</v>
          </cell>
          <cell r="N293">
            <v>4689.8787694284001</v>
          </cell>
          <cell r="O293">
            <v>4847.8943133494995</v>
          </cell>
          <cell r="P293">
            <v>4847.8943133494995</v>
          </cell>
          <cell r="Q293">
            <v>13527.982385558251</v>
          </cell>
          <cell r="R293">
            <v>15264</v>
          </cell>
          <cell r="S293">
            <v>15264</v>
          </cell>
          <cell r="T293">
            <v>15264</v>
          </cell>
          <cell r="U293">
            <v>15264</v>
          </cell>
          <cell r="V293">
            <v>15264</v>
          </cell>
          <cell r="W293">
            <v>15264</v>
          </cell>
          <cell r="X293">
            <v>15264</v>
          </cell>
          <cell r="Y293">
            <v>15264</v>
          </cell>
          <cell r="Z293">
            <v>15264</v>
          </cell>
          <cell r="AA293">
            <v>345621.9621156872</v>
          </cell>
        </row>
        <row r="294">
          <cell r="B294" t="str">
            <v>2.4.  DESEMBOLSOS  SOBRE O LUCRO     (2.4.1. + 2.4.2)</v>
          </cell>
          <cell r="G294">
            <v>4699.2958807269233</v>
          </cell>
          <cell r="H294">
            <v>5579.4520347876341</v>
          </cell>
          <cell r="I294">
            <v>4291.2101768471239</v>
          </cell>
          <cell r="J294">
            <v>36279.493982572843</v>
          </cell>
          <cell r="K294">
            <v>37429.216795737288</v>
          </cell>
          <cell r="L294">
            <v>38320.202153445265</v>
          </cell>
          <cell r="M294">
            <v>35699.013760128117</v>
          </cell>
          <cell r="N294">
            <v>37322.372416138649</v>
          </cell>
          <cell r="O294">
            <v>37254.268301000011</v>
          </cell>
          <cell r="P294">
            <v>37184.270558338903</v>
          </cell>
          <cell r="Q294">
            <v>34734.931741499058</v>
          </cell>
          <cell r="R294">
            <v>35780.992768214535</v>
          </cell>
          <cell r="S294">
            <v>36893.863784131987</v>
          </cell>
          <cell r="T294">
            <v>37470.187813851313</v>
          </cell>
          <cell r="U294">
            <v>37072.473473984937</v>
          </cell>
          <cell r="V294">
            <v>34326.736978664194</v>
          </cell>
          <cell r="W294">
            <v>32930.216994827875</v>
          </cell>
          <cell r="X294">
            <v>33803.039345075042</v>
          </cell>
          <cell r="Y294">
            <v>31677.832628316308</v>
          </cell>
          <cell r="Z294">
            <v>23661.680783673317</v>
          </cell>
          <cell r="AA294">
            <v>612410.75237196125</v>
          </cell>
        </row>
        <row r="295">
          <cell r="B295" t="str">
            <v xml:space="preserve">2.4.1.  Contribuição Social  </v>
          </cell>
          <cell r="G295">
            <v>1145.0414256307693</v>
          </cell>
          <cell r="H295">
            <v>1358.4126144939717</v>
          </cell>
          <cell r="I295">
            <v>1046.1115580235455</v>
          </cell>
          <cell r="J295">
            <v>8800.8470260782669</v>
          </cell>
          <cell r="K295">
            <v>9079.5677080575279</v>
          </cell>
          <cell r="L295">
            <v>9295.5641584109708</v>
          </cell>
          <cell r="M295">
            <v>8660.1245479098488</v>
          </cell>
          <cell r="N295">
            <v>9053.6660402760353</v>
          </cell>
          <cell r="O295">
            <v>9037.1559517575788</v>
          </cell>
          <cell r="P295">
            <v>9020.1868020215516</v>
          </cell>
          <cell r="Q295">
            <v>8426.4076949088612</v>
          </cell>
          <cell r="R295">
            <v>8679.9982468398866</v>
          </cell>
          <cell r="S295">
            <v>8949.7851597895751</v>
          </cell>
          <cell r="T295">
            <v>9089.500076085169</v>
          </cell>
          <cell r="U295">
            <v>8993.084478541803</v>
          </cell>
          <cell r="V295">
            <v>8327.4513887670819</v>
          </cell>
          <cell r="W295">
            <v>7988.9010896552427</v>
          </cell>
          <cell r="X295">
            <v>8200.4943866848607</v>
          </cell>
          <cell r="Y295">
            <v>7685.29275837971</v>
          </cell>
          <cell r="Z295">
            <v>5741.9832202844409</v>
          </cell>
          <cell r="AA295">
            <v>148579.57633259665</v>
          </cell>
        </row>
        <row r="296">
          <cell r="B296" t="str">
            <v xml:space="preserve">2.4.2.  Imposto de Renda  </v>
          </cell>
          <cell r="G296">
            <v>3554.2544550961538</v>
          </cell>
          <cell r="H296">
            <v>4221.0394202936623</v>
          </cell>
          <cell r="I296">
            <v>3245.0986188235784</v>
          </cell>
          <cell r="J296">
            <v>27478.646956494576</v>
          </cell>
          <cell r="K296">
            <v>28349.649087679762</v>
          </cell>
          <cell r="L296">
            <v>29024.637995034296</v>
          </cell>
          <cell r="M296">
            <v>27038.889212218266</v>
          </cell>
          <cell r="N296">
            <v>28268.70637586261</v>
          </cell>
          <cell r="O296">
            <v>28217.11234924243</v>
          </cell>
          <cell r="P296">
            <v>28164.083756317348</v>
          </cell>
          <cell r="Q296">
            <v>26308.524046590195</v>
          </cell>
          <cell r="R296">
            <v>27100.994521374651</v>
          </cell>
          <cell r="S296">
            <v>27944.078624342415</v>
          </cell>
          <cell r="T296">
            <v>28380.687737766144</v>
          </cell>
          <cell r="U296">
            <v>28079.388995443136</v>
          </cell>
          <cell r="V296">
            <v>25999.285589897114</v>
          </cell>
          <cell r="W296">
            <v>24941.315905172632</v>
          </cell>
          <cell r="X296">
            <v>25602.544958390183</v>
          </cell>
          <cell r="Y296">
            <v>23992.539869936598</v>
          </cell>
          <cell r="Z296">
            <v>17919.697563388876</v>
          </cell>
          <cell r="AA296">
            <v>463831.1760393646</v>
          </cell>
        </row>
        <row r="297">
          <cell r="B297" t="str">
            <v>3.  SALDO DO CAIXA     (1 - 2)</v>
          </cell>
          <cell r="G297">
            <v>-74107.923880726914</v>
          </cell>
          <cell r="H297">
            <v>-120345.23753478762</v>
          </cell>
          <cell r="I297">
            <v>-121630.86067684711</v>
          </cell>
          <cell r="J297">
            <v>-9719.1109825728345</v>
          </cell>
          <cell r="K297">
            <v>80706.520505662687</v>
          </cell>
          <cell r="L297">
            <v>83405.959547006205</v>
          </cell>
          <cell r="M297">
            <v>89914.729371124791</v>
          </cell>
          <cell r="N297">
            <v>90085.601027778204</v>
          </cell>
          <cell r="O297">
            <v>47140.469839822268</v>
          </cell>
          <cell r="P297">
            <v>73185.504782185017</v>
          </cell>
          <cell r="Q297">
            <v>112138.31734252622</v>
          </cell>
          <cell r="R297">
            <v>116669.16359614054</v>
          </cell>
          <cell r="S297">
            <v>99295.030964942707</v>
          </cell>
          <cell r="T297">
            <v>113830.58982880364</v>
          </cell>
          <cell r="U297">
            <v>78411.629811473627</v>
          </cell>
          <cell r="V297">
            <v>65143.589815854153</v>
          </cell>
          <cell r="W297">
            <v>113193.08713104203</v>
          </cell>
          <cell r="X297">
            <v>136644.58089390618</v>
          </cell>
          <cell r="Y297">
            <v>126988.8490278344</v>
          </cell>
          <cell r="Z297">
            <v>143881.27562216192</v>
          </cell>
          <cell r="AA297">
            <v>1244831.76603333</v>
          </cell>
        </row>
        <row r="298">
          <cell r="B298" t="str">
            <v xml:space="preserve">4. T.I.R. (Taxa Interna de Retorno) Anual do Projeto     </v>
          </cell>
          <cell r="G298">
            <v>0.18482198272984429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283242.32903350698</v>
          </cell>
          <cell r="H303">
            <v>287969.05948152556</v>
          </cell>
          <cell r="I303">
            <v>292775.11211849301</v>
          </cell>
          <cell r="J303">
            <v>297661.82668872463</v>
          </cell>
          <cell r="K303">
            <v>302630.5657302966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1464278.893052547</v>
          </cell>
        </row>
        <row r="304">
          <cell r="B304" t="str">
            <v>1.1.  RECEITAS     (1.1.1.+ ... + 1.1.4)</v>
          </cell>
          <cell r="G304">
            <v>283242.32903350698</v>
          </cell>
          <cell r="H304">
            <v>287969.05948152556</v>
          </cell>
          <cell r="I304">
            <v>292775.11211849301</v>
          </cell>
          <cell r="J304">
            <v>297661.82668872463</v>
          </cell>
          <cell r="K304">
            <v>302630.5657302966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1464278.893052547</v>
          </cell>
        </row>
        <row r="305">
          <cell r="B305" t="str">
            <v>1.1.1   Receitas de Pedágio</v>
          </cell>
          <cell r="G305">
            <v>274390.77790658275</v>
          </cell>
          <cell r="H305">
            <v>278969.79421749973</v>
          </cell>
          <cell r="I305">
            <v>283625.65383501293</v>
          </cell>
          <cell r="J305">
            <v>288359.6546353476</v>
          </cell>
          <cell r="K305">
            <v>293173.11657616671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1418518.9971706099</v>
          </cell>
        </row>
        <row r="306">
          <cell r="B306" t="str">
            <v>1.1.2   Outras Receitas Operacionais</v>
          </cell>
          <cell r="G306">
            <v>7479.656606994391</v>
          </cell>
          <cell r="H306">
            <v>7604.4766532976446</v>
          </cell>
          <cell r="I306">
            <v>7731.391382047118</v>
          </cell>
          <cell r="J306">
            <v>7860.436172232432</v>
          </cell>
          <cell r="K306">
            <v>7991.6470047642051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38667.60781933579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1371.8945199298544</v>
          </cell>
          <cell r="H308">
            <v>1394.7886107281797</v>
          </cell>
          <cell r="I308">
            <v>1418.0669014329922</v>
          </cell>
          <cell r="J308">
            <v>1441.7358811445981</v>
          </cell>
          <cell r="K308">
            <v>1465.8021493657147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7092.2880626013393</v>
          </cell>
        </row>
        <row r="309">
          <cell r="B309" t="str">
            <v>2.  DESEMBOLSOS     (2.1.+ ... + 2.4)</v>
          </cell>
          <cell r="G309">
            <v>150151.40143062337</v>
          </cell>
          <cell r="H309">
            <v>152091.30186380562</v>
          </cell>
          <cell r="I309">
            <v>154063.75696673157</v>
          </cell>
          <cell r="J309">
            <v>156069.31658471323</v>
          </cell>
          <cell r="K309">
            <v>158108.53991786425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770484.31676373794</v>
          </cell>
        </row>
        <row r="310">
          <cell r="B310" t="str">
            <v>2.1.  OPERACIONAIS     (2.1.1.+ ... + 2.1.8)</v>
          </cell>
          <cell r="G310">
            <v>76178.861366930083</v>
          </cell>
          <cell r="H310">
            <v>76605.028940894248</v>
          </cell>
          <cell r="I310">
            <v>77038.34829666563</v>
          </cell>
          <cell r="J310">
            <v>77478.940227166764</v>
          </cell>
          <cell r="K310">
            <v>77926.927580432341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385228.10641208902</v>
          </cell>
        </row>
        <row r="311">
          <cell r="B311" t="str">
            <v xml:space="preserve">2.1.1.  Pessoal / Administradores   </v>
          </cell>
          <cell r="G311">
            <v>34047</v>
          </cell>
          <cell r="H311">
            <v>34047</v>
          </cell>
          <cell r="I311">
            <v>34047</v>
          </cell>
          <cell r="J311">
            <v>34047</v>
          </cell>
          <cell r="K311">
            <v>34047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170235</v>
          </cell>
        </row>
        <row r="312">
          <cell r="B312" t="str">
            <v xml:space="preserve">2.1.2.  Conservação de Rotina  </v>
          </cell>
          <cell r="G312">
            <v>6997</v>
          </cell>
          <cell r="H312">
            <v>6997</v>
          </cell>
          <cell r="I312">
            <v>6997</v>
          </cell>
          <cell r="J312">
            <v>6997</v>
          </cell>
          <cell r="K312">
            <v>6997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34985</v>
          </cell>
        </row>
        <row r="313">
          <cell r="B313" t="str">
            <v xml:space="preserve">2.1.3.  Consumo   </v>
          </cell>
          <cell r="G313">
            <v>1135</v>
          </cell>
          <cell r="H313">
            <v>1135</v>
          </cell>
          <cell r="I313">
            <v>1135</v>
          </cell>
          <cell r="J313">
            <v>1135</v>
          </cell>
          <cell r="K313">
            <v>1135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5675</v>
          </cell>
        </row>
        <row r="314">
          <cell r="B314" t="str">
            <v>2.1.4.  Transportes</v>
          </cell>
          <cell r="G314">
            <v>5306</v>
          </cell>
          <cell r="H314">
            <v>5306</v>
          </cell>
          <cell r="I314">
            <v>5306</v>
          </cell>
          <cell r="J314">
            <v>5306</v>
          </cell>
          <cell r="K314">
            <v>5306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26530</v>
          </cell>
        </row>
        <row r="315">
          <cell r="B315" t="str">
            <v>2.1.5.  Diversas</v>
          </cell>
          <cell r="G315">
            <v>1745</v>
          </cell>
          <cell r="H315">
            <v>1745</v>
          </cell>
          <cell r="I315">
            <v>1745</v>
          </cell>
          <cell r="J315">
            <v>1745</v>
          </cell>
          <cell r="K315">
            <v>1745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8725</v>
          </cell>
        </row>
        <row r="316">
          <cell r="B316" t="str">
            <v>2.1.6.  Tributos s/ Faturamento</v>
          </cell>
          <cell r="G316">
            <v>25452.900236576013</v>
          </cell>
          <cell r="H316">
            <v>25877.656659633005</v>
          </cell>
          <cell r="I316">
            <v>26309.541183100519</v>
          </cell>
          <cell r="J316">
            <v>26748.67419992448</v>
          </cell>
          <cell r="K316">
            <v>27195.178151358057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131583.95043059209</v>
          </cell>
        </row>
        <row r="317">
          <cell r="B317" t="str">
            <v>2.1.7.  Seguros</v>
          </cell>
          <cell r="G317">
            <v>910</v>
          </cell>
          <cell r="H317">
            <v>910</v>
          </cell>
          <cell r="I317">
            <v>910</v>
          </cell>
          <cell r="J317">
            <v>910</v>
          </cell>
          <cell r="K317">
            <v>910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4550</v>
          </cell>
        </row>
        <row r="318">
          <cell r="B318" t="str">
            <v xml:space="preserve">2.1.8.  Garantias </v>
          </cell>
          <cell r="G318">
            <v>585.96113035407313</v>
          </cell>
          <cell r="H318">
            <v>587.37228126123932</v>
          </cell>
          <cell r="I318">
            <v>588.80711356511802</v>
          </cell>
          <cell r="J318">
            <v>590.26602724227405</v>
          </cell>
          <cell r="K318">
            <v>591.74942907427931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2944.1559814969837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8456.1130354073139</v>
          </cell>
          <cell r="H327">
            <v>8597.2281261239223</v>
          </cell>
          <cell r="I327">
            <v>8740.7113565117997</v>
          </cell>
          <cell r="J327">
            <v>8886.6027242274013</v>
          </cell>
          <cell r="K327">
            <v>9034.9429074279269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43715.598149698359</v>
          </cell>
        </row>
        <row r="328">
          <cell r="B328" t="str">
            <v>2.3.1.  Valor Variável da Concessão</v>
          </cell>
          <cell r="G328">
            <v>8456.1130354073139</v>
          </cell>
          <cell r="H328">
            <v>8597.2281261239223</v>
          </cell>
          <cell r="I328">
            <v>8740.7113565117997</v>
          </cell>
          <cell r="J328">
            <v>8886.6027242274013</v>
          </cell>
          <cell r="K328">
            <v>9034.9429074279269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43715.598149698359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65516.427028285972</v>
          </cell>
          <cell r="H330">
            <v>66889.044796787435</v>
          </cell>
          <cell r="I330">
            <v>68284.697313554134</v>
          </cell>
          <cell r="J330">
            <v>69703.77363331907</v>
          </cell>
          <cell r="K330">
            <v>71146.669430003996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341540.61220195063</v>
          </cell>
        </row>
        <row r="331">
          <cell r="B331" t="str">
            <v xml:space="preserve">2.4.1.  Contribuição Social  </v>
          </cell>
          <cell r="G331">
            <v>15888.58837049357</v>
          </cell>
          <cell r="H331">
            <v>16221.34419316059</v>
          </cell>
          <cell r="I331">
            <v>16559.684197225244</v>
          </cell>
          <cell r="J331">
            <v>16903.702698986439</v>
          </cell>
          <cell r="K331">
            <v>17253.495619394911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82826.815079260763</v>
          </cell>
        </row>
        <row r="332">
          <cell r="B332" t="str">
            <v xml:space="preserve">2.4.2.  Imposto de Renda  </v>
          </cell>
          <cell r="G332">
            <v>49627.838657792403</v>
          </cell>
          <cell r="H332">
            <v>50667.700603626843</v>
          </cell>
          <cell r="I332">
            <v>51725.01311632889</v>
          </cell>
          <cell r="J332">
            <v>52800.070934332623</v>
          </cell>
          <cell r="K332">
            <v>53893.173810609092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258713.79712268984</v>
          </cell>
        </row>
        <row r="333">
          <cell r="B333" t="str">
            <v>3.  SALDO DO CAIXA     (1 - 2)</v>
          </cell>
          <cell r="G333">
            <v>133090.9276028836</v>
          </cell>
          <cell r="H333">
            <v>135877.75761771994</v>
          </cell>
          <cell r="I333">
            <v>138711.35515176144</v>
          </cell>
          <cell r="J333">
            <v>141592.5101040114</v>
          </cell>
          <cell r="K333">
            <v>144522.02581243234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693794.57628880907</v>
          </cell>
        </row>
        <row r="334">
          <cell r="B334" t="str">
            <v xml:space="preserve">4. T.I.R. (Taxa Interna de Retorno) Anual do Projeto     </v>
          </cell>
          <cell r="G334">
            <v>0.19360997399325544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m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SPE"/>
      <sheetName val="Ratios"/>
      <sheetName val="RES"/>
      <sheetName val="Acionista"/>
      <sheetName val="Debt"/>
      <sheetName val="Tax &amp; Grant"/>
      <sheetName val="Deprec."/>
      <sheetName val="TS"/>
      <sheetName val="Receita"/>
      <sheetName val="OPEX &amp; KGiro"/>
      <sheetName val="Capex"/>
      <sheetName val="Ativo Financeiro_NotUsed"/>
      <sheetName val="PMacro"/>
    </sheetNames>
    <sheetDataSet>
      <sheetData sheetId="0">
        <row r="6">
          <cell r="E6">
            <v>44197</v>
          </cell>
        </row>
        <row r="7">
          <cell r="E7">
            <v>44378</v>
          </cell>
        </row>
        <row r="9">
          <cell r="E9">
            <v>57132</v>
          </cell>
        </row>
        <row r="56">
          <cell r="J56">
            <v>0.5</v>
          </cell>
        </row>
        <row r="98">
          <cell r="E98">
            <v>0.3</v>
          </cell>
        </row>
      </sheetData>
      <sheetData sheetId="1">
        <row r="1">
          <cell r="G1">
            <v>43831</v>
          </cell>
        </row>
      </sheetData>
      <sheetData sheetId="2"/>
      <sheetData sheetId="3"/>
      <sheetData sheetId="4"/>
      <sheetData sheetId="5"/>
      <sheetData sheetId="6"/>
      <sheetData sheetId="7">
        <row r="6">
          <cell r="A6" t="str">
            <v>Depreciação (R$ 000)</v>
          </cell>
        </row>
      </sheetData>
      <sheetData sheetId="8"/>
      <sheetData sheetId="9"/>
      <sheetData sheetId="10">
        <row r="20">
          <cell r="A20" t="str">
            <v>Custos de Pessoal (RH)</v>
          </cell>
        </row>
      </sheetData>
      <sheetData sheetId="11">
        <row r="21">
          <cell r="G21">
            <v>0</v>
          </cell>
        </row>
      </sheetData>
      <sheetData sheetId="12"/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wdown"/>
      <sheetName val="BBPL_Returns"/>
      <sheetName val="Inputs"/>
      <sheetName val="Cashflow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 Pric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remissas"/>
      <sheetName val="Premissas"/>
      <sheetName val="Projeções em R$"/>
      <sheetName val="Fin Água e Outros"/>
      <sheetName val="Fin Esgoto"/>
      <sheetName val="Fin Maq e Eq"/>
      <sheetName val="Depreciação"/>
      <sheetName val="Checagem"/>
      <sheetName val="Cronograma"/>
      <sheetName val="QUF"/>
      <sheetName val="Gráficos"/>
      <sheetName val="Cenário_eficiênc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ot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CF (R$)"/>
    </sheet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- RECUPERAÇÃO DE ATIVOS"/>
      <sheetName val="CUSTOS UNITÁRIOS"/>
      <sheetName val="CAPTAÇÃO_AGUA"/>
      <sheetName val="ELEVATÓRIA_AGUA_BRUTA"/>
      <sheetName val="ADUÇÃO_AGUA"/>
      <sheetName val="TRATAMENTO_AGUA"/>
      <sheetName val="ELEVATÓRIA_AGUA_TRATADA"/>
      <sheetName val="RESERVAÇÃO_AGUA"/>
      <sheetName val="REDE_AGUA"/>
      <sheetName val="LIG ECO_AGUA"/>
      <sheetName val="ELEVATÓRIAS_ESG"/>
      <sheetName val="LINHAS DE REC_EMISSARIOS_INTERC"/>
      <sheetName val="TRATAMENTO_ESG"/>
      <sheetName val="REDE COLETORA"/>
      <sheetName val="LIG ECO_ESG"/>
      <sheetName val="PERDAS_FIS_COM"/>
      <sheetName val="ANÁLISE_INVEST."/>
      <sheetName val="AVA._DISPONIBILIDADE"/>
      <sheetName val="ANÁLISE_TARIFÁRIA"/>
    </sheetNames>
    <sheetDataSet>
      <sheetData sheetId="0"/>
      <sheetData sheetId="1"/>
      <sheetData sheetId="2" refreshError="1">
        <row r="4">
          <cell r="B4" t="str">
            <v>CAP-OLI-001</v>
          </cell>
          <cell r="C4" t="str">
            <v>Olimpia</v>
          </cell>
          <cell r="D4" t="str">
            <v>ZH I e ZH II</v>
          </cell>
          <cell r="E4" t="str">
            <v>Superficial</v>
          </cell>
          <cell r="F4" t="str">
            <v>Riberião Olhos D Água</v>
          </cell>
          <cell r="G4">
            <v>0</v>
          </cell>
          <cell r="H4">
            <v>2</v>
          </cell>
          <cell r="I4">
            <v>0</v>
          </cell>
          <cell r="J4">
            <v>574.6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 t="str">
            <v>São suficientes para a demanda c om margem de 50%</v>
          </cell>
        </row>
        <row r="5">
          <cell r="B5" t="str">
            <v>CAP-OLI-002</v>
          </cell>
          <cell r="C5" t="str">
            <v>Olimpia</v>
          </cell>
          <cell r="D5" t="str">
            <v>Sede</v>
          </cell>
          <cell r="E5" t="str">
            <v>Subterrânea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5.5555555555555554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B6" t="str">
            <v>CAP-OLI-003</v>
          </cell>
          <cell r="C6" t="str">
            <v>Olimpia</v>
          </cell>
          <cell r="D6" t="str">
            <v>Sede</v>
          </cell>
          <cell r="E6" t="str">
            <v>Subterrânea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2.7777777777777777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B7" t="str">
            <v>CAP-OLI-004</v>
          </cell>
          <cell r="C7" t="str">
            <v>Olimpia</v>
          </cell>
          <cell r="D7" t="str">
            <v>Sede</v>
          </cell>
          <cell r="E7" t="str">
            <v>Subterrânea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1.2222222222222223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CAP-OLI-005</v>
          </cell>
          <cell r="C8" t="str">
            <v>Olimpia</v>
          </cell>
          <cell r="D8" t="str">
            <v>Sede</v>
          </cell>
          <cell r="E8" t="str">
            <v>Subterrânea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2.2222222222222223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CAP-OLI-006</v>
          </cell>
          <cell r="C9" t="str">
            <v>Olimpia</v>
          </cell>
          <cell r="D9" t="str">
            <v>Sede</v>
          </cell>
          <cell r="E9" t="str">
            <v>Subterrânea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2.7777777777777777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B10" t="str">
            <v>CAP-OLI-007</v>
          </cell>
          <cell r="C10" t="str">
            <v>Olimpia</v>
          </cell>
          <cell r="D10" t="str">
            <v>Sede</v>
          </cell>
          <cell r="E10" t="str">
            <v>Subterrânea</v>
          </cell>
          <cell r="F10">
            <v>12</v>
          </cell>
          <cell r="G10">
            <v>0</v>
          </cell>
          <cell r="H10">
            <v>0</v>
          </cell>
          <cell r="I10">
            <v>0</v>
          </cell>
          <cell r="J10">
            <v>2.5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CAP-OLI-008</v>
          </cell>
          <cell r="C11" t="str">
            <v>Olimpia</v>
          </cell>
          <cell r="D11" t="str">
            <v>Sede</v>
          </cell>
          <cell r="E11" t="str">
            <v>Subterrânea</v>
          </cell>
          <cell r="F11">
            <v>13</v>
          </cell>
          <cell r="G11">
            <v>0</v>
          </cell>
          <cell r="H11">
            <v>0</v>
          </cell>
          <cell r="I11">
            <v>0</v>
          </cell>
          <cell r="J11">
            <v>1.9444444444444444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CAP-OLI-009</v>
          </cell>
          <cell r="C12" t="str">
            <v>Olimpia</v>
          </cell>
          <cell r="D12" t="str">
            <v>Sede</v>
          </cell>
          <cell r="E12" t="str">
            <v>Subterrânea</v>
          </cell>
          <cell r="F12">
            <v>15</v>
          </cell>
          <cell r="G12">
            <v>0</v>
          </cell>
          <cell r="H12">
            <v>0</v>
          </cell>
          <cell r="I12">
            <v>0</v>
          </cell>
          <cell r="J12">
            <v>2.6944444444444442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CAP-OLI-010</v>
          </cell>
          <cell r="C13" t="str">
            <v>Olimpia</v>
          </cell>
          <cell r="D13" t="str">
            <v>Sede</v>
          </cell>
          <cell r="E13" t="str">
            <v>Subterrânea</v>
          </cell>
          <cell r="F13">
            <v>16</v>
          </cell>
          <cell r="G13">
            <v>0</v>
          </cell>
          <cell r="H13">
            <v>0</v>
          </cell>
          <cell r="I13">
            <v>0</v>
          </cell>
          <cell r="J13">
            <v>1.3888888888888888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CAP-OLI-011</v>
          </cell>
          <cell r="C14" t="str">
            <v>Olimpia</v>
          </cell>
          <cell r="D14" t="str">
            <v>Sede</v>
          </cell>
          <cell r="E14" t="str">
            <v>Subterrânea</v>
          </cell>
          <cell r="F14">
            <v>17</v>
          </cell>
          <cell r="G14">
            <v>0</v>
          </cell>
          <cell r="H14">
            <v>0</v>
          </cell>
          <cell r="I14">
            <v>0</v>
          </cell>
          <cell r="J14">
            <v>4.4444444444444446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CAP-OLI-012</v>
          </cell>
          <cell r="C15" t="str">
            <v>Olimpia</v>
          </cell>
          <cell r="D15" t="str">
            <v>Sede</v>
          </cell>
          <cell r="E15" t="str">
            <v>Subterrânea</v>
          </cell>
          <cell r="F15">
            <v>18</v>
          </cell>
          <cell r="G15">
            <v>0</v>
          </cell>
          <cell r="H15">
            <v>0</v>
          </cell>
          <cell r="I15">
            <v>0</v>
          </cell>
          <cell r="J15">
            <v>2.7777777777777777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CAP-OLI-013</v>
          </cell>
          <cell r="C16" t="str">
            <v>Olimpia</v>
          </cell>
          <cell r="D16" t="str">
            <v>Sede</v>
          </cell>
          <cell r="E16" t="str">
            <v>Subterrânea</v>
          </cell>
          <cell r="F16">
            <v>19</v>
          </cell>
          <cell r="G16">
            <v>0</v>
          </cell>
          <cell r="H16">
            <v>0</v>
          </cell>
          <cell r="I16">
            <v>0</v>
          </cell>
          <cell r="J16">
            <v>9.7222222222222214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CAP-OLI-014</v>
          </cell>
          <cell r="C17" t="str">
            <v>Olimpia</v>
          </cell>
          <cell r="D17" t="str">
            <v>Sede</v>
          </cell>
          <cell r="E17" t="str">
            <v>Subterrânea</v>
          </cell>
          <cell r="F17">
            <v>20</v>
          </cell>
          <cell r="G17">
            <v>0</v>
          </cell>
          <cell r="H17">
            <v>0</v>
          </cell>
          <cell r="I17">
            <v>0</v>
          </cell>
          <cell r="J17">
            <v>1.3888888888888888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CAP-OLI-015</v>
          </cell>
          <cell r="C18" t="str">
            <v>Olimpia</v>
          </cell>
          <cell r="D18" t="str">
            <v>Sede</v>
          </cell>
          <cell r="E18" t="str">
            <v>Subterrânea</v>
          </cell>
          <cell r="F18">
            <v>21</v>
          </cell>
          <cell r="G18">
            <v>0</v>
          </cell>
          <cell r="H18">
            <v>0</v>
          </cell>
          <cell r="I18">
            <v>0</v>
          </cell>
          <cell r="J18">
            <v>3.0555555555555554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CAP-OLI-016</v>
          </cell>
          <cell r="C19" t="str">
            <v>Olimpia</v>
          </cell>
          <cell r="D19" t="str">
            <v>Sede</v>
          </cell>
          <cell r="E19" t="str">
            <v>Subterrânea</v>
          </cell>
          <cell r="F19">
            <v>22</v>
          </cell>
          <cell r="G19">
            <v>0</v>
          </cell>
          <cell r="H19">
            <v>0</v>
          </cell>
          <cell r="I19">
            <v>0</v>
          </cell>
          <cell r="J19">
            <v>1.3888888888888888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CAP-OLI-017</v>
          </cell>
          <cell r="C20" t="str">
            <v>Olimpia</v>
          </cell>
          <cell r="D20" t="str">
            <v>Sede</v>
          </cell>
          <cell r="E20" t="str">
            <v>Subterrânea</v>
          </cell>
          <cell r="F20">
            <v>23</v>
          </cell>
          <cell r="G20">
            <v>0</v>
          </cell>
          <cell r="H20">
            <v>0</v>
          </cell>
          <cell r="I20">
            <v>0</v>
          </cell>
          <cell r="J20">
            <v>2.7222222222222223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CAP-OLI-018</v>
          </cell>
          <cell r="C21" t="str">
            <v>Olimpia</v>
          </cell>
          <cell r="D21" t="str">
            <v>Sede</v>
          </cell>
          <cell r="E21" t="str">
            <v>Subterrânea</v>
          </cell>
          <cell r="F21">
            <v>24</v>
          </cell>
          <cell r="G21">
            <v>0</v>
          </cell>
          <cell r="H21">
            <v>0</v>
          </cell>
          <cell r="I21">
            <v>0</v>
          </cell>
          <cell r="J21">
            <v>2.2222222222222223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CAP-OLI-019</v>
          </cell>
          <cell r="C22" t="str">
            <v>Olimpia</v>
          </cell>
          <cell r="D22" t="str">
            <v>Sede</v>
          </cell>
          <cell r="E22" t="str">
            <v>Subterrânea</v>
          </cell>
          <cell r="F22">
            <v>25</v>
          </cell>
          <cell r="G22">
            <v>0</v>
          </cell>
          <cell r="H22">
            <v>0</v>
          </cell>
          <cell r="I22">
            <v>0</v>
          </cell>
          <cell r="J22">
            <v>12.5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CAP-OLI-020</v>
          </cell>
          <cell r="C23" t="str">
            <v>Olimpia</v>
          </cell>
          <cell r="D23" t="str">
            <v>Sede</v>
          </cell>
          <cell r="E23" t="str">
            <v>Subterrânea</v>
          </cell>
          <cell r="F23">
            <v>26</v>
          </cell>
          <cell r="G23">
            <v>0</v>
          </cell>
          <cell r="H23">
            <v>0</v>
          </cell>
          <cell r="I23">
            <v>0</v>
          </cell>
          <cell r="J23">
            <v>1.3888888888888888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CAP-OLI-021</v>
          </cell>
          <cell r="C24" t="str">
            <v>Olimpia</v>
          </cell>
          <cell r="D24" t="str">
            <v>Sede</v>
          </cell>
          <cell r="E24" t="str">
            <v>Subterrânea</v>
          </cell>
          <cell r="F24">
            <v>32</v>
          </cell>
          <cell r="G24">
            <v>0</v>
          </cell>
          <cell r="H24">
            <v>0</v>
          </cell>
          <cell r="I24">
            <v>0</v>
          </cell>
          <cell r="J24">
            <v>7.5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CAP-OLI-022</v>
          </cell>
          <cell r="C25" t="str">
            <v>Olimpia</v>
          </cell>
          <cell r="D25" t="str">
            <v>Sede</v>
          </cell>
          <cell r="E25" t="str">
            <v>Subterrânea</v>
          </cell>
          <cell r="F25">
            <v>33</v>
          </cell>
          <cell r="G25">
            <v>0</v>
          </cell>
          <cell r="H25">
            <v>0</v>
          </cell>
          <cell r="I25">
            <v>0</v>
          </cell>
          <cell r="J25">
            <v>2.7777777777777777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CAP-OLI-023</v>
          </cell>
          <cell r="C26" t="str">
            <v>Olimpia</v>
          </cell>
          <cell r="D26" t="str">
            <v>Sede</v>
          </cell>
          <cell r="E26" t="str">
            <v>Subterrânea</v>
          </cell>
          <cell r="F26">
            <v>34</v>
          </cell>
          <cell r="G26">
            <v>0</v>
          </cell>
          <cell r="H26">
            <v>0</v>
          </cell>
          <cell r="I26">
            <v>0</v>
          </cell>
          <cell r="J26">
            <v>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CAP-OLI-024</v>
          </cell>
          <cell r="C27" t="str">
            <v>Olimpia</v>
          </cell>
          <cell r="D27" t="str">
            <v>Sede</v>
          </cell>
          <cell r="E27" t="str">
            <v>Subterrânea</v>
          </cell>
          <cell r="F27">
            <v>35</v>
          </cell>
          <cell r="G27">
            <v>0</v>
          </cell>
          <cell r="H27">
            <v>0</v>
          </cell>
          <cell r="I27">
            <v>0</v>
          </cell>
          <cell r="J27">
            <v>1.9444444444444444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CAP-OLI-025</v>
          </cell>
          <cell r="C28" t="str">
            <v>Olimpia</v>
          </cell>
          <cell r="D28" t="str">
            <v>Sede</v>
          </cell>
          <cell r="E28" t="str">
            <v>Subterrânea</v>
          </cell>
          <cell r="F28">
            <v>41</v>
          </cell>
          <cell r="G28">
            <v>0</v>
          </cell>
          <cell r="H28">
            <v>0</v>
          </cell>
          <cell r="I28">
            <v>0</v>
          </cell>
          <cell r="J28">
            <v>2.5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CAP-OLI-026</v>
          </cell>
          <cell r="C29" t="str">
            <v>Olimpia</v>
          </cell>
          <cell r="D29" t="str">
            <v>Sede</v>
          </cell>
          <cell r="E29" t="str">
            <v>Subterrânea</v>
          </cell>
          <cell r="F29">
            <v>42</v>
          </cell>
          <cell r="G29">
            <v>0</v>
          </cell>
          <cell r="H29">
            <v>0</v>
          </cell>
          <cell r="I29">
            <v>0</v>
          </cell>
          <cell r="J29">
            <v>5.1388888888888884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CAP-OLI-027</v>
          </cell>
          <cell r="C30" t="str">
            <v>Olimpia</v>
          </cell>
          <cell r="D30" t="str">
            <v>Sede</v>
          </cell>
          <cell r="E30" t="str">
            <v>Subterrânea</v>
          </cell>
          <cell r="F30">
            <v>44</v>
          </cell>
          <cell r="G30">
            <v>0</v>
          </cell>
          <cell r="H30">
            <v>0</v>
          </cell>
          <cell r="I30">
            <v>0</v>
          </cell>
          <cell r="J30">
            <v>2.5555555555555554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CAP-OLI-028</v>
          </cell>
          <cell r="C31" t="str">
            <v>Olimpia</v>
          </cell>
          <cell r="D31" t="str">
            <v>Sede</v>
          </cell>
          <cell r="E31" t="str">
            <v>Subterrânea</v>
          </cell>
          <cell r="F31">
            <v>45</v>
          </cell>
          <cell r="G31">
            <v>0</v>
          </cell>
          <cell r="H31">
            <v>0</v>
          </cell>
          <cell r="I31">
            <v>0</v>
          </cell>
          <cell r="J31">
            <v>2.7777777777777777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CAP-OLI-029</v>
          </cell>
          <cell r="C32" t="str">
            <v>Olimpia</v>
          </cell>
          <cell r="D32" t="str">
            <v>Sede</v>
          </cell>
          <cell r="E32" t="str">
            <v>Subterrânea</v>
          </cell>
          <cell r="F32">
            <v>46</v>
          </cell>
          <cell r="G32">
            <v>0</v>
          </cell>
          <cell r="H32">
            <v>0</v>
          </cell>
          <cell r="I32">
            <v>0</v>
          </cell>
          <cell r="J32">
            <v>7.5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CAP-OLI-030</v>
          </cell>
          <cell r="C33" t="str">
            <v>Olimpia</v>
          </cell>
          <cell r="D33" t="str">
            <v>Sede</v>
          </cell>
          <cell r="E33" t="str">
            <v>Subterrânea</v>
          </cell>
          <cell r="F33">
            <v>47</v>
          </cell>
          <cell r="G33">
            <v>0</v>
          </cell>
          <cell r="H33">
            <v>0</v>
          </cell>
          <cell r="I33">
            <v>0</v>
          </cell>
          <cell r="J33">
            <v>11.111111111111111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CAP-OLI-031</v>
          </cell>
          <cell r="C34" t="str">
            <v>Olimpia</v>
          </cell>
          <cell r="D34" t="str">
            <v>Sede</v>
          </cell>
          <cell r="E34" t="str">
            <v>Subterrânea</v>
          </cell>
          <cell r="F34">
            <v>48</v>
          </cell>
          <cell r="G34">
            <v>0</v>
          </cell>
          <cell r="H34">
            <v>0</v>
          </cell>
          <cell r="I34">
            <v>0</v>
          </cell>
          <cell r="J34">
            <v>3.6111111111111112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CAP-OLI-032</v>
          </cell>
          <cell r="C35" t="str">
            <v>Olimpia</v>
          </cell>
          <cell r="D35" t="str">
            <v>Sede</v>
          </cell>
          <cell r="E35" t="str">
            <v>Subterrânea</v>
          </cell>
          <cell r="F35">
            <v>50</v>
          </cell>
          <cell r="G35">
            <v>0</v>
          </cell>
          <cell r="H35">
            <v>0</v>
          </cell>
          <cell r="I35">
            <v>0</v>
          </cell>
          <cell r="J35">
            <v>3.0555555555555554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CAP-OLI-033</v>
          </cell>
          <cell r="C36" t="str">
            <v>Olimpia</v>
          </cell>
          <cell r="D36" t="str">
            <v>Sede</v>
          </cell>
          <cell r="E36" t="str">
            <v>Subterrânea</v>
          </cell>
          <cell r="F36">
            <v>51</v>
          </cell>
          <cell r="G36">
            <v>0</v>
          </cell>
          <cell r="H36">
            <v>0</v>
          </cell>
          <cell r="I36">
            <v>0</v>
          </cell>
          <cell r="J36">
            <v>1.6666666666666665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CAP-OLI-034</v>
          </cell>
          <cell r="C37" t="str">
            <v>Olimpia</v>
          </cell>
          <cell r="D37" t="str">
            <v>Sede</v>
          </cell>
          <cell r="E37" t="str">
            <v>Subterrânea</v>
          </cell>
          <cell r="F37">
            <v>52</v>
          </cell>
          <cell r="G37">
            <v>0</v>
          </cell>
          <cell r="H37">
            <v>0</v>
          </cell>
          <cell r="I37">
            <v>0</v>
          </cell>
          <cell r="J37">
            <v>7.2222222222222223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CAP-OLI-035</v>
          </cell>
          <cell r="C38" t="str">
            <v>Olimpia</v>
          </cell>
          <cell r="D38" t="str">
            <v>Sede</v>
          </cell>
          <cell r="E38" t="str">
            <v>Subterrânea</v>
          </cell>
          <cell r="F38">
            <v>53</v>
          </cell>
          <cell r="G38">
            <v>0</v>
          </cell>
          <cell r="H38">
            <v>0</v>
          </cell>
          <cell r="I38">
            <v>0</v>
          </cell>
          <cell r="J38">
            <v>4.4444444444444446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CAP-OLI-036</v>
          </cell>
          <cell r="C39" t="str">
            <v>Olimpia</v>
          </cell>
          <cell r="D39" t="str">
            <v>Sede</v>
          </cell>
          <cell r="E39" t="str">
            <v>Subterrânea</v>
          </cell>
          <cell r="F39">
            <v>54</v>
          </cell>
          <cell r="G39">
            <v>0</v>
          </cell>
          <cell r="H39">
            <v>0</v>
          </cell>
          <cell r="I39">
            <v>0</v>
          </cell>
          <cell r="J39">
            <v>2.2222222222222223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CAP-OLI-037</v>
          </cell>
          <cell r="C40" t="str">
            <v>Olimpia</v>
          </cell>
          <cell r="D40" t="str">
            <v>Sede</v>
          </cell>
          <cell r="E40" t="str">
            <v>Subterrânea</v>
          </cell>
          <cell r="F40">
            <v>55</v>
          </cell>
          <cell r="G40">
            <v>0</v>
          </cell>
          <cell r="H40">
            <v>0</v>
          </cell>
          <cell r="I40">
            <v>0</v>
          </cell>
          <cell r="J40">
            <v>3.8888888888888888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CAP-OLI-038</v>
          </cell>
          <cell r="C41" t="str">
            <v>Olimpia</v>
          </cell>
          <cell r="D41" t="str">
            <v>Sede</v>
          </cell>
          <cell r="E41" t="str">
            <v>Subterrânea</v>
          </cell>
          <cell r="F41">
            <v>56</v>
          </cell>
          <cell r="G41">
            <v>0</v>
          </cell>
          <cell r="H41">
            <v>0</v>
          </cell>
          <cell r="I41">
            <v>0</v>
          </cell>
          <cell r="J41">
            <v>3.0555555555555554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CAP-OLI-039</v>
          </cell>
          <cell r="C42" t="str">
            <v>Olimpia</v>
          </cell>
          <cell r="D42" t="str">
            <v>Sede</v>
          </cell>
          <cell r="E42" t="str">
            <v>Subterrânea</v>
          </cell>
          <cell r="F42">
            <v>57</v>
          </cell>
          <cell r="G42">
            <v>0</v>
          </cell>
          <cell r="H42">
            <v>0</v>
          </cell>
          <cell r="I42">
            <v>0</v>
          </cell>
          <cell r="J42">
            <v>3.0555555555555554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>CAP-OLI-040</v>
          </cell>
          <cell r="C43" t="str">
            <v>Olimpia</v>
          </cell>
          <cell r="D43" t="str">
            <v>Sede</v>
          </cell>
          <cell r="E43" t="str">
            <v>Subterrânea</v>
          </cell>
          <cell r="F43">
            <v>58</v>
          </cell>
          <cell r="G43">
            <v>0</v>
          </cell>
          <cell r="H43">
            <v>0</v>
          </cell>
          <cell r="I43">
            <v>0</v>
          </cell>
          <cell r="J43">
            <v>4.4444444444444446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CAP-OLI-041</v>
          </cell>
          <cell r="C44" t="str">
            <v>Olimpia</v>
          </cell>
          <cell r="D44" t="str">
            <v>Sede</v>
          </cell>
          <cell r="E44" t="str">
            <v>Subterrânea</v>
          </cell>
          <cell r="F44">
            <v>59</v>
          </cell>
          <cell r="G44">
            <v>0</v>
          </cell>
          <cell r="H44">
            <v>0</v>
          </cell>
          <cell r="I44">
            <v>0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CAP-OLI-042</v>
          </cell>
          <cell r="C45" t="str">
            <v>Olimpia</v>
          </cell>
          <cell r="D45" t="str">
            <v>Sede</v>
          </cell>
          <cell r="E45" t="str">
            <v>Subterrânea</v>
          </cell>
          <cell r="F45">
            <v>60</v>
          </cell>
          <cell r="G45">
            <v>0</v>
          </cell>
          <cell r="H45">
            <v>0</v>
          </cell>
          <cell r="I45">
            <v>0</v>
          </cell>
          <cell r="J45">
            <v>5.5555555555555554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CAP-OLI-043</v>
          </cell>
          <cell r="C46" t="str">
            <v>Olimpia</v>
          </cell>
          <cell r="D46" t="str">
            <v>Sede</v>
          </cell>
          <cell r="E46" t="str">
            <v>Subterrânea</v>
          </cell>
          <cell r="F46">
            <v>61</v>
          </cell>
          <cell r="G46">
            <v>0</v>
          </cell>
          <cell r="H46">
            <v>0</v>
          </cell>
          <cell r="I46">
            <v>0</v>
          </cell>
          <cell r="J46">
            <v>3.8888888888888888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CAP-OLI-044</v>
          </cell>
          <cell r="C47" t="str">
            <v>Olimpia</v>
          </cell>
          <cell r="D47" t="str">
            <v>Sede</v>
          </cell>
          <cell r="E47" t="str">
            <v>Subterrânea</v>
          </cell>
          <cell r="F47">
            <v>62</v>
          </cell>
          <cell r="G47">
            <v>0</v>
          </cell>
          <cell r="H47">
            <v>0</v>
          </cell>
          <cell r="I47">
            <v>0</v>
          </cell>
          <cell r="J47">
            <v>5.5555555555555554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CAP-OLI-045</v>
          </cell>
          <cell r="C48" t="str">
            <v>Olimpia</v>
          </cell>
          <cell r="D48" t="str">
            <v>Sede</v>
          </cell>
          <cell r="E48" t="str">
            <v>Subterrânea</v>
          </cell>
          <cell r="F48">
            <v>63</v>
          </cell>
          <cell r="G48">
            <v>0</v>
          </cell>
          <cell r="H48">
            <v>0</v>
          </cell>
          <cell r="I48">
            <v>0</v>
          </cell>
          <cell r="J48">
            <v>5.5555555555555554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CAP-OLI-046</v>
          </cell>
          <cell r="C49" t="str">
            <v>Olimpia</v>
          </cell>
          <cell r="D49" t="str">
            <v>Sede</v>
          </cell>
          <cell r="E49" t="str">
            <v>Subterrânea</v>
          </cell>
          <cell r="F49">
            <v>64</v>
          </cell>
          <cell r="G49">
            <v>0</v>
          </cell>
          <cell r="H49">
            <v>0</v>
          </cell>
          <cell r="I49">
            <v>0</v>
          </cell>
          <cell r="J49">
            <v>2.5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CAP-OLI-047</v>
          </cell>
          <cell r="C50" t="str">
            <v>Olimpia</v>
          </cell>
          <cell r="D50" t="str">
            <v>Sede</v>
          </cell>
          <cell r="E50" t="str">
            <v>Subterrânea</v>
          </cell>
          <cell r="F50">
            <v>65</v>
          </cell>
          <cell r="G50">
            <v>0</v>
          </cell>
          <cell r="H50">
            <v>0</v>
          </cell>
          <cell r="I50">
            <v>0</v>
          </cell>
          <cell r="J50">
            <v>10.277777777777777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CAP-OLI-048</v>
          </cell>
          <cell r="C51" t="str">
            <v>Olimpia</v>
          </cell>
          <cell r="D51" t="str">
            <v>Sede</v>
          </cell>
          <cell r="E51" t="str">
            <v>Subterrânea</v>
          </cell>
          <cell r="F51">
            <v>66</v>
          </cell>
          <cell r="G51">
            <v>0</v>
          </cell>
          <cell r="H51">
            <v>0</v>
          </cell>
          <cell r="I51">
            <v>0</v>
          </cell>
          <cell r="J51">
            <v>3.6111111111111112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CAP-OLI-049</v>
          </cell>
          <cell r="C52" t="str">
            <v>Olimpia</v>
          </cell>
          <cell r="D52" t="str">
            <v>Sede</v>
          </cell>
          <cell r="E52" t="str">
            <v>Subterrânea</v>
          </cell>
          <cell r="F52">
            <v>67</v>
          </cell>
          <cell r="G52">
            <v>0</v>
          </cell>
          <cell r="H52">
            <v>0</v>
          </cell>
          <cell r="I52">
            <v>0</v>
          </cell>
          <cell r="J52">
            <v>5.5555555555555554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B53" t="str">
            <v>CAP-OLI-050</v>
          </cell>
          <cell r="C53" t="str">
            <v>Olimpia</v>
          </cell>
          <cell r="D53" t="str">
            <v>Sede</v>
          </cell>
          <cell r="E53" t="str">
            <v>Subterrânea</v>
          </cell>
          <cell r="F53">
            <v>68</v>
          </cell>
          <cell r="G53">
            <v>0</v>
          </cell>
          <cell r="H53">
            <v>0</v>
          </cell>
          <cell r="I53">
            <v>0</v>
          </cell>
          <cell r="J53">
            <v>4.8888888888888893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CAP-OLI-051</v>
          </cell>
          <cell r="C54" t="str">
            <v>Olimpia</v>
          </cell>
          <cell r="D54" t="str">
            <v>Sede</v>
          </cell>
          <cell r="E54" t="str">
            <v>Subterrânea</v>
          </cell>
          <cell r="F54">
            <v>69</v>
          </cell>
          <cell r="G54">
            <v>0</v>
          </cell>
          <cell r="H54">
            <v>0</v>
          </cell>
          <cell r="I54">
            <v>0</v>
          </cell>
          <cell r="J54">
            <v>7.7777777777777777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B55" t="str">
            <v>CAP-OLI-052</v>
          </cell>
          <cell r="C55" t="str">
            <v>Olimpia</v>
          </cell>
          <cell r="D55" t="str">
            <v>Sede</v>
          </cell>
          <cell r="E55" t="str">
            <v>Subterrânea</v>
          </cell>
          <cell r="F55">
            <v>70</v>
          </cell>
          <cell r="G55">
            <v>0</v>
          </cell>
          <cell r="H55">
            <v>0</v>
          </cell>
          <cell r="I55">
            <v>0</v>
          </cell>
          <cell r="J55">
            <v>5.5555555555555554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CAP-OLI-053</v>
          </cell>
          <cell r="C56" t="str">
            <v>Olimpia</v>
          </cell>
          <cell r="D56" t="str">
            <v>Sede</v>
          </cell>
          <cell r="E56" t="str">
            <v>Subterrânea</v>
          </cell>
          <cell r="F56">
            <v>71</v>
          </cell>
          <cell r="G56">
            <v>0</v>
          </cell>
          <cell r="H56">
            <v>0</v>
          </cell>
          <cell r="I56">
            <v>0</v>
          </cell>
          <cell r="J56">
            <v>3.9722222222222223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CAP-OLI-054</v>
          </cell>
          <cell r="C57" t="str">
            <v>Olimpia</v>
          </cell>
          <cell r="D57" t="str">
            <v>Sede</v>
          </cell>
          <cell r="E57" t="str">
            <v>Subterrânea</v>
          </cell>
          <cell r="F57">
            <v>72</v>
          </cell>
          <cell r="G57">
            <v>0</v>
          </cell>
          <cell r="H57">
            <v>0</v>
          </cell>
          <cell r="I57">
            <v>0</v>
          </cell>
          <cell r="J57">
            <v>8.3333333333333339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CAP-OLI-055</v>
          </cell>
          <cell r="C58" t="str">
            <v>Olimpia</v>
          </cell>
          <cell r="D58" t="str">
            <v>Sede</v>
          </cell>
          <cell r="E58" t="str">
            <v>Subterrânea</v>
          </cell>
          <cell r="F58">
            <v>73</v>
          </cell>
          <cell r="G58">
            <v>0</v>
          </cell>
          <cell r="H58">
            <v>0</v>
          </cell>
          <cell r="I58">
            <v>0</v>
          </cell>
          <cell r="J58">
            <v>10.555555555555555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CAP-OLI-056</v>
          </cell>
          <cell r="C59" t="str">
            <v>Olimpia</v>
          </cell>
          <cell r="D59" t="str">
            <v>Sede</v>
          </cell>
          <cell r="E59" t="str">
            <v>Subterrânea</v>
          </cell>
          <cell r="F59">
            <v>75</v>
          </cell>
          <cell r="G59">
            <v>0</v>
          </cell>
          <cell r="H59">
            <v>0</v>
          </cell>
          <cell r="I59">
            <v>0</v>
          </cell>
          <cell r="J59">
            <v>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CAP-OLI-057</v>
          </cell>
          <cell r="C60" t="str">
            <v>Olimpia</v>
          </cell>
          <cell r="D60" t="str">
            <v>Sede</v>
          </cell>
          <cell r="E60" t="str">
            <v>Subterrânea</v>
          </cell>
          <cell r="F60">
            <v>76</v>
          </cell>
          <cell r="G60">
            <v>0</v>
          </cell>
          <cell r="H60">
            <v>0</v>
          </cell>
          <cell r="I60">
            <v>0</v>
          </cell>
          <cell r="J60">
            <v>3.8888888888888888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CAP-OLI-058</v>
          </cell>
          <cell r="C61" t="str">
            <v>Olimpia</v>
          </cell>
          <cell r="D61" t="str">
            <v>Sede</v>
          </cell>
          <cell r="E61" t="str">
            <v>Subterrânea</v>
          </cell>
          <cell r="F61">
            <v>77</v>
          </cell>
          <cell r="G61">
            <v>0</v>
          </cell>
          <cell r="H61">
            <v>0</v>
          </cell>
          <cell r="I61">
            <v>0</v>
          </cell>
          <cell r="J61">
            <v>3.8888888888888888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CAP-OLI-059</v>
          </cell>
          <cell r="C62" t="str">
            <v>Olimpia</v>
          </cell>
          <cell r="D62" t="str">
            <v>Sede</v>
          </cell>
          <cell r="E62" t="str">
            <v>Subterrânea</v>
          </cell>
          <cell r="F62">
            <v>80</v>
          </cell>
          <cell r="G62">
            <v>0</v>
          </cell>
          <cell r="H62">
            <v>0</v>
          </cell>
          <cell r="I62">
            <v>0</v>
          </cell>
          <cell r="J62">
            <v>6.6666666666666661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CAP-OLI-060</v>
          </cell>
          <cell r="C63" t="str">
            <v>Olimpia</v>
          </cell>
          <cell r="D63" t="str">
            <v>Sede</v>
          </cell>
          <cell r="E63" t="str">
            <v>Subterrânea</v>
          </cell>
          <cell r="F63">
            <v>81</v>
          </cell>
          <cell r="G63">
            <v>0</v>
          </cell>
          <cell r="H63">
            <v>0</v>
          </cell>
          <cell r="I63">
            <v>0</v>
          </cell>
          <cell r="J63">
            <v>5.5555555555555554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B64" t="str">
            <v>CAP-OLI-061</v>
          </cell>
          <cell r="C64" t="str">
            <v>Olimpia</v>
          </cell>
          <cell r="D64" t="str">
            <v>Sede</v>
          </cell>
          <cell r="E64" t="str">
            <v>Subterrânea</v>
          </cell>
          <cell r="F64">
            <v>82</v>
          </cell>
          <cell r="G64">
            <v>0</v>
          </cell>
          <cell r="H64">
            <v>0</v>
          </cell>
          <cell r="I64">
            <v>0</v>
          </cell>
          <cell r="J64">
            <v>6.6666666666666661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CAP-OLI-062</v>
          </cell>
          <cell r="C65" t="str">
            <v>Olimpia</v>
          </cell>
          <cell r="D65" t="str">
            <v>Sede</v>
          </cell>
          <cell r="E65" t="str">
            <v>Subterrânea</v>
          </cell>
          <cell r="F65">
            <v>83</v>
          </cell>
          <cell r="G65">
            <v>0</v>
          </cell>
          <cell r="H65">
            <v>0</v>
          </cell>
          <cell r="I65">
            <v>0</v>
          </cell>
          <cell r="J65">
            <v>5.5555555555555554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CAP-OLI-063</v>
          </cell>
          <cell r="C66" t="str">
            <v>Olimpia</v>
          </cell>
          <cell r="D66" t="str">
            <v>Sede</v>
          </cell>
          <cell r="E66" t="str">
            <v>Subterrânea</v>
          </cell>
          <cell r="F66">
            <v>84</v>
          </cell>
          <cell r="G66">
            <v>0</v>
          </cell>
          <cell r="H66">
            <v>0</v>
          </cell>
          <cell r="I66">
            <v>0</v>
          </cell>
          <cell r="J66">
            <v>1.6666666666666665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CAP-OLI-064</v>
          </cell>
          <cell r="C67" t="str">
            <v>Olimpia</v>
          </cell>
          <cell r="D67" t="str">
            <v>Sede</v>
          </cell>
          <cell r="E67" t="str">
            <v>Subterrânea</v>
          </cell>
          <cell r="F67">
            <v>85</v>
          </cell>
          <cell r="G67">
            <v>0</v>
          </cell>
          <cell r="H67">
            <v>0</v>
          </cell>
          <cell r="I67">
            <v>0</v>
          </cell>
          <cell r="J67">
            <v>8.3333333333333339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CAP-OLI-065</v>
          </cell>
          <cell r="C68" t="str">
            <v>Olimpia</v>
          </cell>
          <cell r="D68" t="str">
            <v>Sede</v>
          </cell>
          <cell r="E68" t="str">
            <v>Subterrânea</v>
          </cell>
          <cell r="F68">
            <v>86</v>
          </cell>
          <cell r="G68">
            <v>0</v>
          </cell>
          <cell r="H68">
            <v>0</v>
          </cell>
          <cell r="I68">
            <v>0</v>
          </cell>
          <cell r="J68">
            <v>4.4444444444444446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CAP-OLI-066</v>
          </cell>
          <cell r="C69" t="str">
            <v>Olimpia</v>
          </cell>
          <cell r="D69" t="str">
            <v>Sede</v>
          </cell>
          <cell r="E69" t="str">
            <v>Subterrânea</v>
          </cell>
          <cell r="F69">
            <v>770</v>
          </cell>
          <cell r="G69">
            <v>0</v>
          </cell>
          <cell r="H69">
            <v>0</v>
          </cell>
          <cell r="I69">
            <v>0</v>
          </cell>
          <cell r="J69">
            <v>7.7777777777777777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</sheetData>
      <sheetData sheetId="3"/>
      <sheetData sheetId="4"/>
      <sheetData sheetId="5">
        <row r="4">
          <cell r="B4" t="str">
            <v>ETA-OLI-001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ETE-OLI-001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- RECUPERAÇÃO DE ATIVOS"/>
      <sheetName val="CUSTOS UNITÁRIOS"/>
      <sheetName val="CAPTAÇÃO_AGUA"/>
      <sheetName val="ELEVATÓRIA_AGUA_BRUTA"/>
      <sheetName val="ADUÇÃO_AGUA"/>
      <sheetName val="TRATAMENTO_AGUA"/>
      <sheetName val="ELEVATÓRIA_AGUA_TRATADA"/>
      <sheetName val="RESERVAÇÃO_AGUA"/>
      <sheetName val="REDE_AGUA"/>
      <sheetName val="LIG ECO_AGUA"/>
      <sheetName val="ELEVATÓRIAS_ESG"/>
      <sheetName val="LINHAS DE REC_EMISSARIOS_INTERC"/>
      <sheetName val="TRATAMENTO_ESG"/>
      <sheetName val="REDE COLETORA"/>
      <sheetName val="LIG ECO_ESG"/>
      <sheetName val="PERDAS_FIS_COM"/>
      <sheetName val="ANÁLISE_INVEST."/>
      <sheetName val="AVA._DISPONIBILIDADE"/>
      <sheetName val="ANÁLISE_TARIFÁRIA"/>
    </sheetNames>
    <sheetDataSet>
      <sheetData sheetId="0"/>
      <sheetData sheetId="1"/>
      <sheetData sheetId="2">
        <row r="4">
          <cell r="B4" t="str">
            <v>CAP-SMO-001</v>
          </cell>
          <cell r="C4" t="str">
            <v>São Miguel do Oeste</v>
          </cell>
          <cell r="D4" t="str">
            <v>Sede</v>
          </cell>
          <cell r="E4" t="str">
            <v>Superficial</v>
          </cell>
          <cell r="F4" t="str">
            <v>Rio das Flores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B5" t="str">
            <v>CAP-SMO-002</v>
          </cell>
          <cell r="C5" t="str">
            <v>São Miguel do Oeste</v>
          </cell>
          <cell r="D5" t="str">
            <v>Sede</v>
          </cell>
          <cell r="E5" t="str">
            <v>Superficial</v>
          </cell>
          <cell r="F5" t="str">
            <v>Rio Camboim / Poço 01</v>
          </cell>
          <cell r="G5">
            <v>1200</v>
          </cell>
          <cell r="H5">
            <v>1</v>
          </cell>
          <cell r="I5">
            <v>1</v>
          </cell>
          <cell r="J5">
            <v>98</v>
          </cell>
          <cell r="K5">
            <v>300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- RECUPERAÇÃO DE ATIVOS"/>
      <sheetName val="CUSTOS UNITÁRIOS"/>
      <sheetName val="CAPTAÇÃO_AGUA"/>
      <sheetName val="ELEVATÓRIA_AGUA_BRUTA"/>
      <sheetName val="ADUÇÃO_AGUA"/>
      <sheetName val="TRATAMENTO_AGUA"/>
      <sheetName val="ELEVATÓRIA_AGUA_TRATADA"/>
      <sheetName val="RESERVAÇÃO_AGUA"/>
      <sheetName val="REDE_AGUA"/>
      <sheetName val="LIG ECO_AGUA"/>
      <sheetName val="ELEVATÓRIAS_ESG"/>
      <sheetName val="LINHAS DE REC_EMISSARIOS_INTERC"/>
      <sheetName val="TRATAMENTO_ESG"/>
      <sheetName val="REDE COLETORA"/>
      <sheetName val="LIG ECO_ESG"/>
      <sheetName val="PERDAS_FIS_COM"/>
      <sheetName val="ANÁLISE_INVEST."/>
      <sheetName val="AVA._DISPONIBILIDADE"/>
      <sheetName val="ANÁLISE_TARIFÁRIA"/>
    </sheetNames>
    <sheetDataSet>
      <sheetData sheetId="0"/>
      <sheetData sheetId="1"/>
      <sheetData sheetId="2">
        <row r="4">
          <cell r="B4" t="str">
            <v>CAP-OLI-001</v>
          </cell>
          <cell r="C4" t="str">
            <v>Olimpia</v>
          </cell>
          <cell r="D4" t="str">
            <v>ZH I e ZH II</v>
          </cell>
          <cell r="E4" t="str">
            <v>Superficial</v>
          </cell>
          <cell r="F4" t="str">
            <v>Riberião Olhos D Água</v>
          </cell>
          <cell r="G4">
            <v>0</v>
          </cell>
          <cell r="H4">
            <v>2</v>
          </cell>
          <cell r="I4">
            <v>0</v>
          </cell>
          <cell r="J4">
            <v>574.6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 t="str">
            <v>São suficientes para a demanda c om margem de 50%</v>
          </cell>
        </row>
        <row r="5">
          <cell r="B5" t="str">
            <v>CAP-OLI-002</v>
          </cell>
          <cell r="C5" t="str">
            <v>Olimpia</v>
          </cell>
          <cell r="D5" t="str">
            <v>Sede</v>
          </cell>
          <cell r="E5" t="str">
            <v>Subterrânea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5.5555555555555554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B6" t="str">
            <v>CAP-OLI-003</v>
          </cell>
          <cell r="C6" t="str">
            <v>Olimpia</v>
          </cell>
          <cell r="D6" t="str">
            <v>Sede</v>
          </cell>
          <cell r="E6" t="str">
            <v>Subterrânea</v>
          </cell>
          <cell r="F6">
            <v>5</v>
          </cell>
          <cell r="G6">
            <v>0</v>
          </cell>
          <cell r="H6">
            <v>0</v>
          </cell>
          <cell r="I6">
            <v>0</v>
          </cell>
          <cell r="J6">
            <v>2.7777777777777777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B7" t="str">
            <v>CAP-OLI-004</v>
          </cell>
          <cell r="C7" t="str">
            <v>Olimpia</v>
          </cell>
          <cell r="D7" t="str">
            <v>Sede</v>
          </cell>
          <cell r="E7" t="str">
            <v>Subterrânea</v>
          </cell>
          <cell r="F7">
            <v>7</v>
          </cell>
          <cell r="G7">
            <v>0</v>
          </cell>
          <cell r="H7">
            <v>0</v>
          </cell>
          <cell r="I7">
            <v>0</v>
          </cell>
          <cell r="J7">
            <v>1.2222222222222223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CAP-OLI-005</v>
          </cell>
          <cell r="C8" t="str">
            <v>Olimpia</v>
          </cell>
          <cell r="D8" t="str">
            <v>Sede</v>
          </cell>
          <cell r="E8" t="str">
            <v>Subterrânea</v>
          </cell>
          <cell r="F8">
            <v>8</v>
          </cell>
          <cell r="G8">
            <v>0</v>
          </cell>
          <cell r="H8">
            <v>0</v>
          </cell>
          <cell r="I8">
            <v>0</v>
          </cell>
          <cell r="J8">
            <v>2.2222222222222223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CAP-OLI-006</v>
          </cell>
          <cell r="C9" t="str">
            <v>Olimpia</v>
          </cell>
          <cell r="D9" t="str">
            <v>Sede</v>
          </cell>
          <cell r="E9" t="str">
            <v>Subterrânea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2.7777777777777777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B10" t="str">
            <v>CAP-OLI-007</v>
          </cell>
          <cell r="C10" t="str">
            <v>Olimpia</v>
          </cell>
          <cell r="D10" t="str">
            <v>Sede</v>
          </cell>
          <cell r="E10" t="str">
            <v>Subterrânea</v>
          </cell>
          <cell r="F10">
            <v>12</v>
          </cell>
          <cell r="G10">
            <v>0</v>
          </cell>
          <cell r="H10">
            <v>0</v>
          </cell>
          <cell r="I10">
            <v>0</v>
          </cell>
          <cell r="J10">
            <v>2.5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CAP-OLI-008</v>
          </cell>
          <cell r="C11" t="str">
            <v>Olimpia</v>
          </cell>
          <cell r="D11" t="str">
            <v>Sede</v>
          </cell>
          <cell r="E11" t="str">
            <v>Subterrânea</v>
          </cell>
          <cell r="F11">
            <v>13</v>
          </cell>
          <cell r="G11">
            <v>0</v>
          </cell>
          <cell r="H11">
            <v>0</v>
          </cell>
          <cell r="I11">
            <v>0</v>
          </cell>
          <cell r="J11">
            <v>1.9444444444444444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CAP-OLI-009</v>
          </cell>
          <cell r="C12" t="str">
            <v>Olimpia</v>
          </cell>
          <cell r="D12" t="str">
            <v>Sede</v>
          </cell>
          <cell r="E12" t="str">
            <v>Subterrânea</v>
          </cell>
          <cell r="F12">
            <v>15</v>
          </cell>
          <cell r="G12">
            <v>0</v>
          </cell>
          <cell r="H12">
            <v>0</v>
          </cell>
          <cell r="I12">
            <v>0</v>
          </cell>
          <cell r="J12">
            <v>2.6944444444444442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CAP-OLI-010</v>
          </cell>
          <cell r="C13" t="str">
            <v>Olimpia</v>
          </cell>
          <cell r="D13" t="str">
            <v>Sede</v>
          </cell>
          <cell r="E13" t="str">
            <v>Subterrânea</v>
          </cell>
          <cell r="F13">
            <v>16</v>
          </cell>
          <cell r="G13">
            <v>0</v>
          </cell>
          <cell r="H13">
            <v>0</v>
          </cell>
          <cell r="I13">
            <v>0</v>
          </cell>
          <cell r="J13">
            <v>1.3888888888888888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CAP-OLI-011</v>
          </cell>
          <cell r="C14" t="str">
            <v>Olimpia</v>
          </cell>
          <cell r="D14" t="str">
            <v>Sede</v>
          </cell>
          <cell r="E14" t="str">
            <v>Subterrânea</v>
          </cell>
          <cell r="F14">
            <v>17</v>
          </cell>
          <cell r="G14">
            <v>0</v>
          </cell>
          <cell r="H14">
            <v>0</v>
          </cell>
          <cell r="I14">
            <v>0</v>
          </cell>
          <cell r="J14">
            <v>4.4444444444444446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CAP-OLI-012</v>
          </cell>
          <cell r="C15" t="str">
            <v>Olimpia</v>
          </cell>
          <cell r="D15" t="str">
            <v>Sede</v>
          </cell>
          <cell r="E15" t="str">
            <v>Subterrânea</v>
          </cell>
          <cell r="F15">
            <v>18</v>
          </cell>
          <cell r="G15">
            <v>0</v>
          </cell>
          <cell r="H15">
            <v>0</v>
          </cell>
          <cell r="I15">
            <v>0</v>
          </cell>
          <cell r="J15">
            <v>2.7777777777777777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CAP-OLI-013</v>
          </cell>
          <cell r="C16" t="str">
            <v>Olimpia</v>
          </cell>
          <cell r="D16" t="str">
            <v>Sede</v>
          </cell>
          <cell r="E16" t="str">
            <v>Subterrânea</v>
          </cell>
          <cell r="F16">
            <v>19</v>
          </cell>
          <cell r="G16">
            <v>0</v>
          </cell>
          <cell r="H16">
            <v>0</v>
          </cell>
          <cell r="I16">
            <v>0</v>
          </cell>
          <cell r="J16">
            <v>9.7222222222222214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CAP-OLI-014</v>
          </cell>
          <cell r="C17" t="str">
            <v>Olimpia</v>
          </cell>
          <cell r="D17" t="str">
            <v>Sede</v>
          </cell>
          <cell r="E17" t="str">
            <v>Subterrânea</v>
          </cell>
          <cell r="F17">
            <v>20</v>
          </cell>
          <cell r="G17">
            <v>0</v>
          </cell>
          <cell r="H17">
            <v>0</v>
          </cell>
          <cell r="I17">
            <v>0</v>
          </cell>
          <cell r="J17">
            <v>1.3888888888888888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CAP-OLI-015</v>
          </cell>
          <cell r="C18" t="str">
            <v>Olimpia</v>
          </cell>
          <cell r="D18" t="str">
            <v>Sede</v>
          </cell>
          <cell r="E18" t="str">
            <v>Subterrânea</v>
          </cell>
          <cell r="F18">
            <v>21</v>
          </cell>
          <cell r="G18">
            <v>0</v>
          </cell>
          <cell r="H18">
            <v>0</v>
          </cell>
          <cell r="I18">
            <v>0</v>
          </cell>
          <cell r="J18">
            <v>3.0555555555555554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CAP-OLI-016</v>
          </cell>
          <cell r="C19" t="str">
            <v>Olimpia</v>
          </cell>
          <cell r="D19" t="str">
            <v>Sede</v>
          </cell>
          <cell r="E19" t="str">
            <v>Subterrânea</v>
          </cell>
          <cell r="F19">
            <v>22</v>
          </cell>
          <cell r="G19">
            <v>0</v>
          </cell>
          <cell r="H19">
            <v>0</v>
          </cell>
          <cell r="I19">
            <v>0</v>
          </cell>
          <cell r="J19">
            <v>1.3888888888888888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CAP-OLI-017</v>
          </cell>
          <cell r="C20" t="str">
            <v>Olimpia</v>
          </cell>
          <cell r="D20" t="str">
            <v>Sede</v>
          </cell>
          <cell r="E20" t="str">
            <v>Subterrânea</v>
          </cell>
          <cell r="F20">
            <v>23</v>
          </cell>
          <cell r="G20">
            <v>0</v>
          </cell>
          <cell r="H20">
            <v>0</v>
          </cell>
          <cell r="I20">
            <v>0</v>
          </cell>
          <cell r="J20">
            <v>2.7222222222222223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CAP-OLI-018</v>
          </cell>
          <cell r="C21" t="str">
            <v>Olimpia</v>
          </cell>
          <cell r="D21" t="str">
            <v>Sede</v>
          </cell>
          <cell r="E21" t="str">
            <v>Subterrânea</v>
          </cell>
          <cell r="F21">
            <v>24</v>
          </cell>
          <cell r="G21">
            <v>0</v>
          </cell>
          <cell r="H21">
            <v>0</v>
          </cell>
          <cell r="I21">
            <v>0</v>
          </cell>
          <cell r="J21">
            <v>2.2222222222222223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CAP-OLI-019</v>
          </cell>
          <cell r="C22" t="str">
            <v>Olimpia</v>
          </cell>
          <cell r="D22" t="str">
            <v>Sede</v>
          </cell>
          <cell r="E22" t="str">
            <v>Subterrânea</v>
          </cell>
          <cell r="F22">
            <v>25</v>
          </cell>
          <cell r="G22">
            <v>0</v>
          </cell>
          <cell r="H22">
            <v>0</v>
          </cell>
          <cell r="I22">
            <v>0</v>
          </cell>
          <cell r="J22">
            <v>12.5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CAP-OLI-020</v>
          </cell>
          <cell r="C23" t="str">
            <v>Olimpia</v>
          </cell>
          <cell r="D23" t="str">
            <v>Sede</v>
          </cell>
          <cell r="E23" t="str">
            <v>Subterrânea</v>
          </cell>
          <cell r="F23">
            <v>26</v>
          </cell>
          <cell r="G23">
            <v>0</v>
          </cell>
          <cell r="H23">
            <v>0</v>
          </cell>
          <cell r="I23">
            <v>0</v>
          </cell>
          <cell r="J23">
            <v>1.3888888888888888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CAP-OLI-021</v>
          </cell>
          <cell r="C24" t="str">
            <v>Olimpia</v>
          </cell>
          <cell r="D24" t="str">
            <v>Sede</v>
          </cell>
          <cell r="E24" t="str">
            <v>Subterrânea</v>
          </cell>
          <cell r="F24">
            <v>32</v>
          </cell>
          <cell r="G24">
            <v>0</v>
          </cell>
          <cell r="H24">
            <v>0</v>
          </cell>
          <cell r="I24">
            <v>0</v>
          </cell>
          <cell r="J24">
            <v>7.5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CAP-OLI-022</v>
          </cell>
          <cell r="C25" t="str">
            <v>Olimpia</v>
          </cell>
          <cell r="D25" t="str">
            <v>Sede</v>
          </cell>
          <cell r="E25" t="str">
            <v>Subterrânea</v>
          </cell>
          <cell r="F25">
            <v>33</v>
          </cell>
          <cell r="G25">
            <v>0</v>
          </cell>
          <cell r="H25">
            <v>0</v>
          </cell>
          <cell r="I25">
            <v>0</v>
          </cell>
          <cell r="J25">
            <v>2.7777777777777777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CAP-OLI-023</v>
          </cell>
          <cell r="C26" t="str">
            <v>Olimpia</v>
          </cell>
          <cell r="D26" t="str">
            <v>Sede</v>
          </cell>
          <cell r="E26" t="str">
            <v>Subterrânea</v>
          </cell>
          <cell r="F26">
            <v>34</v>
          </cell>
          <cell r="G26">
            <v>0</v>
          </cell>
          <cell r="H26">
            <v>0</v>
          </cell>
          <cell r="I26">
            <v>0</v>
          </cell>
          <cell r="J26">
            <v>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CAP-OLI-024</v>
          </cell>
          <cell r="C27" t="str">
            <v>Olimpia</v>
          </cell>
          <cell r="D27" t="str">
            <v>Sede</v>
          </cell>
          <cell r="E27" t="str">
            <v>Subterrânea</v>
          </cell>
          <cell r="F27">
            <v>35</v>
          </cell>
          <cell r="G27">
            <v>0</v>
          </cell>
          <cell r="H27">
            <v>0</v>
          </cell>
          <cell r="I27">
            <v>0</v>
          </cell>
          <cell r="J27">
            <v>1.9444444444444444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CAP-OLI-025</v>
          </cell>
          <cell r="C28" t="str">
            <v>Olimpia</v>
          </cell>
          <cell r="D28" t="str">
            <v>Sede</v>
          </cell>
          <cell r="E28" t="str">
            <v>Subterrânea</v>
          </cell>
          <cell r="F28">
            <v>41</v>
          </cell>
          <cell r="G28">
            <v>0</v>
          </cell>
          <cell r="H28">
            <v>0</v>
          </cell>
          <cell r="I28">
            <v>0</v>
          </cell>
          <cell r="J28">
            <v>2.5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CAP-OLI-026</v>
          </cell>
          <cell r="C29" t="str">
            <v>Olimpia</v>
          </cell>
          <cell r="D29" t="str">
            <v>Sede</v>
          </cell>
          <cell r="E29" t="str">
            <v>Subterrânea</v>
          </cell>
          <cell r="F29">
            <v>42</v>
          </cell>
          <cell r="G29">
            <v>0</v>
          </cell>
          <cell r="H29">
            <v>0</v>
          </cell>
          <cell r="I29">
            <v>0</v>
          </cell>
          <cell r="J29">
            <v>5.1388888888888884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CAP-OLI-027</v>
          </cell>
          <cell r="C30" t="str">
            <v>Olimpia</v>
          </cell>
          <cell r="D30" t="str">
            <v>Sede</v>
          </cell>
          <cell r="E30" t="str">
            <v>Subterrânea</v>
          </cell>
          <cell r="F30">
            <v>44</v>
          </cell>
          <cell r="G30">
            <v>0</v>
          </cell>
          <cell r="H30">
            <v>0</v>
          </cell>
          <cell r="I30">
            <v>0</v>
          </cell>
          <cell r="J30">
            <v>2.5555555555555554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CAP-OLI-028</v>
          </cell>
          <cell r="C31" t="str">
            <v>Olimpia</v>
          </cell>
          <cell r="D31" t="str">
            <v>Sede</v>
          </cell>
          <cell r="E31" t="str">
            <v>Subterrânea</v>
          </cell>
          <cell r="F31">
            <v>45</v>
          </cell>
          <cell r="G31">
            <v>0</v>
          </cell>
          <cell r="H31">
            <v>0</v>
          </cell>
          <cell r="I31">
            <v>0</v>
          </cell>
          <cell r="J31">
            <v>2.7777777777777777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CAP-OLI-029</v>
          </cell>
          <cell r="C32" t="str">
            <v>Olimpia</v>
          </cell>
          <cell r="D32" t="str">
            <v>Sede</v>
          </cell>
          <cell r="E32" t="str">
            <v>Subterrânea</v>
          </cell>
          <cell r="F32">
            <v>46</v>
          </cell>
          <cell r="G32">
            <v>0</v>
          </cell>
          <cell r="H32">
            <v>0</v>
          </cell>
          <cell r="I32">
            <v>0</v>
          </cell>
          <cell r="J32">
            <v>7.5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CAP-OLI-030</v>
          </cell>
          <cell r="C33" t="str">
            <v>Olimpia</v>
          </cell>
          <cell r="D33" t="str">
            <v>Sede</v>
          </cell>
          <cell r="E33" t="str">
            <v>Subterrânea</v>
          </cell>
          <cell r="F33">
            <v>47</v>
          </cell>
          <cell r="G33">
            <v>0</v>
          </cell>
          <cell r="H33">
            <v>0</v>
          </cell>
          <cell r="I33">
            <v>0</v>
          </cell>
          <cell r="J33">
            <v>11.111111111111111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CAP-OLI-031</v>
          </cell>
          <cell r="C34" t="str">
            <v>Olimpia</v>
          </cell>
          <cell r="D34" t="str">
            <v>Sede</v>
          </cell>
          <cell r="E34" t="str">
            <v>Subterrânea</v>
          </cell>
          <cell r="F34">
            <v>48</v>
          </cell>
          <cell r="G34">
            <v>0</v>
          </cell>
          <cell r="H34">
            <v>0</v>
          </cell>
          <cell r="I34">
            <v>0</v>
          </cell>
          <cell r="J34">
            <v>3.6111111111111112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CAP-OLI-032</v>
          </cell>
          <cell r="C35" t="str">
            <v>Olimpia</v>
          </cell>
          <cell r="D35" t="str">
            <v>Sede</v>
          </cell>
          <cell r="E35" t="str">
            <v>Subterrânea</v>
          </cell>
          <cell r="F35">
            <v>50</v>
          </cell>
          <cell r="G35">
            <v>0</v>
          </cell>
          <cell r="H35">
            <v>0</v>
          </cell>
          <cell r="I35">
            <v>0</v>
          </cell>
          <cell r="J35">
            <v>3.0555555555555554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CAP-OLI-033</v>
          </cell>
          <cell r="C36" t="str">
            <v>Olimpia</v>
          </cell>
          <cell r="D36" t="str">
            <v>Sede</v>
          </cell>
          <cell r="E36" t="str">
            <v>Subterrânea</v>
          </cell>
          <cell r="F36">
            <v>51</v>
          </cell>
          <cell r="G36">
            <v>0</v>
          </cell>
          <cell r="H36">
            <v>0</v>
          </cell>
          <cell r="I36">
            <v>0</v>
          </cell>
          <cell r="J36">
            <v>1.6666666666666665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CAP-OLI-034</v>
          </cell>
          <cell r="C37" t="str">
            <v>Olimpia</v>
          </cell>
          <cell r="D37" t="str">
            <v>Sede</v>
          </cell>
          <cell r="E37" t="str">
            <v>Subterrânea</v>
          </cell>
          <cell r="F37">
            <v>52</v>
          </cell>
          <cell r="G37">
            <v>0</v>
          </cell>
          <cell r="H37">
            <v>0</v>
          </cell>
          <cell r="I37">
            <v>0</v>
          </cell>
          <cell r="J37">
            <v>7.2222222222222223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CAP-OLI-035</v>
          </cell>
          <cell r="C38" t="str">
            <v>Olimpia</v>
          </cell>
          <cell r="D38" t="str">
            <v>Sede</v>
          </cell>
          <cell r="E38" t="str">
            <v>Subterrânea</v>
          </cell>
          <cell r="F38">
            <v>53</v>
          </cell>
          <cell r="G38">
            <v>0</v>
          </cell>
          <cell r="H38">
            <v>0</v>
          </cell>
          <cell r="I38">
            <v>0</v>
          </cell>
          <cell r="J38">
            <v>4.4444444444444446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CAP-OLI-036</v>
          </cell>
          <cell r="C39" t="str">
            <v>Olimpia</v>
          </cell>
          <cell r="D39" t="str">
            <v>Sede</v>
          </cell>
          <cell r="E39" t="str">
            <v>Subterrânea</v>
          </cell>
          <cell r="F39">
            <v>54</v>
          </cell>
          <cell r="G39">
            <v>0</v>
          </cell>
          <cell r="H39">
            <v>0</v>
          </cell>
          <cell r="I39">
            <v>0</v>
          </cell>
          <cell r="J39">
            <v>2.2222222222222223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CAP-OLI-037</v>
          </cell>
          <cell r="C40" t="str">
            <v>Olimpia</v>
          </cell>
          <cell r="D40" t="str">
            <v>Sede</v>
          </cell>
          <cell r="E40" t="str">
            <v>Subterrânea</v>
          </cell>
          <cell r="F40">
            <v>55</v>
          </cell>
          <cell r="G40">
            <v>0</v>
          </cell>
          <cell r="H40">
            <v>0</v>
          </cell>
          <cell r="I40">
            <v>0</v>
          </cell>
          <cell r="J40">
            <v>3.8888888888888888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CAP-OLI-038</v>
          </cell>
          <cell r="C41" t="str">
            <v>Olimpia</v>
          </cell>
          <cell r="D41" t="str">
            <v>Sede</v>
          </cell>
          <cell r="E41" t="str">
            <v>Subterrânea</v>
          </cell>
          <cell r="F41">
            <v>56</v>
          </cell>
          <cell r="G41">
            <v>0</v>
          </cell>
          <cell r="H41">
            <v>0</v>
          </cell>
          <cell r="I41">
            <v>0</v>
          </cell>
          <cell r="J41">
            <v>3.0555555555555554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CAP-OLI-039</v>
          </cell>
          <cell r="C42" t="str">
            <v>Olimpia</v>
          </cell>
          <cell r="D42" t="str">
            <v>Sede</v>
          </cell>
          <cell r="E42" t="str">
            <v>Subterrânea</v>
          </cell>
          <cell r="F42">
            <v>57</v>
          </cell>
          <cell r="G42">
            <v>0</v>
          </cell>
          <cell r="H42">
            <v>0</v>
          </cell>
          <cell r="I42">
            <v>0</v>
          </cell>
          <cell r="J42">
            <v>3.0555555555555554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>CAP-OLI-040</v>
          </cell>
          <cell r="C43" t="str">
            <v>Olimpia</v>
          </cell>
          <cell r="D43" t="str">
            <v>Sede</v>
          </cell>
          <cell r="E43" t="str">
            <v>Subterrânea</v>
          </cell>
          <cell r="F43">
            <v>58</v>
          </cell>
          <cell r="G43">
            <v>0</v>
          </cell>
          <cell r="H43">
            <v>0</v>
          </cell>
          <cell r="I43">
            <v>0</v>
          </cell>
          <cell r="J43">
            <v>4.4444444444444446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CAP-OLI-041</v>
          </cell>
          <cell r="C44" t="str">
            <v>Olimpia</v>
          </cell>
          <cell r="D44" t="str">
            <v>Sede</v>
          </cell>
          <cell r="E44" t="str">
            <v>Subterrânea</v>
          </cell>
          <cell r="F44">
            <v>59</v>
          </cell>
          <cell r="G44">
            <v>0</v>
          </cell>
          <cell r="H44">
            <v>0</v>
          </cell>
          <cell r="I44">
            <v>0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CAP-OLI-042</v>
          </cell>
          <cell r="C45" t="str">
            <v>Olimpia</v>
          </cell>
          <cell r="D45" t="str">
            <v>Sede</v>
          </cell>
          <cell r="E45" t="str">
            <v>Subterrânea</v>
          </cell>
          <cell r="F45">
            <v>60</v>
          </cell>
          <cell r="G45">
            <v>0</v>
          </cell>
          <cell r="H45">
            <v>0</v>
          </cell>
          <cell r="I45">
            <v>0</v>
          </cell>
          <cell r="J45">
            <v>5.5555555555555554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CAP-OLI-043</v>
          </cell>
          <cell r="C46" t="str">
            <v>Olimpia</v>
          </cell>
          <cell r="D46" t="str">
            <v>Sede</v>
          </cell>
          <cell r="E46" t="str">
            <v>Subterrânea</v>
          </cell>
          <cell r="F46">
            <v>61</v>
          </cell>
          <cell r="G46">
            <v>0</v>
          </cell>
          <cell r="H46">
            <v>0</v>
          </cell>
          <cell r="I46">
            <v>0</v>
          </cell>
          <cell r="J46">
            <v>3.8888888888888888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CAP-OLI-044</v>
          </cell>
          <cell r="C47" t="str">
            <v>Olimpia</v>
          </cell>
          <cell r="D47" t="str">
            <v>Sede</v>
          </cell>
          <cell r="E47" t="str">
            <v>Subterrânea</v>
          </cell>
          <cell r="F47">
            <v>62</v>
          </cell>
          <cell r="G47">
            <v>0</v>
          </cell>
          <cell r="H47">
            <v>0</v>
          </cell>
          <cell r="I47">
            <v>0</v>
          </cell>
          <cell r="J47">
            <v>5.5555555555555554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CAP-OLI-045</v>
          </cell>
          <cell r="C48" t="str">
            <v>Olimpia</v>
          </cell>
          <cell r="D48" t="str">
            <v>Sede</v>
          </cell>
          <cell r="E48" t="str">
            <v>Subterrânea</v>
          </cell>
          <cell r="F48">
            <v>63</v>
          </cell>
          <cell r="G48">
            <v>0</v>
          </cell>
          <cell r="H48">
            <v>0</v>
          </cell>
          <cell r="I48">
            <v>0</v>
          </cell>
          <cell r="J48">
            <v>5.5555555555555554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CAP-OLI-046</v>
          </cell>
          <cell r="C49" t="str">
            <v>Olimpia</v>
          </cell>
          <cell r="D49" t="str">
            <v>Sede</v>
          </cell>
          <cell r="E49" t="str">
            <v>Subterrânea</v>
          </cell>
          <cell r="F49">
            <v>64</v>
          </cell>
          <cell r="G49">
            <v>0</v>
          </cell>
          <cell r="H49">
            <v>0</v>
          </cell>
          <cell r="I49">
            <v>0</v>
          </cell>
          <cell r="J49">
            <v>2.5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CAP-OLI-047</v>
          </cell>
          <cell r="C50" t="str">
            <v>Olimpia</v>
          </cell>
          <cell r="D50" t="str">
            <v>Sede</v>
          </cell>
          <cell r="E50" t="str">
            <v>Subterrânea</v>
          </cell>
          <cell r="F50">
            <v>65</v>
          </cell>
          <cell r="G50">
            <v>0</v>
          </cell>
          <cell r="H50">
            <v>0</v>
          </cell>
          <cell r="I50">
            <v>0</v>
          </cell>
          <cell r="J50">
            <v>10.277777777777777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CAP-OLI-048</v>
          </cell>
          <cell r="C51" t="str">
            <v>Olimpia</v>
          </cell>
          <cell r="D51" t="str">
            <v>Sede</v>
          </cell>
          <cell r="E51" t="str">
            <v>Subterrânea</v>
          </cell>
          <cell r="F51">
            <v>66</v>
          </cell>
          <cell r="G51">
            <v>0</v>
          </cell>
          <cell r="H51">
            <v>0</v>
          </cell>
          <cell r="I51">
            <v>0</v>
          </cell>
          <cell r="J51">
            <v>3.6111111111111112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CAP-OLI-049</v>
          </cell>
          <cell r="C52" t="str">
            <v>Olimpia</v>
          </cell>
          <cell r="D52" t="str">
            <v>Sede</v>
          </cell>
          <cell r="E52" t="str">
            <v>Subterrânea</v>
          </cell>
          <cell r="F52">
            <v>67</v>
          </cell>
          <cell r="G52">
            <v>0</v>
          </cell>
          <cell r="H52">
            <v>0</v>
          </cell>
          <cell r="I52">
            <v>0</v>
          </cell>
          <cell r="J52">
            <v>5.5555555555555554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B53" t="str">
            <v>CAP-OLI-050</v>
          </cell>
          <cell r="C53" t="str">
            <v>Olimpia</v>
          </cell>
          <cell r="D53" t="str">
            <v>Sede</v>
          </cell>
          <cell r="E53" t="str">
            <v>Subterrânea</v>
          </cell>
          <cell r="F53">
            <v>68</v>
          </cell>
          <cell r="G53">
            <v>0</v>
          </cell>
          <cell r="H53">
            <v>0</v>
          </cell>
          <cell r="I53">
            <v>0</v>
          </cell>
          <cell r="J53">
            <v>4.8888888888888893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CAP-OLI-051</v>
          </cell>
          <cell r="C54" t="str">
            <v>Olimpia</v>
          </cell>
          <cell r="D54" t="str">
            <v>Sede</v>
          </cell>
          <cell r="E54" t="str">
            <v>Subterrânea</v>
          </cell>
          <cell r="F54">
            <v>69</v>
          </cell>
          <cell r="G54">
            <v>0</v>
          </cell>
          <cell r="H54">
            <v>0</v>
          </cell>
          <cell r="I54">
            <v>0</v>
          </cell>
          <cell r="J54">
            <v>7.7777777777777777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B55" t="str">
            <v>CAP-OLI-052</v>
          </cell>
          <cell r="C55" t="str">
            <v>Olimpia</v>
          </cell>
          <cell r="D55" t="str">
            <v>Sede</v>
          </cell>
          <cell r="E55" t="str">
            <v>Subterrânea</v>
          </cell>
          <cell r="F55">
            <v>70</v>
          </cell>
          <cell r="G55">
            <v>0</v>
          </cell>
          <cell r="H55">
            <v>0</v>
          </cell>
          <cell r="I55">
            <v>0</v>
          </cell>
          <cell r="J55">
            <v>5.5555555555555554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CAP-OLI-053</v>
          </cell>
          <cell r="C56" t="str">
            <v>Olimpia</v>
          </cell>
          <cell r="D56" t="str">
            <v>Sede</v>
          </cell>
          <cell r="E56" t="str">
            <v>Subterrânea</v>
          </cell>
          <cell r="F56">
            <v>71</v>
          </cell>
          <cell r="G56">
            <v>0</v>
          </cell>
          <cell r="H56">
            <v>0</v>
          </cell>
          <cell r="I56">
            <v>0</v>
          </cell>
          <cell r="J56">
            <v>3.9722222222222223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CAP-OLI-054</v>
          </cell>
          <cell r="C57" t="str">
            <v>Olimpia</v>
          </cell>
          <cell r="D57" t="str">
            <v>Sede</v>
          </cell>
          <cell r="E57" t="str">
            <v>Subterrânea</v>
          </cell>
          <cell r="F57">
            <v>72</v>
          </cell>
          <cell r="G57">
            <v>0</v>
          </cell>
          <cell r="H57">
            <v>0</v>
          </cell>
          <cell r="I57">
            <v>0</v>
          </cell>
          <cell r="J57">
            <v>8.3333333333333339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CAP-OLI-055</v>
          </cell>
          <cell r="C58" t="str">
            <v>Olimpia</v>
          </cell>
          <cell r="D58" t="str">
            <v>Sede</v>
          </cell>
          <cell r="E58" t="str">
            <v>Subterrânea</v>
          </cell>
          <cell r="F58">
            <v>73</v>
          </cell>
          <cell r="G58">
            <v>0</v>
          </cell>
          <cell r="H58">
            <v>0</v>
          </cell>
          <cell r="I58">
            <v>0</v>
          </cell>
          <cell r="J58">
            <v>10.555555555555555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CAP-OLI-056</v>
          </cell>
          <cell r="C59" t="str">
            <v>Olimpia</v>
          </cell>
          <cell r="D59" t="str">
            <v>Sede</v>
          </cell>
          <cell r="E59" t="str">
            <v>Subterrânea</v>
          </cell>
          <cell r="F59">
            <v>75</v>
          </cell>
          <cell r="G59">
            <v>0</v>
          </cell>
          <cell r="H59">
            <v>0</v>
          </cell>
          <cell r="I59">
            <v>0</v>
          </cell>
          <cell r="J59">
            <v>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CAP-OLI-057</v>
          </cell>
          <cell r="C60" t="str">
            <v>Olimpia</v>
          </cell>
          <cell r="D60" t="str">
            <v>Sede</v>
          </cell>
          <cell r="E60" t="str">
            <v>Subterrânea</v>
          </cell>
          <cell r="F60">
            <v>76</v>
          </cell>
          <cell r="G60">
            <v>0</v>
          </cell>
          <cell r="H60">
            <v>0</v>
          </cell>
          <cell r="I60">
            <v>0</v>
          </cell>
          <cell r="J60">
            <v>3.8888888888888888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CAP-OLI-058</v>
          </cell>
          <cell r="C61" t="str">
            <v>Olimpia</v>
          </cell>
          <cell r="D61" t="str">
            <v>Sede</v>
          </cell>
          <cell r="E61" t="str">
            <v>Subterrânea</v>
          </cell>
          <cell r="F61">
            <v>77</v>
          </cell>
          <cell r="G61">
            <v>0</v>
          </cell>
          <cell r="H61">
            <v>0</v>
          </cell>
          <cell r="I61">
            <v>0</v>
          </cell>
          <cell r="J61">
            <v>3.8888888888888888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CAP-OLI-059</v>
          </cell>
          <cell r="C62" t="str">
            <v>Olimpia</v>
          </cell>
          <cell r="D62" t="str">
            <v>Sede</v>
          </cell>
          <cell r="E62" t="str">
            <v>Subterrânea</v>
          </cell>
          <cell r="F62">
            <v>80</v>
          </cell>
          <cell r="G62">
            <v>0</v>
          </cell>
          <cell r="H62">
            <v>0</v>
          </cell>
          <cell r="I62">
            <v>0</v>
          </cell>
          <cell r="J62">
            <v>6.6666666666666661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CAP-OLI-060</v>
          </cell>
          <cell r="C63" t="str">
            <v>Olimpia</v>
          </cell>
          <cell r="D63" t="str">
            <v>Sede</v>
          </cell>
          <cell r="E63" t="str">
            <v>Subterrânea</v>
          </cell>
          <cell r="F63">
            <v>81</v>
          </cell>
          <cell r="G63">
            <v>0</v>
          </cell>
          <cell r="H63">
            <v>0</v>
          </cell>
          <cell r="I63">
            <v>0</v>
          </cell>
          <cell r="J63">
            <v>5.5555555555555554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B64" t="str">
            <v>CAP-OLI-061</v>
          </cell>
          <cell r="C64" t="str">
            <v>Olimpia</v>
          </cell>
          <cell r="D64" t="str">
            <v>Sede</v>
          </cell>
          <cell r="E64" t="str">
            <v>Subterrânea</v>
          </cell>
          <cell r="F64">
            <v>82</v>
          </cell>
          <cell r="G64">
            <v>0</v>
          </cell>
          <cell r="H64">
            <v>0</v>
          </cell>
          <cell r="I64">
            <v>0</v>
          </cell>
          <cell r="J64">
            <v>6.6666666666666661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CAP-OLI-062</v>
          </cell>
          <cell r="C65" t="str">
            <v>Olimpia</v>
          </cell>
          <cell r="D65" t="str">
            <v>Sede</v>
          </cell>
          <cell r="E65" t="str">
            <v>Subterrânea</v>
          </cell>
          <cell r="F65">
            <v>83</v>
          </cell>
          <cell r="G65">
            <v>0</v>
          </cell>
          <cell r="H65">
            <v>0</v>
          </cell>
          <cell r="I65">
            <v>0</v>
          </cell>
          <cell r="J65">
            <v>5.5555555555555554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CAP-OLI-063</v>
          </cell>
          <cell r="C66" t="str">
            <v>Olimpia</v>
          </cell>
          <cell r="D66" t="str">
            <v>Sede</v>
          </cell>
          <cell r="E66" t="str">
            <v>Subterrânea</v>
          </cell>
          <cell r="F66">
            <v>84</v>
          </cell>
          <cell r="G66">
            <v>0</v>
          </cell>
          <cell r="H66">
            <v>0</v>
          </cell>
          <cell r="I66">
            <v>0</v>
          </cell>
          <cell r="J66">
            <v>1.6666666666666665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CAP-OLI-064</v>
          </cell>
          <cell r="C67" t="str">
            <v>Olimpia</v>
          </cell>
          <cell r="D67" t="str">
            <v>Sede</v>
          </cell>
          <cell r="E67" t="str">
            <v>Subterrânea</v>
          </cell>
          <cell r="F67">
            <v>85</v>
          </cell>
          <cell r="G67">
            <v>0</v>
          </cell>
          <cell r="H67">
            <v>0</v>
          </cell>
          <cell r="I67">
            <v>0</v>
          </cell>
          <cell r="J67">
            <v>8.3333333333333339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CAP-OLI-065</v>
          </cell>
          <cell r="C68" t="str">
            <v>Olimpia</v>
          </cell>
          <cell r="D68" t="str">
            <v>Sede</v>
          </cell>
          <cell r="E68" t="str">
            <v>Subterrânea</v>
          </cell>
          <cell r="F68">
            <v>86</v>
          </cell>
          <cell r="G68">
            <v>0</v>
          </cell>
          <cell r="H68">
            <v>0</v>
          </cell>
          <cell r="I68">
            <v>0</v>
          </cell>
          <cell r="J68">
            <v>4.4444444444444446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CAP-OLI-066</v>
          </cell>
          <cell r="C69" t="str">
            <v>Olimpia</v>
          </cell>
          <cell r="D69" t="str">
            <v>Sede</v>
          </cell>
          <cell r="E69" t="str">
            <v>Subterrânea</v>
          </cell>
          <cell r="F69">
            <v>770</v>
          </cell>
          <cell r="G69">
            <v>0</v>
          </cell>
          <cell r="H69">
            <v>0</v>
          </cell>
          <cell r="I69">
            <v>0</v>
          </cell>
          <cell r="J69">
            <v>7.7777777777777777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s"/>
      <sheetName val="Output"/>
      <sheetName val="SPE"/>
      <sheetName val="PremissasSPE"/>
      <sheetName val="REV12"/>
      <sheetName val="Planilha2"/>
      <sheetName val="EPC"/>
      <sheetName val="Planilha3"/>
      <sheetName val="PremissasEPC"/>
      <sheetName val="Planilha1"/>
      <sheetName val="BALANCETE"/>
      <sheetName val="QUF"/>
      <sheetName val="&gt;&gt;suporte"/>
      <sheetName val="todo"/>
      <sheetName val="precosunitariosEPCista"/>
      <sheetName val="Lugo_solicitacao"/>
      <sheetName val="cadastro&amp;regradetrocas"/>
      <sheetName val="estruturaequipes"/>
      <sheetName val="custopessoalAlegrete"/>
      <sheetName val="despesapessoalAlegrete"/>
      <sheetName val="aditivo"/>
      <sheetName val="contaenergiaIP"/>
      <sheetName val="checkconsumo"/>
      <sheetName val="cronograma"/>
      <sheetName val="ultimoFluxoJuganu_incorporar"/>
    </sheetNames>
    <sheetDataSet>
      <sheetData sheetId="0"/>
      <sheetData sheetId="1"/>
      <sheetData sheetId="2">
        <row r="3">
          <cell r="C3" t="b">
            <v>0</v>
          </cell>
        </row>
        <row r="1477">
          <cell r="E1477">
            <v>2014</v>
          </cell>
          <cell r="F1477">
            <v>2015</v>
          </cell>
          <cell r="G1477">
            <v>2016</v>
          </cell>
          <cell r="H1477">
            <v>2017</v>
          </cell>
          <cell r="I1477">
            <v>2018</v>
          </cell>
          <cell r="J1477">
            <v>2019</v>
          </cell>
          <cell r="K1477">
            <v>2020</v>
          </cell>
          <cell r="L1477">
            <v>2021</v>
          </cell>
          <cell r="M1477">
            <v>2022</v>
          </cell>
          <cell r="N1477">
            <v>2023</v>
          </cell>
          <cell r="O1477">
            <v>2024</v>
          </cell>
          <cell r="P1477">
            <v>2025</v>
          </cell>
          <cell r="Q1477">
            <v>2026</v>
          </cell>
          <cell r="R1477">
            <v>2027</v>
          </cell>
          <cell r="S1477">
            <v>2028</v>
          </cell>
        </row>
        <row r="1478">
          <cell r="B1478" t="str">
            <v>Variação do PIB</v>
          </cell>
          <cell r="D1478" t="str">
            <v>% a.a.</v>
          </cell>
          <cell r="E1478">
            <v>1.4000000000000002E-3</v>
          </cell>
          <cell r="F1478">
            <v>-3.7000000000000005E-2</v>
          </cell>
          <cell r="G1478">
            <v>-3.7400000000000003E-2</v>
          </cell>
          <cell r="H1478">
            <v>2.5999999999999999E-3</v>
          </cell>
          <cell r="I1478">
            <v>1.5300000000000001E-2</v>
          </cell>
          <cell r="J1478">
            <v>1.9799999999999998E-2</v>
          </cell>
          <cell r="K1478">
            <v>2.06E-2</v>
          </cell>
          <cell r="L1478">
            <v>2.06E-2</v>
          </cell>
          <cell r="M1478">
            <v>2.06E-2</v>
          </cell>
          <cell r="N1478">
            <v>2.06E-2</v>
          </cell>
          <cell r="O1478">
            <v>2.06E-2</v>
          </cell>
          <cell r="P1478">
            <v>2.06E-2</v>
          </cell>
          <cell r="Q1478">
            <v>2.06E-2</v>
          </cell>
          <cell r="R1478">
            <v>2.06E-2</v>
          </cell>
          <cell r="S1478">
            <v>2.06E-2</v>
          </cell>
        </row>
        <row r="1479">
          <cell r="B1479" t="str">
            <v>IPCA</v>
          </cell>
          <cell r="D1479" t="str">
            <v>% a.a.</v>
          </cell>
          <cell r="E1479">
            <v>6.3799999999999996E-2</v>
          </cell>
          <cell r="F1479">
            <v>0.107</v>
          </cell>
          <cell r="G1479">
            <v>7.2999999999999995E-2</v>
          </cell>
          <cell r="H1479">
            <v>5.9200000000000003E-2</v>
          </cell>
          <cell r="I1479">
            <v>5.4600000000000003E-2</v>
          </cell>
          <cell r="J1479">
            <v>5.16E-2</v>
          </cell>
          <cell r="K1479">
            <v>4.8899999999999999E-2</v>
          </cell>
          <cell r="L1479">
            <v>4.8899999999999999E-2</v>
          </cell>
          <cell r="M1479">
            <v>4.8899999999999999E-2</v>
          </cell>
          <cell r="N1479">
            <v>4.8899999999999999E-2</v>
          </cell>
          <cell r="O1479">
            <v>4.8899999999999999E-2</v>
          </cell>
          <cell r="P1479">
            <v>4.8899999999999999E-2</v>
          </cell>
          <cell r="Q1479">
            <v>4.8899999999999999E-2</v>
          </cell>
          <cell r="R1479">
            <v>4.8899999999999999E-2</v>
          </cell>
          <cell r="S1479">
            <v>4.8899999999999999E-2</v>
          </cell>
        </row>
        <row r="1480">
          <cell r="B1480" t="str">
            <v>IGP-M</v>
          </cell>
          <cell r="D1480" t="str">
            <v>% a.a.</v>
          </cell>
          <cell r="E1480">
            <v>3.7499999999999999E-2</v>
          </cell>
          <cell r="F1480">
            <v>0.10539999999999999</v>
          </cell>
          <cell r="G1480">
            <v>7.6700000000000004E-2</v>
          </cell>
          <cell r="H1480">
            <v>5.7000000000000002E-2</v>
          </cell>
          <cell r="I1480">
            <v>5.3200000000000004E-2</v>
          </cell>
          <cell r="J1480">
            <v>5.0799999999999998E-2</v>
          </cell>
          <cell r="K1480">
            <v>4.8899999999999999E-2</v>
          </cell>
          <cell r="L1480">
            <v>4.8899999999999999E-2</v>
          </cell>
          <cell r="M1480">
            <v>4.8899999999999999E-2</v>
          </cell>
          <cell r="N1480">
            <v>4.8899999999999999E-2</v>
          </cell>
          <cell r="O1480">
            <v>4.8899999999999999E-2</v>
          </cell>
          <cell r="P1480">
            <v>4.8899999999999999E-2</v>
          </cell>
          <cell r="Q1480">
            <v>4.8899999999999999E-2</v>
          </cell>
          <cell r="R1480">
            <v>4.8899999999999999E-2</v>
          </cell>
          <cell r="S1480">
            <v>4.8899999999999999E-2</v>
          </cell>
        </row>
        <row r="1481">
          <cell r="B1481" t="str">
            <v>Taxa de câmbio (final de período)</v>
          </cell>
          <cell r="D1481" t="str">
            <v>BRL:USD</v>
          </cell>
          <cell r="E1481">
            <v>2.36</v>
          </cell>
          <cell r="F1481">
            <v>3.332942292490118</v>
          </cell>
          <cell r="G1481">
            <v>3.86</v>
          </cell>
          <cell r="H1481">
            <v>4.03</v>
          </cell>
          <cell r="I1481">
            <v>4.13</v>
          </cell>
          <cell r="J1481">
            <v>4.16</v>
          </cell>
          <cell r="K1481">
            <v>4.2300000000000004</v>
          </cell>
          <cell r="L1481">
            <v>4.3530470127326151</v>
          </cell>
          <cell r="M1481">
            <v>4.4796733558062281</v>
          </cell>
          <cell r="N1481">
            <v>4.6099831488203762</v>
          </cell>
          <cell r="O1481">
            <v>4.7440835401229862</v>
          </cell>
          <cell r="P1481">
            <v>4.8820847949140269</v>
          </cell>
          <cell r="Q1481">
            <v>5.0241003859120159</v>
          </cell>
          <cell r="R1481">
            <v>5.1702470866579384</v>
          </cell>
          <cell r="S1481">
            <v>5.320645067533297</v>
          </cell>
        </row>
        <row r="1482">
          <cell r="B1482" t="str">
            <v>CDI</v>
          </cell>
          <cell r="D1482" t="str">
            <v>% a.a.</v>
          </cell>
          <cell r="E1482">
            <v>0.1101</v>
          </cell>
          <cell r="F1482">
            <v>0.14149999999999999</v>
          </cell>
          <cell r="G1482">
            <v>0.14019999999999999</v>
          </cell>
          <cell r="H1482">
            <v>0.11</v>
          </cell>
          <cell r="I1482">
            <v>0.1</v>
          </cell>
          <cell r="J1482">
            <v>0.1</v>
          </cell>
          <cell r="K1482">
            <v>0.10869999999999999</v>
          </cell>
          <cell r="L1482">
            <v>0.10869999999999999</v>
          </cell>
          <cell r="M1482">
            <v>0.10869999999999999</v>
          </cell>
          <cell r="N1482">
            <v>0.10869999999999999</v>
          </cell>
          <cell r="O1482">
            <v>0.10869999999999999</v>
          </cell>
          <cell r="P1482">
            <v>0.10869999999999999</v>
          </cell>
          <cell r="Q1482">
            <v>0.10869999999999999</v>
          </cell>
          <cell r="R1482">
            <v>0.10869999999999999</v>
          </cell>
          <cell r="S1482">
            <v>0.10869999999999999</v>
          </cell>
        </row>
        <row r="1483">
          <cell r="B1483" t="str">
            <v>TJLP</v>
          </cell>
          <cell r="D1483" t="str">
            <v>% a.a.</v>
          </cell>
          <cell r="E1483">
            <v>0.05</v>
          </cell>
          <cell r="F1483">
            <v>0.05</v>
          </cell>
          <cell r="G1483">
            <v>6.25E-2</v>
          </cell>
          <cell r="H1483">
            <v>6.5000000000000002E-2</v>
          </cell>
          <cell r="I1483">
            <v>0.06</v>
          </cell>
          <cell r="J1483">
            <v>5.5E-2</v>
          </cell>
          <cell r="K1483">
            <v>5.5E-2</v>
          </cell>
          <cell r="L1483">
            <v>5.5E-2</v>
          </cell>
          <cell r="M1483">
            <v>5.5E-2</v>
          </cell>
          <cell r="N1483">
            <v>5.5E-2</v>
          </cell>
          <cell r="O1483">
            <v>5.5E-2</v>
          </cell>
          <cell r="P1483">
            <v>5.5E-2</v>
          </cell>
          <cell r="Q1483">
            <v>5.5E-2</v>
          </cell>
          <cell r="R1483">
            <v>5.5E-2</v>
          </cell>
          <cell r="S1483">
            <v>5.5E-2</v>
          </cell>
        </row>
        <row r="1484">
          <cell r="B1484" t="str">
            <v>Juros reais (média)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510">
          <cell r="C1510" t="b">
            <v>0</v>
          </cell>
        </row>
      </sheetData>
      <sheetData sheetId="3">
        <row r="12">
          <cell r="C12">
            <v>42735</v>
          </cell>
        </row>
        <row r="126">
          <cell r="C126">
            <v>13</v>
          </cell>
        </row>
        <row r="139">
          <cell r="C139">
            <v>13</v>
          </cell>
        </row>
      </sheetData>
      <sheetData sheetId="4" refreshError="1"/>
      <sheetData sheetId="5" refreshError="1"/>
      <sheetData sheetId="6">
        <row r="296">
          <cell r="C296" t="b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9">
          <cell r="A9" t="str">
            <v>Caixa Inicial</v>
          </cell>
          <cell r="F9">
            <v>555.77403000000004</v>
          </cell>
        </row>
        <row r="12">
          <cell r="F12">
            <v>29522.345102297892</v>
          </cell>
        </row>
        <row r="13">
          <cell r="A13" t="str">
            <v>Custos Operacionais IP</v>
          </cell>
          <cell r="F13">
            <v>-7331.7078984923455</v>
          </cell>
        </row>
        <row r="14">
          <cell r="A14" t="str">
            <v>Custos Operacionais PP</v>
          </cell>
          <cell r="F14">
            <v>-3480.9071413919869</v>
          </cell>
        </row>
        <row r="15">
          <cell r="A15" t="str">
            <v>Custos Operacionais Compart.</v>
          </cell>
          <cell r="F15">
            <v>-397.54042580766054</v>
          </cell>
        </row>
        <row r="16">
          <cell r="A16" t="str">
            <v>Despesas Operacionais</v>
          </cell>
          <cell r="F16">
            <v>-1192.3346985102148</v>
          </cell>
        </row>
        <row r="17">
          <cell r="A17" t="str">
            <v>Variação do CG</v>
          </cell>
          <cell r="F17">
            <v>-188.61579874177019</v>
          </cell>
        </row>
        <row r="18">
          <cell r="A18" t="str">
            <v>Resultado Não Operacional</v>
          </cell>
          <cell r="F18">
            <v>21.842279999999995</v>
          </cell>
        </row>
        <row r="19">
          <cell r="A19" t="str">
            <v>Despesas Tributárias</v>
          </cell>
          <cell r="F19">
            <v>-5378.0841222137697</v>
          </cell>
        </row>
        <row r="23">
          <cell r="A23" t="str">
            <v>Capex IP</v>
          </cell>
          <cell r="F23">
            <v>-21434.79864172043</v>
          </cell>
        </row>
        <row r="40">
          <cell r="A40" t="str">
            <v>Capex PP</v>
          </cell>
          <cell r="F40">
            <v>-1296.8835474491834</v>
          </cell>
        </row>
        <row r="55">
          <cell r="A55" t="str">
            <v>Aportes</v>
          </cell>
          <cell r="F55">
            <v>0</v>
          </cell>
        </row>
        <row r="56">
          <cell r="A56" t="str">
            <v>Revolving</v>
          </cell>
          <cell r="F56">
            <v>36</v>
          </cell>
        </row>
        <row r="57">
          <cell r="A57" t="str">
            <v>Financiamentos</v>
          </cell>
          <cell r="F57">
            <v>8000</v>
          </cell>
        </row>
        <row r="58">
          <cell r="A58" t="str">
            <v>Novas Dívidas</v>
          </cell>
          <cell r="F58">
            <v>12000</v>
          </cell>
        </row>
        <row r="59">
          <cell r="A59" t="str">
            <v>Amortização</v>
          </cell>
          <cell r="F59">
            <v>0</v>
          </cell>
        </row>
        <row r="60">
          <cell r="A60" t="str">
            <v>Juros</v>
          </cell>
          <cell r="F60">
            <v>-15.72308</v>
          </cell>
        </row>
        <row r="62">
          <cell r="A62" t="str">
            <v>Dividendos</v>
          </cell>
          <cell r="F62">
            <v>-3234.3613500000006</v>
          </cell>
        </row>
        <row r="64">
          <cell r="A64" t="str">
            <v>Caixa Final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oteiroCEF"/>
      <sheetName val="budgetXrealizado"/>
      <sheetName val="ParqueIP"/>
      <sheetName val="Plan1"/>
      <sheetName val="SPECaraguaLuz"/>
      <sheetName val="Outputs"/>
      <sheetName val="saidassimul"/>
      <sheetName val="CorsórcioCaraguaLuz"/>
      <sheetName val="QUF"/>
      <sheetName val="BALANCETE"/>
      <sheetName val="juganu3v"/>
      <sheetName val="encomenda_conjunta_SJM_Caragua"/>
      <sheetName val="relIntervencoesPedro"/>
      <sheetName val="Planilha2"/>
      <sheetName val="to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7">
          <cell r="T217">
            <v>42767</v>
          </cell>
          <cell r="U217">
            <v>42948</v>
          </cell>
          <cell r="V217">
            <v>43101</v>
          </cell>
          <cell r="W217">
            <v>43221</v>
          </cell>
          <cell r="X217">
            <v>43617</v>
          </cell>
        </row>
        <row r="268">
          <cell r="C268">
            <v>1</v>
          </cell>
        </row>
        <row r="277">
          <cell r="C277">
            <v>0</v>
          </cell>
        </row>
        <row r="289">
          <cell r="B289" t="str">
            <v>Mista 250W</v>
          </cell>
        </row>
        <row r="290">
          <cell r="B290" t="str">
            <v>Vapor Mercúrio 125W</v>
          </cell>
        </row>
        <row r="291">
          <cell r="B291" t="str">
            <v>Vapor Mercúrio 250W</v>
          </cell>
        </row>
        <row r="292">
          <cell r="B292" t="str">
            <v>Vapor Mercúrio 400W</v>
          </cell>
        </row>
        <row r="293">
          <cell r="B293" t="str">
            <v>Vapor Sódio 70W</v>
          </cell>
        </row>
        <row r="294">
          <cell r="B294" t="str">
            <v>Vapor Sódio 150W</v>
          </cell>
        </row>
        <row r="295">
          <cell r="B295" t="str">
            <v>Vapor Sódio 250W</v>
          </cell>
        </row>
        <row r="296">
          <cell r="B296" t="str">
            <v>Vapor Sódio 400W</v>
          </cell>
        </row>
        <row r="297">
          <cell r="B297" t="str">
            <v>Multivapor Met 250W</v>
          </cell>
        </row>
        <row r="428">
          <cell r="F428">
            <v>42035</v>
          </cell>
          <cell r="G428">
            <v>42063</v>
          </cell>
          <cell r="H428">
            <v>42094</v>
          </cell>
          <cell r="I428">
            <v>42124</v>
          </cell>
          <cell r="J428">
            <v>42155</v>
          </cell>
          <cell r="K428">
            <v>42185</v>
          </cell>
          <cell r="L428">
            <v>42216</v>
          </cell>
          <cell r="M428">
            <v>42247</v>
          </cell>
          <cell r="N428">
            <v>42277</v>
          </cell>
          <cell r="O428">
            <v>42308</v>
          </cell>
          <cell r="P428">
            <v>42338</v>
          </cell>
          <cell r="Q428">
            <v>42369</v>
          </cell>
          <cell r="R428">
            <v>42400</v>
          </cell>
          <cell r="S428">
            <v>42429</v>
          </cell>
          <cell r="T428">
            <v>42460</v>
          </cell>
          <cell r="U428">
            <v>42490</v>
          </cell>
          <cell r="V428">
            <v>42521</v>
          </cell>
          <cell r="W428">
            <v>42551</v>
          </cell>
          <cell r="X428">
            <v>42582</v>
          </cell>
          <cell r="Y428">
            <v>42613</v>
          </cell>
          <cell r="Z428">
            <v>42643</v>
          </cell>
          <cell r="AA428">
            <v>42674</v>
          </cell>
          <cell r="AB428">
            <v>42704</v>
          </cell>
          <cell r="AC428">
            <v>42735</v>
          </cell>
          <cell r="AD428">
            <v>42766</v>
          </cell>
          <cell r="AE428">
            <v>42794</v>
          </cell>
          <cell r="AF428">
            <v>42825</v>
          </cell>
          <cell r="AG428">
            <v>42855</v>
          </cell>
          <cell r="AH428">
            <v>42886</v>
          </cell>
          <cell r="AI428">
            <v>42916</v>
          </cell>
          <cell r="AJ428">
            <v>42947</v>
          </cell>
          <cell r="AK428">
            <v>42978</v>
          </cell>
          <cell r="AL428">
            <v>43008</v>
          </cell>
          <cell r="AM428">
            <v>43039</v>
          </cell>
          <cell r="AN428">
            <v>43069</v>
          </cell>
          <cell r="AO428">
            <v>43100</v>
          </cell>
          <cell r="AP428">
            <v>43131</v>
          </cell>
          <cell r="AQ428">
            <v>43159</v>
          </cell>
          <cell r="AR428">
            <v>43190</v>
          </cell>
          <cell r="AS428">
            <v>43220</v>
          </cell>
          <cell r="AT428">
            <v>43251</v>
          </cell>
          <cell r="AU428">
            <v>43281</v>
          </cell>
          <cell r="AV428">
            <v>43312</v>
          </cell>
          <cell r="AW428">
            <v>43343</v>
          </cell>
          <cell r="AX428">
            <v>43373</v>
          </cell>
          <cell r="AY428">
            <v>43404</v>
          </cell>
          <cell r="AZ428">
            <v>43434</v>
          </cell>
          <cell r="BA428">
            <v>43465</v>
          </cell>
          <cell r="BB428">
            <v>43496</v>
          </cell>
          <cell r="BC428">
            <v>43524</v>
          </cell>
          <cell r="BD428">
            <v>43555</v>
          </cell>
          <cell r="BE428">
            <v>43585</v>
          </cell>
          <cell r="BF428">
            <v>43616</v>
          </cell>
          <cell r="BG428">
            <v>43646</v>
          </cell>
          <cell r="BH428">
            <v>43677</v>
          </cell>
          <cell r="BI428">
            <v>43708</v>
          </cell>
          <cell r="BJ428">
            <v>43738</v>
          </cell>
          <cell r="BK428">
            <v>43769</v>
          </cell>
          <cell r="BL428">
            <v>43799</v>
          </cell>
          <cell r="BM428">
            <v>43830</v>
          </cell>
          <cell r="BN428">
            <v>43861</v>
          </cell>
          <cell r="BO428">
            <v>43890</v>
          </cell>
          <cell r="BP428">
            <v>43921</v>
          </cell>
          <cell r="BQ428">
            <v>43951</v>
          </cell>
          <cell r="BR428">
            <v>43982</v>
          </cell>
          <cell r="BS428">
            <v>44012</v>
          </cell>
          <cell r="BT428">
            <v>44043</v>
          </cell>
          <cell r="BU428">
            <v>44074</v>
          </cell>
          <cell r="BV428">
            <v>44104</v>
          </cell>
          <cell r="BW428">
            <v>44135</v>
          </cell>
          <cell r="BX428">
            <v>44165</v>
          </cell>
          <cell r="BY428">
            <v>44196</v>
          </cell>
          <cell r="BZ428">
            <v>44227</v>
          </cell>
          <cell r="CA428">
            <v>44255</v>
          </cell>
          <cell r="CB428">
            <v>44286</v>
          </cell>
          <cell r="CC428">
            <v>44316</v>
          </cell>
          <cell r="CD428">
            <v>44347</v>
          </cell>
          <cell r="CE428">
            <v>44377</v>
          </cell>
          <cell r="CF428">
            <v>44408</v>
          </cell>
          <cell r="CG428">
            <v>44439</v>
          </cell>
          <cell r="CH428">
            <v>44469</v>
          </cell>
          <cell r="CI428">
            <v>44500</v>
          </cell>
          <cell r="CJ428">
            <v>44530</v>
          </cell>
          <cell r="CK428">
            <v>44561</v>
          </cell>
          <cell r="CL428">
            <v>44592</v>
          </cell>
          <cell r="CM428">
            <v>44620</v>
          </cell>
          <cell r="CN428">
            <v>44651</v>
          </cell>
          <cell r="CO428">
            <v>44681</v>
          </cell>
          <cell r="CP428">
            <v>44712</v>
          </cell>
          <cell r="CQ428">
            <v>44742</v>
          </cell>
          <cell r="CR428">
            <v>44773</v>
          </cell>
          <cell r="CS428">
            <v>44804</v>
          </cell>
          <cell r="CT428">
            <v>44834</v>
          </cell>
          <cell r="CU428">
            <v>44865</v>
          </cell>
          <cell r="CV428">
            <v>44895</v>
          </cell>
          <cell r="CW428">
            <v>44926</v>
          </cell>
          <cell r="CX428">
            <v>44957</v>
          </cell>
          <cell r="CY428">
            <v>44985</v>
          </cell>
          <cell r="CZ428">
            <v>45016</v>
          </cell>
          <cell r="DA428">
            <v>45046</v>
          </cell>
          <cell r="DB428">
            <v>45077</v>
          </cell>
          <cell r="DC428">
            <v>45107</v>
          </cell>
          <cell r="DD428">
            <v>45138</v>
          </cell>
          <cell r="DE428">
            <v>45169</v>
          </cell>
          <cell r="DF428">
            <v>45199</v>
          </cell>
          <cell r="DG428">
            <v>45230</v>
          </cell>
          <cell r="DH428">
            <v>45260</v>
          </cell>
          <cell r="DI428">
            <v>45291</v>
          </cell>
          <cell r="DJ428">
            <v>45322</v>
          </cell>
          <cell r="DK428">
            <v>45351</v>
          </cell>
          <cell r="DL428">
            <v>45382</v>
          </cell>
          <cell r="DM428">
            <v>45412</v>
          </cell>
          <cell r="DN428">
            <v>45443</v>
          </cell>
          <cell r="DO428">
            <v>45473</v>
          </cell>
          <cell r="DP428">
            <v>45504</v>
          </cell>
          <cell r="DQ428">
            <v>45535</v>
          </cell>
          <cell r="DR428">
            <v>45565</v>
          </cell>
          <cell r="DS428">
            <v>45596</v>
          </cell>
          <cell r="DT428">
            <v>45626</v>
          </cell>
          <cell r="DU428">
            <v>45657</v>
          </cell>
          <cell r="DV428">
            <v>45688</v>
          </cell>
          <cell r="DW428">
            <v>45716</v>
          </cell>
          <cell r="DX428">
            <v>45747</v>
          </cell>
          <cell r="DY428">
            <v>45777</v>
          </cell>
          <cell r="DZ428">
            <v>45808</v>
          </cell>
          <cell r="EA428">
            <v>45838</v>
          </cell>
          <cell r="EB428">
            <v>45869</v>
          </cell>
          <cell r="EC428">
            <v>45900</v>
          </cell>
          <cell r="ED428">
            <v>45930</v>
          </cell>
          <cell r="EE428">
            <v>45961</v>
          </cell>
          <cell r="EF428">
            <v>45991</v>
          </cell>
          <cell r="EG428">
            <v>46022</v>
          </cell>
          <cell r="EH428">
            <v>46053</v>
          </cell>
          <cell r="EI428">
            <v>46081</v>
          </cell>
          <cell r="EJ428">
            <v>46112</v>
          </cell>
          <cell r="EK428">
            <v>46142</v>
          </cell>
          <cell r="EL428">
            <v>46173</v>
          </cell>
          <cell r="EM428">
            <v>46203</v>
          </cell>
          <cell r="EN428">
            <v>46234</v>
          </cell>
          <cell r="EO428">
            <v>46265</v>
          </cell>
          <cell r="EP428">
            <v>46295</v>
          </cell>
          <cell r="EQ428">
            <v>46326</v>
          </cell>
          <cell r="ER428">
            <v>46356</v>
          </cell>
          <cell r="ES428">
            <v>46387</v>
          </cell>
          <cell r="ET428">
            <v>46418</v>
          </cell>
          <cell r="EU428">
            <v>46446</v>
          </cell>
          <cell r="EV428">
            <v>46477</v>
          </cell>
          <cell r="EW428">
            <v>46507</v>
          </cell>
          <cell r="EX428">
            <v>46538</v>
          </cell>
          <cell r="EY428">
            <v>46568</v>
          </cell>
          <cell r="EZ428">
            <v>46599</v>
          </cell>
          <cell r="FA428">
            <v>46630</v>
          </cell>
          <cell r="FB428">
            <v>46660</v>
          </cell>
          <cell r="FC428">
            <v>46691</v>
          </cell>
          <cell r="FD428">
            <v>46721</v>
          </cell>
          <cell r="FE428">
            <v>46752</v>
          </cell>
          <cell r="FF428">
            <v>46783</v>
          </cell>
          <cell r="FG428">
            <v>46812</v>
          </cell>
          <cell r="FH428">
            <v>46843</v>
          </cell>
          <cell r="FI428">
            <v>46873</v>
          </cell>
          <cell r="FJ428">
            <v>46904</v>
          </cell>
          <cell r="FK428">
            <v>46934</v>
          </cell>
          <cell r="FL428">
            <v>46965</v>
          </cell>
        </row>
        <row r="429">
          <cell r="B429" t="str">
            <v>Variação % do PIB (a.a.)</v>
          </cell>
          <cell r="C429">
            <v>2</v>
          </cell>
          <cell r="F429">
            <v>-3.1368919065494216E-3</v>
          </cell>
          <cell r="G429">
            <v>-3.1368919065494216E-3</v>
          </cell>
          <cell r="H429">
            <v>-3.1368919065494216E-3</v>
          </cell>
          <cell r="I429">
            <v>-3.1368919065494216E-3</v>
          </cell>
          <cell r="J429">
            <v>-3.1368919065494216E-3</v>
          </cell>
          <cell r="K429">
            <v>-3.1368919065494216E-3</v>
          </cell>
          <cell r="L429">
            <v>-3.1368919065494216E-3</v>
          </cell>
          <cell r="M429">
            <v>-3.1368919065494216E-3</v>
          </cell>
          <cell r="N429">
            <v>-3.1368919065494216E-3</v>
          </cell>
          <cell r="O429">
            <v>-3.1368919065494216E-3</v>
          </cell>
          <cell r="P429">
            <v>-3.1368919065494216E-3</v>
          </cell>
          <cell r="Q429">
            <v>-3.1368919065494216E-3</v>
          </cell>
          <cell r="R429">
            <v>-3.171403950113727E-3</v>
          </cell>
          <cell r="S429">
            <v>-3.171403950113727E-3</v>
          </cell>
          <cell r="T429">
            <v>-3.171403950113727E-3</v>
          </cell>
          <cell r="U429">
            <v>-3.171403950113727E-3</v>
          </cell>
          <cell r="V429">
            <v>-3.171403950113727E-3</v>
          </cell>
          <cell r="W429">
            <v>-3.171403950113727E-3</v>
          </cell>
          <cell r="X429">
            <v>-3.171403950113727E-3</v>
          </cell>
          <cell r="Y429">
            <v>-3.171403950113727E-3</v>
          </cell>
          <cell r="Z429">
            <v>-3.171403950113727E-3</v>
          </cell>
          <cell r="AA429">
            <v>-3.171403950113727E-3</v>
          </cell>
          <cell r="AB429">
            <v>-3.171403950113727E-3</v>
          </cell>
          <cell r="AC429">
            <v>-3.171403950113727E-3</v>
          </cell>
          <cell r="AD429">
            <v>2.1640890030050208E-4</v>
          </cell>
          <cell r="AE429">
            <v>2.1640890030050208E-4</v>
          </cell>
          <cell r="AF429">
            <v>2.1640890030050208E-4</v>
          </cell>
          <cell r="AG429">
            <v>2.1640890030050208E-4</v>
          </cell>
          <cell r="AH429">
            <v>2.1640890030050208E-4</v>
          </cell>
          <cell r="AI429">
            <v>2.1640890030050208E-4</v>
          </cell>
          <cell r="AJ429">
            <v>2.1640890030050208E-4</v>
          </cell>
          <cell r="AK429">
            <v>2.1640890030050208E-4</v>
          </cell>
          <cell r="AL429">
            <v>2.1640890030050208E-4</v>
          </cell>
          <cell r="AM429">
            <v>2.1640890030050208E-4</v>
          </cell>
          <cell r="AN429">
            <v>2.1640890030050208E-4</v>
          </cell>
          <cell r="AO429">
            <v>2.1640890030050208E-4</v>
          </cell>
          <cell r="AP429">
            <v>1.2661454966749197E-3</v>
          </cell>
          <cell r="AQ429">
            <v>1.2661454966749197E-3</v>
          </cell>
          <cell r="AR429">
            <v>1.2661454966749197E-3</v>
          </cell>
          <cell r="AS429">
            <v>1.2661454966749197E-3</v>
          </cell>
          <cell r="AT429">
            <v>1.2661454966749197E-3</v>
          </cell>
          <cell r="AU429">
            <v>1.2661454966749197E-3</v>
          </cell>
          <cell r="AV429">
            <v>1.2661454966749197E-3</v>
          </cell>
          <cell r="AW429">
            <v>1.2661454966749197E-3</v>
          </cell>
          <cell r="AX429">
            <v>1.2661454966749197E-3</v>
          </cell>
          <cell r="AY429">
            <v>1.2661454966749197E-3</v>
          </cell>
          <cell r="AZ429">
            <v>1.2661454966749197E-3</v>
          </cell>
          <cell r="BA429">
            <v>1.2661454966749197E-3</v>
          </cell>
          <cell r="BB429">
            <v>1.635212974954614E-3</v>
          </cell>
          <cell r="BC429">
            <v>1.635212974954614E-3</v>
          </cell>
          <cell r="BD429">
            <v>1.635212974954614E-3</v>
          </cell>
          <cell r="BE429">
            <v>1.635212974954614E-3</v>
          </cell>
          <cell r="BF429">
            <v>1.635212974954614E-3</v>
          </cell>
          <cell r="BG429">
            <v>1.635212974954614E-3</v>
          </cell>
          <cell r="BH429">
            <v>1.635212974954614E-3</v>
          </cell>
          <cell r="BI429">
            <v>1.635212974954614E-3</v>
          </cell>
          <cell r="BJ429">
            <v>1.635212974954614E-3</v>
          </cell>
          <cell r="BK429">
            <v>1.635212974954614E-3</v>
          </cell>
          <cell r="BL429">
            <v>1.635212974954614E-3</v>
          </cell>
          <cell r="BM429">
            <v>1.635212974954614E-3</v>
          </cell>
          <cell r="BN429">
            <v>1.7006686367058155E-3</v>
          </cell>
          <cell r="BO429">
            <v>1.7006686367058155E-3</v>
          </cell>
          <cell r="BP429">
            <v>1.7006686367058155E-3</v>
          </cell>
          <cell r="BQ429">
            <v>1.7006686367058155E-3</v>
          </cell>
          <cell r="BR429">
            <v>1.7006686367058155E-3</v>
          </cell>
          <cell r="BS429">
            <v>1.7006686367058155E-3</v>
          </cell>
          <cell r="BT429">
            <v>1.7006686367058155E-3</v>
          </cell>
          <cell r="BU429">
            <v>1.7006686367058155E-3</v>
          </cell>
          <cell r="BV429">
            <v>1.7006686367058155E-3</v>
          </cell>
          <cell r="BW429">
            <v>1.7006686367058155E-3</v>
          </cell>
          <cell r="BX429">
            <v>1.7006686367058155E-3</v>
          </cell>
          <cell r="BY429">
            <v>1.7006686367058155E-3</v>
          </cell>
          <cell r="BZ429">
            <v>1.7006686367058155E-3</v>
          </cell>
          <cell r="CA429">
            <v>1.7006686367058155E-3</v>
          </cell>
          <cell r="CB429">
            <v>1.7006686367058155E-3</v>
          </cell>
          <cell r="CC429">
            <v>1.7006686367058155E-3</v>
          </cell>
          <cell r="CD429">
            <v>1.7006686367058155E-3</v>
          </cell>
          <cell r="CE429">
            <v>1.7006686367058155E-3</v>
          </cell>
          <cell r="CF429">
            <v>1.7006686367058155E-3</v>
          </cell>
          <cell r="CG429">
            <v>1.7006686367058155E-3</v>
          </cell>
          <cell r="CH429">
            <v>1.7006686367058155E-3</v>
          </cell>
          <cell r="CI429">
            <v>1.7006686367058155E-3</v>
          </cell>
          <cell r="CJ429">
            <v>1.7006686367058155E-3</v>
          </cell>
          <cell r="CK429">
            <v>1.7006686367058155E-3</v>
          </cell>
          <cell r="CL429">
            <v>1.7006686367058155E-3</v>
          </cell>
          <cell r="CM429">
            <v>1.7006686367058155E-3</v>
          </cell>
          <cell r="CN429">
            <v>1.7006686367058155E-3</v>
          </cell>
          <cell r="CO429">
            <v>1.7006686367058155E-3</v>
          </cell>
          <cell r="CP429">
            <v>1.7006686367058155E-3</v>
          </cell>
          <cell r="CQ429">
            <v>1.7006686367058155E-3</v>
          </cell>
          <cell r="CR429">
            <v>1.7006686367058155E-3</v>
          </cell>
          <cell r="CS429">
            <v>1.7006686367058155E-3</v>
          </cell>
          <cell r="CT429">
            <v>1.7006686367058155E-3</v>
          </cell>
          <cell r="CU429">
            <v>1.7006686367058155E-3</v>
          </cell>
          <cell r="CV429">
            <v>1.7006686367058155E-3</v>
          </cell>
          <cell r="CW429">
            <v>1.7006686367058155E-3</v>
          </cell>
          <cell r="CX429">
            <v>1.7006686367058155E-3</v>
          </cell>
          <cell r="CY429">
            <v>1.7006686367058155E-3</v>
          </cell>
          <cell r="CZ429">
            <v>1.7006686367058155E-3</v>
          </cell>
          <cell r="DA429">
            <v>1.7006686367058155E-3</v>
          </cell>
          <cell r="DB429">
            <v>1.7006686367058155E-3</v>
          </cell>
          <cell r="DC429">
            <v>1.7006686367058155E-3</v>
          </cell>
          <cell r="DD429">
            <v>1.7006686367058155E-3</v>
          </cell>
          <cell r="DE429">
            <v>1.7006686367058155E-3</v>
          </cell>
          <cell r="DF429">
            <v>1.7006686367058155E-3</v>
          </cell>
          <cell r="DG429">
            <v>1.7006686367058155E-3</v>
          </cell>
          <cell r="DH429">
            <v>1.7006686367058155E-3</v>
          </cell>
          <cell r="DI429">
            <v>1.7006686367058155E-3</v>
          </cell>
          <cell r="DJ429">
            <v>1.7006686367058155E-3</v>
          </cell>
          <cell r="DK429">
            <v>1.7006686367058155E-3</v>
          </cell>
          <cell r="DL429">
            <v>1.7006686367058155E-3</v>
          </cell>
          <cell r="DM429">
            <v>1.7006686367058155E-3</v>
          </cell>
          <cell r="DN429">
            <v>1.7006686367058155E-3</v>
          </cell>
          <cell r="DO429">
            <v>1.7006686367058155E-3</v>
          </cell>
          <cell r="DP429">
            <v>1.7006686367058155E-3</v>
          </cell>
          <cell r="DQ429">
            <v>1.7006686367058155E-3</v>
          </cell>
          <cell r="DR429">
            <v>1.7006686367058155E-3</v>
          </cell>
          <cell r="DS429">
            <v>1.7006686367058155E-3</v>
          </cell>
          <cell r="DT429">
            <v>1.7006686367058155E-3</v>
          </cell>
          <cell r="DU429">
            <v>1.7006686367058155E-3</v>
          </cell>
          <cell r="DV429">
            <v>1.7006686367058155E-3</v>
          </cell>
          <cell r="DW429">
            <v>1.7006686367058155E-3</v>
          </cell>
          <cell r="DX429">
            <v>1.7006686367058155E-3</v>
          </cell>
          <cell r="DY429">
            <v>1.7006686367058155E-3</v>
          </cell>
          <cell r="DZ429">
            <v>1.7006686367058155E-3</v>
          </cell>
          <cell r="EA429">
            <v>1.7006686367058155E-3</v>
          </cell>
          <cell r="EB429">
            <v>1.7006686367058155E-3</v>
          </cell>
          <cell r="EC429">
            <v>1.7006686367058155E-3</v>
          </cell>
          <cell r="ED429">
            <v>1.7006686367058155E-3</v>
          </cell>
          <cell r="EE429">
            <v>1.7006686367058155E-3</v>
          </cell>
          <cell r="EF429">
            <v>1.7006686367058155E-3</v>
          </cell>
          <cell r="EG429">
            <v>1.7006686367058155E-3</v>
          </cell>
          <cell r="EH429">
            <v>1.7006686367058155E-3</v>
          </cell>
          <cell r="EI429">
            <v>1.7006686367058155E-3</v>
          </cell>
          <cell r="EJ429">
            <v>1.7006686367058155E-3</v>
          </cell>
          <cell r="EK429">
            <v>1.7006686367058155E-3</v>
          </cell>
          <cell r="EL429">
            <v>1.7006686367058155E-3</v>
          </cell>
          <cell r="EM429">
            <v>1.7006686367058155E-3</v>
          </cell>
          <cell r="EN429">
            <v>1.7006686367058155E-3</v>
          </cell>
          <cell r="EO429">
            <v>1.7006686367058155E-3</v>
          </cell>
          <cell r="EP429">
            <v>1.7006686367058155E-3</v>
          </cell>
          <cell r="EQ429">
            <v>1.7006686367058155E-3</v>
          </cell>
          <cell r="ER429">
            <v>1.7006686367058155E-3</v>
          </cell>
          <cell r="ES429">
            <v>1.7006686367058155E-3</v>
          </cell>
          <cell r="ET429">
            <v>1.7006686367058155E-3</v>
          </cell>
          <cell r="EU429">
            <v>1.7006686367058155E-3</v>
          </cell>
          <cell r="EV429">
            <v>1.7006686367058155E-3</v>
          </cell>
          <cell r="EW429">
            <v>1.7006686367058155E-3</v>
          </cell>
          <cell r="EX429">
            <v>1.7006686367058155E-3</v>
          </cell>
          <cell r="EY429">
            <v>1.7006686367058155E-3</v>
          </cell>
          <cell r="EZ429">
            <v>1.7006686367058155E-3</v>
          </cell>
          <cell r="FA429">
            <v>1.7006686367058155E-3</v>
          </cell>
          <cell r="FB429">
            <v>1.7006686367058155E-3</v>
          </cell>
          <cell r="FC429">
            <v>1.7006686367058155E-3</v>
          </cell>
          <cell r="FD429">
            <v>1.7006686367058155E-3</v>
          </cell>
          <cell r="FE429">
            <v>1.7006686367058155E-3</v>
          </cell>
          <cell r="FF429">
            <v>1.7006686367058155E-3</v>
          </cell>
          <cell r="FG429">
            <v>1.7006686367058155E-3</v>
          </cell>
          <cell r="FH429">
            <v>1.7006686367058155E-3</v>
          </cell>
          <cell r="FI429">
            <v>1.7006686367058155E-3</v>
          </cell>
          <cell r="FJ429">
            <v>1.7006686367058155E-3</v>
          </cell>
          <cell r="FK429">
            <v>1.7006686367058155E-3</v>
          </cell>
          <cell r="FL429">
            <v>1.7006686367058155E-3</v>
          </cell>
        </row>
        <row r="430">
          <cell r="B430" t="str">
            <v>IPCA (IBGE - %)</v>
          </cell>
          <cell r="C430">
            <v>3</v>
          </cell>
          <cell r="F430">
            <v>8.5071194284280782E-3</v>
          </cell>
          <cell r="G430">
            <v>8.5071194284280782E-3</v>
          </cell>
          <cell r="H430">
            <v>8.5071194284280782E-3</v>
          </cell>
          <cell r="I430">
            <v>8.5071194284280782E-3</v>
          </cell>
          <cell r="J430">
            <v>8.5071194284280782E-3</v>
          </cell>
          <cell r="K430">
            <v>8.5071194284280782E-3</v>
          </cell>
          <cell r="L430">
            <v>8.5071194284280782E-3</v>
          </cell>
          <cell r="M430">
            <v>8.5071194284280782E-3</v>
          </cell>
          <cell r="N430">
            <v>8.5071194284280782E-3</v>
          </cell>
          <cell r="O430">
            <v>8.5071194284280782E-3</v>
          </cell>
          <cell r="P430">
            <v>8.5071194284280782E-3</v>
          </cell>
          <cell r="Q430">
            <v>8.5071194284280782E-3</v>
          </cell>
          <cell r="R430">
            <v>5.8888099067944122E-3</v>
          </cell>
          <cell r="S430">
            <v>5.8888099067944122E-3</v>
          </cell>
          <cell r="T430">
            <v>5.8888099067944122E-3</v>
          </cell>
          <cell r="U430">
            <v>5.8888099067944122E-3</v>
          </cell>
          <cell r="V430">
            <v>5.8888099067944122E-3</v>
          </cell>
          <cell r="W430">
            <v>5.8888099067944122E-3</v>
          </cell>
          <cell r="X430">
            <v>5.8888099067944122E-3</v>
          </cell>
          <cell r="Y430">
            <v>5.8888099067944122E-3</v>
          </cell>
          <cell r="Z430">
            <v>5.8888099067944122E-3</v>
          </cell>
          <cell r="AA430">
            <v>5.8888099067944122E-3</v>
          </cell>
          <cell r="AB430">
            <v>5.8888099067944122E-3</v>
          </cell>
          <cell r="AC430">
            <v>5.8888099067944122E-3</v>
          </cell>
          <cell r="AD430">
            <v>4.8043294764150701E-3</v>
          </cell>
          <cell r="AE430">
            <v>4.8043294764150701E-3</v>
          </cell>
          <cell r="AF430">
            <v>4.8043294764150701E-3</v>
          </cell>
          <cell r="AG430">
            <v>4.8043294764150701E-3</v>
          </cell>
          <cell r="AH430">
            <v>4.8043294764150701E-3</v>
          </cell>
          <cell r="AI430">
            <v>4.8043294764150701E-3</v>
          </cell>
          <cell r="AJ430">
            <v>4.8043294764150701E-3</v>
          </cell>
          <cell r="AK430">
            <v>4.8043294764150701E-3</v>
          </cell>
          <cell r="AL430">
            <v>4.8043294764150701E-3</v>
          </cell>
          <cell r="AM430">
            <v>4.8043294764150701E-3</v>
          </cell>
          <cell r="AN430">
            <v>4.8043294764150701E-3</v>
          </cell>
          <cell r="AO430">
            <v>4.8043294764150701E-3</v>
          </cell>
          <cell r="AP430">
            <v>4.439956538087042E-3</v>
          </cell>
          <cell r="AQ430">
            <v>4.439956538087042E-3</v>
          </cell>
          <cell r="AR430">
            <v>4.439956538087042E-3</v>
          </cell>
          <cell r="AS430">
            <v>4.439956538087042E-3</v>
          </cell>
          <cell r="AT430">
            <v>4.439956538087042E-3</v>
          </cell>
          <cell r="AU430">
            <v>4.439956538087042E-3</v>
          </cell>
          <cell r="AV430">
            <v>4.439956538087042E-3</v>
          </cell>
          <cell r="AW430">
            <v>4.439956538087042E-3</v>
          </cell>
          <cell r="AX430">
            <v>4.439956538087042E-3</v>
          </cell>
          <cell r="AY430">
            <v>4.439956538087042E-3</v>
          </cell>
          <cell r="AZ430">
            <v>4.439956538087042E-3</v>
          </cell>
          <cell r="BA430">
            <v>4.439956538087042E-3</v>
          </cell>
          <cell r="BB430">
            <v>4.2015362976310922E-3</v>
          </cell>
          <cell r="BC430">
            <v>4.2015362976310922E-3</v>
          </cell>
          <cell r="BD430">
            <v>4.2015362976310922E-3</v>
          </cell>
          <cell r="BE430">
            <v>4.2015362976310922E-3</v>
          </cell>
          <cell r="BF430">
            <v>4.2015362976310922E-3</v>
          </cell>
          <cell r="BG430">
            <v>4.2015362976310922E-3</v>
          </cell>
          <cell r="BH430">
            <v>4.2015362976310922E-3</v>
          </cell>
          <cell r="BI430">
            <v>4.2015362976310922E-3</v>
          </cell>
          <cell r="BJ430">
            <v>4.2015362976310922E-3</v>
          </cell>
          <cell r="BK430">
            <v>4.2015362976310922E-3</v>
          </cell>
          <cell r="BL430">
            <v>4.2015362976310922E-3</v>
          </cell>
          <cell r="BM430">
            <v>4.2015362976310922E-3</v>
          </cell>
          <cell r="BN430">
            <v>4.1298886422020953E-3</v>
          </cell>
          <cell r="BO430">
            <v>4.1298886422020953E-3</v>
          </cell>
          <cell r="BP430">
            <v>4.1298886422020953E-3</v>
          </cell>
          <cell r="BQ430">
            <v>4.1298886422020953E-3</v>
          </cell>
          <cell r="BR430">
            <v>4.1298886422020953E-3</v>
          </cell>
          <cell r="BS430">
            <v>4.1298886422020953E-3</v>
          </cell>
          <cell r="BT430">
            <v>4.1298886422020953E-3</v>
          </cell>
          <cell r="BU430">
            <v>4.1298886422020953E-3</v>
          </cell>
          <cell r="BV430">
            <v>4.1298886422020953E-3</v>
          </cell>
          <cell r="BW430">
            <v>4.1298886422020953E-3</v>
          </cell>
          <cell r="BX430">
            <v>4.1298886422020953E-3</v>
          </cell>
          <cell r="BY430">
            <v>4.1298886422020953E-3</v>
          </cell>
          <cell r="BZ430">
            <v>4.1298886422020953E-3</v>
          </cell>
          <cell r="CA430">
            <v>4.1298886422020953E-3</v>
          </cell>
          <cell r="CB430">
            <v>4.1298886422020953E-3</v>
          </cell>
          <cell r="CC430">
            <v>4.1298886422020953E-3</v>
          </cell>
          <cell r="CD430">
            <v>4.1298886422020953E-3</v>
          </cell>
          <cell r="CE430">
            <v>4.1298886422020953E-3</v>
          </cell>
          <cell r="CF430">
            <v>4.1298886422020953E-3</v>
          </cell>
          <cell r="CG430">
            <v>4.1298886422020953E-3</v>
          </cell>
          <cell r="CH430">
            <v>4.1298886422020953E-3</v>
          </cell>
          <cell r="CI430">
            <v>4.1298886422020953E-3</v>
          </cell>
          <cell r="CJ430">
            <v>4.1298886422020953E-3</v>
          </cell>
          <cell r="CK430">
            <v>4.1298886422020953E-3</v>
          </cell>
          <cell r="CL430">
            <v>4.1298886422020953E-3</v>
          </cell>
          <cell r="CM430">
            <v>4.1298886422020953E-3</v>
          </cell>
          <cell r="CN430">
            <v>4.1298886422020953E-3</v>
          </cell>
          <cell r="CO430">
            <v>4.1298886422020953E-3</v>
          </cell>
          <cell r="CP430">
            <v>4.1298886422020953E-3</v>
          </cell>
          <cell r="CQ430">
            <v>4.1298886422020953E-3</v>
          </cell>
          <cell r="CR430">
            <v>4.1298886422020953E-3</v>
          </cell>
          <cell r="CS430">
            <v>4.1298886422020953E-3</v>
          </cell>
          <cell r="CT430">
            <v>4.1298886422020953E-3</v>
          </cell>
          <cell r="CU430">
            <v>4.1298886422020953E-3</v>
          </cell>
          <cell r="CV430">
            <v>4.1298886422020953E-3</v>
          </cell>
          <cell r="CW430">
            <v>4.1298886422020953E-3</v>
          </cell>
          <cell r="CX430">
            <v>4.1298886422020953E-3</v>
          </cell>
          <cell r="CY430">
            <v>4.1298886422020953E-3</v>
          </cell>
          <cell r="CZ430">
            <v>4.1298886422020953E-3</v>
          </cell>
          <cell r="DA430">
            <v>4.1298886422020953E-3</v>
          </cell>
          <cell r="DB430">
            <v>4.1298886422020953E-3</v>
          </cell>
          <cell r="DC430">
            <v>4.1298886422020953E-3</v>
          </cell>
          <cell r="DD430">
            <v>4.1298886422020953E-3</v>
          </cell>
          <cell r="DE430">
            <v>4.1298886422020953E-3</v>
          </cell>
          <cell r="DF430">
            <v>4.1298886422020953E-3</v>
          </cell>
          <cell r="DG430">
            <v>4.1298886422020953E-3</v>
          </cell>
          <cell r="DH430">
            <v>4.1298886422020953E-3</v>
          </cell>
          <cell r="DI430">
            <v>4.1298886422020953E-3</v>
          </cell>
          <cell r="DJ430">
            <v>4.1298886422020953E-3</v>
          </cell>
          <cell r="DK430">
            <v>4.1298886422020953E-3</v>
          </cell>
          <cell r="DL430">
            <v>4.1298886422020953E-3</v>
          </cell>
          <cell r="DM430">
            <v>4.1298886422020953E-3</v>
          </cell>
          <cell r="DN430">
            <v>4.1298886422020953E-3</v>
          </cell>
          <cell r="DO430">
            <v>4.1298886422020953E-3</v>
          </cell>
          <cell r="DP430">
            <v>4.1298886422020953E-3</v>
          </cell>
          <cell r="DQ430">
            <v>4.1298886422020953E-3</v>
          </cell>
          <cell r="DR430">
            <v>4.1298886422020953E-3</v>
          </cell>
          <cell r="DS430">
            <v>4.1298886422020953E-3</v>
          </cell>
          <cell r="DT430">
            <v>4.1298886422020953E-3</v>
          </cell>
          <cell r="DU430">
            <v>4.1298886422020953E-3</v>
          </cell>
          <cell r="DV430">
            <v>4.1298886422020953E-3</v>
          </cell>
          <cell r="DW430">
            <v>4.1298886422020953E-3</v>
          </cell>
          <cell r="DX430">
            <v>4.1298886422020953E-3</v>
          </cell>
          <cell r="DY430">
            <v>4.1298886422020953E-3</v>
          </cell>
          <cell r="DZ430">
            <v>4.1298886422020953E-3</v>
          </cell>
          <cell r="EA430">
            <v>4.1298886422020953E-3</v>
          </cell>
          <cell r="EB430">
            <v>4.1298886422020953E-3</v>
          </cell>
          <cell r="EC430">
            <v>4.1298886422020953E-3</v>
          </cell>
          <cell r="ED430">
            <v>4.1298886422020953E-3</v>
          </cell>
          <cell r="EE430">
            <v>4.1298886422020953E-3</v>
          </cell>
          <cell r="EF430">
            <v>4.1298886422020953E-3</v>
          </cell>
          <cell r="EG430">
            <v>4.1298886422020953E-3</v>
          </cell>
          <cell r="EH430">
            <v>4.1298886422020953E-3</v>
          </cell>
          <cell r="EI430">
            <v>4.1298886422020953E-3</v>
          </cell>
          <cell r="EJ430">
            <v>4.1298886422020953E-3</v>
          </cell>
          <cell r="EK430">
            <v>4.1298886422020953E-3</v>
          </cell>
          <cell r="EL430">
            <v>4.1298886422020953E-3</v>
          </cell>
          <cell r="EM430">
            <v>4.1298886422020953E-3</v>
          </cell>
          <cell r="EN430">
            <v>4.1298886422020953E-3</v>
          </cell>
          <cell r="EO430">
            <v>4.1298886422020953E-3</v>
          </cell>
          <cell r="EP430">
            <v>4.1298886422020953E-3</v>
          </cell>
          <cell r="EQ430">
            <v>4.1298886422020953E-3</v>
          </cell>
          <cell r="ER430">
            <v>4.1298886422020953E-3</v>
          </cell>
          <cell r="ES430">
            <v>4.1298886422020953E-3</v>
          </cell>
          <cell r="ET430">
            <v>4.1298886422020953E-3</v>
          </cell>
          <cell r="EU430">
            <v>4.1298886422020953E-3</v>
          </cell>
          <cell r="EV430">
            <v>4.1298886422020953E-3</v>
          </cell>
          <cell r="EW430">
            <v>4.1298886422020953E-3</v>
          </cell>
          <cell r="EX430">
            <v>4.1298886422020953E-3</v>
          </cell>
          <cell r="EY430">
            <v>4.1298886422020953E-3</v>
          </cell>
          <cell r="EZ430">
            <v>4.1298886422020953E-3</v>
          </cell>
          <cell r="FA430">
            <v>4.1298886422020953E-3</v>
          </cell>
          <cell r="FB430">
            <v>4.1298886422020953E-3</v>
          </cell>
          <cell r="FC430">
            <v>4.1298886422020953E-3</v>
          </cell>
          <cell r="FD430">
            <v>4.1298886422020953E-3</v>
          </cell>
          <cell r="FE430">
            <v>4.1298886422020953E-3</v>
          </cell>
          <cell r="FF430">
            <v>4.1298886422020953E-3</v>
          </cell>
          <cell r="FG430">
            <v>4.1298886422020953E-3</v>
          </cell>
          <cell r="FH430">
            <v>4.1298886422020953E-3</v>
          </cell>
          <cell r="FI430">
            <v>4.1298886422020953E-3</v>
          </cell>
          <cell r="FJ430">
            <v>4.1298886422020953E-3</v>
          </cell>
          <cell r="FK430">
            <v>4.1298886422020953E-3</v>
          </cell>
          <cell r="FL430">
            <v>4.1298886422020953E-3</v>
          </cell>
        </row>
        <row r="431">
          <cell r="B431" t="str">
            <v>IPCA Acumulado</v>
          </cell>
          <cell r="E431">
            <v>1</v>
          </cell>
          <cell r="F431">
            <v>1.0085071194284281</v>
          </cell>
          <cell r="G431">
            <v>1.0170866099378257</v>
          </cell>
          <cell r="H431">
            <v>1.025739087197622</v>
          </cell>
          <cell r="I431">
            <v>1.034465172114819</v>
          </cell>
          <cell r="J431">
            <v>1.0432654908785493</v>
          </cell>
          <cell r="K431">
            <v>1.0521406750050106</v>
          </cell>
          <cell r="L431">
            <v>1.0610913613827853</v>
          </cell>
          <cell r="M431">
            <v>1.0701181923185419</v>
          </cell>
          <cell r="N431">
            <v>1.0792218155831292</v>
          </cell>
          <cell r="O431">
            <v>1.08840288445806</v>
          </cell>
          <cell r="P431">
            <v>1.0976620577823903</v>
          </cell>
          <cell r="Q431">
            <v>1.1069999999999993</v>
          </cell>
          <cell r="R431">
            <v>1.1135189125668208</v>
          </cell>
          <cell r="S431">
            <v>1.1200762137705471</v>
          </cell>
          <cell r="T431">
            <v>1.1266721296745639</v>
          </cell>
          <cell r="U431">
            <v>1.1333068876735006</v>
          </cell>
          <cell r="V431">
            <v>1.1399807165010707</v>
          </cell>
          <cell r="W431">
            <v>1.1466938462379568</v>
          </cell>
          <cell r="X431">
            <v>1.1534465083197432</v>
          </cell>
          <cell r="Y431">
            <v>1.1602389355448939</v>
          </cell>
          <cell r="Z431">
            <v>1.1670713620827793</v>
          </cell>
          <cell r="AA431">
            <v>1.1739440234817484</v>
          </cell>
          <cell r="AB431">
            <v>1.1808571566772499</v>
          </cell>
          <cell r="AC431">
            <v>1.187811</v>
          </cell>
          <cell r="AD431">
            <v>1.1935176353997101</v>
          </cell>
          <cell r="AE431">
            <v>1.1992516873560821</v>
          </cell>
          <cell r="AF431">
            <v>1.2050132875872874</v>
          </cell>
          <cell r="AG431">
            <v>1.2108025684443149</v>
          </cell>
          <cell r="AH431">
            <v>1.2166196629140109</v>
          </cell>
          <cell r="AI431">
            <v>1.2224647046221349</v>
          </cell>
          <cell r="AJ431">
            <v>1.2283378278364281</v>
          </cell>
          <cell r="AK431">
            <v>1.2342391674696982</v>
          </cell>
          <cell r="AL431">
            <v>1.240168859082919</v>
          </cell>
          <cell r="AM431">
            <v>1.246127038888343</v>
          </cell>
          <cell r="AN431">
            <v>1.252113843752632</v>
          </cell>
          <cell r="AO431">
            <v>1.2581294112000001</v>
          </cell>
          <cell r="AP431">
            <v>1.263715451105017</v>
          </cell>
          <cell r="AQ431">
            <v>1.2693262927844324</v>
          </cell>
          <cell r="AR431">
            <v>1.2749620463570464</v>
          </cell>
          <cell r="AS431">
            <v>1.2806228224305822</v>
          </cell>
          <cell r="AT431">
            <v>1.2863087321038564</v>
          </cell>
          <cell r="AU431">
            <v>1.2920198869689594</v>
          </cell>
          <cell r="AV431">
            <v>1.2977563991134458</v>
          </cell>
          <cell r="AW431">
            <v>1.3035183811225337</v>
          </cell>
          <cell r="AX431">
            <v>1.3093059460813152</v>
          </cell>
          <cell r="AY431">
            <v>1.3151192075769753</v>
          </cell>
          <cell r="AZ431">
            <v>1.3209582797010206</v>
          </cell>
          <cell r="BA431">
            <v>1.3268232770515194</v>
          </cell>
          <cell r="BB431">
            <v>1.3323979732105931</v>
          </cell>
          <cell r="BC431">
            <v>1.3379960916579274</v>
          </cell>
          <cell r="BD431">
            <v>1.3436177308031167</v>
          </cell>
          <cell r="BE431">
            <v>1.3492629894692267</v>
          </cell>
          <cell r="BF431">
            <v>1.3549319668945319</v>
          </cell>
          <cell r="BG431">
            <v>1.36062476273426</v>
          </cell>
          <cell r="BH431">
            <v>1.3663414770623437</v>
          </cell>
          <cell r="BI431">
            <v>1.37208221037318</v>
          </cell>
          <cell r="BJ431">
            <v>1.3778470635833968</v>
          </cell>
          <cell r="BK431">
            <v>1.3836361380336268</v>
          </cell>
          <cell r="BL431">
            <v>1.3894495354902892</v>
          </cell>
          <cell r="BM431">
            <v>1.3952873581473784</v>
          </cell>
          <cell r="BN431">
            <v>1.4010497395603994</v>
          </cell>
          <cell r="BO431">
            <v>1.4068359189669701</v>
          </cell>
          <cell r="BP431">
            <v>1.4126459946501537</v>
          </cell>
          <cell r="BQ431">
            <v>1.4184800652989116</v>
          </cell>
          <cell r="BR431">
            <v>1.4243382300097795</v>
          </cell>
          <cell r="BS431">
            <v>1.4302205882885513</v>
          </cell>
          <cell r="BT431">
            <v>1.4361272400519678</v>
          </cell>
          <cell r="BU431">
            <v>1.4420582856294155</v>
          </cell>
          <cell r="BV431">
            <v>1.4480138257646298</v>
          </cell>
          <cell r="BW431">
            <v>1.4539939616174067</v>
          </cell>
          <cell r="BX431">
            <v>1.4599987947653208</v>
          </cell>
          <cell r="BY431">
            <v>1.4660284272054509</v>
          </cell>
          <cell r="BZ431">
            <v>1.4720829613561122</v>
          </cell>
          <cell r="CA431">
            <v>1.4781625000585961</v>
          </cell>
          <cell r="CB431">
            <v>1.484267146578917</v>
          </cell>
          <cell r="CC431">
            <v>1.4903970046095669</v>
          </cell>
          <cell r="CD431">
            <v>1.4965521782712761</v>
          </cell>
          <cell r="CE431">
            <v>1.5027327721147814</v>
          </cell>
          <cell r="CF431">
            <v>1.5089388911226032</v>
          </cell>
          <cell r="CG431">
            <v>1.5151706407108274</v>
          </cell>
          <cell r="CH431">
            <v>1.5214281267308971</v>
          </cell>
          <cell r="CI431">
            <v>1.52771145547141</v>
          </cell>
          <cell r="CJ431">
            <v>1.5340207336599234</v>
          </cell>
          <cell r="CK431">
            <v>1.5403560684647681</v>
          </cell>
          <cell r="CL431">
            <v>1.5467175674968678</v>
          </cell>
          <cell r="CM431">
            <v>1.5531053388115676</v>
          </cell>
          <cell r="CN431">
            <v>1.559519490910469</v>
          </cell>
          <cell r="CO431">
            <v>1.5659601327432731</v>
          </cell>
          <cell r="CP431">
            <v>1.5724273737096308</v>
          </cell>
          <cell r="CQ431">
            <v>1.5789213236610018</v>
          </cell>
          <cell r="CR431">
            <v>1.5854420929025201</v>
          </cell>
          <cell r="CS431">
            <v>1.5919897921948674</v>
          </cell>
          <cell r="CT431">
            <v>1.5985645327561546</v>
          </cell>
          <cell r="CU431">
            <v>1.6051664262638115</v>
          </cell>
          <cell r="CV431">
            <v>1.6117955848564824</v>
          </cell>
          <cell r="CW431">
            <v>1.6184521211359326</v>
          </cell>
          <cell r="CX431">
            <v>1.6251361481689599</v>
          </cell>
          <cell r="CY431">
            <v>1.6318477794893149</v>
          </cell>
          <cell r="CZ431">
            <v>1.6385871290996306</v>
          </cell>
          <cell r="DA431">
            <v>1.6453543114733578</v>
          </cell>
          <cell r="DB431">
            <v>1.6521494415567097</v>
          </cell>
          <cell r="DC431">
            <v>1.6589726347706153</v>
          </cell>
          <cell r="DD431">
            <v>1.6658240070126786</v>
          </cell>
          <cell r="DE431">
            <v>1.6727036746591479</v>
          </cell>
          <cell r="DF431">
            <v>1.6796117545668925</v>
          </cell>
          <cell r="DG431">
            <v>1.6865483640753873</v>
          </cell>
          <cell r="DH431">
            <v>1.6935136210087067</v>
          </cell>
          <cell r="DI431">
            <v>1.700507643677525</v>
          </cell>
          <cell r="DJ431">
            <v>1.7075305508811267</v>
          </cell>
          <cell r="DK431">
            <v>1.7145824619094236</v>
          </cell>
          <cell r="DL431">
            <v>1.7216634965449822</v>
          </cell>
          <cell r="DM431">
            <v>1.7287737750650574</v>
          </cell>
          <cell r="DN431">
            <v>1.7359134182436353</v>
          </cell>
          <cell r="DO431">
            <v>1.7430825473534859</v>
          </cell>
          <cell r="DP431">
            <v>1.7502812841682218</v>
          </cell>
          <cell r="DQ431">
            <v>1.7575097509643671</v>
          </cell>
          <cell r="DR431">
            <v>1.7647680705234343</v>
          </cell>
          <cell r="DS431">
            <v>1.7720563661340099</v>
          </cell>
          <cell r="DT431">
            <v>1.7793747615938487</v>
          </cell>
          <cell r="DU431">
            <v>1.7867233812119763</v>
          </cell>
          <cell r="DV431">
            <v>1.7941023498108006</v>
          </cell>
          <cell r="DW431">
            <v>1.8015117927282323</v>
          </cell>
          <cell r="DX431">
            <v>1.8089518358198138</v>
          </cell>
          <cell r="DY431">
            <v>1.8164226054608568</v>
          </cell>
          <cell r="DZ431">
            <v>1.8239242285485886</v>
          </cell>
          <cell r="EA431">
            <v>1.8314568325043086</v>
          </cell>
          <cell r="EB431">
            <v>1.8390205452755515</v>
          </cell>
          <cell r="EC431">
            <v>1.8466154953382612</v>
          </cell>
          <cell r="ED431">
            <v>1.8542418116989732</v>
          </cell>
          <cell r="EE431">
            <v>1.8618996238970049</v>
          </cell>
          <cell r="EF431">
            <v>1.8695890620066575</v>
          </cell>
          <cell r="EG431">
            <v>1.8773102566394242</v>
          </cell>
          <cell r="EH431">
            <v>1.8850633389462088</v>
          </cell>
          <cell r="EI431">
            <v>1.8928484406195543</v>
          </cell>
          <cell r="EJ431">
            <v>1.9006656938958788</v>
          </cell>
          <cell r="EK431">
            <v>1.9085152315577225</v>
          </cell>
          <cell r="EL431">
            <v>1.9163971869360024</v>
          </cell>
          <cell r="EM431">
            <v>1.9243116939122773</v>
          </cell>
          <cell r="EN431">
            <v>1.9322588869210222</v>
          </cell>
          <cell r="EO431">
            <v>1.9402389009519114</v>
          </cell>
          <cell r="EP431">
            <v>1.9482518715521113</v>
          </cell>
          <cell r="EQ431">
            <v>1.9562979348285834</v>
          </cell>
          <cell r="ER431">
            <v>1.9643772274503954</v>
          </cell>
          <cell r="ES431">
            <v>1.9724898866510432</v>
          </cell>
          <cell r="ET431">
            <v>1.9806360502307818</v>
          </cell>
          <cell r="EU431">
            <v>1.988815856558966</v>
          </cell>
          <cell r="EV431">
            <v>1.9970294445764003</v>
          </cell>
          <cell r="EW431">
            <v>2.0052769537976993</v>
          </cell>
          <cell r="EX431">
            <v>2.013558524313658</v>
          </cell>
          <cell r="EY431">
            <v>2.0218742967936301</v>
          </cell>
          <cell r="EZ431">
            <v>2.0302244124879185</v>
          </cell>
          <cell r="FA431">
            <v>2.038609013230174</v>
          </cell>
          <cell r="FB431">
            <v>2.0470282414398042</v>
          </cell>
          <cell r="FC431">
            <v>2.0554822401243933</v>
          </cell>
          <cell r="FD431">
            <v>2.063971152882131</v>
          </cell>
          <cell r="FE431">
            <v>2.0724951239042517</v>
          </cell>
          <cell r="FF431">
            <v>2.0810542979774831</v>
          </cell>
          <cell r="FG431">
            <v>2.0896488204865062</v>
          </cell>
          <cell r="FH431">
            <v>2.0982788374164243</v>
          </cell>
          <cell r="FI431">
            <v>2.1069444953552434</v>
          </cell>
          <cell r="FJ431">
            <v>2.1156459414963611</v>
          </cell>
          <cell r="FK431">
            <v>2.1243833236410681</v>
          </cell>
          <cell r="FL431">
            <v>2.1331567902010566</v>
          </cell>
        </row>
        <row r="432">
          <cell r="B432" t="str">
            <v>IGP-M (FGV - %)</v>
          </cell>
          <cell r="C432">
            <v>4</v>
          </cell>
          <cell r="F432">
            <v>8.3855685914970834E-3</v>
          </cell>
          <cell r="G432">
            <v>8.3855685914970834E-3</v>
          </cell>
          <cell r="H432">
            <v>8.3855685914970834E-3</v>
          </cell>
          <cell r="I432">
            <v>8.3855685914970834E-3</v>
          </cell>
          <cell r="J432">
            <v>8.3855685914970834E-3</v>
          </cell>
          <cell r="K432">
            <v>8.3855685914970834E-3</v>
          </cell>
          <cell r="L432">
            <v>8.3855685914970834E-3</v>
          </cell>
          <cell r="M432">
            <v>8.3855685914970834E-3</v>
          </cell>
          <cell r="N432">
            <v>8.3855685914970834E-3</v>
          </cell>
          <cell r="O432">
            <v>8.3855685914970834E-3</v>
          </cell>
          <cell r="P432">
            <v>8.3855685914970834E-3</v>
          </cell>
          <cell r="Q432">
            <v>8.3855685914970834E-3</v>
          </cell>
          <cell r="R432">
            <v>6.1774025897503027E-3</v>
          </cell>
          <cell r="S432">
            <v>6.1774025897503027E-3</v>
          </cell>
          <cell r="T432">
            <v>6.1774025897503027E-3</v>
          </cell>
          <cell r="U432">
            <v>6.1774025897503027E-3</v>
          </cell>
          <cell r="V432">
            <v>6.1774025897503027E-3</v>
          </cell>
          <cell r="W432">
            <v>6.1774025897503027E-3</v>
          </cell>
          <cell r="X432">
            <v>6.1774025897503027E-3</v>
          </cell>
          <cell r="Y432">
            <v>6.1774025897503027E-3</v>
          </cell>
          <cell r="Z432">
            <v>6.1774025897503027E-3</v>
          </cell>
          <cell r="AA432">
            <v>6.1774025897503027E-3</v>
          </cell>
          <cell r="AB432">
            <v>6.1774025897503027E-3</v>
          </cell>
          <cell r="AC432">
            <v>6.1774025897503027E-3</v>
          </cell>
          <cell r="AD432">
            <v>4.6302455190647684E-3</v>
          </cell>
          <cell r="AE432">
            <v>4.6302455190647684E-3</v>
          </cell>
          <cell r="AF432">
            <v>4.6302455190647684E-3</v>
          </cell>
          <cell r="AG432">
            <v>4.6302455190647684E-3</v>
          </cell>
          <cell r="AH432">
            <v>4.6302455190647684E-3</v>
          </cell>
          <cell r="AI432">
            <v>4.6302455190647684E-3</v>
          </cell>
          <cell r="AJ432">
            <v>4.6302455190647684E-3</v>
          </cell>
          <cell r="AK432">
            <v>4.6302455190647684E-3</v>
          </cell>
          <cell r="AL432">
            <v>4.6302455190647684E-3</v>
          </cell>
          <cell r="AM432">
            <v>4.6302455190647684E-3</v>
          </cell>
          <cell r="AN432">
            <v>4.6302455190647684E-3</v>
          </cell>
          <cell r="AO432">
            <v>4.6302455190647684E-3</v>
          </cell>
          <cell r="AP432">
            <v>4.3287712331259165E-3</v>
          </cell>
          <cell r="AQ432">
            <v>4.3287712331259165E-3</v>
          </cell>
          <cell r="AR432">
            <v>4.3287712331259165E-3</v>
          </cell>
          <cell r="AS432">
            <v>4.3287712331259165E-3</v>
          </cell>
          <cell r="AT432">
            <v>4.3287712331259165E-3</v>
          </cell>
          <cell r="AU432">
            <v>4.3287712331259165E-3</v>
          </cell>
          <cell r="AV432">
            <v>4.3287712331259165E-3</v>
          </cell>
          <cell r="AW432">
            <v>4.3287712331259165E-3</v>
          </cell>
          <cell r="AX432">
            <v>4.3287712331259165E-3</v>
          </cell>
          <cell r="AY432">
            <v>4.3287712331259165E-3</v>
          </cell>
          <cell r="AZ432">
            <v>4.3287712331259165E-3</v>
          </cell>
          <cell r="BA432">
            <v>4.3287712331259165E-3</v>
          </cell>
          <cell r="BB432">
            <v>4.1378522703343634E-3</v>
          </cell>
          <cell r="BC432">
            <v>4.1378522703343634E-3</v>
          </cell>
          <cell r="BD432">
            <v>4.1378522703343634E-3</v>
          </cell>
          <cell r="BE432">
            <v>4.1378522703343634E-3</v>
          </cell>
          <cell r="BF432">
            <v>4.1378522703343634E-3</v>
          </cell>
          <cell r="BG432">
            <v>4.1378522703343634E-3</v>
          </cell>
          <cell r="BH432">
            <v>4.1378522703343634E-3</v>
          </cell>
          <cell r="BI432">
            <v>4.1378522703343634E-3</v>
          </cell>
          <cell r="BJ432">
            <v>4.1378522703343634E-3</v>
          </cell>
          <cell r="BK432">
            <v>4.1378522703343634E-3</v>
          </cell>
          <cell r="BL432">
            <v>4.1378522703343634E-3</v>
          </cell>
          <cell r="BM432">
            <v>4.1378522703343634E-3</v>
          </cell>
          <cell r="BN432">
            <v>3.9864244012801642E-3</v>
          </cell>
          <cell r="BO432">
            <v>3.9864244012801642E-3</v>
          </cell>
          <cell r="BP432">
            <v>3.9864244012801642E-3</v>
          </cell>
          <cell r="BQ432">
            <v>3.9864244012801642E-3</v>
          </cell>
          <cell r="BR432">
            <v>3.9864244012801642E-3</v>
          </cell>
          <cell r="BS432">
            <v>3.9864244012801642E-3</v>
          </cell>
          <cell r="BT432">
            <v>3.9864244012801642E-3</v>
          </cell>
          <cell r="BU432">
            <v>3.9864244012801642E-3</v>
          </cell>
          <cell r="BV432">
            <v>3.9864244012801642E-3</v>
          </cell>
          <cell r="BW432">
            <v>3.9864244012801642E-3</v>
          </cell>
          <cell r="BX432">
            <v>3.9864244012801642E-3</v>
          </cell>
          <cell r="BY432">
            <v>3.9864244012801642E-3</v>
          </cell>
          <cell r="BZ432">
            <v>3.9864244012801642E-3</v>
          </cell>
          <cell r="CA432">
            <v>3.9864244012801642E-3</v>
          </cell>
          <cell r="CB432">
            <v>3.9864244012801642E-3</v>
          </cell>
          <cell r="CC432">
            <v>3.9864244012801642E-3</v>
          </cell>
          <cell r="CD432">
            <v>3.9864244012801642E-3</v>
          </cell>
          <cell r="CE432">
            <v>3.9864244012801642E-3</v>
          </cell>
          <cell r="CF432">
            <v>3.9864244012801642E-3</v>
          </cell>
          <cell r="CG432">
            <v>3.9864244012801642E-3</v>
          </cell>
          <cell r="CH432">
            <v>3.9864244012801642E-3</v>
          </cell>
          <cell r="CI432">
            <v>3.9864244012801642E-3</v>
          </cell>
          <cell r="CJ432">
            <v>3.9864244012801642E-3</v>
          </cell>
          <cell r="CK432">
            <v>3.9864244012801642E-3</v>
          </cell>
          <cell r="CL432">
            <v>3.9864244012801642E-3</v>
          </cell>
          <cell r="CM432">
            <v>3.9864244012801642E-3</v>
          </cell>
          <cell r="CN432">
            <v>3.9864244012801642E-3</v>
          </cell>
          <cell r="CO432">
            <v>3.9864244012801642E-3</v>
          </cell>
          <cell r="CP432">
            <v>3.9864244012801642E-3</v>
          </cell>
          <cell r="CQ432">
            <v>3.9864244012801642E-3</v>
          </cell>
          <cell r="CR432">
            <v>3.9864244012801642E-3</v>
          </cell>
          <cell r="CS432">
            <v>3.9864244012801642E-3</v>
          </cell>
          <cell r="CT432">
            <v>3.9864244012801642E-3</v>
          </cell>
          <cell r="CU432">
            <v>3.9864244012801642E-3</v>
          </cell>
          <cell r="CV432">
            <v>3.9864244012801642E-3</v>
          </cell>
          <cell r="CW432">
            <v>3.9864244012801642E-3</v>
          </cell>
          <cell r="CX432">
            <v>3.9864244012801642E-3</v>
          </cell>
          <cell r="CY432">
            <v>3.9864244012801642E-3</v>
          </cell>
          <cell r="CZ432">
            <v>3.9864244012801642E-3</v>
          </cell>
          <cell r="DA432">
            <v>3.9864244012801642E-3</v>
          </cell>
          <cell r="DB432">
            <v>3.9864244012801642E-3</v>
          </cell>
          <cell r="DC432">
            <v>3.9864244012801642E-3</v>
          </cell>
          <cell r="DD432">
            <v>3.9864244012801642E-3</v>
          </cell>
          <cell r="DE432">
            <v>3.9864244012801642E-3</v>
          </cell>
          <cell r="DF432">
            <v>3.9864244012801642E-3</v>
          </cell>
          <cell r="DG432">
            <v>3.9864244012801642E-3</v>
          </cell>
          <cell r="DH432">
            <v>3.9864244012801642E-3</v>
          </cell>
          <cell r="DI432">
            <v>3.9864244012801642E-3</v>
          </cell>
          <cell r="DJ432">
            <v>3.9864244012801642E-3</v>
          </cell>
          <cell r="DK432">
            <v>3.9864244012801642E-3</v>
          </cell>
          <cell r="DL432">
            <v>3.9864244012801642E-3</v>
          </cell>
          <cell r="DM432">
            <v>3.9864244012801642E-3</v>
          </cell>
          <cell r="DN432">
            <v>3.9864244012801642E-3</v>
          </cell>
          <cell r="DO432">
            <v>3.9864244012801642E-3</v>
          </cell>
          <cell r="DP432">
            <v>3.9864244012801642E-3</v>
          </cell>
          <cell r="DQ432">
            <v>3.9864244012801642E-3</v>
          </cell>
          <cell r="DR432">
            <v>3.9864244012801642E-3</v>
          </cell>
          <cell r="DS432">
            <v>3.9864244012801642E-3</v>
          </cell>
          <cell r="DT432">
            <v>3.9864244012801642E-3</v>
          </cell>
          <cell r="DU432">
            <v>3.9864244012801642E-3</v>
          </cell>
          <cell r="DV432">
            <v>3.9864244012801642E-3</v>
          </cell>
          <cell r="DW432">
            <v>3.9864244012801642E-3</v>
          </cell>
          <cell r="DX432">
            <v>3.9864244012801642E-3</v>
          </cell>
          <cell r="DY432">
            <v>3.9864244012801642E-3</v>
          </cell>
          <cell r="DZ432">
            <v>3.9864244012801642E-3</v>
          </cell>
          <cell r="EA432">
            <v>3.9864244012801642E-3</v>
          </cell>
          <cell r="EB432">
            <v>3.9864244012801642E-3</v>
          </cell>
          <cell r="EC432">
            <v>3.9864244012801642E-3</v>
          </cell>
          <cell r="ED432">
            <v>3.9864244012801642E-3</v>
          </cell>
          <cell r="EE432">
            <v>3.9864244012801642E-3</v>
          </cell>
          <cell r="EF432">
            <v>3.9864244012801642E-3</v>
          </cell>
          <cell r="EG432">
            <v>3.9864244012801642E-3</v>
          </cell>
          <cell r="EH432">
            <v>3.9864244012801642E-3</v>
          </cell>
          <cell r="EI432">
            <v>3.9864244012801642E-3</v>
          </cell>
          <cell r="EJ432">
            <v>3.9864244012801642E-3</v>
          </cell>
          <cell r="EK432">
            <v>3.9864244012801642E-3</v>
          </cell>
          <cell r="EL432">
            <v>3.9864244012801642E-3</v>
          </cell>
          <cell r="EM432">
            <v>3.9864244012801642E-3</v>
          </cell>
          <cell r="EN432">
            <v>3.9864244012801642E-3</v>
          </cell>
          <cell r="EO432">
            <v>3.9864244012801642E-3</v>
          </cell>
          <cell r="EP432">
            <v>3.9864244012801642E-3</v>
          </cell>
          <cell r="EQ432">
            <v>3.9864244012801642E-3</v>
          </cell>
          <cell r="ER432">
            <v>3.9864244012801642E-3</v>
          </cell>
          <cell r="ES432">
            <v>3.9864244012801642E-3</v>
          </cell>
          <cell r="ET432">
            <v>3.9864244012801642E-3</v>
          </cell>
          <cell r="EU432">
            <v>3.9864244012801642E-3</v>
          </cell>
          <cell r="EV432">
            <v>3.9864244012801642E-3</v>
          </cell>
          <cell r="EW432">
            <v>3.9864244012801642E-3</v>
          </cell>
          <cell r="EX432">
            <v>3.9864244012801642E-3</v>
          </cell>
          <cell r="EY432">
            <v>3.9864244012801642E-3</v>
          </cell>
          <cell r="EZ432">
            <v>3.9864244012801642E-3</v>
          </cell>
          <cell r="FA432">
            <v>3.9864244012801642E-3</v>
          </cell>
          <cell r="FB432">
            <v>3.9864244012801642E-3</v>
          </cell>
          <cell r="FC432">
            <v>3.9864244012801642E-3</v>
          </cell>
          <cell r="FD432">
            <v>3.9864244012801642E-3</v>
          </cell>
          <cell r="FE432">
            <v>3.9864244012801642E-3</v>
          </cell>
          <cell r="FF432">
            <v>3.9864244012801642E-3</v>
          </cell>
          <cell r="FG432">
            <v>3.9864244012801642E-3</v>
          </cell>
          <cell r="FH432">
            <v>3.9864244012801642E-3</v>
          </cell>
          <cell r="FI432">
            <v>3.9864244012801642E-3</v>
          </cell>
          <cell r="FJ432">
            <v>3.9864244012801642E-3</v>
          </cell>
          <cell r="FK432">
            <v>3.9864244012801642E-3</v>
          </cell>
          <cell r="FL432">
            <v>3.9864244012801642E-3</v>
          </cell>
        </row>
        <row r="433">
          <cell r="B433" t="str">
            <v>IGP-M Acumulado</v>
          </cell>
          <cell r="E433">
            <v>1</v>
          </cell>
          <cell r="F433">
            <v>1.0083855685914971</v>
          </cell>
          <cell r="G433">
            <v>1.0168414549435969</v>
          </cell>
          <cell r="H433">
            <v>1.0253682487107041</v>
          </cell>
          <cell r="I433">
            <v>1.0339665444918109</v>
          </cell>
          <cell r="J433">
            <v>1.0426369418719603</v>
          </cell>
          <cell r="K433">
            <v>1.0513800454640565</v>
          </cell>
          <cell r="L433">
            <v>1.0601964649510267</v>
          </cell>
          <cell r="M433">
            <v>1.0690868151283364</v>
          </cell>
          <cell r="N433">
            <v>1.0780517159468601</v>
          </cell>
          <cell r="O433">
            <v>1.0870917925561137</v>
          </cell>
          <cell r="P433">
            <v>1.0962076753478465</v>
          </cell>
          <cell r="Q433">
            <v>1.1054000000000015</v>
          </cell>
          <cell r="R433">
            <v>1.1122285008227115</v>
          </cell>
          <cell r="S433">
            <v>1.1190991840440878</v>
          </cell>
          <cell r="T433">
            <v>1.1260123102417892</v>
          </cell>
          <cell r="U433">
            <v>1.1329681416031676</v>
          </cell>
          <cell r="V433">
            <v>1.1399669419352116</v>
          </cell>
          <cell r="W433">
            <v>1.1470089766745519</v>
          </cell>
          <cell r="X433">
            <v>1.1540945128975282</v>
          </cell>
          <cell r="Y433">
            <v>1.1612238193303179</v>
          </cell>
          <cell r="Z433">
            <v>1.1683971663591288</v>
          </cell>
          <cell r="AA433">
            <v>1.1756148260404526</v>
          </cell>
          <cell r="AB433">
            <v>1.1828770721113837</v>
          </cell>
          <cell r="AC433">
            <v>1.1901841800000008</v>
          </cell>
          <cell r="AD433">
            <v>1.1956950249663076</v>
          </cell>
          <cell r="AE433">
            <v>1.2012313864978259</v>
          </cell>
          <cell r="AF433">
            <v>1.2067933827425175</v>
          </cell>
          <cell r="AG433">
            <v>1.2123811323953979</v>
          </cell>
          <cell r="AH433">
            <v>1.2179947547010703</v>
          </cell>
          <cell r="AI433">
            <v>1.2236343694562692</v>
          </cell>
          <cell r="AJ433">
            <v>1.2293000970124177</v>
          </cell>
          <cell r="AK433">
            <v>1.2349920582781952</v>
          </cell>
          <cell r="AL433">
            <v>1.2407103747221184</v>
          </cell>
          <cell r="AM433">
            <v>1.2464551683751326</v>
          </cell>
          <cell r="AN433">
            <v>1.2522265618332167</v>
          </cell>
          <cell r="AO433">
            <v>1.2580246782599989</v>
          </cell>
          <cell r="AP433">
            <v>1.2634703792978133</v>
          </cell>
          <cell r="AQ433">
            <v>1.2689396535296242</v>
          </cell>
          <cell r="AR433">
            <v>1.2744326029983961</v>
          </cell>
          <cell r="AS433">
            <v>1.2799493301888134</v>
          </cell>
          <cell r="AT433">
            <v>1.2854899380291935</v>
          </cell>
          <cell r="AU433">
            <v>1.2910545298934071</v>
          </cell>
          <cell r="AV433">
            <v>1.2966432096028067</v>
          </cell>
          <cell r="AW433">
            <v>1.3022560814281634</v>
          </cell>
          <cell r="AX433">
            <v>1.3078932500916129</v>
          </cell>
          <cell r="AY433">
            <v>1.3135548207686092</v>
          </cell>
          <cell r="AZ433">
            <v>1.3192408990898863</v>
          </cell>
          <cell r="BA433">
            <v>1.3249515911434298</v>
          </cell>
          <cell r="BB433">
            <v>1.3304340450929257</v>
          </cell>
          <cell r="BC433">
            <v>1.3359391846269437</v>
          </cell>
          <cell r="BD433">
            <v>1.3414671036150809</v>
          </cell>
          <cell r="BE433">
            <v>1.3470178963153534</v>
          </cell>
          <cell r="BF433">
            <v>1.352591657375803</v>
          </cell>
          <cell r="BG433">
            <v>1.3581884818361107</v>
          </cell>
          <cell r="BH433">
            <v>1.3638084651292182</v>
          </cell>
          <cell r="BI433">
            <v>1.3694517030829543</v>
          </cell>
          <cell r="BJ433">
            <v>1.3751182919216693</v>
          </cell>
          <cell r="BK433">
            <v>1.3808083282678758</v>
          </cell>
          <cell r="BL433">
            <v>1.3865219091438956</v>
          </cell>
          <cell r="BM433">
            <v>1.3922591319735149</v>
          </cell>
          <cell r="BN433">
            <v>1.3978092677501193</v>
          </cell>
          <cell r="BO433">
            <v>1.4033815287234139</v>
          </cell>
          <cell r="BP433">
            <v>1.4089760030938228</v>
          </cell>
          <cell r="BQ433">
            <v>1.4145927794133741</v>
          </cell>
          <cell r="BR433">
            <v>1.4202319465871023</v>
          </cell>
          <cell r="BS433">
            <v>1.4258935938744548</v>
          </cell>
          <cell r="BT433">
            <v>1.4315778108907049</v>
          </cell>
          <cell r="BU433">
            <v>1.4372846876083709</v>
          </cell>
          <cell r="BV433">
            <v>1.4430143143586394</v>
          </cell>
          <cell r="BW433">
            <v>1.4487667818327952</v>
          </cell>
          <cell r="BX433">
            <v>1.4545421810836576</v>
          </cell>
          <cell r="BY433">
            <v>1.4603406035270208</v>
          </cell>
          <cell r="BZ433">
            <v>1.4661621409431012</v>
          </cell>
          <cell r="CA433">
            <v>1.47200688547799</v>
          </cell>
          <cell r="CB433">
            <v>1.4778749296451119</v>
          </cell>
          <cell r="CC433">
            <v>1.4837663663266893</v>
          </cell>
          <cell r="CD433">
            <v>1.4896812887752129</v>
          </cell>
          <cell r="CE433">
            <v>1.4956197906149169</v>
          </cell>
          <cell r="CF433">
            <v>1.5015819658432616</v>
          </cell>
          <cell r="CG433">
            <v>1.5075679088324214</v>
          </cell>
          <cell r="CH433">
            <v>1.5135777143307778</v>
          </cell>
          <cell r="CI433">
            <v>1.5196114774644198</v>
          </cell>
          <cell r="CJ433">
            <v>1.5256692937386493</v>
          </cell>
          <cell r="CK433">
            <v>1.5317512590394931</v>
          </cell>
          <cell r="CL433">
            <v>1.5378574696352196</v>
          </cell>
          <cell r="CM433">
            <v>1.5439880221778643</v>
          </cell>
          <cell r="CN433">
            <v>1.5501430137047585</v>
          </cell>
          <cell r="CO433">
            <v>1.556322541640065</v>
          </cell>
          <cell r="CP433">
            <v>1.5625267037963213</v>
          </cell>
          <cell r="CQ433">
            <v>1.5687555983759869</v>
          </cell>
          <cell r="CR433">
            <v>1.5750093239729979</v>
          </cell>
          <cell r="CS433">
            <v>1.5812879795743275</v>
          </cell>
          <cell r="CT433">
            <v>1.5875916645615535</v>
          </cell>
          <cell r="CU433">
            <v>1.5939204787124308</v>
          </cell>
          <cell r="CV433">
            <v>1.6002745222024701</v>
          </cell>
          <cell r="CW433">
            <v>1.6066538956065251</v>
          </cell>
          <cell r="CX433">
            <v>1.6130586999003826</v>
          </cell>
          <cell r="CY433">
            <v>1.6194890364623629</v>
          </cell>
          <cell r="CZ433">
            <v>1.6259450070749222</v>
          </cell>
          <cell r="DA433">
            <v>1.6324267139262654</v>
          </cell>
          <cell r="DB433">
            <v>1.6389342596119627</v>
          </cell>
          <cell r="DC433">
            <v>1.645467747136574</v>
          </cell>
          <cell r="DD433">
            <v>1.6520272799152786</v>
          </cell>
          <cell r="DE433">
            <v>1.6586129617755134</v>
          </cell>
          <cell r="DF433">
            <v>1.665224896958615</v>
          </cell>
          <cell r="DG433">
            <v>1.67186319012147</v>
          </cell>
          <cell r="DH433">
            <v>1.6785279463381724</v>
          </cell>
          <cell r="DI433">
            <v>1.6852192711016856</v>
          </cell>
          <cell r="DJ433">
            <v>1.6919372703255129</v>
          </cell>
          <cell r="DK433">
            <v>1.6986820503453739</v>
          </cell>
          <cell r="DL433">
            <v>1.7054537179208873</v>
          </cell>
          <cell r="DM433">
            <v>1.7122523802372611</v>
          </cell>
          <cell r="DN433">
            <v>1.719078144906989</v>
          </cell>
          <cell r="DO433">
            <v>1.7259311199715537</v>
          </cell>
          <cell r="DP433">
            <v>1.7328114139031372</v>
          </cell>
          <cell r="DQ433">
            <v>1.7397191356063375</v>
          </cell>
          <cell r="DR433">
            <v>1.7466543944198927</v>
          </cell>
          <cell r="DS433">
            <v>1.7536173001184114</v>
          </cell>
          <cell r="DT433">
            <v>1.7606079629141105</v>
          </cell>
          <cell r="DU433">
            <v>1.7676264934585595</v>
          </cell>
          <cell r="DV433">
            <v>1.774673002844432</v>
          </cell>
          <cell r="DW433">
            <v>1.7817476026072641</v>
          </cell>
          <cell r="DX433">
            <v>1.78885040472722</v>
          </cell>
          <cell r="DY433">
            <v>1.7959815216308646</v>
          </cell>
          <cell r="DZ433">
            <v>1.8031410661929421</v>
          </cell>
          <cell r="EA433">
            <v>1.8103291517381639</v>
          </cell>
          <cell r="EB433">
            <v>1.8175458920430017</v>
          </cell>
          <cell r="EC433">
            <v>1.8247914013374884</v>
          </cell>
          <cell r="ED433">
            <v>1.8320657943070264</v>
          </cell>
          <cell r="EE433">
            <v>1.8393691860942027</v>
          </cell>
          <cell r="EF433">
            <v>1.8467016923006114</v>
          </cell>
          <cell r="EG433">
            <v>1.8540634289886839</v>
          </cell>
          <cell r="EH433">
            <v>1.8614545126835256</v>
          </cell>
          <cell r="EI433">
            <v>1.8688750603747604</v>
          </cell>
          <cell r="EJ433">
            <v>1.8763251895183823</v>
          </cell>
          <cell r="EK433">
            <v>1.883805018038615</v>
          </cell>
          <cell r="EL433">
            <v>1.8913146643297782</v>
          </cell>
          <cell r="EM433">
            <v>1.8988542472581615</v>
          </cell>
          <cell r="EN433">
            <v>1.906423886163906</v>
          </cell>
          <cell r="EO433">
            <v>1.9140237008628931</v>
          </cell>
          <cell r="EP433">
            <v>1.9216538116486415</v>
          </cell>
          <cell r="EQ433">
            <v>1.9293143392942107</v>
          </cell>
          <cell r="ER433">
            <v>1.9370054050541128</v>
          </cell>
          <cell r="ES433">
            <v>1.9447271306662322</v>
          </cell>
          <cell r="ET433">
            <v>1.9524796383537515</v>
          </cell>
          <cell r="EU433">
            <v>1.9602630508270875</v>
          </cell>
          <cell r="EV433">
            <v>1.9680774912858325</v>
          </cell>
          <cell r="EW433">
            <v>1.9759230834207047</v>
          </cell>
          <cell r="EX433">
            <v>1.9837999514155058</v>
          </cell>
          <cell r="EY433">
            <v>1.991708219949087</v>
          </cell>
          <cell r="EZ433">
            <v>1.9996480141973223</v>
          </cell>
          <cell r="FA433">
            <v>2.00761945983509</v>
          </cell>
          <cell r="FB433">
            <v>2.0156226830382615</v>
          </cell>
          <cell r="FC433">
            <v>2.023657810485699</v>
          </cell>
          <cell r="FD433">
            <v>2.0317249693612602</v>
          </cell>
          <cell r="FE433">
            <v>2.0398242873558123</v>
          </cell>
          <cell r="FF433">
            <v>2.0479558926692514</v>
          </cell>
          <cell r="FG433">
            <v>2.0561199140125335</v>
          </cell>
          <cell r="FH433">
            <v>2.064316480609711</v>
          </cell>
          <cell r="FI433">
            <v>2.0725457221999783</v>
          </cell>
          <cell r="FJ433">
            <v>2.0808077690397253</v>
          </cell>
          <cell r="FK433">
            <v>2.0891027519045986</v>
          </cell>
          <cell r="FL433">
            <v>2.0974308020915728</v>
          </cell>
        </row>
        <row r="434">
          <cell r="B434" t="str">
            <v>Taxa de câmbio R$/US$  (final de período)</v>
          </cell>
          <cell r="C434">
            <v>5</v>
          </cell>
          <cell r="F434">
            <v>3.332942292490118</v>
          </cell>
          <cell r="G434">
            <v>3.332942292490118</v>
          </cell>
          <cell r="H434">
            <v>3.332942292490118</v>
          </cell>
          <cell r="I434">
            <v>3.332942292490118</v>
          </cell>
          <cell r="J434">
            <v>3.332942292490118</v>
          </cell>
          <cell r="K434">
            <v>3.332942292490118</v>
          </cell>
          <cell r="L434">
            <v>3.332942292490118</v>
          </cell>
          <cell r="M434">
            <v>3.332942292490118</v>
          </cell>
          <cell r="N434">
            <v>3.332942292490118</v>
          </cell>
          <cell r="O434">
            <v>3.332942292490118</v>
          </cell>
          <cell r="P434">
            <v>3.332942292490118</v>
          </cell>
          <cell r="Q434">
            <v>3.332942292490118</v>
          </cell>
          <cell r="R434">
            <v>3.86</v>
          </cell>
          <cell r="S434">
            <v>3.86</v>
          </cell>
          <cell r="T434">
            <v>3.86</v>
          </cell>
          <cell r="U434">
            <v>3.86</v>
          </cell>
          <cell r="V434">
            <v>3.86</v>
          </cell>
          <cell r="W434">
            <v>3.86</v>
          </cell>
          <cell r="X434">
            <v>3.86</v>
          </cell>
          <cell r="Y434">
            <v>3.86</v>
          </cell>
          <cell r="Z434">
            <v>3.86</v>
          </cell>
          <cell r="AA434">
            <v>3.86</v>
          </cell>
          <cell r="AB434">
            <v>3.86</v>
          </cell>
          <cell r="AC434">
            <v>3.86</v>
          </cell>
          <cell r="AD434">
            <v>4.03</v>
          </cell>
          <cell r="AE434">
            <v>4.03</v>
          </cell>
          <cell r="AF434">
            <v>4.03</v>
          </cell>
          <cell r="AG434">
            <v>4.03</v>
          </cell>
          <cell r="AH434">
            <v>4.03</v>
          </cell>
          <cell r="AI434">
            <v>4.03</v>
          </cell>
          <cell r="AJ434">
            <v>4.03</v>
          </cell>
          <cell r="AK434">
            <v>4.03</v>
          </cell>
          <cell r="AL434">
            <v>4.03</v>
          </cell>
          <cell r="AM434">
            <v>4.03</v>
          </cell>
          <cell r="AN434">
            <v>4.03</v>
          </cell>
          <cell r="AO434">
            <v>4.03</v>
          </cell>
          <cell r="AP434">
            <v>4.13</v>
          </cell>
          <cell r="AQ434">
            <v>4.13</v>
          </cell>
          <cell r="AR434">
            <v>4.13</v>
          </cell>
          <cell r="AS434">
            <v>4.13</v>
          </cell>
          <cell r="AT434">
            <v>4.13</v>
          </cell>
          <cell r="AU434">
            <v>4.13</v>
          </cell>
          <cell r="AV434">
            <v>4.13</v>
          </cell>
          <cell r="AW434">
            <v>4.13</v>
          </cell>
          <cell r="AX434">
            <v>4.13</v>
          </cell>
          <cell r="AY434">
            <v>4.13</v>
          </cell>
          <cell r="AZ434">
            <v>4.13</v>
          </cell>
          <cell r="BA434">
            <v>4.13</v>
          </cell>
          <cell r="BB434">
            <v>4.16</v>
          </cell>
          <cell r="BC434">
            <v>4.16</v>
          </cell>
          <cell r="BD434">
            <v>4.16</v>
          </cell>
          <cell r="BE434">
            <v>4.16</v>
          </cell>
          <cell r="BF434">
            <v>4.16</v>
          </cell>
          <cell r="BG434">
            <v>4.16</v>
          </cell>
          <cell r="BH434">
            <v>4.16</v>
          </cell>
          <cell r="BI434">
            <v>4.16</v>
          </cell>
          <cell r="BJ434">
            <v>4.16</v>
          </cell>
          <cell r="BK434">
            <v>4.16</v>
          </cell>
          <cell r="BL434">
            <v>4.16</v>
          </cell>
          <cell r="BM434">
            <v>4.16</v>
          </cell>
          <cell r="BN434">
            <v>4.2300000000000004</v>
          </cell>
          <cell r="BO434">
            <v>4.2300000000000004</v>
          </cell>
          <cell r="BP434">
            <v>4.2300000000000004</v>
          </cell>
          <cell r="BQ434">
            <v>4.2300000000000004</v>
          </cell>
          <cell r="BR434">
            <v>4.2300000000000004</v>
          </cell>
          <cell r="BS434">
            <v>4.2300000000000004</v>
          </cell>
          <cell r="BT434">
            <v>4.2300000000000004</v>
          </cell>
          <cell r="BU434">
            <v>4.2300000000000004</v>
          </cell>
          <cell r="BV434">
            <v>4.2300000000000004</v>
          </cell>
          <cell r="BW434">
            <v>4.2300000000000004</v>
          </cell>
          <cell r="BX434">
            <v>4.2300000000000004</v>
          </cell>
          <cell r="BY434">
            <v>4.2300000000000004</v>
          </cell>
          <cell r="BZ434">
            <v>4.3530470127326151</v>
          </cell>
          <cell r="CA434">
            <v>4.3530470127326151</v>
          </cell>
          <cell r="CB434">
            <v>4.3530470127326151</v>
          </cell>
          <cell r="CC434">
            <v>4.3530470127326151</v>
          </cell>
          <cell r="CD434">
            <v>4.3530470127326151</v>
          </cell>
          <cell r="CE434">
            <v>4.3530470127326151</v>
          </cell>
          <cell r="CF434">
            <v>4.3530470127326151</v>
          </cell>
          <cell r="CG434">
            <v>4.3530470127326151</v>
          </cell>
          <cell r="CH434">
            <v>4.3530470127326151</v>
          </cell>
          <cell r="CI434">
            <v>4.3530470127326151</v>
          </cell>
          <cell r="CJ434">
            <v>4.3530470127326151</v>
          </cell>
          <cell r="CK434">
            <v>4.3530470127326151</v>
          </cell>
          <cell r="CL434">
            <v>4.4796733558062281</v>
          </cell>
          <cell r="CM434">
            <v>4.4796733558062281</v>
          </cell>
          <cell r="CN434">
            <v>4.4796733558062281</v>
          </cell>
          <cell r="CO434">
            <v>4.4796733558062281</v>
          </cell>
          <cell r="CP434">
            <v>4.4796733558062281</v>
          </cell>
          <cell r="CQ434">
            <v>4.4796733558062281</v>
          </cell>
          <cell r="CR434">
            <v>4.4796733558062281</v>
          </cell>
          <cell r="CS434">
            <v>4.4796733558062281</v>
          </cell>
          <cell r="CT434">
            <v>4.4796733558062281</v>
          </cell>
          <cell r="CU434">
            <v>4.4796733558062281</v>
          </cell>
          <cell r="CV434">
            <v>4.4796733558062281</v>
          </cell>
          <cell r="CW434">
            <v>4.4796733558062281</v>
          </cell>
          <cell r="CX434">
            <v>4.6099831488203762</v>
          </cell>
          <cell r="CY434">
            <v>4.6099831488203762</v>
          </cell>
          <cell r="CZ434">
            <v>4.6099831488203762</v>
          </cell>
          <cell r="DA434">
            <v>4.6099831488203762</v>
          </cell>
          <cell r="DB434">
            <v>4.6099831488203762</v>
          </cell>
          <cell r="DC434">
            <v>4.6099831488203762</v>
          </cell>
          <cell r="DD434">
            <v>4.6099831488203762</v>
          </cell>
          <cell r="DE434">
            <v>4.6099831488203762</v>
          </cell>
          <cell r="DF434">
            <v>4.6099831488203762</v>
          </cell>
          <cell r="DG434">
            <v>4.6099831488203762</v>
          </cell>
          <cell r="DH434">
            <v>4.6099831488203762</v>
          </cell>
          <cell r="DI434">
            <v>4.6099831488203762</v>
          </cell>
          <cell r="DJ434">
            <v>4.7440835401229862</v>
          </cell>
          <cell r="DK434">
            <v>4.7440835401229862</v>
          </cell>
          <cell r="DL434">
            <v>4.7440835401229862</v>
          </cell>
          <cell r="DM434">
            <v>4.7440835401229862</v>
          </cell>
          <cell r="DN434">
            <v>4.7440835401229862</v>
          </cell>
          <cell r="DO434">
            <v>4.7440835401229862</v>
          </cell>
          <cell r="DP434">
            <v>4.7440835401229862</v>
          </cell>
          <cell r="DQ434">
            <v>4.7440835401229862</v>
          </cell>
          <cell r="DR434">
            <v>4.7440835401229862</v>
          </cell>
          <cell r="DS434">
            <v>4.7440835401229862</v>
          </cell>
          <cell r="DT434">
            <v>4.7440835401229862</v>
          </cell>
          <cell r="DU434">
            <v>4.7440835401229862</v>
          </cell>
          <cell r="DV434">
            <v>4.8820847949140269</v>
          </cell>
          <cell r="DW434">
            <v>4.8820847949140269</v>
          </cell>
          <cell r="DX434">
            <v>4.8820847949140269</v>
          </cell>
          <cell r="DY434">
            <v>4.8820847949140269</v>
          </cell>
          <cell r="DZ434">
            <v>4.8820847949140269</v>
          </cell>
          <cell r="EA434">
            <v>4.8820847949140269</v>
          </cell>
          <cell r="EB434">
            <v>4.8820847949140269</v>
          </cell>
          <cell r="EC434">
            <v>4.8820847949140269</v>
          </cell>
          <cell r="ED434">
            <v>4.8820847949140269</v>
          </cell>
          <cell r="EE434">
            <v>4.8820847949140269</v>
          </cell>
          <cell r="EF434">
            <v>4.8820847949140269</v>
          </cell>
          <cell r="EG434">
            <v>4.8820847949140269</v>
          </cell>
          <cell r="EH434">
            <v>5.0241003859120159</v>
          </cell>
          <cell r="EI434">
            <v>5.0241003859120159</v>
          </cell>
          <cell r="EJ434">
            <v>5.0241003859120159</v>
          </cell>
          <cell r="EK434">
            <v>5.0241003859120159</v>
          </cell>
          <cell r="EL434">
            <v>5.0241003859120159</v>
          </cell>
          <cell r="EM434">
            <v>5.0241003859120159</v>
          </cell>
          <cell r="EN434">
            <v>5.0241003859120159</v>
          </cell>
          <cell r="EO434">
            <v>5.0241003859120159</v>
          </cell>
          <cell r="EP434">
            <v>5.0241003859120159</v>
          </cell>
          <cell r="EQ434">
            <v>5.0241003859120159</v>
          </cell>
          <cell r="ER434">
            <v>5.0241003859120159</v>
          </cell>
          <cell r="ES434">
            <v>5.0241003859120159</v>
          </cell>
          <cell r="ET434">
            <v>5.1702470866579384</v>
          </cell>
          <cell r="EU434">
            <v>5.1702470866579384</v>
          </cell>
          <cell r="EV434">
            <v>5.1702470866579384</v>
          </cell>
          <cell r="EW434">
            <v>5.1702470866579384</v>
          </cell>
          <cell r="EX434">
            <v>5.1702470866579384</v>
          </cell>
          <cell r="EY434">
            <v>5.1702470866579384</v>
          </cell>
          <cell r="EZ434">
            <v>5.1702470866579384</v>
          </cell>
          <cell r="FA434">
            <v>5.1702470866579384</v>
          </cell>
          <cell r="FB434">
            <v>5.1702470866579384</v>
          </cell>
          <cell r="FC434">
            <v>5.1702470866579384</v>
          </cell>
          <cell r="FD434">
            <v>5.1702470866579384</v>
          </cell>
          <cell r="FE434">
            <v>5.1702470866579384</v>
          </cell>
          <cell r="FF434">
            <v>5.320645067533297</v>
          </cell>
          <cell r="FG434">
            <v>5.320645067533297</v>
          </cell>
          <cell r="FH434">
            <v>5.320645067533297</v>
          </cell>
          <cell r="FI434">
            <v>5.320645067533297</v>
          </cell>
          <cell r="FJ434">
            <v>5.320645067533297</v>
          </cell>
          <cell r="FK434">
            <v>5.320645067533297</v>
          </cell>
          <cell r="FL434">
            <v>5.320645067533297</v>
          </cell>
        </row>
        <row r="435">
          <cell r="B435" t="str">
            <v>Juros nominais (final de período)</v>
          </cell>
          <cell r="C435">
            <v>6</v>
          </cell>
          <cell r="F435">
            <v>1.1089638098506605E-2</v>
          </cell>
          <cell r="G435">
            <v>1.1089638098506605E-2</v>
          </cell>
          <cell r="H435">
            <v>1.1089638098506605E-2</v>
          </cell>
          <cell r="I435">
            <v>1.1089638098506605E-2</v>
          </cell>
          <cell r="J435">
            <v>1.1089638098506605E-2</v>
          </cell>
          <cell r="K435">
            <v>1.1089638098506605E-2</v>
          </cell>
          <cell r="L435">
            <v>1.1089638098506605E-2</v>
          </cell>
          <cell r="M435">
            <v>1.1089638098506605E-2</v>
          </cell>
          <cell r="N435">
            <v>1.1089638098506605E-2</v>
          </cell>
          <cell r="O435">
            <v>1.1089638098506605E-2</v>
          </cell>
          <cell r="P435">
            <v>1.1089638098506605E-2</v>
          </cell>
          <cell r="Q435">
            <v>1.1089638098506605E-2</v>
          </cell>
          <cell r="R435">
            <v>1.0993631154397221E-2</v>
          </cell>
          <cell r="S435">
            <v>1.0993631154397221E-2</v>
          </cell>
          <cell r="T435">
            <v>1.0993631154397221E-2</v>
          </cell>
          <cell r="U435">
            <v>1.0993631154397221E-2</v>
          </cell>
          <cell r="V435">
            <v>1.0993631154397221E-2</v>
          </cell>
          <cell r="W435">
            <v>1.0993631154397221E-2</v>
          </cell>
          <cell r="X435">
            <v>1.0993631154397221E-2</v>
          </cell>
          <cell r="Y435">
            <v>1.0993631154397221E-2</v>
          </cell>
          <cell r="Z435">
            <v>1.0993631154397221E-2</v>
          </cell>
          <cell r="AA435">
            <v>1.0993631154397221E-2</v>
          </cell>
          <cell r="AB435">
            <v>1.0993631154397221E-2</v>
          </cell>
          <cell r="AC435">
            <v>1.0993631154397221E-2</v>
          </cell>
          <cell r="AD435">
            <v>9.1124684369046083E-3</v>
          </cell>
          <cell r="AE435">
            <v>9.1124684369046083E-3</v>
          </cell>
          <cell r="AF435">
            <v>9.1124684369046083E-3</v>
          </cell>
          <cell r="AG435">
            <v>9.1124684369046083E-3</v>
          </cell>
          <cell r="AH435">
            <v>9.1124684369046083E-3</v>
          </cell>
          <cell r="AI435">
            <v>9.1124684369046083E-3</v>
          </cell>
          <cell r="AJ435">
            <v>9.1124684369046083E-3</v>
          </cell>
          <cell r="AK435">
            <v>9.1124684369046083E-3</v>
          </cell>
          <cell r="AL435">
            <v>9.1124684369046083E-3</v>
          </cell>
          <cell r="AM435">
            <v>9.1124684369046083E-3</v>
          </cell>
          <cell r="AN435">
            <v>9.1124684369046083E-3</v>
          </cell>
          <cell r="AO435">
            <v>9.1124684369046083E-3</v>
          </cell>
          <cell r="AP435">
            <v>9.1124684369046083E-3</v>
          </cell>
          <cell r="AQ435">
            <v>9.1124684369046083E-3</v>
          </cell>
          <cell r="AR435">
            <v>9.1124684369046083E-3</v>
          </cell>
          <cell r="AS435">
            <v>9.1124684369046083E-3</v>
          </cell>
          <cell r="AT435">
            <v>9.1124684369046083E-3</v>
          </cell>
          <cell r="AU435">
            <v>9.1124684369046083E-3</v>
          </cell>
          <cell r="AV435">
            <v>9.1124684369046083E-3</v>
          </cell>
          <cell r="AW435">
            <v>9.1124684369046083E-3</v>
          </cell>
          <cell r="AX435">
            <v>9.1124684369046083E-3</v>
          </cell>
          <cell r="AY435">
            <v>9.1124684369046083E-3</v>
          </cell>
          <cell r="AZ435">
            <v>9.1124684369046083E-3</v>
          </cell>
          <cell r="BA435">
            <v>9.1124684369046083E-3</v>
          </cell>
          <cell r="BB435">
            <v>8.7497387379589231E-3</v>
          </cell>
          <cell r="BC435">
            <v>8.7497387379589231E-3</v>
          </cell>
          <cell r="BD435">
            <v>8.7497387379589231E-3</v>
          </cell>
          <cell r="BE435">
            <v>8.7497387379589231E-3</v>
          </cell>
          <cell r="BF435">
            <v>8.7497387379589231E-3</v>
          </cell>
          <cell r="BG435">
            <v>8.7497387379589231E-3</v>
          </cell>
          <cell r="BH435">
            <v>8.7497387379589231E-3</v>
          </cell>
          <cell r="BI435">
            <v>8.7497387379589231E-3</v>
          </cell>
          <cell r="BJ435">
            <v>8.7497387379589231E-3</v>
          </cell>
          <cell r="BK435">
            <v>8.7497387379589231E-3</v>
          </cell>
          <cell r="BL435">
            <v>8.7497387379589231E-3</v>
          </cell>
          <cell r="BM435">
            <v>8.7497387379589231E-3</v>
          </cell>
          <cell r="BN435">
            <v>8.6360908643066114E-3</v>
          </cell>
          <cell r="BO435">
            <v>8.6360908643066114E-3</v>
          </cell>
          <cell r="BP435">
            <v>8.6360908643066114E-3</v>
          </cell>
          <cell r="BQ435">
            <v>8.6360908643066114E-3</v>
          </cell>
          <cell r="BR435">
            <v>8.6360908643066114E-3</v>
          </cell>
          <cell r="BS435">
            <v>8.6360908643066114E-3</v>
          </cell>
          <cell r="BT435">
            <v>8.6360908643066114E-3</v>
          </cell>
          <cell r="BU435">
            <v>8.6360908643066114E-3</v>
          </cell>
          <cell r="BV435">
            <v>8.6360908643066114E-3</v>
          </cell>
          <cell r="BW435">
            <v>8.6360908643066114E-3</v>
          </cell>
          <cell r="BX435">
            <v>8.6360908643066114E-3</v>
          </cell>
          <cell r="BY435">
            <v>8.6360908643066114E-3</v>
          </cell>
          <cell r="BZ435">
            <v>8.6360908643066114E-3</v>
          </cell>
          <cell r="CA435">
            <v>8.6360908643066114E-3</v>
          </cell>
          <cell r="CB435">
            <v>8.6360908643066114E-3</v>
          </cell>
          <cell r="CC435">
            <v>8.6360908643066114E-3</v>
          </cell>
          <cell r="CD435">
            <v>8.6360908643066114E-3</v>
          </cell>
          <cell r="CE435">
            <v>8.6360908643066114E-3</v>
          </cell>
          <cell r="CF435">
            <v>8.6360908643066114E-3</v>
          </cell>
          <cell r="CG435">
            <v>8.6360908643066114E-3</v>
          </cell>
          <cell r="CH435">
            <v>8.6360908643066114E-3</v>
          </cell>
          <cell r="CI435">
            <v>8.6360908643066114E-3</v>
          </cell>
          <cell r="CJ435">
            <v>8.6360908643066114E-3</v>
          </cell>
          <cell r="CK435">
            <v>8.6360908643066114E-3</v>
          </cell>
          <cell r="CL435">
            <v>8.6360908643066114E-3</v>
          </cell>
          <cell r="CM435">
            <v>8.6360908643066114E-3</v>
          </cell>
          <cell r="CN435">
            <v>8.6360908643066114E-3</v>
          </cell>
          <cell r="CO435">
            <v>8.6360908643066114E-3</v>
          </cell>
          <cell r="CP435">
            <v>8.6360908643066114E-3</v>
          </cell>
          <cell r="CQ435">
            <v>8.6360908643066114E-3</v>
          </cell>
          <cell r="CR435">
            <v>8.6360908643066114E-3</v>
          </cell>
          <cell r="CS435">
            <v>8.6360908643066114E-3</v>
          </cell>
          <cell r="CT435">
            <v>8.6360908643066114E-3</v>
          </cell>
          <cell r="CU435">
            <v>8.6360908643066114E-3</v>
          </cell>
          <cell r="CV435">
            <v>8.6360908643066114E-3</v>
          </cell>
          <cell r="CW435">
            <v>8.6360908643066114E-3</v>
          </cell>
          <cell r="CX435">
            <v>8.6360908643066114E-3</v>
          </cell>
          <cell r="CY435">
            <v>8.6360908643066114E-3</v>
          </cell>
          <cell r="CZ435">
            <v>8.6360908643066114E-3</v>
          </cell>
          <cell r="DA435">
            <v>8.6360908643066114E-3</v>
          </cell>
          <cell r="DB435">
            <v>8.6360908643066114E-3</v>
          </cell>
          <cell r="DC435">
            <v>8.6360908643066114E-3</v>
          </cell>
          <cell r="DD435">
            <v>8.6360908643066114E-3</v>
          </cell>
          <cell r="DE435">
            <v>8.6360908643066114E-3</v>
          </cell>
          <cell r="DF435">
            <v>8.6360908643066114E-3</v>
          </cell>
          <cell r="DG435">
            <v>8.6360908643066114E-3</v>
          </cell>
          <cell r="DH435">
            <v>8.6360908643066114E-3</v>
          </cell>
          <cell r="DI435">
            <v>8.6360908643066114E-3</v>
          </cell>
          <cell r="DJ435">
            <v>8.6360908643066114E-3</v>
          </cell>
          <cell r="DK435">
            <v>8.6360908643066114E-3</v>
          </cell>
          <cell r="DL435">
            <v>8.6360908643066114E-3</v>
          </cell>
          <cell r="DM435">
            <v>8.6360908643066114E-3</v>
          </cell>
          <cell r="DN435">
            <v>8.6360908643066114E-3</v>
          </cell>
          <cell r="DO435">
            <v>8.6360908643066114E-3</v>
          </cell>
          <cell r="DP435">
            <v>8.6360908643066114E-3</v>
          </cell>
          <cell r="DQ435">
            <v>8.6360908643066114E-3</v>
          </cell>
          <cell r="DR435">
            <v>8.6360908643066114E-3</v>
          </cell>
          <cell r="DS435">
            <v>8.6360908643066114E-3</v>
          </cell>
          <cell r="DT435">
            <v>8.6360908643066114E-3</v>
          </cell>
          <cell r="DU435">
            <v>8.6360908643066114E-3</v>
          </cell>
          <cell r="DV435">
            <v>8.6360908643066114E-3</v>
          </cell>
          <cell r="DW435">
            <v>8.6360908643066114E-3</v>
          </cell>
          <cell r="DX435">
            <v>8.6360908643066114E-3</v>
          </cell>
          <cell r="DY435">
            <v>8.6360908643066114E-3</v>
          </cell>
          <cell r="DZ435">
            <v>8.6360908643066114E-3</v>
          </cell>
          <cell r="EA435">
            <v>8.6360908643066114E-3</v>
          </cell>
          <cell r="EB435">
            <v>8.6360908643066114E-3</v>
          </cell>
          <cell r="EC435">
            <v>8.6360908643066114E-3</v>
          </cell>
          <cell r="ED435">
            <v>8.6360908643066114E-3</v>
          </cell>
          <cell r="EE435">
            <v>8.6360908643066114E-3</v>
          </cell>
          <cell r="EF435">
            <v>8.6360908643066114E-3</v>
          </cell>
          <cell r="EG435">
            <v>8.6360908643066114E-3</v>
          </cell>
          <cell r="EH435">
            <v>8.6360908643066114E-3</v>
          </cell>
          <cell r="EI435">
            <v>8.6360908643066114E-3</v>
          </cell>
          <cell r="EJ435">
            <v>8.6360908643066114E-3</v>
          </cell>
          <cell r="EK435">
            <v>8.6360908643066114E-3</v>
          </cell>
          <cell r="EL435">
            <v>8.6360908643066114E-3</v>
          </cell>
          <cell r="EM435">
            <v>8.6360908643066114E-3</v>
          </cell>
          <cell r="EN435">
            <v>8.6360908643066114E-3</v>
          </cell>
          <cell r="EO435">
            <v>8.6360908643066114E-3</v>
          </cell>
          <cell r="EP435">
            <v>8.6360908643066114E-3</v>
          </cell>
          <cell r="EQ435">
            <v>8.6360908643066114E-3</v>
          </cell>
          <cell r="ER435">
            <v>8.6360908643066114E-3</v>
          </cell>
          <cell r="ES435">
            <v>8.6360908643066114E-3</v>
          </cell>
          <cell r="ET435">
            <v>8.6360908643066114E-3</v>
          </cell>
          <cell r="EU435">
            <v>8.6360908643066114E-3</v>
          </cell>
          <cell r="EV435">
            <v>8.6360908643066114E-3</v>
          </cell>
          <cell r="EW435">
            <v>8.6360908643066114E-3</v>
          </cell>
          <cell r="EX435">
            <v>8.6360908643066114E-3</v>
          </cell>
          <cell r="EY435">
            <v>8.6360908643066114E-3</v>
          </cell>
          <cell r="EZ435">
            <v>8.6360908643066114E-3</v>
          </cell>
          <cell r="FA435">
            <v>8.6360908643066114E-3</v>
          </cell>
          <cell r="FB435">
            <v>8.6360908643066114E-3</v>
          </cell>
          <cell r="FC435">
            <v>8.6360908643066114E-3</v>
          </cell>
          <cell r="FD435">
            <v>8.6360908643066114E-3</v>
          </cell>
          <cell r="FE435">
            <v>8.6360908643066114E-3</v>
          </cell>
          <cell r="FF435">
            <v>8.6360908643066114E-3</v>
          </cell>
          <cell r="FG435">
            <v>8.6360908643066114E-3</v>
          </cell>
          <cell r="FH435">
            <v>8.6360908643066114E-3</v>
          </cell>
          <cell r="FI435">
            <v>8.6360908643066114E-3</v>
          </cell>
          <cell r="FJ435">
            <v>8.6360908643066114E-3</v>
          </cell>
          <cell r="FK435">
            <v>8.6360908643066114E-3</v>
          </cell>
          <cell r="FL435">
            <v>8.6360908643066114E-3</v>
          </cell>
        </row>
        <row r="436">
          <cell r="B436" t="str">
            <v>TJLP (% - média)</v>
          </cell>
          <cell r="C436">
            <v>7</v>
          </cell>
          <cell r="F436">
            <v>4.0741237836483535E-3</v>
          </cell>
          <cell r="G436">
            <v>4.0741237836483535E-3</v>
          </cell>
          <cell r="H436">
            <v>4.0741237836483535E-3</v>
          </cell>
          <cell r="I436">
            <v>4.0741237836483535E-3</v>
          </cell>
          <cell r="J436">
            <v>4.0741237836483535E-3</v>
          </cell>
          <cell r="K436">
            <v>4.0741237836483535E-3</v>
          </cell>
          <cell r="L436">
            <v>4.0741237836483535E-3</v>
          </cell>
          <cell r="M436">
            <v>4.0741237836483535E-3</v>
          </cell>
          <cell r="N436">
            <v>4.0741237836483535E-3</v>
          </cell>
          <cell r="O436">
            <v>4.0741237836483535E-3</v>
          </cell>
          <cell r="P436">
            <v>4.0741237836483535E-3</v>
          </cell>
          <cell r="Q436">
            <v>4.0741237836483535E-3</v>
          </cell>
          <cell r="R436">
            <v>5.0648349497708356E-3</v>
          </cell>
          <cell r="S436">
            <v>5.0648349497708356E-3</v>
          </cell>
          <cell r="T436">
            <v>5.0648349497708356E-3</v>
          </cell>
          <cell r="U436">
            <v>5.0648349497708356E-3</v>
          </cell>
          <cell r="V436">
            <v>5.0648349497708356E-3</v>
          </cell>
          <cell r="W436">
            <v>5.0648349497708356E-3</v>
          </cell>
          <cell r="X436">
            <v>5.0648349497708356E-3</v>
          </cell>
          <cell r="Y436">
            <v>5.0648349497708356E-3</v>
          </cell>
          <cell r="Z436">
            <v>5.0648349497708356E-3</v>
          </cell>
          <cell r="AA436">
            <v>5.0648349497708356E-3</v>
          </cell>
          <cell r="AB436">
            <v>5.0648349497708356E-3</v>
          </cell>
          <cell r="AC436">
            <v>5.0648349497708356E-3</v>
          </cell>
          <cell r="AD436">
            <v>5.2616942768477504E-3</v>
          </cell>
          <cell r="AE436">
            <v>5.2616942768477504E-3</v>
          </cell>
          <cell r="AF436">
            <v>5.2616942768477504E-3</v>
          </cell>
          <cell r="AG436">
            <v>5.2616942768477504E-3</v>
          </cell>
          <cell r="AH436">
            <v>5.2616942768477504E-3</v>
          </cell>
          <cell r="AI436">
            <v>5.2616942768477504E-3</v>
          </cell>
          <cell r="AJ436">
            <v>5.2616942768477504E-3</v>
          </cell>
          <cell r="AK436">
            <v>5.2616942768477504E-3</v>
          </cell>
          <cell r="AL436">
            <v>5.2616942768477504E-3</v>
          </cell>
          <cell r="AM436">
            <v>5.2616942768477504E-3</v>
          </cell>
          <cell r="AN436">
            <v>5.2616942768477504E-3</v>
          </cell>
          <cell r="AO436">
            <v>5.2616942768477504E-3</v>
          </cell>
          <cell r="AP436">
            <v>4.8675505653430484E-3</v>
          </cell>
          <cell r="AQ436">
            <v>4.8675505653430484E-3</v>
          </cell>
          <cell r="AR436">
            <v>4.8675505653430484E-3</v>
          </cell>
          <cell r="AS436">
            <v>4.8675505653430484E-3</v>
          </cell>
          <cell r="AT436">
            <v>4.8675505653430484E-3</v>
          </cell>
          <cell r="AU436">
            <v>4.8675505653430484E-3</v>
          </cell>
          <cell r="AV436">
            <v>4.8675505653430484E-3</v>
          </cell>
          <cell r="AW436">
            <v>4.8675505653430484E-3</v>
          </cell>
          <cell r="AX436">
            <v>4.8675505653430484E-3</v>
          </cell>
          <cell r="AY436">
            <v>4.8675505653430484E-3</v>
          </cell>
          <cell r="AZ436">
            <v>4.8675505653430484E-3</v>
          </cell>
          <cell r="BA436">
            <v>4.8675505653430484E-3</v>
          </cell>
          <cell r="BB436">
            <v>4.471698917043021E-3</v>
          </cell>
          <cell r="BC436">
            <v>4.471698917043021E-3</v>
          </cell>
          <cell r="BD436">
            <v>4.471698917043021E-3</v>
          </cell>
          <cell r="BE436">
            <v>4.471698917043021E-3</v>
          </cell>
          <cell r="BF436">
            <v>4.471698917043021E-3</v>
          </cell>
          <cell r="BG436">
            <v>4.471698917043021E-3</v>
          </cell>
          <cell r="BH436">
            <v>4.471698917043021E-3</v>
          </cell>
          <cell r="BI436">
            <v>4.471698917043021E-3</v>
          </cell>
          <cell r="BJ436">
            <v>4.471698917043021E-3</v>
          </cell>
          <cell r="BK436">
            <v>4.471698917043021E-3</v>
          </cell>
          <cell r="BL436">
            <v>4.471698917043021E-3</v>
          </cell>
          <cell r="BM436">
            <v>4.471698917043021E-3</v>
          </cell>
          <cell r="BN436">
            <v>4.471698917043021E-3</v>
          </cell>
          <cell r="BO436">
            <v>4.471698917043021E-3</v>
          </cell>
          <cell r="BP436">
            <v>4.471698917043021E-3</v>
          </cell>
          <cell r="BQ436">
            <v>4.471698917043021E-3</v>
          </cell>
          <cell r="BR436">
            <v>4.471698917043021E-3</v>
          </cell>
          <cell r="BS436">
            <v>4.471698917043021E-3</v>
          </cell>
          <cell r="BT436">
            <v>4.471698917043021E-3</v>
          </cell>
          <cell r="BU436">
            <v>4.471698917043021E-3</v>
          </cell>
          <cell r="BV436">
            <v>4.471698917043021E-3</v>
          </cell>
          <cell r="BW436">
            <v>4.471698917043021E-3</v>
          </cell>
          <cell r="BX436">
            <v>4.471698917043021E-3</v>
          </cell>
          <cell r="BY436">
            <v>4.471698917043021E-3</v>
          </cell>
          <cell r="BZ436">
            <v>4.471698917043021E-3</v>
          </cell>
          <cell r="CA436">
            <v>4.471698917043021E-3</v>
          </cell>
          <cell r="CB436">
            <v>4.471698917043021E-3</v>
          </cell>
          <cell r="CC436">
            <v>4.471698917043021E-3</v>
          </cell>
          <cell r="CD436">
            <v>4.471698917043021E-3</v>
          </cell>
          <cell r="CE436">
            <v>4.471698917043021E-3</v>
          </cell>
          <cell r="CF436">
            <v>4.471698917043021E-3</v>
          </cell>
          <cell r="CG436">
            <v>4.471698917043021E-3</v>
          </cell>
          <cell r="CH436">
            <v>4.471698917043021E-3</v>
          </cell>
          <cell r="CI436">
            <v>4.471698917043021E-3</v>
          </cell>
          <cell r="CJ436">
            <v>4.471698917043021E-3</v>
          </cell>
          <cell r="CK436">
            <v>4.471698917043021E-3</v>
          </cell>
          <cell r="CL436">
            <v>4.471698917043021E-3</v>
          </cell>
          <cell r="CM436">
            <v>4.471698917043021E-3</v>
          </cell>
          <cell r="CN436">
            <v>4.471698917043021E-3</v>
          </cell>
          <cell r="CO436">
            <v>4.471698917043021E-3</v>
          </cell>
          <cell r="CP436">
            <v>4.471698917043021E-3</v>
          </cell>
          <cell r="CQ436">
            <v>4.471698917043021E-3</v>
          </cell>
          <cell r="CR436">
            <v>4.471698917043021E-3</v>
          </cell>
          <cell r="CS436">
            <v>4.471698917043021E-3</v>
          </cell>
          <cell r="CT436">
            <v>4.471698917043021E-3</v>
          </cell>
          <cell r="CU436">
            <v>4.471698917043021E-3</v>
          </cell>
          <cell r="CV436">
            <v>4.471698917043021E-3</v>
          </cell>
          <cell r="CW436">
            <v>4.471698917043021E-3</v>
          </cell>
          <cell r="CX436">
            <v>4.471698917043021E-3</v>
          </cell>
          <cell r="CY436">
            <v>4.471698917043021E-3</v>
          </cell>
          <cell r="CZ436">
            <v>4.471698917043021E-3</v>
          </cell>
          <cell r="DA436">
            <v>4.471698917043021E-3</v>
          </cell>
          <cell r="DB436">
            <v>4.471698917043021E-3</v>
          </cell>
          <cell r="DC436">
            <v>4.471698917043021E-3</v>
          </cell>
          <cell r="DD436">
            <v>4.471698917043021E-3</v>
          </cell>
          <cell r="DE436">
            <v>4.471698917043021E-3</v>
          </cell>
          <cell r="DF436">
            <v>4.471698917043021E-3</v>
          </cell>
          <cell r="DG436">
            <v>4.471698917043021E-3</v>
          </cell>
          <cell r="DH436">
            <v>4.471698917043021E-3</v>
          </cell>
          <cell r="DI436">
            <v>4.471698917043021E-3</v>
          </cell>
          <cell r="DJ436">
            <v>4.471698917043021E-3</v>
          </cell>
          <cell r="DK436">
            <v>4.471698917043021E-3</v>
          </cell>
          <cell r="DL436">
            <v>4.471698917043021E-3</v>
          </cell>
          <cell r="DM436">
            <v>4.471698917043021E-3</v>
          </cell>
          <cell r="DN436">
            <v>4.471698917043021E-3</v>
          </cell>
          <cell r="DO436">
            <v>4.471698917043021E-3</v>
          </cell>
          <cell r="DP436">
            <v>4.471698917043021E-3</v>
          </cell>
          <cell r="DQ436">
            <v>4.471698917043021E-3</v>
          </cell>
          <cell r="DR436">
            <v>4.471698917043021E-3</v>
          </cell>
          <cell r="DS436">
            <v>4.471698917043021E-3</v>
          </cell>
          <cell r="DT436">
            <v>4.471698917043021E-3</v>
          </cell>
          <cell r="DU436">
            <v>4.471698917043021E-3</v>
          </cell>
          <cell r="DV436">
            <v>4.471698917043021E-3</v>
          </cell>
          <cell r="DW436">
            <v>4.471698917043021E-3</v>
          </cell>
          <cell r="DX436">
            <v>4.471698917043021E-3</v>
          </cell>
          <cell r="DY436">
            <v>4.471698917043021E-3</v>
          </cell>
          <cell r="DZ436">
            <v>4.471698917043021E-3</v>
          </cell>
          <cell r="EA436">
            <v>4.471698917043021E-3</v>
          </cell>
          <cell r="EB436">
            <v>4.471698917043021E-3</v>
          </cell>
          <cell r="EC436">
            <v>4.471698917043021E-3</v>
          </cell>
          <cell r="ED436">
            <v>4.471698917043021E-3</v>
          </cell>
          <cell r="EE436">
            <v>4.471698917043021E-3</v>
          </cell>
          <cell r="EF436">
            <v>4.471698917043021E-3</v>
          </cell>
          <cell r="EG436">
            <v>4.471698917043021E-3</v>
          </cell>
          <cell r="EH436">
            <v>4.471698917043021E-3</v>
          </cell>
          <cell r="EI436">
            <v>4.471698917043021E-3</v>
          </cell>
          <cell r="EJ436">
            <v>4.471698917043021E-3</v>
          </cell>
          <cell r="EK436">
            <v>4.471698917043021E-3</v>
          </cell>
          <cell r="EL436">
            <v>4.471698917043021E-3</v>
          </cell>
          <cell r="EM436">
            <v>4.471698917043021E-3</v>
          </cell>
          <cell r="EN436">
            <v>4.471698917043021E-3</v>
          </cell>
          <cell r="EO436">
            <v>4.471698917043021E-3</v>
          </cell>
          <cell r="EP436">
            <v>4.471698917043021E-3</v>
          </cell>
          <cell r="EQ436">
            <v>4.471698917043021E-3</v>
          </cell>
          <cell r="ER436">
            <v>4.471698917043021E-3</v>
          </cell>
          <cell r="ES436">
            <v>4.471698917043021E-3</v>
          </cell>
          <cell r="ET436">
            <v>4.471698917043021E-3</v>
          </cell>
          <cell r="EU436">
            <v>4.471698917043021E-3</v>
          </cell>
          <cell r="EV436">
            <v>4.471698917043021E-3</v>
          </cell>
          <cell r="EW436">
            <v>4.471698917043021E-3</v>
          </cell>
          <cell r="EX436">
            <v>4.471698917043021E-3</v>
          </cell>
          <cell r="EY436">
            <v>4.471698917043021E-3</v>
          </cell>
          <cell r="EZ436">
            <v>4.471698917043021E-3</v>
          </cell>
          <cell r="FA436">
            <v>4.471698917043021E-3</v>
          </cell>
          <cell r="FB436">
            <v>4.471698917043021E-3</v>
          </cell>
          <cell r="FC436">
            <v>4.471698917043021E-3</v>
          </cell>
          <cell r="FD436">
            <v>4.471698917043021E-3</v>
          </cell>
          <cell r="FE436">
            <v>4.471698917043021E-3</v>
          </cell>
          <cell r="FF436">
            <v>4.471698917043021E-3</v>
          </cell>
          <cell r="FG436">
            <v>4.471698917043021E-3</v>
          </cell>
          <cell r="FH436">
            <v>4.471698917043021E-3</v>
          </cell>
          <cell r="FI436">
            <v>4.471698917043021E-3</v>
          </cell>
          <cell r="FJ436">
            <v>4.471698917043021E-3</v>
          </cell>
          <cell r="FK436">
            <v>4.471698917043021E-3</v>
          </cell>
          <cell r="FL436">
            <v>4.471698917043021E-3</v>
          </cell>
        </row>
      </sheetData>
      <sheetData sheetId="6"/>
      <sheetData sheetId="7" refreshError="1"/>
      <sheetData sheetId="8">
        <row r="174">
          <cell r="D174">
            <v>1</v>
          </cell>
        </row>
      </sheetData>
      <sheetData sheetId="9">
        <row r="9">
          <cell r="A9" t="str">
            <v>Caixa Inicial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ólar"/>
      <sheetName val="Anual (2)"/>
      <sheetName val="Anual"/>
      <sheetName val="Planilha1"/>
      <sheetName val="EBITDA"/>
      <sheetName val="Receita"/>
      <sheetName val="CAPEX"/>
      <sheetName val="CAPEX (2)"/>
      <sheetName val="Planilha2"/>
      <sheetName val="Águas de Itapema"/>
      <sheetName val="Sanesalto"/>
      <sheetName val="Águas de Meriti"/>
      <sheetName val="Águas de Santo Antônio"/>
      <sheetName val="SANEMA"/>
      <sheetName val="SANETRAT"/>
      <sheetName val="ALEGRETE - PPP SJM"/>
      <sheetName val="CaraguaLuz"/>
      <sheetName val="MarabáLuz"/>
      <sheetName val="FC PRoje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orte"/>
      <sheetName val="Macro Outputs"/>
      <sheetName val="Outputs Material"/>
      <sheetName val="Fin Model &gt;&gt;&gt;"/>
      <sheetName val="Summary"/>
      <sheetName val="Input &gt;&gt;&gt;"/>
      <sheetName val="Data"/>
      <sheetName val="Macroeco"/>
      <sheetName val="Input"/>
      <sheetName val="Output &gt;&gt;&gt;"/>
      <sheetName val="Projections"/>
      <sheetName val="Revenues"/>
      <sheetName val="OPEX"/>
      <sheetName val="CAPEX"/>
      <sheetName val="CF Holding"/>
      <sheetName val="Scenarios &gt;&gt;&gt;"/>
      <sheetName val="1. Edital"/>
      <sheetName val="Auction &gt;&gt;&gt;"/>
      <sheetName val="Q9"/>
      <sheetName val="Q10"/>
      <sheetName val="Q11"/>
      <sheetName val="Q12"/>
      <sheetName val="Q13"/>
      <sheetName val="Charts"/>
    </sheetNames>
    <sheetDataSet>
      <sheetData sheetId="0" refreshError="1"/>
      <sheetData sheetId="1" refreshError="1">
        <row r="6">
          <cell r="O6">
            <v>7.4999999999999997E-2</v>
          </cell>
        </row>
        <row r="7">
          <cell r="O7">
            <v>0.1</v>
          </cell>
        </row>
        <row r="8">
          <cell r="O8">
            <v>0.1</v>
          </cell>
        </row>
        <row r="9">
          <cell r="O9">
            <v>0.2</v>
          </cell>
        </row>
        <row r="10">
          <cell r="O10">
            <v>0.01</v>
          </cell>
        </row>
        <row r="11">
          <cell r="O11">
            <v>0.5</v>
          </cell>
        </row>
      </sheetData>
      <sheetData sheetId="2" refreshError="1"/>
      <sheetData sheetId="3" refreshError="1"/>
      <sheetData sheetId="4" refreshError="1">
        <row r="60">
          <cell r="F60">
            <v>2</v>
          </cell>
        </row>
        <row r="71">
          <cell r="F71">
            <v>2</v>
          </cell>
        </row>
      </sheetData>
      <sheetData sheetId="5" refreshError="1"/>
      <sheetData sheetId="6" refreshError="1">
        <row r="9">
          <cell r="C9">
            <v>44197</v>
          </cell>
        </row>
        <row r="12">
          <cell r="C12">
            <v>44287</v>
          </cell>
        </row>
        <row r="13">
          <cell r="C13">
            <v>45992</v>
          </cell>
        </row>
        <row r="15">
          <cell r="C15">
            <v>55213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B1" t="str">
            <v>Year</v>
          </cell>
        </row>
        <row r="1667">
          <cell r="D1667">
            <v>0</v>
          </cell>
        </row>
        <row r="1694">
          <cell r="D1694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Turnkey"/>
      <sheetName val="Escalation"/>
      <sheetName val="Ass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tio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Pasta2"/>
    </sheetNames>
    <definedNames>
      <definedName name="REC"/>
      <definedName name="SR"/>
    </defined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.Gerais"/>
      <sheetName val="Premissas.GC"/>
      <sheetName val="Orcamento"/>
      <sheetName val="Comparativo"/>
      <sheetName val="Salários"/>
      <sheetName val="Salário_jan"/>
      <sheetName val="Salário_mai"/>
      <sheetName val="Salário_set"/>
      <sheetName val="Treinamentos"/>
      <sheetName val="Técnica"/>
      <sheetName val="Consultorias"/>
      <sheetName val="Viagens"/>
      <sheetName val="Veículos  "/>
      <sheetName val="Seguros"/>
      <sheetName val="Cálculo_SG"/>
    </sheetNames>
    <sheetDataSet>
      <sheetData sheetId="0" refreshError="1"/>
      <sheetData sheetId="1" refreshError="1"/>
      <sheetData sheetId="2">
        <row r="3">
          <cell r="B3">
            <v>20127.072985999999</v>
          </cell>
        </row>
      </sheetData>
      <sheetData sheetId="3" refreshError="1"/>
      <sheetData sheetId="4" refreshError="1">
        <row r="10">
          <cell r="F10">
            <v>7.0000000000000007E-2</v>
          </cell>
        </row>
        <row r="11">
          <cell r="F11">
            <v>0.09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e Macro Orçamento"/>
      <sheetName val="Orçamento Realizado"/>
      <sheetName val="Previsão Orçamentária"/>
      <sheetName val="Conciliação Bancária"/>
      <sheetName val="Contas a Pagar"/>
      <sheetName val="Contas a Receber"/>
      <sheetName val="Fluxo de Caixa Realizado"/>
      <sheetName val="Previsão de Fluxo de Caixa"/>
      <sheetName val="Cópia de Cheque"/>
      <sheetName val="Fluxo de Informações"/>
      <sheetName val="Plan1"/>
    </sheetNames>
    <sheetDataSet>
      <sheetData sheetId="0" refreshError="1"/>
      <sheetData sheetId="1" refreshError="1"/>
      <sheetData sheetId="2">
        <row r="1">
          <cell r="C1" t="str">
            <v>.            Sanesalto Saneamento S.A</v>
          </cell>
        </row>
      </sheetData>
      <sheetData sheetId="3">
        <row r="4">
          <cell r="B4" t="str">
            <v>LANÇAMENTO</v>
          </cell>
          <cell r="C4" t="str">
            <v>CLASSIFICAÇÃO</v>
          </cell>
          <cell r="D4" t="str">
            <v>DATA</v>
          </cell>
          <cell r="E4" t="str">
            <v>Razão</v>
          </cell>
          <cell r="F4" t="str">
            <v>HISTORICO</v>
          </cell>
          <cell r="G4" t="str">
            <v>.D.C.</v>
          </cell>
          <cell r="H4" t="str">
            <v>DÉBITO</v>
          </cell>
          <cell r="I4" t="str">
            <v>CRÉDITO</v>
          </cell>
          <cell r="J4" t="str">
            <v>COMP</v>
          </cell>
          <cell r="K4" t="str">
            <v>REAL</v>
          </cell>
          <cell r="L4" t="str">
            <v>BANCARIO</v>
          </cell>
        </row>
        <row r="5">
          <cell r="B5" t="str">
            <v>001-001</v>
          </cell>
          <cell r="C5" t="str">
            <v>2.01.03.15</v>
          </cell>
          <cell r="D5">
            <v>41276</v>
          </cell>
          <cell r="E5" t="str">
            <v>CASA &amp; BASE</v>
          </cell>
          <cell r="F5" t="str">
            <v>COMPRA DE MATERIAIS ETE</v>
          </cell>
          <cell r="G5" t="str">
            <v>D</v>
          </cell>
          <cell r="H5">
            <v>542.05999999999995</v>
          </cell>
          <cell r="I5">
            <v>0</v>
          </cell>
          <cell r="J5" t="str">
            <v>X</v>
          </cell>
          <cell r="K5">
            <v>683917.5199999999</v>
          </cell>
          <cell r="L5">
            <v>683917.5199999999</v>
          </cell>
          <cell r="M5">
            <v>325788</v>
          </cell>
        </row>
        <row r="6">
          <cell r="B6" t="str">
            <v>001-002</v>
          </cell>
          <cell r="C6" t="str">
            <v>2.02.03.04</v>
          </cell>
          <cell r="D6">
            <v>41276</v>
          </cell>
          <cell r="E6" t="str">
            <v>ARAUJO DE ARAUJO CONSULTORIA</v>
          </cell>
          <cell r="F6" t="str">
            <v xml:space="preserve">PAGAMENTO DE HONORÁRIOS DE CONSULTORIA </v>
          </cell>
          <cell r="G6" t="str">
            <v>D</v>
          </cell>
          <cell r="H6">
            <v>27517.439999999999</v>
          </cell>
          <cell r="I6">
            <v>0</v>
          </cell>
          <cell r="J6" t="str">
            <v>X</v>
          </cell>
          <cell r="K6">
            <v>656400.07999999996</v>
          </cell>
          <cell r="L6">
            <v>656400.07999999996</v>
          </cell>
          <cell r="M6">
            <v>37</v>
          </cell>
        </row>
        <row r="7">
          <cell r="B7" t="str">
            <v>001-003</v>
          </cell>
          <cell r="C7" t="str">
            <v>2.05.01.02</v>
          </cell>
          <cell r="D7">
            <v>41276</v>
          </cell>
          <cell r="E7" t="str">
            <v xml:space="preserve">BANCO ITAÚ S/A </v>
          </cell>
          <cell r="F7" t="str">
            <v>TAR DOC SISPAG</v>
          </cell>
          <cell r="G7" t="str">
            <v>D</v>
          </cell>
          <cell r="H7">
            <v>4.5</v>
          </cell>
          <cell r="I7">
            <v>0</v>
          </cell>
          <cell r="J7" t="str">
            <v>X</v>
          </cell>
          <cell r="K7">
            <v>656395.57999999996</v>
          </cell>
          <cell r="L7">
            <v>656395.57999999996</v>
          </cell>
          <cell r="M7">
            <v>0</v>
          </cell>
        </row>
        <row r="8">
          <cell r="B8" t="str">
            <v>001-116</v>
          </cell>
          <cell r="C8" t="str">
            <v>2.05.01.02</v>
          </cell>
          <cell r="D8">
            <v>41276</v>
          </cell>
          <cell r="E8" t="str">
            <v xml:space="preserve">BANCO ITAÚ S/A </v>
          </cell>
          <cell r="F8" t="str">
            <v>TAR DOC SISPAG</v>
          </cell>
          <cell r="G8" t="str">
            <v>D</v>
          </cell>
          <cell r="H8">
            <v>4.5</v>
          </cell>
          <cell r="I8">
            <v>0</v>
          </cell>
          <cell r="J8" t="str">
            <v>X</v>
          </cell>
          <cell r="K8">
            <v>656391.07999999996</v>
          </cell>
          <cell r="L8">
            <v>656391.07999999996</v>
          </cell>
          <cell r="M8">
            <v>0</v>
          </cell>
        </row>
        <row r="9">
          <cell r="B9" t="str">
            <v>001-117</v>
          </cell>
          <cell r="C9" t="str">
            <v>2.05.01.02</v>
          </cell>
          <cell r="D9">
            <v>41276</v>
          </cell>
          <cell r="E9" t="str">
            <v xml:space="preserve">BANCO ITAÚ S/A </v>
          </cell>
          <cell r="F9" t="str">
            <v>TAR DOC SISPAG</v>
          </cell>
          <cell r="G9" t="str">
            <v>D</v>
          </cell>
          <cell r="H9">
            <v>45</v>
          </cell>
          <cell r="I9">
            <v>0</v>
          </cell>
          <cell r="J9" t="str">
            <v>X</v>
          </cell>
          <cell r="K9">
            <v>656346.07999999996</v>
          </cell>
          <cell r="L9">
            <v>656346.07999999996</v>
          </cell>
          <cell r="M9">
            <v>0</v>
          </cell>
        </row>
        <row r="10">
          <cell r="B10" t="str">
            <v>001-118</v>
          </cell>
          <cell r="C10" t="str">
            <v>2.05.01.02</v>
          </cell>
          <cell r="D10">
            <v>41276</v>
          </cell>
          <cell r="E10" t="str">
            <v xml:space="preserve">BANCO ITAÚ S/A </v>
          </cell>
          <cell r="F10" t="str">
            <v>TAR DOC SISPAG</v>
          </cell>
          <cell r="G10" t="str">
            <v>D</v>
          </cell>
          <cell r="H10">
            <v>76.5</v>
          </cell>
          <cell r="I10">
            <v>0</v>
          </cell>
          <cell r="J10" t="str">
            <v>X</v>
          </cell>
          <cell r="K10">
            <v>656269.57999999996</v>
          </cell>
          <cell r="L10">
            <v>656269.57999999996</v>
          </cell>
          <cell r="M10">
            <v>0</v>
          </cell>
        </row>
        <row r="11">
          <cell r="B11" t="str">
            <v>RE001-001</v>
          </cell>
          <cell r="C11" t="str">
            <v>1.01.04.01</v>
          </cell>
          <cell r="D11">
            <v>41276</v>
          </cell>
          <cell r="E11" t="str">
            <v xml:space="preserve">BANCO ITAÚ </v>
          </cell>
          <cell r="F11" t="str">
            <v xml:space="preserve">RENDIMENTO DE APLICAÇÃO </v>
          </cell>
          <cell r="G11" t="str">
            <v>C</v>
          </cell>
          <cell r="H11">
            <v>0</v>
          </cell>
          <cell r="I11">
            <v>3.06</v>
          </cell>
          <cell r="J11" t="str">
            <v>X</v>
          </cell>
          <cell r="K11">
            <v>656272.64000000001</v>
          </cell>
          <cell r="L11">
            <v>656272.64000000001</v>
          </cell>
          <cell r="M11">
            <v>0</v>
          </cell>
        </row>
        <row r="12">
          <cell r="B12" t="str">
            <v>RE001-002</v>
          </cell>
          <cell r="C12" t="str">
            <v>1.01.01.01</v>
          </cell>
          <cell r="D12">
            <v>41277</v>
          </cell>
          <cell r="E12" t="str">
            <v>SANESALTO SANEAMENTO S/A</v>
          </cell>
          <cell r="F12" t="str">
            <v>MEDIÇÃO DE 21/12 Á 31/12</v>
          </cell>
          <cell r="G12" t="str">
            <v>C</v>
          </cell>
          <cell r="H12">
            <v>0</v>
          </cell>
          <cell r="I12">
            <v>119680.16</v>
          </cell>
          <cell r="J12" t="str">
            <v>X</v>
          </cell>
          <cell r="K12">
            <v>775952.8</v>
          </cell>
          <cell r="L12">
            <v>775952.8</v>
          </cell>
          <cell r="M12">
            <v>0</v>
          </cell>
        </row>
        <row r="13">
          <cell r="B13" t="str">
            <v>001-010/1</v>
          </cell>
          <cell r="C13" t="str">
            <v>2.02.01.01</v>
          </cell>
          <cell r="D13">
            <v>41277</v>
          </cell>
          <cell r="E13" t="str">
            <v>NAEDSON LUIZ DE SOUZA</v>
          </cell>
          <cell r="F13" t="str">
            <v>SALÁRIO REF. 12/2012</v>
          </cell>
          <cell r="G13" t="str">
            <v>D</v>
          </cell>
          <cell r="H13">
            <v>1695</v>
          </cell>
          <cell r="I13">
            <v>0</v>
          </cell>
          <cell r="J13" t="str">
            <v>X</v>
          </cell>
          <cell r="K13">
            <v>774257.8</v>
          </cell>
          <cell r="L13">
            <v>774257.8</v>
          </cell>
          <cell r="M13">
            <v>0</v>
          </cell>
        </row>
        <row r="14">
          <cell r="B14" t="str">
            <v>001-010/2</v>
          </cell>
          <cell r="C14" t="str">
            <v>2.02.01.01</v>
          </cell>
          <cell r="D14">
            <v>41277</v>
          </cell>
          <cell r="E14" t="str">
            <v xml:space="preserve">ALOISIO BORIN </v>
          </cell>
          <cell r="F14" t="str">
            <v>SALÁRIO REF. 12/2012</v>
          </cell>
          <cell r="G14" t="str">
            <v>D</v>
          </cell>
          <cell r="H14">
            <v>798</v>
          </cell>
          <cell r="I14">
            <v>0</v>
          </cell>
          <cell r="J14" t="str">
            <v>X</v>
          </cell>
          <cell r="K14">
            <v>773459.8</v>
          </cell>
          <cell r="L14">
            <v>773459.8</v>
          </cell>
          <cell r="M14">
            <v>0</v>
          </cell>
        </row>
        <row r="15">
          <cell r="B15" t="str">
            <v>001-010/3</v>
          </cell>
          <cell r="C15" t="str">
            <v>2.02.01.01</v>
          </cell>
          <cell r="D15">
            <v>41277</v>
          </cell>
          <cell r="E15" t="str">
            <v>CLEBER CLEIDSON DA SILVA</v>
          </cell>
          <cell r="F15" t="str">
            <v>SALÁRIO REF. 12/2012</v>
          </cell>
          <cell r="G15" t="str">
            <v>D</v>
          </cell>
          <cell r="H15">
            <v>1399</v>
          </cell>
          <cell r="I15">
            <v>0</v>
          </cell>
          <cell r="J15" t="str">
            <v>X</v>
          </cell>
          <cell r="K15">
            <v>772060.8</v>
          </cell>
          <cell r="L15">
            <v>772060.8</v>
          </cell>
          <cell r="M15">
            <v>0</v>
          </cell>
        </row>
        <row r="16">
          <cell r="B16" t="str">
            <v>001-010/4</v>
          </cell>
          <cell r="C16" t="str">
            <v>2.02.01.01</v>
          </cell>
          <cell r="D16">
            <v>41277</v>
          </cell>
          <cell r="E16" t="str">
            <v>ERICA AP DA SILVA DE MORAES</v>
          </cell>
          <cell r="F16" t="str">
            <v>SALÁRIO REF. 12/2012</v>
          </cell>
          <cell r="G16" t="str">
            <v>D</v>
          </cell>
          <cell r="H16">
            <v>733</v>
          </cell>
          <cell r="I16">
            <v>0</v>
          </cell>
          <cell r="J16" t="str">
            <v>X</v>
          </cell>
          <cell r="K16">
            <v>771327.8</v>
          </cell>
          <cell r="L16">
            <v>771327.8</v>
          </cell>
          <cell r="M16">
            <v>0</v>
          </cell>
        </row>
        <row r="17">
          <cell r="B17" t="str">
            <v>001-010/5</v>
          </cell>
          <cell r="C17" t="str">
            <v>2.02.01.01</v>
          </cell>
          <cell r="D17">
            <v>41277</v>
          </cell>
          <cell r="E17" t="str">
            <v>ELIZANGELA REGINA P DIAS</v>
          </cell>
          <cell r="F17" t="str">
            <v>SALÁRIO REF. 12/2012</v>
          </cell>
          <cell r="G17" t="str">
            <v>D</v>
          </cell>
          <cell r="H17">
            <v>2142</v>
          </cell>
          <cell r="I17">
            <v>0</v>
          </cell>
          <cell r="J17" t="str">
            <v>X</v>
          </cell>
          <cell r="K17">
            <v>769185.8</v>
          </cell>
          <cell r="L17">
            <v>769185.8</v>
          </cell>
          <cell r="M17">
            <v>0</v>
          </cell>
        </row>
        <row r="18">
          <cell r="B18" t="str">
            <v>001-010/6</v>
          </cell>
          <cell r="C18" t="str">
            <v>2.02.01.01</v>
          </cell>
          <cell r="D18">
            <v>41277</v>
          </cell>
          <cell r="E18" t="str">
            <v>RODRIGO BUENO</v>
          </cell>
          <cell r="F18" t="str">
            <v>SALÁRIO REF. 12/2012</v>
          </cell>
          <cell r="G18" t="str">
            <v>D</v>
          </cell>
          <cell r="H18">
            <v>2204</v>
          </cell>
          <cell r="I18">
            <v>0</v>
          </cell>
          <cell r="J18" t="str">
            <v>X</v>
          </cell>
          <cell r="K18">
            <v>766981.8</v>
          </cell>
          <cell r="L18">
            <v>766981.8</v>
          </cell>
          <cell r="M18">
            <v>0</v>
          </cell>
        </row>
        <row r="19">
          <cell r="B19" t="str">
            <v>001-010/7</v>
          </cell>
          <cell r="C19" t="str">
            <v>2.02.01.01</v>
          </cell>
          <cell r="D19">
            <v>41277</v>
          </cell>
          <cell r="E19" t="str">
            <v>MARIANA CASTELLINI</v>
          </cell>
          <cell r="F19" t="str">
            <v>SALÁRIO REF. 12/2012</v>
          </cell>
          <cell r="G19" t="str">
            <v>D</v>
          </cell>
          <cell r="H19">
            <v>816</v>
          </cell>
          <cell r="I19">
            <v>0</v>
          </cell>
          <cell r="J19" t="str">
            <v>X</v>
          </cell>
          <cell r="K19">
            <v>766165.8</v>
          </cell>
          <cell r="L19">
            <v>766165.8</v>
          </cell>
          <cell r="M19">
            <v>0</v>
          </cell>
        </row>
        <row r="20">
          <cell r="B20" t="str">
            <v>001-010/8</v>
          </cell>
          <cell r="C20" t="str">
            <v>2.02.01.01</v>
          </cell>
          <cell r="D20">
            <v>41277</v>
          </cell>
          <cell r="E20" t="str">
            <v>JANAINA SILVA DE SOUZA</v>
          </cell>
          <cell r="F20" t="str">
            <v>SALÁRIO REF. 12/2012</v>
          </cell>
          <cell r="G20" t="str">
            <v>D</v>
          </cell>
          <cell r="H20">
            <v>206</v>
          </cell>
          <cell r="I20">
            <v>0</v>
          </cell>
          <cell r="J20" t="str">
            <v>X</v>
          </cell>
          <cell r="K20">
            <v>765959.8</v>
          </cell>
          <cell r="L20">
            <v>765959.8</v>
          </cell>
          <cell r="M20">
            <v>0</v>
          </cell>
        </row>
        <row r="21">
          <cell r="B21" t="str">
            <v>001-010/9</v>
          </cell>
          <cell r="C21" t="str">
            <v>2.02.01.01</v>
          </cell>
          <cell r="D21">
            <v>41277</v>
          </cell>
          <cell r="E21" t="str">
            <v>MARIANA CRISTINA GESSOLI</v>
          </cell>
          <cell r="F21" t="str">
            <v>SALÁRIO REF. 12/2012</v>
          </cell>
          <cell r="G21" t="str">
            <v>D</v>
          </cell>
          <cell r="H21">
            <v>493</v>
          </cell>
          <cell r="I21">
            <v>0</v>
          </cell>
          <cell r="J21" t="str">
            <v>X</v>
          </cell>
          <cell r="K21">
            <v>765466.8</v>
          </cell>
          <cell r="L21">
            <v>765466.8</v>
          </cell>
          <cell r="M21">
            <v>0</v>
          </cell>
        </row>
        <row r="22">
          <cell r="B22" t="str">
            <v>001-010/10</v>
          </cell>
          <cell r="C22" t="str">
            <v>2.01.01.01</v>
          </cell>
          <cell r="D22">
            <v>41277</v>
          </cell>
          <cell r="E22" t="str">
            <v>JULIO CÉSAR DA S OLIVEIRA</v>
          </cell>
          <cell r="F22" t="str">
            <v>SALÁRIO REF. 12/2012</v>
          </cell>
          <cell r="G22" t="str">
            <v>D</v>
          </cell>
          <cell r="H22">
            <v>466</v>
          </cell>
          <cell r="I22">
            <v>0</v>
          </cell>
          <cell r="J22" t="str">
            <v>X</v>
          </cell>
          <cell r="K22">
            <v>765000.8</v>
          </cell>
          <cell r="L22">
            <v>765000.8</v>
          </cell>
          <cell r="M22">
            <v>0</v>
          </cell>
        </row>
        <row r="23">
          <cell r="B23" t="str">
            <v>001-010/11</v>
          </cell>
          <cell r="C23" t="str">
            <v>2.01.01.01</v>
          </cell>
          <cell r="D23">
            <v>41277</v>
          </cell>
          <cell r="E23" t="str">
            <v>GILBERTO SILVA ROQUE</v>
          </cell>
          <cell r="F23" t="str">
            <v>SALÁRIO REF. 12/2012</v>
          </cell>
          <cell r="G23" t="str">
            <v>D</v>
          </cell>
          <cell r="H23">
            <v>612</v>
          </cell>
          <cell r="I23">
            <v>0</v>
          </cell>
          <cell r="J23" t="str">
            <v>X</v>
          </cell>
          <cell r="K23">
            <v>764388.8</v>
          </cell>
          <cell r="L23">
            <v>764388.8</v>
          </cell>
          <cell r="M23">
            <v>0</v>
          </cell>
        </row>
        <row r="24">
          <cell r="B24" t="str">
            <v>001-010/12</v>
          </cell>
          <cell r="C24" t="str">
            <v>2.01.01.01</v>
          </cell>
          <cell r="D24">
            <v>41277</v>
          </cell>
          <cell r="E24" t="str">
            <v>WEVERTON EUGÊNIO PEREIRA</v>
          </cell>
          <cell r="F24" t="str">
            <v>SALÁRIO REF. 12/2012</v>
          </cell>
          <cell r="G24" t="str">
            <v>D</v>
          </cell>
          <cell r="H24">
            <v>433</v>
          </cell>
          <cell r="I24">
            <v>0</v>
          </cell>
          <cell r="J24" t="str">
            <v>X</v>
          </cell>
          <cell r="K24">
            <v>763955.8</v>
          </cell>
          <cell r="L24">
            <v>763955.8</v>
          </cell>
          <cell r="M24">
            <v>0</v>
          </cell>
        </row>
        <row r="25">
          <cell r="B25" t="str">
            <v>001-010/13</v>
          </cell>
          <cell r="C25" t="str">
            <v>2.01.01.01</v>
          </cell>
          <cell r="D25">
            <v>41277</v>
          </cell>
          <cell r="E25" t="str">
            <v>SERGIO JOSE DE SOUZA JR</v>
          </cell>
          <cell r="F25" t="str">
            <v>SALÁRIO REF. 12/2012</v>
          </cell>
          <cell r="G25" t="str">
            <v>D</v>
          </cell>
          <cell r="H25">
            <v>340</v>
          </cell>
          <cell r="I25">
            <v>0</v>
          </cell>
          <cell r="J25" t="str">
            <v>X</v>
          </cell>
          <cell r="K25">
            <v>763615.8</v>
          </cell>
          <cell r="L25">
            <v>763615.8</v>
          </cell>
          <cell r="M25">
            <v>0</v>
          </cell>
        </row>
        <row r="26">
          <cell r="B26" t="str">
            <v>001-010/14</v>
          </cell>
          <cell r="C26" t="str">
            <v>2.01.01.01</v>
          </cell>
          <cell r="D26">
            <v>41277</v>
          </cell>
          <cell r="E26" t="str">
            <v>TIAGO HENRIQUE DE OLIVEIRA</v>
          </cell>
          <cell r="F26" t="str">
            <v>SALÁRIO REF. 12/2012</v>
          </cell>
          <cell r="G26" t="str">
            <v>D</v>
          </cell>
          <cell r="H26">
            <v>466</v>
          </cell>
          <cell r="I26">
            <v>0</v>
          </cell>
          <cell r="J26" t="str">
            <v>X</v>
          </cell>
          <cell r="K26">
            <v>763149.8</v>
          </cell>
          <cell r="L26">
            <v>763149.8</v>
          </cell>
          <cell r="M26">
            <v>0</v>
          </cell>
        </row>
        <row r="27">
          <cell r="B27" t="str">
            <v>001-010/15</v>
          </cell>
          <cell r="C27" t="str">
            <v>2.01.01.01</v>
          </cell>
          <cell r="D27">
            <v>41277</v>
          </cell>
          <cell r="E27" t="str">
            <v>LUCAS AMARAL</v>
          </cell>
          <cell r="F27" t="str">
            <v>SALÁRIO REF. 12/2012</v>
          </cell>
          <cell r="G27" t="str">
            <v>D</v>
          </cell>
          <cell r="H27">
            <v>526</v>
          </cell>
          <cell r="I27">
            <v>0</v>
          </cell>
          <cell r="J27" t="str">
            <v>X</v>
          </cell>
          <cell r="K27">
            <v>762623.8</v>
          </cell>
          <cell r="L27">
            <v>762623.8</v>
          </cell>
          <cell r="M27">
            <v>0</v>
          </cell>
        </row>
        <row r="28">
          <cell r="B28" t="str">
            <v>001-010/16</v>
          </cell>
          <cell r="C28" t="str">
            <v>2.01.01.01</v>
          </cell>
          <cell r="D28">
            <v>41277</v>
          </cell>
          <cell r="E28" t="str">
            <v>MARCIO OSTIANO DE SOUZA</v>
          </cell>
          <cell r="F28" t="str">
            <v>SALÁRIO REF. 12/2012</v>
          </cell>
          <cell r="G28" t="str">
            <v>D</v>
          </cell>
          <cell r="H28">
            <v>466</v>
          </cell>
          <cell r="I28">
            <v>0</v>
          </cell>
          <cell r="J28" t="str">
            <v>X</v>
          </cell>
          <cell r="K28">
            <v>762157.8</v>
          </cell>
          <cell r="L28">
            <v>762157.8</v>
          </cell>
          <cell r="M28">
            <v>0</v>
          </cell>
        </row>
        <row r="29">
          <cell r="B29" t="str">
            <v>001-010/17</v>
          </cell>
          <cell r="C29" t="str">
            <v>2.01.01.01</v>
          </cell>
          <cell r="D29">
            <v>41277</v>
          </cell>
          <cell r="E29" t="str">
            <v>ANDRÉ SIMÕES</v>
          </cell>
          <cell r="F29" t="str">
            <v>SALÁRIO REF. 12/2012</v>
          </cell>
          <cell r="G29" t="str">
            <v>D</v>
          </cell>
          <cell r="H29">
            <v>465</v>
          </cell>
          <cell r="I29">
            <v>0</v>
          </cell>
          <cell r="J29" t="str">
            <v>X</v>
          </cell>
          <cell r="K29">
            <v>761692.8</v>
          </cell>
          <cell r="L29">
            <v>761692.8</v>
          </cell>
          <cell r="M29">
            <v>0</v>
          </cell>
        </row>
        <row r="30">
          <cell r="B30" t="str">
            <v>001-010/18</v>
          </cell>
          <cell r="C30" t="str">
            <v>2.01.01.01</v>
          </cell>
          <cell r="D30">
            <v>41277</v>
          </cell>
          <cell r="E30" t="str">
            <v>EMERSON BEDIN</v>
          </cell>
          <cell r="F30" t="str">
            <v>SALÁRIO REF. 12/2012</v>
          </cell>
          <cell r="G30" t="str">
            <v>D</v>
          </cell>
          <cell r="H30">
            <v>908</v>
          </cell>
          <cell r="I30">
            <v>0</v>
          </cell>
          <cell r="J30" t="str">
            <v>X</v>
          </cell>
          <cell r="K30">
            <v>760784.8</v>
          </cell>
          <cell r="L30">
            <v>760784.8</v>
          </cell>
          <cell r="M30">
            <v>0</v>
          </cell>
        </row>
        <row r="31">
          <cell r="B31" t="str">
            <v>001-010/19</v>
          </cell>
          <cell r="C31" t="str">
            <v>2.01.01.01</v>
          </cell>
          <cell r="D31">
            <v>41277</v>
          </cell>
          <cell r="E31" t="str">
            <v>THIAGO RIBEIRO</v>
          </cell>
          <cell r="F31" t="str">
            <v>SALÁRIO REF. 12/2012</v>
          </cell>
          <cell r="G31" t="str">
            <v>D</v>
          </cell>
          <cell r="H31">
            <v>571</v>
          </cell>
          <cell r="I31">
            <v>0</v>
          </cell>
          <cell r="J31" t="str">
            <v>X</v>
          </cell>
          <cell r="K31">
            <v>760213.8</v>
          </cell>
          <cell r="L31">
            <v>760213.8</v>
          </cell>
          <cell r="M31">
            <v>0</v>
          </cell>
        </row>
        <row r="32">
          <cell r="B32" t="str">
            <v>001-010/20</v>
          </cell>
          <cell r="C32" t="str">
            <v>2.01.01.01</v>
          </cell>
          <cell r="D32">
            <v>41277</v>
          </cell>
          <cell r="E32" t="str">
            <v>ALBERTINO M DA SILVA</v>
          </cell>
          <cell r="F32" t="str">
            <v>SALÁRIO REF. 12/2012</v>
          </cell>
          <cell r="G32" t="str">
            <v>D</v>
          </cell>
          <cell r="H32">
            <v>504</v>
          </cell>
          <cell r="I32">
            <v>0</v>
          </cell>
          <cell r="J32" t="str">
            <v>X</v>
          </cell>
          <cell r="K32">
            <v>759709.8</v>
          </cell>
          <cell r="L32">
            <v>759709.8</v>
          </cell>
          <cell r="M32">
            <v>0</v>
          </cell>
        </row>
        <row r="33">
          <cell r="B33" t="str">
            <v>001-010/21</v>
          </cell>
          <cell r="C33" t="str">
            <v>2.01.01.01</v>
          </cell>
          <cell r="D33">
            <v>41277</v>
          </cell>
          <cell r="E33" t="str">
            <v>SANDRO PAGGI DE SOUSA</v>
          </cell>
          <cell r="F33" t="str">
            <v>SALÁRIO REF. 12/2012</v>
          </cell>
          <cell r="G33" t="str">
            <v>D</v>
          </cell>
          <cell r="H33">
            <v>598</v>
          </cell>
          <cell r="I33">
            <v>0</v>
          </cell>
          <cell r="J33" t="str">
            <v>X</v>
          </cell>
          <cell r="K33">
            <v>759111.8</v>
          </cell>
          <cell r="L33">
            <v>759111.8</v>
          </cell>
          <cell r="M33">
            <v>0</v>
          </cell>
        </row>
        <row r="34">
          <cell r="B34" t="str">
            <v>001-010/22</v>
          </cell>
          <cell r="C34" t="str">
            <v>2.01.01.01</v>
          </cell>
          <cell r="D34">
            <v>41277</v>
          </cell>
          <cell r="E34" t="str">
            <v>SIDERLEI BERTIPAGLIA</v>
          </cell>
          <cell r="F34" t="str">
            <v>SALÁRIO REF. 12/2012</v>
          </cell>
          <cell r="G34" t="str">
            <v>D</v>
          </cell>
          <cell r="H34">
            <v>1201</v>
          </cell>
          <cell r="I34">
            <v>0</v>
          </cell>
          <cell r="J34" t="str">
            <v>X</v>
          </cell>
          <cell r="K34">
            <v>757910.8</v>
          </cell>
          <cell r="L34">
            <v>757910.8</v>
          </cell>
          <cell r="M34">
            <v>0</v>
          </cell>
        </row>
        <row r="35">
          <cell r="B35" t="str">
            <v>001-010/23</v>
          </cell>
          <cell r="C35" t="str">
            <v>2.01.01.01</v>
          </cell>
          <cell r="D35">
            <v>41277</v>
          </cell>
          <cell r="E35" t="str">
            <v>ALEXANDRE DE C ALVES</v>
          </cell>
          <cell r="F35" t="str">
            <v>SALÁRIO REF. 12/2012</v>
          </cell>
          <cell r="G35" t="str">
            <v>D</v>
          </cell>
          <cell r="H35">
            <v>513</v>
          </cell>
          <cell r="I35">
            <v>0</v>
          </cell>
          <cell r="J35" t="str">
            <v>X</v>
          </cell>
          <cell r="K35">
            <v>757397.8</v>
          </cell>
          <cell r="L35">
            <v>757397.8</v>
          </cell>
          <cell r="M35">
            <v>0</v>
          </cell>
        </row>
        <row r="36">
          <cell r="B36" t="str">
            <v>001-010/24</v>
          </cell>
          <cell r="C36" t="str">
            <v>2.01.01.01</v>
          </cell>
          <cell r="D36">
            <v>41277</v>
          </cell>
          <cell r="E36" t="str">
            <v>WILSON DE SOUZA</v>
          </cell>
          <cell r="F36" t="str">
            <v>SALÁRIO REF. 12/2012</v>
          </cell>
          <cell r="G36" t="str">
            <v>D</v>
          </cell>
          <cell r="H36">
            <v>587</v>
          </cell>
          <cell r="I36">
            <v>0</v>
          </cell>
          <cell r="J36" t="str">
            <v>X</v>
          </cell>
          <cell r="K36">
            <v>756810.8</v>
          </cell>
          <cell r="L36">
            <v>756810.8</v>
          </cell>
          <cell r="M36">
            <v>0</v>
          </cell>
        </row>
        <row r="37">
          <cell r="B37" t="str">
            <v>001-010/25</v>
          </cell>
          <cell r="C37" t="str">
            <v>2.02.01.08</v>
          </cell>
          <cell r="D37">
            <v>41277</v>
          </cell>
          <cell r="E37" t="str">
            <v>PAULO ANDRÉ GIL BOSCHIERO</v>
          </cell>
          <cell r="F37" t="str">
            <v>SALÁRIO REF. 12/2012</v>
          </cell>
          <cell r="G37" t="str">
            <v>D</v>
          </cell>
          <cell r="H37">
            <v>9144.2199999999993</v>
          </cell>
          <cell r="I37">
            <v>0</v>
          </cell>
          <cell r="J37" t="str">
            <v>X</v>
          </cell>
          <cell r="K37">
            <v>747666.58000000007</v>
          </cell>
          <cell r="L37">
            <v>747666.58000000007</v>
          </cell>
          <cell r="M37">
            <v>0</v>
          </cell>
        </row>
        <row r="38">
          <cell r="B38" t="str">
            <v>001-010/26</v>
          </cell>
          <cell r="C38" t="str">
            <v>2.02.01.08</v>
          </cell>
          <cell r="D38">
            <v>41277</v>
          </cell>
          <cell r="E38" t="str">
            <v>RICARDO KASSARDJIAN</v>
          </cell>
          <cell r="F38" t="str">
            <v>SALÁRIO REF. 12/2012</v>
          </cell>
          <cell r="G38" t="str">
            <v>D</v>
          </cell>
          <cell r="H38">
            <v>10956.72</v>
          </cell>
          <cell r="I38">
            <v>0</v>
          </cell>
          <cell r="J38" t="str">
            <v>X</v>
          </cell>
          <cell r="K38">
            <v>736709.8600000001</v>
          </cell>
          <cell r="L38">
            <v>736709.8600000001</v>
          </cell>
          <cell r="M38">
            <v>0</v>
          </cell>
        </row>
        <row r="39">
          <cell r="B39" t="str">
            <v>001-010/27</v>
          </cell>
          <cell r="C39" t="str">
            <v>2.02.01.08</v>
          </cell>
          <cell r="D39">
            <v>41277</v>
          </cell>
          <cell r="E39" t="str">
            <v>PEDRO P. BERGAMASCHI</v>
          </cell>
          <cell r="F39" t="str">
            <v>SALÁRIO REF. 12/2012</v>
          </cell>
          <cell r="G39" t="str">
            <v>D</v>
          </cell>
          <cell r="H39">
            <v>2180.9</v>
          </cell>
          <cell r="I39">
            <v>0</v>
          </cell>
          <cell r="J39" t="str">
            <v>X</v>
          </cell>
          <cell r="K39">
            <v>734528.96000000008</v>
          </cell>
          <cell r="L39">
            <v>734528.96000000008</v>
          </cell>
          <cell r="M39">
            <v>0</v>
          </cell>
        </row>
        <row r="40">
          <cell r="B40" t="str">
            <v>001-010/28</v>
          </cell>
          <cell r="C40" t="str">
            <v>2.02.01.08</v>
          </cell>
          <cell r="D40">
            <v>41277</v>
          </cell>
          <cell r="E40" t="str">
            <v>JOÃO MAURO BOSCHIERO</v>
          </cell>
          <cell r="F40" t="str">
            <v>SALÁRIO REF. 12/2012</v>
          </cell>
          <cell r="G40" t="str">
            <v>D</v>
          </cell>
          <cell r="H40">
            <v>2180.9</v>
          </cell>
          <cell r="I40">
            <v>0</v>
          </cell>
          <cell r="J40" t="str">
            <v>X</v>
          </cell>
          <cell r="K40">
            <v>732348.06</v>
          </cell>
          <cell r="L40">
            <v>732348.06</v>
          </cell>
          <cell r="M40">
            <v>0</v>
          </cell>
        </row>
        <row r="41">
          <cell r="B41" t="str">
            <v>RE001-003</v>
          </cell>
          <cell r="C41" t="str">
            <v>1.01.04.01</v>
          </cell>
          <cell r="D41">
            <v>41277</v>
          </cell>
          <cell r="E41" t="str">
            <v xml:space="preserve">BANCO ITAÚ </v>
          </cell>
          <cell r="F41" t="str">
            <v xml:space="preserve">RENDIMENTO DE APLICAÇÃO </v>
          </cell>
          <cell r="G41" t="str">
            <v>C</v>
          </cell>
          <cell r="H41">
            <v>0</v>
          </cell>
          <cell r="I41">
            <v>2.44</v>
          </cell>
          <cell r="J41" t="str">
            <v>X</v>
          </cell>
          <cell r="K41">
            <v>732350.5</v>
          </cell>
          <cell r="L41">
            <v>732350.5</v>
          </cell>
          <cell r="M41">
            <v>0</v>
          </cell>
        </row>
        <row r="42">
          <cell r="B42" t="str">
            <v>001-004</v>
          </cell>
          <cell r="C42" t="str">
            <v>2.02.03.05</v>
          </cell>
          <cell r="D42">
            <v>41278</v>
          </cell>
          <cell r="E42" t="str">
            <v>SCANDIUZZI CONSULTORIA CONTABIL Ltda.</v>
          </cell>
          <cell r="F42" t="str">
            <v>HONORÁRIOS MENSAIS 12/2013</v>
          </cell>
          <cell r="G42" t="str">
            <v>D</v>
          </cell>
          <cell r="H42">
            <v>3732</v>
          </cell>
          <cell r="I42">
            <v>0</v>
          </cell>
          <cell r="J42" t="str">
            <v>X</v>
          </cell>
          <cell r="K42">
            <v>728618.5</v>
          </cell>
          <cell r="L42">
            <v>728618.5</v>
          </cell>
          <cell r="M42">
            <v>1488</v>
          </cell>
        </row>
        <row r="43">
          <cell r="B43" t="str">
            <v>10-137/4</v>
          </cell>
          <cell r="C43" t="str">
            <v>2.01.05.11</v>
          </cell>
          <cell r="D43">
            <v>41278</v>
          </cell>
          <cell r="E43" t="str">
            <v>VT COMÉRCIO DE MOTORES ELÉTRICOS E ACIONAMENTOS Ltda.</v>
          </cell>
          <cell r="F43" t="str">
            <v>REJUVENECIMENTO E REVISÃO GERAL EM MOTO-BOMBA</v>
          </cell>
          <cell r="G43" t="str">
            <v>D</v>
          </cell>
          <cell r="H43">
            <v>2875</v>
          </cell>
          <cell r="I43">
            <v>0</v>
          </cell>
          <cell r="J43" t="str">
            <v>X</v>
          </cell>
          <cell r="K43">
            <v>725743.5</v>
          </cell>
          <cell r="L43">
            <v>725743.5</v>
          </cell>
          <cell r="M43">
            <v>117</v>
          </cell>
        </row>
        <row r="44">
          <cell r="B44" t="str">
            <v>001-011</v>
          </cell>
          <cell r="C44" t="str">
            <v>2.01.01.06</v>
          </cell>
          <cell r="D44">
            <v>41278</v>
          </cell>
          <cell r="E44" t="str">
            <v xml:space="preserve">RESTAURANTE SUINDARA </v>
          </cell>
          <cell r="F44" t="str">
            <v>FORNECIMENTO DE MARMITEX PARA ETE</v>
          </cell>
          <cell r="G44" t="str">
            <v>D</v>
          </cell>
          <cell r="H44">
            <v>1947</v>
          </cell>
          <cell r="I44">
            <v>0</v>
          </cell>
          <cell r="J44" t="str">
            <v>X</v>
          </cell>
          <cell r="K44">
            <v>723796.5</v>
          </cell>
          <cell r="L44">
            <v>723796.5</v>
          </cell>
          <cell r="M44">
            <v>4385</v>
          </cell>
        </row>
        <row r="45">
          <cell r="B45" t="str">
            <v>001-012</v>
          </cell>
          <cell r="C45" t="str">
            <v>2.01.05.13</v>
          </cell>
          <cell r="D45">
            <v>41278</v>
          </cell>
          <cell r="E45" t="str">
            <v>HF ANDRADE SERVIÇOS TEMPORÁRIOS</v>
          </cell>
          <cell r="F45" t="str">
            <v>SERVIÇOS DE MÃO DE OBRA TEMORÁRIO REF DEZ/2012</v>
          </cell>
          <cell r="G45" t="str">
            <v>D</v>
          </cell>
          <cell r="H45">
            <v>4506.7299999999996</v>
          </cell>
          <cell r="I45">
            <v>0</v>
          </cell>
          <cell r="J45" t="str">
            <v>X</v>
          </cell>
          <cell r="K45">
            <v>719289.77</v>
          </cell>
          <cell r="L45">
            <v>719289.77</v>
          </cell>
          <cell r="M45">
            <v>358</v>
          </cell>
        </row>
        <row r="46">
          <cell r="B46" t="str">
            <v>12-071</v>
          </cell>
          <cell r="C46" t="str">
            <v>2.01.05.02</v>
          </cell>
          <cell r="D46">
            <v>41278</v>
          </cell>
          <cell r="E46" t="str">
            <v>CARLOS ALBERTO PROGIANTI ME</v>
          </cell>
          <cell r="F46" t="str">
            <v>ASSISTÊNCIA TÉCNICA SISTEMA DE SEGURANÇA</v>
          </cell>
          <cell r="G46" t="str">
            <v>D</v>
          </cell>
          <cell r="H46">
            <v>120.73</v>
          </cell>
          <cell r="I46">
            <v>0</v>
          </cell>
          <cell r="J46" t="str">
            <v>X</v>
          </cell>
          <cell r="K46">
            <v>719169.04</v>
          </cell>
          <cell r="L46">
            <v>719169.04</v>
          </cell>
          <cell r="M46">
            <v>7592</v>
          </cell>
        </row>
        <row r="47">
          <cell r="B47" t="str">
            <v>12-070</v>
          </cell>
          <cell r="C47" t="str">
            <v>2.01.05.02</v>
          </cell>
          <cell r="D47">
            <v>41278</v>
          </cell>
          <cell r="E47" t="str">
            <v>CARLOS ALBERTO PROGIANTI ME</v>
          </cell>
          <cell r="F47" t="str">
            <v>ASSISTÊNCIA TÉCNICA SISTEMA DE SEGURANÇA</v>
          </cell>
          <cell r="G47" t="str">
            <v>D</v>
          </cell>
          <cell r="H47">
            <v>120.2</v>
          </cell>
          <cell r="I47">
            <v>0</v>
          </cell>
          <cell r="J47" t="str">
            <v>X</v>
          </cell>
          <cell r="K47">
            <v>719048.84000000008</v>
          </cell>
          <cell r="L47">
            <v>719048.84000000008</v>
          </cell>
          <cell r="M47">
            <v>7593</v>
          </cell>
        </row>
        <row r="48">
          <cell r="B48" t="str">
            <v>12-068</v>
          </cell>
          <cell r="C48" t="str">
            <v>2.01.05.02</v>
          </cell>
          <cell r="D48">
            <v>41278</v>
          </cell>
          <cell r="E48" t="str">
            <v>CARLOS ALBERTO PROGIANTI ME</v>
          </cell>
          <cell r="F48" t="str">
            <v>ASSISTÊNCIA TÉCNICA SISTEMA DE SEGURANÇA</v>
          </cell>
          <cell r="G48" t="str">
            <v>D</v>
          </cell>
          <cell r="H48">
            <v>127.33</v>
          </cell>
          <cell r="I48">
            <v>0</v>
          </cell>
          <cell r="J48" t="str">
            <v>X</v>
          </cell>
          <cell r="K48">
            <v>718921.51000000013</v>
          </cell>
          <cell r="L48">
            <v>718921.51000000013</v>
          </cell>
          <cell r="M48">
            <v>7589</v>
          </cell>
        </row>
        <row r="49">
          <cell r="B49" t="str">
            <v>12-069</v>
          </cell>
          <cell r="C49" t="str">
            <v>2.01.05.02</v>
          </cell>
          <cell r="D49">
            <v>41278</v>
          </cell>
          <cell r="E49" t="str">
            <v>CARLOS ALBERTO PROGIANTI ME</v>
          </cell>
          <cell r="F49" t="str">
            <v>ASSISTÊNCIA TÉCNICA SISTEMA DE SEGURANÇA</v>
          </cell>
          <cell r="G49" t="str">
            <v>D</v>
          </cell>
          <cell r="H49">
            <v>127.33</v>
          </cell>
          <cell r="I49">
            <v>0</v>
          </cell>
          <cell r="J49" t="str">
            <v>X</v>
          </cell>
          <cell r="K49">
            <v>718794.18000000017</v>
          </cell>
          <cell r="L49">
            <v>718794.18000000017</v>
          </cell>
          <cell r="M49">
            <v>7590</v>
          </cell>
        </row>
        <row r="50">
          <cell r="B50" t="str">
            <v>001-008</v>
          </cell>
          <cell r="C50" t="str">
            <v>2.02.02.04</v>
          </cell>
          <cell r="D50">
            <v>41278</v>
          </cell>
          <cell r="E50" t="str">
            <v>TELEFONICA TELECOMUNICAÇÕES DE SÃO PAULO S.A/ VIVO</v>
          </cell>
          <cell r="F50" t="str">
            <v>CONTA DE TELEFONE 4029-3700 REF 12/2012</v>
          </cell>
          <cell r="G50" t="str">
            <v>D</v>
          </cell>
          <cell r="H50">
            <v>219.05</v>
          </cell>
          <cell r="I50">
            <v>0</v>
          </cell>
          <cell r="J50" t="str">
            <v>X</v>
          </cell>
          <cell r="K50">
            <v>718575.13000000012</v>
          </cell>
          <cell r="L50">
            <v>718575.13000000012</v>
          </cell>
          <cell r="M50">
            <v>0</v>
          </cell>
        </row>
        <row r="51">
          <cell r="B51" t="str">
            <v>12-102</v>
          </cell>
          <cell r="C51" t="str">
            <v>2.01.03.09</v>
          </cell>
          <cell r="D51">
            <v>41278</v>
          </cell>
          <cell r="E51" t="str">
            <v>COMPANHIA PIRATININGA DE FORÇA E LUZ - CPFL</v>
          </cell>
          <cell r="F51" t="str">
            <v>CONTA DE ENERGIA ELEV. 02 REF 12/2012</v>
          </cell>
          <cell r="G51" t="str">
            <v>D</v>
          </cell>
          <cell r="H51">
            <v>456.32</v>
          </cell>
          <cell r="I51">
            <v>0</v>
          </cell>
          <cell r="J51" t="str">
            <v>X</v>
          </cell>
          <cell r="K51">
            <v>718118.81000000017</v>
          </cell>
          <cell r="L51">
            <v>718118.81000000017</v>
          </cell>
          <cell r="M51">
            <v>0</v>
          </cell>
        </row>
        <row r="52">
          <cell r="B52" t="str">
            <v>001-009</v>
          </cell>
          <cell r="C52" t="str">
            <v>2.02.02.04</v>
          </cell>
          <cell r="D52">
            <v>41278</v>
          </cell>
          <cell r="E52" t="str">
            <v>TELEFONICA TELECOMUNICAÇÕES DE SÃO PAULO S.A/ VIVO</v>
          </cell>
          <cell r="F52" t="str">
            <v>CONTA DE TELEFONE 4029-2688 RF 12/2012</v>
          </cell>
          <cell r="G52" t="str">
            <v>D</v>
          </cell>
          <cell r="H52">
            <v>11.16</v>
          </cell>
          <cell r="I52">
            <v>0</v>
          </cell>
          <cell r="J52" t="str">
            <v>X</v>
          </cell>
          <cell r="K52">
            <v>718107.65000000014</v>
          </cell>
          <cell r="L52">
            <v>718107.65000000014</v>
          </cell>
          <cell r="M52">
            <v>0</v>
          </cell>
        </row>
        <row r="53">
          <cell r="B53" t="str">
            <v>001-018</v>
          </cell>
          <cell r="C53" t="str">
            <v>2.02.02.04</v>
          </cell>
          <cell r="D53">
            <v>41278</v>
          </cell>
          <cell r="E53" t="str">
            <v>TELEFONICA TELECOMUNICAÇÕES DE SÃO PAULO S.A/ VIVO</v>
          </cell>
          <cell r="F53" t="str">
            <v>CONTA DE TELEFONE 4029-3932 REF 12/2012</v>
          </cell>
          <cell r="G53" t="str">
            <v>D</v>
          </cell>
          <cell r="H53">
            <v>11.16</v>
          </cell>
          <cell r="I53">
            <v>0</v>
          </cell>
          <cell r="J53" t="str">
            <v>X</v>
          </cell>
          <cell r="K53">
            <v>718096.49000000011</v>
          </cell>
          <cell r="L53">
            <v>718096.49000000011</v>
          </cell>
          <cell r="M53">
            <v>0</v>
          </cell>
        </row>
        <row r="54">
          <cell r="B54" t="str">
            <v>12-112</v>
          </cell>
          <cell r="C54" t="str">
            <v>2.01.05.02</v>
          </cell>
          <cell r="D54">
            <v>41278</v>
          </cell>
          <cell r="E54" t="str">
            <v>CARLOS ALBERTO PROGIANTI ME</v>
          </cell>
          <cell r="F54" t="str">
            <v>ASSISTÊNCIA TÉCNICA SISTEMA DE SEGURANÇA</v>
          </cell>
          <cell r="G54" t="str">
            <v>D</v>
          </cell>
          <cell r="H54">
            <v>127.33</v>
          </cell>
          <cell r="I54">
            <v>0</v>
          </cell>
          <cell r="J54" t="str">
            <v>X</v>
          </cell>
          <cell r="K54">
            <v>717969.16000000015</v>
          </cell>
          <cell r="L54">
            <v>717969.16000000015</v>
          </cell>
          <cell r="M54">
            <v>7591</v>
          </cell>
        </row>
        <row r="55">
          <cell r="B55" t="str">
            <v>RE001-004</v>
          </cell>
          <cell r="C55" t="str">
            <v>1.01.04.01</v>
          </cell>
          <cell r="D55">
            <v>41278</v>
          </cell>
          <cell r="E55" t="str">
            <v xml:space="preserve">BANCO ITAÚ </v>
          </cell>
          <cell r="F55" t="str">
            <v xml:space="preserve">RENDIMENTO DE APLICAÇÃO </v>
          </cell>
          <cell r="G55" t="str">
            <v>C</v>
          </cell>
          <cell r="H55">
            <v>0</v>
          </cell>
          <cell r="I55">
            <v>2.4900000000000002</v>
          </cell>
          <cell r="J55" t="str">
            <v>X</v>
          </cell>
          <cell r="K55">
            <v>717971.65000000014</v>
          </cell>
          <cell r="L55">
            <v>717971.65000000014</v>
          </cell>
          <cell r="M55">
            <v>0</v>
          </cell>
        </row>
        <row r="56">
          <cell r="B56" t="str">
            <v>RE001-005</v>
          </cell>
          <cell r="C56" t="str">
            <v>1.01.04.01</v>
          </cell>
          <cell r="D56">
            <v>41281</v>
          </cell>
          <cell r="E56" t="str">
            <v>SANESALTO SANEAMENTO S/A</v>
          </cell>
          <cell r="F56" t="str">
            <v xml:space="preserve">RENDIMENTO DE APLICAÇÃO </v>
          </cell>
          <cell r="G56" t="str">
            <v>C</v>
          </cell>
          <cell r="H56">
            <v>0</v>
          </cell>
          <cell r="I56">
            <v>132961.89000000001</v>
          </cell>
          <cell r="J56" t="str">
            <v>X</v>
          </cell>
          <cell r="K56">
            <v>850933.54000000015</v>
          </cell>
          <cell r="L56">
            <v>850933.54000000015</v>
          </cell>
          <cell r="M56">
            <v>0</v>
          </cell>
        </row>
        <row r="57">
          <cell r="B57" t="str">
            <v>RE001-006</v>
          </cell>
          <cell r="C57" t="str">
            <v>1.01.01.02</v>
          </cell>
          <cell r="D57">
            <v>41281</v>
          </cell>
          <cell r="E57" t="str">
            <v>SANETRAT SANEAMENTO S/A</v>
          </cell>
          <cell r="F57" t="str">
            <v>TRATAMENTO DE ESGOTO REF 10/12</v>
          </cell>
          <cell r="G57" t="str">
            <v>C</v>
          </cell>
          <cell r="H57">
            <v>0</v>
          </cell>
          <cell r="I57">
            <v>9675.73</v>
          </cell>
          <cell r="J57" t="str">
            <v>X</v>
          </cell>
          <cell r="K57">
            <v>860609.27000000014</v>
          </cell>
          <cell r="L57">
            <v>860609.27000000014</v>
          </cell>
          <cell r="M57">
            <v>0</v>
          </cell>
        </row>
        <row r="58">
          <cell r="B58" t="str">
            <v>001-028</v>
          </cell>
          <cell r="C58" t="str">
            <v>2.01.01.09</v>
          </cell>
          <cell r="D58">
            <v>41281</v>
          </cell>
          <cell r="E58" t="str">
            <v>FGTS SANESALTO</v>
          </cell>
          <cell r="F58" t="str">
            <v>FUNDO DE GARANTIA POR TEMPO DE SERVIÇO REF 12/2012</v>
          </cell>
          <cell r="G58" t="str">
            <v>D</v>
          </cell>
          <cell r="H58">
            <v>5145.1499999999996</v>
          </cell>
          <cell r="I58">
            <v>0</v>
          </cell>
          <cell r="J58" t="str">
            <v>X</v>
          </cell>
          <cell r="K58">
            <v>855464.12000000011</v>
          </cell>
          <cell r="L58">
            <v>855464.12000000011</v>
          </cell>
          <cell r="M58">
            <v>0</v>
          </cell>
        </row>
        <row r="59">
          <cell r="B59" t="str">
            <v>RE001-007</v>
          </cell>
          <cell r="C59" t="str">
            <v>1.01.04.01</v>
          </cell>
          <cell r="D59">
            <v>41281</v>
          </cell>
          <cell r="E59" t="str">
            <v xml:space="preserve">BANCO ITAÚ </v>
          </cell>
          <cell r="F59" t="str">
            <v xml:space="preserve">RENDIMENTO DE APLICAÇÃO </v>
          </cell>
          <cell r="G59" t="str">
            <v>C</v>
          </cell>
          <cell r="H59">
            <v>0</v>
          </cell>
          <cell r="I59">
            <v>4.72</v>
          </cell>
          <cell r="J59" t="str">
            <v>X</v>
          </cell>
          <cell r="K59">
            <v>855468.84000000008</v>
          </cell>
          <cell r="L59">
            <v>855468.84000000008</v>
          </cell>
          <cell r="M59">
            <v>0</v>
          </cell>
        </row>
        <row r="60">
          <cell r="B60" t="str">
            <v>001-029</v>
          </cell>
          <cell r="C60" t="str">
            <v>2.01.03.15</v>
          </cell>
          <cell r="D60">
            <v>41282</v>
          </cell>
          <cell r="E60" t="str">
            <v>CASA DO ENCANADOR</v>
          </cell>
          <cell r="F60" t="str">
            <v>COMPRA DE MATERIAIS ETE</v>
          </cell>
          <cell r="G60" t="str">
            <v>D</v>
          </cell>
          <cell r="H60">
            <v>117.75</v>
          </cell>
          <cell r="I60">
            <v>0</v>
          </cell>
          <cell r="J60" t="str">
            <v>X</v>
          </cell>
          <cell r="K60">
            <v>855351.09000000008</v>
          </cell>
          <cell r="L60">
            <v>855351.09000000008</v>
          </cell>
          <cell r="M60">
            <v>0</v>
          </cell>
        </row>
        <row r="61">
          <cell r="B61" t="str">
            <v>001-033</v>
          </cell>
          <cell r="C61" t="str">
            <v>2.01.05.06</v>
          </cell>
          <cell r="D61">
            <v>41282</v>
          </cell>
          <cell r="E61" t="str">
            <v>MISAEL APARECIDO NOBREGA ME</v>
          </cell>
          <cell r="F61" t="str">
            <v>MANUTENÇÃO E REPAROS</v>
          </cell>
          <cell r="G61" t="str">
            <v>D</v>
          </cell>
          <cell r="H61">
            <v>2668.36</v>
          </cell>
          <cell r="I61">
            <v>0</v>
          </cell>
          <cell r="J61" t="str">
            <v>X</v>
          </cell>
          <cell r="K61">
            <v>852682.7300000001</v>
          </cell>
          <cell r="L61">
            <v>852682.7300000001</v>
          </cell>
          <cell r="M61">
            <v>93</v>
          </cell>
        </row>
        <row r="62">
          <cell r="B62" t="str">
            <v>RE001-008</v>
          </cell>
          <cell r="C62" t="str">
            <v>1.01.04.01</v>
          </cell>
          <cell r="D62">
            <v>41282</v>
          </cell>
          <cell r="E62" t="str">
            <v xml:space="preserve">BANCO ITAÚ </v>
          </cell>
          <cell r="F62" t="str">
            <v xml:space="preserve">RENDIMENTO DE APLICAÇÃO </v>
          </cell>
          <cell r="G62" t="str">
            <v>C</v>
          </cell>
          <cell r="H62">
            <v>0</v>
          </cell>
          <cell r="I62">
            <v>3.39</v>
          </cell>
          <cell r="J62" t="str">
            <v>X</v>
          </cell>
          <cell r="K62">
            <v>852686.12000000011</v>
          </cell>
          <cell r="L62">
            <v>852686.12000000011</v>
          </cell>
          <cell r="M62">
            <v>0</v>
          </cell>
        </row>
        <row r="63">
          <cell r="B63" t="str">
            <v>12-073</v>
          </cell>
          <cell r="C63" t="str">
            <v>2.01.05.02</v>
          </cell>
          <cell r="D63">
            <v>41283</v>
          </cell>
          <cell r="E63" t="str">
            <v>CARLOS ALBERTO PROGIANTI ME</v>
          </cell>
          <cell r="F63" t="str">
            <v>ASSISTÊNCIA TÉCNICA SISTEMA DE SEGURANÇA</v>
          </cell>
          <cell r="G63" t="str">
            <v>D</v>
          </cell>
          <cell r="H63">
            <v>57.35</v>
          </cell>
          <cell r="I63">
            <v>0</v>
          </cell>
          <cell r="J63" t="str">
            <v>X</v>
          </cell>
          <cell r="K63">
            <v>852628.77000000014</v>
          </cell>
          <cell r="L63">
            <v>852628.77000000014</v>
          </cell>
          <cell r="M63">
            <v>7586</v>
          </cell>
        </row>
        <row r="64">
          <cell r="B64" t="str">
            <v>001-026</v>
          </cell>
          <cell r="C64" t="str">
            <v>2.02.01.04</v>
          </cell>
          <cell r="D64">
            <v>41283</v>
          </cell>
          <cell r="E64" t="str">
            <v>UNIMED DE SALTO ITU COOP TRAB MÉDICO</v>
          </cell>
          <cell r="F64" t="str">
            <v>CONVÊNIO DOS FUNIONÁRIOS 12/2012</v>
          </cell>
          <cell r="G64" t="str">
            <v>D</v>
          </cell>
          <cell r="H64">
            <v>5688.66</v>
          </cell>
          <cell r="I64">
            <v>0</v>
          </cell>
          <cell r="J64" t="str">
            <v>X</v>
          </cell>
          <cell r="K64">
            <v>846940.1100000001</v>
          </cell>
          <cell r="L64">
            <v>846940.1100000001</v>
          </cell>
          <cell r="M64" t="str">
            <v>3000120/13</v>
          </cell>
        </row>
        <row r="65">
          <cell r="B65" t="str">
            <v>001-022</v>
          </cell>
          <cell r="C65" t="str">
            <v>2.01.03.17</v>
          </cell>
          <cell r="D65">
            <v>41283</v>
          </cell>
          <cell r="E65" t="str">
            <v>SANESALTO SANEAMENTO S.A</v>
          </cell>
          <cell r="F65" t="str">
            <v>CONTA DE AGUA BURU 01 REF 12/2012</v>
          </cell>
          <cell r="G65" t="str">
            <v>D</v>
          </cell>
          <cell r="H65">
            <v>17.93</v>
          </cell>
          <cell r="I65">
            <v>0</v>
          </cell>
          <cell r="J65" t="str">
            <v>X</v>
          </cell>
          <cell r="K65">
            <v>846922.18</v>
          </cell>
          <cell r="L65">
            <v>846922.18</v>
          </cell>
          <cell r="M65">
            <v>0</v>
          </cell>
        </row>
        <row r="66">
          <cell r="B66" t="str">
            <v>001-020</v>
          </cell>
          <cell r="C66" t="str">
            <v>2.01.03.17</v>
          </cell>
          <cell r="D66">
            <v>41283</v>
          </cell>
          <cell r="E66" t="str">
            <v>SANESALTO SANEAMENTO S.A</v>
          </cell>
          <cell r="F66" t="str">
            <v>CONTA DE AGUA  ELEV. 03 RF 12/2012</v>
          </cell>
          <cell r="G66" t="str">
            <v>D</v>
          </cell>
          <cell r="H66">
            <v>24.87</v>
          </cell>
          <cell r="I66">
            <v>0</v>
          </cell>
          <cell r="J66" t="str">
            <v>X</v>
          </cell>
          <cell r="K66">
            <v>846897.31</v>
          </cell>
          <cell r="L66">
            <v>846897.31</v>
          </cell>
          <cell r="M66">
            <v>0</v>
          </cell>
        </row>
        <row r="67">
          <cell r="B67" t="str">
            <v>001-021</v>
          </cell>
          <cell r="C67" t="str">
            <v>2.01.03.17</v>
          </cell>
          <cell r="D67">
            <v>41283</v>
          </cell>
          <cell r="E67" t="str">
            <v>SANESALTO SANEAMENTO S.A</v>
          </cell>
          <cell r="F67" t="str">
            <v>CONTA DE AGUA BURU 02 REF 12/2012</v>
          </cell>
          <cell r="G67" t="str">
            <v>D</v>
          </cell>
          <cell r="H67">
            <v>17.93</v>
          </cell>
          <cell r="I67">
            <v>0</v>
          </cell>
          <cell r="J67" t="str">
            <v>X</v>
          </cell>
          <cell r="K67">
            <v>846879.38</v>
          </cell>
          <cell r="L67">
            <v>846879.38</v>
          </cell>
          <cell r="M67">
            <v>0</v>
          </cell>
        </row>
        <row r="68">
          <cell r="B68" t="str">
            <v>001-024</v>
          </cell>
          <cell r="C68" t="str">
            <v>2.01.03.17</v>
          </cell>
          <cell r="D68">
            <v>41283</v>
          </cell>
          <cell r="E68" t="str">
            <v>SANESALTO SANEAMENTO S.A</v>
          </cell>
          <cell r="F68" t="str">
            <v>CONTA DE AGUA GUARAU 02 REF 12/2012</v>
          </cell>
          <cell r="G68" t="str">
            <v>D</v>
          </cell>
          <cell r="H68">
            <v>33.69</v>
          </cell>
          <cell r="I68">
            <v>0</v>
          </cell>
          <cell r="J68" t="str">
            <v>X</v>
          </cell>
          <cell r="K68">
            <v>846845.69000000006</v>
          </cell>
          <cell r="L68">
            <v>846845.69000000006</v>
          </cell>
          <cell r="M68">
            <v>0</v>
          </cell>
        </row>
        <row r="69">
          <cell r="B69" t="str">
            <v>001-023</v>
          </cell>
          <cell r="C69" t="str">
            <v>2.01.03.17</v>
          </cell>
          <cell r="D69">
            <v>41283</v>
          </cell>
          <cell r="E69" t="str">
            <v>SANESALTO SANEAMENTO S.A</v>
          </cell>
          <cell r="F69" t="str">
            <v>CONTA DE AGUA GUARAU 01 REF 12/2012</v>
          </cell>
          <cell r="G69" t="str">
            <v>D</v>
          </cell>
          <cell r="H69">
            <v>33.69</v>
          </cell>
          <cell r="I69">
            <v>0</v>
          </cell>
          <cell r="J69" t="str">
            <v>X</v>
          </cell>
          <cell r="K69">
            <v>846812.00000000012</v>
          </cell>
          <cell r="L69">
            <v>846812.00000000012</v>
          </cell>
          <cell r="M69">
            <v>0</v>
          </cell>
        </row>
        <row r="70">
          <cell r="B70" t="str">
            <v>001-025</v>
          </cell>
          <cell r="C70" t="str">
            <v>2.01.03.17</v>
          </cell>
          <cell r="D70">
            <v>41283</v>
          </cell>
          <cell r="E70" t="str">
            <v>SANESALTO SANEAMENTO S.A</v>
          </cell>
          <cell r="F70" t="str">
            <v>CONTA DE AGUA ELEV. FINAL REF 12/2012</v>
          </cell>
          <cell r="G70" t="str">
            <v>D</v>
          </cell>
          <cell r="H70">
            <v>22.36</v>
          </cell>
          <cell r="I70">
            <v>0</v>
          </cell>
          <cell r="J70" t="str">
            <v>X</v>
          </cell>
          <cell r="K70">
            <v>846789.64000000013</v>
          </cell>
          <cell r="L70">
            <v>846789.64000000013</v>
          </cell>
          <cell r="M70">
            <v>0</v>
          </cell>
        </row>
        <row r="71">
          <cell r="B71" t="str">
            <v>001-019/1</v>
          </cell>
          <cell r="C71" t="str">
            <v>2.02.03.08</v>
          </cell>
          <cell r="D71">
            <v>41283</v>
          </cell>
          <cell r="E71" t="str">
            <v>ARCOSERV AR CONDICIONADO Ltda.</v>
          </cell>
          <cell r="F71" t="str">
            <v>SERVIÇOS DE MANUTENÇÃO DE AR CONDICIONADO</v>
          </cell>
          <cell r="G71" t="str">
            <v>D</v>
          </cell>
          <cell r="H71">
            <v>248</v>
          </cell>
          <cell r="I71">
            <v>0</v>
          </cell>
          <cell r="J71" t="str">
            <v>X</v>
          </cell>
          <cell r="K71">
            <v>846541.64000000013</v>
          </cell>
          <cell r="L71">
            <v>846541.64000000013</v>
          </cell>
          <cell r="M71">
            <v>2362</v>
          </cell>
        </row>
        <row r="72">
          <cell r="B72" t="str">
            <v>12-117</v>
          </cell>
          <cell r="C72" t="str">
            <v>2.06.03.01</v>
          </cell>
          <cell r="D72">
            <v>41283</v>
          </cell>
          <cell r="E72" t="str">
            <v>CVM - COMISSÃO DE VALORES MOBILIÁRIOS</v>
          </cell>
          <cell r="F72" t="str">
            <v>TAXA DE FISCALIZAÇÃO DA CVM</v>
          </cell>
          <cell r="G72" t="str">
            <v>D</v>
          </cell>
          <cell r="H72">
            <v>1243.05</v>
          </cell>
          <cell r="I72">
            <v>0</v>
          </cell>
          <cell r="J72" t="str">
            <v>X</v>
          </cell>
          <cell r="K72">
            <v>845298.59000000008</v>
          </cell>
          <cell r="L72">
            <v>845298.59000000008</v>
          </cell>
          <cell r="M72">
            <v>1192903</v>
          </cell>
        </row>
        <row r="73">
          <cell r="B73" t="str">
            <v>12-072</v>
          </cell>
          <cell r="C73" t="str">
            <v>2.01.05.02</v>
          </cell>
          <cell r="D73">
            <v>41283</v>
          </cell>
          <cell r="E73" t="str">
            <v>CARLOS ALBERTO PROGIANTI ME</v>
          </cell>
          <cell r="F73" t="str">
            <v>ASSISTÊNCIA TÉCNICA SISTEMA DE SEGURANÇA</v>
          </cell>
          <cell r="G73" t="str">
            <v>D</v>
          </cell>
          <cell r="H73">
            <v>57.35</v>
          </cell>
          <cell r="I73">
            <v>0</v>
          </cell>
          <cell r="J73" t="str">
            <v>X</v>
          </cell>
          <cell r="K73">
            <v>845241.24000000011</v>
          </cell>
          <cell r="L73">
            <v>845241.24000000011</v>
          </cell>
          <cell r="M73">
            <v>7587</v>
          </cell>
        </row>
        <row r="74">
          <cell r="B74" t="str">
            <v>12-094</v>
          </cell>
          <cell r="C74" t="str">
            <v>2.01.05.08</v>
          </cell>
          <cell r="D74">
            <v>41283</v>
          </cell>
          <cell r="E74" t="str">
            <v>GRACIANO FERREIRA S/C Ltda. ME</v>
          </cell>
          <cell r="F74" t="str">
            <v xml:space="preserve">PRESTAÇÃO DE SERVIÇO DE GUINDASTE </v>
          </cell>
          <cell r="G74" t="str">
            <v>D</v>
          </cell>
          <cell r="H74">
            <v>1000</v>
          </cell>
          <cell r="I74">
            <v>0</v>
          </cell>
          <cell r="J74" t="str">
            <v>X</v>
          </cell>
          <cell r="K74">
            <v>844241.24000000011</v>
          </cell>
          <cell r="L74">
            <v>844241.24000000011</v>
          </cell>
          <cell r="M74">
            <v>210</v>
          </cell>
        </row>
        <row r="75">
          <cell r="B75" t="str">
            <v>12-077</v>
          </cell>
          <cell r="C75" t="str">
            <v>2.02.02.01</v>
          </cell>
          <cell r="D75">
            <v>41283</v>
          </cell>
          <cell r="E75" t="str">
            <v>CODEQ SUPRIMENTOS PARA ESCRITÓRIOS Ltda.</v>
          </cell>
          <cell r="F75" t="str">
            <v>COMPRA DE MATERIAIS DIVERSOS PARA ESCRITÓRIO</v>
          </cell>
          <cell r="G75" t="str">
            <v>D</v>
          </cell>
          <cell r="H75">
            <v>367.7</v>
          </cell>
          <cell r="I75">
            <v>0</v>
          </cell>
          <cell r="J75" t="str">
            <v>X</v>
          </cell>
          <cell r="K75">
            <v>843873.54000000015</v>
          </cell>
          <cell r="L75">
            <v>843873.54000000015</v>
          </cell>
          <cell r="M75">
            <v>56739</v>
          </cell>
        </row>
        <row r="76">
          <cell r="B76" t="str">
            <v>12-113</v>
          </cell>
          <cell r="C76" t="str">
            <v>2.01.05.02</v>
          </cell>
          <cell r="D76">
            <v>41283</v>
          </cell>
          <cell r="E76" t="str">
            <v>CARLOS ALBERTO PROGIANTI ME</v>
          </cell>
          <cell r="F76" t="str">
            <v>ASSISTÊNCIA TÉCNICA SISTEMA DE SEGURANÇA</v>
          </cell>
          <cell r="G76" t="str">
            <v>D</v>
          </cell>
          <cell r="H76">
            <v>80.38</v>
          </cell>
          <cell r="I76">
            <v>0</v>
          </cell>
          <cell r="J76" t="str">
            <v>X</v>
          </cell>
          <cell r="K76">
            <v>843793.16000000015</v>
          </cell>
          <cell r="L76">
            <v>843793.16000000015</v>
          </cell>
          <cell r="M76">
            <v>7614</v>
          </cell>
        </row>
        <row r="77">
          <cell r="B77" t="str">
            <v>12-055</v>
          </cell>
          <cell r="C77" t="str">
            <v>2.02.02.10</v>
          </cell>
          <cell r="D77">
            <v>41283</v>
          </cell>
          <cell r="E77" t="str">
            <v>SANESALTO SANEAMENTO S.A</v>
          </cell>
          <cell r="F77" t="str">
            <v>CONTA DE ÁGUA ESCRITORIO REF 12/2012</v>
          </cell>
          <cell r="G77" t="str">
            <v>D</v>
          </cell>
          <cell r="H77">
            <v>48.62</v>
          </cell>
          <cell r="I77">
            <v>0</v>
          </cell>
          <cell r="J77" t="str">
            <v>X</v>
          </cell>
          <cell r="K77">
            <v>843744.54000000015</v>
          </cell>
          <cell r="L77">
            <v>843744.54000000015</v>
          </cell>
          <cell r="M77">
            <v>0</v>
          </cell>
        </row>
        <row r="78">
          <cell r="B78" t="str">
            <v>12-100</v>
          </cell>
          <cell r="C78" t="str">
            <v>2.01.03.16</v>
          </cell>
          <cell r="D78">
            <v>41283</v>
          </cell>
          <cell r="E78" t="str">
            <v>Tintas Taperá Comercial Ltda. EPP</v>
          </cell>
          <cell r="F78" t="str">
            <v>Compra de material para ETE</v>
          </cell>
          <cell r="G78" t="str">
            <v>D</v>
          </cell>
          <cell r="H78">
            <v>47.88</v>
          </cell>
          <cell r="I78">
            <v>0</v>
          </cell>
          <cell r="J78" t="str">
            <v>X</v>
          </cell>
          <cell r="K78">
            <v>843696.66000000015</v>
          </cell>
          <cell r="L78">
            <v>843696.66000000015</v>
          </cell>
          <cell r="M78">
            <v>5483</v>
          </cell>
        </row>
        <row r="79">
          <cell r="B79" t="str">
            <v>12-080</v>
          </cell>
          <cell r="C79" t="str">
            <v>2.01.05.05</v>
          </cell>
          <cell r="D79">
            <v>41283</v>
          </cell>
          <cell r="E79" t="str">
            <v>ACQUALAB LABORATÓRIO E CONSULTORIA AMBIENTAL S/S LTDA</v>
          </cell>
          <cell r="F79" t="str">
            <v>Serviços de Analise e Serv Tecnico de Amostragem e Transporte de Amostras</v>
          </cell>
          <cell r="G79" t="str">
            <v>D</v>
          </cell>
          <cell r="H79">
            <v>1176.0899999999999</v>
          </cell>
          <cell r="I79">
            <v>0</v>
          </cell>
          <cell r="J79" t="str">
            <v>X</v>
          </cell>
          <cell r="K79">
            <v>842520.57000000018</v>
          </cell>
          <cell r="L79">
            <v>842520.57000000018</v>
          </cell>
          <cell r="M79">
            <v>1601</v>
          </cell>
        </row>
        <row r="80">
          <cell r="B80" t="str">
            <v>001-040</v>
          </cell>
          <cell r="C80" t="str">
            <v>2.02.03.17</v>
          </cell>
          <cell r="D80">
            <v>41283</v>
          </cell>
          <cell r="E80" t="str">
            <v>M.MIRANDA SANTOS TRANSPORTES</v>
          </cell>
          <cell r="F80" t="str">
            <v>SERVIÇOS DE MOTOBOY EM SÃO PAULO</v>
          </cell>
          <cell r="G80" t="str">
            <v>D</v>
          </cell>
          <cell r="H80">
            <v>39.6</v>
          </cell>
          <cell r="I80">
            <v>0</v>
          </cell>
          <cell r="J80" t="str">
            <v>X</v>
          </cell>
          <cell r="K80">
            <v>842480.9700000002</v>
          </cell>
          <cell r="L80">
            <v>842480.9700000002</v>
          </cell>
          <cell r="M80">
            <v>0</v>
          </cell>
        </row>
        <row r="81">
          <cell r="B81" t="str">
            <v>001-038</v>
          </cell>
          <cell r="C81" t="str">
            <v>2.01.05.04</v>
          </cell>
          <cell r="D81">
            <v>41283</v>
          </cell>
          <cell r="E81" t="str">
            <v>AGROAMBIENTE CONSL AGRON. E AMBIENTAL</v>
          </cell>
          <cell r="F81" t="str">
            <v>MANUTENÇÃO DO PLANTIO EM ÁREA DE PRESERVAÇÃO</v>
          </cell>
          <cell r="G81" t="str">
            <v>D</v>
          </cell>
          <cell r="H81">
            <v>400</v>
          </cell>
          <cell r="I81">
            <v>0</v>
          </cell>
          <cell r="J81" t="str">
            <v>X</v>
          </cell>
          <cell r="K81">
            <v>842080.9700000002</v>
          </cell>
          <cell r="L81">
            <v>842080.9700000002</v>
          </cell>
          <cell r="M81">
            <v>83</v>
          </cell>
        </row>
        <row r="82">
          <cell r="B82" t="str">
            <v>12-057/2</v>
          </cell>
          <cell r="C82" t="str">
            <v>2.02.03.22</v>
          </cell>
          <cell r="D82">
            <v>41283</v>
          </cell>
          <cell r="E82" t="str">
            <v xml:space="preserve">ITAÚ SEGUROS </v>
          </cell>
          <cell r="F82" t="str">
            <v xml:space="preserve">SEGURO LOGAN </v>
          </cell>
          <cell r="G82" t="str">
            <v>D</v>
          </cell>
          <cell r="H82">
            <v>348.09</v>
          </cell>
          <cell r="I82">
            <v>0</v>
          </cell>
          <cell r="J82" t="str">
            <v>X</v>
          </cell>
          <cell r="K82">
            <v>841732.88000000024</v>
          </cell>
          <cell r="L82">
            <v>841732.88000000024</v>
          </cell>
          <cell r="M82">
            <v>0</v>
          </cell>
        </row>
        <row r="83">
          <cell r="B83" t="str">
            <v>12-092</v>
          </cell>
          <cell r="C83" t="str">
            <v>2.01.03.16</v>
          </cell>
          <cell r="D83">
            <v>41283</v>
          </cell>
          <cell r="E83" t="str">
            <v xml:space="preserve">SALTO LUZ MATERIAIS ELÉTRICOS </v>
          </cell>
          <cell r="F83" t="str">
            <v>COMPRA DE MATERIAIS ELÉTRICOS PARA ETE</v>
          </cell>
          <cell r="G83" t="str">
            <v>D</v>
          </cell>
          <cell r="H83">
            <v>43.76</v>
          </cell>
          <cell r="I83">
            <v>0</v>
          </cell>
          <cell r="J83" t="str">
            <v>X</v>
          </cell>
          <cell r="K83">
            <v>841689.12000000023</v>
          </cell>
          <cell r="L83">
            <v>841689.12000000023</v>
          </cell>
          <cell r="M83">
            <v>11825</v>
          </cell>
        </row>
        <row r="84">
          <cell r="B84" t="str">
            <v>001-039</v>
          </cell>
          <cell r="C84" t="str">
            <v>2.02.02.04</v>
          </cell>
          <cell r="D84">
            <v>41283</v>
          </cell>
          <cell r="E84" t="str">
            <v>VIVO S/A</v>
          </cell>
          <cell r="F84" t="str">
            <v>VIVO INTERNET BRASIL 500 MB EMP</v>
          </cell>
          <cell r="G84" t="str">
            <v>D</v>
          </cell>
          <cell r="H84">
            <v>604.85</v>
          </cell>
          <cell r="I84">
            <v>0</v>
          </cell>
          <cell r="J84" t="str">
            <v>X</v>
          </cell>
          <cell r="K84">
            <v>841084.27000000025</v>
          </cell>
          <cell r="L84">
            <v>841084.27000000025</v>
          </cell>
          <cell r="M84">
            <v>2063779473</v>
          </cell>
        </row>
        <row r="85">
          <cell r="B85" t="str">
            <v>11-117/3</v>
          </cell>
          <cell r="C85" t="str">
            <v>2.07.01.04</v>
          </cell>
          <cell r="D85">
            <v>41283</v>
          </cell>
          <cell r="E85" t="str">
            <v>ERICO SEBESTIEN MOLNAR MARQUES ME</v>
          </cell>
          <cell r="F85" t="str">
            <v>SERVIÇO DE NORMALIZAÇÃO ELÉTRICA PARA IMPLEMENTAÇÃO DE MONITORAMENTO</v>
          </cell>
          <cell r="G85" t="str">
            <v>D</v>
          </cell>
          <cell r="H85">
            <v>3386.51</v>
          </cell>
          <cell r="I85">
            <v>0</v>
          </cell>
          <cell r="J85" t="str">
            <v>X</v>
          </cell>
          <cell r="K85">
            <v>837697.76000000024</v>
          </cell>
          <cell r="L85">
            <v>837697.76000000024</v>
          </cell>
          <cell r="M85">
            <v>39</v>
          </cell>
        </row>
        <row r="86">
          <cell r="B86" t="str">
            <v>RE001-009</v>
          </cell>
          <cell r="C86" t="str">
            <v>1.01.04.01</v>
          </cell>
          <cell r="D86">
            <v>41283</v>
          </cell>
          <cell r="E86" t="str">
            <v xml:space="preserve">BANCO ITAÚ </v>
          </cell>
          <cell r="F86" t="str">
            <v xml:space="preserve">RENDIMENTO DE APLICAÇÃO </v>
          </cell>
          <cell r="G86" t="str">
            <v>C</v>
          </cell>
          <cell r="H86">
            <v>0</v>
          </cell>
          <cell r="I86">
            <v>3.25</v>
          </cell>
          <cell r="J86" t="str">
            <v>X</v>
          </cell>
          <cell r="K86">
            <v>837701.01000000024</v>
          </cell>
          <cell r="L86">
            <v>837701.01000000024</v>
          </cell>
          <cell r="M86">
            <v>0</v>
          </cell>
        </row>
        <row r="87">
          <cell r="B87" t="str">
            <v>001-046</v>
          </cell>
          <cell r="C87" t="str">
            <v>2.09.01.01</v>
          </cell>
          <cell r="D87">
            <v>41284</v>
          </cell>
          <cell r="E87" t="str">
            <v>SANESALTO SANEAMENTO S.A</v>
          </cell>
          <cell r="F87" t="str">
            <v>PAGAMENTO DE CHEQUE ( CAIXA INTERNO)102812</v>
          </cell>
          <cell r="G87" t="str">
            <v>D</v>
          </cell>
          <cell r="H87">
            <v>3500</v>
          </cell>
          <cell r="I87">
            <v>0</v>
          </cell>
          <cell r="J87" t="str">
            <v>X</v>
          </cell>
          <cell r="K87">
            <v>834201.01000000024</v>
          </cell>
          <cell r="L87">
            <v>834201.01000000024</v>
          </cell>
          <cell r="M87">
            <v>0</v>
          </cell>
        </row>
        <row r="88">
          <cell r="B88" t="str">
            <v>RE001-010</v>
          </cell>
          <cell r="C88" t="str">
            <v>1.01.04.01</v>
          </cell>
          <cell r="D88">
            <v>41284</v>
          </cell>
          <cell r="E88" t="str">
            <v xml:space="preserve">BANCO ITAÚ </v>
          </cell>
          <cell r="F88" t="str">
            <v xml:space="preserve">RENDIMENTO DE APLICAÇÃO </v>
          </cell>
          <cell r="G88" t="str">
            <v>C</v>
          </cell>
          <cell r="H88">
            <v>0</v>
          </cell>
          <cell r="I88">
            <v>3.11</v>
          </cell>
          <cell r="J88" t="str">
            <v>X</v>
          </cell>
          <cell r="K88">
            <v>834204.12000000023</v>
          </cell>
          <cell r="L88">
            <v>834204.12000000023</v>
          </cell>
          <cell r="M88">
            <v>0</v>
          </cell>
        </row>
        <row r="89">
          <cell r="B89" t="str">
            <v>RE001-011</v>
          </cell>
          <cell r="C89" t="str">
            <v>1.01.04.01</v>
          </cell>
          <cell r="D89">
            <v>41285</v>
          </cell>
          <cell r="E89" t="str">
            <v xml:space="preserve">BANCO ITAÚ </v>
          </cell>
          <cell r="F89" t="str">
            <v xml:space="preserve">RENDIMENTO DE APLICAÇÃO </v>
          </cell>
          <cell r="G89" t="str">
            <v>C</v>
          </cell>
          <cell r="H89">
            <v>0</v>
          </cell>
          <cell r="I89">
            <v>3.8</v>
          </cell>
          <cell r="J89" t="str">
            <v>X</v>
          </cell>
          <cell r="K89">
            <v>834207.92000000027</v>
          </cell>
          <cell r="L89">
            <v>834207.92000000027</v>
          </cell>
          <cell r="M89">
            <v>0</v>
          </cell>
        </row>
        <row r="90">
          <cell r="B90" t="str">
            <v>RE001-012</v>
          </cell>
          <cell r="C90" t="str">
            <v>1.01.01.01</v>
          </cell>
          <cell r="D90">
            <v>41288</v>
          </cell>
          <cell r="E90" t="str">
            <v>SANESALTO SANEAMENTO S/A</v>
          </cell>
          <cell r="F90" t="str">
            <v>MEDIÇÃO DE 05/01 À 11/01</v>
          </cell>
          <cell r="G90" t="str">
            <v>C</v>
          </cell>
          <cell r="H90">
            <v>0</v>
          </cell>
          <cell r="I90">
            <v>500000</v>
          </cell>
          <cell r="J90" t="str">
            <v>X</v>
          </cell>
          <cell r="K90">
            <v>1334207.9200000004</v>
          </cell>
          <cell r="L90">
            <v>1334207.9200000004</v>
          </cell>
          <cell r="M90">
            <v>0</v>
          </cell>
        </row>
        <row r="91">
          <cell r="B91" t="str">
            <v>001-042</v>
          </cell>
          <cell r="C91" t="str">
            <v>2.02.03.20</v>
          </cell>
          <cell r="D91">
            <v>41288</v>
          </cell>
          <cell r="E91" t="str">
            <v>APAE</v>
          </cell>
          <cell r="F91" t="str">
            <v>DOAÇÃO MENSAL</v>
          </cell>
          <cell r="G91" t="str">
            <v>D</v>
          </cell>
          <cell r="H91">
            <v>2500</v>
          </cell>
          <cell r="I91">
            <v>0</v>
          </cell>
          <cell r="J91" t="str">
            <v>X</v>
          </cell>
          <cell r="K91">
            <v>1331707.9200000004</v>
          </cell>
          <cell r="L91">
            <v>1331707.9200000004</v>
          </cell>
          <cell r="M91">
            <v>0</v>
          </cell>
        </row>
        <row r="92">
          <cell r="B92" t="str">
            <v>AL001-001</v>
          </cell>
          <cell r="C92" t="str">
            <v>2.02.03.14</v>
          </cell>
          <cell r="D92">
            <v>41288</v>
          </cell>
          <cell r="E92" t="str">
            <v>COSTA ROCHA IMOBILIÁRIA</v>
          </cell>
          <cell r="F92" t="str">
            <v>ALUGUEL PRÉDIO SANESALTO</v>
          </cell>
          <cell r="G92" t="str">
            <v>D</v>
          </cell>
          <cell r="H92">
            <v>3360.3</v>
          </cell>
          <cell r="I92">
            <v>0</v>
          </cell>
          <cell r="J92" t="str">
            <v>X</v>
          </cell>
          <cell r="K92">
            <v>1328347.6200000003</v>
          </cell>
          <cell r="L92">
            <v>1328347.6200000003</v>
          </cell>
          <cell r="M92">
            <v>0</v>
          </cell>
        </row>
        <row r="93">
          <cell r="B93" t="str">
            <v>001-043</v>
          </cell>
          <cell r="C93" t="str">
            <v>2.09.01.01</v>
          </cell>
          <cell r="D93">
            <v>41288</v>
          </cell>
          <cell r="E93" t="str">
            <v>BANCO BRADESCO</v>
          </cell>
          <cell r="F93" t="str">
            <v>TRANSFERÊNCIA DE VALOR SANESALTO</v>
          </cell>
          <cell r="G93" t="str">
            <v>D</v>
          </cell>
          <cell r="H93">
            <v>2500</v>
          </cell>
          <cell r="I93">
            <v>0</v>
          </cell>
          <cell r="J93" t="str">
            <v>X</v>
          </cell>
          <cell r="K93">
            <v>1325847.6200000003</v>
          </cell>
          <cell r="L93">
            <v>1325847.6200000003</v>
          </cell>
          <cell r="M93">
            <v>0</v>
          </cell>
        </row>
        <row r="94">
          <cell r="B94" t="str">
            <v>11-043/04</v>
          </cell>
          <cell r="C94" t="str">
            <v>2.07.01.04</v>
          </cell>
          <cell r="D94">
            <v>41288</v>
          </cell>
          <cell r="E94" t="str">
            <v>KSB BOMBAS HIDRAULICAS  S/A</v>
          </cell>
          <cell r="F94" t="str">
            <v>REF BOMBA MODELO KRT K150-401/804 UNG</v>
          </cell>
          <cell r="G94" t="str">
            <v>D</v>
          </cell>
          <cell r="H94">
            <v>9780</v>
          </cell>
          <cell r="I94">
            <v>0</v>
          </cell>
          <cell r="J94" t="str">
            <v>X</v>
          </cell>
          <cell r="K94">
            <v>1316067.6200000003</v>
          </cell>
          <cell r="L94">
            <v>1316067.6200000003</v>
          </cell>
          <cell r="M94">
            <v>2410</v>
          </cell>
        </row>
        <row r="95">
          <cell r="B95" t="str">
            <v>12-039/3</v>
          </cell>
          <cell r="C95" t="str">
            <v>2.01.05.11</v>
          </cell>
          <cell r="D95">
            <v>41288</v>
          </cell>
          <cell r="E95" t="str">
            <v>VT COMÉRCIO DE MOTORES ELÉTRICOS E ACIONAMENTOS Ltda.</v>
          </cell>
          <cell r="F95" t="str">
            <v>REVISÃO E CONSERTO DE BOMBA</v>
          </cell>
          <cell r="G95" t="str">
            <v>D</v>
          </cell>
          <cell r="H95">
            <v>3000</v>
          </cell>
          <cell r="I95">
            <v>0</v>
          </cell>
          <cell r="J95" t="str">
            <v>X</v>
          </cell>
          <cell r="K95">
            <v>1313067.6200000003</v>
          </cell>
          <cell r="L95">
            <v>1313067.6200000003</v>
          </cell>
          <cell r="M95">
            <v>130</v>
          </cell>
        </row>
        <row r="96">
          <cell r="B96" t="str">
            <v>12-115</v>
          </cell>
          <cell r="C96" t="str">
            <v>2.01.03.12</v>
          </cell>
          <cell r="D96">
            <v>41288</v>
          </cell>
          <cell r="E96" t="str">
            <v>COMERCIAL DE PARAFUSOS SALTENSE LTDA EPP</v>
          </cell>
          <cell r="F96" t="str">
            <v>COMPRA DE MATERIAIS DIVERSOS PARA ETE</v>
          </cell>
          <cell r="G96" t="str">
            <v>D</v>
          </cell>
          <cell r="H96">
            <v>146.79</v>
          </cell>
          <cell r="I96">
            <v>0</v>
          </cell>
          <cell r="J96" t="str">
            <v>X</v>
          </cell>
          <cell r="K96">
            <v>1312920.8300000003</v>
          </cell>
          <cell r="L96">
            <v>1312920.8300000003</v>
          </cell>
          <cell r="M96">
            <v>32338</v>
          </cell>
        </row>
        <row r="97">
          <cell r="B97" t="str">
            <v>12-088/1</v>
          </cell>
          <cell r="C97" t="str">
            <v>2.07.01.04</v>
          </cell>
          <cell r="D97">
            <v>41288</v>
          </cell>
          <cell r="E97" t="str">
            <v>SOLUTION UNITED TECNOLOGIA Ltda.</v>
          </cell>
          <cell r="F97" t="str">
            <v>COMPRA DE COLETOR DE DADOS E IMPRESSORA</v>
          </cell>
          <cell r="G97" t="str">
            <v>D</v>
          </cell>
          <cell r="H97">
            <v>2901.36</v>
          </cell>
          <cell r="I97">
            <v>0</v>
          </cell>
          <cell r="J97" t="str">
            <v>X</v>
          </cell>
          <cell r="K97">
            <v>1310019.4700000002</v>
          </cell>
          <cell r="L97">
            <v>1310019.4700000002</v>
          </cell>
          <cell r="M97">
            <v>1402</v>
          </cell>
        </row>
        <row r="98">
          <cell r="B98" t="str">
            <v>12-118</v>
          </cell>
          <cell r="C98" t="str">
            <v>2.01.05.08</v>
          </cell>
          <cell r="D98">
            <v>41288</v>
          </cell>
          <cell r="E98" t="str">
            <v>GRACIANO FERREIRA S/C Ltda. ME</v>
          </cell>
          <cell r="F98" t="str">
            <v xml:space="preserve">PRESTAÇÃO DE SERVIÇO DE GUINDASTE </v>
          </cell>
          <cell r="G98" t="str">
            <v>D</v>
          </cell>
          <cell r="H98">
            <v>1500</v>
          </cell>
          <cell r="I98">
            <v>0</v>
          </cell>
          <cell r="J98" t="str">
            <v>X</v>
          </cell>
          <cell r="K98">
            <v>1308519.4700000002</v>
          </cell>
          <cell r="L98">
            <v>1308519.4700000002</v>
          </cell>
          <cell r="M98">
            <v>212</v>
          </cell>
        </row>
        <row r="99">
          <cell r="B99" t="str">
            <v>001-005</v>
          </cell>
          <cell r="C99" t="str">
            <v>2.01.05.14</v>
          </cell>
          <cell r="D99">
            <v>41288</v>
          </cell>
          <cell r="E99" t="str">
            <v>WILSON BENEDITO RIZZI</v>
          </cell>
          <cell r="F99" t="str">
            <v>CAMINHÃO DE AGUA PARA ETE</v>
          </cell>
          <cell r="G99" t="str">
            <v>D</v>
          </cell>
          <cell r="H99">
            <v>660</v>
          </cell>
          <cell r="I99">
            <v>0</v>
          </cell>
          <cell r="J99" t="str">
            <v>X</v>
          </cell>
          <cell r="K99">
            <v>1307859.4700000002</v>
          </cell>
          <cell r="L99">
            <v>1307859.4700000002</v>
          </cell>
          <cell r="M99">
            <v>3769</v>
          </cell>
        </row>
        <row r="100">
          <cell r="B100" t="str">
            <v>001-007</v>
          </cell>
          <cell r="C100" t="str">
            <v>2.02.03.19</v>
          </cell>
          <cell r="D100">
            <v>41288</v>
          </cell>
          <cell r="E100" t="str">
            <v>EDITORA TAPERÁ LTDA</v>
          </cell>
          <cell r="F100" t="str">
            <v>ANUNCIO DE PUBLICIDADE FELIZ NATAL</v>
          </cell>
          <cell r="G100" t="str">
            <v>D</v>
          </cell>
          <cell r="H100">
            <v>750</v>
          </cell>
          <cell r="I100">
            <v>0</v>
          </cell>
          <cell r="J100" t="str">
            <v>X</v>
          </cell>
          <cell r="K100">
            <v>1307109.4700000002</v>
          </cell>
          <cell r="L100">
            <v>1307109.4700000002</v>
          </cell>
          <cell r="M100">
            <v>6142</v>
          </cell>
        </row>
        <row r="101">
          <cell r="B101" t="str">
            <v>001-055</v>
          </cell>
          <cell r="C101" t="str">
            <v>2.02.03.24</v>
          </cell>
          <cell r="D101">
            <v>41288</v>
          </cell>
          <cell r="E101" t="str">
            <v>BRTUV</v>
          </cell>
          <cell r="F101" t="str">
            <v xml:space="preserve">DESPESAS DE AUDITORIA </v>
          </cell>
          <cell r="G101" t="str">
            <v>D</v>
          </cell>
          <cell r="H101">
            <v>40.4</v>
          </cell>
          <cell r="I101">
            <v>0</v>
          </cell>
          <cell r="J101" t="str">
            <v>X</v>
          </cell>
          <cell r="K101">
            <v>1307069.0700000003</v>
          </cell>
          <cell r="L101">
            <v>1307069.0700000003</v>
          </cell>
          <cell r="M101">
            <v>20122552</v>
          </cell>
        </row>
        <row r="102">
          <cell r="B102" t="str">
            <v>001-056</v>
          </cell>
          <cell r="C102" t="str">
            <v>2.02.03.24</v>
          </cell>
          <cell r="D102">
            <v>41288</v>
          </cell>
          <cell r="E102" t="str">
            <v>BRTUV</v>
          </cell>
          <cell r="F102" t="str">
            <v>MONITORAÇÃO ON-SITE 12º MÊS</v>
          </cell>
          <cell r="G102" t="str">
            <v>D</v>
          </cell>
          <cell r="H102">
            <v>4746.3999999999996</v>
          </cell>
          <cell r="I102">
            <v>0</v>
          </cell>
          <cell r="J102" t="str">
            <v>X</v>
          </cell>
          <cell r="K102">
            <v>1302322.6700000004</v>
          </cell>
          <cell r="L102">
            <v>1302322.6700000004</v>
          </cell>
          <cell r="M102">
            <v>13050</v>
          </cell>
        </row>
        <row r="103">
          <cell r="B103" t="str">
            <v>04-096/25</v>
          </cell>
          <cell r="C103" t="str">
            <v>2.07.03.02</v>
          </cell>
          <cell r="D103">
            <v>41288</v>
          </cell>
          <cell r="E103" t="str">
            <v>CONASA COMPANHIA NACIONAL DE SANEAMENTO</v>
          </cell>
          <cell r="F103" t="str">
            <v>Adiantamento à fornecedores (parcela referente ao pagamento de geradores do Sistema Burú)</v>
          </cell>
          <cell r="G103" t="str">
            <v>D</v>
          </cell>
          <cell r="H103">
            <v>3195.67</v>
          </cell>
          <cell r="I103">
            <v>0</v>
          </cell>
          <cell r="J103" t="str">
            <v>X</v>
          </cell>
          <cell r="K103">
            <v>1299127.0000000005</v>
          </cell>
          <cell r="L103">
            <v>1299127.0000000005</v>
          </cell>
          <cell r="M103">
            <v>0</v>
          </cell>
        </row>
        <row r="104">
          <cell r="B104" t="str">
            <v>12-107</v>
          </cell>
          <cell r="C104" t="str">
            <v>2.01.05.10</v>
          </cell>
          <cell r="D104">
            <v>41288</v>
          </cell>
          <cell r="E104" t="str">
            <v>SECRETARIA DA RECEITA FEDERAL DO BRASIL</v>
          </cell>
          <cell r="F104" t="str">
            <v>DARF RF NF 9064 CORPUS</v>
          </cell>
          <cell r="G104" t="str">
            <v>D</v>
          </cell>
          <cell r="H104">
            <v>828.22</v>
          </cell>
          <cell r="I104">
            <v>0</v>
          </cell>
          <cell r="J104" t="str">
            <v>X</v>
          </cell>
          <cell r="K104">
            <v>1298298.7800000005</v>
          </cell>
          <cell r="L104">
            <v>1298298.7800000005</v>
          </cell>
          <cell r="M104">
            <v>0</v>
          </cell>
        </row>
        <row r="105">
          <cell r="B105" t="str">
            <v>RE001-013</v>
          </cell>
          <cell r="C105" t="str">
            <v>1.01.04.01</v>
          </cell>
          <cell r="D105">
            <v>41288</v>
          </cell>
          <cell r="E105" t="str">
            <v xml:space="preserve">BANCO ITAÚ </v>
          </cell>
          <cell r="F105" t="str">
            <v xml:space="preserve">RENDIMENTO DE APLICAÇÃO </v>
          </cell>
          <cell r="G105" t="str">
            <v>C</v>
          </cell>
          <cell r="H105">
            <v>0</v>
          </cell>
          <cell r="I105">
            <v>7.27</v>
          </cell>
          <cell r="J105" t="str">
            <v>X</v>
          </cell>
          <cell r="K105">
            <v>1298306.0500000005</v>
          </cell>
          <cell r="L105">
            <v>1298306.0500000005</v>
          </cell>
          <cell r="M105">
            <v>0</v>
          </cell>
        </row>
        <row r="106">
          <cell r="B106" t="str">
            <v>RE001-014</v>
          </cell>
          <cell r="C106" t="str">
            <v>1.01.01.01</v>
          </cell>
          <cell r="D106">
            <v>41289</v>
          </cell>
          <cell r="E106" t="str">
            <v>SANESALTO SANEAMENTO S/A</v>
          </cell>
          <cell r="F106" t="str">
            <v>MEDIÇÃO DE 05/01 À 11/01</v>
          </cell>
          <cell r="G106" t="str">
            <v>C</v>
          </cell>
          <cell r="H106">
            <v>0</v>
          </cell>
          <cell r="I106">
            <v>78248.06</v>
          </cell>
          <cell r="J106" t="str">
            <v>X</v>
          </cell>
          <cell r="K106">
            <v>1376554.1100000006</v>
          </cell>
          <cell r="L106">
            <v>1376554.1100000006</v>
          </cell>
          <cell r="M106">
            <v>0</v>
          </cell>
        </row>
        <row r="107">
          <cell r="B107" t="str">
            <v>RE001-015</v>
          </cell>
          <cell r="C107" t="str">
            <v>1.01.04.01</v>
          </cell>
          <cell r="D107">
            <v>41289</v>
          </cell>
          <cell r="E107" t="str">
            <v xml:space="preserve">BANCO ITAÚ </v>
          </cell>
          <cell r="F107" t="str">
            <v xml:space="preserve">RENDIMENTO DE APLICAÇÃO </v>
          </cell>
          <cell r="G107" t="str">
            <v>C</v>
          </cell>
          <cell r="H107">
            <v>0</v>
          </cell>
          <cell r="I107">
            <v>4.25</v>
          </cell>
          <cell r="J107" t="str">
            <v>X</v>
          </cell>
          <cell r="K107">
            <v>1376558.3600000006</v>
          </cell>
          <cell r="L107">
            <v>1376558.3600000006</v>
          </cell>
          <cell r="M107">
            <v>0</v>
          </cell>
        </row>
        <row r="108">
          <cell r="B108" t="str">
            <v>RE001-016</v>
          </cell>
          <cell r="C108" t="str">
            <v>1.01.04.01</v>
          </cell>
          <cell r="D108">
            <v>41290</v>
          </cell>
          <cell r="E108" t="str">
            <v xml:space="preserve">BANCO ITAÚ </v>
          </cell>
          <cell r="F108" t="str">
            <v xml:space="preserve">RENDIMENTO DE APLICAÇÃO </v>
          </cell>
          <cell r="G108" t="str">
            <v>C</v>
          </cell>
          <cell r="H108">
            <v>0</v>
          </cell>
          <cell r="I108">
            <v>250.98</v>
          </cell>
          <cell r="J108" t="str">
            <v>X</v>
          </cell>
          <cell r="K108">
            <v>1376809.3400000005</v>
          </cell>
          <cell r="L108">
            <v>1376809.3400000005</v>
          </cell>
          <cell r="M108">
            <v>0</v>
          </cell>
        </row>
        <row r="109">
          <cell r="B109" t="str">
            <v>001-078</v>
          </cell>
          <cell r="C109" t="str">
            <v>2.01.03.12</v>
          </cell>
          <cell r="D109">
            <v>41291</v>
          </cell>
          <cell r="E109" t="str">
            <v>QUIMIS APARELHOS CINETIFICOS LTDA</v>
          </cell>
          <cell r="F109" t="str">
            <v>COMPRA DE 1 ELETRODO PARA ETE</v>
          </cell>
          <cell r="G109" t="str">
            <v>D</v>
          </cell>
          <cell r="H109">
            <v>78.239999999999995</v>
          </cell>
          <cell r="I109">
            <v>0</v>
          </cell>
          <cell r="J109" t="str">
            <v>X</v>
          </cell>
          <cell r="K109">
            <v>1376731.1000000006</v>
          </cell>
          <cell r="L109">
            <v>1376731.1000000006</v>
          </cell>
          <cell r="M109">
            <v>502823</v>
          </cell>
        </row>
        <row r="110">
          <cell r="B110" t="str">
            <v>001-077</v>
          </cell>
          <cell r="C110" t="str">
            <v>2.01.05.09</v>
          </cell>
          <cell r="D110">
            <v>41291</v>
          </cell>
          <cell r="E110" t="str">
            <v>TRANSTRIP LOCADORA DE VEICULOS</v>
          </cell>
          <cell r="F110" t="str">
            <v>LOCAÇÃO DE VEICULO KOMBI REF 12/2012  + KM EXCEDENTE</v>
          </cell>
          <cell r="G110" t="str">
            <v>D</v>
          </cell>
          <cell r="H110">
            <v>7422.82</v>
          </cell>
          <cell r="I110">
            <v>0</v>
          </cell>
          <cell r="J110" t="str">
            <v>X</v>
          </cell>
          <cell r="K110">
            <v>1369308.2800000005</v>
          </cell>
          <cell r="L110">
            <v>1369308.2800000005</v>
          </cell>
          <cell r="M110">
            <v>453</v>
          </cell>
        </row>
        <row r="111">
          <cell r="B111" t="str">
            <v>001-085/1</v>
          </cell>
          <cell r="C111" t="str">
            <v>2.02.01.01</v>
          </cell>
          <cell r="D111">
            <v>41291</v>
          </cell>
          <cell r="E111" t="str">
            <v>NAEDSON LUIZ DE SOUZA</v>
          </cell>
          <cell r="F111" t="str">
            <v>ADIANTAMENTO DE 40% DO SALÁRIO FOLHA FEVEREIRO 2013</v>
          </cell>
          <cell r="G111" t="str">
            <v>D</v>
          </cell>
          <cell r="H111">
            <v>1521</v>
          </cell>
          <cell r="I111">
            <v>0</v>
          </cell>
          <cell r="J111" t="str">
            <v>X</v>
          </cell>
          <cell r="K111">
            <v>1367787.2800000005</v>
          </cell>
          <cell r="L111">
            <v>1367787.2800000005</v>
          </cell>
          <cell r="M111">
            <v>0</v>
          </cell>
        </row>
        <row r="112">
          <cell r="B112" t="str">
            <v>001-085/2</v>
          </cell>
          <cell r="C112" t="str">
            <v>2.02.01.01</v>
          </cell>
          <cell r="D112">
            <v>41291</v>
          </cell>
          <cell r="E112" t="str">
            <v xml:space="preserve">ALOISIO BORIN </v>
          </cell>
          <cell r="F112" t="str">
            <v>ADIANTAMENTO DE 40% DO SALÁRIO FOLHA FEVEREIRO 2013</v>
          </cell>
          <cell r="G112" t="str">
            <v>D</v>
          </cell>
          <cell r="H112">
            <v>652</v>
          </cell>
          <cell r="I112">
            <v>0</v>
          </cell>
          <cell r="J112" t="str">
            <v>X</v>
          </cell>
          <cell r="K112">
            <v>1367135.2800000005</v>
          </cell>
          <cell r="L112">
            <v>1367135.2800000005</v>
          </cell>
          <cell r="M112">
            <v>0</v>
          </cell>
        </row>
        <row r="113">
          <cell r="B113" t="str">
            <v>001-085/3</v>
          </cell>
          <cell r="C113" t="str">
            <v>2.02.01.01</v>
          </cell>
          <cell r="D113">
            <v>41291</v>
          </cell>
          <cell r="E113" t="str">
            <v>CLEBER CLEIDSON DA SILVA</v>
          </cell>
          <cell r="F113" t="str">
            <v>ADIANTAMENTO DE 40% DO SALÁRIO FOLHA FEVEREIRO 2013</v>
          </cell>
          <cell r="G113" t="str">
            <v>D</v>
          </cell>
          <cell r="H113">
            <v>1217</v>
          </cell>
          <cell r="I113">
            <v>0</v>
          </cell>
          <cell r="J113" t="str">
            <v>X</v>
          </cell>
          <cell r="K113">
            <v>1365918.2800000005</v>
          </cell>
          <cell r="L113">
            <v>1365918.2800000005</v>
          </cell>
          <cell r="M113">
            <v>0</v>
          </cell>
        </row>
        <row r="114">
          <cell r="B114" t="str">
            <v>001-085/4</v>
          </cell>
          <cell r="C114" t="str">
            <v>2.02.01.01</v>
          </cell>
          <cell r="D114">
            <v>41291</v>
          </cell>
          <cell r="E114" t="str">
            <v>ERICA AP DA SILVA DE MORAES</v>
          </cell>
          <cell r="F114" t="str">
            <v>ADIANTAMENTO DE 40% DO SALÁRIO FOLHA FEVEREIRO 2013</v>
          </cell>
          <cell r="G114" t="str">
            <v>D</v>
          </cell>
          <cell r="H114">
            <v>652</v>
          </cell>
          <cell r="I114">
            <v>0</v>
          </cell>
          <cell r="J114" t="str">
            <v>X</v>
          </cell>
          <cell r="K114">
            <v>1365266.2800000005</v>
          </cell>
          <cell r="L114">
            <v>1365266.2800000005</v>
          </cell>
          <cell r="M114">
            <v>0</v>
          </cell>
        </row>
        <row r="115">
          <cell r="B115" t="str">
            <v>001-085/5</v>
          </cell>
          <cell r="C115" t="str">
            <v>2.02.01.01</v>
          </cell>
          <cell r="D115">
            <v>41291</v>
          </cell>
          <cell r="E115" t="str">
            <v>ELIZANGELA REGINA P DIAS</v>
          </cell>
          <cell r="F115" t="str">
            <v>ADIANTAMENTO DE 40% DO SALÁRIO FOLHA FEVEREIRO 2013</v>
          </cell>
          <cell r="G115" t="str">
            <v>D</v>
          </cell>
          <cell r="H115">
            <v>2109</v>
          </cell>
          <cell r="I115">
            <v>0</v>
          </cell>
          <cell r="J115" t="str">
            <v>X</v>
          </cell>
          <cell r="K115">
            <v>1363157.2800000005</v>
          </cell>
          <cell r="L115">
            <v>1363157.2800000005</v>
          </cell>
          <cell r="M115">
            <v>0</v>
          </cell>
        </row>
        <row r="116">
          <cell r="B116" t="str">
            <v>001-085/6</v>
          </cell>
          <cell r="C116" t="str">
            <v>2.02.01.01</v>
          </cell>
          <cell r="D116">
            <v>41291</v>
          </cell>
          <cell r="E116" t="str">
            <v>RODRIGO BUENO</v>
          </cell>
          <cell r="F116" t="str">
            <v>ADIANTAMENTO DE 40% DO SALÁRIO FOLHA FEVEREIRO 2013</v>
          </cell>
          <cell r="G116" t="str">
            <v>D</v>
          </cell>
          <cell r="H116">
            <v>703</v>
          </cell>
          <cell r="I116">
            <v>0</v>
          </cell>
          <cell r="J116" t="str">
            <v>X</v>
          </cell>
          <cell r="K116">
            <v>1362454.2800000005</v>
          </cell>
          <cell r="L116">
            <v>1362454.2800000005</v>
          </cell>
          <cell r="M116">
            <v>0</v>
          </cell>
        </row>
        <row r="117">
          <cell r="B117" t="str">
            <v>001-085/7</v>
          </cell>
          <cell r="C117" t="str">
            <v>2.02.01.01</v>
          </cell>
          <cell r="D117">
            <v>41291</v>
          </cell>
          <cell r="E117" t="str">
            <v>MARIANA CASTELLINI</v>
          </cell>
          <cell r="F117" t="str">
            <v>ADIANTAMENTO DE 40% DO SALÁRIO FOLHA FEVEREIRO 2013</v>
          </cell>
          <cell r="G117" t="str">
            <v>D</v>
          </cell>
          <cell r="H117">
            <v>597</v>
          </cell>
          <cell r="I117">
            <v>0</v>
          </cell>
          <cell r="J117" t="str">
            <v>X</v>
          </cell>
          <cell r="K117">
            <v>1361857.2800000005</v>
          </cell>
          <cell r="L117">
            <v>1361857.2800000005</v>
          </cell>
          <cell r="M117">
            <v>0</v>
          </cell>
        </row>
        <row r="118">
          <cell r="B118" t="str">
            <v>001-085/8</v>
          </cell>
          <cell r="C118" t="str">
            <v>2.02.01.01</v>
          </cell>
          <cell r="D118">
            <v>41291</v>
          </cell>
          <cell r="E118" t="str">
            <v>JANAINA SILVA DE SOUZA</v>
          </cell>
          <cell r="F118" t="str">
            <v>ADIANTAMENTO DE 40% DO SALÁRIO FOLHA FEVEREIRO 2013</v>
          </cell>
          <cell r="G118" t="str">
            <v>D</v>
          </cell>
          <cell r="H118">
            <v>392</v>
          </cell>
          <cell r="I118">
            <v>0</v>
          </cell>
          <cell r="J118" t="str">
            <v>X</v>
          </cell>
          <cell r="K118">
            <v>1361465.2800000005</v>
          </cell>
          <cell r="L118">
            <v>1361465.2800000005</v>
          </cell>
          <cell r="M118">
            <v>0</v>
          </cell>
        </row>
        <row r="119">
          <cell r="B119" t="str">
            <v>001-085/9</v>
          </cell>
          <cell r="C119" t="str">
            <v>2.02.01.01</v>
          </cell>
          <cell r="D119">
            <v>41291</v>
          </cell>
          <cell r="E119" t="str">
            <v>MARIANA CRISTINA GESSOLI</v>
          </cell>
          <cell r="F119" t="str">
            <v>ADIANTAMENTO DE 40% DO SALÁRIO FOLHA FEVEREIRO 2013</v>
          </cell>
          <cell r="G119" t="str">
            <v>D</v>
          </cell>
          <cell r="H119">
            <v>392</v>
          </cell>
          <cell r="I119">
            <v>0</v>
          </cell>
          <cell r="J119" t="str">
            <v>X</v>
          </cell>
          <cell r="K119">
            <v>1361073.2800000005</v>
          </cell>
          <cell r="L119">
            <v>1361073.2800000005</v>
          </cell>
          <cell r="M119">
            <v>0</v>
          </cell>
        </row>
        <row r="120">
          <cell r="B120" t="str">
            <v>001-085/10</v>
          </cell>
          <cell r="C120" t="str">
            <v>2.01.01.01</v>
          </cell>
          <cell r="D120">
            <v>41291</v>
          </cell>
          <cell r="E120" t="str">
            <v>JULIO CÉSAR DA S OLIVEIRA</v>
          </cell>
          <cell r="F120" t="str">
            <v>ADIANTAMENTO DE 40% DO SALÁRIO FOLHA FEVEREIRO 2013</v>
          </cell>
          <cell r="G120" t="str">
            <v>D</v>
          </cell>
          <cell r="H120">
            <v>405</v>
          </cell>
          <cell r="I120">
            <v>0</v>
          </cell>
          <cell r="J120" t="str">
            <v>X</v>
          </cell>
          <cell r="K120">
            <v>1360668.2800000005</v>
          </cell>
          <cell r="L120">
            <v>1360668.2800000005</v>
          </cell>
          <cell r="M120">
            <v>0</v>
          </cell>
        </row>
        <row r="121">
          <cell r="B121" t="str">
            <v>001-085/11</v>
          </cell>
          <cell r="C121" t="str">
            <v>2.01.01.01</v>
          </cell>
          <cell r="D121">
            <v>41291</v>
          </cell>
          <cell r="E121" t="str">
            <v>GILBERTO SILVA ROQUE</v>
          </cell>
          <cell r="F121" t="str">
            <v>ADIANTAMENTO DE 40% DO SALÁRIO FOLHA FEVEREIRO 2013</v>
          </cell>
          <cell r="G121" t="str">
            <v>D</v>
          </cell>
          <cell r="H121">
            <v>480</v>
          </cell>
          <cell r="I121">
            <v>0</v>
          </cell>
          <cell r="J121" t="str">
            <v>X</v>
          </cell>
          <cell r="K121">
            <v>1360188.2800000005</v>
          </cell>
          <cell r="L121">
            <v>1360188.2800000005</v>
          </cell>
          <cell r="M121">
            <v>0</v>
          </cell>
        </row>
        <row r="122">
          <cell r="B122" t="str">
            <v>001-085/12</v>
          </cell>
          <cell r="C122" t="str">
            <v>2.01.01.01</v>
          </cell>
          <cell r="D122">
            <v>41291</v>
          </cell>
          <cell r="E122" t="str">
            <v>TIAGO HENRIQUE DE OLIVEIRA</v>
          </cell>
          <cell r="F122" t="str">
            <v>ADIANTAMENTO DE 40% DO SALÁRIO FOLHA FEVEREIRO 2013</v>
          </cell>
          <cell r="G122" t="str">
            <v>D</v>
          </cell>
          <cell r="H122">
            <v>405</v>
          </cell>
          <cell r="I122">
            <v>0</v>
          </cell>
          <cell r="J122" t="str">
            <v>X</v>
          </cell>
          <cell r="K122">
            <v>1359783.2800000005</v>
          </cell>
          <cell r="L122">
            <v>1359783.2800000005</v>
          </cell>
          <cell r="M122">
            <v>0</v>
          </cell>
        </row>
        <row r="123">
          <cell r="B123" t="str">
            <v>001-085/13</v>
          </cell>
          <cell r="C123" t="str">
            <v>2.01.01.01</v>
          </cell>
          <cell r="D123">
            <v>41291</v>
          </cell>
          <cell r="E123" t="str">
            <v>LUCAS AMARAL</v>
          </cell>
          <cell r="F123" t="str">
            <v>ADIANTAMENTO DE 40% DO SALÁRIO FOLHA FEVEREIRO 2013</v>
          </cell>
          <cell r="G123" t="str">
            <v>D</v>
          </cell>
          <cell r="H123">
            <v>406</v>
          </cell>
          <cell r="I123">
            <v>0</v>
          </cell>
          <cell r="J123" t="str">
            <v>X</v>
          </cell>
          <cell r="K123">
            <v>1359377.2800000005</v>
          </cell>
          <cell r="L123">
            <v>1359377.2800000005</v>
          </cell>
          <cell r="M123">
            <v>0</v>
          </cell>
        </row>
        <row r="124">
          <cell r="B124" t="str">
            <v>001-085/14</v>
          </cell>
          <cell r="C124" t="str">
            <v>2.01.01.01</v>
          </cell>
          <cell r="D124">
            <v>41291</v>
          </cell>
          <cell r="E124" t="str">
            <v>WEVERTON EUGÊNIO PEREIRA</v>
          </cell>
          <cell r="F124" t="str">
            <v>ADIANTAMENTO DE 40% DO SALÁRIO FOLHA FEVEREIRO 2013</v>
          </cell>
          <cell r="G124" t="str">
            <v>D</v>
          </cell>
          <cell r="H124">
            <v>480</v>
          </cell>
          <cell r="I124">
            <v>0</v>
          </cell>
          <cell r="J124" t="str">
            <v>X</v>
          </cell>
          <cell r="K124">
            <v>1358897.2800000005</v>
          </cell>
          <cell r="L124">
            <v>1358897.2800000005</v>
          </cell>
          <cell r="M124">
            <v>0</v>
          </cell>
        </row>
        <row r="125">
          <cell r="B125" t="str">
            <v>001-085/15</v>
          </cell>
          <cell r="C125" t="str">
            <v>2.01.01.01</v>
          </cell>
          <cell r="D125">
            <v>41291</v>
          </cell>
          <cell r="E125" t="str">
            <v>MARCIO OSTIANO DE SOUZA</v>
          </cell>
          <cell r="F125" t="str">
            <v>ADIANTAMENTO DE 40% DO SALÁRIO FOLHA FEVEREIRO 2013</v>
          </cell>
          <cell r="G125" t="str">
            <v>D</v>
          </cell>
          <cell r="H125">
            <v>405</v>
          </cell>
          <cell r="I125">
            <v>0</v>
          </cell>
          <cell r="J125" t="str">
            <v>X</v>
          </cell>
          <cell r="K125">
            <v>1358492.2800000005</v>
          </cell>
          <cell r="L125">
            <v>1358492.2800000005</v>
          </cell>
          <cell r="M125">
            <v>0</v>
          </cell>
        </row>
        <row r="126">
          <cell r="B126" t="str">
            <v>001-085/16</v>
          </cell>
          <cell r="C126" t="str">
            <v>2.01.01.01</v>
          </cell>
          <cell r="D126">
            <v>41291</v>
          </cell>
          <cell r="E126" t="str">
            <v>ANDRÉ SIMÕES</v>
          </cell>
          <cell r="F126" t="str">
            <v>ADIANTAMENTO DE 40% DO SALÁRIO FOLHA FEVEREIRO 2013</v>
          </cell>
          <cell r="G126" t="str">
            <v>D</v>
          </cell>
          <cell r="H126">
            <v>406</v>
          </cell>
          <cell r="I126">
            <v>0</v>
          </cell>
          <cell r="J126" t="str">
            <v>X</v>
          </cell>
          <cell r="K126">
            <v>1358086.2800000005</v>
          </cell>
          <cell r="L126">
            <v>1358086.2800000005</v>
          </cell>
          <cell r="M126">
            <v>0</v>
          </cell>
        </row>
        <row r="127">
          <cell r="B127" t="str">
            <v>001-085/17</v>
          </cell>
          <cell r="C127" t="str">
            <v>2.01.01.01</v>
          </cell>
          <cell r="D127">
            <v>41291</v>
          </cell>
          <cell r="E127" t="str">
            <v>EMERSON BEDIN</v>
          </cell>
          <cell r="F127" t="str">
            <v>ADIANTAMENTO DE 40% DO SALÁRIO FOLHA FEVEREIRO 2013</v>
          </cell>
          <cell r="G127" t="str">
            <v>D</v>
          </cell>
          <cell r="H127">
            <v>565</v>
          </cell>
          <cell r="I127">
            <v>0</v>
          </cell>
          <cell r="J127" t="str">
            <v>X</v>
          </cell>
          <cell r="K127">
            <v>1357521.2800000005</v>
          </cell>
          <cell r="L127">
            <v>1357521.2800000005</v>
          </cell>
          <cell r="M127">
            <v>0</v>
          </cell>
        </row>
        <row r="128">
          <cell r="B128" t="str">
            <v>001-085/18</v>
          </cell>
          <cell r="C128" t="str">
            <v>2.01.01.01</v>
          </cell>
          <cell r="D128">
            <v>41291</v>
          </cell>
          <cell r="E128" t="str">
            <v>THIAGO RIBEIRO</v>
          </cell>
          <cell r="F128" t="str">
            <v>ADIANTAMENTO DE 40% DO SALÁRIO FOLHA FEVEREIRO 2013</v>
          </cell>
          <cell r="G128" t="str">
            <v>D</v>
          </cell>
          <cell r="H128">
            <v>477</v>
          </cell>
          <cell r="I128">
            <v>0</v>
          </cell>
          <cell r="J128" t="str">
            <v>X</v>
          </cell>
          <cell r="K128">
            <v>1357044.2800000005</v>
          </cell>
          <cell r="L128">
            <v>1357044.2800000005</v>
          </cell>
          <cell r="M128">
            <v>0</v>
          </cell>
        </row>
        <row r="129">
          <cell r="B129" t="str">
            <v>001-085/19</v>
          </cell>
          <cell r="C129" t="str">
            <v>2.01.01.01</v>
          </cell>
          <cell r="D129">
            <v>41291</v>
          </cell>
          <cell r="E129" t="str">
            <v>ALBERTINO M DA SILVA</v>
          </cell>
          <cell r="F129" t="str">
            <v>ADIANTAMENTO DE 40% DO SALÁRIO FOLHA FEVEREIRO 2013</v>
          </cell>
          <cell r="G129" t="str">
            <v>D</v>
          </cell>
          <cell r="H129">
            <v>345</v>
          </cell>
          <cell r="I129">
            <v>0</v>
          </cell>
          <cell r="J129" t="str">
            <v>X</v>
          </cell>
          <cell r="K129">
            <v>1356699.2800000005</v>
          </cell>
          <cell r="L129">
            <v>1356699.2800000005</v>
          </cell>
          <cell r="M129">
            <v>0</v>
          </cell>
        </row>
        <row r="130">
          <cell r="B130" t="str">
            <v>001-085/20</v>
          </cell>
          <cell r="C130" t="str">
            <v>2.01.01.01</v>
          </cell>
          <cell r="D130">
            <v>41291</v>
          </cell>
          <cell r="E130" t="str">
            <v>SANDRO PAGGI DE SOUSA</v>
          </cell>
          <cell r="F130" t="str">
            <v>ADIANTAMENTO DE 40% DO SALÁRIO FOLHA FEVEREIRO 2013</v>
          </cell>
          <cell r="G130" t="str">
            <v>D</v>
          </cell>
          <cell r="H130">
            <v>345</v>
          </cell>
          <cell r="I130">
            <v>0</v>
          </cell>
          <cell r="J130" t="str">
            <v>X</v>
          </cell>
          <cell r="K130">
            <v>1356354.2800000005</v>
          </cell>
          <cell r="L130">
            <v>1356354.2800000005</v>
          </cell>
          <cell r="M130">
            <v>0</v>
          </cell>
        </row>
        <row r="131">
          <cell r="B131" t="str">
            <v>001-085/21</v>
          </cell>
          <cell r="C131" t="str">
            <v>2.01.01.01</v>
          </cell>
          <cell r="D131">
            <v>41291</v>
          </cell>
          <cell r="E131" t="str">
            <v>SIDERLEI BERTIPAGLIA</v>
          </cell>
          <cell r="F131" t="str">
            <v>ADIANTAMENTO DE 40% DO SALÁRIO FOLHA FEVEREIRO 2013</v>
          </cell>
          <cell r="G131" t="str">
            <v>D</v>
          </cell>
          <cell r="H131">
            <v>600</v>
          </cell>
          <cell r="I131">
            <v>0</v>
          </cell>
          <cell r="J131" t="str">
            <v>X</v>
          </cell>
          <cell r="K131">
            <v>1355754.2800000005</v>
          </cell>
          <cell r="L131">
            <v>1355754.2800000005</v>
          </cell>
          <cell r="M131">
            <v>0</v>
          </cell>
        </row>
        <row r="132">
          <cell r="B132" t="str">
            <v>001-085/22</v>
          </cell>
          <cell r="C132" t="str">
            <v>2.01.01.01</v>
          </cell>
          <cell r="D132">
            <v>41291</v>
          </cell>
          <cell r="E132" t="str">
            <v>ALEXANDRE DE C ALVES</v>
          </cell>
          <cell r="F132" t="str">
            <v>ADIANTAMENTO DE 40% DO SALÁRIO FOLHA FEVEREIRO 2013</v>
          </cell>
          <cell r="G132" t="str">
            <v>D</v>
          </cell>
          <cell r="H132">
            <v>346</v>
          </cell>
          <cell r="I132">
            <v>0</v>
          </cell>
          <cell r="J132" t="str">
            <v>X</v>
          </cell>
          <cell r="K132">
            <v>1355408.2800000005</v>
          </cell>
          <cell r="L132">
            <v>1355408.2800000005</v>
          </cell>
          <cell r="M132">
            <v>0</v>
          </cell>
        </row>
        <row r="133">
          <cell r="B133" t="str">
            <v>001-085/23</v>
          </cell>
          <cell r="C133" t="str">
            <v>2.01.01.01</v>
          </cell>
          <cell r="D133">
            <v>41291</v>
          </cell>
          <cell r="E133" t="str">
            <v>WILSON DE SOUZA</v>
          </cell>
          <cell r="F133" t="str">
            <v>ADIANTAMENTO DE 40% DO SALÁRIO FOLHA FEVEREIRO 2013</v>
          </cell>
          <cell r="G133" t="str">
            <v>D</v>
          </cell>
          <cell r="H133">
            <v>346</v>
          </cell>
          <cell r="I133">
            <v>0</v>
          </cell>
          <cell r="J133" t="str">
            <v>X</v>
          </cell>
          <cell r="K133">
            <v>1355062.2800000005</v>
          </cell>
          <cell r="L133">
            <v>1355062.2800000005</v>
          </cell>
          <cell r="M133">
            <v>0</v>
          </cell>
        </row>
        <row r="134">
          <cell r="B134" t="str">
            <v>RE001-017</v>
          </cell>
          <cell r="C134" t="str">
            <v>1.01.04.01</v>
          </cell>
          <cell r="D134">
            <v>41291</v>
          </cell>
          <cell r="E134" t="str">
            <v xml:space="preserve">BANCO ITAÚ </v>
          </cell>
          <cell r="F134" t="str">
            <v xml:space="preserve">RENDIMENTO DE APLICAÇÃO </v>
          </cell>
          <cell r="G134" t="str">
            <v>C</v>
          </cell>
          <cell r="H134">
            <v>0</v>
          </cell>
          <cell r="I134">
            <v>58.59</v>
          </cell>
          <cell r="J134" t="str">
            <v>X</v>
          </cell>
          <cell r="K134">
            <v>1355120.8700000006</v>
          </cell>
          <cell r="L134">
            <v>1355120.8700000006</v>
          </cell>
          <cell r="M134">
            <v>0</v>
          </cell>
        </row>
        <row r="135">
          <cell r="B135" t="str">
            <v>001-032</v>
          </cell>
          <cell r="C135" t="str">
            <v>2.02.01.09</v>
          </cell>
          <cell r="D135">
            <v>41292</v>
          </cell>
          <cell r="E135" t="str">
            <v>Instituto Nacional do Seguro Social</v>
          </cell>
          <cell r="F135" t="str">
            <v>GPS REF FUNCIONÁRIOS 12/2012</v>
          </cell>
          <cell r="G135" t="str">
            <v>D</v>
          </cell>
          <cell r="H135">
            <v>23152.15</v>
          </cell>
          <cell r="I135">
            <v>0</v>
          </cell>
          <cell r="J135" t="str">
            <v>X</v>
          </cell>
          <cell r="K135">
            <v>1331968.7200000007</v>
          </cell>
          <cell r="L135">
            <v>1331968.7200000007</v>
          </cell>
          <cell r="M135">
            <v>0</v>
          </cell>
        </row>
        <row r="136">
          <cell r="B136" t="str">
            <v>11-125/2</v>
          </cell>
          <cell r="C136" t="str">
            <v>2.01.05.11</v>
          </cell>
          <cell r="D136">
            <v>41292</v>
          </cell>
          <cell r="E136" t="str">
            <v>XYLEM</v>
          </cell>
          <cell r="F136" t="str">
            <v xml:space="preserve">CONSERTO DE BOMBA ELEV BURU II </v>
          </cell>
          <cell r="G136" t="str">
            <v>D</v>
          </cell>
          <cell r="H136">
            <v>3017.13</v>
          </cell>
          <cell r="I136">
            <v>0</v>
          </cell>
          <cell r="J136" t="str">
            <v>X</v>
          </cell>
          <cell r="K136">
            <v>1328951.5900000008</v>
          </cell>
          <cell r="L136">
            <v>1328951.5900000008</v>
          </cell>
          <cell r="M136">
            <v>0</v>
          </cell>
        </row>
        <row r="137">
          <cell r="B137" t="str">
            <v>001-017</v>
          </cell>
          <cell r="C137" t="str">
            <v>2.02.01.08</v>
          </cell>
          <cell r="D137">
            <v>41292</v>
          </cell>
          <cell r="E137" t="str">
            <v>SECRETARIA DA RECEITA FEDERAL DO BRASIL</v>
          </cell>
          <cell r="F137" t="str">
            <v>DARF PRÓ-LABORE</v>
          </cell>
          <cell r="G137" t="str">
            <v>D</v>
          </cell>
          <cell r="H137">
            <v>5625.7</v>
          </cell>
          <cell r="I137">
            <v>0</v>
          </cell>
          <cell r="J137" t="str">
            <v>X</v>
          </cell>
          <cell r="K137">
            <v>1323325.8900000008</v>
          </cell>
          <cell r="L137">
            <v>1323325.8900000008</v>
          </cell>
          <cell r="M137">
            <v>0</v>
          </cell>
        </row>
        <row r="138">
          <cell r="B138" t="str">
            <v>08-114/6</v>
          </cell>
          <cell r="C138" t="str">
            <v>2.02.03.22</v>
          </cell>
          <cell r="D138">
            <v>41292</v>
          </cell>
          <cell r="E138" t="str">
            <v>ACE SEGURADORA S/A</v>
          </cell>
          <cell r="F138" t="str">
            <v>SEGURO DAS ELEVATÓRIAS SANESALTO</v>
          </cell>
          <cell r="G138" t="str">
            <v>D</v>
          </cell>
          <cell r="H138">
            <v>3241.42</v>
          </cell>
          <cell r="I138">
            <v>0</v>
          </cell>
          <cell r="J138" t="str">
            <v>X</v>
          </cell>
          <cell r="K138">
            <v>1320084.4700000009</v>
          </cell>
          <cell r="L138">
            <v>1320084.4700000009</v>
          </cell>
          <cell r="M138" t="str">
            <v>1196492-8</v>
          </cell>
        </row>
        <row r="139">
          <cell r="B139" t="str">
            <v>11-125/2-2</v>
          </cell>
          <cell r="C139" t="str">
            <v>2.01.05.11</v>
          </cell>
          <cell r="D139">
            <v>41292</v>
          </cell>
          <cell r="E139" t="str">
            <v>XYLEM</v>
          </cell>
          <cell r="F139" t="str">
            <v xml:space="preserve">CONSERTO DE BOMBA ELEV BURU II </v>
          </cell>
          <cell r="G139" t="str">
            <v>D</v>
          </cell>
          <cell r="H139">
            <v>12476.03</v>
          </cell>
          <cell r="I139">
            <v>0</v>
          </cell>
          <cell r="J139" t="str">
            <v>X</v>
          </cell>
          <cell r="K139">
            <v>1307608.4400000009</v>
          </cell>
          <cell r="L139">
            <v>1307608.4400000009</v>
          </cell>
          <cell r="M139">
            <v>0</v>
          </cell>
        </row>
        <row r="140">
          <cell r="B140" t="str">
            <v>001-091</v>
          </cell>
          <cell r="C140" t="str">
            <v>2.03.01.05</v>
          </cell>
          <cell r="D140">
            <v>41292</v>
          </cell>
          <cell r="E140" t="str">
            <v>PREFEITURA DA ESTÂNCIA TURÍSTICA DE SALTO</v>
          </cell>
          <cell r="F140" t="str">
            <v>GUIA GISS ONLINE ISSQN</v>
          </cell>
          <cell r="G140" t="str">
            <v>D</v>
          </cell>
          <cell r="H140">
            <v>2677.47</v>
          </cell>
          <cell r="I140">
            <v>0</v>
          </cell>
          <cell r="J140" t="str">
            <v>X</v>
          </cell>
          <cell r="K140">
            <v>1304930.9700000009</v>
          </cell>
          <cell r="L140">
            <v>1304930.9700000009</v>
          </cell>
          <cell r="M140">
            <v>0</v>
          </cell>
        </row>
        <row r="141">
          <cell r="B141" t="str">
            <v>001-084</v>
          </cell>
          <cell r="C141" t="str">
            <v>2.01.01.01</v>
          </cell>
          <cell r="D141">
            <v>41292</v>
          </cell>
          <cell r="E141" t="str">
            <v>SÉRGIO JOSÉ DE SOUZA JR</v>
          </cell>
          <cell r="F141" t="str">
            <v>RESCISÃO DE CONTRATO DE TRABALHO</v>
          </cell>
          <cell r="G141" t="str">
            <v>D</v>
          </cell>
          <cell r="H141">
            <v>2593.0100000000002</v>
          </cell>
          <cell r="I141">
            <v>0</v>
          </cell>
          <cell r="J141" t="str">
            <v>X</v>
          </cell>
          <cell r="K141">
            <v>1302337.9600000009</v>
          </cell>
          <cell r="L141">
            <v>1302337.9600000009</v>
          </cell>
          <cell r="M141">
            <v>0</v>
          </cell>
        </row>
        <row r="142">
          <cell r="B142" t="str">
            <v>001-006/1</v>
          </cell>
          <cell r="C142" t="str">
            <v>2.01.05.11</v>
          </cell>
          <cell r="D142">
            <v>41292</v>
          </cell>
          <cell r="E142" t="str">
            <v>VT COMÉRCIO DE MOTORES ELÉTRICOS E ACIONAMENTOS Ltda.</v>
          </cell>
          <cell r="F142" t="str">
            <v>REVISÃO E CONSERTO DE BOMBA</v>
          </cell>
          <cell r="G142" t="str">
            <v>D</v>
          </cell>
          <cell r="H142">
            <v>1466.67</v>
          </cell>
          <cell r="I142">
            <v>0</v>
          </cell>
          <cell r="J142" t="str">
            <v>X</v>
          </cell>
          <cell r="K142">
            <v>1300871.290000001</v>
          </cell>
          <cell r="L142">
            <v>1300871.290000001</v>
          </cell>
          <cell r="M142">
            <v>157</v>
          </cell>
        </row>
        <row r="143">
          <cell r="B143" t="str">
            <v>001-031</v>
          </cell>
          <cell r="C143" t="str">
            <v>2.02.01.01</v>
          </cell>
          <cell r="D143">
            <v>41292</v>
          </cell>
          <cell r="E143" t="str">
            <v>SECRETARIA DA RECEITA FEDERAL DO BRASIL</v>
          </cell>
          <cell r="F143" t="str">
            <v>DARF REF PAGAMENTO</v>
          </cell>
          <cell r="G143" t="str">
            <v>D</v>
          </cell>
          <cell r="H143">
            <v>1330.76</v>
          </cell>
          <cell r="I143">
            <v>0</v>
          </cell>
          <cell r="J143" t="str">
            <v>X</v>
          </cell>
          <cell r="K143">
            <v>1299540.530000001</v>
          </cell>
          <cell r="L143">
            <v>1299540.530000001</v>
          </cell>
          <cell r="M143">
            <v>0</v>
          </cell>
        </row>
        <row r="144">
          <cell r="B144" t="str">
            <v>001-083</v>
          </cell>
          <cell r="C144" t="str">
            <v>2.01.01.09</v>
          </cell>
          <cell r="D144">
            <v>41292</v>
          </cell>
          <cell r="E144" t="str">
            <v>FGTS RESCISÓRIO</v>
          </cell>
          <cell r="F144" t="str">
            <v>SÉRGIO JOSÉ DE SOUZA JUNIOR</v>
          </cell>
          <cell r="G144" t="str">
            <v>D</v>
          </cell>
          <cell r="H144">
            <v>1117.23</v>
          </cell>
          <cell r="I144">
            <v>0</v>
          </cell>
          <cell r="J144" t="str">
            <v>X</v>
          </cell>
          <cell r="K144">
            <v>1298423.300000001</v>
          </cell>
          <cell r="L144">
            <v>1298423.300000001</v>
          </cell>
          <cell r="M144">
            <v>0</v>
          </cell>
        </row>
        <row r="145">
          <cell r="B145" t="str">
            <v>12-110</v>
          </cell>
          <cell r="C145" t="str">
            <v>2.01.05.13</v>
          </cell>
          <cell r="D145">
            <v>41292</v>
          </cell>
          <cell r="E145" t="str">
            <v>Instituto Nacional do Seguro Social</v>
          </cell>
          <cell r="F145" t="str">
            <v>GPS REF NF 746 GARRA</v>
          </cell>
          <cell r="G145" t="str">
            <v>D</v>
          </cell>
          <cell r="H145">
            <v>768.46</v>
          </cell>
          <cell r="I145">
            <v>0</v>
          </cell>
          <cell r="J145" t="str">
            <v>X</v>
          </cell>
          <cell r="K145">
            <v>1297654.840000001</v>
          </cell>
          <cell r="L145">
            <v>1297654.840000001</v>
          </cell>
          <cell r="M145">
            <v>0</v>
          </cell>
        </row>
        <row r="146">
          <cell r="B146" t="str">
            <v>001-057</v>
          </cell>
          <cell r="C146" t="str">
            <v>2.02.02.05</v>
          </cell>
          <cell r="D146">
            <v>41292</v>
          </cell>
          <cell r="E146" t="str">
            <v>COMPANHIA PIRATININGA DE FORÇA E LUZ - CPFL</v>
          </cell>
          <cell r="F146" t="str">
            <v>CONTA DE ENERGIA ESCRITORIO REF 01/2013</v>
          </cell>
          <cell r="G146" t="str">
            <v>D</v>
          </cell>
          <cell r="H146">
            <v>767.87</v>
          </cell>
          <cell r="I146">
            <v>0</v>
          </cell>
          <cell r="J146" t="str">
            <v>X</v>
          </cell>
          <cell r="K146">
            <v>1296886.9700000009</v>
          </cell>
          <cell r="L146">
            <v>1296886.9700000009</v>
          </cell>
          <cell r="M146">
            <v>0</v>
          </cell>
        </row>
        <row r="147">
          <cell r="B147" t="str">
            <v>001-030</v>
          </cell>
          <cell r="C147" t="str">
            <v>2.01.03.09</v>
          </cell>
          <cell r="D147">
            <v>41292</v>
          </cell>
          <cell r="E147" t="str">
            <v>COMPANHIA PIRATININGA DE FORÇA E LUZ - CPFL</v>
          </cell>
          <cell r="F147" t="str">
            <v>CONTA DE ENERGIA ELEV. GUARAU 02 REF 12/2012</v>
          </cell>
          <cell r="G147" t="str">
            <v>D</v>
          </cell>
          <cell r="H147">
            <v>630.67999999999995</v>
          </cell>
          <cell r="I147">
            <v>0</v>
          </cell>
          <cell r="J147" t="str">
            <v>X</v>
          </cell>
          <cell r="K147">
            <v>1296256.290000001</v>
          </cell>
          <cell r="L147">
            <v>1296256.290000001</v>
          </cell>
          <cell r="M147">
            <v>0</v>
          </cell>
        </row>
        <row r="148">
          <cell r="B148" t="str">
            <v>001-061</v>
          </cell>
          <cell r="C148" t="str">
            <v>2.01.05.02</v>
          </cell>
          <cell r="D148">
            <v>41292</v>
          </cell>
          <cell r="E148" t="str">
            <v>CARLOS ALBERTO PROGIANTI ME</v>
          </cell>
          <cell r="F148" t="str">
            <v>ASSISTÊNCIA TÉCNICA SISTEMA DE SEGURANÇA</v>
          </cell>
          <cell r="G148" t="str">
            <v>D</v>
          </cell>
          <cell r="H148">
            <v>612.41999999999996</v>
          </cell>
          <cell r="I148">
            <v>0</v>
          </cell>
          <cell r="J148" t="str">
            <v>X</v>
          </cell>
          <cell r="K148">
            <v>1295643.870000001</v>
          </cell>
          <cell r="L148">
            <v>1295643.870000001</v>
          </cell>
          <cell r="M148">
            <v>0</v>
          </cell>
        </row>
        <row r="149">
          <cell r="B149" t="str">
            <v>001-014</v>
          </cell>
          <cell r="C149" t="str">
            <v>2.01.05.13</v>
          </cell>
          <cell r="D149">
            <v>41292</v>
          </cell>
          <cell r="E149" t="str">
            <v>Instituto Nacional do Seguro Social</v>
          </cell>
          <cell r="F149" t="str">
            <v>GPS REF NF 358 HF ANDRADE</v>
          </cell>
          <cell r="G149" t="str">
            <v>D</v>
          </cell>
          <cell r="H149">
            <v>570.15</v>
          </cell>
          <cell r="I149">
            <v>0</v>
          </cell>
          <cell r="J149" t="str">
            <v>X</v>
          </cell>
          <cell r="K149">
            <v>1295073.7200000011</v>
          </cell>
          <cell r="L149">
            <v>1295073.7200000011</v>
          </cell>
          <cell r="M149">
            <v>0</v>
          </cell>
        </row>
        <row r="150">
          <cell r="B150" t="str">
            <v>11-125/2-1</v>
          </cell>
          <cell r="C150" t="str">
            <v>2.01.05.11</v>
          </cell>
          <cell r="D150">
            <v>41292</v>
          </cell>
          <cell r="E150" t="str">
            <v>XYLEM</v>
          </cell>
          <cell r="F150" t="str">
            <v xml:space="preserve">CONSERTO DE BOMBA ELEV BURU II </v>
          </cell>
          <cell r="G150" t="str">
            <v>D</v>
          </cell>
          <cell r="H150">
            <v>506.31</v>
          </cell>
          <cell r="I150">
            <v>0</v>
          </cell>
          <cell r="J150" t="str">
            <v>X</v>
          </cell>
          <cell r="K150">
            <v>1294567.4100000011</v>
          </cell>
          <cell r="L150">
            <v>1294567.4100000011</v>
          </cell>
          <cell r="M150">
            <v>0</v>
          </cell>
        </row>
        <row r="151">
          <cell r="B151" t="str">
            <v>001-092</v>
          </cell>
          <cell r="C151" t="str">
            <v>2.03.01.05</v>
          </cell>
          <cell r="D151">
            <v>41292</v>
          </cell>
          <cell r="E151" t="str">
            <v>PREFEITURA DA ESTÂNCIA TURÍSTICA DE SALTO</v>
          </cell>
          <cell r="F151" t="str">
            <v>GUIA GISS ONLINE ISSQN</v>
          </cell>
          <cell r="G151" t="str">
            <v>D</v>
          </cell>
          <cell r="H151">
            <v>505.35</v>
          </cell>
          <cell r="I151">
            <v>0</v>
          </cell>
          <cell r="J151" t="str">
            <v>X</v>
          </cell>
          <cell r="K151">
            <v>1294062.060000001</v>
          </cell>
          <cell r="L151">
            <v>1294062.060000001</v>
          </cell>
          <cell r="M151">
            <v>0</v>
          </cell>
        </row>
        <row r="152">
          <cell r="B152" t="str">
            <v>12-082</v>
          </cell>
          <cell r="C152" t="str">
            <v>2.02.03.04</v>
          </cell>
          <cell r="D152">
            <v>41292</v>
          </cell>
          <cell r="E152" t="str">
            <v>SECRETARIA DA RECEITA FEDERAL DO BRASIL</v>
          </cell>
          <cell r="F152" t="str">
            <v>DARF REF NF 35 ARAUJO ARAUJO</v>
          </cell>
          <cell r="G152" t="str">
            <v>D</v>
          </cell>
          <cell r="H152">
            <v>414</v>
          </cell>
          <cell r="I152">
            <v>0</v>
          </cell>
          <cell r="J152" t="str">
            <v>X</v>
          </cell>
          <cell r="K152">
            <v>1293648.060000001</v>
          </cell>
          <cell r="L152">
            <v>1293648.060000001</v>
          </cell>
          <cell r="M152">
            <v>0</v>
          </cell>
        </row>
        <row r="153">
          <cell r="B153" t="str">
            <v>12-062</v>
          </cell>
          <cell r="C153" t="str">
            <v>2.02.01.03</v>
          </cell>
          <cell r="D153">
            <v>41292</v>
          </cell>
          <cell r="E153" t="str">
            <v>SECRETARIA DA RECEITA FEDERAL DO BRASIL</v>
          </cell>
          <cell r="F153" t="str">
            <v>DARF REF. FÉRIAS RODRIGO BUENO</v>
          </cell>
          <cell r="G153" t="str">
            <v>D</v>
          </cell>
          <cell r="H153">
            <v>413.98</v>
          </cell>
          <cell r="I153">
            <v>0</v>
          </cell>
          <cell r="J153" t="str">
            <v>X</v>
          </cell>
          <cell r="K153">
            <v>1293234.080000001</v>
          </cell>
          <cell r="L153">
            <v>1293234.080000001</v>
          </cell>
          <cell r="M153">
            <v>0</v>
          </cell>
        </row>
        <row r="154">
          <cell r="B154" t="str">
            <v>001-058</v>
          </cell>
          <cell r="C154" t="str">
            <v>2.02.03.23</v>
          </cell>
          <cell r="D154">
            <v>41292</v>
          </cell>
          <cell r="E154" t="str">
            <v>MERCOLINEIT TEC CONSULT E DESENVOLVIMENTO Ltda. EPP</v>
          </cell>
          <cell r="F154" t="str">
            <v>GESTÃO DE REQUISITOS LEGAIS APLICAVÉIS NO AMBITO DO MEIO AMBIENTE REFJAN/2013</v>
          </cell>
          <cell r="G154" t="str">
            <v>D</v>
          </cell>
          <cell r="H154">
            <v>300</v>
          </cell>
          <cell r="I154">
            <v>0</v>
          </cell>
          <cell r="J154" t="str">
            <v>X</v>
          </cell>
          <cell r="K154">
            <v>1292934.080000001</v>
          </cell>
          <cell r="L154">
            <v>1292934.080000001</v>
          </cell>
          <cell r="M154">
            <v>884</v>
          </cell>
        </row>
        <row r="155">
          <cell r="B155" t="str">
            <v>001-027</v>
          </cell>
          <cell r="C155" t="str">
            <v>2.02.03.04</v>
          </cell>
          <cell r="D155">
            <v>41292</v>
          </cell>
          <cell r="E155" t="str">
            <v>KPMG AUDITORES INDEPENDENTES</v>
          </cell>
          <cell r="F155" t="str">
            <v>DESPESAS COM VISITA A SANESALTO PARA AUDITORIA</v>
          </cell>
          <cell r="G155" t="str">
            <v>D</v>
          </cell>
          <cell r="H155">
            <v>184.7</v>
          </cell>
          <cell r="I155">
            <v>0</v>
          </cell>
          <cell r="J155" t="str">
            <v>X</v>
          </cell>
          <cell r="K155">
            <v>1292749.3800000011</v>
          </cell>
          <cell r="L155">
            <v>1292749.3800000011</v>
          </cell>
          <cell r="M155">
            <v>723420</v>
          </cell>
        </row>
        <row r="156">
          <cell r="B156" t="str">
            <v>12-111</v>
          </cell>
          <cell r="C156" t="str">
            <v>2.01.05.13</v>
          </cell>
          <cell r="D156">
            <v>41292</v>
          </cell>
          <cell r="E156" t="str">
            <v>Instituto Nacional do Seguro Social</v>
          </cell>
          <cell r="F156" t="str">
            <v>GPS RF NF 747 GARRA</v>
          </cell>
          <cell r="G156" t="str">
            <v>D</v>
          </cell>
          <cell r="H156">
            <v>269.38</v>
          </cell>
          <cell r="I156">
            <v>0</v>
          </cell>
          <cell r="J156" t="str">
            <v>X</v>
          </cell>
          <cell r="K156">
            <v>1292480.0000000012</v>
          </cell>
          <cell r="L156">
            <v>1292480.0000000012</v>
          </cell>
          <cell r="M156">
            <v>0</v>
          </cell>
        </row>
        <row r="157">
          <cell r="B157" t="str">
            <v>12-108</v>
          </cell>
          <cell r="C157" t="str">
            <v>2.01.05.10</v>
          </cell>
          <cell r="D157">
            <v>41292</v>
          </cell>
          <cell r="E157" t="str">
            <v>SECRETARIA DA RECEITA FEDERAL DO BRASIL</v>
          </cell>
          <cell r="F157" t="str">
            <v>DARF REF NF 9064 CORPUS</v>
          </cell>
          <cell r="G157" t="str">
            <v>D</v>
          </cell>
          <cell r="H157">
            <v>178.11</v>
          </cell>
          <cell r="I157">
            <v>0</v>
          </cell>
          <cell r="J157" t="str">
            <v>X</v>
          </cell>
          <cell r="K157">
            <v>1292301.8900000011</v>
          </cell>
          <cell r="L157">
            <v>1292301.8900000011</v>
          </cell>
          <cell r="M157">
            <v>0</v>
          </cell>
        </row>
        <row r="158">
          <cell r="B158" t="str">
            <v>001-065</v>
          </cell>
          <cell r="C158" t="str">
            <v>2.01.05.06</v>
          </cell>
          <cell r="D158">
            <v>41292</v>
          </cell>
          <cell r="E158" t="str">
            <v>SECRETARIA DA RECEITA FEDERAL DO BRASIL</v>
          </cell>
          <cell r="F158" t="str">
            <v>DARF REF NF 145 MARIA ELITETE</v>
          </cell>
          <cell r="G158" t="str">
            <v>D</v>
          </cell>
          <cell r="H158">
            <v>132</v>
          </cell>
          <cell r="I158">
            <v>0</v>
          </cell>
          <cell r="J158" t="str">
            <v>X</v>
          </cell>
          <cell r="K158">
            <v>1292169.8900000011</v>
          </cell>
          <cell r="L158">
            <v>1292169.8900000011</v>
          </cell>
          <cell r="M158">
            <v>0</v>
          </cell>
        </row>
        <row r="159">
          <cell r="B159" t="str">
            <v>12-085</v>
          </cell>
          <cell r="C159" t="str">
            <v>2.02.03.04</v>
          </cell>
          <cell r="D159">
            <v>41292</v>
          </cell>
          <cell r="E159" t="str">
            <v>SECRETARIA DA RECEITA FEDERAL DO BRASIL</v>
          </cell>
          <cell r="F159" t="str">
            <v>DARF REF NF 2149 CB&amp;A</v>
          </cell>
          <cell r="G159" t="str">
            <v>D</v>
          </cell>
          <cell r="H159">
            <v>25.88</v>
          </cell>
          <cell r="I159">
            <v>0</v>
          </cell>
          <cell r="J159" t="str">
            <v>X</v>
          </cell>
          <cell r="K159">
            <v>1292144.0100000012</v>
          </cell>
          <cell r="L159">
            <v>1292144.0100000012</v>
          </cell>
          <cell r="M159">
            <v>0</v>
          </cell>
        </row>
        <row r="160">
          <cell r="B160" t="str">
            <v>001-081</v>
          </cell>
          <cell r="C160" t="str">
            <v>2.02.03.14</v>
          </cell>
          <cell r="D160">
            <v>41292</v>
          </cell>
          <cell r="E160" t="str">
            <v>SECRETARIA DA RECEITA FEDERAL DO BRASIL</v>
          </cell>
          <cell r="F160" t="str">
            <v>DARF REF IRR ALGUEL REGIS</v>
          </cell>
          <cell r="G160" t="str">
            <v>D</v>
          </cell>
          <cell r="H160">
            <v>22.84</v>
          </cell>
          <cell r="I160">
            <v>0</v>
          </cell>
          <cell r="J160" t="str">
            <v>X</v>
          </cell>
          <cell r="K160">
            <v>1292121.1700000011</v>
          </cell>
          <cell r="L160">
            <v>1292121.1700000011</v>
          </cell>
          <cell r="M160">
            <v>0</v>
          </cell>
        </row>
        <row r="161">
          <cell r="B161" t="str">
            <v>001-080</v>
          </cell>
          <cell r="C161" t="str">
            <v>2.02.03.14</v>
          </cell>
          <cell r="D161">
            <v>41292</v>
          </cell>
          <cell r="E161" t="str">
            <v>SECRETARIA DA RECEITA FEDERAL DO BRASIL</v>
          </cell>
          <cell r="F161" t="str">
            <v>DARF REF IRR ALUGUEL LETICIA</v>
          </cell>
          <cell r="G161" t="str">
            <v>D</v>
          </cell>
          <cell r="H161">
            <v>22.84</v>
          </cell>
          <cell r="I161">
            <v>0</v>
          </cell>
          <cell r="J161" t="str">
            <v>X</v>
          </cell>
          <cell r="K161">
            <v>1292098.330000001</v>
          </cell>
          <cell r="L161">
            <v>1292098.330000001</v>
          </cell>
          <cell r="M161">
            <v>0</v>
          </cell>
        </row>
        <row r="162">
          <cell r="B162" t="str">
            <v>12-109</v>
          </cell>
          <cell r="C162" t="str">
            <v>2.01.05.05</v>
          </cell>
          <cell r="D162">
            <v>41292</v>
          </cell>
          <cell r="E162" t="str">
            <v>SECRETARIA DA RECEITA FEDERAL DO BRASIL</v>
          </cell>
          <cell r="F162" t="str">
            <v>DARF REF NF 1601 ACQUALAB</v>
          </cell>
          <cell r="G162" t="str">
            <v>D</v>
          </cell>
          <cell r="H162">
            <v>17.91</v>
          </cell>
          <cell r="I162">
            <v>0</v>
          </cell>
          <cell r="J162" t="str">
            <v>X</v>
          </cell>
          <cell r="K162">
            <v>1292080.4200000011</v>
          </cell>
          <cell r="L162">
            <v>1292080.4200000011</v>
          </cell>
          <cell r="M162">
            <v>0</v>
          </cell>
        </row>
        <row r="163">
          <cell r="B163" t="str">
            <v>RE001-018</v>
          </cell>
          <cell r="C163" t="str">
            <v>1.01.04.01</v>
          </cell>
          <cell r="D163">
            <v>41292</v>
          </cell>
          <cell r="E163" t="str">
            <v xml:space="preserve">BANCO ITAÚ </v>
          </cell>
          <cell r="F163" t="str">
            <v xml:space="preserve">RENDIMENTO DE APLICAÇÃO </v>
          </cell>
          <cell r="G163" t="str">
            <v>C</v>
          </cell>
          <cell r="H163">
            <v>0</v>
          </cell>
          <cell r="I163">
            <v>14.11</v>
          </cell>
          <cell r="J163" t="str">
            <v>X</v>
          </cell>
          <cell r="K163">
            <v>1292094.5300000012</v>
          </cell>
          <cell r="L163">
            <v>1292094.5300000012</v>
          </cell>
          <cell r="M163">
            <v>0</v>
          </cell>
        </row>
        <row r="164">
          <cell r="B164" t="str">
            <v>RE001-019</v>
          </cell>
          <cell r="C164" t="str">
            <v>1.01.01.01</v>
          </cell>
          <cell r="D164">
            <v>41295</v>
          </cell>
          <cell r="E164" t="str">
            <v>SANESALTO SANEAMENTO S/A</v>
          </cell>
          <cell r="F164" t="str">
            <v>MEDIÇÃO DE 12/01 Á 18/01</v>
          </cell>
          <cell r="G164" t="str">
            <v>C</v>
          </cell>
          <cell r="H164">
            <v>0</v>
          </cell>
          <cell r="I164">
            <v>86520.34</v>
          </cell>
          <cell r="J164" t="str">
            <v>X</v>
          </cell>
          <cell r="K164">
            <v>1378614.8700000013</v>
          </cell>
          <cell r="L164">
            <v>1378614.8700000013</v>
          </cell>
          <cell r="M164">
            <v>0</v>
          </cell>
        </row>
        <row r="165">
          <cell r="B165" t="str">
            <v>RE001-020</v>
          </cell>
          <cell r="C165" t="str">
            <v>1.01.01.01</v>
          </cell>
          <cell r="D165">
            <v>41295</v>
          </cell>
          <cell r="E165" t="str">
            <v>SANESALTO SANEAMENTO S/A</v>
          </cell>
          <cell r="F165" t="str">
            <v>MEDIÇÃO DE 12/01/Á 18/01</v>
          </cell>
          <cell r="G165" t="str">
            <v>C</v>
          </cell>
          <cell r="H165">
            <v>0</v>
          </cell>
          <cell r="I165">
            <v>120451.32</v>
          </cell>
          <cell r="J165" t="str">
            <v>X</v>
          </cell>
          <cell r="K165">
            <v>1499066.1900000013</v>
          </cell>
          <cell r="L165">
            <v>1499066.1900000013</v>
          </cell>
          <cell r="M165">
            <v>0</v>
          </cell>
        </row>
        <row r="166">
          <cell r="B166" t="str">
            <v>12-122</v>
          </cell>
          <cell r="C166" t="str">
            <v>2.01.03.08</v>
          </cell>
          <cell r="D166">
            <v>41295</v>
          </cell>
          <cell r="E166" t="str">
            <v>HEXIS CIENTÍFICA S.A</v>
          </cell>
          <cell r="F166" t="str">
            <v>COMPRA DE REAGENTE DQO PARA ETE</v>
          </cell>
          <cell r="G166" t="str">
            <v>D</v>
          </cell>
          <cell r="H166">
            <v>2581.3000000000002</v>
          </cell>
          <cell r="I166">
            <v>0</v>
          </cell>
          <cell r="J166" t="str">
            <v>X</v>
          </cell>
          <cell r="K166">
            <v>1496484.8900000013</v>
          </cell>
          <cell r="L166">
            <v>1496484.8900000013</v>
          </cell>
          <cell r="M166">
            <v>225699</v>
          </cell>
        </row>
        <row r="167">
          <cell r="B167" t="str">
            <v>001-051</v>
          </cell>
          <cell r="C167" t="str">
            <v>2.01.03.09</v>
          </cell>
          <cell r="D167">
            <v>41295</v>
          </cell>
          <cell r="E167" t="str">
            <v>COMPANHIA PIRATININGA DE FORÇA E LUZ - CPFL</v>
          </cell>
          <cell r="F167" t="str">
            <v>CONTA DE ENERGIA ESTAÇÃO REF 01/2013</v>
          </cell>
          <cell r="G167" t="str">
            <v>D</v>
          </cell>
          <cell r="H167">
            <v>10836.56</v>
          </cell>
          <cell r="I167">
            <v>0</v>
          </cell>
          <cell r="J167" t="str">
            <v>X</v>
          </cell>
          <cell r="K167">
            <v>1485648.3300000012</v>
          </cell>
          <cell r="L167">
            <v>1485648.3300000012</v>
          </cell>
          <cell r="M167">
            <v>0</v>
          </cell>
        </row>
        <row r="168">
          <cell r="B168" t="str">
            <v>001-044</v>
          </cell>
          <cell r="C168" t="str">
            <v>2.02.03.16</v>
          </cell>
          <cell r="D168">
            <v>41295</v>
          </cell>
          <cell r="E168" t="str">
            <v xml:space="preserve">GMF GESTÃO DE MEDIÇÃO E FATURAMENTO </v>
          </cell>
          <cell r="F168" t="str">
            <v xml:space="preserve">LICENÇA DE USO DE SISTEMA DE GESTÃO COMERCIAL </v>
          </cell>
          <cell r="G168" t="str">
            <v>D</v>
          </cell>
          <cell r="H168">
            <v>12857.96</v>
          </cell>
          <cell r="I168">
            <v>0</v>
          </cell>
          <cell r="J168" t="str">
            <v>X</v>
          </cell>
          <cell r="K168">
            <v>1472790.3700000013</v>
          </cell>
          <cell r="L168">
            <v>1472790.3700000013</v>
          </cell>
          <cell r="M168">
            <v>336</v>
          </cell>
        </row>
        <row r="169">
          <cell r="B169" t="str">
            <v>001-045</v>
          </cell>
          <cell r="C169" t="str">
            <v>2.02.03.16</v>
          </cell>
          <cell r="D169">
            <v>41295</v>
          </cell>
          <cell r="E169" t="str">
            <v xml:space="preserve">GMF GESTÃO DE MEDIÇÃO E FATURAMENTO </v>
          </cell>
          <cell r="F169" t="str">
            <v>LICENÇA DE USO DE SOFTWAR E TINOS</v>
          </cell>
          <cell r="G169" t="str">
            <v>D</v>
          </cell>
          <cell r="H169">
            <v>3144.51</v>
          </cell>
          <cell r="I169">
            <v>0</v>
          </cell>
          <cell r="J169" t="str">
            <v>X</v>
          </cell>
          <cell r="K169">
            <v>1469645.8600000013</v>
          </cell>
          <cell r="L169">
            <v>1469645.8600000013</v>
          </cell>
          <cell r="M169">
            <v>337</v>
          </cell>
        </row>
        <row r="170">
          <cell r="B170" t="str">
            <v>001-072</v>
          </cell>
          <cell r="C170" t="str">
            <v>2.02.01.03</v>
          </cell>
          <cell r="D170">
            <v>41295</v>
          </cell>
          <cell r="E170" t="str">
            <v>MARIANA CASTELLINI</v>
          </cell>
          <cell r="F170" t="str">
            <v>AVISO DE FÉRIAS</v>
          </cell>
          <cell r="G170" t="str">
            <v>D</v>
          </cell>
          <cell r="H170">
            <v>2005.34</v>
          </cell>
          <cell r="I170">
            <v>0</v>
          </cell>
          <cell r="J170" t="str">
            <v>X</v>
          </cell>
          <cell r="K170">
            <v>1467640.5200000012</v>
          </cell>
          <cell r="L170">
            <v>1467640.5200000012</v>
          </cell>
          <cell r="M170">
            <v>0</v>
          </cell>
        </row>
        <row r="171">
          <cell r="B171" t="str">
            <v>001-015</v>
          </cell>
          <cell r="C171" t="str">
            <v>2.06.03.01</v>
          </cell>
          <cell r="D171">
            <v>41295</v>
          </cell>
          <cell r="E171" t="str">
            <v>BM&amp;FBOVESPA</v>
          </cell>
          <cell r="F171" t="str">
            <v>TAXA DE REGISTRO DE DEBENTURES</v>
          </cell>
          <cell r="G171" t="str">
            <v>D</v>
          </cell>
          <cell r="H171">
            <v>543.66999999999996</v>
          </cell>
          <cell r="I171">
            <v>0</v>
          </cell>
          <cell r="J171" t="str">
            <v>X</v>
          </cell>
          <cell r="K171">
            <v>1467096.8500000013</v>
          </cell>
          <cell r="L171">
            <v>1467096.8500000013</v>
          </cell>
          <cell r="M171">
            <v>0</v>
          </cell>
        </row>
        <row r="172">
          <cell r="B172" t="str">
            <v>001-093</v>
          </cell>
          <cell r="C172" t="str">
            <v>2.02.03.19</v>
          </cell>
          <cell r="D172">
            <v>41295</v>
          </cell>
          <cell r="E172" t="str">
            <v>EDITORA JORNAL ESTÂNCIA LTDA</v>
          </cell>
          <cell r="F172" t="str">
            <v>RENOVAÇÃO DE ASSINATURA</v>
          </cell>
          <cell r="G172" t="str">
            <v>D</v>
          </cell>
          <cell r="H172">
            <v>100</v>
          </cell>
          <cell r="I172">
            <v>0</v>
          </cell>
          <cell r="J172" t="str">
            <v>X</v>
          </cell>
          <cell r="K172">
            <v>1466996.8500000013</v>
          </cell>
          <cell r="L172">
            <v>1466996.8500000013</v>
          </cell>
          <cell r="M172">
            <v>0</v>
          </cell>
        </row>
        <row r="173">
          <cell r="B173" t="str">
            <v>001-016</v>
          </cell>
          <cell r="C173" t="str">
            <v>2.01.03.15</v>
          </cell>
          <cell r="D173">
            <v>41295</v>
          </cell>
          <cell r="E173" t="str">
            <v>CAROTTI ELETRICIDADE INDUSTRIAL LTDA</v>
          </cell>
          <cell r="F173" t="str">
            <v>COMPRA DE MATERIAIS ETE</v>
          </cell>
          <cell r="G173" t="str">
            <v>D</v>
          </cell>
          <cell r="H173">
            <v>1120</v>
          </cell>
          <cell r="I173">
            <v>0</v>
          </cell>
          <cell r="J173" t="str">
            <v>X</v>
          </cell>
          <cell r="K173">
            <v>1465876.8500000013</v>
          </cell>
          <cell r="L173">
            <v>1465876.8500000013</v>
          </cell>
          <cell r="M173" t="str">
            <v/>
          </cell>
        </row>
        <row r="174">
          <cell r="B174" t="str">
            <v>12-125</v>
          </cell>
          <cell r="C174" t="str">
            <v>2.01.03.16</v>
          </cell>
          <cell r="D174">
            <v>41295</v>
          </cell>
          <cell r="E174" t="str">
            <v xml:space="preserve">SALTO LUZ MATERIAIS ELÉTRICOS </v>
          </cell>
          <cell r="F174" t="str">
            <v>COMPRA DE MATERIAIS ELÉTRICOS PARA ETE</v>
          </cell>
          <cell r="G174" t="str">
            <v>D</v>
          </cell>
          <cell r="H174">
            <v>123.57</v>
          </cell>
          <cell r="I174">
            <v>0</v>
          </cell>
          <cell r="J174" t="str">
            <v>X</v>
          </cell>
          <cell r="K174">
            <v>1465753.2800000012</v>
          </cell>
          <cell r="L174">
            <v>1465753.2800000012</v>
          </cell>
          <cell r="M174">
            <v>11991</v>
          </cell>
        </row>
        <row r="175">
          <cell r="B175" t="str">
            <v>12-126</v>
          </cell>
          <cell r="C175" t="str">
            <v>2.01.03.16</v>
          </cell>
          <cell r="D175">
            <v>41295</v>
          </cell>
          <cell r="E175" t="str">
            <v xml:space="preserve">SALTO LUZ MATERIAIS ELÉTRICOS </v>
          </cell>
          <cell r="F175" t="str">
            <v>COMPRA DE MATERIAIS ELÉTRICOS PARA ETE</v>
          </cell>
          <cell r="G175" t="str">
            <v>D</v>
          </cell>
          <cell r="H175">
            <v>102.42</v>
          </cell>
          <cell r="I175">
            <v>0</v>
          </cell>
          <cell r="J175" t="str">
            <v>X</v>
          </cell>
          <cell r="K175">
            <v>1465650.8600000013</v>
          </cell>
          <cell r="L175">
            <v>1465650.8600000013</v>
          </cell>
          <cell r="M175">
            <v>12007</v>
          </cell>
        </row>
        <row r="176">
          <cell r="B176" t="str">
            <v>001-052</v>
          </cell>
          <cell r="C176" t="str">
            <v>2.01.03.09</v>
          </cell>
          <cell r="D176">
            <v>41295</v>
          </cell>
          <cell r="E176" t="str">
            <v>COMPANHIA PIRATININGA DE FORÇA E LUZ - CPFL</v>
          </cell>
          <cell r="F176" t="str">
            <v>CONTA DE ENERGIA GUARAU 1 REF 01/2013</v>
          </cell>
          <cell r="G176" t="str">
            <v>D</v>
          </cell>
          <cell r="H176">
            <v>4459.53</v>
          </cell>
          <cell r="I176">
            <v>0</v>
          </cell>
          <cell r="J176" t="str">
            <v>X</v>
          </cell>
          <cell r="K176">
            <v>1461191.3300000012</v>
          </cell>
          <cell r="L176">
            <v>1461191.3300000012</v>
          </cell>
          <cell r="M176">
            <v>0</v>
          </cell>
        </row>
        <row r="177">
          <cell r="B177" t="str">
            <v>001-087</v>
          </cell>
          <cell r="C177" t="str">
            <v>2.02.03.03</v>
          </cell>
          <cell r="D177">
            <v>41295</v>
          </cell>
          <cell r="E177" t="str">
            <v xml:space="preserve">DRA WELICA GONÇALVES ALMEIDA RENZO </v>
          </cell>
          <cell r="F177" t="str">
            <v>ELABORAÇÃO DE CONTRATO DE LOCAÇÃO ( MOTOBOY)</v>
          </cell>
          <cell r="G177" t="str">
            <v>D</v>
          </cell>
          <cell r="H177">
            <v>750</v>
          </cell>
          <cell r="I177">
            <v>0</v>
          </cell>
          <cell r="J177" t="str">
            <v>X</v>
          </cell>
          <cell r="K177">
            <v>1460441.3300000012</v>
          </cell>
          <cell r="L177">
            <v>1460441.3300000012</v>
          </cell>
          <cell r="M177">
            <v>0</v>
          </cell>
        </row>
        <row r="178">
          <cell r="B178" t="str">
            <v>RE001-021</v>
          </cell>
          <cell r="C178" t="str">
            <v>1.01.04.01</v>
          </cell>
          <cell r="D178">
            <v>41295</v>
          </cell>
          <cell r="E178" t="str">
            <v xml:space="preserve">BANCO ITAÚ </v>
          </cell>
          <cell r="F178" t="str">
            <v xml:space="preserve">RENDIMENTO DE APLICAÇÃO </v>
          </cell>
          <cell r="G178" t="str">
            <v>C</v>
          </cell>
          <cell r="H178">
            <v>0</v>
          </cell>
          <cell r="I178">
            <v>57.99</v>
          </cell>
          <cell r="J178" t="str">
            <v>X</v>
          </cell>
          <cell r="K178">
            <v>1460499.3200000012</v>
          </cell>
          <cell r="L178">
            <v>1460499.3200000012</v>
          </cell>
          <cell r="M178">
            <v>0</v>
          </cell>
        </row>
        <row r="179">
          <cell r="B179" t="str">
            <v>RE001-022</v>
          </cell>
          <cell r="C179" t="str">
            <v>1.01.04.01</v>
          </cell>
          <cell r="D179">
            <v>41296</v>
          </cell>
          <cell r="E179" t="str">
            <v xml:space="preserve">BANCO ITAÚ </v>
          </cell>
          <cell r="F179" t="str">
            <v xml:space="preserve">RENDIMENTO DE APLICAÇÃO </v>
          </cell>
          <cell r="G179" t="str">
            <v>C</v>
          </cell>
          <cell r="H179">
            <v>0</v>
          </cell>
          <cell r="I179">
            <v>18.350000000000001</v>
          </cell>
          <cell r="J179" t="str">
            <v>X</v>
          </cell>
          <cell r="K179">
            <v>1460517.6700000013</v>
          </cell>
          <cell r="L179">
            <v>1460517.6700000013</v>
          </cell>
          <cell r="M179">
            <v>0</v>
          </cell>
        </row>
        <row r="180">
          <cell r="B180" t="str">
            <v>RE001-023</v>
          </cell>
          <cell r="C180" t="str">
            <v>1.01.04.01</v>
          </cell>
          <cell r="D180">
            <v>41297</v>
          </cell>
          <cell r="E180" t="str">
            <v xml:space="preserve">BANCO ITAÚ </v>
          </cell>
          <cell r="F180" t="str">
            <v xml:space="preserve">RENDIMENTO DE APLICAÇÃO </v>
          </cell>
          <cell r="G180" t="str">
            <v>C</v>
          </cell>
          <cell r="H180">
            <v>0</v>
          </cell>
          <cell r="I180">
            <v>18.62</v>
          </cell>
          <cell r="J180" t="str">
            <v>X</v>
          </cell>
          <cell r="K180">
            <v>1460536.2900000014</v>
          </cell>
          <cell r="L180">
            <v>1460536.2900000014</v>
          </cell>
          <cell r="M180">
            <v>0</v>
          </cell>
        </row>
        <row r="181">
          <cell r="B181" t="str">
            <v>001-115</v>
          </cell>
          <cell r="C181" t="str">
            <v>2.07.01.04</v>
          </cell>
          <cell r="D181">
            <v>41298</v>
          </cell>
          <cell r="E181" t="str">
            <v>VENTISILVA METALURGICA</v>
          </cell>
          <cell r="F181" t="str">
            <v>MICRO VENTILADOR PARA ETE</v>
          </cell>
          <cell r="G181" t="str">
            <v>D</v>
          </cell>
          <cell r="H181">
            <v>207</v>
          </cell>
          <cell r="I181">
            <v>0</v>
          </cell>
          <cell r="J181" t="str">
            <v>X</v>
          </cell>
          <cell r="K181">
            <v>1460329.2900000014</v>
          </cell>
          <cell r="L181">
            <v>1460329.2900000014</v>
          </cell>
          <cell r="M181">
            <v>40760</v>
          </cell>
        </row>
        <row r="182">
          <cell r="B182" t="str">
            <v>RE001-024</v>
          </cell>
          <cell r="C182" t="str">
            <v>1.01.04.01</v>
          </cell>
          <cell r="D182">
            <v>41298</v>
          </cell>
          <cell r="E182" t="str">
            <v xml:space="preserve">BANCO ITAÚ </v>
          </cell>
          <cell r="F182" t="str">
            <v xml:space="preserve">RENDIMENTO DE APLICAÇÃO </v>
          </cell>
          <cell r="G182" t="str">
            <v>C</v>
          </cell>
          <cell r="H182">
            <v>0</v>
          </cell>
          <cell r="I182">
            <v>18.97</v>
          </cell>
          <cell r="J182" t="str">
            <v>X</v>
          </cell>
          <cell r="K182">
            <v>1460348.2600000014</v>
          </cell>
          <cell r="L182">
            <v>1460348.2600000014</v>
          </cell>
          <cell r="M182">
            <v>0</v>
          </cell>
        </row>
        <row r="183">
          <cell r="B183" t="str">
            <v>001-098</v>
          </cell>
          <cell r="C183" t="str">
            <v>2.07.01.03</v>
          </cell>
          <cell r="D183">
            <v>41299</v>
          </cell>
          <cell r="E183" t="str">
            <v>TECHCD INFORMATICA</v>
          </cell>
          <cell r="F183" t="str">
            <v>COMPRA DE FITA DE BACKUP</v>
          </cell>
          <cell r="G183" t="str">
            <v>D</v>
          </cell>
          <cell r="H183">
            <v>151.74</v>
          </cell>
          <cell r="I183">
            <v>0</v>
          </cell>
          <cell r="J183" t="str">
            <v>X</v>
          </cell>
          <cell r="K183">
            <v>1460196.5200000014</v>
          </cell>
          <cell r="L183">
            <v>1460196.5200000014</v>
          </cell>
          <cell r="M183">
            <v>0</v>
          </cell>
        </row>
        <row r="184">
          <cell r="B184" t="str">
            <v>12-129</v>
          </cell>
          <cell r="C184" t="str">
            <v>2.01.03.16</v>
          </cell>
          <cell r="D184">
            <v>41299</v>
          </cell>
          <cell r="E184" t="str">
            <v xml:space="preserve">SALTO LUZ MATERIAIS ELÉTRICOS </v>
          </cell>
          <cell r="F184" t="str">
            <v>COMPRA DE MATERIAIS ELÉTRICOS PARA ETE</v>
          </cell>
          <cell r="G184" t="str">
            <v>D</v>
          </cell>
          <cell r="H184">
            <v>109.8</v>
          </cell>
          <cell r="I184">
            <v>0</v>
          </cell>
          <cell r="J184" t="str">
            <v>X</v>
          </cell>
          <cell r="K184">
            <v>1460086.7200000014</v>
          </cell>
          <cell r="L184">
            <v>1460086.7200000014</v>
          </cell>
          <cell r="M184">
            <v>12016</v>
          </cell>
        </row>
        <row r="185">
          <cell r="B185" t="str">
            <v>001-114</v>
          </cell>
          <cell r="C185" t="str">
            <v>2.02.02.04</v>
          </cell>
          <cell r="D185">
            <v>41299</v>
          </cell>
          <cell r="E185" t="str">
            <v>VIVO S/A</v>
          </cell>
          <cell r="F185" t="str">
            <v>VIVO INTERNET 1 GB</v>
          </cell>
          <cell r="G185" t="str">
            <v>D</v>
          </cell>
          <cell r="H185">
            <v>226.45</v>
          </cell>
          <cell r="I185">
            <v>0</v>
          </cell>
          <cell r="J185" t="str">
            <v>X</v>
          </cell>
          <cell r="K185">
            <v>1459860.2700000014</v>
          </cell>
          <cell r="L185">
            <v>1459860.2700000014</v>
          </cell>
          <cell r="M185">
            <v>2063756013</v>
          </cell>
        </row>
        <row r="186">
          <cell r="B186" t="str">
            <v>001-103</v>
          </cell>
          <cell r="C186" t="str">
            <v>2.02.02.04</v>
          </cell>
          <cell r="D186">
            <v>41299</v>
          </cell>
          <cell r="E186" t="str">
            <v>TELEFONICA TELECOMUNICAÇÕES DE SÃO PAULO S.A/ VIVO</v>
          </cell>
          <cell r="F186" t="str">
            <v>CONTA DE TELEFONO 4021-5766 REF 12/2012</v>
          </cell>
          <cell r="G186" t="str">
            <v>D</v>
          </cell>
          <cell r="H186">
            <v>806.76</v>
          </cell>
          <cell r="I186">
            <v>0</v>
          </cell>
          <cell r="J186" t="str">
            <v>X</v>
          </cell>
          <cell r="K186">
            <v>1459053.5100000014</v>
          </cell>
          <cell r="L186">
            <v>1459053.5100000014</v>
          </cell>
          <cell r="M186">
            <v>0</v>
          </cell>
        </row>
        <row r="187">
          <cell r="B187" t="str">
            <v>001-102</v>
          </cell>
          <cell r="C187" t="str">
            <v>2.02.02.04</v>
          </cell>
          <cell r="D187">
            <v>41299</v>
          </cell>
          <cell r="E187" t="str">
            <v>TELEFONICA TELECOMUNICAÇÕES DE SÃO PAULO S.A/ VIVO</v>
          </cell>
          <cell r="F187" t="str">
            <v>CONTA DE TELEFONE 4021-5766 REF 11/2012</v>
          </cell>
          <cell r="G187" t="str">
            <v>D</v>
          </cell>
          <cell r="H187">
            <v>806.76</v>
          </cell>
          <cell r="I187">
            <v>0</v>
          </cell>
          <cell r="J187" t="str">
            <v>X</v>
          </cell>
          <cell r="K187">
            <v>1458246.7500000014</v>
          </cell>
          <cell r="L187">
            <v>1458246.7500000014</v>
          </cell>
          <cell r="M187">
            <v>0</v>
          </cell>
        </row>
        <row r="188">
          <cell r="B188" t="str">
            <v>001-062</v>
          </cell>
          <cell r="C188" t="str">
            <v>2.01.03.09</v>
          </cell>
          <cell r="D188">
            <v>41299</v>
          </cell>
          <cell r="E188" t="str">
            <v>COMPANHIA PIRATININGA DE FORÇA E LUZ - CPFL</v>
          </cell>
          <cell r="F188" t="str">
            <v>CONTA DE ERNERGIA BURU 01 REF 01/2013</v>
          </cell>
          <cell r="G188" t="str">
            <v>D</v>
          </cell>
          <cell r="H188">
            <v>11907.85</v>
          </cell>
          <cell r="I188">
            <v>0</v>
          </cell>
          <cell r="J188" t="str">
            <v>X</v>
          </cell>
          <cell r="K188">
            <v>1446338.9000000013</v>
          </cell>
          <cell r="L188">
            <v>1446338.9000000013</v>
          </cell>
          <cell r="M188">
            <v>0</v>
          </cell>
        </row>
        <row r="189">
          <cell r="B189" t="str">
            <v>001-063</v>
          </cell>
          <cell r="C189" t="str">
            <v>2.01.03.09</v>
          </cell>
          <cell r="D189">
            <v>41299</v>
          </cell>
          <cell r="E189" t="str">
            <v>COMPANHIA PIRATININGA DE FORÇA E LUZ - CPFL</v>
          </cell>
          <cell r="F189" t="str">
            <v>CONTA DE ENERGIA BURU 02 REF 01/2013</v>
          </cell>
          <cell r="G189" t="str">
            <v>D</v>
          </cell>
          <cell r="H189">
            <v>9234.19</v>
          </cell>
          <cell r="I189">
            <v>0</v>
          </cell>
          <cell r="J189" t="str">
            <v>X</v>
          </cell>
          <cell r="K189">
            <v>1437104.7100000014</v>
          </cell>
          <cell r="L189">
            <v>1437104.7100000014</v>
          </cell>
          <cell r="M189">
            <v>0</v>
          </cell>
        </row>
        <row r="190">
          <cell r="B190" t="str">
            <v>001-060</v>
          </cell>
          <cell r="C190" t="str">
            <v>2.01.05.04</v>
          </cell>
          <cell r="D190">
            <v>41299</v>
          </cell>
          <cell r="E190" t="str">
            <v>BERZIN ASSISTÊNCIA TÉCNICA DE INFORMÁTICA Ltda.</v>
          </cell>
          <cell r="F190" t="str">
            <v>SERVIÇOS DE CONSULTORIA PRESTADOS EM DEZ/2012</v>
          </cell>
          <cell r="G190" t="str">
            <v>D</v>
          </cell>
          <cell r="H190">
            <v>2938</v>
          </cell>
          <cell r="I190">
            <v>0</v>
          </cell>
          <cell r="J190" t="str">
            <v>X</v>
          </cell>
          <cell r="K190">
            <v>1434166.7100000014</v>
          </cell>
          <cell r="L190">
            <v>1434166.7100000014</v>
          </cell>
          <cell r="M190">
            <v>341</v>
          </cell>
        </row>
        <row r="191">
          <cell r="B191" t="str">
            <v>001-068</v>
          </cell>
          <cell r="C191" t="str">
            <v>2.02.01.04</v>
          </cell>
          <cell r="D191">
            <v>41299</v>
          </cell>
          <cell r="E191" t="str">
            <v>UNIMED DE SALTO ITU COOP TRAB MÉDICO</v>
          </cell>
          <cell r="F191" t="str">
            <v>CONSULTA DOS FUNCIONÁRIOS 12/2012</v>
          </cell>
          <cell r="G191" t="str">
            <v>D</v>
          </cell>
          <cell r="H191">
            <v>402.75</v>
          </cell>
          <cell r="I191">
            <v>0</v>
          </cell>
          <cell r="J191" t="str">
            <v>X</v>
          </cell>
          <cell r="K191">
            <v>1433763.9600000014</v>
          </cell>
          <cell r="L191">
            <v>1433763.9600000014</v>
          </cell>
          <cell r="M191" t="str">
            <v>33002589/12</v>
          </cell>
        </row>
        <row r="192">
          <cell r="B192" t="str">
            <v>11-117/4</v>
          </cell>
          <cell r="C192" t="str">
            <v>2.07.01.04</v>
          </cell>
          <cell r="D192">
            <v>41299</v>
          </cell>
          <cell r="E192" t="str">
            <v>ERICO SEBESTIEN MOLNAR MARQUES ME</v>
          </cell>
          <cell r="F192" t="str">
            <v>SERVIÇO DE NORMALIZAÇÃO ELÉTRICA PARA IMPLEMENTAÇÃO DE MONITORAMENTO</v>
          </cell>
          <cell r="G192" t="str">
            <v>D</v>
          </cell>
          <cell r="H192">
            <v>2709.21</v>
          </cell>
          <cell r="I192">
            <v>0</v>
          </cell>
          <cell r="J192" t="str">
            <v>X</v>
          </cell>
          <cell r="K192">
            <v>1431054.7500000014</v>
          </cell>
          <cell r="L192">
            <v>1431054.7500000014</v>
          </cell>
          <cell r="M192">
            <v>0</v>
          </cell>
        </row>
        <row r="193">
          <cell r="B193" t="str">
            <v>001-108</v>
          </cell>
          <cell r="C193" t="str">
            <v>2.02.03.17</v>
          </cell>
          <cell r="D193">
            <v>41299</v>
          </cell>
          <cell r="E193" t="str">
            <v>ELIZEU DE SOUZA TRANSPORTES ME</v>
          </cell>
          <cell r="F193" t="str">
            <v>SERVIÇO DE ENTREGA DE MALOTE PARA SÃO PAULO</v>
          </cell>
          <cell r="G193" t="str">
            <v>D</v>
          </cell>
          <cell r="H193">
            <v>210</v>
          </cell>
          <cell r="I193">
            <v>0</v>
          </cell>
          <cell r="J193" t="str">
            <v>X</v>
          </cell>
          <cell r="K193">
            <v>1430844.7500000014</v>
          </cell>
          <cell r="L193">
            <v>1430844.7500000014</v>
          </cell>
          <cell r="M193">
            <v>72</v>
          </cell>
        </row>
        <row r="194">
          <cell r="B194" t="str">
            <v>001-107</v>
          </cell>
          <cell r="C194" t="str">
            <v>2.01.05.02</v>
          </cell>
          <cell r="D194">
            <v>41299</v>
          </cell>
          <cell r="E194" t="str">
            <v>CARLOS ALBERTO PROGIANTI ME</v>
          </cell>
          <cell r="F194" t="str">
            <v>ASSISTÊNCIA TÉCNICA SISTEMA DE SEGURANÇA</v>
          </cell>
          <cell r="G194" t="str">
            <v>D</v>
          </cell>
          <cell r="H194">
            <v>57.35</v>
          </cell>
          <cell r="I194">
            <v>0</v>
          </cell>
          <cell r="J194" t="str">
            <v>X</v>
          </cell>
          <cell r="K194">
            <v>1430787.4000000013</v>
          </cell>
          <cell r="L194">
            <v>1430787.4000000013</v>
          </cell>
          <cell r="M194">
            <v>7647</v>
          </cell>
        </row>
        <row r="195">
          <cell r="B195" t="str">
            <v>RE001-025</v>
          </cell>
          <cell r="C195" t="str">
            <v>1.01.04.01</v>
          </cell>
          <cell r="D195">
            <v>41299</v>
          </cell>
          <cell r="E195" t="str">
            <v xml:space="preserve">BANCO ITAÚ </v>
          </cell>
          <cell r="F195" t="str">
            <v xml:space="preserve">RENDIMENTO DE APLICAÇÃO </v>
          </cell>
          <cell r="G195" t="str">
            <v>C</v>
          </cell>
          <cell r="H195">
            <v>0</v>
          </cell>
          <cell r="I195">
            <v>19.18</v>
          </cell>
          <cell r="J195" t="str">
            <v>X</v>
          </cell>
          <cell r="K195">
            <v>1430806.5800000012</v>
          </cell>
          <cell r="L195">
            <v>1430806.5800000012</v>
          </cell>
          <cell r="M195">
            <v>0</v>
          </cell>
        </row>
        <row r="196">
          <cell r="B196" t="str">
            <v>Db-027</v>
          </cell>
          <cell r="C196" t="str">
            <v>2.06.02.05</v>
          </cell>
          <cell r="D196">
            <v>41302</v>
          </cell>
          <cell r="E196" t="str">
            <v xml:space="preserve">CRÉDITO OPERAÇÕES SUP SERV EMP </v>
          </cell>
          <cell r="F196" t="str">
            <v>REF. AMORTIZAÇÃO DE DEBENTURES JAN/2013</v>
          </cell>
          <cell r="G196" t="str">
            <v>D</v>
          </cell>
          <cell r="H196">
            <v>462200.44</v>
          </cell>
          <cell r="I196">
            <v>0</v>
          </cell>
          <cell r="J196" t="str">
            <v>X</v>
          </cell>
          <cell r="K196">
            <v>968606.14000000129</v>
          </cell>
          <cell r="L196">
            <v>968606.14000000129</v>
          </cell>
          <cell r="M196">
            <v>0</v>
          </cell>
        </row>
        <row r="197">
          <cell r="B197" t="str">
            <v>07-144/19</v>
          </cell>
          <cell r="C197" t="str">
            <v>2.04.01.07</v>
          </cell>
          <cell r="D197">
            <v>41302</v>
          </cell>
          <cell r="E197" t="str">
            <v>SECRETARIA DA RECEITA FEDERAL DO BRASIL</v>
          </cell>
          <cell r="F197" t="str">
            <v>DARF REF PARCELAMENTO REFIS 19/20</v>
          </cell>
          <cell r="G197" t="str">
            <v>D</v>
          </cell>
          <cell r="H197">
            <v>5399.76</v>
          </cell>
          <cell r="I197">
            <v>0</v>
          </cell>
          <cell r="J197" t="str">
            <v>X</v>
          </cell>
          <cell r="K197">
            <v>963206.38000000129</v>
          </cell>
          <cell r="L197">
            <v>963206.38000000129</v>
          </cell>
          <cell r="M197">
            <v>0</v>
          </cell>
        </row>
        <row r="198">
          <cell r="B198" t="str">
            <v>001-036</v>
          </cell>
          <cell r="C198" t="str">
            <v>2.02.03.04</v>
          </cell>
          <cell r="D198">
            <v>41302</v>
          </cell>
          <cell r="E198" t="str">
            <v>SECRETARIA DA RECEITA FEDERAL DO BRASIL</v>
          </cell>
          <cell r="F198" t="str">
            <v>DARF REF NF 37 ARAUJO DE ARAUJO</v>
          </cell>
          <cell r="G198" t="str">
            <v>D</v>
          </cell>
          <cell r="H198">
            <v>1283.4000000000001</v>
          </cell>
          <cell r="I198">
            <v>0</v>
          </cell>
          <cell r="J198" t="str">
            <v>X</v>
          </cell>
          <cell r="K198">
            <v>961922.98000000126</v>
          </cell>
          <cell r="L198">
            <v>961922.98000000126</v>
          </cell>
          <cell r="M198">
            <v>0</v>
          </cell>
        </row>
        <row r="199">
          <cell r="B199" t="str">
            <v>001-119</v>
          </cell>
          <cell r="C199" t="str">
            <v>2.02.03.24</v>
          </cell>
          <cell r="D199">
            <v>41302</v>
          </cell>
          <cell r="E199" t="str">
            <v>SECRETARIA DA RECEITA FEDERAL DO BRASIL</v>
          </cell>
          <cell r="F199" t="str">
            <v>DARF NF 13050 BRTUV</v>
          </cell>
          <cell r="G199" t="str">
            <v>D</v>
          </cell>
          <cell r="H199">
            <v>235.16</v>
          </cell>
          <cell r="I199">
            <v>0</v>
          </cell>
          <cell r="J199" t="str">
            <v>X</v>
          </cell>
          <cell r="K199">
            <v>961687.82000000123</v>
          </cell>
          <cell r="L199">
            <v>961687.82000000123</v>
          </cell>
          <cell r="M199">
            <v>0</v>
          </cell>
        </row>
        <row r="200">
          <cell r="B200" t="str">
            <v>001-073</v>
          </cell>
          <cell r="C200" t="str">
            <v>2.01.03.09</v>
          </cell>
          <cell r="D200">
            <v>41302</v>
          </cell>
          <cell r="E200" t="str">
            <v>COMPANHIA PIRATININGA DE FORÇA E LUZ - CPFL</v>
          </cell>
          <cell r="F200" t="str">
            <v>CONTA DE ENERGIAELEVATÓRIA 3 REF 01/2013</v>
          </cell>
          <cell r="G200" t="str">
            <v>D</v>
          </cell>
          <cell r="H200">
            <v>1948.98</v>
          </cell>
          <cell r="I200">
            <v>0</v>
          </cell>
          <cell r="J200" t="str">
            <v>X</v>
          </cell>
          <cell r="K200">
            <v>959738.84000000125</v>
          </cell>
          <cell r="L200">
            <v>959738.84000000125</v>
          </cell>
          <cell r="M200">
            <v>0</v>
          </cell>
        </row>
        <row r="201">
          <cell r="B201" t="str">
            <v>001-121</v>
          </cell>
          <cell r="C201" t="str">
            <v>2.02.03.24</v>
          </cell>
          <cell r="D201">
            <v>41302</v>
          </cell>
          <cell r="E201" t="str">
            <v>SECRETARIA DA RECEITA FEDERAL DO BRASIL</v>
          </cell>
          <cell r="F201" t="str">
            <v>DARF NF 13050 BRTUV</v>
          </cell>
          <cell r="G201" t="str">
            <v>D</v>
          </cell>
          <cell r="H201">
            <v>77.86</v>
          </cell>
          <cell r="I201">
            <v>0</v>
          </cell>
          <cell r="J201" t="str">
            <v>X</v>
          </cell>
          <cell r="K201">
            <v>959660.98000000126</v>
          </cell>
          <cell r="L201">
            <v>959660.98000000126</v>
          </cell>
          <cell r="M201">
            <v>0</v>
          </cell>
        </row>
        <row r="202">
          <cell r="B202" t="str">
            <v>001-071</v>
          </cell>
          <cell r="C202" t="str">
            <v>2.02.03.05</v>
          </cell>
          <cell r="D202">
            <v>41302</v>
          </cell>
          <cell r="E202" t="str">
            <v>SCANDIUZZI CONSULTORIA CONTABIL Ltda.</v>
          </cell>
          <cell r="F202" t="str">
            <v>DESPESAS INCORRIDAS EM 09/2012</v>
          </cell>
          <cell r="G202" t="str">
            <v>D</v>
          </cell>
          <cell r="H202">
            <v>371.22</v>
          </cell>
          <cell r="I202">
            <v>0</v>
          </cell>
          <cell r="J202" t="str">
            <v>X</v>
          </cell>
          <cell r="K202">
            <v>959289.76000000129</v>
          </cell>
          <cell r="L202">
            <v>959289.76000000129</v>
          </cell>
          <cell r="M202">
            <v>352</v>
          </cell>
        </row>
        <row r="203">
          <cell r="B203" t="str">
            <v>001-013</v>
          </cell>
          <cell r="C203" t="str">
            <v>2.02.02.02</v>
          </cell>
          <cell r="D203">
            <v>41302</v>
          </cell>
          <cell r="E203" t="str">
            <v xml:space="preserve">CAPITAL EMBALAGENS DESCARTÁVEIS </v>
          </cell>
          <cell r="F203" t="str">
            <v>COMPRA DE PRODUTOS DE LIMPEZA PARA ETE E ESCRITÓRIO</v>
          </cell>
          <cell r="G203" t="str">
            <v>D</v>
          </cell>
          <cell r="H203">
            <v>689.75</v>
          </cell>
          <cell r="I203">
            <v>0</v>
          </cell>
          <cell r="J203" t="str">
            <v>X</v>
          </cell>
          <cell r="K203">
            <v>958600.01000000129</v>
          </cell>
          <cell r="L203">
            <v>958600.01000000129</v>
          </cell>
          <cell r="M203">
            <v>28015</v>
          </cell>
        </row>
        <row r="204">
          <cell r="B204" t="str">
            <v>001-089</v>
          </cell>
          <cell r="C204" t="str">
            <v>2.01.05.14</v>
          </cell>
          <cell r="D204">
            <v>41302</v>
          </cell>
          <cell r="E204" t="str">
            <v>SANETRAT SANEAMENTO S/A</v>
          </cell>
          <cell r="F204" t="str">
            <v>REF AO TRATAMENTO DE ESGOTO  PERIODO DE 01/01 À 15/01</v>
          </cell>
          <cell r="G204" t="str">
            <v>D</v>
          </cell>
          <cell r="H204">
            <v>159.82</v>
          </cell>
          <cell r="I204">
            <v>0</v>
          </cell>
          <cell r="J204" t="str">
            <v>X</v>
          </cell>
          <cell r="K204">
            <v>958440.19000000134</v>
          </cell>
          <cell r="L204">
            <v>958440.19000000134</v>
          </cell>
          <cell r="M204">
            <v>2707</v>
          </cell>
        </row>
        <row r="205">
          <cell r="B205" t="str">
            <v>001-047</v>
          </cell>
          <cell r="C205" t="str">
            <v>2.01.05.07</v>
          </cell>
          <cell r="D205">
            <v>41302</v>
          </cell>
          <cell r="E205" t="str">
            <v>CASSOMED COM SERVIÇO DE SEG E SAÚDE OCUPACIONAL Ltda. ME</v>
          </cell>
          <cell r="F205" t="str">
            <v>PRESTAÇÃO DE SERVIÇOS DE PCMSO E SEGURANÇA DO TRABALHO</v>
          </cell>
          <cell r="G205" t="str">
            <v>D</v>
          </cell>
          <cell r="H205">
            <v>213.65</v>
          </cell>
          <cell r="I205">
            <v>0</v>
          </cell>
          <cell r="J205" t="str">
            <v>X</v>
          </cell>
          <cell r="K205">
            <v>958226.54000000132</v>
          </cell>
          <cell r="L205">
            <v>958226.54000000132</v>
          </cell>
          <cell r="M205">
            <v>1116</v>
          </cell>
        </row>
        <row r="206">
          <cell r="B206" t="str">
            <v>001-113</v>
          </cell>
          <cell r="C206" t="str">
            <v>2.02.02.04</v>
          </cell>
          <cell r="D206">
            <v>41302</v>
          </cell>
          <cell r="E206" t="str">
            <v xml:space="preserve">NETSERV </v>
          </cell>
          <cell r="F206" t="str">
            <v>LINK DE INTERNET - SCM</v>
          </cell>
          <cell r="G206" t="str">
            <v>D</v>
          </cell>
          <cell r="H206">
            <v>134</v>
          </cell>
          <cell r="I206">
            <v>0</v>
          </cell>
          <cell r="J206" t="str">
            <v>X</v>
          </cell>
          <cell r="K206">
            <v>958092.54000000132</v>
          </cell>
          <cell r="L206">
            <v>958092.54000000132</v>
          </cell>
          <cell r="M206">
            <v>626</v>
          </cell>
        </row>
        <row r="207">
          <cell r="B207" t="str">
            <v>12-039/4</v>
          </cell>
          <cell r="C207" t="str">
            <v>2.01.05.11</v>
          </cell>
          <cell r="D207">
            <v>41302</v>
          </cell>
          <cell r="E207" t="str">
            <v>VT COMÉRCIO DE MOTORES ELÉTRICOS E ACIONAMENTOS Ltda.</v>
          </cell>
          <cell r="F207" t="str">
            <v>REVISÃO E CONSERTO DE BOMBA</v>
          </cell>
          <cell r="G207" t="str">
            <v>D</v>
          </cell>
          <cell r="H207">
            <v>3000</v>
          </cell>
          <cell r="I207">
            <v>0</v>
          </cell>
          <cell r="J207" t="str">
            <v>X</v>
          </cell>
          <cell r="K207">
            <v>955092.54000000132</v>
          </cell>
          <cell r="L207">
            <v>955092.54000000132</v>
          </cell>
          <cell r="M207">
            <v>130</v>
          </cell>
        </row>
        <row r="208">
          <cell r="B208" t="str">
            <v>001-122</v>
          </cell>
          <cell r="C208" t="str">
            <v>2.06.03.01</v>
          </cell>
          <cell r="D208">
            <v>41302</v>
          </cell>
          <cell r="E208" t="str">
            <v>CVM - COMISSÃO DE VALORES MOBILIÁRIOS</v>
          </cell>
          <cell r="F208" t="str">
            <v>PARCELAMENTO N. 267 PARCELA 12</v>
          </cell>
          <cell r="G208" t="str">
            <v>D</v>
          </cell>
          <cell r="H208">
            <v>4733.8900000000003</v>
          </cell>
          <cell r="I208">
            <v>0</v>
          </cell>
          <cell r="J208" t="str">
            <v>X</v>
          </cell>
          <cell r="K208">
            <v>950358.6500000013</v>
          </cell>
          <cell r="L208">
            <v>950358.6500000013</v>
          </cell>
          <cell r="M208">
            <v>0</v>
          </cell>
        </row>
        <row r="209">
          <cell r="B209" t="str">
            <v>001-104</v>
          </cell>
          <cell r="C209" t="str">
            <v>2.02.03.19</v>
          </cell>
          <cell r="D209">
            <v>41302</v>
          </cell>
          <cell r="E209" t="str">
            <v>EDITORA JORNAL ESTÂNCIA LTDA</v>
          </cell>
          <cell r="F209" t="str">
            <v>REF A PUBLICAÇÃO ESPECIAL DE NATAL EM 20.12.12</v>
          </cell>
          <cell r="G209" t="str">
            <v>D</v>
          </cell>
          <cell r="H209">
            <v>700</v>
          </cell>
          <cell r="I209">
            <v>0</v>
          </cell>
          <cell r="J209" t="str">
            <v>X</v>
          </cell>
          <cell r="K209">
            <v>949658.6500000013</v>
          </cell>
          <cell r="L209">
            <v>949658.6500000013</v>
          </cell>
          <cell r="M209">
            <v>159</v>
          </cell>
        </row>
        <row r="210">
          <cell r="B210" t="str">
            <v>001-086</v>
          </cell>
          <cell r="C210" t="str">
            <v>2.01.05.14</v>
          </cell>
          <cell r="D210">
            <v>41302</v>
          </cell>
          <cell r="E210" t="str">
            <v>WILSON BENEDITO RIZZI</v>
          </cell>
          <cell r="F210" t="str">
            <v>CAMINHÃO DE AGUA PARA ETE</v>
          </cell>
          <cell r="G210" t="str">
            <v>D</v>
          </cell>
          <cell r="H210">
            <v>440</v>
          </cell>
          <cell r="I210">
            <v>0</v>
          </cell>
          <cell r="J210" t="str">
            <v>X</v>
          </cell>
          <cell r="K210">
            <v>949218.6500000013</v>
          </cell>
          <cell r="L210">
            <v>949218.6500000013</v>
          </cell>
          <cell r="M210">
            <v>3772</v>
          </cell>
        </row>
        <row r="211">
          <cell r="B211" t="str">
            <v>001-049</v>
          </cell>
          <cell r="C211" t="str">
            <v>2.01.05.13</v>
          </cell>
          <cell r="D211">
            <v>41302</v>
          </cell>
          <cell r="E211" t="str">
            <v>GARRA COM E SERVIÇOS PROFISSIONALIZADOS Ltda. ME</v>
          </cell>
          <cell r="F211" t="str">
            <v>PAGAMENTO DIFERENÇA  DISSIDIO REF A NOTA  JANEIRO 2013</v>
          </cell>
          <cell r="G211" t="str">
            <v>D</v>
          </cell>
          <cell r="H211">
            <v>408.04</v>
          </cell>
          <cell r="I211">
            <v>0</v>
          </cell>
          <cell r="J211" t="str">
            <v>X</v>
          </cell>
          <cell r="K211">
            <v>948810.61000000127</v>
          </cell>
          <cell r="L211">
            <v>948810.61000000127</v>
          </cell>
          <cell r="M211">
            <v>831</v>
          </cell>
        </row>
        <row r="212">
          <cell r="B212" t="str">
            <v>001-048</v>
          </cell>
          <cell r="C212" t="str">
            <v>2.01.05.13</v>
          </cell>
          <cell r="D212">
            <v>41302</v>
          </cell>
          <cell r="E212" t="str">
            <v>GARRA COM E SERVIÇOS PROFISSIONALIZADOS Ltda. ME</v>
          </cell>
          <cell r="F212" t="str">
            <v>PAGAMENTO DIFERENÇA  DISSIDIO REF A NOTA  JANEIRO 2013</v>
          </cell>
          <cell r="G212" t="str">
            <v>D</v>
          </cell>
          <cell r="H212">
            <v>1348.92</v>
          </cell>
          <cell r="I212">
            <v>0</v>
          </cell>
          <cell r="J212" t="str">
            <v>X</v>
          </cell>
          <cell r="K212">
            <v>947461.69000000122</v>
          </cell>
          <cell r="L212">
            <v>947461.69000000122</v>
          </cell>
          <cell r="M212">
            <v>830</v>
          </cell>
        </row>
        <row r="213">
          <cell r="B213" t="str">
            <v>001-066</v>
          </cell>
          <cell r="C213" t="str">
            <v>2.02.03.08</v>
          </cell>
          <cell r="D213">
            <v>41302</v>
          </cell>
          <cell r="E213" t="str">
            <v>ARCOSERV AR CONDICIONADO Ltda.</v>
          </cell>
          <cell r="F213" t="str">
            <v>SERVIÇOS DE MANUTENÇÃO DE AR CONDICIONADO</v>
          </cell>
          <cell r="G213" t="str">
            <v>D</v>
          </cell>
          <cell r="H213">
            <v>76.510000000000005</v>
          </cell>
          <cell r="I213">
            <v>0</v>
          </cell>
          <cell r="J213" t="str">
            <v>X</v>
          </cell>
          <cell r="K213">
            <v>947385.18000000122</v>
          </cell>
          <cell r="L213">
            <v>947385.18000000122</v>
          </cell>
          <cell r="M213">
            <v>2412</v>
          </cell>
        </row>
        <row r="214">
          <cell r="B214" t="str">
            <v>001-096</v>
          </cell>
          <cell r="C214" t="str">
            <v>2.01.05.13</v>
          </cell>
          <cell r="D214">
            <v>41302</v>
          </cell>
          <cell r="E214" t="str">
            <v>GARRA COM E SERVIÇOS PROFISSIONALIZADOS Ltda. ME</v>
          </cell>
          <cell r="F214" t="str">
            <v>PRESTAÇÃO DE SERVIÇOS DE PORTARIA</v>
          </cell>
          <cell r="G214" t="str">
            <v>D</v>
          </cell>
          <cell r="H214">
            <v>4806.32</v>
          </cell>
          <cell r="I214">
            <v>0</v>
          </cell>
          <cell r="J214" t="str">
            <v>X</v>
          </cell>
          <cell r="K214">
            <v>942578.86000000127</v>
          </cell>
          <cell r="L214">
            <v>942578.86000000127</v>
          </cell>
          <cell r="M214">
            <v>785</v>
          </cell>
        </row>
        <row r="215">
          <cell r="B215" t="str">
            <v>001-095</v>
          </cell>
          <cell r="C215" t="str">
            <v>2.01.05.13</v>
          </cell>
          <cell r="D215">
            <v>41302</v>
          </cell>
          <cell r="E215" t="str">
            <v>GARRA COM E SERVIÇOS PROFISSIONALIZADOS Ltda. ME</v>
          </cell>
          <cell r="F215" t="str">
            <v>PRESTAÇÃO DE SERVIÇOS DE PORTARIA</v>
          </cell>
          <cell r="G215" t="str">
            <v>D</v>
          </cell>
          <cell r="H215">
            <v>12980.99</v>
          </cell>
          <cell r="I215">
            <v>0</v>
          </cell>
          <cell r="J215" t="str">
            <v>X</v>
          </cell>
          <cell r="K215">
            <v>929597.87000000128</v>
          </cell>
          <cell r="L215">
            <v>929597.87000000128</v>
          </cell>
          <cell r="M215">
            <v>786</v>
          </cell>
        </row>
        <row r="216">
          <cell r="B216" t="str">
            <v>001-105</v>
          </cell>
          <cell r="C216" t="str">
            <v>2.02.03.10</v>
          </cell>
          <cell r="D216">
            <v>41302</v>
          </cell>
          <cell r="E216" t="str">
            <v>SINDICATO TRAB AGUA ESGOTO E  MEIO AMBIENTE DO EST DE SP</v>
          </cell>
          <cell r="F216" t="str">
            <v xml:space="preserve">CONTRIBUIÇÃO SINDICAL URBANA </v>
          </cell>
          <cell r="G216" t="str">
            <v>D</v>
          </cell>
          <cell r="H216">
            <v>2362.42</v>
          </cell>
          <cell r="I216">
            <v>0</v>
          </cell>
          <cell r="J216" t="str">
            <v>X</v>
          </cell>
          <cell r="K216">
            <v>927235.45000000123</v>
          </cell>
          <cell r="L216">
            <v>927235.45000000123</v>
          </cell>
          <cell r="M216">
            <v>0</v>
          </cell>
        </row>
        <row r="217">
          <cell r="B217" t="str">
            <v>001-075</v>
          </cell>
          <cell r="C217" t="str">
            <v>2.01.03.09</v>
          </cell>
          <cell r="D217">
            <v>41302</v>
          </cell>
          <cell r="E217" t="str">
            <v>COMPANHIA PIRATININGA DE FORÇA E LUZ - CPFL</v>
          </cell>
          <cell r="F217" t="str">
            <v>CONTA DE ENERGIA ELEVATÓRIA 1 REF 01/2013</v>
          </cell>
          <cell r="G217" t="str">
            <v>D</v>
          </cell>
          <cell r="H217">
            <v>4773.33</v>
          </cell>
          <cell r="I217">
            <v>0</v>
          </cell>
          <cell r="J217" t="str">
            <v>X</v>
          </cell>
          <cell r="K217">
            <v>922462.12000000128</v>
          </cell>
          <cell r="L217">
            <v>922462.12000000128</v>
          </cell>
          <cell r="M217">
            <v>0</v>
          </cell>
        </row>
        <row r="218">
          <cell r="B218" t="str">
            <v>001-074</v>
          </cell>
          <cell r="C218" t="str">
            <v>2.01.03.09</v>
          </cell>
          <cell r="D218">
            <v>41302</v>
          </cell>
          <cell r="E218" t="str">
            <v>COMPANHIA PIRATININGA DE FORÇA E LUZ - CPFL</v>
          </cell>
          <cell r="F218" t="str">
            <v>CONTA DE ENERGIA ELEVATÓRIA FINAL REF 01/2013</v>
          </cell>
          <cell r="G218" t="str">
            <v>D</v>
          </cell>
          <cell r="H218">
            <v>19977.669999999998</v>
          </cell>
          <cell r="I218">
            <v>0</v>
          </cell>
          <cell r="J218" t="str">
            <v>X</v>
          </cell>
          <cell r="K218">
            <v>902484.45000000123</v>
          </cell>
          <cell r="L218">
            <v>902484.45000000123</v>
          </cell>
          <cell r="M218">
            <v>0</v>
          </cell>
        </row>
        <row r="219">
          <cell r="B219" t="str">
            <v>RE001-026</v>
          </cell>
          <cell r="C219" t="str">
            <v>1.01.04.01</v>
          </cell>
          <cell r="D219">
            <v>41302</v>
          </cell>
          <cell r="E219" t="str">
            <v xml:space="preserve">BANCO ITAÚ </v>
          </cell>
          <cell r="F219" t="str">
            <v xml:space="preserve">RENDIMENTO DE APLICAÇÃO </v>
          </cell>
          <cell r="G219" t="str">
            <v>C</v>
          </cell>
          <cell r="H219">
            <v>0</v>
          </cell>
          <cell r="I219">
            <v>17.29</v>
          </cell>
          <cell r="J219" t="str">
            <v>X</v>
          </cell>
          <cell r="K219">
            <v>902501.74000000127</v>
          </cell>
          <cell r="L219">
            <v>902501.74000000127</v>
          </cell>
          <cell r="M219">
            <v>0</v>
          </cell>
        </row>
        <row r="220">
          <cell r="B220" t="str">
            <v>RE001-027</v>
          </cell>
          <cell r="C220" t="str">
            <v>1.01.01.01</v>
          </cell>
          <cell r="D220">
            <v>41303</v>
          </cell>
          <cell r="E220" t="str">
            <v>SANESALTO SANEAMENTO S/A</v>
          </cell>
          <cell r="F220" t="str">
            <v>MEDIÇÃO DE 19/01 Á 25/01</v>
          </cell>
          <cell r="G220" t="str">
            <v>C</v>
          </cell>
          <cell r="H220">
            <v>0</v>
          </cell>
          <cell r="I220">
            <v>128965.37</v>
          </cell>
          <cell r="J220" t="str">
            <v>X</v>
          </cell>
          <cell r="K220">
            <v>1031467.1100000013</v>
          </cell>
          <cell r="L220">
            <v>1031467.1100000013</v>
          </cell>
          <cell r="M220">
            <v>0</v>
          </cell>
        </row>
        <row r="221">
          <cell r="B221" t="str">
            <v>001-127</v>
          </cell>
          <cell r="C221" t="str">
            <v>2.05.01.02</v>
          </cell>
          <cell r="D221">
            <v>41303</v>
          </cell>
          <cell r="E221" t="str">
            <v xml:space="preserve">BANCO ITAÚ S/A </v>
          </cell>
          <cell r="F221" t="str">
            <v xml:space="preserve">TAR ENV EXTRAT </v>
          </cell>
          <cell r="G221" t="str">
            <v>D</v>
          </cell>
          <cell r="H221">
            <v>4</v>
          </cell>
          <cell r="I221">
            <v>0</v>
          </cell>
          <cell r="J221" t="str">
            <v>X</v>
          </cell>
          <cell r="K221">
            <v>1031463.1100000013</v>
          </cell>
          <cell r="L221">
            <v>1031463.1100000013</v>
          </cell>
          <cell r="M221">
            <v>0</v>
          </cell>
        </row>
        <row r="222">
          <cell r="B222" t="str">
            <v>RE001-028</v>
          </cell>
          <cell r="C222" t="str">
            <v>1.01.04.01</v>
          </cell>
          <cell r="D222">
            <v>41303</v>
          </cell>
          <cell r="E222" t="str">
            <v xml:space="preserve">BANCO ITAÚ </v>
          </cell>
          <cell r="F222" t="str">
            <v xml:space="preserve">RENDIMENTO DE APLICAÇÃO </v>
          </cell>
          <cell r="G222" t="str">
            <v>C</v>
          </cell>
          <cell r="H222">
            <v>0</v>
          </cell>
          <cell r="I222">
            <v>7.04</v>
          </cell>
          <cell r="J222" t="str">
            <v>X</v>
          </cell>
          <cell r="K222">
            <v>1031470.1500000013</v>
          </cell>
          <cell r="L222">
            <v>1031470.1500000013</v>
          </cell>
          <cell r="M222">
            <v>0</v>
          </cell>
        </row>
        <row r="223">
          <cell r="B223" t="str">
            <v>001-126</v>
          </cell>
          <cell r="C223" t="str">
            <v>2.07.03.01</v>
          </cell>
          <cell r="D223">
            <v>41304</v>
          </cell>
          <cell r="E223" t="str">
            <v>CONASA COMPANHIA NACIONAL DE SANEAMENTO</v>
          </cell>
          <cell r="F223" t="str">
            <v>ADIANTAMENTO CONTRATUAL</v>
          </cell>
          <cell r="G223" t="str">
            <v>D</v>
          </cell>
          <cell r="H223">
            <v>100000</v>
          </cell>
          <cell r="I223">
            <v>0</v>
          </cell>
          <cell r="J223" t="str">
            <v>X</v>
          </cell>
          <cell r="K223">
            <v>931470.1500000013</v>
          </cell>
          <cell r="L223">
            <v>931470.1500000013</v>
          </cell>
          <cell r="M223">
            <v>0</v>
          </cell>
        </row>
        <row r="224">
          <cell r="B224" t="str">
            <v>001-124</v>
          </cell>
          <cell r="C224" t="str">
            <v>2.02.02.04</v>
          </cell>
          <cell r="D224">
            <v>41304</v>
          </cell>
          <cell r="E224" t="str">
            <v xml:space="preserve">NETSERV </v>
          </cell>
          <cell r="F224" t="str">
            <v>LINK DE INTERNET - SCM</v>
          </cell>
          <cell r="G224" t="str">
            <v>D</v>
          </cell>
          <cell r="H224">
            <v>307</v>
          </cell>
          <cell r="I224">
            <v>0</v>
          </cell>
          <cell r="J224" t="str">
            <v>X</v>
          </cell>
          <cell r="K224">
            <v>931163.1500000013</v>
          </cell>
          <cell r="L224">
            <v>931163.1500000013</v>
          </cell>
          <cell r="M224">
            <v>0</v>
          </cell>
        </row>
        <row r="225">
          <cell r="B225" t="str">
            <v>RE001-029</v>
          </cell>
          <cell r="C225" t="str">
            <v>1.01.04.01</v>
          </cell>
          <cell r="D225">
            <v>41304</v>
          </cell>
          <cell r="E225" t="str">
            <v xml:space="preserve">BANCO ITAÚ </v>
          </cell>
          <cell r="F225" t="str">
            <v xml:space="preserve">RENDIMENTO DE APLICAÇÃO </v>
          </cell>
          <cell r="G225" t="str">
            <v>C</v>
          </cell>
          <cell r="H225">
            <v>0</v>
          </cell>
          <cell r="I225">
            <v>3.44</v>
          </cell>
          <cell r="J225" t="str">
            <v>X</v>
          </cell>
          <cell r="K225">
            <v>931166.59000000125</v>
          </cell>
          <cell r="L225">
            <v>931166.59000000125</v>
          </cell>
          <cell r="M225">
            <v>0</v>
          </cell>
        </row>
        <row r="226">
          <cell r="B226" t="str">
            <v>001-144</v>
          </cell>
          <cell r="C226" t="str">
            <v>2.07.03.02</v>
          </cell>
          <cell r="D226">
            <v>41305</v>
          </cell>
          <cell r="E226" t="str">
            <v xml:space="preserve">GUINA TUBOS </v>
          </cell>
          <cell r="F226" t="str">
            <v>COMPRA DE 6 ANEIS DE CONCRET E 2 TAMPAS DE CONCRETO</v>
          </cell>
          <cell r="G226" t="str">
            <v>D</v>
          </cell>
          <cell r="H226">
            <v>360</v>
          </cell>
          <cell r="I226">
            <v>0</v>
          </cell>
          <cell r="J226" t="str">
            <v>X</v>
          </cell>
          <cell r="K226">
            <v>930806.59000000125</v>
          </cell>
          <cell r="L226">
            <v>930806.59000000125</v>
          </cell>
          <cell r="M226">
            <v>2900</v>
          </cell>
        </row>
        <row r="227">
          <cell r="B227" t="str">
            <v>RE001-030</v>
          </cell>
          <cell r="C227" t="str">
            <v>1.01.04.01</v>
          </cell>
          <cell r="D227">
            <v>41305</v>
          </cell>
          <cell r="E227" t="str">
            <v xml:space="preserve">BANCO ITAÚ </v>
          </cell>
          <cell r="F227" t="str">
            <v xml:space="preserve">RENDIMENTO DE APLICAÇÃO </v>
          </cell>
          <cell r="G227" t="str">
            <v>C</v>
          </cell>
          <cell r="H227">
            <v>0</v>
          </cell>
          <cell r="I227">
            <v>3.21</v>
          </cell>
          <cell r="J227" t="str">
            <v>X</v>
          </cell>
          <cell r="K227">
            <v>930809.80000000121</v>
          </cell>
          <cell r="L227">
            <v>930809.80000000121</v>
          </cell>
          <cell r="M227">
            <v>0</v>
          </cell>
        </row>
        <row r="228">
          <cell r="B228" t="str">
            <v>001-145</v>
          </cell>
          <cell r="C228" t="str">
            <v>2.05.01.02</v>
          </cell>
          <cell r="D228">
            <v>41306</v>
          </cell>
          <cell r="E228" t="str">
            <v xml:space="preserve">BANCO ITAÚ S/A </v>
          </cell>
          <cell r="F228" t="str">
            <v>TAR DOC SISPAG</v>
          </cell>
          <cell r="G228" t="str">
            <v>D</v>
          </cell>
          <cell r="H228">
            <v>58.5</v>
          </cell>
          <cell r="I228">
            <v>0</v>
          </cell>
          <cell r="J228" t="str">
            <v>X</v>
          </cell>
          <cell r="K228">
            <v>930751.30000000121</v>
          </cell>
          <cell r="L228">
            <v>930751.30000000121</v>
          </cell>
          <cell r="M228">
            <v>0</v>
          </cell>
        </row>
        <row r="229">
          <cell r="B229" t="str">
            <v>001-146</v>
          </cell>
          <cell r="C229" t="str">
            <v>2.05.01.02</v>
          </cell>
          <cell r="D229">
            <v>41306</v>
          </cell>
          <cell r="E229" t="str">
            <v xml:space="preserve">BANCO ITAÚ S/A </v>
          </cell>
          <cell r="F229" t="str">
            <v>TAR DOC SISPAG</v>
          </cell>
          <cell r="G229" t="str">
            <v>D</v>
          </cell>
          <cell r="H229">
            <v>4.5</v>
          </cell>
          <cell r="I229">
            <v>0</v>
          </cell>
          <cell r="J229" t="str">
            <v>X</v>
          </cell>
          <cell r="K229">
            <v>930746.80000000121</v>
          </cell>
          <cell r="L229">
            <v>930746.80000000121</v>
          </cell>
          <cell r="M229">
            <v>0</v>
          </cell>
        </row>
        <row r="230">
          <cell r="B230" t="str">
            <v>001-147</v>
          </cell>
          <cell r="C230" t="str">
            <v>2.05.01.02</v>
          </cell>
          <cell r="D230">
            <v>41306</v>
          </cell>
          <cell r="E230" t="str">
            <v xml:space="preserve">BANCO ITAÚ S/A </v>
          </cell>
          <cell r="F230" t="str">
            <v>TAR TED SISPAG</v>
          </cell>
          <cell r="G230" t="str">
            <v>D</v>
          </cell>
          <cell r="H230">
            <v>31.5</v>
          </cell>
          <cell r="I230">
            <v>0</v>
          </cell>
          <cell r="J230" t="str">
            <v>X</v>
          </cell>
          <cell r="K230">
            <v>930715.30000000121</v>
          </cell>
          <cell r="L230">
            <v>930715.30000000121</v>
          </cell>
          <cell r="M230">
            <v>0</v>
          </cell>
        </row>
        <row r="231">
          <cell r="B231" t="str">
            <v>RE002-002</v>
          </cell>
          <cell r="C231" t="str">
            <v>1.01.04.01</v>
          </cell>
          <cell r="D231">
            <v>41306</v>
          </cell>
          <cell r="E231" t="str">
            <v xml:space="preserve">BANCO ITAÚ </v>
          </cell>
          <cell r="F231" t="str">
            <v>ESTORNO  ITAU DEBENTURES</v>
          </cell>
          <cell r="G231" t="str">
            <v>C</v>
          </cell>
          <cell r="H231">
            <v>0</v>
          </cell>
          <cell r="I231">
            <v>0.04</v>
          </cell>
          <cell r="J231" t="str">
            <v>X</v>
          </cell>
          <cell r="K231">
            <v>930715.34000000125</v>
          </cell>
          <cell r="L231">
            <v>930715.34000000125</v>
          </cell>
          <cell r="M231">
            <v>0</v>
          </cell>
        </row>
        <row r="232">
          <cell r="B232" t="str">
            <v>002-001</v>
          </cell>
          <cell r="C232" t="str">
            <v>2.02.03.04</v>
          </cell>
          <cell r="D232">
            <v>41306</v>
          </cell>
          <cell r="E232" t="str">
            <v>ARAUJO DE ARAUJO CONSULTORIA</v>
          </cell>
          <cell r="F232" t="str">
            <v xml:space="preserve">PAGAMENTO DE HONORÁRIOS DE CONSULTORIA </v>
          </cell>
          <cell r="G232" t="str">
            <v>D</v>
          </cell>
          <cell r="H232">
            <v>28164.51</v>
          </cell>
          <cell r="I232">
            <v>0</v>
          </cell>
          <cell r="J232" t="str">
            <v>X</v>
          </cell>
          <cell r="K232">
            <v>902550.83000000124</v>
          </cell>
          <cell r="L232">
            <v>902550.83000000124</v>
          </cell>
          <cell r="M232">
            <v>38</v>
          </cell>
        </row>
        <row r="233">
          <cell r="B233" t="str">
            <v>002-011</v>
          </cell>
          <cell r="C233" t="str">
            <v>2.01.01.06</v>
          </cell>
          <cell r="D233">
            <v>41306</v>
          </cell>
          <cell r="E233" t="str">
            <v>SODEXO PASS DO BRASIL</v>
          </cell>
          <cell r="F233" t="str">
            <v>VALE ALIMENTAÇÃO REF 02/2013</v>
          </cell>
          <cell r="G233" t="str">
            <v>D</v>
          </cell>
          <cell r="H233">
            <v>8653.73</v>
          </cell>
          <cell r="I233">
            <v>0</v>
          </cell>
          <cell r="J233" t="str">
            <v>X</v>
          </cell>
          <cell r="K233">
            <v>893897.10000000126</v>
          </cell>
          <cell r="L233">
            <v>893897.10000000126</v>
          </cell>
          <cell r="M233">
            <v>0</v>
          </cell>
        </row>
        <row r="234">
          <cell r="B234" t="str">
            <v>002-005</v>
          </cell>
          <cell r="C234" t="str">
            <v>2.01.01.06</v>
          </cell>
          <cell r="D234">
            <v>41306</v>
          </cell>
          <cell r="E234" t="str">
            <v xml:space="preserve">RESTAURANTE SUINDARA </v>
          </cell>
          <cell r="F234" t="str">
            <v xml:space="preserve">FORNECIMENTO DE MARMITEX PARA ETE </v>
          </cell>
          <cell r="G234" t="str">
            <v>D</v>
          </cell>
          <cell r="H234">
            <v>2277</v>
          </cell>
          <cell r="I234">
            <v>0</v>
          </cell>
          <cell r="J234" t="str">
            <v>X</v>
          </cell>
          <cell r="K234">
            <v>891620.10000000126</v>
          </cell>
          <cell r="L234">
            <v>891620.10000000126</v>
          </cell>
          <cell r="M234">
            <v>4399</v>
          </cell>
        </row>
        <row r="235">
          <cell r="B235" t="str">
            <v>001-088</v>
          </cell>
          <cell r="C235" t="str">
            <v>2.02.03.04</v>
          </cell>
          <cell r="D235">
            <v>41306</v>
          </cell>
          <cell r="E235" t="str">
            <v xml:space="preserve">CB&amp;A AUDITORIA E CONTABILIDADE </v>
          </cell>
          <cell r="F235" t="str">
            <v>HONORÁRIOS REF A SERVIÇO DE AUDITORIA INDEPENDENTE 01/2013</v>
          </cell>
          <cell r="G235" t="str">
            <v>D</v>
          </cell>
          <cell r="H235">
            <v>1699.13</v>
          </cell>
          <cell r="I235">
            <v>0</v>
          </cell>
          <cell r="J235" t="str">
            <v>X</v>
          </cell>
          <cell r="K235">
            <v>889920.97000000125</v>
          </cell>
          <cell r="L235">
            <v>889920.97000000125</v>
          </cell>
          <cell r="M235">
            <v>2160</v>
          </cell>
        </row>
        <row r="236">
          <cell r="B236" t="str">
            <v>001-137</v>
          </cell>
          <cell r="C236" t="str">
            <v>2.01.01.07</v>
          </cell>
          <cell r="D236">
            <v>41306</v>
          </cell>
          <cell r="E236" t="str">
            <v>AUTO ONIBUS NARDELLI LTDA</v>
          </cell>
          <cell r="F236" t="str">
            <v>CARGA EM CARTÃO DOS FUNCIONÁRIOS</v>
          </cell>
          <cell r="G236" t="str">
            <v>D</v>
          </cell>
          <cell r="H236">
            <v>1378.26</v>
          </cell>
          <cell r="I236">
            <v>0</v>
          </cell>
          <cell r="J236" t="str">
            <v>X</v>
          </cell>
          <cell r="K236">
            <v>888542.71000000124</v>
          </cell>
          <cell r="L236">
            <v>888542.71000000124</v>
          </cell>
          <cell r="M236">
            <v>0</v>
          </cell>
        </row>
        <row r="237">
          <cell r="B237" t="str">
            <v>001-109</v>
          </cell>
          <cell r="C237" t="str">
            <v>2.02.02.04</v>
          </cell>
          <cell r="D237">
            <v>41306</v>
          </cell>
          <cell r="E237" t="str">
            <v>NEXTEL TELECOMUNICAÇÕES</v>
          </cell>
          <cell r="F237" t="str">
            <v>PERIODO DE 07/12 A 06/01/2013</v>
          </cell>
          <cell r="G237" t="str">
            <v>D</v>
          </cell>
          <cell r="H237">
            <v>960.63</v>
          </cell>
          <cell r="I237">
            <v>0</v>
          </cell>
          <cell r="J237" t="str">
            <v>X</v>
          </cell>
          <cell r="K237">
            <v>887582.08000000124</v>
          </cell>
          <cell r="L237">
            <v>887582.08000000124</v>
          </cell>
          <cell r="M237" t="str">
            <v>6244996.12</v>
          </cell>
        </row>
        <row r="238">
          <cell r="B238" t="str">
            <v>001-110</v>
          </cell>
          <cell r="C238" t="str">
            <v>2.02.02.04</v>
          </cell>
          <cell r="D238">
            <v>41306</v>
          </cell>
          <cell r="E238" t="str">
            <v>NEXTEL TELECOMUNICAÇÕES</v>
          </cell>
          <cell r="F238" t="str">
            <v>PERIODO DE 07/12 A 06/01/2013</v>
          </cell>
          <cell r="G238" t="str">
            <v>D</v>
          </cell>
          <cell r="H238">
            <v>530.88</v>
          </cell>
          <cell r="I238">
            <v>0</v>
          </cell>
          <cell r="J238" t="str">
            <v>X</v>
          </cell>
          <cell r="K238">
            <v>887051.20000000123</v>
          </cell>
          <cell r="L238">
            <v>887051.20000000123</v>
          </cell>
          <cell r="M238" t="str">
            <v>6244996.10</v>
          </cell>
        </row>
        <row r="239">
          <cell r="B239" t="str">
            <v>002-004</v>
          </cell>
          <cell r="C239" t="str">
            <v>2.02.03.21</v>
          </cell>
          <cell r="D239">
            <v>41306</v>
          </cell>
          <cell r="E239" t="str">
            <v>RODRIGO BUENO</v>
          </cell>
          <cell r="F239" t="str">
            <v>DESPESAS INCORRIDAS EM 01 A 31/01/13</v>
          </cell>
          <cell r="G239" t="str">
            <v>D</v>
          </cell>
          <cell r="H239">
            <v>425.14</v>
          </cell>
          <cell r="I239">
            <v>0</v>
          </cell>
          <cell r="J239" t="str">
            <v>X</v>
          </cell>
          <cell r="K239">
            <v>886626.06000000122</v>
          </cell>
          <cell r="L239">
            <v>886626.06000000122</v>
          </cell>
          <cell r="M239">
            <v>0</v>
          </cell>
        </row>
        <row r="240">
          <cell r="B240" t="str">
            <v>001-112</v>
          </cell>
          <cell r="C240" t="str">
            <v>2.02.02.04</v>
          </cell>
          <cell r="D240">
            <v>41306</v>
          </cell>
          <cell r="E240" t="str">
            <v>NEXTEL TELECOMUNICAÇÕES</v>
          </cell>
          <cell r="F240" t="str">
            <v>PERIODO DE 07/12 A 06/01/2013</v>
          </cell>
          <cell r="G240" t="str">
            <v>D</v>
          </cell>
          <cell r="H240">
            <v>302.89999999999998</v>
          </cell>
          <cell r="I240">
            <v>0</v>
          </cell>
          <cell r="J240" t="str">
            <v>X</v>
          </cell>
          <cell r="K240">
            <v>886323.1600000012</v>
          </cell>
          <cell r="L240">
            <v>886323.1600000012</v>
          </cell>
          <cell r="M240" t="str">
            <v>6244996.11</v>
          </cell>
        </row>
        <row r="241">
          <cell r="B241" t="str">
            <v>001-019/2</v>
          </cell>
          <cell r="C241" t="str">
            <v>2.02.03.08</v>
          </cell>
          <cell r="D241">
            <v>41306</v>
          </cell>
          <cell r="E241" t="str">
            <v>ARCOSERV AR CONDICIONADO Ltda.</v>
          </cell>
          <cell r="F241" t="str">
            <v>SERVIÇOS DE MANUTENÇÃO DE AR CONDICIONADO</v>
          </cell>
          <cell r="G241" t="str">
            <v>D</v>
          </cell>
          <cell r="H241">
            <v>248</v>
          </cell>
          <cell r="I241">
            <v>0</v>
          </cell>
          <cell r="J241" t="str">
            <v>X</v>
          </cell>
          <cell r="K241">
            <v>886075.1600000012</v>
          </cell>
          <cell r="L241">
            <v>886075.1600000012</v>
          </cell>
          <cell r="M241">
            <v>2362</v>
          </cell>
        </row>
        <row r="242">
          <cell r="B242" t="str">
            <v>001-035</v>
          </cell>
          <cell r="C242" t="str">
            <v>2.01.03.16</v>
          </cell>
          <cell r="D242">
            <v>41306</v>
          </cell>
          <cell r="E242" t="str">
            <v xml:space="preserve">SALTO LUZ MATERIAIS ELÉTRICOS </v>
          </cell>
          <cell r="F242" t="str">
            <v>COMPRA DE MATERIAIS ELÉTRICOS PARA ETE</v>
          </cell>
          <cell r="G242" t="str">
            <v>D</v>
          </cell>
          <cell r="H242">
            <v>90.9</v>
          </cell>
          <cell r="I242">
            <v>0</v>
          </cell>
          <cell r="J242" t="str">
            <v>X</v>
          </cell>
          <cell r="K242">
            <v>885984.26000000117</v>
          </cell>
          <cell r="L242">
            <v>885984.26000000117</v>
          </cell>
          <cell r="M242">
            <v>12104</v>
          </cell>
        </row>
        <row r="243">
          <cell r="B243" t="str">
            <v>001-099</v>
          </cell>
          <cell r="C243" t="str">
            <v>2.02.03.04</v>
          </cell>
          <cell r="D243">
            <v>41306</v>
          </cell>
          <cell r="E243" t="str">
            <v>KPMG AUDITORES INDEPENDENTES</v>
          </cell>
          <cell r="F243" t="str">
            <v>DESPESAS COM AUDITORIA SANESALTO</v>
          </cell>
          <cell r="G243" t="str">
            <v>D</v>
          </cell>
          <cell r="H243">
            <v>86.07</v>
          </cell>
          <cell r="I243">
            <v>0</v>
          </cell>
          <cell r="J243" t="str">
            <v>X</v>
          </cell>
          <cell r="K243">
            <v>885898.19000000122</v>
          </cell>
          <cell r="L243">
            <v>885898.19000000122</v>
          </cell>
          <cell r="M243">
            <v>0</v>
          </cell>
        </row>
        <row r="244">
          <cell r="B244" t="str">
            <v>002-002</v>
          </cell>
          <cell r="C244" t="str">
            <v>2.02.03.19</v>
          </cell>
          <cell r="D244">
            <v>41306</v>
          </cell>
          <cell r="E244" t="str">
            <v>GILBERTO SILVA ROQUE</v>
          </cell>
          <cell r="F244" t="str">
            <v>PATROCINIO ATLETISMO CORRIDA LUA</v>
          </cell>
          <cell r="G244" t="str">
            <v>D</v>
          </cell>
          <cell r="H244">
            <v>75</v>
          </cell>
          <cell r="I244">
            <v>0</v>
          </cell>
          <cell r="J244" t="str">
            <v>X</v>
          </cell>
          <cell r="K244">
            <v>885823.19000000122</v>
          </cell>
          <cell r="L244">
            <v>885823.19000000122</v>
          </cell>
          <cell r="M244">
            <v>0</v>
          </cell>
        </row>
        <row r="245">
          <cell r="B245" t="str">
            <v>002-003</v>
          </cell>
          <cell r="C245" t="str">
            <v>2.02.03.19</v>
          </cell>
          <cell r="D245">
            <v>41306</v>
          </cell>
          <cell r="E245" t="str">
            <v>GILBERTO SILVA ROQUE</v>
          </cell>
          <cell r="F245" t="str">
            <v>PATROCINIO ATLETISMO CORRIDA SOROCABA</v>
          </cell>
          <cell r="G245" t="str">
            <v>D</v>
          </cell>
          <cell r="H245">
            <v>80</v>
          </cell>
          <cell r="I245">
            <v>0</v>
          </cell>
          <cell r="J245" t="str">
            <v>X</v>
          </cell>
          <cell r="K245">
            <v>885743.19000000122</v>
          </cell>
          <cell r="L245">
            <v>885743.19000000122</v>
          </cell>
          <cell r="M245">
            <v>0</v>
          </cell>
        </row>
        <row r="246">
          <cell r="B246" t="str">
            <v>002-015</v>
          </cell>
          <cell r="C246" t="str">
            <v>2.05.01.02</v>
          </cell>
          <cell r="D246">
            <v>41306</v>
          </cell>
          <cell r="E246" t="str">
            <v xml:space="preserve">BANCO ITAÚ S/A </v>
          </cell>
          <cell r="F246" t="str">
            <v>TAR DOC SISPAG</v>
          </cell>
          <cell r="G246" t="str">
            <v>D</v>
          </cell>
          <cell r="H246">
            <v>4.5</v>
          </cell>
          <cell r="I246">
            <v>0</v>
          </cell>
          <cell r="J246" t="str">
            <v>X</v>
          </cell>
          <cell r="K246">
            <v>885738.69000000122</v>
          </cell>
          <cell r="L246">
            <v>885738.69000000122</v>
          </cell>
          <cell r="M246">
            <v>0</v>
          </cell>
        </row>
        <row r="247">
          <cell r="B247" t="str">
            <v>RE002-003</v>
          </cell>
          <cell r="C247" t="str">
            <v>1.01.04.01</v>
          </cell>
          <cell r="D247">
            <v>41306</v>
          </cell>
          <cell r="E247" t="str">
            <v xml:space="preserve">BANCO ITAÚ </v>
          </cell>
          <cell r="F247" t="str">
            <v xml:space="preserve">RENDIMENTO DE APLICAÇÃO </v>
          </cell>
          <cell r="G247" t="str">
            <v>C</v>
          </cell>
          <cell r="H247">
            <v>0</v>
          </cell>
          <cell r="I247">
            <v>2.98</v>
          </cell>
          <cell r="J247" t="str">
            <v>X</v>
          </cell>
          <cell r="K247">
            <v>885741.67000000121</v>
          </cell>
          <cell r="L247">
            <v>885741.67000000121</v>
          </cell>
          <cell r="M247">
            <v>0</v>
          </cell>
        </row>
        <row r="248">
          <cell r="B248" t="str">
            <v>RE002-014</v>
          </cell>
          <cell r="C248" t="str">
            <v>1.01.04.01</v>
          </cell>
          <cell r="D248">
            <v>41306</v>
          </cell>
          <cell r="E248" t="str">
            <v xml:space="preserve">BANCO ITAÚ </v>
          </cell>
          <cell r="F248" t="str">
            <v xml:space="preserve">RENDIMENTO DE APLICAÇÃO </v>
          </cell>
          <cell r="G248" t="str">
            <v>C</v>
          </cell>
          <cell r="H248">
            <v>0</v>
          </cell>
          <cell r="I248">
            <v>-23.62</v>
          </cell>
          <cell r="J248" t="str">
            <v>X</v>
          </cell>
          <cell r="K248">
            <v>885718.05000000121</v>
          </cell>
          <cell r="L248">
            <v>885718.05000000121</v>
          </cell>
          <cell r="M248">
            <v>0</v>
          </cell>
        </row>
        <row r="249">
          <cell r="B249" t="str">
            <v>RE002-001</v>
          </cell>
          <cell r="C249" t="str">
            <v>1.01.01.01</v>
          </cell>
          <cell r="D249">
            <v>41309</v>
          </cell>
          <cell r="E249" t="str">
            <v>SANESALTO SANEAMENTO S/A</v>
          </cell>
          <cell r="F249" t="str">
            <v>MEDIÇÃO DE 26/01 Á 31/01</v>
          </cell>
          <cell r="G249" t="str">
            <v>C</v>
          </cell>
          <cell r="H249">
            <v>0</v>
          </cell>
          <cell r="I249">
            <v>86135.05</v>
          </cell>
          <cell r="J249" t="str">
            <v>X</v>
          </cell>
          <cell r="K249">
            <v>971853.10000000126</v>
          </cell>
          <cell r="L249">
            <v>971853.10000000126</v>
          </cell>
          <cell r="M249">
            <v>0</v>
          </cell>
        </row>
        <row r="250">
          <cell r="B250" t="str">
            <v>001-132</v>
          </cell>
          <cell r="C250" t="str">
            <v>2.01.05.02</v>
          </cell>
          <cell r="D250">
            <v>41309</v>
          </cell>
          <cell r="E250" t="str">
            <v>CARLOS ALBERTO PROGIANTI ME</v>
          </cell>
          <cell r="F250" t="str">
            <v>ASSISTÊNCIA TÉCNICA SISTEMA DE SEGURANÇA</v>
          </cell>
          <cell r="G250" t="str">
            <v>D</v>
          </cell>
          <cell r="H250">
            <v>127.33</v>
          </cell>
          <cell r="I250">
            <v>0</v>
          </cell>
          <cell r="J250" t="str">
            <v>X</v>
          </cell>
          <cell r="K250">
            <v>971725.7700000013</v>
          </cell>
          <cell r="L250">
            <v>971725.7700000013</v>
          </cell>
          <cell r="M250">
            <v>7803</v>
          </cell>
        </row>
        <row r="251">
          <cell r="B251" t="str">
            <v>001-133</v>
          </cell>
          <cell r="C251" t="str">
            <v>2.01.05.02</v>
          </cell>
          <cell r="D251">
            <v>41309</v>
          </cell>
          <cell r="E251" t="str">
            <v>CARLOS ALBERTO PROGIANTI ME</v>
          </cell>
          <cell r="F251" t="str">
            <v>ASSISTÊNCIA TÉCNICA SISTEMA DE SEGURANÇA</v>
          </cell>
          <cell r="G251" t="str">
            <v>D</v>
          </cell>
          <cell r="H251">
            <v>127.33</v>
          </cell>
          <cell r="I251">
            <v>0</v>
          </cell>
          <cell r="J251" t="str">
            <v>X</v>
          </cell>
          <cell r="K251">
            <v>971598.44000000134</v>
          </cell>
          <cell r="L251">
            <v>971598.44000000134</v>
          </cell>
          <cell r="M251">
            <v>7794</v>
          </cell>
        </row>
        <row r="252">
          <cell r="B252" t="str">
            <v>001-134</v>
          </cell>
          <cell r="C252" t="str">
            <v>2.01.05.02</v>
          </cell>
          <cell r="D252">
            <v>41309</v>
          </cell>
          <cell r="E252" t="str">
            <v>CARLOS ALBERTO PROGIANTI ME</v>
          </cell>
          <cell r="F252" t="str">
            <v>ASSISTÊNCIA TÉCNICA SISTEMA DE SEGURANÇA</v>
          </cell>
          <cell r="G252" t="str">
            <v>D</v>
          </cell>
          <cell r="H252">
            <v>127.33</v>
          </cell>
          <cell r="I252">
            <v>0</v>
          </cell>
          <cell r="J252" t="str">
            <v>X</v>
          </cell>
          <cell r="K252">
            <v>971471.11000000138</v>
          </cell>
          <cell r="L252">
            <v>971471.11000000138</v>
          </cell>
          <cell r="M252">
            <v>7802</v>
          </cell>
        </row>
        <row r="253">
          <cell r="B253" t="str">
            <v>001-131</v>
          </cell>
          <cell r="C253" t="str">
            <v>2.01.05.02</v>
          </cell>
          <cell r="D253">
            <v>41309</v>
          </cell>
          <cell r="E253" t="str">
            <v>CARLOS ALBERTO PROGIANTI ME</v>
          </cell>
          <cell r="F253" t="str">
            <v>ASSISTÊNCIA TÉCNICA SISTEMA DE SEGURANÇA</v>
          </cell>
          <cell r="G253" t="str">
            <v>D</v>
          </cell>
          <cell r="H253">
            <v>120.73</v>
          </cell>
          <cell r="I253">
            <v>0</v>
          </cell>
          <cell r="J253" t="str">
            <v>X</v>
          </cell>
          <cell r="K253">
            <v>971350.3800000014</v>
          </cell>
          <cell r="L253">
            <v>971350.3800000014</v>
          </cell>
          <cell r="M253">
            <v>7801</v>
          </cell>
        </row>
        <row r="254">
          <cell r="B254" t="str">
            <v>001-135</v>
          </cell>
          <cell r="C254" t="str">
            <v>2.01.05.02</v>
          </cell>
          <cell r="D254">
            <v>41309</v>
          </cell>
          <cell r="E254" t="str">
            <v>CARLOS ALBERTO PROGIANTI ME</v>
          </cell>
          <cell r="F254" t="str">
            <v>ASSISTÊNCIA TÉCNICA SISTEMA DE SEGURANÇA</v>
          </cell>
          <cell r="G254" t="str">
            <v>D</v>
          </cell>
          <cell r="H254">
            <v>120.2</v>
          </cell>
          <cell r="I254">
            <v>0</v>
          </cell>
          <cell r="J254" t="str">
            <v>X</v>
          </cell>
          <cell r="K254">
            <v>971230.18000000145</v>
          </cell>
          <cell r="L254">
            <v>971230.18000000145</v>
          </cell>
          <cell r="M254">
            <v>7797</v>
          </cell>
        </row>
        <row r="255">
          <cell r="B255" t="str">
            <v>001-050</v>
          </cell>
          <cell r="C255" t="str">
            <v>2.01.03.14</v>
          </cell>
          <cell r="D255">
            <v>41309</v>
          </cell>
          <cell r="E255" t="str">
            <v>FIORAMAQ MOTORES E MANGUEIRAS</v>
          </cell>
          <cell r="F255" t="str">
            <v>COMPRA DE MATERIAIS PARA ETE</v>
          </cell>
          <cell r="G255" t="str">
            <v>D</v>
          </cell>
          <cell r="H255">
            <v>114.24</v>
          </cell>
          <cell r="I255">
            <v>0</v>
          </cell>
          <cell r="J255" t="str">
            <v>X</v>
          </cell>
          <cell r="K255">
            <v>971115.94000000146</v>
          </cell>
          <cell r="L255">
            <v>971115.94000000146</v>
          </cell>
          <cell r="M255">
            <v>7880</v>
          </cell>
        </row>
        <row r="256">
          <cell r="B256" t="str">
            <v>001-054</v>
          </cell>
          <cell r="C256" t="str">
            <v>2.01.03.12</v>
          </cell>
          <cell r="D256">
            <v>41309</v>
          </cell>
          <cell r="E256" t="str">
            <v>COMERCIAL DE PARAFUSOS SALTENSE LTDA EPP</v>
          </cell>
          <cell r="F256" t="str">
            <v>COMPRA DE MATERIAIS DIVERSOS PARA ETE</v>
          </cell>
          <cell r="G256" t="str">
            <v>D</v>
          </cell>
          <cell r="H256">
            <v>311.14999999999998</v>
          </cell>
          <cell r="I256">
            <v>0</v>
          </cell>
          <cell r="J256" t="str">
            <v>X</v>
          </cell>
          <cell r="K256">
            <v>970804.79000000143</v>
          </cell>
          <cell r="L256">
            <v>970804.79000000143</v>
          </cell>
          <cell r="M256">
            <v>32957</v>
          </cell>
        </row>
        <row r="257">
          <cell r="B257" t="str">
            <v>001-082</v>
          </cell>
          <cell r="C257" t="str">
            <v>2.01.03.09</v>
          </cell>
          <cell r="D257">
            <v>41309</v>
          </cell>
          <cell r="E257" t="str">
            <v>COMPANHIA PIRATININGA DE FORÇA E LUZ - CPFL</v>
          </cell>
          <cell r="F257" t="str">
            <v>CONTA DE ENERGIA  ELEVATÓRIA 2 REF 01/2013</v>
          </cell>
          <cell r="G257" t="str">
            <v>D</v>
          </cell>
          <cell r="H257">
            <v>264.16000000000003</v>
          </cell>
          <cell r="I257">
            <v>0</v>
          </cell>
          <cell r="J257" t="str">
            <v>X</v>
          </cell>
          <cell r="K257">
            <v>970540.6300000014</v>
          </cell>
          <cell r="L257">
            <v>970540.6300000014</v>
          </cell>
          <cell r="M257">
            <v>0</v>
          </cell>
        </row>
        <row r="258">
          <cell r="B258" t="str">
            <v>002-016</v>
          </cell>
          <cell r="C258" t="str">
            <v>2.02.02.06</v>
          </cell>
          <cell r="D258">
            <v>41309</v>
          </cell>
          <cell r="E258" t="str">
            <v>AMERICANAS.COM</v>
          </cell>
          <cell r="F258" t="str">
            <v>COMPRA DE MAQUINA FOTOGRAFICA PARA O ESCRITÓRIO</v>
          </cell>
          <cell r="G258" t="str">
            <v>D</v>
          </cell>
          <cell r="H258">
            <v>242.19</v>
          </cell>
          <cell r="I258">
            <v>0</v>
          </cell>
          <cell r="J258" t="str">
            <v>X</v>
          </cell>
          <cell r="K258">
            <v>970298.44000000146</v>
          </cell>
          <cell r="L258">
            <v>970298.44000000146</v>
          </cell>
          <cell r="M258">
            <v>0</v>
          </cell>
        </row>
        <row r="259">
          <cell r="B259" t="str">
            <v>001-034</v>
          </cell>
          <cell r="C259" t="str">
            <v>2.01.03.16</v>
          </cell>
          <cell r="D259">
            <v>41309</v>
          </cell>
          <cell r="E259" t="str">
            <v xml:space="preserve">SALTO LUZ MATERIAIS ELÉTRICOS </v>
          </cell>
          <cell r="F259" t="str">
            <v>COMPRA DE MATERIAIS ELÉTRICOS PARA ETE</v>
          </cell>
          <cell r="G259" t="str">
            <v>D</v>
          </cell>
          <cell r="H259">
            <v>237.14</v>
          </cell>
          <cell r="I259">
            <v>0</v>
          </cell>
          <cell r="J259" t="str">
            <v>X</v>
          </cell>
          <cell r="K259">
            <v>970061.30000000144</v>
          </cell>
          <cell r="L259">
            <v>970061.30000000144</v>
          </cell>
          <cell r="M259">
            <v>12127</v>
          </cell>
        </row>
        <row r="260">
          <cell r="B260" t="str">
            <v>002-017</v>
          </cell>
          <cell r="C260" t="str">
            <v>2.02.02.04</v>
          </cell>
          <cell r="D260">
            <v>41309</v>
          </cell>
          <cell r="E260" t="str">
            <v>TELEFONICA TELECOMUNICAÇÕES DE SÃO PAULO S.A/ VIVO</v>
          </cell>
          <cell r="F260" t="str">
            <v>CONTA DE TELEFONE 4029-3700 REF 01/2013</v>
          </cell>
          <cell r="G260" t="str">
            <v>D</v>
          </cell>
          <cell r="H260">
            <v>204.05</v>
          </cell>
          <cell r="I260">
            <v>0</v>
          </cell>
          <cell r="J260" t="str">
            <v>X</v>
          </cell>
          <cell r="K260">
            <v>969857.2500000014</v>
          </cell>
          <cell r="L260">
            <v>969857.2500000014</v>
          </cell>
          <cell r="M260">
            <v>0</v>
          </cell>
        </row>
        <row r="261">
          <cell r="B261" t="str">
            <v>002-018</v>
          </cell>
          <cell r="C261" t="str">
            <v>2.02.02.04</v>
          </cell>
          <cell r="D261">
            <v>41309</v>
          </cell>
          <cell r="E261" t="str">
            <v>TELEFONICA TELECOMUNICAÇÕES DE SÃO PAULO S.A/ VIVO</v>
          </cell>
          <cell r="F261" t="str">
            <v>CONTA DE TELEFONE 4021-5766 REF 01/2013</v>
          </cell>
          <cell r="G261" t="str">
            <v>D</v>
          </cell>
          <cell r="H261">
            <v>856.71</v>
          </cell>
          <cell r="I261">
            <v>0</v>
          </cell>
          <cell r="J261" t="str">
            <v>X</v>
          </cell>
          <cell r="K261">
            <v>969000.54000000143</v>
          </cell>
          <cell r="L261">
            <v>969000.54000000143</v>
          </cell>
          <cell r="M261">
            <v>0</v>
          </cell>
        </row>
        <row r="262">
          <cell r="B262" t="str">
            <v>001-090/1</v>
          </cell>
          <cell r="C262" t="str">
            <v>2.01.03.08</v>
          </cell>
          <cell r="D262">
            <v>41309</v>
          </cell>
          <cell r="E262" t="str">
            <v>ASHLAND ESPECIALIDADES QUIMICAS Ltda.</v>
          </cell>
          <cell r="F262" t="str">
            <v>COMPRA DE PRAESTOL PARA ETE</v>
          </cell>
          <cell r="G262" t="str">
            <v>D</v>
          </cell>
          <cell r="H262">
            <v>2677.5</v>
          </cell>
          <cell r="I262">
            <v>0</v>
          </cell>
          <cell r="J262" t="str">
            <v>X</v>
          </cell>
          <cell r="K262">
            <v>966323.04000000143</v>
          </cell>
          <cell r="L262">
            <v>966323.04000000143</v>
          </cell>
          <cell r="M262">
            <v>19250</v>
          </cell>
        </row>
        <row r="263">
          <cell r="B263" t="str">
            <v>002-008/1</v>
          </cell>
          <cell r="C263" t="str">
            <v>2.01.05.10</v>
          </cell>
          <cell r="D263">
            <v>41309</v>
          </cell>
          <cell r="E263" t="str">
            <v>SUDOESTE AMBIENTAL</v>
          </cell>
          <cell r="F263" t="str">
            <v>TRASPORTE DE RESIDUOS</v>
          </cell>
          <cell r="G263" t="str">
            <v>D</v>
          </cell>
          <cell r="H263">
            <v>2536.9699999999998</v>
          </cell>
          <cell r="I263">
            <v>0</v>
          </cell>
          <cell r="J263" t="str">
            <v>X</v>
          </cell>
          <cell r="K263">
            <v>963786.07000000146</v>
          </cell>
          <cell r="L263">
            <v>963786.07000000146</v>
          </cell>
          <cell r="M263" t="str">
            <v>3387  E  3388</v>
          </cell>
        </row>
        <row r="264">
          <cell r="B264" t="str">
            <v>002-019/1</v>
          </cell>
          <cell r="C264" t="str">
            <v>2.02.01.01</v>
          </cell>
          <cell r="D264">
            <v>41309</v>
          </cell>
          <cell r="E264" t="str">
            <v>NAEDSON LUIZ DE SOUZA</v>
          </cell>
          <cell r="F264" t="str">
            <v>FOLHA DE PAGAMENTO SANESALTO REF 01/2013</v>
          </cell>
          <cell r="G264" t="str">
            <v>D</v>
          </cell>
          <cell r="H264">
            <v>1711</v>
          </cell>
          <cell r="I264">
            <v>0</v>
          </cell>
          <cell r="J264" t="str">
            <v>X</v>
          </cell>
          <cell r="K264">
            <v>962075.07000000146</v>
          </cell>
          <cell r="L264">
            <v>962075.07000000146</v>
          </cell>
          <cell r="M264">
            <v>0</v>
          </cell>
        </row>
        <row r="265">
          <cell r="B265" t="str">
            <v>002-019/2</v>
          </cell>
          <cell r="C265" t="str">
            <v>2.02.01.01</v>
          </cell>
          <cell r="D265">
            <v>41309</v>
          </cell>
          <cell r="E265" t="str">
            <v xml:space="preserve">ALOISIO BORIN </v>
          </cell>
          <cell r="F265" t="str">
            <v>FOLHA DE PAGAMENTO SANESALTO REF 01/2013</v>
          </cell>
          <cell r="G265" t="str">
            <v>D</v>
          </cell>
          <cell r="H265">
            <v>831</v>
          </cell>
          <cell r="I265">
            <v>0</v>
          </cell>
          <cell r="J265" t="str">
            <v>X</v>
          </cell>
          <cell r="K265">
            <v>961244.07000000146</v>
          </cell>
          <cell r="L265">
            <v>961244.07000000146</v>
          </cell>
          <cell r="M265">
            <v>0</v>
          </cell>
        </row>
        <row r="266">
          <cell r="B266" t="str">
            <v>002-019/3</v>
          </cell>
          <cell r="C266" t="str">
            <v>2.02.01.01</v>
          </cell>
          <cell r="D266">
            <v>41309</v>
          </cell>
          <cell r="E266" t="str">
            <v>CLEBER CLEIDSON DA SILVA</v>
          </cell>
          <cell r="F266" t="str">
            <v>FOLHA DE PAGAMENTO SANESALTO REF 01/2013</v>
          </cell>
          <cell r="G266" t="str">
            <v>D</v>
          </cell>
          <cell r="H266">
            <v>1427</v>
          </cell>
          <cell r="I266">
            <v>0</v>
          </cell>
          <cell r="J266" t="str">
            <v>X</v>
          </cell>
          <cell r="K266">
            <v>959817.07000000146</v>
          </cell>
          <cell r="L266">
            <v>959817.07000000146</v>
          </cell>
          <cell r="M266">
            <v>0</v>
          </cell>
        </row>
        <row r="267">
          <cell r="B267" t="str">
            <v>002-019/4</v>
          </cell>
          <cell r="C267" t="str">
            <v>2.02.01.01</v>
          </cell>
          <cell r="D267">
            <v>41309</v>
          </cell>
          <cell r="E267" t="str">
            <v>ERICA AP DA SILVA DE MORAES</v>
          </cell>
          <cell r="F267" t="str">
            <v>FOLHA DE PAGAMENTO SANESALTO REF 01/2013</v>
          </cell>
          <cell r="G267" t="str">
            <v>D</v>
          </cell>
          <cell r="H267">
            <v>716</v>
          </cell>
          <cell r="I267">
            <v>0</v>
          </cell>
          <cell r="J267" t="str">
            <v>X</v>
          </cell>
          <cell r="K267">
            <v>959101.07000000146</v>
          </cell>
          <cell r="L267">
            <v>959101.07000000146</v>
          </cell>
          <cell r="M267">
            <v>0</v>
          </cell>
        </row>
        <row r="268">
          <cell r="B268" t="str">
            <v>002-019/5</v>
          </cell>
          <cell r="C268" t="str">
            <v>2.02.01.01</v>
          </cell>
          <cell r="D268">
            <v>41309</v>
          </cell>
          <cell r="E268" t="str">
            <v>ELIZANGELA REGINA P DIAS</v>
          </cell>
          <cell r="F268" t="str">
            <v>FOLHA DE PAGAMENTO SANESALTO REF 01/2013</v>
          </cell>
          <cell r="G268" t="str">
            <v>D</v>
          </cell>
          <cell r="H268">
            <v>2139</v>
          </cell>
          <cell r="I268">
            <v>0</v>
          </cell>
          <cell r="J268" t="str">
            <v>X</v>
          </cell>
          <cell r="K268">
            <v>956962.07000000146</v>
          </cell>
          <cell r="L268">
            <v>956962.07000000146</v>
          </cell>
          <cell r="M268">
            <v>0</v>
          </cell>
        </row>
        <row r="269">
          <cell r="B269" t="str">
            <v>002-019/6</v>
          </cell>
          <cell r="C269" t="str">
            <v>2.02.01.01</v>
          </cell>
          <cell r="D269">
            <v>41309</v>
          </cell>
          <cell r="E269" t="str">
            <v>RODRIGO BUENO</v>
          </cell>
          <cell r="F269" t="str">
            <v>FOLHA DE PAGAMENTO SANESALTO REF 01/2013</v>
          </cell>
          <cell r="G269" t="str">
            <v>D</v>
          </cell>
          <cell r="H269">
            <v>1027</v>
          </cell>
          <cell r="I269">
            <v>0</v>
          </cell>
          <cell r="J269" t="str">
            <v>X</v>
          </cell>
          <cell r="K269">
            <v>955935.07000000146</v>
          </cell>
          <cell r="L269">
            <v>955935.07000000146</v>
          </cell>
          <cell r="M269">
            <v>0</v>
          </cell>
        </row>
        <row r="270">
          <cell r="B270" t="str">
            <v>002-019/7</v>
          </cell>
          <cell r="C270" t="str">
            <v>2.02.01.01</v>
          </cell>
          <cell r="D270">
            <v>41309</v>
          </cell>
          <cell r="E270" t="str">
            <v>MARIANA CASTELLINI</v>
          </cell>
          <cell r="F270" t="str">
            <v>FOLHA DE PAGAMENTO SANESALTO REF 01/2013</v>
          </cell>
          <cell r="G270" t="str">
            <v>D</v>
          </cell>
          <cell r="H270">
            <v>697</v>
          </cell>
          <cell r="I270">
            <v>0</v>
          </cell>
          <cell r="J270" t="str">
            <v>X</v>
          </cell>
          <cell r="K270">
            <v>955238.07000000146</v>
          </cell>
          <cell r="L270">
            <v>955238.07000000146</v>
          </cell>
          <cell r="M270">
            <v>0</v>
          </cell>
        </row>
        <row r="271">
          <cell r="B271" t="str">
            <v>002-019/8</v>
          </cell>
          <cell r="C271" t="str">
            <v>2.02.01.01</v>
          </cell>
          <cell r="D271">
            <v>41309</v>
          </cell>
          <cell r="E271" t="str">
            <v>JANAINA SILVA DE SOUZA</v>
          </cell>
          <cell r="F271" t="str">
            <v>FOLHA DE PAGAMENTO SANESALTO REF 01/2013</v>
          </cell>
          <cell r="G271" t="str">
            <v>D</v>
          </cell>
          <cell r="H271">
            <v>493</v>
          </cell>
          <cell r="I271">
            <v>0</v>
          </cell>
          <cell r="J271" t="str">
            <v>X</v>
          </cell>
          <cell r="K271">
            <v>954745.07000000146</v>
          </cell>
          <cell r="L271">
            <v>954745.07000000146</v>
          </cell>
          <cell r="M271">
            <v>0</v>
          </cell>
        </row>
        <row r="272">
          <cell r="B272" t="str">
            <v>002-019/9</v>
          </cell>
          <cell r="C272" t="str">
            <v>2.02.01.01</v>
          </cell>
          <cell r="D272">
            <v>41309</v>
          </cell>
          <cell r="E272" t="str">
            <v>MARIANA CRISTINA GESSOLI</v>
          </cell>
          <cell r="F272" t="str">
            <v>FOLHA DE PAGAMENTO SANESALTO REF 01/2013</v>
          </cell>
          <cell r="G272" t="str">
            <v>D</v>
          </cell>
          <cell r="H272">
            <v>492</v>
          </cell>
          <cell r="I272">
            <v>0</v>
          </cell>
          <cell r="J272" t="str">
            <v>X</v>
          </cell>
          <cell r="K272">
            <v>954253.07000000146</v>
          </cell>
          <cell r="L272">
            <v>954253.07000000146</v>
          </cell>
          <cell r="M272">
            <v>0</v>
          </cell>
        </row>
        <row r="273">
          <cell r="B273" t="str">
            <v>002-019/10</v>
          </cell>
          <cell r="C273" t="str">
            <v>2.01.01.01</v>
          </cell>
          <cell r="D273">
            <v>41309</v>
          </cell>
          <cell r="E273" t="str">
            <v>JULIO CÉSAR DA S OLIVEIRA</v>
          </cell>
          <cell r="F273" t="str">
            <v>FOLHA DE PAGAMENTO SANESALTO REF 01/2013</v>
          </cell>
          <cell r="G273" t="str">
            <v>D</v>
          </cell>
          <cell r="H273">
            <v>466</v>
          </cell>
          <cell r="I273">
            <v>0</v>
          </cell>
          <cell r="J273" t="str">
            <v>X</v>
          </cell>
          <cell r="K273">
            <v>953787.07000000146</v>
          </cell>
          <cell r="L273">
            <v>953787.07000000146</v>
          </cell>
          <cell r="M273">
            <v>0</v>
          </cell>
        </row>
        <row r="274">
          <cell r="B274" t="str">
            <v>002-019/11</v>
          </cell>
          <cell r="C274" t="str">
            <v>2.01.01.01</v>
          </cell>
          <cell r="D274">
            <v>41309</v>
          </cell>
          <cell r="E274" t="str">
            <v>GILBERTO SILVA ROQUE</v>
          </cell>
          <cell r="F274" t="str">
            <v>FOLHA DE PAGAMENTO SANESALTO REF 01/2013</v>
          </cell>
          <cell r="G274" t="str">
            <v>D</v>
          </cell>
          <cell r="H274">
            <v>607</v>
          </cell>
          <cell r="I274">
            <v>0</v>
          </cell>
          <cell r="J274" t="str">
            <v>X</v>
          </cell>
          <cell r="K274">
            <v>953180.07000000146</v>
          </cell>
          <cell r="L274">
            <v>953180.07000000146</v>
          </cell>
          <cell r="M274">
            <v>0</v>
          </cell>
        </row>
        <row r="275">
          <cell r="B275" t="str">
            <v>002-019/12</v>
          </cell>
          <cell r="C275" t="str">
            <v>2.01.01.01</v>
          </cell>
          <cell r="D275">
            <v>41309</v>
          </cell>
          <cell r="E275" t="str">
            <v>WEVERTON EUGÊNIO PEREIRA</v>
          </cell>
          <cell r="F275" t="str">
            <v>FOLHA DE PAGAMENTO SANESALTO REF 01/2013</v>
          </cell>
          <cell r="G275" t="str">
            <v>D</v>
          </cell>
          <cell r="H275">
            <v>536</v>
          </cell>
          <cell r="I275">
            <v>0</v>
          </cell>
          <cell r="J275" t="str">
            <v>X</v>
          </cell>
          <cell r="K275">
            <v>952644.07000000146</v>
          </cell>
          <cell r="L275">
            <v>952644.07000000146</v>
          </cell>
          <cell r="M275">
            <v>0</v>
          </cell>
        </row>
        <row r="276">
          <cell r="B276" t="str">
            <v>002-019/13</v>
          </cell>
          <cell r="C276" t="str">
            <v>2.01.01.01</v>
          </cell>
          <cell r="D276">
            <v>41309</v>
          </cell>
          <cell r="E276" t="str">
            <v>TIAGO HENRIQUE DE OLIVEIRA</v>
          </cell>
          <cell r="F276" t="str">
            <v>FOLHA DE PAGAMENTO SANESALTO REF 01/2013</v>
          </cell>
          <cell r="G276" t="str">
            <v>D</v>
          </cell>
          <cell r="H276">
            <v>450</v>
          </cell>
          <cell r="I276">
            <v>0</v>
          </cell>
          <cell r="J276" t="str">
            <v>X</v>
          </cell>
          <cell r="K276">
            <v>952194.07000000146</v>
          </cell>
          <cell r="L276">
            <v>952194.07000000146</v>
          </cell>
          <cell r="M276">
            <v>0</v>
          </cell>
        </row>
        <row r="277">
          <cell r="B277" t="str">
            <v>002-019/14</v>
          </cell>
          <cell r="C277" t="str">
            <v>2.01.01.01</v>
          </cell>
          <cell r="D277">
            <v>41309</v>
          </cell>
          <cell r="E277" t="str">
            <v>LUCAS AMARAL</v>
          </cell>
          <cell r="F277" t="str">
            <v>FOLHA DE PAGAMENTO SANESALTO REF 01/2013</v>
          </cell>
          <cell r="G277" t="str">
            <v>D</v>
          </cell>
          <cell r="H277">
            <v>526</v>
          </cell>
          <cell r="I277">
            <v>0</v>
          </cell>
          <cell r="J277" t="str">
            <v>X</v>
          </cell>
          <cell r="K277">
            <v>951668.07000000146</v>
          </cell>
          <cell r="L277">
            <v>951668.07000000146</v>
          </cell>
          <cell r="M277">
            <v>0</v>
          </cell>
        </row>
        <row r="278">
          <cell r="B278" t="str">
            <v>002-019/15</v>
          </cell>
          <cell r="C278" t="str">
            <v>2.01.01.01</v>
          </cell>
          <cell r="D278">
            <v>41309</v>
          </cell>
          <cell r="E278" t="str">
            <v>MÁRCIO OSTIANO DE SOUZA</v>
          </cell>
          <cell r="F278" t="str">
            <v>FOLHA DE PAGAMENTO SANESALTO REF 01/2013</v>
          </cell>
          <cell r="G278" t="str">
            <v>D</v>
          </cell>
          <cell r="H278">
            <v>465</v>
          </cell>
          <cell r="I278">
            <v>0</v>
          </cell>
          <cell r="J278" t="str">
            <v>X</v>
          </cell>
          <cell r="K278">
            <v>951203.07000000146</v>
          </cell>
          <cell r="L278">
            <v>951203.07000000146</v>
          </cell>
          <cell r="M278">
            <v>0</v>
          </cell>
        </row>
        <row r="279">
          <cell r="B279" t="str">
            <v>002-019/16</v>
          </cell>
          <cell r="C279" t="str">
            <v>2.01.01.01</v>
          </cell>
          <cell r="D279">
            <v>41309</v>
          </cell>
          <cell r="E279" t="str">
            <v>ANDRÉ SIMÕES</v>
          </cell>
          <cell r="F279" t="str">
            <v>FOLHA DE PAGAMENTO SANESALTO REF 01/2013</v>
          </cell>
          <cell r="G279" t="str">
            <v>D</v>
          </cell>
          <cell r="H279">
            <v>465</v>
          </cell>
          <cell r="I279">
            <v>0</v>
          </cell>
          <cell r="J279" t="str">
            <v>X</v>
          </cell>
          <cell r="K279">
            <v>950738.07000000146</v>
          </cell>
          <cell r="L279">
            <v>950738.07000000146</v>
          </cell>
          <cell r="M279">
            <v>0</v>
          </cell>
        </row>
        <row r="280">
          <cell r="B280" t="str">
            <v>002-019/17</v>
          </cell>
          <cell r="C280" t="str">
            <v>2.01.01.01</v>
          </cell>
          <cell r="D280">
            <v>41309</v>
          </cell>
          <cell r="E280" t="str">
            <v>EMERSON BEDIN</v>
          </cell>
          <cell r="F280" t="str">
            <v>FOLHA DE PAGAMENTO SANESALTO REF 01/2013</v>
          </cell>
          <cell r="G280" t="str">
            <v>D</v>
          </cell>
          <cell r="H280">
            <v>1063</v>
          </cell>
          <cell r="I280">
            <v>0</v>
          </cell>
          <cell r="J280" t="str">
            <v>X</v>
          </cell>
          <cell r="K280">
            <v>949675.07000000146</v>
          </cell>
          <cell r="L280">
            <v>949675.07000000146</v>
          </cell>
          <cell r="M280">
            <v>0</v>
          </cell>
        </row>
        <row r="281">
          <cell r="B281" t="str">
            <v>002-019/18</v>
          </cell>
          <cell r="C281" t="str">
            <v>2.01.01.01</v>
          </cell>
          <cell r="D281">
            <v>41309</v>
          </cell>
          <cell r="E281" t="str">
            <v>THIAGO RIBEIRO</v>
          </cell>
          <cell r="F281" t="str">
            <v>FOLHA DE PAGAMENTO SANESALTO REF 01/2013</v>
          </cell>
          <cell r="G281" t="str">
            <v>D</v>
          </cell>
          <cell r="H281">
            <v>898</v>
          </cell>
          <cell r="I281">
            <v>0</v>
          </cell>
          <cell r="J281" t="str">
            <v>X</v>
          </cell>
          <cell r="K281">
            <v>948777.07000000146</v>
          </cell>
          <cell r="L281">
            <v>948777.07000000146</v>
          </cell>
          <cell r="M281">
            <v>0</v>
          </cell>
        </row>
        <row r="282">
          <cell r="B282" t="str">
            <v>002-019/19</v>
          </cell>
          <cell r="C282" t="str">
            <v>2.01.01.01</v>
          </cell>
          <cell r="D282">
            <v>41309</v>
          </cell>
          <cell r="E282" t="str">
            <v>ALBERTINO M DA SILVA</v>
          </cell>
          <cell r="F282" t="str">
            <v>FOLHA DE PAGAMENTO SANESALTO REF 01/2013</v>
          </cell>
          <cell r="G282" t="str">
            <v>D</v>
          </cell>
          <cell r="H282">
            <v>830</v>
          </cell>
          <cell r="I282">
            <v>0</v>
          </cell>
          <cell r="J282" t="str">
            <v>X</v>
          </cell>
          <cell r="K282">
            <v>947947.07000000146</v>
          </cell>
          <cell r="L282">
            <v>947947.07000000146</v>
          </cell>
          <cell r="M282">
            <v>0</v>
          </cell>
        </row>
        <row r="283">
          <cell r="B283" t="str">
            <v>002-019/20</v>
          </cell>
          <cell r="C283" t="str">
            <v>2.01.01.01</v>
          </cell>
          <cell r="D283">
            <v>41309</v>
          </cell>
          <cell r="E283" t="str">
            <v>SANDRO PAGGI DE SOUSA</v>
          </cell>
          <cell r="F283" t="str">
            <v>FOLHA DE PAGAMENTO SANESALTO REF 01/2013</v>
          </cell>
          <cell r="G283" t="str">
            <v>D</v>
          </cell>
          <cell r="H283">
            <v>791</v>
          </cell>
          <cell r="I283">
            <v>0</v>
          </cell>
          <cell r="J283" t="str">
            <v>X</v>
          </cell>
          <cell r="K283">
            <v>947156.07000000146</v>
          </cell>
          <cell r="L283">
            <v>947156.07000000146</v>
          </cell>
          <cell r="M283">
            <v>0</v>
          </cell>
        </row>
        <row r="284">
          <cell r="B284" t="str">
            <v>002-019/21</v>
          </cell>
          <cell r="C284" t="str">
            <v>2.01.01.01</v>
          </cell>
          <cell r="D284">
            <v>41309</v>
          </cell>
          <cell r="E284" t="str">
            <v>ALEXANDRE DE C ALVES</v>
          </cell>
          <cell r="F284" t="str">
            <v>FOLHA DE PAGAMENTO SANESALTO REF 01/2013</v>
          </cell>
          <cell r="G284" t="str">
            <v>D</v>
          </cell>
          <cell r="H284">
            <v>707</v>
          </cell>
          <cell r="I284">
            <v>0</v>
          </cell>
          <cell r="J284" t="str">
            <v>X</v>
          </cell>
          <cell r="K284">
            <v>946449.07000000146</v>
          </cell>
          <cell r="L284">
            <v>946449.07000000146</v>
          </cell>
          <cell r="M284">
            <v>0</v>
          </cell>
        </row>
        <row r="285">
          <cell r="B285" t="str">
            <v>002-019/22</v>
          </cell>
          <cell r="C285" t="str">
            <v>2.01.01.01</v>
          </cell>
          <cell r="D285">
            <v>41309</v>
          </cell>
          <cell r="E285" t="str">
            <v>WILSON DE SOUZA</v>
          </cell>
          <cell r="F285" t="str">
            <v>FOLHA DE PAGAMENTO SANESALTO REF 01/2013</v>
          </cell>
          <cell r="G285" t="str">
            <v>D</v>
          </cell>
          <cell r="H285">
            <v>739</v>
          </cell>
          <cell r="I285">
            <v>0</v>
          </cell>
          <cell r="J285" t="str">
            <v>X</v>
          </cell>
          <cell r="K285">
            <v>945710.07000000146</v>
          </cell>
          <cell r="L285">
            <v>945710.07000000146</v>
          </cell>
          <cell r="M285">
            <v>0</v>
          </cell>
        </row>
        <row r="286">
          <cell r="B286" t="str">
            <v>002-019/23</v>
          </cell>
          <cell r="C286" t="str">
            <v>2.02.01.08</v>
          </cell>
          <cell r="D286">
            <v>41309</v>
          </cell>
          <cell r="E286" t="str">
            <v>PAULO ANDRÉ GIL BOSCHIERO</v>
          </cell>
          <cell r="F286" t="str">
            <v>FOLHA DE PAGAMENTO SANESALTO REF 01/2013</v>
          </cell>
          <cell r="G286" t="str">
            <v>D</v>
          </cell>
          <cell r="H286">
            <v>9178.27</v>
          </cell>
          <cell r="I286">
            <v>0</v>
          </cell>
          <cell r="J286" t="str">
            <v>X</v>
          </cell>
          <cell r="K286">
            <v>936531.80000000144</v>
          </cell>
          <cell r="L286">
            <v>936531.80000000144</v>
          </cell>
          <cell r="M286">
            <v>0</v>
          </cell>
        </row>
        <row r="287">
          <cell r="B287" t="str">
            <v>002-019/24</v>
          </cell>
          <cell r="C287" t="str">
            <v>2.02.01.08</v>
          </cell>
          <cell r="D287">
            <v>41309</v>
          </cell>
          <cell r="E287" t="str">
            <v>RICARDO KASSARDJIAN</v>
          </cell>
          <cell r="F287" t="str">
            <v>FOLHA DE PAGAMENTO SANESALTO REF 01/2013</v>
          </cell>
          <cell r="G287" t="str">
            <v>D</v>
          </cell>
          <cell r="H287">
            <v>10990.77</v>
          </cell>
          <cell r="I287">
            <v>0</v>
          </cell>
          <cell r="J287" t="str">
            <v>X</v>
          </cell>
          <cell r="K287">
            <v>925541.03000000142</v>
          </cell>
          <cell r="L287">
            <v>925541.03000000142</v>
          </cell>
          <cell r="M287">
            <v>0</v>
          </cell>
        </row>
        <row r="288">
          <cell r="B288" t="str">
            <v>002-019/25</v>
          </cell>
          <cell r="C288" t="str">
            <v>2.02.01.08</v>
          </cell>
          <cell r="D288">
            <v>41309</v>
          </cell>
          <cell r="E288" t="str">
            <v>PEDRO P. BERGAMASCHI</v>
          </cell>
          <cell r="F288" t="str">
            <v>FOLHA DE PAGAMENTO SANESALTO REF 01/2013</v>
          </cell>
          <cell r="G288" t="str">
            <v>D</v>
          </cell>
          <cell r="H288">
            <v>2186.4299999999998</v>
          </cell>
          <cell r="I288">
            <v>0</v>
          </cell>
          <cell r="J288" t="str">
            <v>X</v>
          </cell>
          <cell r="K288">
            <v>923354.60000000137</v>
          </cell>
          <cell r="L288">
            <v>923354.60000000137</v>
          </cell>
          <cell r="M288">
            <v>0</v>
          </cell>
        </row>
        <row r="289">
          <cell r="B289" t="str">
            <v>002-019/26</v>
          </cell>
          <cell r="C289" t="str">
            <v>2.02.01.08</v>
          </cell>
          <cell r="D289">
            <v>41309</v>
          </cell>
          <cell r="E289" t="str">
            <v>JOÃO MAURO BOSCHIERO</v>
          </cell>
          <cell r="F289" t="str">
            <v>FOLHA DE PAGAMENTO SANESALTO REF 01/2013</v>
          </cell>
          <cell r="G289" t="str">
            <v>D</v>
          </cell>
          <cell r="H289">
            <v>2186.4299999999998</v>
          </cell>
          <cell r="I289">
            <v>0</v>
          </cell>
          <cell r="J289" t="str">
            <v>X</v>
          </cell>
          <cell r="K289">
            <v>921168.17000000132</v>
          </cell>
          <cell r="L289">
            <v>921168.17000000132</v>
          </cell>
          <cell r="M289">
            <v>0</v>
          </cell>
        </row>
        <row r="290">
          <cell r="B290" t="str">
            <v>001-136</v>
          </cell>
          <cell r="C290" t="str">
            <v>2.01.05.08</v>
          </cell>
          <cell r="D290">
            <v>41310</v>
          </cell>
          <cell r="E290" t="str">
            <v>GRACIANO FERREIRA S/C Ltda. ME</v>
          </cell>
          <cell r="F290" t="str">
            <v xml:space="preserve">PRESTAÇÃO DE SERVIÇO DE GUINDASTE </v>
          </cell>
          <cell r="G290" t="str">
            <v>D</v>
          </cell>
          <cell r="H290">
            <v>1650</v>
          </cell>
          <cell r="I290">
            <v>0</v>
          </cell>
          <cell r="J290" t="str">
            <v>X</v>
          </cell>
          <cell r="K290">
            <v>919518.17000000132</v>
          </cell>
          <cell r="L290">
            <v>919518.17000000132</v>
          </cell>
          <cell r="M290">
            <v>0</v>
          </cell>
        </row>
        <row r="291">
          <cell r="B291" t="str">
            <v>002-035</v>
          </cell>
          <cell r="C291" t="str">
            <v>2.01.05.13</v>
          </cell>
          <cell r="D291">
            <v>41310</v>
          </cell>
          <cell r="E291" t="str">
            <v>HF ANDRADE SERVIÇOS TEMPORÁRIOS</v>
          </cell>
          <cell r="F291" t="str">
            <v>SERVIÇOS DE MÃO DE OBRA TEMORÁRIO REF JAN/2013</v>
          </cell>
          <cell r="G291" t="str">
            <v>D</v>
          </cell>
          <cell r="H291">
            <v>10397.25</v>
          </cell>
          <cell r="I291">
            <v>0</v>
          </cell>
          <cell r="J291" t="str">
            <v>X</v>
          </cell>
          <cell r="K291">
            <v>909120.92000000132</v>
          </cell>
          <cell r="L291">
            <v>909120.92000000132</v>
          </cell>
          <cell r="M291">
            <v>364</v>
          </cell>
        </row>
        <row r="292">
          <cell r="B292" t="str">
            <v>002-036</v>
          </cell>
          <cell r="C292" t="str">
            <v>2.01.01.09</v>
          </cell>
          <cell r="D292">
            <v>41310</v>
          </cell>
          <cell r="E292" t="str">
            <v>FGTS SANESALTO</v>
          </cell>
          <cell r="F292" t="str">
            <v>FUNDO DE GARANTIA POR TEMPO DE SERVIÇO REF 01/2013</v>
          </cell>
          <cell r="G292" t="str">
            <v>D</v>
          </cell>
          <cell r="H292">
            <v>3438.6</v>
          </cell>
          <cell r="I292">
            <v>0</v>
          </cell>
          <cell r="J292" t="str">
            <v>X</v>
          </cell>
          <cell r="K292">
            <v>905682.32000000135</v>
          </cell>
          <cell r="L292">
            <v>905682.32000000135</v>
          </cell>
          <cell r="M292">
            <v>0</v>
          </cell>
        </row>
        <row r="293">
          <cell r="B293" t="str">
            <v>RE002-005</v>
          </cell>
          <cell r="C293" t="str">
            <v>1.01.04.01</v>
          </cell>
          <cell r="D293">
            <v>41310</v>
          </cell>
          <cell r="E293" t="str">
            <v xml:space="preserve">BANCO ITAÚ </v>
          </cell>
          <cell r="F293" t="str">
            <v xml:space="preserve">RENDIMENTO DE APLICAÇÃO </v>
          </cell>
          <cell r="G293" t="str">
            <v>C</v>
          </cell>
          <cell r="H293">
            <v>0</v>
          </cell>
          <cell r="I293">
            <v>1.29</v>
          </cell>
          <cell r="J293" t="str">
            <v>X</v>
          </cell>
          <cell r="K293">
            <v>905683.61000000138</v>
          </cell>
          <cell r="L293">
            <v>905683.61000000138</v>
          </cell>
          <cell r="M293">
            <v>0</v>
          </cell>
        </row>
        <row r="294">
          <cell r="B294" t="str">
            <v>002-042</v>
          </cell>
          <cell r="C294" t="str">
            <v>2.09.01.01</v>
          </cell>
          <cell r="D294">
            <v>41311</v>
          </cell>
          <cell r="E294" t="str">
            <v>SANESALTO SANEAMENTO S.A</v>
          </cell>
          <cell r="F294" t="str">
            <v>PAGAMENTO CHEQUE ( CAIXA INTERNO) 102813 8162</v>
          </cell>
          <cell r="G294" t="str">
            <v>D</v>
          </cell>
          <cell r="H294">
            <v>3500</v>
          </cell>
          <cell r="I294">
            <v>0</v>
          </cell>
          <cell r="J294" t="str">
            <v>X</v>
          </cell>
          <cell r="K294">
            <v>902183.61000000138</v>
          </cell>
          <cell r="L294">
            <v>902183.61000000138</v>
          </cell>
          <cell r="M294">
            <v>0</v>
          </cell>
        </row>
        <row r="295">
          <cell r="B295" t="str">
            <v>RE002-006</v>
          </cell>
          <cell r="C295" t="str">
            <v>1.01.04.01</v>
          </cell>
          <cell r="D295">
            <v>41311</v>
          </cell>
          <cell r="E295" t="str">
            <v xml:space="preserve">BANCO ITAÚ </v>
          </cell>
          <cell r="F295" t="str">
            <v xml:space="preserve">RENDIMENTO DE APLICAÇÃO </v>
          </cell>
          <cell r="G295" t="str">
            <v>C</v>
          </cell>
          <cell r="H295">
            <v>0</v>
          </cell>
          <cell r="I295">
            <v>2.38</v>
          </cell>
          <cell r="J295" t="str">
            <v>X</v>
          </cell>
          <cell r="K295">
            <v>902185.99000000139</v>
          </cell>
          <cell r="L295">
            <v>902185.99000000139</v>
          </cell>
          <cell r="M295">
            <v>0</v>
          </cell>
        </row>
        <row r="296">
          <cell r="B296" t="str">
            <v>001-064</v>
          </cell>
          <cell r="C296" t="str">
            <v>2.01.05.10</v>
          </cell>
          <cell r="D296">
            <v>41312</v>
          </cell>
          <cell r="E296" t="str">
            <v>CORPUS SANEAMENTO E OBRAS LTDA</v>
          </cell>
          <cell r="F296" t="str">
            <v xml:space="preserve">COLETA, TRANSPORTES E DESTINAÇÃO FINAL DE RESÍDUOS INDUSTRIAIS </v>
          </cell>
          <cell r="G296" t="str">
            <v>D</v>
          </cell>
          <cell r="H296">
            <v>15729.27</v>
          </cell>
          <cell r="I296">
            <v>0</v>
          </cell>
          <cell r="J296" t="str">
            <v>X</v>
          </cell>
          <cell r="K296">
            <v>886456.72000000137</v>
          </cell>
          <cell r="L296">
            <v>886456.72000000137</v>
          </cell>
          <cell r="M296">
            <v>9626</v>
          </cell>
        </row>
        <row r="297">
          <cell r="B297" t="str">
            <v>002-010</v>
          </cell>
          <cell r="C297" t="str">
            <v>2.02.01.04</v>
          </cell>
          <cell r="D297">
            <v>41312</v>
          </cell>
          <cell r="E297" t="str">
            <v>UNIMED DE SALTO ITU COOP TRAB MÉDICO</v>
          </cell>
          <cell r="F297" t="str">
            <v>CONVÊNIO DOS FUNIONÁRIOS 01/2013</v>
          </cell>
          <cell r="G297" t="str">
            <v>D</v>
          </cell>
          <cell r="H297">
            <v>5350.41</v>
          </cell>
          <cell r="I297">
            <v>0</v>
          </cell>
          <cell r="J297" t="str">
            <v>X</v>
          </cell>
          <cell r="K297">
            <v>881106.31000000134</v>
          </cell>
          <cell r="L297">
            <v>881106.31000000134</v>
          </cell>
          <cell r="M297" t="str">
            <v>30000399/13</v>
          </cell>
        </row>
        <row r="298">
          <cell r="B298" t="str">
            <v>002-020</v>
          </cell>
          <cell r="C298" t="str">
            <v>2.02.03.05</v>
          </cell>
          <cell r="D298">
            <v>41312</v>
          </cell>
          <cell r="E298" t="str">
            <v>SCANDIUZZI CONSULTORIA CONTABIL Ltda.</v>
          </cell>
          <cell r="F298" t="str">
            <v>HONORÁRIO MENSAIS REF 01/2013</v>
          </cell>
          <cell r="G298" t="str">
            <v>D</v>
          </cell>
          <cell r="H298">
            <v>3732</v>
          </cell>
          <cell r="I298">
            <v>0</v>
          </cell>
          <cell r="J298" t="str">
            <v>X</v>
          </cell>
          <cell r="K298">
            <v>877374.31000000134</v>
          </cell>
          <cell r="L298">
            <v>877374.31000000134</v>
          </cell>
          <cell r="M298">
            <v>1541</v>
          </cell>
        </row>
        <row r="299">
          <cell r="B299" t="str">
            <v>001-090/2</v>
          </cell>
          <cell r="C299" t="str">
            <v>2.01.03.08</v>
          </cell>
          <cell r="D299">
            <v>41312</v>
          </cell>
          <cell r="E299" t="str">
            <v>ASHLAND ESPECIALIDADES QUIMICAS Ltda.</v>
          </cell>
          <cell r="F299" t="str">
            <v>COMPRA DE PRAESTOL PARA ETE</v>
          </cell>
          <cell r="G299" t="str">
            <v>D</v>
          </cell>
          <cell r="H299">
            <v>2667.5</v>
          </cell>
          <cell r="I299">
            <v>0</v>
          </cell>
          <cell r="J299" t="str">
            <v>X</v>
          </cell>
          <cell r="K299">
            <v>874706.81000000134</v>
          </cell>
          <cell r="L299">
            <v>874706.81000000134</v>
          </cell>
          <cell r="M299">
            <v>19250</v>
          </cell>
        </row>
        <row r="300">
          <cell r="B300" t="str">
            <v>002-039</v>
          </cell>
          <cell r="C300" t="str">
            <v>2.07.01.04</v>
          </cell>
          <cell r="D300">
            <v>41312</v>
          </cell>
          <cell r="E300" t="str">
            <v>ERICO SEBESTIEN MOLNAR MARQUES ME</v>
          </cell>
          <cell r="F300" t="str">
            <v>SERVIÇO DE NORMALIZAÇÃO ELÉTRICA PARA IMPLEMENTAÇÃO DE MONITORAMENTO</v>
          </cell>
          <cell r="G300" t="str">
            <v>D</v>
          </cell>
          <cell r="H300">
            <v>2407.86</v>
          </cell>
          <cell r="I300">
            <v>0</v>
          </cell>
          <cell r="J300" t="str">
            <v>X</v>
          </cell>
          <cell r="K300">
            <v>872298.95000000135</v>
          </cell>
          <cell r="L300">
            <v>872298.95000000135</v>
          </cell>
          <cell r="M300">
            <v>72</v>
          </cell>
        </row>
        <row r="301">
          <cell r="B301" t="str">
            <v>001-053</v>
          </cell>
          <cell r="C301" t="str">
            <v>2.01.03.12</v>
          </cell>
          <cell r="D301">
            <v>41312</v>
          </cell>
          <cell r="E301" t="str">
            <v>EMEC BRASIL SISTEMAS DE TRATAMENTO DE AGUA LTDA</v>
          </cell>
          <cell r="F301" t="str">
            <v>BOMBA FCEB</v>
          </cell>
          <cell r="G301" t="str">
            <v>D</v>
          </cell>
          <cell r="H301">
            <v>550</v>
          </cell>
          <cell r="I301">
            <v>0</v>
          </cell>
          <cell r="J301" t="str">
            <v>X</v>
          </cell>
          <cell r="K301">
            <v>871748.95000000135</v>
          </cell>
          <cell r="L301">
            <v>871748.95000000135</v>
          </cell>
          <cell r="M301">
            <v>5140</v>
          </cell>
        </row>
        <row r="302">
          <cell r="B302" t="str">
            <v>002-038</v>
          </cell>
          <cell r="C302" t="str">
            <v>2.02.03.17</v>
          </cell>
          <cell r="D302">
            <v>41312</v>
          </cell>
          <cell r="E302" t="str">
            <v>DANIEL TOSONI SALTO - ME</v>
          </cell>
          <cell r="F302" t="str">
            <v>SERVIÇO DE MALOTE PARA SÃO PAULO</v>
          </cell>
          <cell r="G302" t="str">
            <v>D</v>
          </cell>
          <cell r="H302">
            <v>196</v>
          </cell>
          <cell r="I302">
            <v>0</v>
          </cell>
          <cell r="J302" t="str">
            <v>X</v>
          </cell>
          <cell r="K302">
            <v>871552.95000000135</v>
          </cell>
          <cell r="L302">
            <v>871552.95000000135</v>
          </cell>
          <cell r="M302">
            <v>42</v>
          </cell>
        </row>
        <row r="303">
          <cell r="B303" t="str">
            <v>001-130</v>
          </cell>
          <cell r="C303" t="str">
            <v>2.01.05.02</v>
          </cell>
          <cell r="D303">
            <v>41312</v>
          </cell>
          <cell r="E303" t="str">
            <v>CARLOS ALBERTO PROGIANTI ME</v>
          </cell>
          <cell r="F303" t="str">
            <v>ASSISTÊNCIA TÉCNICA SISTEMA DE SEGURANÇA</v>
          </cell>
          <cell r="G303" t="str">
            <v>D</v>
          </cell>
          <cell r="H303">
            <v>80.38</v>
          </cell>
          <cell r="I303">
            <v>0</v>
          </cell>
          <cell r="J303" t="str">
            <v>X</v>
          </cell>
          <cell r="K303">
            <v>871472.57000000135</v>
          </cell>
          <cell r="L303">
            <v>871472.57000000135</v>
          </cell>
          <cell r="M303">
            <v>7817</v>
          </cell>
        </row>
        <row r="304">
          <cell r="B304" t="str">
            <v>001-076</v>
          </cell>
          <cell r="C304" t="str">
            <v>2.01.03.16</v>
          </cell>
          <cell r="D304">
            <v>41312</v>
          </cell>
          <cell r="E304" t="str">
            <v xml:space="preserve">SALTO LUZ MATERIAIS ELÉTRICOS </v>
          </cell>
          <cell r="F304" t="str">
            <v>COMPRA DE MATERIAIS ELÉTRICOS PARA ETE</v>
          </cell>
          <cell r="G304" t="str">
            <v>D</v>
          </cell>
          <cell r="H304">
            <v>73.180000000000007</v>
          </cell>
          <cell r="I304">
            <v>0</v>
          </cell>
          <cell r="J304" t="str">
            <v>X</v>
          </cell>
          <cell r="K304">
            <v>871399.39000000129</v>
          </cell>
          <cell r="L304">
            <v>871399.39000000129</v>
          </cell>
          <cell r="M304">
            <v>0</v>
          </cell>
        </row>
        <row r="305">
          <cell r="B305" t="str">
            <v>001-059</v>
          </cell>
          <cell r="C305" t="str">
            <v>2.01.03.16</v>
          </cell>
          <cell r="D305">
            <v>41312</v>
          </cell>
          <cell r="E305" t="str">
            <v xml:space="preserve">SALTO LUZ MATERIAIS ELÉTRICOS </v>
          </cell>
          <cell r="F305" t="str">
            <v>COMPRA DE MATERIAIS ELÉTRICOS PARA ETE</v>
          </cell>
          <cell r="G305" t="str">
            <v>D</v>
          </cell>
          <cell r="H305">
            <v>71.98</v>
          </cell>
          <cell r="I305">
            <v>0</v>
          </cell>
          <cell r="J305" t="str">
            <v>X</v>
          </cell>
          <cell r="K305">
            <v>871327.41000000131</v>
          </cell>
          <cell r="L305">
            <v>871327.41000000131</v>
          </cell>
          <cell r="M305">
            <v>12202</v>
          </cell>
        </row>
        <row r="306">
          <cell r="B306" t="str">
            <v>001-067</v>
          </cell>
          <cell r="C306" t="str">
            <v>2.01.03.16</v>
          </cell>
          <cell r="D306">
            <v>41312</v>
          </cell>
          <cell r="E306" t="str">
            <v xml:space="preserve">SALTO LUZ MATERIAIS ELÉTRICOS </v>
          </cell>
          <cell r="F306" t="str">
            <v>COMPRA DE MATERIAIS ELÉTRICOS PARA ETE</v>
          </cell>
          <cell r="G306" t="str">
            <v>D</v>
          </cell>
          <cell r="H306">
            <v>67.09</v>
          </cell>
          <cell r="I306">
            <v>0</v>
          </cell>
          <cell r="J306" t="str">
            <v>X</v>
          </cell>
          <cell r="K306">
            <v>871260.32000000135</v>
          </cell>
          <cell r="L306">
            <v>871260.32000000135</v>
          </cell>
          <cell r="M306">
            <v>12231</v>
          </cell>
        </row>
        <row r="307">
          <cell r="B307" t="str">
            <v>001-106</v>
          </cell>
          <cell r="C307" t="str">
            <v>2.01.05.02</v>
          </cell>
          <cell r="D307">
            <v>41312</v>
          </cell>
          <cell r="E307" t="str">
            <v>CARLOS ALBERTO PROGIANTI ME</v>
          </cell>
          <cell r="F307" t="str">
            <v>ASSISTÊNCIA TÉCNICA SISTEMA DE SEGURANÇA</v>
          </cell>
          <cell r="G307" t="str">
            <v>D</v>
          </cell>
          <cell r="H307">
            <v>57.35</v>
          </cell>
          <cell r="I307">
            <v>0</v>
          </cell>
          <cell r="J307" t="str">
            <v>X</v>
          </cell>
          <cell r="K307">
            <v>871202.97000000137</v>
          </cell>
          <cell r="L307">
            <v>871202.97000000137</v>
          </cell>
          <cell r="M307">
            <v>7770</v>
          </cell>
        </row>
        <row r="308">
          <cell r="B308" t="str">
            <v>001-041</v>
          </cell>
          <cell r="C308" t="str">
            <v>2.02.02.10</v>
          </cell>
          <cell r="D308">
            <v>41312</v>
          </cell>
          <cell r="E308" t="str">
            <v>SANESALTO SANEAMENTO S.A</v>
          </cell>
          <cell r="F308" t="str">
            <v>CONTA DE AGUA ESCRITÓRIO REF 01/2013</v>
          </cell>
          <cell r="G308" t="str">
            <v>D</v>
          </cell>
          <cell r="H308">
            <v>37.270000000000003</v>
          </cell>
          <cell r="I308">
            <v>0</v>
          </cell>
          <cell r="J308" t="str">
            <v>X</v>
          </cell>
          <cell r="K308">
            <v>871165.70000000135</v>
          </cell>
          <cell r="L308">
            <v>871165.70000000135</v>
          </cell>
          <cell r="M308">
            <v>0</v>
          </cell>
        </row>
        <row r="309">
          <cell r="B309" t="str">
            <v>001-141</v>
          </cell>
          <cell r="C309" t="str">
            <v>2.01.03.17</v>
          </cell>
          <cell r="D309">
            <v>41312</v>
          </cell>
          <cell r="E309" t="str">
            <v>SANESALTO SANEAMENTO S.A</v>
          </cell>
          <cell r="F309" t="str">
            <v>CONTA DE AGUA ELEVATORIA GUARAU 2 REF 01/2013</v>
          </cell>
          <cell r="G309" t="str">
            <v>D</v>
          </cell>
          <cell r="H309">
            <v>33.69</v>
          </cell>
          <cell r="I309">
            <v>0</v>
          </cell>
          <cell r="J309" t="str">
            <v>X</v>
          </cell>
          <cell r="K309">
            <v>871132.01000000141</v>
          </cell>
          <cell r="L309">
            <v>871132.01000000141</v>
          </cell>
          <cell r="M309">
            <v>0</v>
          </cell>
        </row>
        <row r="310">
          <cell r="B310" t="str">
            <v>001-140</v>
          </cell>
          <cell r="C310" t="str">
            <v>2.01.03.17</v>
          </cell>
          <cell r="D310">
            <v>41312</v>
          </cell>
          <cell r="E310" t="str">
            <v>SANESALTO SANEAMENTO S.A</v>
          </cell>
          <cell r="F310" t="str">
            <v>CONTA DE AGUA ELEVATÓRIA  GUARAU 1 REF 01/2013</v>
          </cell>
          <cell r="G310" t="str">
            <v>D</v>
          </cell>
          <cell r="H310">
            <v>33.69</v>
          </cell>
          <cell r="I310">
            <v>0</v>
          </cell>
          <cell r="J310" t="str">
            <v>X</v>
          </cell>
          <cell r="K310">
            <v>871098.32000000146</v>
          </cell>
          <cell r="L310">
            <v>871098.32000000146</v>
          </cell>
          <cell r="M310">
            <v>0</v>
          </cell>
        </row>
        <row r="311">
          <cell r="B311" t="str">
            <v>001-138</v>
          </cell>
          <cell r="C311" t="str">
            <v>2.01.03.17</v>
          </cell>
          <cell r="D311">
            <v>41312</v>
          </cell>
          <cell r="E311" t="str">
            <v>SANESALTO SANEAMENTO S.A</v>
          </cell>
          <cell r="F311" t="str">
            <v>CONTA DE AGUA ELEVATORIA 03 REF 01/2013</v>
          </cell>
          <cell r="G311" t="str">
            <v>D</v>
          </cell>
          <cell r="H311">
            <v>24.87</v>
          </cell>
          <cell r="I311">
            <v>0</v>
          </cell>
          <cell r="J311" t="str">
            <v>X</v>
          </cell>
          <cell r="K311">
            <v>871073.45000000147</v>
          </cell>
          <cell r="L311">
            <v>871073.45000000147</v>
          </cell>
          <cell r="M311">
            <v>0</v>
          </cell>
        </row>
        <row r="312">
          <cell r="B312" t="str">
            <v>001-139</v>
          </cell>
          <cell r="C312" t="str">
            <v>2.01.03.17</v>
          </cell>
          <cell r="D312">
            <v>41312</v>
          </cell>
          <cell r="E312" t="str">
            <v>SANESALTO SANEAMENTO S.A</v>
          </cell>
          <cell r="F312" t="str">
            <v>CONTA DE AGUA ELEVATÓRIA FINAL RF 01/2013</v>
          </cell>
          <cell r="G312" t="str">
            <v>D</v>
          </cell>
          <cell r="H312">
            <v>22.36</v>
          </cell>
          <cell r="I312">
            <v>0</v>
          </cell>
          <cell r="J312" t="str">
            <v>X</v>
          </cell>
          <cell r="K312">
            <v>871051.09000000148</v>
          </cell>
          <cell r="L312">
            <v>871051.09000000148</v>
          </cell>
          <cell r="M312">
            <v>0</v>
          </cell>
        </row>
        <row r="313">
          <cell r="B313" t="str">
            <v>001-143</v>
          </cell>
          <cell r="C313" t="str">
            <v>2.01.03.17</v>
          </cell>
          <cell r="D313">
            <v>41312</v>
          </cell>
          <cell r="E313" t="str">
            <v>SANESALTO SANEAMENTO S.A</v>
          </cell>
          <cell r="F313" t="str">
            <v>CONTA DE AGUA ELEVATORIA BURU 01 REF 01/2013</v>
          </cell>
          <cell r="G313" t="str">
            <v>D</v>
          </cell>
          <cell r="H313">
            <v>17.93</v>
          </cell>
          <cell r="I313">
            <v>0</v>
          </cell>
          <cell r="J313" t="str">
            <v>X</v>
          </cell>
          <cell r="K313">
            <v>871033.16000000143</v>
          </cell>
          <cell r="L313">
            <v>871033.16000000143</v>
          </cell>
          <cell r="M313">
            <v>0</v>
          </cell>
        </row>
        <row r="314">
          <cell r="B314" t="str">
            <v>001-142</v>
          </cell>
          <cell r="C314" t="str">
            <v>2.01.03.17</v>
          </cell>
          <cell r="D314">
            <v>41312</v>
          </cell>
          <cell r="E314" t="str">
            <v>SANESALTO SANEAMENTO S.A</v>
          </cell>
          <cell r="F314" t="str">
            <v>CONTA DE AGUA ELEVATORIA BURU 02 REF 01/2013</v>
          </cell>
          <cell r="G314" t="str">
            <v>D</v>
          </cell>
          <cell r="H314">
            <v>17.93</v>
          </cell>
          <cell r="I314">
            <v>0</v>
          </cell>
          <cell r="J314" t="str">
            <v>X</v>
          </cell>
          <cell r="K314">
            <v>871015.23000000138</v>
          </cell>
          <cell r="L314">
            <v>871015.23000000138</v>
          </cell>
          <cell r="M314">
            <v>0</v>
          </cell>
        </row>
        <row r="315">
          <cell r="B315" t="str">
            <v>002-019/27</v>
          </cell>
          <cell r="C315" t="str">
            <v>2.01.01.01</v>
          </cell>
          <cell r="D315">
            <v>41312</v>
          </cell>
          <cell r="E315" t="str">
            <v>ALEXANDRE JESUS DE ARAUJO</v>
          </cell>
          <cell r="F315" t="str">
            <v>SALÁRIO REF 01/2013</v>
          </cell>
          <cell r="G315" t="str">
            <v>D</v>
          </cell>
          <cell r="H315">
            <v>112</v>
          </cell>
          <cell r="I315">
            <v>0</v>
          </cell>
          <cell r="J315" t="str">
            <v>X</v>
          </cell>
          <cell r="K315">
            <v>870903.23000000138</v>
          </cell>
          <cell r="L315">
            <v>870903.23000000138</v>
          </cell>
          <cell r="M315">
            <v>0</v>
          </cell>
        </row>
        <row r="316">
          <cell r="B316" t="str">
            <v>002-043</v>
          </cell>
          <cell r="C316" t="str">
            <v>2.01.01.09</v>
          </cell>
          <cell r="D316">
            <v>41312</v>
          </cell>
          <cell r="E316" t="str">
            <v>FGTS DIFERENÇA ALEXANDRO  JESUS DE ARAUJO</v>
          </cell>
          <cell r="F316" t="str">
            <v>FUNDO DE GARANTIA POR TEMPO DE SERVIÇO REF 01/2013</v>
          </cell>
          <cell r="G316" t="str">
            <v>D</v>
          </cell>
          <cell r="H316">
            <v>65.3</v>
          </cell>
          <cell r="I316">
            <v>0</v>
          </cell>
          <cell r="J316" t="str">
            <v>X</v>
          </cell>
          <cell r="K316">
            <v>870837.93000000133</v>
          </cell>
          <cell r="L316">
            <v>870837.93000000133</v>
          </cell>
          <cell r="M316">
            <v>0</v>
          </cell>
        </row>
        <row r="317">
          <cell r="B317" t="str">
            <v>002-044</v>
          </cell>
          <cell r="C317" t="str">
            <v>2.01.01.01</v>
          </cell>
          <cell r="D317">
            <v>41312</v>
          </cell>
          <cell r="E317" t="str">
            <v>SIDERLEI BERTIPAGLIA</v>
          </cell>
          <cell r="F317" t="str">
            <v>RESCISÃO DE CONTRATO DE TRABALHO</v>
          </cell>
          <cell r="G317" t="str">
            <v>D</v>
          </cell>
          <cell r="H317">
            <v>650.02</v>
          </cell>
          <cell r="I317">
            <v>0</v>
          </cell>
          <cell r="J317" t="str">
            <v>X</v>
          </cell>
          <cell r="K317">
            <v>870187.91000000131</v>
          </cell>
          <cell r="L317">
            <v>870187.91000000131</v>
          </cell>
          <cell r="M317">
            <v>0</v>
          </cell>
        </row>
        <row r="318">
          <cell r="B318" t="str">
            <v>RE002-007</v>
          </cell>
          <cell r="C318" t="str">
            <v>1.01.04.01</v>
          </cell>
          <cell r="D318">
            <v>41312</v>
          </cell>
          <cell r="E318" t="str">
            <v xml:space="preserve">BANCO ITAÚ </v>
          </cell>
          <cell r="F318" t="str">
            <v xml:space="preserve">RENDIMENTO DE APLICAÇÃO </v>
          </cell>
          <cell r="G318" t="str">
            <v>C</v>
          </cell>
          <cell r="H318">
            <v>0</v>
          </cell>
          <cell r="I318">
            <v>19.920000000000002</v>
          </cell>
          <cell r="J318" t="str">
            <v>X</v>
          </cell>
          <cell r="K318">
            <v>870207.83000000136</v>
          </cell>
          <cell r="L318">
            <v>870207.83000000136</v>
          </cell>
        </row>
        <row r="319">
          <cell r="B319" t="str">
            <v>RE002-009</v>
          </cell>
          <cell r="C319" t="str">
            <v>1.01.01.01</v>
          </cell>
          <cell r="D319">
            <v>41318</v>
          </cell>
          <cell r="E319" t="str">
            <v>SANESALTO SANEAMENTO S/A</v>
          </cell>
          <cell r="F319" t="str">
            <v>MEDIÇÃO DE 01/02 Á 08/02/2013</v>
          </cell>
          <cell r="G319" t="str">
            <v>C</v>
          </cell>
          <cell r="H319">
            <v>0</v>
          </cell>
          <cell r="I319">
            <v>328767.3</v>
          </cell>
          <cell r="J319" t="str">
            <v>X</v>
          </cell>
          <cell r="K319">
            <v>1198975.1300000013</v>
          </cell>
          <cell r="L319">
            <v>1198975.1300000013</v>
          </cell>
          <cell r="M319">
            <v>0</v>
          </cell>
        </row>
        <row r="320">
          <cell r="B320" t="str">
            <v>002-013</v>
          </cell>
          <cell r="C320" t="str">
            <v>2.01.03.16</v>
          </cell>
          <cell r="D320">
            <v>41318</v>
          </cell>
          <cell r="E320" t="str">
            <v>SOBASE MATERIAL DE CONSTRUÇÃO</v>
          </cell>
          <cell r="F320" t="str">
            <v xml:space="preserve">CIMENTO PARA CONCERTO DE VAZAMENTO </v>
          </cell>
          <cell r="G320" t="str">
            <v>D</v>
          </cell>
          <cell r="H320">
            <v>40.729999999999997</v>
          </cell>
          <cell r="I320">
            <v>0</v>
          </cell>
          <cell r="J320" t="str">
            <v>X</v>
          </cell>
          <cell r="K320">
            <v>1198934.4000000013</v>
          </cell>
          <cell r="L320">
            <v>1198934.4000000013</v>
          </cell>
          <cell r="M320">
            <v>10463</v>
          </cell>
        </row>
        <row r="321">
          <cell r="B321" t="str">
            <v>001-070</v>
          </cell>
          <cell r="C321" t="str">
            <v>2.02.03.09</v>
          </cell>
          <cell r="D321">
            <v>41318</v>
          </cell>
          <cell r="E321" t="str">
            <v>TECNO TONER CARTUCHOS PARA IMPRESSORA</v>
          </cell>
          <cell r="F321" t="str">
            <v>RECARGA DE CARTUCHOS PARA IMPRESSORA SANESALTO</v>
          </cell>
          <cell r="G321" t="str">
            <v>D</v>
          </cell>
          <cell r="H321">
            <v>99</v>
          </cell>
          <cell r="I321">
            <v>0</v>
          </cell>
          <cell r="J321" t="str">
            <v>X</v>
          </cell>
          <cell r="K321">
            <v>1198835.4000000013</v>
          </cell>
          <cell r="L321">
            <v>1198835.4000000013</v>
          </cell>
          <cell r="M321">
            <v>55041</v>
          </cell>
        </row>
        <row r="322">
          <cell r="B322" t="str">
            <v>001-069</v>
          </cell>
          <cell r="C322" t="str">
            <v>2.02.03.09</v>
          </cell>
          <cell r="D322">
            <v>41318</v>
          </cell>
          <cell r="E322" t="str">
            <v>TECNO TONER CARTUCHOS PARA IMPRESSORA</v>
          </cell>
          <cell r="F322" t="str">
            <v>RECARGA DE CARTUCHOS PARA IMPRESSORA SANESALTO</v>
          </cell>
          <cell r="G322" t="str">
            <v>D</v>
          </cell>
          <cell r="H322">
            <v>145.97</v>
          </cell>
          <cell r="I322">
            <v>0</v>
          </cell>
          <cell r="J322" t="str">
            <v>X</v>
          </cell>
          <cell r="K322">
            <v>1198689.4300000013</v>
          </cell>
          <cell r="L322">
            <v>1198689.4300000013</v>
          </cell>
          <cell r="M322">
            <v>55020</v>
          </cell>
        </row>
        <row r="323">
          <cell r="B323" t="str">
            <v>002-047</v>
          </cell>
          <cell r="C323" t="str">
            <v>2.02.02.01</v>
          </cell>
          <cell r="D323">
            <v>41318</v>
          </cell>
          <cell r="E323" t="str">
            <v>CODEQ SUPRIMENTOS PARA ESCRITÓRIOS Ltda.</v>
          </cell>
          <cell r="F323" t="str">
            <v>COMPRA DE MATERIAIS DIVERSOS PARA ESCRITÓRIO</v>
          </cell>
          <cell r="G323" t="str">
            <v>D</v>
          </cell>
          <cell r="H323">
            <v>317.52999999999997</v>
          </cell>
          <cell r="I323">
            <v>0</v>
          </cell>
          <cell r="J323" t="str">
            <v>X</v>
          </cell>
          <cell r="K323">
            <v>1198371.9000000013</v>
          </cell>
          <cell r="L323">
            <v>1198371.9000000013</v>
          </cell>
          <cell r="M323">
            <v>57164</v>
          </cell>
        </row>
        <row r="324">
          <cell r="B324" t="str">
            <v>12-057/3</v>
          </cell>
          <cell r="C324" t="str">
            <v>2.02.03.22</v>
          </cell>
          <cell r="D324">
            <v>41318</v>
          </cell>
          <cell r="E324" t="str">
            <v xml:space="preserve">ITAÚ SEGUROS </v>
          </cell>
          <cell r="F324" t="str">
            <v xml:space="preserve">SEGURO LOGAN </v>
          </cell>
          <cell r="G324" t="str">
            <v>D</v>
          </cell>
          <cell r="H324">
            <v>348.09</v>
          </cell>
          <cell r="I324">
            <v>0</v>
          </cell>
          <cell r="J324" t="str">
            <v>X</v>
          </cell>
          <cell r="K324">
            <v>1198023.8100000012</v>
          </cell>
          <cell r="L324">
            <v>1198023.8100000012</v>
          </cell>
          <cell r="M324">
            <v>0</v>
          </cell>
        </row>
        <row r="325">
          <cell r="B325" t="str">
            <v>002-028</v>
          </cell>
          <cell r="C325" t="str">
            <v>2.01.05.14</v>
          </cell>
          <cell r="D325">
            <v>41318</v>
          </cell>
          <cell r="E325" t="str">
            <v>WILSON BENEDITO RIZZI</v>
          </cell>
          <cell r="F325" t="str">
            <v>CAMINHÃO DE AGUA PARA ETE</v>
          </cell>
          <cell r="G325" t="str">
            <v>D</v>
          </cell>
          <cell r="H325">
            <v>440</v>
          </cell>
          <cell r="I325">
            <v>0</v>
          </cell>
          <cell r="J325" t="str">
            <v>X</v>
          </cell>
          <cell r="K325">
            <v>1197583.8100000012</v>
          </cell>
          <cell r="L325">
            <v>1197583.8100000012</v>
          </cell>
          <cell r="M325">
            <v>3776</v>
          </cell>
        </row>
        <row r="326">
          <cell r="B326" t="str">
            <v>001-094</v>
          </cell>
          <cell r="C326" t="str">
            <v>2.07.01.04</v>
          </cell>
          <cell r="D326">
            <v>41318</v>
          </cell>
          <cell r="E326" t="str">
            <v>SOLUTION UNITED TECNOLOGIA Ltda.</v>
          </cell>
          <cell r="F326" t="str">
            <v>COMPRA DE CANETA MARCADORA E PELICOLA PROTETORA</v>
          </cell>
          <cell r="G326" t="str">
            <v>D</v>
          </cell>
          <cell r="H326">
            <v>787.5</v>
          </cell>
          <cell r="I326">
            <v>0</v>
          </cell>
          <cell r="J326" t="str">
            <v>X</v>
          </cell>
          <cell r="K326">
            <v>1196796.3100000012</v>
          </cell>
          <cell r="L326">
            <v>1196796.3100000012</v>
          </cell>
          <cell r="M326">
            <v>1471</v>
          </cell>
        </row>
        <row r="327">
          <cell r="B327" t="str">
            <v>002-049</v>
          </cell>
          <cell r="C327" t="str">
            <v>2.02.03.17</v>
          </cell>
          <cell r="D327">
            <v>41318</v>
          </cell>
          <cell r="E327" t="str">
            <v>ESPLENDOR TRANSPORTES</v>
          </cell>
          <cell r="F327" t="str">
            <v>TRANSP0RTE  DE MATERIAL</v>
          </cell>
          <cell r="G327" t="str">
            <v>D</v>
          </cell>
          <cell r="H327">
            <v>490</v>
          </cell>
          <cell r="I327">
            <v>0</v>
          </cell>
          <cell r="J327" t="str">
            <v>X</v>
          </cell>
          <cell r="K327">
            <v>1196306.3100000012</v>
          </cell>
          <cell r="L327">
            <v>1196306.3100000012</v>
          </cell>
          <cell r="M327">
            <v>9621</v>
          </cell>
        </row>
        <row r="328">
          <cell r="B328" t="str">
            <v>12-088/2</v>
          </cell>
          <cell r="C328" t="str">
            <v>2.07.01.04</v>
          </cell>
          <cell r="D328">
            <v>41318</v>
          </cell>
          <cell r="E328" t="str">
            <v>SOLUTION UNITED TECNOLOGIA Ltda.</v>
          </cell>
          <cell r="F328" t="str">
            <v>COMPRA DE COLETOR DE DADOS E IMPRESSORA</v>
          </cell>
          <cell r="G328" t="str">
            <v>D</v>
          </cell>
          <cell r="H328">
            <v>2901.36</v>
          </cell>
          <cell r="I328">
            <v>0</v>
          </cell>
          <cell r="J328" t="str">
            <v>X</v>
          </cell>
          <cell r="K328">
            <v>1193404.9500000011</v>
          </cell>
          <cell r="L328">
            <v>1193404.9500000011</v>
          </cell>
          <cell r="M328">
            <v>1402</v>
          </cell>
        </row>
        <row r="329">
          <cell r="B329" t="str">
            <v>002-048</v>
          </cell>
          <cell r="C329" t="str">
            <v>2.02.02.04</v>
          </cell>
          <cell r="D329">
            <v>41318</v>
          </cell>
          <cell r="E329" t="str">
            <v>VIVO S/A</v>
          </cell>
          <cell r="F329" t="str">
            <v>VIVO  INTERNET BRASIL</v>
          </cell>
          <cell r="G329" t="str">
            <v>D</v>
          </cell>
          <cell r="H329">
            <v>576.5</v>
          </cell>
          <cell r="I329">
            <v>0</v>
          </cell>
          <cell r="J329" t="str">
            <v>X</v>
          </cell>
          <cell r="K329">
            <v>1192828.4500000011</v>
          </cell>
          <cell r="L329">
            <v>1192828.4500000011</v>
          </cell>
          <cell r="M329">
            <v>0</v>
          </cell>
        </row>
        <row r="330">
          <cell r="B330" t="str">
            <v>001-079</v>
          </cell>
          <cell r="C330" t="str">
            <v>2.01.05.05</v>
          </cell>
          <cell r="D330">
            <v>41318</v>
          </cell>
          <cell r="E330" t="str">
            <v>ACQUALAB LABORATÓRIO E CONSULTORIA AMBIENTAL S/S LTDA</v>
          </cell>
          <cell r="F330" t="str">
            <v>Serviços de Analise e Serv Tecnico de Amostragem e Transporte de Amostras</v>
          </cell>
          <cell r="G330" t="str">
            <v>D</v>
          </cell>
          <cell r="H330">
            <v>1176.0899999999999</v>
          </cell>
          <cell r="I330">
            <v>0</v>
          </cell>
          <cell r="J330" t="str">
            <v>X</v>
          </cell>
          <cell r="K330">
            <v>1191652.360000001</v>
          </cell>
          <cell r="L330">
            <v>1191652.360000001</v>
          </cell>
          <cell r="M330">
            <v>1856</v>
          </cell>
        </row>
        <row r="331">
          <cell r="B331" t="str">
            <v>001-006/2</v>
          </cell>
          <cell r="C331" t="str">
            <v>2.01.05.11</v>
          </cell>
          <cell r="D331">
            <v>41318</v>
          </cell>
          <cell r="E331" t="str">
            <v>VT COMÉRCIO DE MOTORES ELÉTRICOS E ACIONAMENTOS Ltda.</v>
          </cell>
          <cell r="F331" t="str">
            <v>REVISÃO E CONSERTO DE BOMBA</v>
          </cell>
          <cell r="G331" t="str">
            <v>D</v>
          </cell>
          <cell r="H331">
            <v>1466.67</v>
          </cell>
          <cell r="I331">
            <v>0</v>
          </cell>
          <cell r="J331" t="str">
            <v>X</v>
          </cell>
          <cell r="K331">
            <v>1190185.6900000011</v>
          </cell>
          <cell r="L331">
            <v>1190185.6900000011</v>
          </cell>
          <cell r="M331">
            <v>157</v>
          </cell>
        </row>
        <row r="332">
          <cell r="B332" t="str">
            <v>12-123/01</v>
          </cell>
          <cell r="C332" t="str">
            <v>2.01.05.11</v>
          </cell>
          <cell r="D332">
            <v>41318</v>
          </cell>
          <cell r="E332" t="str">
            <v>MATESA MOTORES</v>
          </cell>
          <cell r="F332" t="str">
            <v>MANUTENÇÃO E CONSERTO DE BOMVA SUBMERSIVEL</v>
          </cell>
          <cell r="G332" t="str">
            <v>D</v>
          </cell>
          <cell r="H332">
            <v>1662.5</v>
          </cell>
          <cell r="I332">
            <v>0</v>
          </cell>
          <cell r="J332" t="str">
            <v>X</v>
          </cell>
          <cell r="K332">
            <v>1188523.1900000011</v>
          </cell>
          <cell r="L332">
            <v>1188523.1900000011</v>
          </cell>
          <cell r="M332">
            <v>1920</v>
          </cell>
        </row>
        <row r="333">
          <cell r="B333" t="str">
            <v>002-046</v>
          </cell>
          <cell r="C333" t="str">
            <v>2.09.01.01</v>
          </cell>
          <cell r="D333">
            <v>41318</v>
          </cell>
          <cell r="E333" t="str">
            <v>BANCO BRADESCO</v>
          </cell>
          <cell r="F333" t="str">
            <v>TRANSFERÊNCIA DE VALOR SANESALTO</v>
          </cell>
          <cell r="G333" t="str">
            <v>D</v>
          </cell>
          <cell r="H333">
            <v>2500</v>
          </cell>
          <cell r="I333">
            <v>0</v>
          </cell>
          <cell r="J333" t="str">
            <v>X</v>
          </cell>
          <cell r="K333">
            <v>1186023.1900000011</v>
          </cell>
          <cell r="L333">
            <v>1186023.1900000011</v>
          </cell>
          <cell r="M333">
            <v>0</v>
          </cell>
        </row>
        <row r="334">
          <cell r="B334" t="str">
            <v>002-045</v>
          </cell>
          <cell r="C334" t="str">
            <v>2.02.03.20</v>
          </cell>
          <cell r="D334">
            <v>41318</v>
          </cell>
          <cell r="E334" t="str">
            <v>APAE</v>
          </cell>
          <cell r="F334" t="str">
            <v>DOAÇÃO MENSAL</v>
          </cell>
          <cell r="G334" t="str">
            <v>D</v>
          </cell>
          <cell r="H334">
            <v>2500</v>
          </cell>
          <cell r="I334">
            <v>0</v>
          </cell>
          <cell r="J334" t="str">
            <v>X</v>
          </cell>
          <cell r="K334">
            <v>1183523.1900000011</v>
          </cell>
          <cell r="L334">
            <v>1183523.1900000011</v>
          </cell>
          <cell r="M334">
            <v>0</v>
          </cell>
        </row>
        <row r="335">
          <cell r="B335" t="str">
            <v>04-096/26</v>
          </cell>
          <cell r="C335" t="str">
            <v>2.07.03.02</v>
          </cell>
          <cell r="D335">
            <v>41318</v>
          </cell>
          <cell r="E335" t="str">
            <v>CONASA COMPANHIA NACIONAL DE SANEAMENTO</v>
          </cell>
          <cell r="F335" t="str">
            <v>Adiantamento à fornecedores (parcela referente ao pagamento de geradores do Sistema Burú)</v>
          </cell>
          <cell r="G335" t="str">
            <v>D</v>
          </cell>
          <cell r="H335">
            <v>3195.67</v>
          </cell>
          <cell r="I335">
            <v>0</v>
          </cell>
          <cell r="J335" t="str">
            <v>X</v>
          </cell>
          <cell r="K335">
            <v>1180327.5200000012</v>
          </cell>
          <cell r="L335">
            <v>1180327.5200000012</v>
          </cell>
          <cell r="M335">
            <v>0</v>
          </cell>
        </row>
        <row r="336">
          <cell r="B336" t="str">
            <v>al002-001</v>
          </cell>
          <cell r="C336" t="str">
            <v>2.02.03.14</v>
          </cell>
          <cell r="D336">
            <v>41318</v>
          </cell>
          <cell r="E336" t="str">
            <v>COSTA ROCHA IMOBILIÁRIA</v>
          </cell>
          <cell r="F336" t="str">
            <v>ALUGUEL PRÉDIO SANESALTO</v>
          </cell>
          <cell r="G336" t="str">
            <v>D</v>
          </cell>
          <cell r="H336">
            <v>3608.22</v>
          </cell>
          <cell r="I336">
            <v>0</v>
          </cell>
          <cell r="J336" t="str">
            <v>X</v>
          </cell>
          <cell r="K336">
            <v>1176719.3000000012</v>
          </cell>
          <cell r="L336">
            <v>1176719.3000000012</v>
          </cell>
          <cell r="M336">
            <v>0</v>
          </cell>
        </row>
        <row r="337">
          <cell r="B337" t="str">
            <v>12-098/01</v>
          </cell>
          <cell r="C337" t="str">
            <v>2.01.05.11</v>
          </cell>
          <cell r="D337">
            <v>41318</v>
          </cell>
          <cell r="E337" t="str">
            <v>MATESA MOTORES</v>
          </cell>
          <cell r="F337" t="str">
            <v>MANUTENÇÃO DE BOMBA PATIO DA PREFEITURA</v>
          </cell>
          <cell r="G337" t="str">
            <v>D</v>
          </cell>
          <cell r="H337">
            <v>5100</v>
          </cell>
          <cell r="I337">
            <v>0</v>
          </cell>
          <cell r="J337" t="str">
            <v>X</v>
          </cell>
          <cell r="K337">
            <v>1171619.3000000012</v>
          </cell>
          <cell r="L337">
            <v>1171619.3000000012</v>
          </cell>
          <cell r="M337">
            <v>2689</v>
          </cell>
        </row>
        <row r="338">
          <cell r="B338" t="str">
            <v>12-124/01</v>
          </cell>
          <cell r="C338" t="str">
            <v>2.01.05.11</v>
          </cell>
          <cell r="D338">
            <v>41318</v>
          </cell>
          <cell r="E338" t="str">
            <v>MATESA MOTORES</v>
          </cell>
          <cell r="F338" t="str">
            <v>MANUTENÇÃO E CONSERTO DE BOMBA SUBMERSIVEL</v>
          </cell>
          <cell r="G338" t="str">
            <v>D</v>
          </cell>
          <cell r="H338">
            <v>6328.06</v>
          </cell>
          <cell r="I338">
            <v>0</v>
          </cell>
          <cell r="J338" t="str">
            <v>X</v>
          </cell>
          <cell r="K338">
            <v>1165291.2400000012</v>
          </cell>
          <cell r="L338">
            <v>1165291.2400000012</v>
          </cell>
          <cell r="M338">
            <v>1921</v>
          </cell>
        </row>
        <row r="339">
          <cell r="B339" t="str">
            <v>002-031</v>
          </cell>
          <cell r="C339" t="str">
            <v>2.02.03.05</v>
          </cell>
          <cell r="D339">
            <v>41318</v>
          </cell>
          <cell r="E339" t="str">
            <v>SCANDIUZZI CONSULTORIA CONTABIL Ltda.</v>
          </cell>
          <cell r="F339" t="str">
            <v>DESPESAS INCORRIDAS COM PROCESSOS DA EMPRESA REF 12/2012</v>
          </cell>
          <cell r="G339" t="str">
            <v>D</v>
          </cell>
          <cell r="H339">
            <v>9.4</v>
          </cell>
          <cell r="I339">
            <v>0</v>
          </cell>
          <cell r="J339" t="str">
            <v>X</v>
          </cell>
          <cell r="K339">
            <v>1165281.8400000012</v>
          </cell>
          <cell r="L339">
            <v>1165281.8400000012</v>
          </cell>
          <cell r="M339">
            <v>0</v>
          </cell>
        </row>
        <row r="340">
          <cell r="B340" t="str">
            <v>11-043/05</v>
          </cell>
          <cell r="C340" t="str">
            <v>2.07.01.04</v>
          </cell>
          <cell r="D340">
            <v>41318</v>
          </cell>
          <cell r="E340" t="str">
            <v>KSB BOMBAS HIDRAULICAS  S/A</v>
          </cell>
          <cell r="F340" t="str">
            <v>REF BOMBA MODELO KRT K150-401/804 UNG</v>
          </cell>
          <cell r="G340" t="str">
            <v>D</v>
          </cell>
          <cell r="H340">
            <v>9780</v>
          </cell>
          <cell r="I340">
            <v>0</v>
          </cell>
          <cell r="J340" t="str">
            <v>X</v>
          </cell>
          <cell r="K340">
            <v>1155501.8400000012</v>
          </cell>
          <cell r="L340">
            <v>1155501.8400000012</v>
          </cell>
          <cell r="M340">
            <v>2410</v>
          </cell>
        </row>
        <row r="341">
          <cell r="B341" t="str">
            <v>002-078/1</v>
          </cell>
          <cell r="C341" t="str">
            <v>2.02.01.01</v>
          </cell>
          <cell r="D341">
            <v>41323</v>
          </cell>
          <cell r="E341" t="str">
            <v>NAEDSON LUIZ DE SOUZA</v>
          </cell>
          <cell r="F341" t="str">
            <v>ADIANTAMENTO DE 40% DO SALÁRIO FOLHA MARÇO 2013</v>
          </cell>
          <cell r="G341" t="str">
            <v>D</v>
          </cell>
          <cell r="H341">
            <v>1520</v>
          </cell>
          <cell r="I341">
            <v>0</v>
          </cell>
          <cell r="J341" t="str">
            <v>X</v>
          </cell>
          <cell r="K341">
            <v>1153981.8400000012</v>
          </cell>
          <cell r="L341">
            <v>1153981.8400000012</v>
          </cell>
          <cell r="M341">
            <v>0</v>
          </cell>
        </row>
        <row r="342">
          <cell r="B342" t="str">
            <v>002-078/2</v>
          </cell>
          <cell r="C342" t="str">
            <v>2.02.01.01</v>
          </cell>
          <cell r="D342">
            <v>41323</v>
          </cell>
          <cell r="E342" t="str">
            <v xml:space="preserve">ALOISIO BORIN </v>
          </cell>
          <cell r="F342" t="str">
            <v>ADIANTAMENTO DE 40% DO SALÁRIO FOLHA MARÇO 2013</v>
          </cell>
          <cell r="G342" t="str">
            <v>D</v>
          </cell>
          <cell r="H342">
            <v>651</v>
          </cell>
          <cell r="I342">
            <v>0</v>
          </cell>
          <cell r="J342" t="str">
            <v>X</v>
          </cell>
          <cell r="K342">
            <v>1153330.8400000012</v>
          </cell>
          <cell r="L342">
            <v>1153330.8400000012</v>
          </cell>
          <cell r="M342">
            <v>0</v>
          </cell>
        </row>
        <row r="343">
          <cell r="B343" t="str">
            <v>002-078/3</v>
          </cell>
          <cell r="C343" t="str">
            <v>2.02.01.01</v>
          </cell>
          <cell r="D343">
            <v>41323</v>
          </cell>
          <cell r="E343" t="str">
            <v>CLEBER C DA SILVA</v>
          </cell>
          <cell r="F343" t="str">
            <v>ADIANTAMENTO DE 40% DO SALÁRIO FOLHA MARÇO 2013</v>
          </cell>
          <cell r="G343" t="str">
            <v>D</v>
          </cell>
          <cell r="H343">
            <v>1217</v>
          </cell>
          <cell r="I343">
            <v>0</v>
          </cell>
          <cell r="J343" t="str">
            <v>X</v>
          </cell>
          <cell r="K343">
            <v>1152113.8400000012</v>
          </cell>
          <cell r="L343">
            <v>1152113.8400000012</v>
          </cell>
        </row>
        <row r="344">
          <cell r="B344" t="str">
            <v>002-078/4</v>
          </cell>
          <cell r="C344" t="str">
            <v>2.02.01.01</v>
          </cell>
          <cell r="D344">
            <v>41323</v>
          </cell>
          <cell r="E344" t="str">
            <v>ERICA AP DA SILVA DE MORAES</v>
          </cell>
          <cell r="F344" t="str">
            <v>ADIANTAMENTO DE 40% DO SALÁRIO FOLHA MARÇO 2013</v>
          </cell>
          <cell r="G344" t="str">
            <v>D</v>
          </cell>
          <cell r="H344">
            <v>652</v>
          </cell>
          <cell r="I344">
            <v>0</v>
          </cell>
          <cell r="J344" t="str">
            <v>X</v>
          </cell>
          <cell r="K344">
            <v>1151461.8400000012</v>
          </cell>
          <cell r="L344">
            <v>1151461.8400000012</v>
          </cell>
          <cell r="M344">
            <v>0</v>
          </cell>
        </row>
        <row r="345">
          <cell r="B345" t="str">
            <v>002-078/5</v>
          </cell>
          <cell r="C345" t="str">
            <v>2.02.01.01</v>
          </cell>
          <cell r="D345">
            <v>41323</v>
          </cell>
          <cell r="E345" t="str">
            <v>ELIZANGELA REGINA P DIAS</v>
          </cell>
          <cell r="F345" t="str">
            <v>ADIANTAMENTO DE 40% DO SALÁRIO FOLHA MARÇO 2013</v>
          </cell>
          <cell r="G345" t="str">
            <v>D</v>
          </cell>
          <cell r="H345">
            <v>2110</v>
          </cell>
          <cell r="I345">
            <v>0</v>
          </cell>
          <cell r="J345" t="str">
            <v>X</v>
          </cell>
          <cell r="K345">
            <v>1149351.8400000012</v>
          </cell>
          <cell r="L345">
            <v>1149351.8400000012</v>
          </cell>
          <cell r="M345">
            <v>0</v>
          </cell>
        </row>
        <row r="346">
          <cell r="B346" t="str">
            <v>002-078/6</v>
          </cell>
          <cell r="C346" t="str">
            <v>2.02.01.01</v>
          </cell>
          <cell r="D346">
            <v>41323</v>
          </cell>
          <cell r="E346" t="str">
            <v>RODRIGO BUENO</v>
          </cell>
          <cell r="F346" t="str">
            <v>ADIANTAMENTO DE 40% DO SALÁRIO FOLHA MARÇO 2013</v>
          </cell>
          <cell r="G346" t="str">
            <v>D</v>
          </cell>
          <cell r="H346">
            <v>2109</v>
          </cell>
          <cell r="I346">
            <v>0</v>
          </cell>
          <cell r="J346" t="str">
            <v>X</v>
          </cell>
          <cell r="K346">
            <v>1147242.8400000012</v>
          </cell>
          <cell r="L346">
            <v>1147242.8400000012</v>
          </cell>
          <cell r="M346">
            <v>0</v>
          </cell>
        </row>
        <row r="347">
          <cell r="B347" t="str">
            <v>002-078/7</v>
          </cell>
          <cell r="C347" t="str">
            <v>2.02.01.01</v>
          </cell>
          <cell r="D347">
            <v>41323</v>
          </cell>
          <cell r="E347" t="str">
            <v>MARIANA CASTELLINI</v>
          </cell>
          <cell r="F347" t="str">
            <v>ADIANTAMENTO DE 40% DO SALÁRIO FOLHA MARÇO 2013</v>
          </cell>
          <cell r="G347" t="str">
            <v>D</v>
          </cell>
          <cell r="H347">
            <v>256</v>
          </cell>
          <cell r="I347">
            <v>0</v>
          </cell>
          <cell r="J347" t="str">
            <v>X</v>
          </cell>
          <cell r="K347">
            <v>1146986.8400000012</v>
          </cell>
          <cell r="L347">
            <v>1146986.8400000012</v>
          </cell>
          <cell r="M347">
            <v>0</v>
          </cell>
        </row>
        <row r="348">
          <cell r="B348" t="str">
            <v>002-078/8</v>
          </cell>
          <cell r="C348" t="str">
            <v>2.02.01.01</v>
          </cell>
          <cell r="D348">
            <v>41323</v>
          </cell>
          <cell r="E348" t="str">
            <v>JANAÍNA SILVA SOUZA</v>
          </cell>
          <cell r="F348" t="str">
            <v>ADIANTAMENTO DE 40% DO SALÁRIO FOLHA MARÇO 2013</v>
          </cell>
          <cell r="G348" t="str">
            <v>D</v>
          </cell>
          <cell r="H348">
            <v>392</v>
          </cell>
          <cell r="I348">
            <v>0</v>
          </cell>
          <cell r="J348" t="str">
            <v>X</v>
          </cell>
          <cell r="K348">
            <v>1146594.8400000012</v>
          </cell>
          <cell r="L348">
            <v>1146594.8400000012</v>
          </cell>
          <cell r="M348">
            <v>0</v>
          </cell>
        </row>
        <row r="349">
          <cell r="B349" t="str">
            <v>002-078/9</v>
          </cell>
          <cell r="C349" t="str">
            <v>2.02.01.01</v>
          </cell>
          <cell r="D349">
            <v>41323</v>
          </cell>
          <cell r="E349" t="str">
            <v>MARIANA CRISTINA GESSOLI</v>
          </cell>
          <cell r="F349" t="str">
            <v>ADIANTAMENTO DE 40% DO SALÁRIO FOLHA MARÇO 2013</v>
          </cell>
          <cell r="G349" t="str">
            <v>D</v>
          </cell>
          <cell r="H349">
            <v>392</v>
          </cell>
          <cell r="I349">
            <v>0</v>
          </cell>
          <cell r="J349" t="str">
            <v>X</v>
          </cell>
          <cell r="K349">
            <v>1146202.8400000012</v>
          </cell>
          <cell r="L349">
            <v>1146202.8400000012</v>
          </cell>
          <cell r="M349">
            <v>0</v>
          </cell>
        </row>
        <row r="350">
          <cell r="B350" t="str">
            <v>002-078/10</v>
          </cell>
          <cell r="C350" t="str">
            <v>2.01.01.01</v>
          </cell>
          <cell r="D350">
            <v>41323</v>
          </cell>
          <cell r="E350" t="str">
            <v>JULIO CÉSAR DA S OLIVEIRA</v>
          </cell>
          <cell r="F350" t="str">
            <v>ADIANTAMENTO DE 40% DO SALÁRIO FOLHA MARÇO 2013</v>
          </cell>
          <cell r="G350" t="str">
            <v>D</v>
          </cell>
          <cell r="H350">
            <v>405</v>
          </cell>
          <cell r="I350">
            <v>0</v>
          </cell>
          <cell r="J350" t="str">
            <v>X</v>
          </cell>
          <cell r="K350">
            <v>1145797.8400000012</v>
          </cell>
          <cell r="L350">
            <v>1145797.8400000012</v>
          </cell>
          <cell r="M350">
            <v>0</v>
          </cell>
        </row>
        <row r="351">
          <cell r="B351" t="str">
            <v>002-078/11</v>
          </cell>
          <cell r="C351" t="str">
            <v>2.01.01.01</v>
          </cell>
          <cell r="D351">
            <v>41323</v>
          </cell>
          <cell r="E351" t="str">
            <v>GILBERTO SILVA ROQUE</v>
          </cell>
          <cell r="F351" t="str">
            <v>ADIANTAMENTO DE 40% DO SALÁRIO FOLHA MARÇO 2013</v>
          </cell>
          <cell r="G351" t="str">
            <v>D</v>
          </cell>
          <cell r="H351">
            <v>480</v>
          </cell>
          <cell r="I351">
            <v>0</v>
          </cell>
          <cell r="J351" t="str">
            <v>X</v>
          </cell>
          <cell r="K351">
            <v>1145317.8400000012</v>
          </cell>
          <cell r="L351">
            <v>1145317.8400000012</v>
          </cell>
          <cell r="M351">
            <v>0</v>
          </cell>
        </row>
        <row r="352">
          <cell r="B352" t="str">
            <v>002-078/12</v>
          </cell>
          <cell r="C352" t="str">
            <v>2.01.01.01</v>
          </cell>
          <cell r="D352">
            <v>41323</v>
          </cell>
          <cell r="E352" t="str">
            <v>TIAGO HENRIQUE DE OLIVEIRA</v>
          </cell>
          <cell r="F352" t="str">
            <v>ADIANTAMENTO DE 40% DO SALÁRIO FOLHA MARÇO 2013</v>
          </cell>
          <cell r="G352" t="str">
            <v>D</v>
          </cell>
          <cell r="H352">
            <v>405</v>
          </cell>
          <cell r="I352">
            <v>0</v>
          </cell>
          <cell r="J352" t="str">
            <v>X</v>
          </cell>
          <cell r="K352">
            <v>1144912.8400000012</v>
          </cell>
          <cell r="L352">
            <v>1144912.8400000012</v>
          </cell>
          <cell r="M352">
            <v>0</v>
          </cell>
        </row>
        <row r="353">
          <cell r="B353" t="str">
            <v>002-078/13</v>
          </cell>
          <cell r="C353" t="str">
            <v>2.01.01.01</v>
          </cell>
          <cell r="D353">
            <v>41323</v>
          </cell>
          <cell r="E353" t="str">
            <v>LUCAS AMARAL</v>
          </cell>
          <cell r="F353" t="str">
            <v>ADIANTAMENTO DE 40% DO SALÁRIO FOLHA MARÇO 2013</v>
          </cell>
          <cell r="G353" t="str">
            <v>D</v>
          </cell>
          <cell r="H353">
            <v>405</v>
          </cell>
          <cell r="I353">
            <v>0</v>
          </cell>
          <cell r="J353" t="str">
            <v>X</v>
          </cell>
          <cell r="K353">
            <v>1144507.8400000012</v>
          </cell>
          <cell r="L353">
            <v>1144507.8400000012</v>
          </cell>
          <cell r="M353">
            <v>0</v>
          </cell>
        </row>
        <row r="354">
          <cell r="B354" t="str">
            <v>002-078/14</v>
          </cell>
          <cell r="C354" t="str">
            <v>2.01.01.01</v>
          </cell>
          <cell r="D354">
            <v>41323</v>
          </cell>
          <cell r="E354" t="str">
            <v>WEVERTON EUGÊNIO PEREIRA</v>
          </cell>
          <cell r="F354" t="str">
            <v>ADIANTAMENTO DE 40% DO SALÁRIO FOLHA MARÇO 2013</v>
          </cell>
          <cell r="G354" t="str">
            <v>D</v>
          </cell>
          <cell r="H354">
            <v>480</v>
          </cell>
          <cell r="I354">
            <v>0</v>
          </cell>
          <cell r="J354" t="str">
            <v>X</v>
          </cell>
          <cell r="K354">
            <v>1144027.8400000012</v>
          </cell>
          <cell r="L354">
            <v>1144027.8400000012</v>
          </cell>
          <cell r="M354">
            <v>0</v>
          </cell>
        </row>
        <row r="355">
          <cell r="B355" t="str">
            <v>002-078/15</v>
          </cell>
          <cell r="C355" t="str">
            <v>2.01.01.01</v>
          </cell>
          <cell r="D355">
            <v>41323</v>
          </cell>
          <cell r="E355" t="str">
            <v>MÁRCIO OSTIANO DE SOUZA</v>
          </cell>
          <cell r="F355" t="str">
            <v>ADIANTAMENTO DE 40% DO SALÁRIO FOLHA MARÇO 2013</v>
          </cell>
          <cell r="G355" t="str">
            <v>D</v>
          </cell>
          <cell r="H355">
            <v>405</v>
          </cell>
          <cell r="I355">
            <v>0</v>
          </cell>
          <cell r="J355" t="str">
            <v>X</v>
          </cell>
          <cell r="K355">
            <v>1143622.8400000012</v>
          </cell>
          <cell r="L355">
            <v>1143622.8400000012</v>
          </cell>
          <cell r="M355">
            <v>0</v>
          </cell>
        </row>
        <row r="356">
          <cell r="B356" t="str">
            <v>002-078/16</v>
          </cell>
          <cell r="C356" t="str">
            <v>2.01.01.01</v>
          </cell>
          <cell r="D356">
            <v>41323</v>
          </cell>
          <cell r="E356" t="str">
            <v>ANDRÉ SIMÕES</v>
          </cell>
          <cell r="F356" t="str">
            <v>ADIANTAMENTO DE 40% DO SALÁRIO FOLHA MARÇO 2013</v>
          </cell>
          <cell r="G356" t="str">
            <v>D</v>
          </cell>
          <cell r="H356">
            <v>405</v>
          </cell>
          <cell r="I356">
            <v>0</v>
          </cell>
          <cell r="J356" t="str">
            <v>X</v>
          </cell>
          <cell r="K356">
            <v>1143217.8400000012</v>
          </cell>
          <cell r="L356">
            <v>1143217.8400000012</v>
          </cell>
          <cell r="M356">
            <v>0</v>
          </cell>
        </row>
        <row r="357">
          <cell r="B357" t="str">
            <v>002-078/17</v>
          </cell>
          <cell r="C357" t="str">
            <v>2.01.01.01</v>
          </cell>
          <cell r="D357">
            <v>41323</v>
          </cell>
          <cell r="E357" t="str">
            <v>EMERSON BEDIN</v>
          </cell>
          <cell r="F357" t="str">
            <v>ADIANTAMENTO DE 40% DO SALÁRIO FOLHA MARÇO 2013</v>
          </cell>
          <cell r="G357" t="str">
            <v>D</v>
          </cell>
          <cell r="H357">
            <v>565</v>
          </cell>
          <cell r="I357">
            <v>0</v>
          </cell>
          <cell r="J357" t="str">
            <v>X</v>
          </cell>
          <cell r="K357">
            <v>1142652.8400000012</v>
          </cell>
          <cell r="L357">
            <v>1142652.8400000012</v>
          </cell>
          <cell r="M357">
            <v>0</v>
          </cell>
        </row>
        <row r="358">
          <cell r="B358" t="str">
            <v>002-078/18</v>
          </cell>
          <cell r="C358" t="str">
            <v>2.01.01.01</v>
          </cell>
          <cell r="D358">
            <v>41323</v>
          </cell>
          <cell r="E358" t="str">
            <v>THIAGO RIBEIRO</v>
          </cell>
          <cell r="F358" t="str">
            <v>ADIANTAMENTO DE 40% DO SALÁRIO FOLHA MARÇO 2013</v>
          </cell>
          <cell r="G358" t="str">
            <v>D</v>
          </cell>
          <cell r="H358">
            <v>478</v>
          </cell>
          <cell r="I358">
            <v>0</v>
          </cell>
          <cell r="J358" t="str">
            <v>X</v>
          </cell>
          <cell r="K358">
            <v>1142174.8400000012</v>
          </cell>
          <cell r="L358">
            <v>1142174.8400000012</v>
          </cell>
          <cell r="M358">
            <v>0</v>
          </cell>
        </row>
        <row r="359">
          <cell r="B359" t="str">
            <v>002-078/19</v>
          </cell>
          <cell r="C359" t="str">
            <v>2.01.01.01</v>
          </cell>
          <cell r="D359">
            <v>41323</v>
          </cell>
          <cell r="E359" t="str">
            <v>ALBERTINO M DA SILVA</v>
          </cell>
          <cell r="F359" t="str">
            <v>ADIANTAMENTO DE 40% DO SALÁRIO FOLHA MARÇO 2013</v>
          </cell>
          <cell r="G359" t="str">
            <v>D</v>
          </cell>
          <cell r="H359">
            <v>345</v>
          </cell>
          <cell r="I359">
            <v>0</v>
          </cell>
          <cell r="J359" t="str">
            <v>X</v>
          </cell>
          <cell r="K359">
            <v>1141829.8400000012</v>
          </cell>
          <cell r="L359">
            <v>1141829.8400000012</v>
          </cell>
          <cell r="M359">
            <v>0</v>
          </cell>
        </row>
        <row r="360">
          <cell r="B360" t="str">
            <v>002-078/20</v>
          </cell>
          <cell r="C360" t="str">
            <v>2.01.01.01</v>
          </cell>
          <cell r="D360">
            <v>41323</v>
          </cell>
          <cell r="E360" t="str">
            <v>ALEXANDRE JESUS DE ARAUJO</v>
          </cell>
          <cell r="F360" t="str">
            <v>ADIANTAMENTO DE 40% DO SALÁRIO FOLHA MARÇO 2013</v>
          </cell>
          <cell r="G360" t="str">
            <v>D</v>
          </cell>
          <cell r="H360">
            <v>782</v>
          </cell>
          <cell r="I360">
            <v>0</v>
          </cell>
          <cell r="J360" t="str">
            <v>X</v>
          </cell>
          <cell r="K360">
            <v>1141047.8400000012</v>
          </cell>
          <cell r="L360">
            <v>1141047.8400000012</v>
          </cell>
          <cell r="M360">
            <v>0</v>
          </cell>
        </row>
        <row r="361">
          <cell r="B361" t="str">
            <v>002-078/21</v>
          </cell>
          <cell r="C361" t="str">
            <v>2.01.01.01</v>
          </cell>
          <cell r="D361">
            <v>41323</v>
          </cell>
          <cell r="E361" t="str">
            <v>SANDRO PAGGI DE SOUSA</v>
          </cell>
          <cell r="F361" t="str">
            <v>ADIANTAMENTO DE 40% DO SALÁRIO FOLHA MARÇO 2013</v>
          </cell>
          <cell r="G361" t="str">
            <v>D</v>
          </cell>
          <cell r="H361">
            <v>345</v>
          </cell>
          <cell r="I361">
            <v>0</v>
          </cell>
          <cell r="J361" t="str">
            <v>X</v>
          </cell>
          <cell r="K361">
            <v>1140702.8400000012</v>
          </cell>
          <cell r="L361">
            <v>1140702.8400000012</v>
          </cell>
          <cell r="M361">
            <v>0</v>
          </cell>
        </row>
        <row r="362">
          <cell r="B362" t="str">
            <v>002-078/22</v>
          </cell>
          <cell r="C362" t="str">
            <v>2.01.01.01</v>
          </cell>
          <cell r="D362">
            <v>41323</v>
          </cell>
          <cell r="E362" t="str">
            <v>ALEXANDRE DE C ALVES</v>
          </cell>
          <cell r="F362" t="str">
            <v>ADIANTAMENTO DE 40% DO SALÁRIO FOLHA MARÇO 2013</v>
          </cell>
          <cell r="G362" t="str">
            <v>D</v>
          </cell>
          <cell r="H362">
            <v>345</v>
          </cell>
          <cell r="I362">
            <v>0</v>
          </cell>
          <cell r="J362" t="str">
            <v>X</v>
          </cell>
          <cell r="K362">
            <v>1140357.8400000012</v>
          </cell>
          <cell r="L362">
            <v>1140357.8400000012</v>
          </cell>
          <cell r="M362">
            <v>0</v>
          </cell>
        </row>
        <row r="363">
          <cell r="B363" t="str">
            <v>002-078/23</v>
          </cell>
          <cell r="C363" t="str">
            <v>2.01.01.01</v>
          </cell>
          <cell r="D363">
            <v>41323</v>
          </cell>
          <cell r="E363" t="str">
            <v>WILSON DE SOUZA</v>
          </cell>
          <cell r="F363" t="str">
            <v>ADIANTAMENTO DE 40% DO SALÁRIO FOLHA MARÇO 2013</v>
          </cell>
          <cell r="G363" t="str">
            <v>D</v>
          </cell>
          <cell r="H363">
            <v>345</v>
          </cell>
          <cell r="I363">
            <v>0</v>
          </cell>
          <cell r="J363" t="str">
            <v>X</v>
          </cell>
          <cell r="K363">
            <v>1140012.8400000012</v>
          </cell>
          <cell r="L363">
            <v>1140012.8400000012</v>
          </cell>
          <cell r="M363">
            <v>0</v>
          </cell>
        </row>
        <row r="364">
          <cell r="B364" t="str">
            <v>002-077</v>
          </cell>
          <cell r="C364" t="str">
            <v>2.02.03.19</v>
          </cell>
          <cell r="D364">
            <v>41323</v>
          </cell>
          <cell r="E364" t="str">
            <v>NETSHOES</v>
          </cell>
          <cell r="F364" t="str">
            <v>TÊNIS PATROCINIO GILBERTO</v>
          </cell>
          <cell r="G364" t="str">
            <v>D</v>
          </cell>
          <cell r="H364">
            <v>218.41</v>
          </cell>
          <cell r="I364">
            <v>0</v>
          </cell>
          <cell r="J364" t="str">
            <v>X</v>
          </cell>
          <cell r="K364">
            <v>1139794.4300000013</v>
          </cell>
          <cell r="L364">
            <v>1139794.4300000013</v>
          </cell>
          <cell r="M364">
            <v>0</v>
          </cell>
        </row>
        <row r="365">
          <cell r="B365" t="str">
            <v>002-029</v>
          </cell>
          <cell r="C365" t="str">
            <v>2.01.03.14</v>
          </cell>
          <cell r="D365">
            <v>41323</v>
          </cell>
          <cell r="E365" t="str">
            <v>FIORAMAQ MOTORES E MANGUEIRAS</v>
          </cell>
          <cell r="F365" t="str">
            <v>COMPRA DE MATERIAIS PARA ETE</v>
          </cell>
          <cell r="G365" t="str">
            <v>D</v>
          </cell>
          <cell r="H365">
            <v>44.7</v>
          </cell>
          <cell r="I365">
            <v>0</v>
          </cell>
          <cell r="J365" t="str">
            <v>X</v>
          </cell>
          <cell r="K365">
            <v>1139749.7300000014</v>
          </cell>
          <cell r="L365">
            <v>1139749.7300000014</v>
          </cell>
          <cell r="M365">
            <v>8059</v>
          </cell>
        </row>
        <row r="366">
          <cell r="B366" t="str">
            <v>001-100</v>
          </cell>
          <cell r="C366" t="str">
            <v>2.01.05.10</v>
          </cell>
          <cell r="D366">
            <v>41323</v>
          </cell>
          <cell r="E366" t="str">
            <v>SECRETARIA DA RECEITA FEDERAL DO BRASIL</v>
          </cell>
          <cell r="F366" t="str">
            <v>DARF REF IRR NF 9626 CORPUS</v>
          </cell>
          <cell r="G366" t="str">
            <v>D</v>
          </cell>
          <cell r="H366">
            <v>176.04</v>
          </cell>
          <cell r="I366">
            <v>0</v>
          </cell>
          <cell r="J366" t="str">
            <v>X</v>
          </cell>
          <cell r="K366">
            <v>1139573.6900000013</v>
          </cell>
          <cell r="L366">
            <v>1139573.6900000013</v>
          </cell>
          <cell r="M366">
            <v>0</v>
          </cell>
        </row>
        <row r="367">
          <cell r="B367" t="str">
            <v>001-125</v>
          </cell>
          <cell r="C367" t="str">
            <v>2.01.03.16</v>
          </cell>
          <cell r="D367">
            <v>41323</v>
          </cell>
          <cell r="E367" t="str">
            <v>Tintas Taperá Comercial Ltda. EPP</v>
          </cell>
          <cell r="F367" t="str">
            <v>Compra de material para ETE</v>
          </cell>
          <cell r="G367" t="str">
            <v>D</v>
          </cell>
          <cell r="H367">
            <v>179.7</v>
          </cell>
          <cell r="I367">
            <v>0</v>
          </cell>
          <cell r="J367" t="str">
            <v>X</v>
          </cell>
          <cell r="K367">
            <v>1139393.9900000014</v>
          </cell>
          <cell r="L367">
            <v>1139393.9900000014</v>
          </cell>
          <cell r="M367">
            <v>5780</v>
          </cell>
        </row>
        <row r="368">
          <cell r="B368" t="str">
            <v>002-052</v>
          </cell>
          <cell r="C368" t="str">
            <v>2.02.03.23</v>
          </cell>
          <cell r="D368">
            <v>41323</v>
          </cell>
          <cell r="E368" t="str">
            <v>MERCOLINEIT TEC CONSULT E DESENVOLVIMENTO Ltda. EPP</v>
          </cell>
          <cell r="F368" t="str">
            <v>GESTÃO DE REQUISITOS LEGAIS APLICAVÉIS NO AMBITO DO MEIO AMBIENTE REF FEV/2013</v>
          </cell>
          <cell r="G368" t="str">
            <v>D</v>
          </cell>
          <cell r="H368">
            <v>300</v>
          </cell>
          <cell r="I368">
            <v>0</v>
          </cell>
          <cell r="J368" t="str">
            <v>X</v>
          </cell>
          <cell r="K368">
            <v>1139093.9900000014</v>
          </cell>
          <cell r="L368">
            <v>1139093.9900000014</v>
          </cell>
          <cell r="M368">
            <v>902</v>
          </cell>
        </row>
        <row r="369">
          <cell r="B369" t="str">
            <v>002-007</v>
          </cell>
          <cell r="C369" t="str">
            <v>2.01.03.12</v>
          </cell>
          <cell r="D369">
            <v>41323</v>
          </cell>
          <cell r="E369" t="str">
            <v>COMERCIAL DE PARAFUSOS SALTENSE LTDA EPP</v>
          </cell>
          <cell r="F369" t="str">
            <v>COMPRA DE MATERIAIS DIVERSOS</v>
          </cell>
          <cell r="G369" t="str">
            <v>D</v>
          </cell>
          <cell r="H369">
            <v>682.45</v>
          </cell>
          <cell r="I369">
            <v>0</v>
          </cell>
          <cell r="J369" t="str">
            <v>X</v>
          </cell>
          <cell r="K369">
            <v>1138411.5400000014</v>
          </cell>
          <cell r="L369">
            <v>1138411.5400000014</v>
          </cell>
          <cell r="M369">
            <v>33544</v>
          </cell>
        </row>
        <row r="370">
          <cell r="B370" t="str">
            <v>001-037</v>
          </cell>
          <cell r="C370" t="str">
            <v>2.02.03.04</v>
          </cell>
          <cell r="D370">
            <v>41323</v>
          </cell>
          <cell r="E370" t="str">
            <v>SECRETARIA DA RECEITA FEDERAL DO BRASIL</v>
          </cell>
          <cell r="F370" t="str">
            <v>DARF REF NF37 ARAUJO DE ARAUJO</v>
          </cell>
          <cell r="G370" t="str">
            <v>D</v>
          </cell>
          <cell r="H370">
            <v>414</v>
          </cell>
          <cell r="I370">
            <v>0</v>
          </cell>
          <cell r="J370" t="str">
            <v>X</v>
          </cell>
          <cell r="K370">
            <v>1137997.5400000014</v>
          </cell>
          <cell r="L370">
            <v>1137997.5400000014</v>
          </cell>
          <cell r="M370">
            <v>0</v>
          </cell>
        </row>
        <row r="371">
          <cell r="B371" t="str">
            <v>002-024</v>
          </cell>
          <cell r="C371" t="str">
            <v>2.02.01.01</v>
          </cell>
          <cell r="D371">
            <v>41323</v>
          </cell>
          <cell r="E371" t="str">
            <v>SECRETARIA DA RECEITA FEDERAL DO BRASIL</v>
          </cell>
          <cell r="F371" t="str">
            <v>DARF REF PAGAMENTO</v>
          </cell>
          <cell r="G371" t="str">
            <v>D</v>
          </cell>
          <cell r="H371">
            <v>730.77</v>
          </cell>
          <cell r="I371">
            <v>0</v>
          </cell>
          <cell r="J371" t="str">
            <v>X</v>
          </cell>
          <cell r="K371">
            <v>1137266.7700000014</v>
          </cell>
          <cell r="L371">
            <v>1137266.7700000014</v>
          </cell>
          <cell r="M371">
            <v>0</v>
          </cell>
        </row>
        <row r="372">
          <cell r="B372" t="str">
            <v>002-069</v>
          </cell>
          <cell r="C372" t="str">
            <v>2.01.03.09</v>
          </cell>
          <cell r="D372">
            <v>41323</v>
          </cell>
          <cell r="E372" t="str">
            <v>COMPANHIA PIRATININGA DE FORÇA E LUZ - CPFL</v>
          </cell>
          <cell r="F372" t="str">
            <v>CONTA DE ENERGIA ELEVATÓRIA GUARAU 02</v>
          </cell>
          <cell r="G372" t="str">
            <v>D</v>
          </cell>
          <cell r="H372">
            <v>658.51</v>
          </cell>
          <cell r="I372">
            <v>0</v>
          </cell>
          <cell r="J372" t="str">
            <v>X</v>
          </cell>
          <cell r="K372">
            <v>1136608.2600000014</v>
          </cell>
          <cell r="L372">
            <v>1136608.2600000014</v>
          </cell>
          <cell r="M372">
            <v>0</v>
          </cell>
        </row>
        <row r="373">
          <cell r="B373" t="str">
            <v>002-066</v>
          </cell>
          <cell r="C373" t="str">
            <v>2.01.03.09</v>
          </cell>
          <cell r="D373">
            <v>41323</v>
          </cell>
          <cell r="E373" t="str">
            <v>COMPANHIA PIRATININGA DE FORÇA E LUZ - CPFL</v>
          </cell>
          <cell r="F373" t="str">
            <v>CONTA DE ENERGIA ESCRITORIO REF 02/2013</v>
          </cell>
          <cell r="G373" t="str">
            <v>D</v>
          </cell>
          <cell r="H373">
            <v>897.86</v>
          </cell>
          <cell r="I373">
            <v>0</v>
          </cell>
          <cell r="J373" t="str">
            <v>X</v>
          </cell>
          <cell r="K373">
            <v>1135710.4000000013</v>
          </cell>
          <cell r="L373">
            <v>1135710.4000000013</v>
          </cell>
          <cell r="M373">
            <v>0</v>
          </cell>
        </row>
        <row r="374">
          <cell r="B374" t="str">
            <v>002-008/2</v>
          </cell>
          <cell r="C374" t="str">
            <v>2.01.05.10</v>
          </cell>
          <cell r="D374">
            <v>41323</v>
          </cell>
          <cell r="E374" t="str">
            <v>SUDOESTE AMBIENTAL</v>
          </cell>
          <cell r="F374" t="str">
            <v>TRASPORTE DE RESIDUOS</v>
          </cell>
          <cell r="G374" t="str">
            <v>D</v>
          </cell>
          <cell r="H374">
            <v>2536.98</v>
          </cell>
          <cell r="I374">
            <v>0</v>
          </cell>
          <cell r="J374" t="str">
            <v>X</v>
          </cell>
          <cell r="K374">
            <v>1133173.4200000013</v>
          </cell>
          <cell r="L374">
            <v>1133173.4200000013</v>
          </cell>
          <cell r="M374" t="str">
            <v>3387 E 3388</v>
          </cell>
        </row>
        <row r="375">
          <cell r="B375" t="str">
            <v>002-055</v>
          </cell>
          <cell r="C375" t="str">
            <v>2.02.03.16</v>
          </cell>
          <cell r="D375">
            <v>41323</v>
          </cell>
          <cell r="E375" t="str">
            <v xml:space="preserve">GMF GESTÃO DE MEDIÇÃO E FATURAMENTO </v>
          </cell>
          <cell r="F375" t="str">
            <v>LICENÇA DE USO DE SOFTWAR E TINOS</v>
          </cell>
          <cell r="G375" t="str">
            <v>D</v>
          </cell>
          <cell r="H375">
            <v>3144.51</v>
          </cell>
          <cell r="I375">
            <v>0</v>
          </cell>
          <cell r="J375" t="str">
            <v>X</v>
          </cell>
          <cell r="K375">
            <v>1130028.9100000013</v>
          </cell>
          <cell r="L375">
            <v>1130028.9100000013</v>
          </cell>
          <cell r="M375">
            <v>348</v>
          </cell>
        </row>
        <row r="376">
          <cell r="B376" t="str">
            <v>08-114/7</v>
          </cell>
          <cell r="C376" t="str">
            <v>2.02.03.22</v>
          </cell>
          <cell r="D376">
            <v>41323</v>
          </cell>
          <cell r="E376" t="str">
            <v>ACE SEGURADORA S/A</v>
          </cell>
          <cell r="F376" t="str">
            <v>SEGURO DAS ELEVATÓRIAS SANESALTO</v>
          </cell>
          <cell r="G376" t="str">
            <v>D</v>
          </cell>
          <cell r="H376">
            <v>3241.42</v>
          </cell>
          <cell r="I376">
            <v>0</v>
          </cell>
          <cell r="J376" t="str">
            <v>X</v>
          </cell>
          <cell r="K376">
            <v>1126787.4900000014</v>
          </cell>
          <cell r="L376">
            <v>1126787.4900000014</v>
          </cell>
          <cell r="M376" t="str">
            <v>1196492-8</v>
          </cell>
        </row>
        <row r="377">
          <cell r="B377" t="str">
            <v>002-023</v>
          </cell>
          <cell r="C377" t="str">
            <v>2.02.01.08</v>
          </cell>
          <cell r="D377">
            <v>41323</v>
          </cell>
          <cell r="E377" t="str">
            <v>SECRETARIA DA RECEITA FEDERAL DO BRASIL</v>
          </cell>
          <cell r="F377" t="str">
            <v>DARF PRÓ-LABORE</v>
          </cell>
          <cell r="G377" t="str">
            <v>D</v>
          </cell>
          <cell r="H377">
            <v>5531.86</v>
          </cell>
          <cell r="I377">
            <v>0</v>
          </cell>
          <cell r="J377" t="str">
            <v>X</v>
          </cell>
          <cell r="K377">
            <v>1121255.6300000013</v>
          </cell>
          <cell r="L377">
            <v>1121255.6300000013</v>
          </cell>
          <cell r="M377">
            <v>0</v>
          </cell>
        </row>
        <row r="378">
          <cell r="B378" t="str">
            <v>002-074</v>
          </cell>
          <cell r="C378" t="str">
            <v>2.01.05.09</v>
          </cell>
          <cell r="D378">
            <v>41323</v>
          </cell>
          <cell r="E378" t="str">
            <v>TRANSTRIP LOCADORA DE VEICULOS</v>
          </cell>
          <cell r="F378" t="str">
            <v>LOCAÇÃO DE VEICULO KOMBI REF 01/2013  + KM EXCEDENTE</v>
          </cell>
          <cell r="G378" t="str">
            <v>D</v>
          </cell>
          <cell r="H378">
            <v>8382.35</v>
          </cell>
          <cell r="I378">
            <v>0</v>
          </cell>
          <cell r="J378" t="str">
            <v>X</v>
          </cell>
          <cell r="K378">
            <v>1112873.2800000012</v>
          </cell>
          <cell r="L378">
            <v>1112873.2800000012</v>
          </cell>
          <cell r="M378">
            <v>463</v>
          </cell>
        </row>
        <row r="379">
          <cell r="B379" t="str">
            <v>002-056</v>
          </cell>
          <cell r="C379" t="str">
            <v>2.02.03.16</v>
          </cell>
          <cell r="D379">
            <v>41323</v>
          </cell>
          <cell r="E379" t="str">
            <v xml:space="preserve">GMF GESTÃO DE MEDIÇÃO E FATURAMENTO </v>
          </cell>
          <cell r="F379" t="str">
            <v>LICENÇA DE USO DE SISTEMA + REAJUSTE RETROATIVO REF A DEZEMBRO</v>
          </cell>
          <cell r="G379" t="str">
            <v>D</v>
          </cell>
          <cell r="H379">
            <v>14866.86</v>
          </cell>
          <cell r="I379">
            <v>0</v>
          </cell>
          <cell r="J379" t="str">
            <v>X</v>
          </cell>
          <cell r="K379">
            <v>1098006.4200000011</v>
          </cell>
          <cell r="L379">
            <v>1098006.4200000011</v>
          </cell>
          <cell r="M379">
            <v>346</v>
          </cell>
        </row>
        <row r="380">
          <cell r="B380" t="str">
            <v>002-022</v>
          </cell>
          <cell r="C380" t="str">
            <v>2.02.01.09</v>
          </cell>
          <cell r="D380">
            <v>41323</v>
          </cell>
          <cell r="E380" t="str">
            <v>Instituto Nacional do Seguro Social</v>
          </cell>
          <cell r="F380" t="str">
            <v>GPS REF FUNCIONÁRIOS01/2013</v>
          </cell>
          <cell r="G380" t="str">
            <v>D</v>
          </cell>
          <cell r="H380">
            <v>23949.8</v>
          </cell>
          <cell r="I380">
            <v>0</v>
          </cell>
          <cell r="J380" t="str">
            <v>X</v>
          </cell>
          <cell r="K380">
            <v>1074056.620000001</v>
          </cell>
          <cell r="L380">
            <v>1074056.620000001</v>
          </cell>
          <cell r="M380">
            <v>0</v>
          </cell>
        </row>
        <row r="381">
          <cell r="B381" t="str">
            <v>001-129</v>
          </cell>
          <cell r="C381" t="str">
            <v>2.02.03.04</v>
          </cell>
          <cell r="D381">
            <v>41323</v>
          </cell>
          <cell r="E381" t="str">
            <v>SECRETARIA DA RECEITA FEDERAL DO BRASIL</v>
          </cell>
          <cell r="F381" t="str">
            <v>DARF NF 2160 CB&amp;A</v>
          </cell>
          <cell r="G381" t="str">
            <v>D</v>
          </cell>
          <cell r="H381">
            <v>25.88</v>
          </cell>
          <cell r="I381">
            <v>0</v>
          </cell>
          <cell r="J381" t="str">
            <v>X</v>
          </cell>
          <cell r="K381">
            <v>1074030.7400000012</v>
          </cell>
          <cell r="L381">
            <v>1074030.7400000012</v>
          </cell>
          <cell r="M381">
            <v>0</v>
          </cell>
        </row>
        <row r="382">
          <cell r="B382" t="str">
            <v>RE002-011</v>
          </cell>
          <cell r="C382" t="str">
            <v>1.01.01.01</v>
          </cell>
          <cell r="D382">
            <v>41323</v>
          </cell>
          <cell r="E382" t="str">
            <v>SANESALTO SANEAMENTO S/A</v>
          </cell>
          <cell r="F382" t="str">
            <v>MEDIÇÃO DE 09 A 15.02.2013</v>
          </cell>
          <cell r="G382" t="str">
            <v>C</v>
          </cell>
          <cell r="H382">
            <v>0</v>
          </cell>
          <cell r="I382">
            <v>390746.11</v>
          </cell>
          <cell r="J382" t="str">
            <v>X</v>
          </cell>
          <cell r="K382">
            <v>1464776.850000001</v>
          </cell>
          <cell r="L382">
            <v>1464776.850000001</v>
          </cell>
          <cell r="M382">
            <v>0</v>
          </cell>
        </row>
        <row r="383">
          <cell r="B383" t="str">
            <v>RE002-015</v>
          </cell>
          <cell r="C383" t="str">
            <v>1.01.01.01</v>
          </cell>
          <cell r="D383">
            <v>41324</v>
          </cell>
          <cell r="E383" t="str">
            <v>SANESALTO SANEAMENTO S/A</v>
          </cell>
          <cell r="F383" t="str">
            <v>MEDIÇÃO DE 09 A 15.02.2013</v>
          </cell>
          <cell r="G383" t="str">
            <v>C</v>
          </cell>
          <cell r="H383">
            <v>0</v>
          </cell>
          <cell r="I383">
            <v>89614.43</v>
          </cell>
          <cell r="J383" t="str">
            <v>X</v>
          </cell>
          <cell r="K383">
            <v>1554391.280000001</v>
          </cell>
          <cell r="L383">
            <v>1554391.280000001</v>
          </cell>
          <cell r="M383">
            <v>0</v>
          </cell>
        </row>
        <row r="384">
          <cell r="B384" t="str">
            <v>001-120/1</v>
          </cell>
          <cell r="C384" t="str">
            <v>2.07.01.04</v>
          </cell>
          <cell r="D384">
            <v>41325</v>
          </cell>
          <cell r="E384" t="str">
            <v>DIGITROL SERVICE</v>
          </cell>
          <cell r="F384" t="str">
            <v>COMPRA DE MEDIDOR DE VAZÃO ETE</v>
          </cell>
          <cell r="G384" t="str">
            <v>D</v>
          </cell>
          <cell r="H384">
            <v>2365</v>
          </cell>
          <cell r="I384">
            <v>0</v>
          </cell>
          <cell r="J384" t="str">
            <v>X</v>
          </cell>
          <cell r="K384">
            <v>1552026.280000001</v>
          </cell>
          <cell r="L384">
            <v>1552026.280000001</v>
          </cell>
          <cell r="M384">
            <v>2547</v>
          </cell>
        </row>
        <row r="385">
          <cell r="B385" t="str">
            <v>002-076</v>
          </cell>
          <cell r="C385" t="str">
            <v>2.02.01.04</v>
          </cell>
          <cell r="D385">
            <v>41325</v>
          </cell>
          <cell r="E385" t="str">
            <v>EMBRATEL</v>
          </cell>
          <cell r="F385" t="str">
            <v>LIGAÇÕES INTERURBANAS</v>
          </cell>
          <cell r="G385" t="str">
            <v>D</v>
          </cell>
          <cell r="H385">
            <v>3.94</v>
          </cell>
          <cell r="I385">
            <v>0</v>
          </cell>
          <cell r="J385" t="str">
            <v>X</v>
          </cell>
          <cell r="K385">
            <v>1552022.340000001</v>
          </cell>
          <cell r="L385">
            <v>1552022.340000001</v>
          </cell>
          <cell r="M385">
            <v>125508536</v>
          </cell>
        </row>
        <row r="386">
          <cell r="B386" t="str">
            <v>002-050</v>
          </cell>
          <cell r="C386" t="str">
            <v>2.06.03.01</v>
          </cell>
          <cell r="D386">
            <v>41325</v>
          </cell>
          <cell r="E386" t="str">
            <v>BM&amp;FBOVESPA</v>
          </cell>
          <cell r="F386" t="str">
            <v>TAXA DE REGISTRO DE DEBENTURES</v>
          </cell>
          <cell r="G386" t="str">
            <v>D</v>
          </cell>
          <cell r="H386">
            <v>551.12</v>
          </cell>
          <cell r="I386">
            <v>0</v>
          </cell>
          <cell r="J386" t="str">
            <v>X</v>
          </cell>
          <cell r="K386">
            <v>1551471.2200000009</v>
          </cell>
          <cell r="L386">
            <v>1551471.2200000009</v>
          </cell>
          <cell r="M386">
            <v>9000544801</v>
          </cell>
        </row>
        <row r="387">
          <cell r="B387" t="str">
            <v>002-090</v>
          </cell>
          <cell r="C387" t="str">
            <v>2.01.03.16</v>
          </cell>
          <cell r="D387">
            <v>41325</v>
          </cell>
          <cell r="E387" t="str">
            <v xml:space="preserve">MADEREIRA AMÉRICA LTDA ME </v>
          </cell>
          <cell r="F387" t="str">
            <v>COMPRA DE MATERIAS PARA ETE</v>
          </cell>
          <cell r="G387" t="str">
            <v>D</v>
          </cell>
          <cell r="H387">
            <v>230</v>
          </cell>
          <cell r="I387">
            <v>0</v>
          </cell>
          <cell r="J387" t="str">
            <v>X</v>
          </cell>
          <cell r="K387">
            <v>1551241.2200000009</v>
          </cell>
          <cell r="L387">
            <v>1551241.2200000009</v>
          </cell>
          <cell r="M387">
            <v>0</v>
          </cell>
        </row>
        <row r="388">
          <cell r="B388" t="str">
            <v>001-097</v>
          </cell>
          <cell r="C388" t="str">
            <v>2.07.01.03</v>
          </cell>
          <cell r="D388">
            <v>41325</v>
          </cell>
          <cell r="E388" t="str">
            <v>SOLUTION UNITED TECNOLOGIA Ltda.</v>
          </cell>
          <cell r="F388" t="str">
            <v>SERVIÇO DE MANUTENÇÃO DE COLETORES DE DADOS E IMPRESSORAS</v>
          </cell>
          <cell r="G388" t="str">
            <v>D</v>
          </cell>
          <cell r="H388">
            <v>502.31</v>
          </cell>
          <cell r="I388">
            <v>0</v>
          </cell>
          <cell r="J388" t="str">
            <v>X</v>
          </cell>
          <cell r="K388">
            <v>1550738.9100000008</v>
          </cell>
          <cell r="L388">
            <v>1550738.9100000008</v>
          </cell>
          <cell r="M388" t="str">
            <v>63/2013</v>
          </cell>
        </row>
        <row r="389">
          <cell r="B389" t="str">
            <v>002-071</v>
          </cell>
          <cell r="C389" t="str">
            <v>2.02.03.17</v>
          </cell>
          <cell r="D389">
            <v>41325</v>
          </cell>
          <cell r="E389" t="str">
            <v>ELIZEU DE SOUZA TRANSPORTES ME</v>
          </cell>
          <cell r="F389" t="str">
            <v>SERVIÇO DE ENTREGA DE MALOTE PARA SÃO PAULO</v>
          </cell>
          <cell r="G389" t="str">
            <v>D</v>
          </cell>
          <cell r="H389">
            <v>290</v>
          </cell>
          <cell r="I389">
            <v>0</v>
          </cell>
          <cell r="J389" t="str">
            <v>X</v>
          </cell>
          <cell r="K389">
            <v>1550448.9100000008</v>
          </cell>
          <cell r="L389">
            <v>1550448.9100000008</v>
          </cell>
          <cell r="M389">
            <v>73</v>
          </cell>
        </row>
        <row r="390">
          <cell r="B390" t="str">
            <v>002-089</v>
          </cell>
          <cell r="C390" t="str">
            <v>2.03.01.05</v>
          </cell>
          <cell r="D390">
            <v>41325</v>
          </cell>
          <cell r="E390" t="str">
            <v>PREFEITURA DA ESTÂNCIA TURÍSTICA DE SALTO</v>
          </cell>
          <cell r="F390" t="str">
            <v>GUIA GISS ONLINE ISSQN</v>
          </cell>
          <cell r="G390" t="str">
            <v>D</v>
          </cell>
          <cell r="H390">
            <v>1844.2</v>
          </cell>
          <cell r="I390">
            <v>0</v>
          </cell>
          <cell r="J390" t="str">
            <v>X</v>
          </cell>
          <cell r="K390">
            <v>1548604.7100000009</v>
          </cell>
          <cell r="L390">
            <v>1548604.7100000009</v>
          </cell>
          <cell r="M390">
            <v>1451398</v>
          </cell>
        </row>
        <row r="391">
          <cell r="B391" t="str">
            <v>002-082</v>
          </cell>
          <cell r="C391" t="str">
            <v>2.02.01.09</v>
          </cell>
          <cell r="D391">
            <v>41325</v>
          </cell>
          <cell r="E391" t="str">
            <v>Instituto Nacional do Seguro Social</v>
          </cell>
          <cell r="F391" t="str">
            <v>GPS NF 364 HF ANDRADE</v>
          </cell>
          <cell r="G391" t="str">
            <v>D</v>
          </cell>
          <cell r="H391">
            <v>1315.08</v>
          </cell>
          <cell r="I391">
            <v>0</v>
          </cell>
          <cell r="J391" t="str">
            <v>X</v>
          </cell>
          <cell r="K391">
            <v>1547289.6300000008</v>
          </cell>
          <cell r="L391">
            <v>1547289.6300000008</v>
          </cell>
          <cell r="M391">
            <v>0</v>
          </cell>
        </row>
        <row r="392">
          <cell r="B392" t="str">
            <v>RE002-016</v>
          </cell>
          <cell r="C392" t="str">
            <v>1.01.04.01</v>
          </cell>
          <cell r="D392">
            <v>41325</v>
          </cell>
          <cell r="E392" t="str">
            <v xml:space="preserve">BANCO ITAÚ </v>
          </cell>
          <cell r="F392" t="str">
            <v xml:space="preserve">RENDIMENTO DE APLICAÇÃO </v>
          </cell>
          <cell r="G392" t="str">
            <v>C</v>
          </cell>
          <cell r="H392">
            <v>0</v>
          </cell>
          <cell r="I392">
            <v>5.38</v>
          </cell>
          <cell r="J392" t="str">
            <v>X</v>
          </cell>
          <cell r="K392">
            <v>1547295.0100000007</v>
          </cell>
          <cell r="L392">
            <v>1547295.0100000007</v>
          </cell>
          <cell r="M392">
            <v>0</v>
          </cell>
        </row>
        <row r="393">
          <cell r="B393" t="str">
            <v>RE002-017</v>
          </cell>
          <cell r="C393" t="str">
            <v>1.01.01.02</v>
          </cell>
          <cell r="D393">
            <v>41327</v>
          </cell>
          <cell r="E393" t="str">
            <v>SANETRAT SANEAMENTO S/A</v>
          </cell>
          <cell r="F393" t="str">
            <v>TRATAMENTO DE ESGOTO REF 11/12</v>
          </cell>
          <cell r="G393" t="str">
            <v>C</v>
          </cell>
          <cell r="H393">
            <v>0</v>
          </cell>
          <cell r="I393">
            <v>8326.31</v>
          </cell>
          <cell r="J393" t="str">
            <v>X</v>
          </cell>
          <cell r="K393">
            <v>1555621.3200000008</v>
          </cell>
          <cell r="L393">
            <v>1555621.3200000008</v>
          </cell>
          <cell r="M393">
            <v>0</v>
          </cell>
        </row>
        <row r="394">
          <cell r="B394" t="str">
            <v>RE002-018</v>
          </cell>
          <cell r="C394" t="str">
            <v>1.01.01.01</v>
          </cell>
          <cell r="D394">
            <v>41330</v>
          </cell>
          <cell r="E394" t="str">
            <v>SANESALTO SANEAMENTO S/A</v>
          </cell>
          <cell r="F394" t="str">
            <v>MEDIÇÃO DE 16 A 22/02/2013</v>
          </cell>
          <cell r="G394" t="str">
            <v>C</v>
          </cell>
          <cell r="H394">
            <v>0</v>
          </cell>
          <cell r="I394">
            <v>152462.65</v>
          </cell>
          <cell r="J394" t="str">
            <v>X</v>
          </cell>
          <cell r="K394">
            <v>1708083.9700000007</v>
          </cell>
          <cell r="L394">
            <v>1708083.9700000007</v>
          </cell>
          <cell r="M394">
            <v>0</v>
          </cell>
        </row>
        <row r="395">
          <cell r="B395" t="str">
            <v>002-117</v>
          </cell>
          <cell r="C395" t="str">
            <v>2.05.01.02</v>
          </cell>
          <cell r="D395">
            <v>41330</v>
          </cell>
          <cell r="E395" t="str">
            <v xml:space="preserve">BANCO ITAÚ S/A </v>
          </cell>
          <cell r="F395" t="str">
            <v>TARIFA ENV EXTRAT</v>
          </cell>
          <cell r="G395" t="str">
            <v>D</v>
          </cell>
          <cell r="H395">
            <v>4</v>
          </cell>
          <cell r="I395">
            <v>0</v>
          </cell>
          <cell r="J395" t="str">
            <v>X</v>
          </cell>
          <cell r="K395">
            <v>1708079.9700000007</v>
          </cell>
          <cell r="L395">
            <v>1708079.9700000007</v>
          </cell>
          <cell r="M395">
            <v>0</v>
          </cell>
        </row>
        <row r="396">
          <cell r="B396" t="str">
            <v>002-006</v>
          </cell>
          <cell r="C396" t="str">
            <v>2.01.03.12</v>
          </cell>
          <cell r="D396">
            <v>41330</v>
          </cell>
          <cell r="E396" t="str">
            <v>COMERCIAL DE PARAFUSOS SALTENSE LTDA EPP</v>
          </cell>
          <cell r="F396" t="str">
            <v>COMPRA DE MATERIAIS DIVERSOS</v>
          </cell>
          <cell r="G396" t="str">
            <v>D</v>
          </cell>
          <cell r="H396">
            <v>68.69</v>
          </cell>
          <cell r="I396">
            <v>0</v>
          </cell>
          <cell r="J396" t="str">
            <v>X</v>
          </cell>
          <cell r="K396">
            <v>1708011.2800000007</v>
          </cell>
          <cell r="L396">
            <v>1708011.2800000007</v>
          </cell>
          <cell r="M396">
            <v>33880</v>
          </cell>
        </row>
        <row r="397">
          <cell r="B397" t="str">
            <v>002-103</v>
          </cell>
          <cell r="C397" t="str">
            <v>2.02.02.04</v>
          </cell>
          <cell r="D397">
            <v>41330</v>
          </cell>
          <cell r="E397" t="str">
            <v>VIVO S/A</v>
          </cell>
          <cell r="F397" t="str">
            <v xml:space="preserve">PCTE VIVO INTERNET 1 GB </v>
          </cell>
          <cell r="G397" t="str">
            <v>D</v>
          </cell>
          <cell r="H397">
            <v>151.80000000000001</v>
          </cell>
          <cell r="I397">
            <v>0</v>
          </cell>
          <cell r="J397" t="str">
            <v>X</v>
          </cell>
          <cell r="K397">
            <v>1707859.4800000007</v>
          </cell>
          <cell r="L397">
            <v>1707859.4800000007</v>
          </cell>
          <cell r="M397">
            <v>2063756013</v>
          </cell>
        </row>
        <row r="398">
          <cell r="B398" t="str">
            <v>002-030</v>
          </cell>
          <cell r="C398" t="str">
            <v>2.01.05.02</v>
          </cell>
          <cell r="D398">
            <v>41330</v>
          </cell>
          <cell r="E398" t="str">
            <v>CARLOS ALBERTO PROGIANTI ME</v>
          </cell>
          <cell r="F398" t="str">
            <v>ASSISTÊNCIA TÉCNICA SISTEMA DE SEGURANÇA</v>
          </cell>
          <cell r="G398" t="str">
            <v>D</v>
          </cell>
          <cell r="H398">
            <v>272.19</v>
          </cell>
          <cell r="I398">
            <v>0</v>
          </cell>
          <cell r="J398" t="str">
            <v>X</v>
          </cell>
          <cell r="K398">
            <v>1707587.2900000007</v>
          </cell>
          <cell r="L398">
            <v>1707587.2900000007</v>
          </cell>
          <cell r="M398">
            <v>7843</v>
          </cell>
        </row>
        <row r="399">
          <cell r="B399" t="str">
            <v>002-075</v>
          </cell>
          <cell r="C399" t="str">
            <v>2.02.01.04</v>
          </cell>
          <cell r="D399">
            <v>41330</v>
          </cell>
          <cell r="E399" t="str">
            <v>UNIMED DE SALTO ITU COOP TRAB MÉDICO</v>
          </cell>
          <cell r="F399" t="str">
            <v>CONSULTA DOS FUNCIONÁRIOS 01/2013</v>
          </cell>
          <cell r="G399" t="str">
            <v>D</v>
          </cell>
          <cell r="H399">
            <v>370.53</v>
          </cell>
          <cell r="I399">
            <v>0</v>
          </cell>
          <cell r="J399" t="str">
            <v>X</v>
          </cell>
          <cell r="K399">
            <v>1707216.7600000007</v>
          </cell>
          <cell r="L399">
            <v>1707216.7600000007</v>
          </cell>
          <cell r="M399" t="str">
            <v>33000094/13</v>
          </cell>
        </row>
        <row r="400">
          <cell r="B400" t="str">
            <v>002-033</v>
          </cell>
          <cell r="C400" t="str">
            <v>2.01.03.12</v>
          </cell>
          <cell r="D400">
            <v>41330</v>
          </cell>
          <cell r="E400" t="str">
            <v>SALTO GÁS</v>
          </cell>
          <cell r="F400" t="str">
            <v>COMPRA DE 4 BOTIJÃO GLP</v>
          </cell>
          <cell r="G400" t="str">
            <v>D</v>
          </cell>
          <cell r="H400">
            <v>600</v>
          </cell>
          <cell r="I400">
            <v>0</v>
          </cell>
          <cell r="J400" t="str">
            <v>X</v>
          </cell>
          <cell r="K400">
            <v>1706616.7600000007</v>
          </cell>
          <cell r="L400">
            <v>1706616.7600000007</v>
          </cell>
          <cell r="M400">
            <v>2904</v>
          </cell>
        </row>
        <row r="401">
          <cell r="B401" t="str">
            <v>001-128</v>
          </cell>
          <cell r="C401" t="str">
            <v>2.01.05.11</v>
          </cell>
          <cell r="D401">
            <v>41330</v>
          </cell>
          <cell r="E401" t="str">
            <v>STEMAC S/A</v>
          </cell>
          <cell r="F401" t="str">
            <v>RETIFIC</v>
          </cell>
          <cell r="G401" t="str">
            <v>D</v>
          </cell>
          <cell r="H401">
            <v>936.85</v>
          </cell>
          <cell r="I401">
            <v>0</v>
          </cell>
          <cell r="J401" t="str">
            <v>X</v>
          </cell>
          <cell r="K401">
            <v>1705679.9100000006</v>
          </cell>
          <cell r="L401">
            <v>1705679.9100000006</v>
          </cell>
          <cell r="M401">
            <v>65713</v>
          </cell>
        </row>
        <row r="402">
          <cell r="B402" t="str">
            <v>002-096</v>
          </cell>
          <cell r="C402" t="str">
            <v>2.01.03.11</v>
          </cell>
          <cell r="D402">
            <v>41330</v>
          </cell>
          <cell r="E402" t="str">
            <v xml:space="preserve">MARIA ELIETE LOPES FELICIANO </v>
          </cell>
          <cell r="F402" t="str">
            <v>PRESTAÇÃO DE SERVIÇOS DE MÃO DE OBRA RUA DOS DOURADOS</v>
          </cell>
          <cell r="G402" t="str">
            <v>D</v>
          </cell>
          <cell r="H402">
            <v>1900</v>
          </cell>
          <cell r="I402">
            <v>0</v>
          </cell>
          <cell r="J402" t="str">
            <v>X</v>
          </cell>
          <cell r="K402">
            <v>1703779.9100000006</v>
          </cell>
          <cell r="L402">
            <v>1703779.9100000006</v>
          </cell>
          <cell r="M402">
            <v>148</v>
          </cell>
        </row>
        <row r="403">
          <cell r="B403" t="str">
            <v>002-095</v>
          </cell>
          <cell r="C403" t="str">
            <v>2.01.03.11</v>
          </cell>
          <cell r="D403">
            <v>41330</v>
          </cell>
          <cell r="E403" t="str">
            <v xml:space="preserve">MARIA ELIETE LOPES FELICIANO </v>
          </cell>
          <cell r="F403" t="str">
            <v>PRESTAÇÃO DE SERVIÇOS DE MÃO DE OBRA CORREGO DO AJUDANTE</v>
          </cell>
          <cell r="G403" t="str">
            <v>D</v>
          </cell>
          <cell r="H403">
            <v>2375</v>
          </cell>
          <cell r="I403">
            <v>0</v>
          </cell>
          <cell r="J403" t="str">
            <v>X</v>
          </cell>
          <cell r="K403">
            <v>1701404.9100000006</v>
          </cell>
          <cell r="L403">
            <v>1701404.9100000006</v>
          </cell>
          <cell r="M403" t="str">
            <v>CH 102843</v>
          </cell>
        </row>
        <row r="404">
          <cell r="B404" t="str">
            <v>002-086</v>
          </cell>
          <cell r="C404" t="str">
            <v>2.01.05.04</v>
          </cell>
          <cell r="D404">
            <v>41330</v>
          </cell>
          <cell r="E404" t="str">
            <v>BERZIN ASSISTÊNCIA TÉCNICA DE INFORMÁTICA Ltda.</v>
          </cell>
          <cell r="F404" t="str">
            <v>SERVIÇOS DE CONSULTORIA PRESTADOS EM JAN/2013</v>
          </cell>
          <cell r="G404" t="str">
            <v>D</v>
          </cell>
          <cell r="H404">
            <v>2938</v>
          </cell>
          <cell r="I404">
            <v>0</v>
          </cell>
          <cell r="J404" t="str">
            <v>X</v>
          </cell>
          <cell r="K404">
            <v>1698466.9100000006</v>
          </cell>
          <cell r="L404">
            <v>1698466.9100000006</v>
          </cell>
          <cell r="M404" t="str">
            <v>CH 102844</v>
          </cell>
        </row>
        <row r="405">
          <cell r="B405" t="str">
            <v>002-062</v>
          </cell>
          <cell r="C405" t="str">
            <v>2.01.03.09</v>
          </cell>
          <cell r="D405">
            <v>41330</v>
          </cell>
          <cell r="E405" t="str">
            <v>COMPANHIA PIRATININGA DE FORÇA E LUZ - CPFL</v>
          </cell>
          <cell r="F405" t="str">
            <v>CONTA DE ENERGIA GUARAU 1 REF 02/2013</v>
          </cell>
          <cell r="G405" t="str">
            <v>D</v>
          </cell>
          <cell r="H405">
            <v>4059.69</v>
          </cell>
          <cell r="I405">
            <v>0</v>
          </cell>
          <cell r="J405" t="str">
            <v>X</v>
          </cell>
          <cell r="K405">
            <v>1694407.2200000007</v>
          </cell>
          <cell r="L405">
            <v>1694407.2200000007</v>
          </cell>
          <cell r="M405">
            <v>0</v>
          </cell>
        </row>
        <row r="406">
          <cell r="B406" t="str">
            <v>002-061</v>
          </cell>
          <cell r="C406" t="str">
            <v>2.01.03.09</v>
          </cell>
          <cell r="D406">
            <v>41330</v>
          </cell>
          <cell r="E406" t="str">
            <v>COMPANHIA PIRATININGA DE FORÇA E LUZ - CPFL</v>
          </cell>
          <cell r="F406" t="str">
            <v>CONTA DE ENERGIA  ETE REF 02/2013</v>
          </cell>
          <cell r="G406" t="str">
            <v>D</v>
          </cell>
          <cell r="H406">
            <v>8297.51</v>
          </cell>
          <cell r="I406">
            <v>0</v>
          </cell>
          <cell r="J406" t="str">
            <v>X</v>
          </cell>
          <cell r="K406">
            <v>1686109.7100000007</v>
          </cell>
          <cell r="L406">
            <v>1686109.7100000007</v>
          </cell>
          <cell r="M406">
            <v>0</v>
          </cell>
        </row>
        <row r="407">
          <cell r="B407" t="str">
            <v>RE002-019</v>
          </cell>
          <cell r="C407" t="str">
            <v>1.01.04.01</v>
          </cell>
          <cell r="D407">
            <v>41332</v>
          </cell>
          <cell r="E407" t="str">
            <v xml:space="preserve">BANCO ITAÚ </v>
          </cell>
          <cell r="F407" t="str">
            <v xml:space="preserve">RENDIMENTO DE APLICAÇÃO </v>
          </cell>
          <cell r="G407" t="str">
            <v>C</v>
          </cell>
          <cell r="H407">
            <v>0</v>
          </cell>
          <cell r="I407">
            <v>495.56</v>
          </cell>
          <cell r="J407" t="str">
            <v>X</v>
          </cell>
          <cell r="K407">
            <v>1686605.2700000007</v>
          </cell>
          <cell r="L407">
            <v>1686605.2700000007</v>
          </cell>
          <cell r="M407">
            <v>0</v>
          </cell>
        </row>
        <row r="408">
          <cell r="B408" t="str">
            <v>002-116</v>
          </cell>
          <cell r="C408" t="str">
            <v>2.01.01.01</v>
          </cell>
          <cell r="D408">
            <v>41332</v>
          </cell>
          <cell r="E408" t="str">
            <v>LUCAS AMARAL</v>
          </cell>
          <cell r="F408" t="str">
            <v xml:space="preserve">FÉRIAS </v>
          </cell>
          <cell r="G408" t="str">
            <v>D</v>
          </cell>
          <cell r="H408">
            <v>1228.8499999999999</v>
          </cell>
          <cell r="I408">
            <v>0</v>
          </cell>
          <cell r="J408" t="str">
            <v>X</v>
          </cell>
          <cell r="K408">
            <v>1685376.4200000006</v>
          </cell>
          <cell r="L408">
            <v>1685376.4200000006</v>
          </cell>
          <cell r="M408">
            <v>0</v>
          </cell>
        </row>
        <row r="409">
          <cell r="B409" t="str">
            <v>002-115</v>
          </cell>
          <cell r="C409" t="str">
            <v>2.01.01.01</v>
          </cell>
          <cell r="D409">
            <v>41332</v>
          </cell>
          <cell r="E409" t="str">
            <v>ALEXANDRE JESUS DE ARAUJO</v>
          </cell>
          <cell r="F409" t="str">
            <v xml:space="preserve">FÉRIAS </v>
          </cell>
          <cell r="G409" t="str">
            <v>D</v>
          </cell>
          <cell r="H409">
            <v>2669.62</v>
          </cell>
          <cell r="I409">
            <v>0</v>
          </cell>
          <cell r="J409" t="str">
            <v>X</v>
          </cell>
          <cell r="K409">
            <v>1682706.8000000005</v>
          </cell>
          <cell r="L409">
            <v>1682706.8000000005</v>
          </cell>
          <cell r="M409">
            <v>0</v>
          </cell>
        </row>
        <row r="410">
          <cell r="B410" t="str">
            <v>Db-028</v>
          </cell>
          <cell r="C410" t="str">
            <v>2.06.02.05</v>
          </cell>
          <cell r="D410">
            <v>41332</v>
          </cell>
          <cell r="E410" t="str">
            <v xml:space="preserve">CRÉDITO OPERAÇÕES SUP SERV EMP </v>
          </cell>
          <cell r="F410" t="str">
            <v>REF. AMORTIZAÇÃO DE DEBENTURES FEV/2013</v>
          </cell>
          <cell r="G410" t="str">
            <v>D</v>
          </cell>
          <cell r="H410">
            <v>462200.44</v>
          </cell>
          <cell r="I410">
            <v>0</v>
          </cell>
          <cell r="J410" t="str">
            <v>X</v>
          </cell>
          <cell r="K410">
            <v>1220506.3600000006</v>
          </cell>
          <cell r="L410">
            <v>1220506.3600000006</v>
          </cell>
          <cell r="M410">
            <v>0</v>
          </cell>
        </row>
        <row r="411">
          <cell r="B411" t="str">
            <v>002-065</v>
          </cell>
          <cell r="C411" t="str">
            <v>2.01.03.09</v>
          </cell>
          <cell r="D411">
            <v>41332</v>
          </cell>
          <cell r="E411" t="str">
            <v>COMPANHIA PIRATININGA DE FORÇA E LUZ - CPFL</v>
          </cell>
          <cell r="F411" t="str">
            <v>CONTA DE ENERGIA ELEVATÓRIA FINAL REF 02/2013</v>
          </cell>
          <cell r="G411" t="str">
            <v>D</v>
          </cell>
          <cell r="H411">
            <v>15249.26</v>
          </cell>
          <cell r="I411">
            <v>0</v>
          </cell>
          <cell r="J411" t="str">
            <v>X</v>
          </cell>
          <cell r="K411">
            <v>1205257.1000000006</v>
          </cell>
          <cell r="L411">
            <v>1205257.1000000006</v>
          </cell>
          <cell r="M411">
            <v>0</v>
          </cell>
        </row>
        <row r="412">
          <cell r="B412" t="str">
            <v>002-107</v>
          </cell>
          <cell r="C412" t="str">
            <v>2.01.05.13</v>
          </cell>
          <cell r="D412">
            <v>41332</v>
          </cell>
          <cell r="E412" t="str">
            <v>GARRA COM E SERVIÇOS PROFISSIONALIZADOS Ltda. ME</v>
          </cell>
          <cell r="F412" t="str">
            <v>SERVIÇOS DE PORTARIA E LIMPEZA</v>
          </cell>
          <cell r="G412" t="str">
            <v>D</v>
          </cell>
          <cell r="H412">
            <v>13927.39</v>
          </cell>
          <cell r="I412">
            <v>0</v>
          </cell>
          <cell r="J412" t="str">
            <v>X</v>
          </cell>
          <cell r="K412">
            <v>1191329.7100000007</v>
          </cell>
          <cell r="L412">
            <v>1191329.7100000007</v>
          </cell>
          <cell r="M412">
            <v>880</v>
          </cell>
        </row>
        <row r="413">
          <cell r="B413" t="str">
            <v>002-073</v>
          </cell>
          <cell r="C413" t="str">
            <v>2.01.03.09</v>
          </cell>
          <cell r="D413">
            <v>41332</v>
          </cell>
          <cell r="E413" t="str">
            <v>COMPANHIA PIRATININGA DE FORÇA E LUZ - CPFL</v>
          </cell>
          <cell r="F413" t="str">
            <v>CONTA DE ENERGIA BURU 01 REF 01/2013</v>
          </cell>
          <cell r="G413" t="str">
            <v>D</v>
          </cell>
          <cell r="H413">
            <v>10633.5</v>
          </cell>
          <cell r="I413">
            <v>0</v>
          </cell>
          <cell r="J413" t="str">
            <v>X</v>
          </cell>
          <cell r="K413">
            <v>1180696.2100000007</v>
          </cell>
          <cell r="L413">
            <v>1180696.2100000007</v>
          </cell>
          <cell r="M413">
            <v>0</v>
          </cell>
        </row>
        <row r="414">
          <cell r="B414" t="str">
            <v>002-072</v>
          </cell>
          <cell r="C414" t="str">
            <v>2.01.03.09</v>
          </cell>
          <cell r="D414">
            <v>41332</v>
          </cell>
          <cell r="E414" t="str">
            <v>COMPANHIA PIRATININGA DE FORÇA E LUZ - CPFL</v>
          </cell>
          <cell r="F414" t="str">
            <v>CONTA DE ENERGIA  BURU 02  REF 01/2013</v>
          </cell>
          <cell r="G414" t="str">
            <v>D</v>
          </cell>
          <cell r="H414">
            <v>7833.32</v>
          </cell>
          <cell r="I414">
            <v>0</v>
          </cell>
          <cell r="J414" t="str">
            <v>X</v>
          </cell>
          <cell r="K414">
            <v>1172862.8900000006</v>
          </cell>
          <cell r="L414">
            <v>1172862.8900000006</v>
          </cell>
          <cell r="M414">
            <v>0</v>
          </cell>
        </row>
        <row r="415">
          <cell r="B415" t="str">
            <v>07-144/20</v>
          </cell>
          <cell r="C415" t="str">
            <v>2.04.01.07</v>
          </cell>
          <cell r="D415">
            <v>41332</v>
          </cell>
          <cell r="E415" t="str">
            <v>SECRETARIA DA RECEITA FEDERAL DO BRASIL</v>
          </cell>
          <cell r="F415" t="str">
            <v>DARF REF PARCELAMENTO REFIS 20/20</v>
          </cell>
          <cell r="G415" t="str">
            <v>D</v>
          </cell>
          <cell r="H415">
            <v>5424.62</v>
          </cell>
          <cell r="I415">
            <v>0</v>
          </cell>
          <cell r="J415" t="str">
            <v>X</v>
          </cell>
          <cell r="K415">
            <v>1167438.2700000005</v>
          </cell>
          <cell r="L415">
            <v>1167438.2700000005</v>
          </cell>
          <cell r="M415">
            <v>0</v>
          </cell>
        </row>
        <row r="416">
          <cell r="B416" t="str">
            <v>002-108</v>
          </cell>
          <cell r="C416" t="str">
            <v>2.01.05.13</v>
          </cell>
          <cell r="D416">
            <v>41332</v>
          </cell>
          <cell r="E416" t="str">
            <v>GARRA COM E SERVIÇOS PROFISSIONALIZADOS Ltda. ME</v>
          </cell>
          <cell r="F416" t="str">
            <v xml:space="preserve">SERVIÇOS DE PORTARIA </v>
          </cell>
          <cell r="G416" t="str">
            <v>D</v>
          </cell>
          <cell r="H416">
            <v>5325.75</v>
          </cell>
          <cell r="I416">
            <v>0</v>
          </cell>
          <cell r="J416" t="str">
            <v>X</v>
          </cell>
          <cell r="K416">
            <v>1162112.5200000005</v>
          </cell>
          <cell r="L416">
            <v>1162112.5200000005</v>
          </cell>
          <cell r="M416">
            <v>881</v>
          </cell>
        </row>
        <row r="417">
          <cell r="B417" t="str">
            <v>002-064</v>
          </cell>
          <cell r="C417" t="str">
            <v>2.01.03.09</v>
          </cell>
          <cell r="D417">
            <v>41332</v>
          </cell>
          <cell r="E417" t="str">
            <v>COMPANHIA PIRATININGA DE FORÇA E LUZ - CPFL</v>
          </cell>
          <cell r="F417" t="str">
            <v>CONTA DE ENERGIA ELEVATÓRIA 01 REF 02/2013</v>
          </cell>
          <cell r="G417" t="str">
            <v>D</v>
          </cell>
          <cell r="H417">
            <v>5123.3900000000003</v>
          </cell>
          <cell r="I417">
            <v>0</v>
          </cell>
          <cell r="J417" t="str">
            <v>X</v>
          </cell>
          <cell r="K417">
            <v>1156989.1300000006</v>
          </cell>
          <cell r="L417">
            <v>1156989.1300000006</v>
          </cell>
          <cell r="M417">
            <v>0</v>
          </cell>
        </row>
        <row r="418">
          <cell r="B418" t="str">
            <v>002-014</v>
          </cell>
          <cell r="C418" t="str">
            <v>2.02.03.04</v>
          </cell>
          <cell r="D418">
            <v>41332</v>
          </cell>
          <cell r="E418" t="str">
            <v xml:space="preserve">CB&amp;A AUDITORIA E CONTABILIDADE </v>
          </cell>
          <cell r="F418" t="str">
            <v>HONORÁRIOS REF A SERVIÇO DE AUDITORIA INDEPENDENTE 02/2013</v>
          </cell>
          <cell r="G418" t="str">
            <v>D</v>
          </cell>
          <cell r="H418">
            <v>1833.5</v>
          </cell>
          <cell r="I418">
            <v>0</v>
          </cell>
          <cell r="J418" t="str">
            <v>X</v>
          </cell>
          <cell r="K418">
            <v>1155155.6300000006</v>
          </cell>
          <cell r="L418">
            <v>1155155.6300000006</v>
          </cell>
          <cell r="M418">
            <v>2171</v>
          </cell>
        </row>
        <row r="419">
          <cell r="B419" t="str">
            <v>002-063</v>
          </cell>
          <cell r="C419" t="str">
            <v>2.01.03.09</v>
          </cell>
          <cell r="D419">
            <v>41332</v>
          </cell>
          <cell r="E419" t="str">
            <v>COMPANHIA PIRATININGA DE FORÇA E LUZ - CPFL</v>
          </cell>
          <cell r="F419" t="str">
            <v>CONTA DE ENERGIA ELEVATÓRIA 03 REF 02/2013</v>
          </cell>
          <cell r="G419" t="str">
            <v>D</v>
          </cell>
          <cell r="H419">
            <v>1827.62</v>
          </cell>
          <cell r="I419">
            <v>0</v>
          </cell>
          <cell r="J419" t="str">
            <v>X</v>
          </cell>
          <cell r="K419">
            <v>1153328.0100000005</v>
          </cell>
          <cell r="L419">
            <v>1153328.0100000005</v>
          </cell>
          <cell r="M419">
            <v>0</v>
          </cell>
        </row>
        <row r="420">
          <cell r="B420" t="str">
            <v>002-009</v>
          </cell>
          <cell r="C420" t="str">
            <v>2.01.03.12</v>
          </cell>
          <cell r="D420">
            <v>41332</v>
          </cell>
          <cell r="E420" t="str">
            <v xml:space="preserve">VEDASYSTEM </v>
          </cell>
          <cell r="F420" t="str">
            <v>COMPRA DE MATERIAIS PARA O CORTE</v>
          </cell>
          <cell r="G420" t="str">
            <v>D</v>
          </cell>
          <cell r="H420">
            <v>1033.5</v>
          </cell>
          <cell r="I420">
            <v>0</v>
          </cell>
          <cell r="J420" t="str">
            <v>X</v>
          </cell>
          <cell r="K420">
            <v>1152294.5100000005</v>
          </cell>
          <cell r="L420">
            <v>1152294.5100000005</v>
          </cell>
          <cell r="M420">
            <v>2794</v>
          </cell>
        </row>
        <row r="421">
          <cell r="B421" t="str">
            <v>001-101</v>
          </cell>
          <cell r="C421" t="str">
            <v>2.01.05.10</v>
          </cell>
          <cell r="D421">
            <v>41332</v>
          </cell>
          <cell r="E421" t="str">
            <v>SECRETARIA DA RECEITA FEDERAL DO BRASIL</v>
          </cell>
          <cell r="F421" t="str">
            <v>DARF RF NF 9626 CORPUS</v>
          </cell>
          <cell r="G421" t="str">
            <v>D</v>
          </cell>
          <cell r="H421">
            <v>818.59</v>
          </cell>
          <cell r="I421">
            <v>0</v>
          </cell>
          <cell r="J421" t="str">
            <v>X</v>
          </cell>
          <cell r="K421">
            <v>1151475.9200000004</v>
          </cell>
          <cell r="L421">
            <v>1151475.9200000004</v>
          </cell>
          <cell r="M421">
            <v>0</v>
          </cell>
        </row>
        <row r="422">
          <cell r="B422" t="str">
            <v>001-148</v>
          </cell>
          <cell r="C422" t="str">
            <v>2.02.03.09</v>
          </cell>
          <cell r="D422">
            <v>41332</v>
          </cell>
          <cell r="E422" t="str">
            <v>TECNO TONER CARTUCHOS PARA IMPRESSORA</v>
          </cell>
          <cell r="F422" t="str">
            <v>RECARGA DE CARTUCHOS PARA IMPRESSORA SANESALTO</v>
          </cell>
          <cell r="G422" t="str">
            <v>D</v>
          </cell>
          <cell r="H422">
            <v>583.91</v>
          </cell>
          <cell r="I422">
            <v>0</v>
          </cell>
          <cell r="J422" t="str">
            <v>X</v>
          </cell>
          <cell r="K422">
            <v>1150892.0100000005</v>
          </cell>
          <cell r="L422">
            <v>1150892.0100000005</v>
          </cell>
          <cell r="M422">
            <v>55175</v>
          </cell>
        </row>
        <row r="423">
          <cell r="B423" t="str">
            <v>002-051</v>
          </cell>
          <cell r="C423" t="str">
            <v>2.01.05.07</v>
          </cell>
          <cell r="D423">
            <v>41332</v>
          </cell>
          <cell r="E423" t="str">
            <v>CASSOMED COM SERVIÇO DE SEG E SAÚDE OCUPACIONAL Ltda. ME</v>
          </cell>
          <cell r="F423" t="str">
            <v>PRESTAÇÃO DE SERVIÇOS DE PCMSO E SEGURANÇA DO TRABALHO</v>
          </cell>
          <cell r="G423" t="str">
            <v>D</v>
          </cell>
          <cell r="H423">
            <v>255.53</v>
          </cell>
          <cell r="I423">
            <v>0</v>
          </cell>
          <cell r="J423" t="str">
            <v>X</v>
          </cell>
          <cell r="K423">
            <v>1150636.4800000004</v>
          </cell>
          <cell r="L423">
            <v>1150636.4800000004</v>
          </cell>
          <cell r="M423">
            <v>1178</v>
          </cell>
        </row>
        <row r="424">
          <cell r="B424" t="str">
            <v>002-080</v>
          </cell>
          <cell r="C424" t="str">
            <v>2.01.05.14</v>
          </cell>
          <cell r="D424">
            <v>41332</v>
          </cell>
          <cell r="E424" t="str">
            <v>WILSON BENEDITO RIZZI</v>
          </cell>
          <cell r="F424" t="str">
            <v>COMPRA DE CAMINHÃO DE ÁGUA PARA ETE</v>
          </cell>
          <cell r="G424" t="str">
            <v>D</v>
          </cell>
          <cell r="H424">
            <v>220</v>
          </cell>
          <cell r="I424">
            <v>0</v>
          </cell>
          <cell r="J424" t="str">
            <v>X</v>
          </cell>
          <cell r="K424">
            <v>1150416.4800000004</v>
          </cell>
          <cell r="L424">
            <v>1150416.4800000004</v>
          </cell>
          <cell r="M424">
            <v>3781</v>
          </cell>
        </row>
        <row r="425">
          <cell r="B425" t="str">
            <v>002-027</v>
          </cell>
          <cell r="C425" t="str">
            <v>2.01.03.16</v>
          </cell>
          <cell r="D425">
            <v>41332</v>
          </cell>
          <cell r="E425" t="str">
            <v xml:space="preserve">SALTO LUZ MATERIAIS ELÉTRICOS </v>
          </cell>
          <cell r="F425" t="str">
            <v>COMPRA DE MATERIAIS ELÉTRICOS PARA ETE</v>
          </cell>
          <cell r="G425" t="str">
            <v>D</v>
          </cell>
          <cell r="H425">
            <v>135.74</v>
          </cell>
          <cell r="I425">
            <v>0</v>
          </cell>
          <cell r="J425" t="str">
            <v>X</v>
          </cell>
          <cell r="K425">
            <v>1150280.7400000005</v>
          </cell>
          <cell r="L425">
            <v>1150280.7400000005</v>
          </cell>
          <cell r="M425">
            <v>12610</v>
          </cell>
        </row>
        <row r="426">
          <cell r="B426" t="str">
            <v>002-067</v>
          </cell>
          <cell r="C426" t="str">
            <v>2.02.02.04</v>
          </cell>
          <cell r="D426">
            <v>41332</v>
          </cell>
          <cell r="E426" t="str">
            <v xml:space="preserve">NETSERV </v>
          </cell>
          <cell r="F426" t="str">
            <v>LINK DE INTERNET - SCM</v>
          </cell>
          <cell r="G426" t="str">
            <v>D</v>
          </cell>
          <cell r="H426">
            <v>134</v>
          </cell>
          <cell r="I426">
            <v>0</v>
          </cell>
          <cell r="J426" t="str">
            <v>X</v>
          </cell>
          <cell r="K426">
            <v>1150146.7400000005</v>
          </cell>
          <cell r="L426">
            <v>1150146.7400000005</v>
          </cell>
          <cell r="M426">
            <v>124</v>
          </cell>
        </row>
        <row r="427">
          <cell r="B427" t="str">
            <v>002-101</v>
          </cell>
          <cell r="C427" t="str">
            <v>2.01.03.16</v>
          </cell>
          <cell r="D427">
            <v>41332</v>
          </cell>
          <cell r="E427" t="str">
            <v xml:space="preserve">MADEREIRA AMÉRICA LTDA ME </v>
          </cell>
          <cell r="F427" t="str">
            <v>COMPRA DE MATERIAIS PARA ETE</v>
          </cell>
          <cell r="G427" t="str">
            <v>D</v>
          </cell>
          <cell r="H427">
            <v>90</v>
          </cell>
          <cell r="I427">
            <v>0</v>
          </cell>
          <cell r="J427" t="str">
            <v>X</v>
          </cell>
          <cell r="K427">
            <v>1150056.7400000005</v>
          </cell>
          <cell r="L427">
            <v>1150056.7400000005</v>
          </cell>
          <cell r="M427">
            <v>2096</v>
          </cell>
        </row>
        <row r="428">
          <cell r="B428" t="str">
            <v>002-059</v>
          </cell>
          <cell r="C428" t="str">
            <v>2.02.03.08</v>
          </cell>
          <cell r="D428">
            <v>41332</v>
          </cell>
          <cell r="E428" t="str">
            <v>ARCOSERV AR CONDICIONADO Ltda.</v>
          </cell>
          <cell r="F428" t="str">
            <v>MANUTENÇÃO DE AR CONDICIONADO CENTRAL</v>
          </cell>
          <cell r="G428" t="str">
            <v>D</v>
          </cell>
          <cell r="H428">
            <v>76.510000000000005</v>
          </cell>
          <cell r="I428">
            <v>0</v>
          </cell>
          <cell r="J428" t="str">
            <v>X</v>
          </cell>
          <cell r="K428">
            <v>1149980.2300000004</v>
          </cell>
          <cell r="L428">
            <v>1149980.2300000004</v>
          </cell>
          <cell r="M428">
            <v>2539</v>
          </cell>
        </row>
        <row r="429">
          <cell r="B429" t="str">
            <v>002-118</v>
          </cell>
          <cell r="C429" t="str">
            <v>2.02.02.01</v>
          </cell>
          <cell r="D429">
            <v>41332</v>
          </cell>
          <cell r="E429" t="str">
            <v>SOS CARTUCHOS SALTO LTDA ME</v>
          </cell>
          <cell r="F429" t="str">
            <v>COMPRA DE CARTUCHOS PARA ESCRITÓRIO</v>
          </cell>
          <cell r="G429" t="str">
            <v>D</v>
          </cell>
          <cell r="H429">
            <v>50</v>
          </cell>
          <cell r="I429">
            <v>0</v>
          </cell>
          <cell r="J429" t="str">
            <v>X</v>
          </cell>
          <cell r="K429">
            <v>1149930.2300000004</v>
          </cell>
          <cell r="L429">
            <v>1149930.2300000004</v>
          </cell>
          <cell r="M429">
            <v>678</v>
          </cell>
        </row>
        <row r="430">
          <cell r="B430" t="str">
            <v>002-088</v>
          </cell>
          <cell r="C430" t="str">
            <v>2.02.03.04</v>
          </cell>
          <cell r="D430">
            <v>41332</v>
          </cell>
          <cell r="E430" t="str">
            <v>KPMG AUDITORES INDEPENDENTES</v>
          </cell>
          <cell r="F430" t="str">
            <v>DESPESAS COM AUDITORIA SANESALTO</v>
          </cell>
          <cell r="G430" t="str">
            <v>D</v>
          </cell>
          <cell r="H430">
            <v>34.65</v>
          </cell>
          <cell r="I430">
            <v>0</v>
          </cell>
          <cell r="J430" t="str">
            <v>X</v>
          </cell>
          <cell r="K430">
            <v>1149895.5800000005</v>
          </cell>
          <cell r="L430">
            <v>1149895.5800000005</v>
          </cell>
          <cell r="M430">
            <v>9027</v>
          </cell>
        </row>
        <row r="431">
          <cell r="B431" t="str">
            <v>002-068</v>
          </cell>
          <cell r="C431" t="str">
            <v>2.02.02.04</v>
          </cell>
          <cell r="D431">
            <v>41332</v>
          </cell>
          <cell r="E431" t="str">
            <v xml:space="preserve">NETSERV </v>
          </cell>
          <cell r="F431" t="str">
            <v>LINK DE INTERNET - SCM</v>
          </cell>
          <cell r="G431" t="str">
            <v>D</v>
          </cell>
          <cell r="H431">
            <v>307</v>
          </cell>
          <cell r="I431">
            <v>0</v>
          </cell>
          <cell r="J431" t="str">
            <v>X</v>
          </cell>
          <cell r="K431">
            <v>1149588.5800000005</v>
          </cell>
          <cell r="L431">
            <v>1149588.5800000005</v>
          </cell>
          <cell r="M431">
            <v>0</v>
          </cell>
        </row>
        <row r="432">
          <cell r="B432" t="str">
            <v>RE002-020</v>
          </cell>
          <cell r="C432" t="str">
            <v>1.01.04.01</v>
          </cell>
          <cell r="D432">
            <v>41333</v>
          </cell>
          <cell r="E432" t="str">
            <v xml:space="preserve">BANCO ITAÚ </v>
          </cell>
          <cell r="F432" t="str">
            <v xml:space="preserve">RENDIMENTO DE APLICAÇÃO </v>
          </cell>
          <cell r="G432" t="str">
            <v>C</v>
          </cell>
          <cell r="H432">
            <v>0</v>
          </cell>
          <cell r="I432">
            <v>12.26</v>
          </cell>
          <cell r="J432" t="str">
            <v>X</v>
          </cell>
          <cell r="K432">
            <v>1149600.8400000005</v>
          </cell>
          <cell r="L432">
            <v>1149600.8400000005</v>
          </cell>
          <cell r="M432">
            <v>0</v>
          </cell>
        </row>
        <row r="433">
          <cell r="B433" t="str">
            <v>002-126</v>
          </cell>
          <cell r="C433" t="str">
            <v>2.02.03.17</v>
          </cell>
          <cell r="D433">
            <v>41333</v>
          </cell>
          <cell r="E433" t="str">
            <v>DT EXPRESSO LTDA ME</v>
          </cell>
          <cell r="F433" t="str">
            <v xml:space="preserve">SERVIÇOS DE MOTOBOY </v>
          </cell>
          <cell r="G433" t="str">
            <v>D</v>
          </cell>
          <cell r="H433">
            <v>401.8</v>
          </cell>
          <cell r="I433">
            <v>0</v>
          </cell>
          <cell r="J433" t="str">
            <v>X</v>
          </cell>
          <cell r="K433">
            <v>1149199.0400000005</v>
          </cell>
          <cell r="L433">
            <v>1149199.0400000005</v>
          </cell>
          <cell r="M433">
            <v>20</v>
          </cell>
        </row>
        <row r="434">
          <cell r="B434" t="str">
            <v>002-119</v>
          </cell>
          <cell r="C434" t="str">
            <v>2.01.01.07</v>
          </cell>
          <cell r="D434">
            <v>41333</v>
          </cell>
          <cell r="E434" t="str">
            <v>AUTO ONIBUS NARDELLI LTDA</v>
          </cell>
          <cell r="F434" t="str">
            <v>CARGA DE VALE TRANSPORTE DOS FUNCIONÁRIOS</v>
          </cell>
          <cell r="G434" t="str">
            <v>D</v>
          </cell>
          <cell r="H434">
            <v>1601.32</v>
          </cell>
          <cell r="I434">
            <v>0</v>
          </cell>
          <cell r="J434" t="str">
            <v>X</v>
          </cell>
          <cell r="K434">
            <v>1147597.7200000004</v>
          </cell>
          <cell r="L434">
            <v>1147597.7200000004</v>
          </cell>
          <cell r="M434">
            <v>0</v>
          </cell>
        </row>
        <row r="435">
          <cell r="B435" t="str">
            <v>002-137</v>
          </cell>
          <cell r="C435" t="str">
            <v>2.06.03.01</v>
          </cell>
          <cell r="D435">
            <v>41333</v>
          </cell>
          <cell r="E435" t="str">
            <v>CVM - COMISSÃO DE VALORES MOBILIÁRIOS</v>
          </cell>
          <cell r="F435" t="str">
            <v>PARCELAMENTO N. 267 PARCELA 13</v>
          </cell>
          <cell r="G435" t="str">
            <v>D</v>
          </cell>
          <cell r="H435">
            <v>4759.6899999999996</v>
          </cell>
          <cell r="I435">
            <v>0</v>
          </cell>
          <cell r="J435" t="str">
            <v>X</v>
          </cell>
          <cell r="K435">
            <v>1142838.0300000005</v>
          </cell>
          <cell r="L435">
            <v>1142838.0300000005</v>
          </cell>
          <cell r="M435">
            <v>47243</v>
          </cell>
        </row>
        <row r="436">
          <cell r="B436" t="str">
            <v>002-120</v>
          </cell>
          <cell r="C436" t="str">
            <v>2.01.01.06</v>
          </cell>
          <cell r="D436">
            <v>41333</v>
          </cell>
          <cell r="E436" t="str">
            <v>SODEXO PASS DO BRASIL</v>
          </cell>
          <cell r="F436" t="str">
            <v>VALE ALIMENTAÇÃO REF 03/2013</v>
          </cell>
          <cell r="G436" t="str">
            <v>D</v>
          </cell>
          <cell r="H436">
            <v>8451.7000000000007</v>
          </cell>
          <cell r="I436">
            <v>0</v>
          </cell>
          <cell r="J436" t="str">
            <v>X</v>
          </cell>
          <cell r="K436">
            <v>1134386.3300000005</v>
          </cell>
          <cell r="L436">
            <v>1134386.3300000005</v>
          </cell>
          <cell r="M436">
            <v>0</v>
          </cell>
        </row>
        <row r="437">
          <cell r="B437" t="str">
            <v>RE03-001</v>
          </cell>
          <cell r="C437" t="str">
            <v>1.01.04.01</v>
          </cell>
          <cell r="D437">
            <v>41334</v>
          </cell>
          <cell r="E437" t="str">
            <v xml:space="preserve">BANCO ITAÚ </v>
          </cell>
          <cell r="F437" t="str">
            <v xml:space="preserve">RENDIMENTO DE APLICAÇÃO </v>
          </cell>
          <cell r="G437" t="str">
            <v>C</v>
          </cell>
          <cell r="H437">
            <v>0</v>
          </cell>
          <cell r="I437">
            <v>22.9</v>
          </cell>
          <cell r="J437" t="str">
            <v>X</v>
          </cell>
          <cell r="K437">
            <v>1134409.2300000004</v>
          </cell>
          <cell r="L437">
            <v>1134409.2300000004</v>
          </cell>
          <cell r="M437">
            <v>0</v>
          </cell>
        </row>
        <row r="438">
          <cell r="B438" t="str">
            <v>03-002</v>
          </cell>
          <cell r="C438" t="str">
            <v>2.02.03.21</v>
          </cell>
          <cell r="D438">
            <v>41334</v>
          </cell>
          <cell r="E438" t="str">
            <v>RODRIGO BUENO</v>
          </cell>
          <cell r="F438" t="str">
            <v>DESPESAS DE ALIMENTAÇÃO E COMBUSTÍVEL</v>
          </cell>
          <cell r="G438" t="str">
            <v>D</v>
          </cell>
          <cell r="H438">
            <v>810.54</v>
          </cell>
          <cell r="I438">
            <v>0</v>
          </cell>
          <cell r="J438" t="str">
            <v>X</v>
          </cell>
          <cell r="K438">
            <v>1133598.6900000004</v>
          </cell>
          <cell r="L438">
            <v>1133598.6900000004</v>
          </cell>
          <cell r="M438">
            <v>0</v>
          </cell>
        </row>
        <row r="439">
          <cell r="B439" t="str">
            <v>03-001</v>
          </cell>
          <cell r="C439" t="str">
            <v>2.02.03.04</v>
          </cell>
          <cell r="D439">
            <v>41334</v>
          </cell>
          <cell r="E439" t="str">
            <v>ARAUJO DE ARAUJO CONSULTORIA</v>
          </cell>
          <cell r="F439" t="str">
            <v xml:space="preserve">PAGAMENTO DE HONORÁRIOS DE CONSULTORIA </v>
          </cell>
          <cell r="G439" t="str">
            <v>D</v>
          </cell>
          <cell r="H439">
            <v>26491.98</v>
          </cell>
          <cell r="I439">
            <v>0</v>
          </cell>
          <cell r="J439" t="str">
            <v>X</v>
          </cell>
          <cell r="K439">
            <v>1107106.7100000004</v>
          </cell>
          <cell r="L439">
            <v>1107106.7100000004</v>
          </cell>
          <cell r="M439">
            <v>39</v>
          </cell>
        </row>
        <row r="440">
          <cell r="B440" t="str">
            <v>03-003</v>
          </cell>
          <cell r="C440" t="str">
            <v>2.05.01.02</v>
          </cell>
          <cell r="D440">
            <v>41334</v>
          </cell>
          <cell r="E440" t="str">
            <v xml:space="preserve">BANCO ITAÚ S/A </v>
          </cell>
          <cell r="F440" t="str">
            <v>TARIFA DOC SISPAG</v>
          </cell>
          <cell r="G440" t="str">
            <v>D</v>
          </cell>
          <cell r="H440">
            <v>49.5</v>
          </cell>
          <cell r="I440">
            <v>0</v>
          </cell>
          <cell r="J440" t="str">
            <v>X</v>
          </cell>
          <cell r="K440">
            <v>1107057.2100000004</v>
          </cell>
          <cell r="L440">
            <v>1107057.2100000004</v>
          </cell>
          <cell r="M440">
            <v>0</v>
          </cell>
        </row>
        <row r="441">
          <cell r="B441" t="str">
            <v>03-004</v>
          </cell>
          <cell r="C441" t="str">
            <v>2.05.01.02</v>
          </cell>
          <cell r="D441">
            <v>41334</v>
          </cell>
          <cell r="E441" t="str">
            <v xml:space="preserve">BANCO ITAÚ S/A </v>
          </cell>
          <cell r="F441" t="str">
            <v>TARIFA DOC SISPAG</v>
          </cell>
          <cell r="G441" t="str">
            <v>D</v>
          </cell>
          <cell r="H441">
            <v>4.5</v>
          </cell>
          <cell r="I441">
            <v>0</v>
          </cell>
          <cell r="J441" t="str">
            <v>X</v>
          </cell>
          <cell r="K441">
            <v>1107052.7100000004</v>
          </cell>
          <cell r="L441">
            <v>1107052.7100000004</v>
          </cell>
          <cell r="M441">
            <v>0</v>
          </cell>
        </row>
        <row r="442">
          <cell r="B442" t="str">
            <v>03-005</v>
          </cell>
          <cell r="C442" t="str">
            <v>2.05.01.02</v>
          </cell>
          <cell r="D442">
            <v>41334</v>
          </cell>
          <cell r="E442" t="str">
            <v xml:space="preserve">BANCO ITAÚ S/A </v>
          </cell>
          <cell r="F442" t="str">
            <v>TARIFA DOC SISPAG</v>
          </cell>
          <cell r="G442" t="str">
            <v>D</v>
          </cell>
          <cell r="H442">
            <v>4.5</v>
          </cell>
          <cell r="I442">
            <v>0</v>
          </cell>
          <cell r="J442" t="str">
            <v>X</v>
          </cell>
          <cell r="K442">
            <v>1107048.2100000004</v>
          </cell>
          <cell r="L442">
            <v>1107048.2100000004</v>
          </cell>
          <cell r="M442">
            <v>0</v>
          </cell>
        </row>
        <row r="443">
          <cell r="B443" t="str">
            <v>03-006</v>
          </cell>
          <cell r="C443" t="str">
            <v>2.05.01.02</v>
          </cell>
          <cell r="D443">
            <v>41334</v>
          </cell>
          <cell r="E443" t="str">
            <v xml:space="preserve">BANCO ITAÚ S/A </v>
          </cell>
          <cell r="F443" t="str">
            <v>TARIFA TED SISPAG</v>
          </cell>
          <cell r="G443" t="str">
            <v>D</v>
          </cell>
          <cell r="H443">
            <v>31.5</v>
          </cell>
          <cell r="I443">
            <v>0</v>
          </cell>
          <cell r="J443" t="str">
            <v>X</v>
          </cell>
          <cell r="K443">
            <v>1107016.7100000004</v>
          </cell>
          <cell r="L443">
            <v>1107016.7100000004</v>
          </cell>
          <cell r="M443">
            <v>0</v>
          </cell>
        </row>
        <row r="444">
          <cell r="B444" t="str">
            <v>RE03-002</v>
          </cell>
          <cell r="C444" t="str">
            <v>1.01.01.01</v>
          </cell>
          <cell r="D444">
            <v>41337</v>
          </cell>
          <cell r="E444" t="str">
            <v>SANESALTO SANEAMENTO S/A</v>
          </cell>
          <cell r="F444" t="str">
            <v>MEDIÇÃO DE 23 A 28.02.2013</v>
          </cell>
          <cell r="G444" t="str">
            <v>C</v>
          </cell>
          <cell r="H444">
            <v>0</v>
          </cell>
          <cell r="I444">
            <v>97687.57</v>
          </cell>
          <cell r="J444" t="str">
            <v>X</v>
          </cell>
          <cell r="K444">
            <v>1204704.2800000005</v>
          </cell>
          <cell r="L444">
            <v>1204704.2800000005</v>
          </cell>
          <cell r="M444">
            <v>0</v>
          </cell>
        </row>
        <row r="445">
          <cell r="B445" t="str">
            <v>002-135</v>
          </cell>
          <cell r="C445" t="str">
            <v>2.01.05.13</v>
          </cell>
          <cell r="D445">
            <v>41337</v>
          </cell>
          <cell r="E445" t="str">
            <v>HF ANDRADE SERVIÇOS TEMPORÁRIOS</v>
          </cell>
          <cell r="F445" t="str">
            <v>SERVIÇOS DE MÃO DE OBRA TEMPORÁRIO REF FEV/2013</v>
          </cell>
          <cell r="G445" t="str">
            <v>D</v>
          </cell>
          <cell r="H445">
            <v>13830.66</v>
          </cell>
          <cell r="I445">
            <v>0</v>
          </cell>
          <cell r="J445" t="str">
            <v>X</v>
          </cell>
          <cell r="K445">
            <v>1190873.6200000006</v>
          </cell>
          <cell r="L445">
            <v>1190873.6200000006</v>
          </cell>
          <cell r="M445">
            <v>372</v>
          </cell>
        </row>
        <row r="446">
          <cell r="B446" t="str">
            <v>002-121</v>
          </cell>
          <cell r="C446" t="str">
            <v>2.02.03.05</v>
          </cell>
          <cell r="D446">
            <v>41337</v>
          </cell>
          <cell r="E446" t="str">
            <v>SCANDIUZZI CONSULTORIA CONTABIL Ltda.</v>
          </cell>
          <cell r="F446" t="str">
            <v>HONORÁRIOS MENSAIS REF 02/2013</v>
          </cell>
          <cell r="G446" t="str">
            <v>D</v>
          </cell>
          <cell r="H446">
            <v>3732</v>
          </cell>
          <cell r="I446">
            <v>0</v>
          </cell>
          <cell r="J446" t="str">
            <v>X</v>
          </cell>
          <cell r="K446">
            <v>1187141.6200000006</v>
          </cell>
          <cell r="L446">
            <v>1187141.6200000006</v>
          </cell>
          <cell r="M446">
            <v>1604</v>
          </cell>
        </row>
        <row r="447">
          <cell r="B447" t="str">
            <v>002-104</v>
          </cell>
          <cell r="C447" t="str">
            <v>2.01.03.09</v>
          </cell>
          <cell r="D447">
            <v>41337</v>
          </cell>
          <cell r="E447" t="str">
            <v>COMPANHIA PIRATININGA DE FORÇA E LUZ - CPFL</v>
          </cell>
          <cell r="F447" t="str">
            <v>CONTA DE ENERGIA ELEV 02 02/2013</v>
          </cell>
          <cell r="G447" t="str">
            <v>D</v>
          </cell>
          <cell r="H447">
            <v>54.17</v>
          </cell>
          <cell r="I447">
            <v>0</v>
          </cell>
          <cell r="J447" t="str">
            <v>X</v>
          </cell>
          <cell r="K447">
            <v>1187087.4500000007</v>
          </cell>
          <cell r="L447">
            <v>1187087.4500000007</v>
          </cell>
          <cell r="M447">
            <v>0</v>
          </cell>
        </row>
        <row r="448">
          <cell r="B448" t="str">
            <v>002-037</v>
          </cell>
          <cell r="C448" t="str">
            <v>2.01.03.08</v>
          </cell>
          <cell r="D448">
            <v>41337</v>
          </cell>
          <cell r="E448" t="str">
            <v>HEXIS CIENTÍFICA S.A</v>
          </cell>
          <cell r="F448" t="str">
            <v>COMPRA DE REAGENTE DQO PARA ETE + ESTOJO QUIMICO</v>
          </cell>
          <cell r="G448" t="str">
            <v>D</v>
          </cell>
          <cell r="H448">
            <v>2581.3000000000002</v>
          </cell>
          <cell r="I448">
            <v>0</v>
          </cell>
          <cell r="J448" t="str">
            <v>x</v>
          </cell>
          <cell r="K448">
            <v>1184506.1500000006</v>
          </cell>
          <cell r="L448">
            <v>1184506.1500000006</v>
          </cell>
          <cell r="M448">
            <v>231503</v>
          </cell>
        </row>
        <row r="449">
          <cell r="B449" t="str">
            <v>002-134</v>
          </cell>
          <cell r="C449" t="str">
            <v>2.01.01.06</v>
          </cell>
          <cell r="D449">
            <v>41337</v>
          </cell>
          <cell r="E449" t="str">
            <v xml:space="preserve">RESTAURANTE SUINDARA </v>
          </cell>
          <cell r="F449" t="str">
            <v xml:space="preserve">FORNECIMENTO DE MARMITEX PARA ETE </v>
          </cell>
          <cell r="G449" t="str">
            <v>D</v>
          </cell>
          <cell r="H449">
            <v>2409</v>
          </cell>
          <cell r="I449">
            <v>0</v>
          </cell>
          <cell r="J449" t="str">
            <v>x</v>
          </cell>
          <cell r="K449">
            <v>1182097.1500000006</v>
          </cell>
          <cell r="L449">
            <v>1182097.1500000006</v>
          </cell>
          <cell r="M449">
            <v>4934</v>
          </cell>
        </row>
        <row r="450">
          <cell r="B450" t="str">
            <v>002-058</v>
          </cell>
          <cell r="C450" t="str">
            <v>2.01.03.08</v>
          </cell>
          <cell r="D450">
            <v>41337</v>
          </cell>
          <cell r="E450" t="str">
            <v>NHEEL QUIMICA</v>
          </cell>
          <cell r="F450" t="str">
            <v>COMPRA DE KEMIRA OCC-220</v>
          </cell>
          <cell r="G450" t="str">
            <v>D</v>
          </cell>
          <cell r="H450">
            <v>2242.5</v>
          </cell>
          <cell r="I450">
            <v>0</v>
          </cell>
          <cell r="J450" t="str">
            <v>X</v>
          </cell>
          <cell r="K450">
            <v>1179854.6500000006</v>
          </cell>
          <cell r="L450">
            <v>1179854.6500000006</v>
          </cell>
          <cell r="M450">
            <v>30939</v>
          </cell>
        </row>
        <row r="451">
          <cell r="B451" t="str">
            <v>002-032</v>
          </cell>
          <cell r="C451" t="str">
            <v>2.01.05.10</v>
          </cell>
          <cell r="D451">
            <v>41337</v>
          </cell>
          <cell r="E451" t="str">
            <v>SALTO AMBIENTAL LTDA</v>
          </cell>
          <cell r="F451" t="str">
            <v>COLETA DE RESIDUOS NÃO PERIGOSOS</v>
          </cell>
          <cell r="G451" t="str">
            <v>D</v>
          </cell>
          <cell r="H451">
            <v>1520</v>
          </cell>
          <cell r="I451">
            <v>0</v>
          </cell>
          <cell r="J451" t="str">
            <v>X</v>
          </cell>
          <cell r="K451">
            <v>1178334.6500000006</v>
          </cell>
          <cell r="L451">
            <v>1178334.6500000006</v>
          </cell>
          <cell r="M451">
            <v>338</v>
          </cell>
        </row>
        <row r="452">
          <cell r="B452" t="str">
            <v>002-054/1</v>
          </cell>
          <cell r="C452" t="str">
            <v>2.07.01.04</v>
          </cell>
          <cell r="D452">
            <v>41337</v>
          </cell>
          <cell r="E452" t="str">
            <v>SOLUTION UNITED TECNOLOGIA Ltda.</v>
          </cell>
          <cell r="F452" t="str">
            <v>COMPRA DE CANETA MARCADORA</v>
          </cell>
          <cell r="G452" t="str">
            <v>D</v>
          </cell>
          <cell r="H452">
            <v>1342.48</v>
          </cell>
          <cell r="I452">
            <v>0</v>
          </cell>
          <cell r="J452" t="str">
            <v>X</v>
          </cell>
          <cell r="K452">
            <v>1176992.1700000006</v>
          </cell>
          <cell r="L452">
            <v>1176992.1700000006</v>
          </cell>
          <cell r="M452">
            <v>1512</v>
          </cell>
        </row>
        <row r="453">
          <cell r="B453" t="str">
            <v>002-122</v>
          </cell>
          <cell r="C453" t="str">
            <v>2.02.03.01</v>
          </cell>
          <cell r="D453">
            <v>41337</v>
          </cell>
          <cell r="E453" t="str">
            <v xml:space="preserve">SPAZIO VERDE </v>
          </cell>
          <cell r="F453" t="str">
            <v>REFORMA DO JARDIM SANESALTO</v>
          </cell>
          <cell r="G453" t="str">
            <v>D</v>
          </cell>
          <cell r="H453">
            <v>415.5</v>
          </cell>
          <cell r="I453">
            <v>0</v>
          </cell>
          <cell r="J453" t="str">
            <v>X</v>
          </cell>
          <cell r="K453">
            <v>1176576.6700000006</v>
          </cell>
          <cell r="L453">
            <v>1176576.6700000006</v>
          </cell>
          <cell r="M453">
            <v>54</v>
          </cell>
        </row>
        <row r="454">
          <cell r="B454" t="str">
            <v>002-025/1</v>
          </cell>
          <cell r="C454" t="str">
            <v>2.01.03.16</v>
          </cell>
          <cell r="D454">
            <v>41337</v>
          </cell>
          <cell r="E454" t="str">
            <v>Tintas Taperá Comercial Ltda. EPP</v>
          </cell>
          <cell r="F454" t="str">
            <v>Compra de material para ETE</v>
          </cell>
          <cell r="G454" t="str">
            <v>D</v>
          </cell>
          <cell r="H454">
            <v>460</v>
          </cell>
          <cell r="I454">
            <v>0</v>
          </cell>
          <cell r="J454" t="str">
            <v>X</v>
          </cell>
          <cell r="K454">
            <v>1176116.6700000006</v>
          </cell>
          <cell r="L454">
            <v>1176116.6700000006</v>
          </cell>
          <cell r="M454">
            <v>5897</v>
          </cell>
        </row>
        <row r="455">
          <cell r="B455" t="str">
            <v>002-084</v>
          </cell>
          <cell r="C455" t="str">
            <v>2.07.01.03</v>
          </cell>
          <cell r="D455">
            <v>41337</v>
          </cell>
          <cell r="E455" t="str">
            <v>SOLUTION UNITED TECNOLOGIA Ltda.</v>
          </cell>
          <cell r="F455" t="str">
            <v>SERVIÇO DE MANUTENÇÃO DE COLETORES DE DADOS E IMPRESSORAS</v>
          </cell>
          <cell r="G455" t="str">
            <v>D</v>
          </cell>
          <cell r="H455">
            <v>224.4</v>
          </cell>
          <cell r="I455">
            <v>0</v>
          </cell>
          <cell r="J455" t="str">
            <v>X</v>
          </cell>
          <cell r="K455">
            <v>1175892.2700000007</v>
          </cell>
          <cell r="L455">
            <v>1175892.2700000007</v>
          </cell>
          <cell r="M455" t="str">
            <v>142/2013</v>
          </cell>
        </row>
        <row r="456">
          <cell r="B456" t="str">
            <v>002-099</v>
          </cell>
          <cell r="C456" t="str">
            <v>2.01.03.16</v>
          </cell>
          <cell r="D456">
            <v>41337</v>
          </cell>
          <cell r="E456" t="str">
            <v>SOBASE MATERIAL DE CONSTRUÇÃO</v>
          </cell>
          <cell r="F456" t="str">
            <v xml:space="preserve">COMPRA DE MATERIAIS DE CONSTRUÇÃO </v>
          </cell>
          <cell r="G456" t="str">
            <v>D</v>
          </cell>
          <cell r="H456">
            <v>1107.32</v>
          </cell>
          <cell r="I456">
            <v>0</v>
          </cell>
          <cell r="J456" t="str">
            <v>X</v>
          </cell>
          <cell r="K456">
            <v>1174784.9500000007</v>
          </cell>
          <cell r="L456">
            <v>1174784.9500000007</v>
          </cell>
        </row>
        <row r="457">
          <cell r="B457" t="str">
            <v>002-021</v>
          </cell>
          <cell r="C457" t="str">
            <v>2.02.02.02</v>
          </cell>
          <cell r="D457">
            <v>41337</v>
          </cell>
          <cell r="E457" t="str">
            <v xml:space="preserve">CAPITAL EMBALAGENS DESCARTÁVEIS </v>
          </cell>
          <cell r="F457" t="str">
            <v>COMPRA DE PRODUTOS DE LIMPEZA PARA ETE E ESCRITÓRIO</v>
          </cell>
          <cell r="G457" t="str">
            <v>D</v>
          </cell>
          <cell r="H457">
            <v>366.35</v>
          </cell>
          <cell r="I457">
            <v>0</v>
          </cell>
          <cell r="J457" t="str">
            <v>X</v>
          </cell>
          <cell r="K457">
            <v>1174418.6000000006</v>
          </cell>
          <cell r="L457">
            <v>1174418.6000000006</v>
          </cell>
          <cell r="M457">
            <v>29373</v>
          </cell>
        </row>
        <row r="458">
          <cell r="B458" t="str">
            <v>002-057</v>
          </cell>
          <cell r="C458" t="str">
            <v>2.01.03.12</v>
          </cell>
          <cell r="D458">
            <v>41337</v>
          </cell>
          <cell r="E458" t="str">
            <v>COMERCIAL DE PARAFUSOS SALTENSE LTDA EPP</v>
          </cell>
          <cell r="F458" t="str">
            <v>COMPRA DE MATERIAIS DIVERSOS</v>
          </cell>
          <cell r="G458" t="str">
            <v>D</v>
          </cell>
          <cell r="H458">
            <v>156.84</v>
          </cell>
          <cell r="I458">
            <v>0</v>
          </cell>
          <cell r="J458" t="str">
            <v>X</v>
          </cell>
          <cell r="K458">
            <v>1174261.7600000005</v>
          </cell>
          <cell r="L458">
            <v>1174261.7600000005</v>
          </cell>
          <cell r="M458">
            <v>34217</v>
          </cell>
        </row>
        <row r="459">
          <cell r="B459" t="str">
            <v>002-100</v>
          </cell>
          <cell r="C459" t="str">
            <v>2.01.03.16</v>
          </cell>
          <cell r="D459">
            <v>41337</v>
          </cell>
          <cell r="E459" t="str">
            <v>SOBASE MATERIAL DE CONSTRUÇÃO</v>
          </cell>
          <cell r="F459" t="str">
            <v xml:space="preserve">COMPRA DE MATERIAIS DE CONSTRUÇÃO </v>
          </cell>
          <cell r="G459" t="str">
            <v>D</v>
          </cell>
          <cell r="H459">
            <v>117.02</v>
          </cell>
          <cell r="I459">
            <v>0</v>
          </cell>
          <cell r="J459" t="str">
            <v>X</v>
          </cell>
          <cell r="K459">
            <v>1174144.7400000005</v>
          </cell>
          <cell r="L459">
            <v>1174144.7400000005</v>
          </cell>
          <cell r="M459">
            <v>330840</v>
          </cell>
        </row>
        <row r="460">
          <cell r="B460" t="str">
            <v>002-128</v>
          </cell>
          <cell r="C460" t="str">
            <v>2.01.05.02</v>
          </cell>
          <cell r="D460">
            <v>41337</v>
          </cell>
          <cell r="E460" t="str">
            <v>CARLOS ALBERTO PROGIANTI ME</v>
          </cell>
          <cell r="F460" t="str">
            <v>ASSISTÊNCIA TÉCNICA SISTEMA DE SEGURANÇA</v>
          </cell>
          <cell r="G460" t="str">
            <v>D</v>
          </cell>
          <cell r="H460">
            <v>127.33</v>
          </cell>
          <cell r="I460">
            <v>0</v>
          </cell>
          <cell r="J460" t="str">
            <v>X</v>
          </cell>
          <cell r="K460">
            <v>1174017.4100000004</v>
          </cell>
          <cell r="L460">
            <v>1174017.4100000004</v>
          </cell>
          <cell r="M460">
            <v>7929</v>
          </cell>
        </row>
        <row r="461">
          <cell r="B461" t="str">
            <v>002-129</v>
          </cell>
          <cell r="C461" t="str">
            <v>2.01.05.02</v>
          </cell>
          <cell r="D461">
            <v>41337</v>
          </cell>
          <cell r="E461" t="str">
            <v>CARLOS ALBERTO PROGIANTI ME</v>
          </cell>
          <cell r="F461" t="str">
            <v>ASSISTÊNCIA TÉCNICA SISTEMA DE SEGURANÇA</v>
          </cell>
          <cell r="G461" t="str">
            <v>D</v>
          </cell>
          <cell r="H461">
            <v>127.33</v>
          </cell>
          <cell r="I461">
            <v>0</v>
          </cell>
          <cell r="J461" t="str">
            <v>X</v>
          </cell>
          <cell r="K461">
            <v>1173890.0800000003</v>
          </cell>
          <cell r="L461">
            <v>1173890.0800000003</v>
          </cell>
        </row>
        <row r="462">
          <cell r="B462" t="str">
            <v>002-131</v>
          </cell>
          <cell r="C462" t="str">
            <v>2.01.05.02</v>
          </cell>
          <cell r="D462">
            <v>41337</v>
          </cell>
          <cell r="E462" t="str">
            <v>CARLOS ALBERTO PROGIANTI ME</v>
          </cell>
          <cell r="F462" t="str">
            <v>ASSISTÊNCIA TÉCNICA SISTEMA DE SEGURANÇA</v>
          </cell>
          <cell r="G462" t="str">
            <v>D</v>
          </cell>
          <cell r="H462">
            <v>127.33</v>
          </cell>
          <cell r="I462">
            <v>0</v>
          </cell>
          <cell r="J462" t="str">
            <v>X</v>
          </cell>
          <cell r="K462">
            <v>1173762.7500000002</v>
          </cell>
          <cell r="L462">
            <v>1173762.7500000002</v>
          </cell>
          <cell r="M462">
            <v>7927</v>
          </cell>
        </row>
        <row r="463">
          <cell r="B463" t="str">
            <v>002-132</v>
          </cell>
          <cell r="C463" t="str">
            <v>2.01.05.02</v>
          </cell>
          <cell r="D463">
            <v>41337</v>
          </cell>
          <cell r="E463" t="str">
            <v>CARLOS ALBERTO PROGIANTI ME</v>
          </cell>
          <cell r="F463" t="str">
            <v>ASSISTÊNCIA TÉCNICA SISTEMA DE SEGURANÇA</v>
          </cell>
          <cell r="G463" t="str">
            <v>D</v>
          </cell>
          <cell r="H463">
            <v>120.73</v>
          </cell>
          <cell r="I463">
            <v>0</v>
          </cell>
          <cell r="J463" t="str">
            <v>X</v>
          </cell>
          <cell r="K463">
            <v>1173642.0200000003</v>
          </cell>
          <cell r="L463">
            <v>1173642.0200000003</v>
          </cell>
          <cell r="M463">
            <v>7926</v>
          </cell>
        </row>
        <row r="464">
          <cell r="B464" t="str">
            <v>002-130</v>
          </cell>
          <cell r="C464" t="str">
            <v>2.01.05.02</v>
          </cell>
          <cell r="D464">
            <v>41337</v>
          </cell>
          <cell r="E464" t="str">
            <v>CARLOS ALBERTO PROGIANTI ME</v>
          </cell>
          <cell r="F464" t="str">
            <v>ASSISTÊNCIA TÉCNICA SISTEMA DE SEGURANÇA</v>
          </cell>
          <cell r="G464" t="str">
            <v>D</v>
          </cell>
          <cell r="H464">
            <v>120.2</v>
          </cell>
          <cell r="I464">
            <v>0</v>
          </cell>
          <cell r="J464" t="str">
            <v>X</v>
          </cell>
          <cell r="K464">
            <v>1173521.8200000003</v>
          </cell>
          <cell r="L464">
            <v>1173521.8200000003</v>
          </cell>
          <cell r="M464">
            <v>7925</v>
          </cell>
        </row>
        <row r="465">
          <cell r="B465" t="str">
            <v>002-125</v>
          </cell>
          <cell r="C465" t="str">
            <v>2.02.03.04</v>
          </cell>
          <cell r="D465">
            <v>41337</v>
          </cell>
          <cell r="E465" t="str">
            <v>KPMG AUDITORES INDEPENDENTES</v>
          </cell>
          <cell r="F465" t="str">
            <v>DESPESAS COM AUDITORIA SANESALTO</v>
          </cell>
          <cell r="G465" t="str">
            <v>D</v>
          </cell>
          <cell r="H465">
            <v>26</v>
          </cell>
          <cell r="I465">
            <v>0</v>
          </cell>
          <cell r="J465" t="str">
            <v>X</v>
          </cell>
          <cell r="K465">
            <v>1173495.8200000003</v>
          </cell>
          <cell r="L465">
            <v>1173495.8200000003</v>
          </cell>
          <cell r="M465">
            <v>9191</v>
          </cell>
        </row>
        <row r="466">
          <cell r="B466" t="str">
            <v>RE03-003</v>
          </cell>
          <cell r="C466" t="str">
            <v>1.01.04.01</v>
          </cell>
          <cell r="D466">
            <v>41338</v>
          </cell>
          <cell r="E466" t="str">
            <v xml:space="preserve">BANCO ITAÚ </v>
          </cell>
          <cell r="F466" t="str">
            <v xml:space="preserve">RENDIMENTO DE APLICAÇÃO </v>
          </cell>
          <cell r="G466" t="str">
            <v>C</v>
          </cell>
          <cell r="H466">
            <v>0</v>
          </cell>
          <cell r="I466">
            <v>48.81</v>
          </cell>
          <cell r="J466" t="str">
            <v>X</v>
          </cell>
          <cell r="K466">
            <v>1173544.6300000004</v>
          </cell>
          <cell r="L466">
            <v>1173544.6300000004</v>
          </cell>
          <cell r="M466">
            <v>0</v>
          </cell>
        </row>
        <row r="467">
          <cell r="B467" t="str">
            <v>03-019/1</v>
          </cell>
          <cell r="C467" t="str">
            <v>2.02.01.01</v>
          </cell>
          <cell r="D467">
            <v>41338</v>
          </cell>
          <cell r="E467" t="str">
            <v>NAEDSON LUIZ DE SOUZA</v>
          </cell>
          <cell r="F467" t="str">
            <v>SALÁRIO REF 02/2013</v>
          </cell>
          <cell r="G467" t="str">
            <v>D</v>
          </cell>
          <cell r="H467">
            <v>1767</v>
          </cell>
          <cell r="I467">
            <v>0</v>
          </cell>
          <cell r="J467" t="str">
            <v>X</v>
          </cell>
          <cell r="K467">
            <v>1171777.6300000004</v>
          </cell>
          <cell r="L467">
            <v>1171777.6300000004</v>
          </cell>
          <cell r="M467">
            <v>0</v>
          </cell>
        </row>
        <row r="468">
          <cell r="B468" t="str">
            <v>03-019/2</v>
          </cell>
          <cell r="C468" t="str">
            <v>2.02.01.01</v>
          </cell>
          <cell r="D468">
            <v>41338</v>
          </cell>
          <cell r="E468" t="str">
            <v xml:space="preserve">ALOISIO BORIN </v>
          </cell>
          <cell r="F468" t="str">
            <v>SALÁRIO REF 02/2013</v>
          </cell>
          <cell r="G468" t="str">
            <v>D</v>
          </cell>
          <cell r="H468">
            <v>767</v>
          </cell>
          <cell r="I468">
            <v>0</v>
          </cell>
          <cell r="J468" t="str">
            <v>X</v>
          </cell>
          <cell r="K468">
            <v>1171010.6300000004</v>
          </cell>
          <cell r="L468">
            <v>1171010.6300000004</v>
          </cell>
          <cell r="M468">
            <v>0</v>
          </cell>
        </row>
        <row r="469">
          <cell r="B469" t="str">
            <v>03-019/3</v>
          </cell>
          <cell r="C469" t="str">
            <v>2.02.01.01</v>
          </cell>
          <cell r="D469">
            <v>41338</v>
          </cell>
          <cell r="E469" t="str">
            <v>CLEBER C DA SILVA</v>
          </cell>
          <cell r="F469" t="str">
            <v>SALÁRIO REF 02/2013</v>
          </cell>
          <cell r="G469" t="str">
            <v>D</v>
          </cell>
          <cell r="H469">
            <v>1396</v>
          </cell>
          <cell r="I469">
            <v>0</v>
          </cell>
          <cell r="J469" t="str">
            <v>X</v>
          </cell>
          <cell r="K469">
            <v>1169614.6300000004</v>
          </cell>
          <cell r="L469">
            <v>1169614.6300000004</v>
          </cell>
          <cell r="M469">
            <v>0</v>
          </cell>
        </row>
        <row r="470">
          <cell r="B470" t="str">
            <v>03-019/4</v>
          </cell>
          <cell r="C470" t="str">
            <v>2.02.01.01</v>
          </cell>
          <cell r="D470">
            <v>41338</v>
          </cell>
          <cell r="E470" t="str">
            <v>ERICA AP DA SILVA DE MORAES</v>
          </cell>
          <cell r="F470" t="str">
            <v>SALÁRIO REF 02/2013</v>
          </cell>
          <cell r="G470" t="str">
            <v>D</v>
          </cell>
          <cell r="H470">
            <v>717</v>
          </cell>
          <cell r="I470">
            <v>0</v>
          </cell>
          <cell r="J470" t="str">
            <v>X</v>
          </cell>
          <cell r="K470">
            <v>1168897.6300000004</v>
          </cell>
          <cell r="L470">
            <v>1168897.6300000004</v>
          </cell>
          <cell r="M470">
            <v>0</v>
          </cell>
        </row>
        <row r="471">
          <cell r="B471" t="str">
            <v>03-019/5</v>
          </cell>
          <cell r="C471" t="str">
            <v>2.02.01.01</v>
          </cell>
          <cell r="D471">
            <v>41338</v>
          </cell>
          <cell r="E471" t="str">
            <v>ELIZANGELA REGINA P DIAS</v>
          </cell>
          <cell r="F471" t="str">
            <v>SALÁRIO REF 02/2013</v>
          </cell>
          <cell r="G471" t="str">
            <v>D</v>
          </cell>
          <cell r="H471">
            <v>2172</v>
          </cell>
          <cell r="I471">
            <v>0</v>
          </cell>
          <cell r="J471" t="str">
            <v>X</v>
          </cell>
          <cell r="K471">
            <v>1166725.6300000004</v>
          </cell>
          <cell r="L471">
            <v>1166725.6300000004</v>
          </cell>
          <cell r="M471">
            <v>0</v>
          </cell>
        </row>
        <row r="472">
          <cell r="B472" t="str">
            <v>03-019/6</v>
          </cell>
          <cell r="C472" t="str">
            <v>2.02.01.01</v>
          </cell>
          <cell r="D472">
            <v>41338</v>
          </cell>
          <cell r="E472" t="str">
            <v>RODRIGO BUENO</v>
          </cell>
          <cell r="F472" t="str">
            <v>SALÁRIO REF 02/2013</v>
          </cell>
          <cell r="G472" t="str">
            <v>D</v>
          </cell>
          <cell r="H472">
            <v>2220</v>
          </cell>
          <cell r="I472">
            <v>0</v>
          </cell>
          <cell r="J472" t="str">
            <v>X</v>
          </cell>
          <cell r="K472">
            <v>1164505.6300000004</v>
          </cell>
          <cell r="L472">
            <v>1164505.6300000004</v>
          </cell>
          <cell r="M472">
            <v>0</v>
          </cell>
        </row>
        <row r="473">
          <cell r="B473" t="str">
            <v>03-019/7</v>
          </cell>
          <cell r="C473" t="str">
            <v>2.02.01.01</v>
          </cell>
          <cell r="D473">
            <v>41338</v>
          </cell>
          <cell r="E473" t="str">
            <v>MARIANA CASTELLINI</v>
          </cell>
          <cell r="F473" t="str">
            <v>SALÁRIO REF 02/2013</v>
          </cell>
          <cell r="G473" t="str">
            <v>D</v>
          </cell>
          <cell r="H473">
            <v>295</v>
          </cell>
          <cell r="I473">
            <v>0</v>
          </cell>
          <cell r="J473" t="str">
            <v>X</v>
          </cell>
          <cell r="K473">
            <v>1164210.6300000004</v>
          </cell>
          <cell r="L473">
            <v>1164210.6300000004</v>
          </cell>
          <cell r="M473">
            <v>0</v>
          </cell>
        </row>
        <row r="474">
          <cell r="B474" t="str">
            <v>03-019/8</v>
          </cell>
          <cell r="C474" t="str">
            <v>2.02.01.01</v>
          </cell>
          <cell r="D474">
            <v>41338</v>
          </cell>
          <cell r="E474" t="str">
            <v>JANAÍNA SILVA SOUZA</v>
          </cell>
          <cell r="F474" t="str">
            <v>SALÁRIO REF 02/2013</v>
          </cell>
          <cell r="G474" t="str">
            <v>D</v>
          </cell>
          <cell r="H474">
            <v>494</v>
          </cell>
          <cell r="I474">
            <v>0</v>
          </cell>
          <cell r="J474" t="str">
            <v>X</v>
          </cell>
          <cell r="K474">
            <v>1163716.6300000004</v>
          </cell>
          <cell r="L474">
            <v>1163716.6300000004</v>
          </cell>
          <cell r="M474">
            <v>0</v>
          </cell>
        </row>
        <row r="475">
          <cell r="B475" t="str">
            <v>03-019/9</v>
          </cell>
          <cell r="C475" t="str">
            <v>2.02.01.01</v>
          </cell>
          <cell r="D475">
            <v>41338</v>
          </cell>
          <cell r="E475" t="str">
            <v>MARIANA CRISTINA GESSOLI</v>
          </cell>
          <cell r="F475" t="str">
            <v>SALÁRIO REF 02/2013</v>
          </cell>
          <cell r="G475" t="str">
            <v>D</v>
          </cell>
          <cell r="H475">
            <v>494</v>
          </cell>
          <cell r="I475">
            <v>0</v>
          </cell>
          <cell r="J475" t="str">
            <v>X</v>
          </cell>
          <cell r="K475">
            <v>1163222.6300000004</v>
          </cell>
          <cell r="L475">
            <v>1163222.6300000004</v>
          </cell>
          <cell r="M475">
            <v>0</v>
          </cell>
        </row>
        <row r="476">
          <cell r="B476" t="str">
            <v>03-019/10</v>
          </cell>
          <cell r="C476" t="str">
            <v>2.01.01.01</v>
          </cell>
          <cell r="D476">
            <v>41338</v>
          </cell>
          <cell r="E476" t="str">
            <v>JULIO CÉSAR DA S OLIVEIRA</v>
          </cell>
          <cell r="F476" t="str">
            <v>SALÁRIO REF 02/2013</v>
          </cell>
          <cell r="G476" t="str">
            <v>D</v>
          </cell>
          <cell r="H476">
            <v>465</v>
          </cell>
          <cell r="I476">
            <v>0</v>
          </cell>
          <cell r="J476" t="str">
            <v>X</v>
          </cell>
          <cell r="K476">
            <v>1162757.6300000004</v>
          </cell>
          <cell r="L476">
            <v>1162757.6300000004</v>
          </cell>
          <cell r="M476">
            <v>0</v>
          </cell>
        </row>
        <row r="477">
          <cell r="B477" t="str">
            <v>03-019/11</v>
          </cell>
          <cell r="C477" t="str">
            <v>2.01.01.01</v>
          </cell>
          <cell r="D477">
            <v>41338</v>
          </cell>
          <cell r="E477" t="str">
            <v>GILBERTO SILVA ROQUE</v>
          </cell>
          <cell r="F477" t="str">
            <v>SALÁRIO REF 02/2013</v>
          </cell>
          <cell r="G477" t="str">
            <v>D</v>
          </cell>
          <cell r="H477">
            <v>624</v>
          </cell>
          <cell r="I477">
            <v>0</v>
          </cell>
          <cell r="J477" t="str">
            <v>x</v>
          </cell>
          <cell r="K477">
            <v>1162133.6300000004</v>
          </cell>
          <cell r="L477">
            <v>1162133.6300000004</v>
          </cell>
          <cell r="M477">
            <v>0</v>
          </cell>
        </row>
        <row r="478">
          <cell r="B478" t="str">
            <v>03-019/12</v>
          </cell>
          <cell r="C478" t="str">
            <v>2.01.01.01</v>
          </cell>
          <cell r="D478">
            <v>41338</v>
          </cell>
          <cell r="E478" t="str">
            <v>WEVERTON EUGÊNIO PEREIRA</v>
          </cell>
          <cell r="F478" t="str">
            <v>SALÁRIO REF 02/2013</v>
          </cell>
          <cell r="G478" t="str">
            <v>D</v>
          </cell>
          <cell r="H478">
            <v>608</v>
          </cell>
          <cell r="I478">
            <v>0</v>
          </cell>
          <cell r="J478" t="str">
            <v>x</v>
          </cell>
          <cell r="K478">
            <v>1161525.6300000004</v>
          </cell>
          <cell r="L478">
            <v>1161525.6300000004</v>
          </cell>
          <cell r="M478">
            <v>0</v>
          </cell>
        </row>
        <row r="479">
          <cell r="B479" t="str">
            <v>03-019/13</v>
          </cell>
          <cell r="C479" t="str">
            <v>2.01.01.01</v>
          </cell>
          <cell r="D479">
            <v>41338</v>
          </cell>
          <cell r="E479" t="str">
            <v>TIAGO HENRIQUE DE OLIVEIRA</v>
          </cell>
          <cell r="F479" t="str">
            <v>SALÁRIO REF 02/2013</v>
          </cell>
          <cell r="G479" t="str">
            <v>D</v>
          </cell>
          <cell r="H479">
            <v>449</v>
          </cell>
          <cell r="I479">
            <v>0</v>
          </cell>
          <cell r="J479" t="str">
            <v>x</v>
          </cell>
          <cell r="K479">
            <v>1161076.6300000004</v>
          </cell>
          <cell r="L479">
            <v>1161076.6300000004</v>
          </cell>
          <cell r="M479">
            <v>0</v>
          </cell>
        </row>
        <row r="480">
          <cell r="B480" t="str">
            <v>03-019/14</v>
          </cell>
          <cell r="C480" t="str">
            <v>2.01.01.01</v>
          </cell>
          <cell r="D480">
            <v>41338</v>
          </cell>
          <cell r="E480" t="str">
            <v>LUCAS AMARAL</v>
          </cell>
          <cell r="F480" t="str">
            <v>SALÁRIO REF 02/2013</v>
          </cell>
          <cell r="G480" t="str">
            <v>D</v>
          </cell>
          <cell r="H480">
            <v>526</v>
          </cell>
          <cell r="I480">
            <v>0</v>
          </cell>
          <cell r="J480" t="str">
            <v>x</v>
          </cell>
          <cell r="K480">
            <v>1160550.6300000004</v>
          </cell>
          <cell r="L480">
            <v>1160550.6300000004</v>
          </cell>
          <cell r="M480">
            <v>0</v>
          </cell>
        </row>
        <row r="481">
          <cell r="B481" t="str">
            <v>03-019/15</v>
          </cell>
          <cell r="C481" t="str">
            <v>2.01.01.01</v>
          </cell>
          <cell r="D481">
            <v>41338</v>
          </cell>
          <cell r="E481" t="str">
            <v>MÁRCIO OSTIANO DE SOUZA</v>
          </cell>
          <cell r="F481" t="str">
            <v>SALÁRIO REF 02/2013</v>
          </cell>
          <cell r="G481" t="str">
            <v>D</v>
          </cell>
          <cell r="H481">
            <v>465</v>
          </cell>
          <cell r="I481">
            <v>0</v>
          </cell>
          <cell r="J481" t="str">
            <v>x</v>
          </cell>
          <cell r="K481">
            <v>1160085.6300000004</v>
          </cell>
          <cell r="L481">
            <v>1160085.6300000004</v>
          </cell>
          <cell r="M481">
            <v>0</v>
          </cell>
        </row>
        <row r="482">
          <cell r="B482" t="str">
            <v>03-019/16</v>
          </cell>
          <cell r="C482" t="str">
            <v>2.01.01.01</v>
          </cell>
          <cell r="D482">
            <v>41338</v>
          </cell>
          <cell r="E482" t="str">
            <v>ANDRÉ SIMÕES</v>
          </cell>
          <cell r="F482" t="str">
            <v>SALÁRIO REF 02/2013</v>
          </cell>
          <cell r="G482" t="str">
            <v>D</v>
          </cell>
          <cell r="H482">
            <v>459</v>
          </cell>
          <cell r="I482">
            <v>0</v>
          </cell>
          <cell r="J482" t="str">
            <v>X</v>
          </cell>
          <cell r="K482">
            <v>1159626.6300000004</v>
          </cell>
          <cell r="L482">
            <v>1159626.6300000004</v>
          </cell>
          <cell r="M482">
            <v>0</v>
          </cell>
        </row>
        <row r="483">
          <cell r="B483" t="str">
            <v>03-019/17</v>
          </cell>
          <cell r="C483" t="str">
            <v>2.01.01.01</v>
          </cell>
          <cell r="D483">
            <v>41338</v>
          </cell>
          <cell r="E483" t="str">
            <v>EMERSON BEDIN</v>
          </cell>
          <cell r="F483" t="str">
            <v>SALÁRIO REF 02/2013</v>
          </cell>
          <cell r="G483" t="str">
            <v>D</v>
          </cell>
          <cell r="H483">
            <v>866</v>
          </cell>
          <cell r="I483">
            <v>0</v>
          </cell>
          <cell r="J483" t="str">
            <v>X</v>
          </cell>
          <cell r="K483">
            <v>1158760.6300000004</v>
          </cell>
          <cell r="L483">
            <v>1158760.6300000004</v>
          </cell>
          <cell r="M483">
            <v>0</v>
          </cell>
        </row>
        <row r="484">
          <cell r="B484" t="str">
            <v>03-019/18</v>
          </cell>
          <cell r="C484" t="str">
            <v>2.01.01.01</v>
          </cell>
          <cell r="D484">
            <v>41338</v>
          </cell>
          <cell r="E484" t="str">
            <v>THIAGO RIBEIRO</v>
          </cell>
          <cell r="F484" t="str">
            <v>SALÁRIO REF 02/2013</v>
          </cell>
          <cell r="G484" t="str">
            <v>D</v>
          </cell>
          <cell r="H484">
            <v>1126</v>
          </cell>
          <cell r="I484">
            <v>0</v>
          </cell>
          <cell r="J484" t="str">
            <v>X</v>
          </cell>
          <cell r="K484">
            <v>1157634.6300000004</v>
          </cell>
          <cell r="L484">
            <v>1157634.6300000004</v>
          </cell>
          <cell r="M484">
            <v>0</v>
          </cell>
        </row>
        <row r="485">
          <cell r="B485" t="str">
            <v>03-019/19</v>
          </cell>
          <cell r="C485" t="str">
            <v>2.01.01.01</v>
          </cell>
          <cell r="D485">
            <v>41338</v>
          </cell>
          <cell r="E485" t="str">
            <v>ALBERTINO M DA SILVA</v>
          </cell>
          <cell r="F485" t="str">
            <v>SALÁRIO REF 02/2013</v>
          </cell>
          <cell r="G485" t="str">
            <v>D</v>
          </cell>
          <cell r="H485">
            <v>1026</v>
          </cell>
          <cell r="I485">
            <v>0</v>
          </cell>
          <cell r="J485" t="str">
            <v>X</v>
          </cell>
          <cell r="K485">
            <v>1156608.6300000004</v>
          </cell>
          <cell r="L485">
            <v>1156608.6300000004</v>
          </cell>
          <cell r="M485">
            <v>0</v>
          </cell>
        </row>
        <row r="486">
          <cell r="B486" t="str">
            <v>03-019/20</v>
          </cell>
          <cell r="C486" t="str">
            <v>2.01.01.01</v>
          </cell>
          <cell r="D486">
            <v>41338</v>
          </cell>
          <cell r="E486" t="str">
            <v>SANDRO PAGGI DE SOUSA</v>
          </cell>
          <cell r="F486" t="str">
            <v>SALÁRIO REF 02/2013</v>
          </cell>
          <cell r="G486" t="str">
            <v>D</v>
          </cell>
          <cell r="H486">
            <v>832</v>
          </cell>
          <cell r="I486">
            <v>0</v>
          </cell>
          <cell r="J486" t="str">
            <v>X</v>
          </cell>
          <cell r="K486">
            <v>1155776.6300000004</v>
          </cell>
          <cell r="L486">
            <v>1155776.6300000004</v>
          </cell>
          <cell r="M486">
            <v>0</v>
          </cell>
        </row>
        <row r="487">
          <cell r="B487" t="str">
            <v>03-019/21</v>
          </cell>
          <cell r="C487" t="str">
            <v>2.01.01.01</v>
          </cell>
          <cell r="D487">
            <v>41338</v>
          </cell>
          <cell r="E487" t="str">
            <v>ALEXANDRO JESUS DE ARAUJO</v>
          </cell>
          <cell r="F487" t="str">
            <v>SALÁRIO REF 02/2013</v>
          </cell>
          <cell r="G487" t="str">
            <v>D</v>
          </cell>
          <cell r="H487">
            <v>1188</v>
          </cell>
          <cell r="I487">
            <v>0</v>
          </cell>
          <cell r="J487" t="str">
            <v>X</v>
          </cell>
          <cell r="K487">
            <v>1154588.6300000004</v>
          </cell>
          <cell r="L487">
            <v>1154588.6300000004</v>
          </cell>
          <cell r="M487">
            <v>0</v>
          </cell>
        </row>
        <row r="488">
          <cell r="B488" t="str">
            <v>03-019/22</v>
          </cell>
          <cell r="C488" t="str">
            <v>2.01.01.01</v>
          </cell>
          <cell r="D488">
            <v>41338</v>
          </cell>
          <cell r="E488" t="str">
            <v>ALEXANDRE DE C ALVES</v>
          </cell>
          <cell r="F488" t="str">
            <v>SALÁRIO REF 02/2013</v>
          </cell>
          <cell r="G488" t="str">
            <v>D</v>
          </cell>
          <cell r="H488">
            <v>743</v>
          </cell>
          <cell r="I488">
            <v>0</v>
          </cell>
          <cell r="J488" t="str">
            <v>X</v>
          </cell>
          <cell r="K488">
            <v>1153845.6300000004</v>
          </cell>
          <cell r="L488">
            <v>1153845.6300000004</v>
          </cell>
          <cell r="M488">
            <v>0</v>
          </cell>
        </row>
        <row r="489">
          <cell r="B489" t="str">
            <v>03-019/23</v>
          </cell>
          <cell r="C489" t="str">
            <v>2.01.01.01</v>
          </cell>
          <cell r="D489">
            <v>41338</v>
          </cell>
          <cell r="E489" t="str">
            <v>WILSON DE SOUZA</v>
          </cell>
          <cell r="F489" t="str">
            <v>SALÁRIO REF 02/2013</v>
          </cell>
          <cell r="G489" t="str">
            <v>D</v>
          </cell>
          <cell r="H489">
            <v>720</v>
          </cell>
          <cell r="I489">
            <v>0</v>
          </cell>
          <cell r="J489" t="str">
            <v>X</v>
          </cell>
          <cell r="K489">
            <v>1153125.6300000004</v>
          </cell>
          <cell r="L489">
            <v>1153125.6300000004</v>
          </cell>
          <cell r="M489">
            <v>0</v>
          </cell>
        </row>
        <row r="490">
          <cell r="B490" t="str">
            <v>03-019/24</v>
          </cell>
          <cell r="C490" t="str">
            <v>2.02.01.08</v>
          </cell>
          <cell r="D490">
            <v>41338</v>
          </cell>
          <cell r="E490" t="str">
            <v>PAULO ANDRÉ GIL BOSCHIERO</v>
          </cell>
          <cell r="F490" t="str">
            <v>SALÁRIO REF 02/2013</v>
          </cell>
          <cell r="G490" t="str">
            <v>D</v>
          </cell>
          <cell r="H490">
            <v>11592.3</v>
          </cell>
          <cell r="I490">
            <v>0</v>
          </cell>
          <cell r="J490" t="str">
            <v>X</v>
          </cell>
          <cell r="K490">
            <v>1141533.3300000003</v>
          </cell>
          <cell r="L490">
            <v>1141533.3300000003</v>
          </cell>
          <cell r="M490">
            <v>0</v>
          </cell>
        </row>
        <row r="491">
          <cell r="B491" t="str">
            <v>03-019/25</v>
          </cell>
          <cell r="C491" t="str">
            <v>2.02.01.08</v>
          </cell>
          <cell r="D491">
            <v>41338</v>
          </cell>
          <cell r="E491" t="str">
            <v>RICARDO KASSARDJIAN</v>
          </cell>
          <cell r="F491" t="str">
            <v>SALÁRIO REF 02/2013</v>
          </cell>
          <cell r="G491" t="str">
            <v>D</v>
          </cell>
          <cell r="H491">
            <v>14514.47</v>
          </cell>
          <cell r="I491">
            <v>0</v>
          </cell>
          <cell r="J491" t="str">
            <v>X</v>
          </cell>
          <cell r="K491">
            <v>1127018.8600000003</v>
          </cell>
          <cell r="L491">
            <v>1127018.8600000003</v>
          </cell>
          <cell r="M491">
            <v>0</v>
          </cell>
        </row>
        <row r="492">
          <cell r="B492" t="str">
            <v>03-019/26</v>
          </cell>
          <cell r="C492" t="str">
            <v>2.02.01.08</v>
          </cell>
          <cell r="D492">
            <v>41338</v>
          </cell>
          <cell r="E492" t="str">
            <v>PEDRO P BERGAMASCHI</v>
          </cell>
          <cell r="F492" t="str">
            <v>SALÁRIO REF 02/2013</v>
          </cell>
          <cell r="G492" t="str">
            <v>D</v>
          </cell>
          <cell r="H492">
            <v>4832.3500000000004</v>
          </cell>
          <cell r="I492">
            <v>0</v>
          </cell>
          <cell r="J492" t="str">
            <v>X</v>
          </cell>
          <cell r="K492">
            <v>1122186.5100000002</v>
          </cell>
          <cell r="L492">
            <v>1122186.5100000002</v>
          </cell>
          <cell r="M492">
            <v>0</v>
          </cell>
        </row>
        <row r="493">
          <cell r="B493" t="str">
            <v>03-019/27</v>
          </cell>
          <cell r="C493" t="str">
            <v>2.02.01.08</v>
          </cell>
          <cell r="D493">
            <v>41338</v>
          </cell>
          <cell r="E493" t="str">
            <v>JOÃO MAURO BOSCHIERO</v>
          </cell>
          <cell r="F493" t="str">
            <v>SALÁRIO REF 02/2013</v>
          </cell>
          <cell r="G493" t="str">
            <v>D</v>
          </cell>
          <cell r="H493">
            <v>3487.76</v>
          </cell>
          <cell r="I493">
            <v>0</v>
          </cell>
          <cell r="J493" t="str">
            <v>X</v>
          </cell>
          <cell r="K493">
            <v>1118698.7500000002</v>
          </cell>
          <cell r="L493">
            <v>1118698.7500000002</v>
          </cell>
          <cell r="M493">
            <v>0</v>
          </cell>
        </row>
        <row r="494">
          <cell r="B494" t="str">
            <v>RE03-004</v>
          </cell>
          <cell r="C494" t="str">
            <v>1.01.01.01</v>
          </cell>
          <cell r="D494">
            <v>41338</v>
          </cell>
          <cell r="E494" t="str">
            <v xml:space="preserve">BANCO ITAÚ </v>
          </cell>
          <cell r="F494" t="str">
            <v>DEVOLUÇÃO DOC 204556 MOT 57</v>
          </cell>
          <cell r="G494" t="str">
            <v>C</v>
          </cell>
          <cell r="H494">
            <v>0</v>
          </cell>
          <cell r="I494">
            <v>415.5</v>
          </cell>
          <cell r="J494" t="str">
            <v>X</v>
          </cell>
          <cell r="K494">
            <v>1119114.2500000002</v>
          </cell>
          <cell r="L494">
            <v>1119114.2500000002</v>
          </cell>
          <cell r="M494">
            <v>0</v>
          </cell>
        </row>
        <row r="495">
          <cell r="B495" t="str">
            <v>RE03-005</v>
          </cell>
          <cell r="C495" t="str">
            <v>1.01.04.01</v>
          </cell>
          <cell r="D495">
            <v>41339</v>
          </cell>
          <cell r="E495" t="str">
            <v xml:space="preserve">BANCO ITAÚ </v>
          </cell>
          <cell r="F495" t="str">
            <v xml:space="preserve">RENDIMENTO DE APLICAÇÃO </v>
          </cell>
          <cell r="G495" t="str">
            <v>C</v>
          </cell>
          <cell r="H495">
            <v>0</v>
          </cell>
          <cell r="I495">
            <v>3.52</v>
          </cell>
          <cell r="J495" t="str">
            <v>X</v>
          </cell>
          <cell r="K495">
            <v>1119117.7700000003</v>
          </cell>
          <cell r="L495">
            <v>1119117.7700000003</v>
          </cell>
          <cell r="M495">
            <v>0</v>
          </cell>
        </row>
        <row r="496">
          <cell r="B496" t="str">
            <v>03-020</v>
          </cell>
          <cell r="C496" t="str">
            <v>2.01.01.09</v>
          </cell>
          <cell r="D496">
            <v>41339</v>
          </cell>
          <cell r="E496" t="str">
            <v>FGTS SANESALTO</v>
          </cell>
          <cell r="F496" t="str">
            <v>FUNDO DE GARANTIA POR TEMPO DE SERVIÇO REF 02/2013</v>
          </cell>
          <cell r="G496" t="str">
            <v>D</v>
          </cell>
          <cell r="H496">
            <v>3361.84</v>
          </cell>
          <cell r="I496">
            <v>0</v>
          </cell>
          <cell r="J496" t="str">
            <v>X</v>
          </cell>
          <cell r="K496">
            <v>1115755.9300000002</v>
          </cell>
          <cell r="L496">
            <v>1115755.9300000002</v>
          </cell>
          <cell r="M496">
            <v>0</v>
          </cell>
        </row>
        <row r="497">
          <cell r="B497" t="str">
            <v>002-122</v>
          </cell>
          <cell r="C497" t="str">
            <v>2.02.03.01</v>
          </cell>
          <cell r="D497">
            <v>41339</v>
          </cell>
          <cell r="E497" t="str">
            <v xml:space="preserve">SPAZIO VERDE </v>
          </cell>
          <cell r="F497" t="str">
            <v>REFORMA DO JARDIM SANESALTO</v>
          </cell>
          <cell r="G497" t="str">
            <v>D</v>
          </cell>
          <cell r="H497">
            <v>415.5</v>
          </cell>
          <cell r="I497">
            <v>0</v>
          </cell>
          <cell r="J497" t="str">
            <v>X</v>
          </cell>
          <cell r="K497">
            <v>1115340.4300000002</v>
          </cell>
          <cell r="L497">
            <v>1115340.4300000002</v>
          </cell>
          <cell r="M497">
            <v>54</v>
          </cell>
        </row>
        <row r="498">
          <cell r="B498" t="str">
            <v>RE03-006</v>
          </cell>
          <cell r="C498" t="str">
            <v>1.01.01.01</v>
          </cell>
          <cell r="D498">
            <v>41339</v>
          </cell>
          <cell r="E498" t="str">
            <v xml:space="preserve">BANCO ITAÚ </v>
          </cell>
          <cell r="F498" t="str">
            <v>DEVOLUÇÃO DOC 204556 MOT 57 06/03</v>
          </cell>
          <cell r="G498" t="str">
            <v>C</v>
          </cell>
          <cell r="H498">
            <v>0</v>
          </cell>
          <cell r="I498">
            <v>415.5</v>
          </cell>
          <cell r="J498" t="str">
            <v>X</v>
          </cell>
          <cell r="K498">
            <v>1115755.9300000002</v>
          </cell>
          <cell r="L498">
            <v>1115755.9300000002</v>
          </cell>
          <cell r="M498">
            <v>0</v>
          </cell>
        </row>
        <row r="499">
          <cell r="B499" t="str">
            <v>RE03-007</v>
          </cell>
          <cell r="C499" t="str">
            <v>1.01.01.02</v>
          </cell>
          <cell r="D499">
            <v>41340</v>
          </cell>
          <cell r="E499" t="str">
            <v>SANETRAT SANEAMENTO S/A</v>
          </cell>
          <cell r="F499" t="str">
            <v>TRATAMENTO DE ESGOTO REF 12/12</v>
          </cell>
          <cell r="G499" t="str">
            <v>C</v>
          </cell>
          <cell r="H499">
            <v>0</v>
          </cell>
          <cell r="I499">
            <v>8983.91</v>
          </cell>
          <cell r="J499" t="str">
            <v>X</v>
          </cell>
          <cell r="K499">
            <v>1124739.8400000001</v>
          </cell>
          <cell r="L499">
            <v>1124739.8400000001</v>
          </cell>
          <cell r="M499">
            <v>0</v>
          </cell>
        </row>
        <row r="500">
          <cell r="B500" t="str">
            <v>03-037</v>
          </cell>
          <cell r="C500" t="str">
            <v>2.02.02.04</v>
          </cell>
          <cell r="D500">
            <v>41340</v>
          </cell>
          <cell r="E500" t="str">
            <v>TELEFONICA TELECOMUNICAÇÕES DE SÃO PAULO S.A/ VIVO</v>
          </cell>
          <cell r="F500" t="str">
            <v>CONTA DE TELEFONE 4029-3700 REF 02/2013</v>
          </cell>
          <cell r="G500" t="str">
            <v>D</v>
          </cell>
          <cell r="H500">
            <v>224.34</v>
          </cell>
          <cell r="I500">
            <v>0</v>
          </cell>
          <cell r="J500" t="str">
            <v>X</v>
          </cell>
          <cell r="K500">
            <v>1124515.5</v>
          </cell>
          <cell r="L500">
            <v>1124515.5</v>
          </cell>
          <cell r="M500">
            <v>0</v>
          </cell>
        </row>
        <row r="501">
          <cell r="B501" t="str">
            <v>03-038</v>
          </cell>
          <cell r="C501" t="str">
            <v>2.02.02.04</v>
          </cell>
          <cell r="D501">
            <v>41340</v>
          </cell>
          <cell r="E501" t="str">
            <v>TELEFONICA TELECOMUNICAÇÕES DE SÃO PAULO S.A/ VIVO</v>
          </cell>
          <cell r="F501" t="str">
            <v>CONTA DE TELEFONE 4029-3932 REF 02/2013</v>
          </cell>
          <cell r="G501" t="str">
            <v>D</v>
          </cell>
          <cell r="H501">
            <v>11.16</v>
          </cell>
          <cell r="I501">
            <v>0</v>
          </cell>
          <cell r="J501" t="str">
            <v>X</v>
          </cell>
          <cell r="K501">
            <v>1124504.3400000001</v>
          </cell>
          <cell r="L501">
            <v>1124504.3400000001</v>
          </cell>
          <cell r="M501">
            <v>0</v>
          </cell>
        </row>
        <row r="502">
          <cell r="B502" t="str">
            <v>03-039</v>
          </cell>
          <cell r="C502" t="str">
            <v>2.02.02.04</v>
          </cell>
          <cell r="D502">
            <v>41340</v>
          </cell>
          <cell r="E502" t="str">
            <v>TELEFONICA TELECOMUNICAÇÕES DE SÃO PAULO S.A/ VIVO</v>
          </cell>
          <cell r="F502" t="str">
            <v>CONTA DE TELEFONE 4029-2688 REF 02/2013</v>
          </cell>
          <cell r="G502" t="str">
            <v>D</v>
          </cell>
          <cell r="H502">
            <v>11.16</v>
          </cell>
          <cell r="I502">
            <v>0</v>
          </cell>
          <cell r="J502" t="str">
            <v>X</v>
          </cell>
          <cell r="K502">
            <v>1124493.1800000002</v>
          </cell>
          <cell r="L502">
            <v>1124493.1800000002</v>
          </cell>
          <cell r="M502">
            <v>0</v>
          </cell>
        </row>
        <row r="503">
          <cell r="B503" t="str">
            <v>03-040</v>
          </cell>
          <cell r="C503" t="str">
            <v>2.02.02.04</v>
          </cell>
          <cell r="D503">
            <v>41340</v>
          </cell>
          <cell r="E503" t="str">
            <v>TELEFONICA TELECOMUNICAÇÕES DE SÃO PAULO S.A/ VIVO</v>
          </cell>
          <cell r="F503" t="str">
            <v>CONTA DE TELEFONE 4021-5766 REF 02/2013</v>
          </cell>
          <cell r="G503" t="str">
            <v>D</v>
          </cell>
          <cell r="H503">
            <v>953.1</v>
          </cell>
          <cell r="I503">
            <v>0</v>
          </cell>
          <cell r="J503" t="str">
            <v>X</v>
          </cell>
          <cell r="K503">
            <v>1123540.08</v>
          </cell>
          <cell r="L503">
            <v>1123540.08</v>
          </cell>
          <cell r="M503">
            <v>0</v>
          </cell>
        </row>
        <row r="504">
          <cell r="B504" t="str">
            <v>RE03-008</v>
          </cell>
          <cell r="C504" t="str">
            <v>1.01.04.01</v>
          </cell>
          <cell r="D504">
            <v>41341</v>
          </cell>
          <cell r="E504" t="str">
            <v xml:space="preserve">BANCO ITAÚ </v>
          </cell>
          <cell r="F504" t="str">
            <v xml:space="preserve">RENDIMENTO DE APLICAÇÃO </v>
          </cell>
          <cell r="G504" t="str">
            <v>C</v>
          </cell>
          <cell r="H504">
            <v>0</v>
          </cell>
          <cell r="I504">
            <v>24.9</v>
          </cell>
          <cell r="J504" t="str">
            <v>X</v>
          </cell>
          <cell r="K504">
            <v>1123564.98</v>
          </cell>
          <cell r="L504">
            <v>1123564.98</v>
          </cell>
          <cell r="M504">
            <v>0</v>
          </cell>
        </row>
        <row r="505">
          <cell r="B505" t="str">
            <v>03-041</v>
          </cell>
          <cell r="C505" t="str">
            <v>2.09.01.01</v>
          </cell>
          <cell r="D505">
            <v>41341</v>
          </cell>
          <cell r="E505" t="str">
            <v>SANESALTO SANEAMENTO S.A</v>
          </cell>
          <cell r="F505" t="str">
            <v>PAGAMENTO DE CHEQUE ( CAIXA INTERNO) 102809</v>
          </cell>
          <cell r="G505" t="str">
            <v>D</v>
          </cell>
          <cell r="H505">
            <v>3500</v>
          </cell>
          <cell r="I505">
            <v>0</v>
          </cell>
          <cell r="J505" t="str">
            <v>X</v>
          </cell>
          <cell r="K505">
            <v>1120064.98</v>
          </cell>
          <cell r="L505">
            <v>1120064.98</v>
          </cell>
          <cell r="M505">
            <v>0</v>
          </cell>
        </row>
        <row r="506">
          <cell r="B506" t="str">
            <v>002-060</v>
          </cell>
          <cell r="C506" t="str">
            <v>2.01.03.17</v>
          </cell>
          <cell r="D506">
            <v>41341</v>
          </cell>
          <cell r="E506" t="str">
            <v>REGISPEL IND E COM DE BOBINAS S/A</v>
          </cell>
          <cell r="F506" t="str">
            <v>COMPRA DE BOBINA BOLETO SANESALTO</v>
          </cell>
          <cell r="G506" t="str">
            <v>D</v>
          </cell>
          <cell r="H506">
            <v>9873.92</v>
          </cell>
          <cell r="I506">
            <v>0</v>
          </cell>
          <cell r="J506" t="str">
            <v>X</v>
          </cell>
          <cell r="K506">
            <v>1110191.06</v>
          </cell>
          <cell r="L506">
            <v>1110191.06</v>
          </cell>
          <cell r="M506">
            <v>60926</v>
          </cell>
        </row>
        <row r="507">
          <cell r="B507" t="str">
            <v>03-007</v>
          </cell>
          <cell r="C507" t="str">
            <v>2.02.01.04</v>
          </cell>
          <cell r="D507">
            <v>41341</v>
          </cell>
          <cell r="E507" t="str">
            <v>UNIMED DE SALTO ITU COOP TRAB MÉDICO</v>
          </cell>
          <cell r="F507" t="str">
            <v>CONVÊNIO DOS FUNIONÁRIOS 03/2013</v>
          </cell>
          <cell r="G507" t="str">
            <v>D</v>
          </cell>
          <cell r="H507">
            <v>5251.09</v>
          </cell>
          <cell r="I507">
            <v>0</v>
          </cell>
          <cell r="J507" t="str">
            <v>X</v>
          </cell>
          <cell r="K507">
            <v>1104939.97</v>
          </cell>
          <cell r="L507">
            <v>1104939.97</v>
          </cell>
          <cell r="M507" t="str">
            <v>30000680/13</v>
          </cell>
        </row>
        <row r="508">
          <cell r="B508" t="str">
            <v>001-120/2</v>
          </cell>
          <cell r="C508" t="str">
            <v>2.07.01.04</v>
          </cell>
          <cell r="D508">
            <v>41341</v>
          </cell>
          <cell r="E508" t="str">
            <v>DIGITROL SERVICE</v>
          </cell>
          <cell r="F508" t="str">
            <v>COMPRA DE MEDIDOR DE VAZÃO ETE</v>
          </cell>
          <cell r="G508" t="str">
            <v>D</v>
          </cell>
          <cell r="H508">
            <v>2365</v>
          </cell>
          <cell r="I508">
            <v>0</v>
          </cell>
          <cell r="J508" t="str">
            <v>X</v>
          </cell>
          <cell r="K508">
            <v>1102574.97</v>
          </cell>
          <cell r="L508">
            <v>1102574.97</v>
          </cell>
          <cell r="M508">
            <v>2547</v>
          </cell>
        </row>
        <row r="509">
          <cell r="B509" t="str">
            <v>002-124</v>
          </cell>
          <cell r="C509" t="str">
            <v>2.01.05.08</v>
          </cell>
          <cell r="D509">
            <v>41341</v>
          </cell>
          <cell r="E509" t="str">
            <v>GRACIANO FERREIRA S/C Ltda. ME</v>
          </cell>
          <cell r="F509" t="str">
            <v xml:space="preserve">PRESTAÇÃO DE SERVIÇO DE GUINDASTE </v>
          </cell>
          <cell r="G509" t="str">
            <v>D</v>
          </cell>
          <cell r="H509">
            <v>1600</v>
          </cell>
          <cell r="I509">
            <v>0</v>
          </cell>
          <cell r="J509" t="str">
            <v>X</v>
          </cell>
          <cell r="K509">
            <v>1100974.97</v>
          </cell>
          <cell r="L509">
            <v>1100974.97</v>
          </cell>
          <cell r="M509">
            <v>223</v>
          </cell>
        </row>
        <row r="510">
          <cell r="B510" t="str">
            <v>002-098</v>
          </cell>
          <cell r="C510" t="str">
            <v>2.07.01.04</v>
          </cell>
          <cell r="D510">
            <v>41341</v>
          </cell>
          <cell r="E510" t="str">
            <v>DIGITROL SERVICE</v>
          </cell>
          <cell r="F510" t="str">
            <v>COMPRA DE SENSOR DE NÍVEL</v>
          </cell>
          <cell r="G510" t="str">
            <v>D</v>
          </cell>
          <cell r="H510">
            <v>1348.3</v>
          </cell>
          <cell r="I510">
            <v>0</v>
          </cell>
          <cell r="J510" t="str">
            <v>X</v>
          </cell>
          <cell r="K510">
            <v>1099626.67</v>
          </cell>
          <cell r="L510">
            <v>1099626.67</v>
          </cell>
          <cell r="M510">
            <v>18618</v>
          </cell>
        </row>
        <row r="511">
          <cell r="B511" t="str">
            <v>03-034</v>
          </cell>
          <cell r="C511" t="str">
            <v>2.02.02.04</v>
          </cell>
          <cell r="D511">
            <v>41341</v>
          </cell>
          <cell r="E511" t="str">
            <v>VIVO S/A</v>
          </cell>
          <cell r="F511" t="str">
            <v xml:space="preserve">VIVO INTERNET 500MP </v>
          </cell>
          <cell r="G511" t="str">
            <v>D</v>
          </cell>
          <cell r="H511">
            <v>576.5</v>
          </cell>
          <cell r="I511">
            <v>0</v>
          </cell>
          <cell r="J511" t="str">
            <v>X</v>
          </cell>
          <cell r="K511">
            <v>1099050.17</v>
          </cell>
          <cell r="L511">
            <v>1099050.17</v>
          </cell>
          <cell r="M511">
            <v>20637794731</v>
          </cell>
        </row>
        <row r="512">
          <cell r="B512" t="str">
            <v>002-122</v>
          </cell>
          <cell r="C512" t="str">
            <v>2.02.03.01</v>
          </cell>
          <cell r="D512">
            <v>41341</v>
          </cell>
          <cell r="E512" t="str">
            <v xml:space="preserve">SPAZIO VERDE </v>
          </cell>
          <cell r="F512" t="str">
            <v>REFORMA DO JARDIM SANESALTO</v>
          </cell>
          <cell r="G512" t="str">
            <v>D</v>
          </cell>
          <cell r="H512">
            <v>415.5</v>
          </cell>
          <cell r="I512">
            <v>0</v>
          </cell>
          <cell r="J512" t="str">
            <v>X</v>
          </cell>
          <cell r="K512">
            <v>1098634.67</v>
          </cell>
          <cell r="L512">
            <v>1098634.67</v>
          </cell>
          <cell r="M512">
            <v>54</v>
          </cell>
        </row>
        <row r="513">
          <cell r="B513" t="str">
            <v>002-133</v>
          </cell>
          <cell r="C513" t="str">
            <v>2.01.05.02</v>
          </cell>
          <cell r="D513">
            <v>41341</v>
          </cell>
          <cell r="E513" t="str">
            <v>CARLOS ALBERTO PROGIANTI ME</v>
          </cell>
          <cell r="F513" t="str">
            <v>ASSISTÊNCIA TÉCNICA SISTEMA DE SEGURANÇA</v>
          </cell>
          <cell r="G513" t="str">
            <v>D</v>
          </cell>
          <cell r="H513">
            <v>80.39</v>
          </cell>
          <cell r="I513">
            <v>0</v>
          </cell>
          <cell r="J513" t="str">
            <v>X</v>
          </cell>
          <cell r="K513">
            <v>1098554.28</v>
          </cell>
          <cell r="L513">
            <v>1098554.28</v>
          </cell>
          <cell r="M513">
            <v>7949</v>
          </cell>
        </row>
        <row r="514">
          <cell r="B514" t="str">
            <v>002-041</v>
          </cell>
          <cell r="C514" t="str">
            <v>2.02.02.10</v>
          </cell>
          <cell r="D514">
            <v>41341</v>
          </cell>
          <cell r="E514" t="str">
            <v>SANESALTO SANEAMENTO S.A</v>
          </cell>
          <cell r="F514" t="str">
            <v>CONTA DE AGUA ESCRITÓRIO REF 02/2013</v>
          </cell>
          <cell r="G514" t="str">
            <v>D</v>
          </cell>
          <cell r="H514">
            <v>48.62</v>
          </cell>
          <cell r="I514">
            <v>0</v>
          </cell>
          <cell r="J514" t="str">
            <v>X</v>
          </cell>
          <cell r="K514">
            <v>1098505.6599999999</v>
          </cell>
          <cell r="L514">
            <v>1098505.6599999999</v>
          </cell>
          <cell r="M514">
            <v>0</v>
          </cell>
        </row>
        <row r="515">
          <cell r="B515" t="str">
            <v>03-032</v>
          </cell>
          <cell r="C515" t="str">
            <v>2.01.03.17</v>
          </cell>
          <cell r="D515">
            <v>41341</v>
          </cell>
          <cell r="E515" t="str">
            <v>SANESALTO SANEAMENTO S.A</v>
          </cell>
          <cell r="F515" t="str">
            <v>CONTA DE ÁGUA ELEV FINAL REF 02/2013</v>
          </cell>
          <cell r="G515" t="str">
            <v>D</v>
          </cell>
          <cell r="H515">
            <v>34.72</v>
          </cell>
          <cell r="I515">
            <v>0</v>
          </cell>
          <cell r="J515" t="str">
            <v>X</v>
          </cell>
          <cell r="K515">
            <v>1098470.94</v>
          </cell>
          <cell r="L515">
            <v>1098470.94</v>
          </cell>
          <cell r="M515">
            <v>0</v>
          </cell>
        </row>
        <row r="516">
          <cell r="B516" t="str">
            <v>03-031</v>
          </cell>
          <cell r="C516" t="str">
            <v>2.01.03.17</v>
          </cell>
          <cell r="D516">
            <v>41341</v>
          </cell>
          <cell r="E516" t="str">
            <v>SANESALTO SANEAMENTO S.A</v>
          </cell>
          <cell r="F516" t="str">
            <v>CONTA DE ÁGUA ELEV GUARAÚ 02 REF 02/2013</v>
          </cell>
          <cell r="G516" t="str">
            <v>D</v>
          </cell>
          <cell r="H516">
            <v>33.69</v>
          </cell>
          <cell r="I516">
            <v>0</v>
          </cell>
          <cell r="J516" t="str">
            <v>X</v>
          </cell>
          <cell r="K516">
            <v>1098437.25</v>
          </cell>
          <cell r="L516">
            <v>1098437.25</v>
          </cell>
          <cell r="M516">
            <v>0</v>
          </cell>
        </row>
        <row r="517">
          <cell r="B517" t="str">
            <v>03-033</v>
          </cell>
          <cell r="C517" t="str">
            <v>2.01.03.17</v>
          </cell>
          <cell r="D517">
            <v>41341</v>
          </cell>
          <cell r="E517" t="str">
            <v>SANESALTO SANEAMENTO S.A</v>
          </cell>
          <cell r="F517" t="str">
            <v>CONTA DE ÁGUA ELEV 03 REF 02/2013</v>
          </cell>
          <cell r="G517" t="str">
            <v>D</v>
          </cell>
          <cell r="H517">
            <v>24.87</v>
          </cell>
          <cell r="I517">
            <v>0</v>
          </cell>
          <cell r="J517" t="str">
            <v>X</v>
          </cell>
          <cell r="K517">
            <v>1098412.3799999999</v>
          </cell>
          <cell r="L517">
            <v>1098412.3799999999</v>
          </cell>
          <cell r="M517">
            <v>0</v>
          </cell>
        </row>
        <row r="518">
          <cell r="B518" t="str">
            <v>03-028</v>
          </cell>
          <cell r="C518" t="str">
            <v>2.01.03.17</v>
          </cell>
          <cell r="D518">
            <v>41341</v>
          </cell>
          <cell r="E518" t="str">
            <v>SANESALTO SANEAMENTO S.A</v>
          </cell>
          <cell r="F518" t="str">
            <v>CONTA DE ÁGUA ELEV BURU 02 REF 02/2013</v>
          </cell>
          <cell r="G518" t="str">
            <v>D</v>
          </cell>
          <cell r="H518">
            <v>17.93</v>
          </cell>
          <cell r="I518">
            <v>0</v>
          </cell>
          <cell r="J518" t="str">
            <v>X</v>
          </cell>
          <cell r="K518">
            <v>1098394.45</v>
          </cell>
          <cell r="L518">
            <v>1098394.45</v>
          </cell>
          <cell r="M518">
            <v>0</v>
          </cell>
        </row>
        <row r="519">
          <cell r="B519" t="str">
            <v>03-029</v>
          </cell>
          <cell r="C519" t="str">
            <v>2.01.03.17</v>
          </cell>
          <cell r="D519">
            <v>41341</v>
          </cell>
          <cell r="E519" t="str">
            <v>SANESALTO SANEAMENTO S.A</v>
          </cell>
          <cell r="F519" t="str">
            <v>CONTA DE ÁGUA ELEV BURU 01 REF 02/2013</v>
          </cell>
          <cell r="G519" t="str">
            <v>D</v>
          </cell>
          <cell r="H519">
            <v>17.93</v>
          </cell>
          <cell r="I519">
            <v>0</v>
          </cell>
          <cell r="J519" t="str">
            <v>X</v>
          </cell>
          <cell r="K519">
            <v>1098376.52</v>
          </cell>
          <cell r="L519">
            <v>1098376.52</v>
          </cell>
          <cell r="M519">
            <v>0</v>
          </cell>
        </row>
        <row r="520">
          <cell r="B520" t="str">
            <v>03-030</v>
          </cell>
          <cell r="C520" t="str">
            <v>2.01.03.17</v>
          </cell>
          <cell r="D520">
            <v>41341</v>
          </cell>
          <cell r="E520" t="str">
            <v>SANESALTO SANEAMENTO S.A</v>
          </cell>
          <cell r="F520" t="str">
            <v>CONTA DE ÁGUA ELEV GUARAÚ 01 REF 02/2013</v>
          </cell>
          <cell r="G520" t="str">
            <v>D</v>
          </cell>
          <cell r="H520">
            <v>33.69</v>
          </cell>
          <cell r="I520">
            <v>0</v>
          </cell>
          <cell r="J520" t="str">
            <v>X</v>
          </cell>
          <cell r="K520">
            <v>1098342.83</v>
          </cell>
          <cell r="L520">
            <v>1098342.83</v>
          </cell>
          <cell r="M520">
            <v>0</v>
          </cell>
        </row>
        <row r="521">
          <cell r="B521" t="str">
            <v>RE03-009</v>
          </cell>
          <cell r="C521" t="str">
            <v>1.01.01.01</v>
          </cell>
          <cell r="D521">
            <v>41344</v>
          </cell>
          <cell r="E521" t="str">
            <v>SANESALTO SANEAMENTO S/A</v>
          </cell>
          <cell r="F521" t="str">
            <v>MEDIÇÃO DE 01 A 08/03/2013</v>
          </cell>
          <cell r="G521" t="str">
            <v>C</v>
          </cell>
          <cell r="H521">
            <v>0</v>
          </cell>
          <cell r="I521">
            <v>343632.88</v>
          </cell>
          <cell r="J521" t="str">
            <v>X</v>
          </cell>
          <cell r="K521">
            <v>1441975.71</v>
          </cell>
          <cell r="L521">
            <v>1441975.71</v>
          </cell>
          <cell r="M521">
            <v>0</v>
          </cell>
        </row>
        <row r="522">
          <cell r="B522" t="str">
            <v>03-045</v>
          </cell>
          <cell r="C522" t="str">
            <v>2.01.01.01</v>
          </cell>
          <cell r="D522">
            <v>41344</v>
          </cell>
          <cell r="E522" t="str">
            <v>TIAGO HENRIQUE DE OLIVEIRA</v>
          </cell>
          <cell r="F522" t="str">
            <v>RESCISÃO TRABALHISTA</v>
          </cell>
          <cell r="G522" t="str">
            <v>D</v>
          </cell>
          <cell r="H522">
            <v>3637.87</v>
          </cell>
          <cell r="I522">
            <v>0</v>
          </cell>
          <cell r="J522" t="str">
            <v>X</v>
          </cell>
          <cell r="K522">
            <v>1438337.8399999999</v>
          </cell>
          <cell r="L522">
            <v>1438337.8399999999</v>
          </cell>
          <cell r="M522">
            <v>0</v>
          </cell>
        </row>
        <row r="523">
          <cell r="B523" t="str">
            <v>002-083</v>
          </cell>
          <cell r="C523" t="str">
            <v>2.01.05.10</v>
          </cell>
          <cell r="D523">
            <v>41344</v>
          </cell>
          <cell r="E523" t="str">
            <v>CORPUS SANEAMENTO E OBRAS LTDA</v>
          </cell>
          <cell r="F523" t="str">
            <v xml:space="preserve">COLETA, TRANSPORTES E DESTINAÇÃO FINAL DE RESÍDUOS INDUSTRIAIS </v>
          </cell>
          <cell r="G523" t="str">
            <v>D</v>
          </cell>
          <cell r="H523">
            <v>15380.01</v>
          </cell>
          <cell r="I523">
            <v>0</v>
          </cell>
          <cell r="J523" t="str">
            <v>X</v>
          </cell>
          <cell r="K523">
            <v>1422957.8299999998</v>
          </cell>
          <cell r="L523">
            <v>1422957.8299999998</v>
          </cell>
          <cell r="M523">
            <v>10079</v>
          </cell>
        </row>
        <row r="524">
          <cell r="B524" t="str">
            <v>002-087</v>
          </cell>
          <cell r="C524" t="str">
            <v>2.01.03.14</v>
          </cell>
          <cell r="D524">
            <v>41344</v>
          </cell>
          <cell r="E524" t="str">
            <v>FIORAMAQ MOTORES E MANGUEIRAS</v>
          </cell>
          <cell r="F524" t="str">
            <v>COMPRA DE MATERIAIS PARA ETE</v>
          </cell>
          <cell r="G524" t="str">
            <v>D</v>
          </cell>
          <cell r="H524">
            <v>70.52</v>
          </cell>
          <cell r="I524">
            <v>0</v>
          </cell>
          <cell r="J524" t="str">
            <v>X</v>
          </cell>
          <cell r="K524">
            <v>1422887.3099999998</v>
          </cell>
          <cell r="L524">
            <v>1422887.3099999998</v>
          </cell>
          <cell r="M524">
            <v>8372</v>
          </cell>
        </row>
        <row r="525">
          <cell r="B525" t="str">
            <v>03-014</v>
          </cell>
          <cell r="C525" t="str">
            <v>2.02.03.24</v>
          </cell>
          <cell r="D525">
            <v>41344</v>
          </cell>
          <cell r="E525" t="str">
            <v xml:space="preserve">FASOLIM COACHING &amp; TRAINING S/S LTDA </v>
          </cell>
          <cell r="F525" t="str">
            <v xml:space="preserve">DESPESAS DE AUDITOR </v>
          </cell>
          <cell r="G525" t="str">
            <v>D</v>
          </cell>
          <cell r="H525">
            <v>170</v>
          </cell>
          <cell r="I525">
            <v>0</v>
          </cell>
          <cell r="J525" t="str">
            <v>X</v>
          </cell>
          <cell r="K525">
            <v>1422717.3099999998</v>
          </cell>
          <cell r="L525">
            <v>1422717.3099999998</v>
          </cell>
          <cell r="M525">
            <v>0</v>
          </cell>
        </row>
        <row r="526">
          <cell r="B526" t="str">
            <v>002-070</v>
          </cell>
          <cell r="C526" t="str">
            <v>2.01.03.12</v>
          </cell>
          <cell r="D526">
            <v>41344</v>
          </cell>
          <cell r="E526" t="str">
            <v>COMERCIAL DE PARAFUSOS SALTENSE LTDA EPP</v>
          </cell>
          <cell r="F526" t="str">
            <v>COMPRA DE MATERIAIS DIVERSOS</v>
          </cell>
          <cell r="G526" t="str">
            <v>D</v>
          </cell>
          <cell r="H526">
            <v>176.39</v>
          </cell>
          <cell r="I526">
            <v>0</v>
          </cell>
          <cell r="J526" t="str">
            <v>X</v>
          </cell>
          <cell r="K526">
            <v>1422540.92</v>
          </cell>
          <cell r="L526">
            <v>1422540.92</v>
          </cell>
          <cell r="M526">
            <v>34541</v>
          </cell>
        </row>
        <row r="527">
          <cell r="B527" t="str">
            <v>12-057/4</v>
          </cell>
          <cell r="C527" t="str">
            <v>2.02.03.22</v>
          </cell>
          <cell r="D527">
            <v>41344</v>
          </cell>
          <cell r="E527" t="str">
            <v xml:space="preserve">ITAÚ SEGUROS </v>
          </cell>
          <cell r="F527" t="str">
            <v xml:space="preserve">SEGURO LOGAN </v>
          </cell>
          <cell r="G527" t="str">
            <v>D</v>
          </cell>
          <cell r="H527">
            <v>348.08</v>
          </cell>
          <cell r="I527">
            <v>0</v>
          </cell>
          <cell r="J527" t="str">
            <v>X</v>
          </cell>
          <cell r="K527">
            <v>1422192.8399999999</v>
          </cell>
          <cell r="L527">
            <v>1422192.8399999999</v>
          </cell>
          <cell r="M527">
            <v>0</v>
          </cell>
        </row>
        <row r="528">
          <cell r="B528" t="str">
            <v>002-012</v>
          </cell>
          <cell r="C528" t="str">
            <v>2.07.01.04</v>
          </cell>
          <cell r="D528">
            <v>41344</v>
          </cell>
          <cell r="E528" t="str">
            <v>DIGITROL SERVICE</v>
          </cell>
          <cell r="F528" t="str">
            <v>COMPRA DE BOBINA</v>
          </cell>
          <cell r="G528" t="str">
            <v>D</v>
          </cell>
          <cell r="H528">
            <v>804</v>
          </cell>
          <cell r="I528">
            <v>0</v>
          </cell>
          <cell r="J528" t="str">
            <v>X</v>
          </cell>
          <cell r="K528">
            <v>1421388.8399999999</v>
          </cell>
          <cell r="L528">
            <v>1421388.8399999999</v>
          </cell>
          <cell r="M528">
            <v>18647</v>
          </cell>
        </row>
        <row r="529">
          <cell r="B529" t="str">
            <v>03-046</v>
          </cell>
          <cell r="C529" t="str">
            <v>2.01.01.09</v>
          </cell>
          <cell r="D529">
            <v>41344</v>
          </cell>
          <cell r="E529" t="str">
            <v>FGTS RESCISÓRIO</v>
          </cell>
          <cell r="F529" t="str">
            <v>TIAGO HENRIQUE DE OLIVEIRA</v>
          </cell>
          <cell r="G529" t="str">
            <v>D</v>
          </cell>
          <cell r="H529">
            <v>1013.21</v>
          </cell>
          <cell r="I529">
            <v>0</v>
          </cell>
          <cell r="J529" t="str">
            <v>X</v>
          </cell>
          <cell r="K529">
            <v>1420375.63</v>
          </cell>
          <cell r="L529">
            <v>1420375.63</v>
          </cell>
          <cell r="M529">
            <v>0</v>
          </cell>
        </row>
        <row r="530">
          <cell r="B530" t="str">
            <v>002-127</v>
          </cell>
          <cell r="C530" t="str">
            <v>2.07.03.01</v>
          </cell>
          <cell r="D530">
            <v>41344</v>
          </cell>
          <cell r="E530" t="str">
            <v>FOKAL EQUIPAMENTOS IND LTDA</v>
          </cell>
          <cell r="F530" t="str">
            <v>COMPRA DE EQUIPAMENTO DE QUEIMADOR DE GASES E ACESSÓRIOS</v>
          </cell>
          <cell r="G530" t="str">
            <v>D</v>
          </cell>
          <cell r="H530">
            <v>1800</v>
          </cell>
          <cell r="I530">
            <v>0</v>
          </cell>
          <cell r="J530" t="str">
            <v>X</v>
          </cell>
          <cell r="K530">
            <v>1418575.63</v>
          </cell>
          <cell r="L530">
            <v>1418575.63</v>
          </cell>
          <cell r="M530">
            <v>238</v>
          </cell>
        </row>
        <row r="531">
          <cell r="B531" t="str">
            <v>03-013</v>
          </cell>
          <cell r="C531" t="str">
            <v>2.02.03.24</v>
          </cell>
          <cell r="D531">
            <v>41344</v>
          </cell>
          <cell r="E531" t="str">
            <v xml:space="preserve">FASOLIM COACHING &amp; TRAINING S/S LTDA </v>
          </cell>
          <cell r="F531" t="str">
            <v>AUDITORIA INTERNA</v>
          </cell>
          <cell r="G531" t="str">
            <v>D</v>
          </cell>
          <cell r="H531">
            <v>2090</v>
          </cell>
          <cell r="I531">
            <v>0</v>
          </cell>
          <cell r="J531" t="str">
            <v>X</v>
          </cell>
          <cell r="K531">
            <v>1416485.63</v>
          </cell>
          <cell r="L531">
            <v>1416485.63</v>
          </cell>
          <cell r="M531">
            <v>447</v>
          </cell>
        </row>
        <row r="532">
          <cell r="B532" t="str">
            <v>12-088/3</v>
          </cell>
          <cell r="C532" t="str">
            <v>2.07.01.04</v>
          </cell>
          <cell r="D532">
            <v>41344</v>
          </cell>
          <cell r="E532" t="str">
            <v>SOLUTION UNITED TECNOLOGIA Ltda.</v>
          </cell>
          <cell r="F532" t="str">
            <v>COMPRA DE COLETOR DE DADOS E EMPRESSORA</v>
          </cell>
          <cell r="G532" t="str">
            <v>D</v>
          </cell>
          <cell r="H532">
            <v>2901.36</v>
          </cell>
          <cell r="I532">
            <v>0</v>
          </cell>
          <cell r="J532" t="str">
            <v>X</v>
          </cell>
          <cell r="K532">
            <v>1413584.2699999998</v>
          </cell>
          <cell r="L532">
            <v>1413584.2699999998</v>
          </cell>
          <cell r="M532">
            <v>1402</v>
          </cell>
        </row>
        <row r="533">
          <cell r="B533" t="str">
            <v>RE03-010</v>
          </cell>
          <cell r="C533" t="str">
            <v>1.01.04.01</v>
          </cell>
          <cell r="D533">
            <v>41345</v>
          </cell>
          <cell r="E533" t="str">
            <v xml:space="preserve">BANCO ITAÚ </v>
          </cell>
          <cell r="F533" t="str">
            <v xml:space="preserve">RENDIMENTO DE APLICAÇÃO </v>
          </cell>
          <cell r="G533" t="str">
            <v>C</v>
          </cell>
          <cell r="H533">
            <v>0</v>
          </cell>
          <cell r="I533">
            <v>195.54</v>
          </cell>
          <cell r="J533" t="str">
            <v>X</v>
          </cell>
          <cell r="K533">
            <v>1413779.8099999998</v>
          </cell>
          <cell r="L533">
            <v>1413779.8099999998</v>
          </cell>
          <cell r="M533">
            <v>0</v>
          </cell>
        </row>
        <row r="534">
          <cell r="B534" t="str">
            <v>03-061</v>
          </cell>
          <cell r="C534" t="str">
            <v>2.08.01.01</v>
          </cell>
          <cell r="D534">
            <v>41345</v>
          </cell>
          <cell r="E534" t="str">
            <v>BANCO ITAÚ S/A</v>
          </cell>
          <cell r="F534" t="str">
            <v>APLICAÇÃO OPERAÇÃO COMPROMISSADA 4929</v>
          </cell>
          <cell r="G534" t="str">
            <v>D</v>
          </cell>
          <cell r="H534">
            <v>450038.8</v>
          </cell>
          <cell r="I534">
            <v>0</v>
          </cell>
          <cell r="J534" t="str">
            <v>X</v>
          </cell>
          <cell r="K534">
            <v>963741.00999999978</v>
          </cell>
          <cell r="L534">
            <v>963741.00999999978</v>
          </cell>
          <cell r="M534">
            <v>0</v>
          </cell>
        </row>
        <row r="535">
          <cell r="B535" t="str">
            <v>03-058</v>
          </cell>
          <cell r="C535" t="str">
            <v>2.01.05.09</v>
          </cell>
          <cell r="D535">
            <v>41345</v>
          </cell>
          <cell r="E535" t="str">
            <v>TRANSTRIP LOCADORA DE VEICULOS</v>
          </cell>
          <cell r="F535" t="str">
            <v>LOCAÇÃO DE VEICULO KOMBI REF 02/2013  + KM EXCEDENTE</v>
          </cell>
          <cell r="G535" t="str">
            <v>D</v>
          </cell>
          <cell r="H535">
            <v>7090.24</v>
          </cell>
          <cell r="I535">
            <v>0</v>
          </cell>
          <cell r="J535" t="str">
            <v>X</v>
          </cell>
          <cell r="K535">
            <v>956650.76999999979</v>
          </cell>
          <cell r="L535">
            <v>956650.76999999979</v>
          </cell>
          <cell r="M535">
            <v>471</v>
          </cell>
        </row>
        <row r="536">
          <cell r="B536" t="str">
            <v>RE03-011</v>
          </cell>
          <cell r="C536" t="str">
            <v>1.01.04.01</v>
          </cell>
          <cell r="D536">
            <v>41348</v>
          </cell>
          <cell r="E536" t="str">
            <v xml:space="preserve">BANCO ITAÚ </v>
          </cell>
          <cell r="F536" t="str">
            <v xml:space="preserve">RENDIMENTO DE APLICAÇÃO </v>
          </cell>
          <cell r="G536" t="str">
            <v>C</v>
          </cell>
          <cell r="H536">
            <v>0</v>
          </cell>
          <cell r="I536">
            <v>20.41</v>
          </cell>
          <cell r="J536" t="str">
            <v>X</v>
          </cell>
          <cell r="K536">
            <v>956671.17999999982</v>
          </cell>
          <cell r="L536">
            <v>956671.17999999982</v>
          </cell>
          <cell r="M536">
            <v>0</v>
          </cell>
        </row>
        <row r="537">
          <cell r="B537" t="str">
            <v>al003-001</v>
          </cell>
          <cell r="C537" t="str">
            <v>2.02.03.14</v>
          </cell>
          <cell r="D537">
            <v>41348</v>
          </cell>
          <cell r="E537" t="str">
            <v>COSTA ROCHA IMOBILIÁRIA</v>
          </cell>
          <cell r="F537" t="str">
            <v>ALUGUEL PRÉDIO SANESALTO</v>
          </cell>
          <cell r="G537" t="str">
            <v>D</v>
          </cell>
          <cell r="H537">
            <v>3608.22</v>
          </cell>
          <cell r="I537">
            <v>0</v>
          </cell>
          <cell r="J537" t="str">
            <v>X</v>
          </cell>
          <cell r="K537">
            <v>953062.95999999985</v>
          </cell>
          <cell r="L537">
            <v>953062.95999999985</v>
          </cell>
          <cell r="M537">
            <v>0</v>
          </cell>
        </row>
        <row r="538">
          <cell r="B538" t="str">
            <v>03-043</v>
          </cell>
          <cell r="C538" t="str">
            <v>2.02.03.20</v>
          </cell>
          <cell r="D538">
            <v>41348</v>
          </cell>
          <cell r="E538" t="str">
            <v>APAE</v>
          </cell>
          <cell r="F538" t="str">
            <v>DOAÇÃO MENSAL</v>
          </cell>
          <cell r="G538" t="str">
            <v>D</v>
          </cell>
          <cell r="H538">
            <v>2500</v>
          </cell>
          <cell r="I538">
            <v>0</v>
          </cell>
          <cell r="J538" t="str">
            <v>X</v>
          </cell>
          <cell r="K538">
            <v>950562.95999999985</v>
          </cell>
          <cell r="L538">
            <v>950562.95999999985</v>
          </cell>
          <cell r="M538">
            <v>0</v>
          </cell>
        </row>
        <row r="539">
          <cell r="B539" t="str">
            <v>03-044</v>
          </cell>
          <cell r="C539" t="str">
            <v>2.09.01.01</v>
          </cell>
          <cell r="D539">
            <v>41348</v>
          </cell>
          <cell r="E539" t="str">
            <v>BANCO BRADESCO</v>
          </cell>
          <cell r="F539" t="str">
            <v>TRANSFERÊNCIA DE VALOR SANESALTO</v>
          </cell>
          <cell r="G539" t="str">
            <v>D</v>
          </cell>
          <cell r="H539">
            <v>2500</v>
          </cell>
          <cell r="I539">
            <v>0</v>
          </cell>
          <cell r="J539" t="str">
            <v>X</v>
          </cell>
          <cell r="K539">
            <v>948062.95999999985</v>
          </cell>
          <cell r="L539">
            <v>948062.95999999985</v>
          </cell>
          <cell r="M539">
            <v>0</v>
          </cell>
        </row>
        <row r="540">
          <cell r="B540" t="str">
            <v>11-043/06</v>
          </cell>
          <cell r="C540" t="str">
            <v>2.07.01.04</v>
          </cell>
          <cell r="D540">
            <v>41348</v>
          </cell>
          <cell r="E540" t="str">
            <v>KSB BOMBAS HIDRAULICAS  S/A</v>
          </cell>
          <cell r="F540" t="str">
            <v>REF BOMBA MODELO KRT K150-401/804 UNG</v>
          </cell>
          <cell r="G540" t="str">
            <v>D</v>
          </cell>
          <cell r="H540">
            <v>9780</v>
          </cell>
          <cell r="I540">
            <v>0</v>
          </cell>
          <cell r="J540" t="str">
            <v>X</v>
          </cell>
          <cell r="K540">
            <v>938282.95999999985</v>
          </cell>
          <cell r="L540">
            <v>938282.95999999985</v>
          </cell>
          <cell r="M540">
            <v>2410</v>
          </cell>
        </row>
        <row r="541">
          <cell r="B541" t="str">
            <v>04-096/27</v>
          </cell>
          <cell r="C541" t="str">
            <v>2.07.03.02</v>
          </cell>
          <cell r="D541">
            <v>41348</v>
          </cell>
          <cell r="E541" t="str">
            <v>CONASA COMPANHIA NACIONAL DE SANEAMENTO</v>
          </cell>
          <cell r="F541" t="str">
            <v>Adiantamento à fornecedores (parcela referente ao pagamento de geradores do Sistema Burú)</v>
          </cell>
          <cell r="G541" t="str">
            <v>D</v>
          </cell>
          <cell r="H541">
            <v>3195.67</v>
          </cell>
          <cell r="I541">
            <v>0</v>
          </cell>
          <cell r="J541" t="str">
            <v>X</v>
          </cell>
          <cell r="K541">
            <v>935087.2899999998</v>
          </cell>
          <cell r="L541">
            <v>935087.2899999998</v>
          </cell>
          <cell r="M541">
            <v>0</v>
          </cell>
        </row>
        <row r="542">
          <cell r="B542" t="str">
            <v>03-018</v>
          </cell>
          <cell r="C542" t="str">
            <v>2.07.01.04</v>
          </cell>
          <cell r="D542">
            <v>41348</v>
          </cell>
          <cell r="E542" t="str">
            <v>ERICO SEBESTIEN MOLNAR MARQUES ME</v>
          </cell>
          <cell r="F542" t="str">
            <v xml:space="preserve">REPAROS ELÉTRICOS EM GERAL </v>
          </cell>
          <cell r="G542" t="str">
            <v>D</v>
          </cell>
          <cell r="H542">
            <v>2410.8000000000002</v>
          </cell>
          <cell r="I542">
            <v>0</v>
          </cell>
          <cell r="J542" t="str">
            <v>X</v>
          </cell>
          <cell r="K542">
            <v>932676.48999999976</v>
          </cell>
          <cell r="L542">
            <v>932676.48999999976</v>
          </cell>
          <cell r="M542">
            <v>47</v>
          </cell>
        </row>
        <row r="543">
          <cell r="B543" t="str">
            <v>03-052</v>
          </cell>
          <cell r="C543" t="str">
            <v>2.01.05.01</v>
          </cell>
          <cell r="D543">
            <v>41348</v>
          </cell>
          <cell r="E543" t="str">
            <v>M.D.L. TOLEDO DA PAZ ME</v>
          </cell>
          <cell r="F543" t="str">
            <v>SERVIÇOS DE ROÇAGEM NA ETE</v>
          </cell>
          <cell r="G543" t="str">
            <v>D</v>
          </cell>
          <cell r="H543">
            <v>2231.19</v>
          </cell>
          <cell r="I543">
            <v>0</v>
          </cell>
          <cell r="J543" t="str">
            <v>X</v>
          </cell>
          <cell r="K543">
            <v>930445.29999999981</v>
          </cell>
          <cell r="L543">
            <v>930445.29999999981</v>
          </cell>
          <cell r="M543">
            <v>1</v>
          </cell>
        </row>
        <row r="544">
          <cell r="B544" t="str">
            <v>002-097</v>
          </cell>
          <cell r="C544" t="str">
            <v>2.01.03.08</v>
          </cell>
          <cell r="D544">
            <v>41348</v>
          </cell>
          <cell r="E544" t="str">
            <v>NHEEL QUIMICA</v>
          </cell>
          <cell r="F544" t="str">
            <v>COMPRA DE REAGENTE OCC-220</v>
          </cell>
          <cell r="G544" t="str">
            <v>D</v>
          </cell>
          <cell r="H544">
            <v>1749.15</v>
          </cell>
          <cell r="I544">
            <v>0</v>
          </cell>
          <cell r="J544" t="str">
            <v>X</v>
          </cell>
          <cell r="K544">
            <v>928696.14999999979</v>
          </cell>
          <cell r="L544">
            <v>928696.14999999979</v>
          </cell>
          <cell r="M544">
            <v>31372</v>
          </cell>
        </row>
        <row r="545">
          <cell r="B545" t="str">
            <v>03-073</v>
          </cell>
          <cell r="C545" t="str">
            <v>2.02.03.21</v>
          </cell>
          <cell r="D545">
            <v>41348</v>
          </cell>
          <cell r="E545" t="str">
            <v>PAULO ANDRÉ GIL BOSCHIERO</v>
          </cell>
          <cell r="F545" t="str">
            <v>DESPESAS COM VIAGEM</v>
          </cell>
          <cell r="G545" t="str">
            <v>D</v>
          </cell>
          <cell r="H545">
            <v>1402.7</v>
          </cell>
          <cell r="I545">
            <v>0</v>
          </cell>
          <cell r="J545" t="str">
            <v>X</v>
          </cell>
          <cell r="K545">
            <v>927293.44999999984</v>
          </cell>
          <cell r="L545">
            <v>927293.44999999984</v>
          </cell>
          <cell r="M545">
            <v>0</v>
          </cell>
        </row>
        <row r="546">
          <cell r="B546" t="str">
            <v>03-074</v>
          </cell>
          <cell r="C546" t="str">
            <v>2.02.03.21</v>
          </cell>
          <cell r="D546">
            <v>41348</v>
          </cell>
          <cell r="E546" t="str">
            <v>PAULO ANDRÉ GIL BOSCHIERO</v>
          </cell>
          <cell r="F546" t="str">
            <v>DESPESAS COM VIAGEM</v>
          </cell>
          <cell r="G546" t="str">
            <v>D</v>
          </cell>
          <cell r="H546">
            <v>1338.52</v>
          </cell>
          <cell r="I546">
            <v>0</v>
          </cell>
          <cell r="J546" t="str">
            <v>X</v>
          </cell>
          <cell r="K546">
            <v>925954.92999999982</v>
          </cell>
          <cell r="L546">
            <v>925954.92999999982</v>
          </cell>
          <cell r="M546">
            <v>0</v>
          </cell>
        </row>
        <row r="547">
          <cell r="B547" t="str">
            <v>002-034</v>
          </cell>
          <cell r="C547" t="str">
            <v>2.01.05.06</v>
          </cell>
          <cell r="D547">
            <v>41348</v>
          </cell>
          <cell r="E547" t="str">
            <v>SALTO GÁS</v>
          </cell>
          <cell r="F547" t="str">
            <v>MÃO DE OBRA DE INSTALAÇÃO DE GÁS</v>
          </cell>
          <cell r="G547" t="str">
            <v>D</v>
          </cell>
          <cell r="H547">
            <v>742.04</v>
          </cell>
          <cell r="I547">
            <v>0</v>
          </cell>
          <cell r="J547" t="str">
            <v>X</v>
          </cell>
          <cell r="K547">
            <v>925212.88999999978</v>
          </cell>
          <cell r="L547">
            <v>925212.88999999978</v>
          </cell>
          <cell r="M547" t="str">
            <v>34/2905</v>
          </cell>
        </row>
        <row r="548">
          <cell r="B548" t="str">
            <v>002-026</v>
          </cell>
          <cell r="C548" t="str">
            <v>2.07.01.03</v>
          </cell>
          <cell r="D548">
            <v>41348</v>
          </cell>
          <cell r="E548" t="str">
            <v>SOLUTION UNITED TECNOLOGIA Ltda.</v>
          </cell>
          <cell r="F548" t="str">
            <v>MANUTENÇÃO E LIMPEZA DE EQUIPAMENTO</v>
          </cell>
          <cell r="G548" t="str">
            <v>D</v>
          </cell>
          <cell r="H548">
            <v>327.68</v>
          </cell>
          <cell r="I548">
            <v>0</v>
          </cell>
          <cell r="J548" t="str">
            <v>X</v>
          </cell>
          <cell r="K548">
            <v>924885.20999999973</v>
          </cell>
          <cell r="L548">
            <v>924885.20999999973</v>
          </cell>
          <cell r="M548">
            <v>95</v>
          </cell>
        </row>
        <row r="549">
          <cell r="B549" t="str">
            <v>03-025</v>
          </cell>
          <cell r="C549" t="str">
            <v>2.01.05.14</v>
          </cell>
          <cell r="D549">
            <v>41348</v>
          </cell>
          <cell r="E549" t="str">
            <v>WILSON BENEDITO RIZZI</v>
          </cell>
          <cell r="F549" t="str">
            <v>COMPRA DE CAMINHÃO DE ÁGUA PARA ETE</v>
          </cell>
          <cell r="G549" t="str">
            <v>D</v>
          </cell>
          <cell r="H549">
            <v>220</v>
          </cell>
          <cell r="I549">
            <v>0</v>
          </cell>
          <cell r="J549" t="str">
            <v>X</v>
          </cell>
          <cell r="K549">
            <v>924665.20999999973</v>
          </cell>
          <cell r="L549">
            <v>924665.20999999973</v>
          </cell>
          <cell r="M549">
            <v>3785</v>
          </cell>
        </row>
        <row r="550">
          <cell r="B550" t="str">
            <v>002-105</v>
          </cell>
          <cell r="C550" t="str">
            <v>2.01.03.16</v>
          </cell>
          <cell r="D550">
            <v>41348</v>
          </cell>
          <cell r="E550" t="str">
            <v>Tintas Taperá Comercial Ltda. EPP</v>
          </cell>
          <cell r="F550" t="str">
            <v>Compra de material para ETE</v>
          </cell>
          <cell r="G550" t="str">
            <v>D</v>
          </cell>
          <cell r="H550">
            <v>54</v>
          </cell>
          <cell r="I550">
            <v>0</v>
          </cell>
          <cell r="J550" t="str">
            <v>X</v>
          </cell>
          <cell r="K550">
            <v>924611.20999999973</v>
          </cell>
          <cell r="L550">
            <v>924611.20999999973</v>
          </cell>
          <cell r="M550">
            <v>5986</v>
          </cell>
        </row>
        <row r="551">
          <cell r="B551" t="str">
            <v>RE03-012</v>
          </cell>
          <cell r="C551" t="str">
            <v>1.01.01.01</v>
          </cell>
          <cell r="D551">
            <v>41351</v>
          </cell>
          <cell r="E551" t="str">
            <v>SANESALTO SANEAMENTO S/A</v>
          </cell>
          <cell r="F551" t="str">
            <v>MEDIÇÃO DE 09 A 15/03/2013</v>
          </cell>
          <cell r="G551" t="str">
            <v>C</v>
          </cell>
          <cell r="H551">
            <v>0</v>
          </cell>
          <cell r="I551">
            <v>85669.2</v>
          </cell>
          <cell r="J551" t="str">
            <v>X</v>
          </cell>
          <cell r="K551">
            <v>1010280.4099999997</v>
          </cell>
          <cell r="L551">
            <v>1010280.4099999997</v>
          </cell>
          <cell r="M551">
            <v>0</v>
          </cell>
        </row>
        <row r="552">
          <cell r="B552" t="str">
            <v>RE03-013</v>
          </cell>
          <cell r="C552" t="str">
            <v>1.01.01.01</v>
          </cell>
          <cell r="D552">
            <v>41351</v>
          </cell>
          <cell r="E552" t="str">
            <v>SANESALTO SANEAMENTO S/A</v>
          </cell>
          <cell r="F552" t="str">
            <v>MEDIÇÃO DE 09 A 15/03/2013</v>
          </cell>
          <cell r="G552" t="str">
            <v>C</v>
          </cell>
          <cell r="H552">
            <v>0</v>
          </cell>
          <cell r="I552">
            <v>438607.08</v>
          </cell>
          <cell r="J552" t="str">
            <v>X</v>
          </cell>
          <cell r="K552">
            <v>1448887.4899999998</v>
          </cell>
          <cell r="L552">
            <v>1448887.4899999998</v>
          </cell>
          <cell r="M552">
            <v>0</v>
          </cell>
        </row>
        <row r="553">
          <cell r="B553" t="str">
            <v>03-080/1</v>
          </cell>
          <cell r="C553" t="str">
            <v>2.02.01.01</v>
          </cell>
          <cell r="D553">
            <v>41351</v>
          </cell>
          <cell r="E553" t="str">
            <v>NAEDSON LUIZ DE SOUZA</v>
          </cell>
          <cell r="F553" t="str">
            <v>ADIANTAMENTO DE 40% DO SALÁRIO FOLHA MARÇO 2013</v>
          </cell>
          <cell r="G553" t="str">
            <v>D</v>
          </cell>
          <cell r="H553">
            <v>1521</v>
          </cell>
          <cell r="I553">
            <v>0</v>
          </cell>
          <cell r="J553" t="str">
            <v>X</v>
          </cell>
          <cell r="K553">
            <v>1447366.4899999998</v>
          </cell>
          <cell r="L553">
            <v>1447366.4899999998</v>
          </cell>
          <cell r="M553">
            <v>0</v>
          </cell>
        </row>
        <row r="554">
          <cell r="B554" t="str">
            <v>03-080/2</v>
          </cell>
          <cell r="C554" t="str">
            <v>2.02.01.01</v>
          </cell>
          <cell r="D554">
            <v>41351</v>
          </cell>
          <cell r="E554" t="str">
            <v>ALOISIO BORIN</v>
          </cell>
          <cell r="F554" t="str">
            <v>ADIANTAMENTO DE 40% DO SALÁRIO FOLHA MARÇO 2013</v>
          </cell>
          <cell r="G554" t="str">
            <v>D</v>
          </cell>
          <cell r="H554">
            <v>652</v>
          </cell>
          <cell r="I554">
            <v>0</v>
          </cell>
          <cell r="J554" t="str">
            <v>X</v>
          </cell>
          <cell r="K554">
            <v>1446714.4899999998</v>
          </cell>
          <cell r="L554">
            <v>1446714.4899999998</v>
          </cell>
          <cell r="M554">
            <v>0</v>
          </cell>
        </row>
        <row r="555">
          <cell r="B555" t="str">
            <v>03-080/3</v>
          </cell>
          <cell r="C555" t="str">
            <v>2.02.01.01</v>
          </cell>
          <cell r="D555">
            <v>41351</v>
          </cell>
          <cell r="E555" t="str">
            <v>CLEBER C DA SILVA</v>
          </cell>
          <cell r="F555" t="str">
            <v>ADIANTAMENTO DE 40% DO SALÁRIO FOLHA MARÇO 2013</v>
          </cell>
          <cell r="G555" t="str">
            <v>D</v>
          </cell>
          <cell r="H555">
            <v>1217</v>
          </cell>
          <cell r="I555">
            <v>0</v>
          </cell>
          <cell r="J555" t="str">
            <v>X</v>
          </cell>
          <cell r="K555">
            <v>1445497.4899999998</v>
          </cell>
          <cell r="L555">
            <v>1445497.4899999998</v>
          </cell>
          <cell r="M555">
            <v>0</v>
          </cell>
        </row>
        <row r="556">
          <cell r="B556" t="str">
            <v>03-080/4</v>
          </cell>
          <cell r="C556" t="str">
            <v>2.02.01.01</v>
          </cell>
          <cell r="D556">
            <v>41351</v>
          </cell>
          <cell r="E556" t="str">
            <v>ERICA AP DA SILVA DE MORAES</v>
          </cell>
          <cell r="F556" t="str">
            <v>ADIANTAMENTO DE 40% DO SALÁRIO FOLHA MARÇO 2013</v>
          </cell>
          <cell r="G556" t="str">
            <v>D</v>
          </cell>
          <cell r="H556">
            <v>652</v>
          </cell>
          <cell r="I556">
            <v>0</v>
          </cell>
          <cell r="J556" t="str">
            <v>X</v>
          </cell>
          <cell r="K556">
            <v>1444845.4899999998</v>
          </cell>
          <cell r="L556">
            <v>1444845.4899999998</v>
          </cell>
          <cell r="M556">
            <v>0</v>
          </cell>
        </row>
        <row r="557">
          <cell r="B557" t="str">
            <v>03-080/5</v>
          </cell>
          <cell r="C557" t="str">
            <v>2.02.01.01</v>
          </cell>
          <cell r="D557">
            <v>41351</v>
          </cell>
          <cell r="E557" t="str">
            <v>ELIZANGELA REGINA P DIAS</v>
          </cell>
          <cell r="F557" t="str">
            <v>ADIANTAMENTO DE 40% DO SALÁRIO FOLHA MARÇO 2013</v>
          </cell>
          <cell r="G557" t="str">
            <v>D</v>
          </cell>
          <cell r="H557">
            <v>2110</v>
          </cell>
          <cell r="I557">
            <v>0</v>
          </cell>
          <cell r="J557" t="str">
            <v>X</v>
          </cell>
          <cell r="K557">
            <v>1442735.4899999998</v>
          </cell>
          <cell r="L557">
            <v>1442735.4899999998</v>
          </cell>
          <cell r="M557">
            <v>0</v>
          </cell>
        </row>
        <row r="558">
          <cell r="B558" t="str">
            <v>03-080/6</v>
          </cell>
          <cell r="C558" t="str">
            <v>2.02.01.01</v>
          </cell>
          <cell r="D558">
            <v>41351</v>
          </cell>
          <cell r="E558" t="str">
            <v>RODRIGO BUENO</v>
          </cell>
          <cell r="F558" t="str">
            <v>ADIANTAMENTO DE 40% DO SALÁRIO FOLHA MARÇO 2013</v>
          </cell>
          <cell r="G558" t="str">
            <v>D</v>
          </cell>
          <cell r="H558">
            <v>2110</v>
          </cell>
          <cell r="I558">
            <v>0</v>
          </cell>
          <cell r="J558" t="str">
            <v>X</v>
          </cell>
          <cell r="K558">
            <v>1440625.4899999998</v>
          </cell>
          <cell r="L558">
            <v>1440625.4899999998</v>
          </cell>
          <cell r="M558">
            <v>0</v>
          </cell>
        </row>
        <row r="559">
          <cell r="B559" t="str">
            <v>03-080/7</v>
          </cell>
          <cell r="C559" t="str">
            <v>2.02.01.01</v>
          </cell>
          <cell r="D559">
            <v>41351</v>
          </cell>
          <cell r="E559" t="str">
            <v>MARIANA CASTELLINI</v>
          </cell>
          <cell r="F559" t="str">
            <v>ADIANTAMENTO DE 40% DO SALÁRIO FOLHA MARÇO 2013</v>
          </cell>
          <cell r="G559" t="str">
            <v>D</v>
          </cell>
          <cell r="H559">
            <v>640</v>
          </cell>
          <cell r="I559">
            <v>0</v>
          </cell>
          <cell r="J559" t="str">
            <v>X</v>
          </cell>
          <cell r="K559">
            <v>1439985.4899999998</v>
          </cell>
          <cell r="L559">
            <v>1439985.4899999998</v>
          </cell>
          <cell r="M559">
            <v>0</v>
          </cell>
        </row>
        <row r="560">
          <cell r="B560" t="str">
            <v>03-080/8</v>
          </cell>
          <cell r="C560" t="str">
            <v>2.02.01.01</v>
          </cell>
          <cell r="D560">
            <v>41351</v>
          </cell>
          <cell r="E560" t="str">
            <v>JANAÍNA SILVA SOUZA</v>
          </cell>
          <cell r="F560" t="str">
            <v>ADIANTAMENTO DE 40% DO SALÁRIO FOLHA MARÇO 2013</v>
          </cell>
          <cell r="G560" t="str">
            <v>D</v>
          </cell>
          <cell r="H560">
            <v>392</v>
          </cell>
          <cell r="I560">
            <v>0</v>
          </cell>
          <cell r="J560" t="str">
            <v>X</v>
          </cell>
          <cell r="K560">
            <v>1439593.4899999998</v>
          </cell>
          <cell r="L560">
            <v>1439593.4899999998</v>
          </cell>
          <cell r="M560">
            <v>0</v>
          </cell>
        </row>
        <row r="561">
          <cell r="B561" t="str">
            <v>03-080/9</v>
          </cell>
          <cell r="C561" t="str">
            <v>2.02.01.01</v>
          </cell>
          <cell r="D561">
            <v>41351</v>
          </cell>
          <cell r="E561" t="str">
            <v>MARIANA CRISTINA GESSOLI</v>
          </cell>
          <cell r="F561" t="str">
            <v>ADIANTAMENTO DE 40% DO SALÁRIO FOLHA MARÇO 2013</v>
          </cell>
          <cell r="G561" t="str">
            <v>D</v>
          </cell>
          <cell r="H561">
            <v>392</v>
          </cell>
          <cell r="I561">
            <v>0</v>
          </cell>
          <cell r="J561" t="str">
            <v>X</v>
          </cell>
          <cell r="K561">
            <v>1439201.4899999998</v>
          </cell>
          <cell r="L561">
            <v>1439201.4899999998</v>
          </cell>
          <cell r="M561">
            <v>0</v>
          </cell>
        </row>
        <row r="562">
          <cell r="B562" t="str">
            <v>03-080/10</v>
          </cell>
          <cell r="C562" t="str">
            <v>2.01.01.01</v>
          </cell>
          <cell r="D562">
            <v>41351</v>
          </cell>
          <cell r="E562" t="str">
            <v>JULIO CÉSAR DA S OLIVEIRA</v>
          </cell>
          <cell r="F562" t="str">
            <v>ADIANTAMENTO DE 40% DO SALÁRIO FOLHA MARÇO 2013</v>
          </cell>
          <cell r="G562" t="str">
            <v>D</v>
          </cell>
          <cell r="H562">
            <v>406</v>
          </cell>
          <cell r="I562">
            <v>0</v>
          </cell>
          <cell r="J562" t="str">
            <v>X</v>
          </cell>
          <cell r="K562">
            <v>1438795.4899999998</v>
          </cell>
          <cell r="L562">
            <v>1438795.4899999998</v>
          </cell>
          <cell r="M562">
            <v>0</v>
          </cell>
        </row>
        <row r="563">
          <cell r="B563" t="str">
            <v>03-080/11</v>
          </cell>
          <cell r="C563" t="str">
            <v>2.01.01.01</v>
          </cell>
          <cell r="D563">
            <v>41351</v>
          </cell>
          <cell r="E563" t="str">
            <v>GILBERTO SILVA ROQUE</v>
          </cell>
          <cell r="F563" t="str">
            <v>ADIANTAMENTO DE 40% DO SALÁRIO FOLHA MARÇO 2013</v>
          </cell>
          <cell r="G563" t="str">
            <v>D</v>
          </cell>
          <cell r="H563">
            <v>480</v>
          </cell>
          <cell r="I563">
            <v>0</v>
          </cell>
          <cell r="J563" t="str">
            <v>X</v>
          </cell>
          <cell r="K563">
            <v>1438315.4899999998</v>
          </cell>
          <cell r="L563">
            <v>1438315.4899999998</v>
          </cell>
          <cell r="M563">
            <v>0</v>
          </cell>
        </row>
        <row r="564">
          <cell r="B564" t="str">
            <v>03-080/12</v>
          </cell>
          <cell r="C564" t="str">
            <v>2.01.01.01</v>
          </cell>
          <cell r="D564">
            <v>41351</v>
          </cell>
          <cell r="E564" t="str">
            <v>LUCAS AMARAL</v>
          </cell>
          <cell r="F564" t="str">
            <v>ADIANTAMENTO DE 40% DO SALÁRIO FOLHA MARÇO 2013</v>
          </cell>
          <cell r="G564" t="str">
            <v>D</v>
          </cell>
          <cell r="H564">
            <v>28</v>
          </cell>
          <cell r="I564">
            <v>0</v>
          </cell>
          <cell r="J564" t="str">
            <v>X</v>
          </cell>
          <cell r="K564">
            <v>1438287.4899999998</v>
          </cell>
          <cell r="L564">
            <v>1438287.4899999998</v>
          </cell>
          <cell r="M564">
            <v>0</v>
          </cell>
        </row>
        <row r="565">
          <cell r="B565" t="str">
            <v>03-080/13</v>
          </cell>
          <cell r="C565" t="str">
            <v>2.01.01.01</v>
          </cell>
          <cell r="D565">
            <v>41351</v>
          </cell>
          <cell r="E565" t="str">
            <v>WEVERTON EUGÊNIO PEREIRA</v>
          </cell>
          <cell r="F565" t="str">
            <v>ADIANTAMENTO DE 40% DO SALÁRIO FOLHA MARÇO 2013</v>
          </cell>
          <cell r="G565" t="str">
            <v>D</v>
          </cell>
          <cell r="H565">
            <v>480</v>
          </cell>
          <cell r="I565">
            <v>0</v>
          </cell>
          <cell r="J565" t="str">
            <v>X</v>
          </cell>
          <cell r="K565">
            <v>1437807.4899999998</v>
          </cell>
          <cell r="L565">
            <v>1437807.4899999998</v>
          </cell>
          <cell r="M565">
            <v>0</v>
          </cell>
        </row>
        <row r="566">
          <cell r="B566" t="str">
            <v>03-080/14</v>
          </cell>
          <cell r="C566" t="str">
            <v>2.01.01.01</v>
          </cell>
          <cell r="D566">
            <v>41351</v>
          </cell>
          <cell r="E566" t="str">
            <v>MÁRCIO OSTIANO DE SOUZA</v>
          </cell>
          <cell r="F566" t="str">
            <v>ADIANTAMENTO DE 40% DO SALÁRIO FOLHA MARÇO 2013</v>
          </cell>
          <cell r="G566" t="str">
            <v>D</v>
          </cell>
          <cell r="H566">
            <v>406</v>
          </cell>
          <cell r="I566">
            <v>0</v>
          </cell>
          <cell r="J566" t="str">
            <v>X</v>
          </cell>
          <cell r="K566">
            <v>1437401.4899999998</v>
          </cell>
          <cell r="L566">
            <v>1437401.4899999998</v>
          </cell>
          <cell r="M566">
            <v>0</v>
          </cell>
        </row>
        <row r="567">
          <cell r="B567" t="str">
            <v>03-080/15</v>
          </cell>
          <cell r="C567" t="str">
            <v>2.01.01.01</v>
          </cell>
          <cell r="D567">
            <v>41351</v>
          </cell>
          <cell r="E567" t="str">
            <v>ANDRÉ SIMÕES</v>
          </cell>
          <cell r="F567" t="str">
            <v>ADIANTAMENTO DE 40% DO SALÁRIO FOLHA MARÇO 2013</v>
          </cell>
          <cell r="G567" t="str">
            <v>D</v>
          </cell>
          <cell r="H567">
            <v>406</v>
          </cell>
          <cell r="I567">
            <v>0</v>
          </cell>
          <cell r="J567" t="str">
            <v>X</v>
          </cell>
          <cell r="K567">
            <v>1436995.4899999998</v>
          </cell>
          <cell r="L567">
            <v>1436995.4899999998</v>
          </cell>
          <cell r="M567">
            <v>0</v>
          </cell>
        </row>
        <row r="568">
          <cell r="B568" t="str">
            <v>03-080/16</v>
          </cell>
          <cell r="C568" t="str">
            <v>2.01.01.01</v>
          </cell>
          <cell r="D568">
            <v>41351</v>
          </cell>
          <cell r="E568" t="str">
            <v>ANTONIO JOSÉ D DA SILVA JR</v>
          </cell>
          <cell r="F568" t="str">
            <v>ADIANTAMENTO DE 40% DO SALÁRIO FOLHA MARÇO 2013</v>
          </cell>
          <cell r="G568" t="str">
            <v>D</v>
          </cell>
          <cell r="H568">
            <v>365</v>
          </cell>
          <cell r="I568">
            <v>0</v>
          </cell>
          <cell r="J568" t="str">
            <v>X</v>
          </cell>
          <cell r="K568">
            <v>1436630.4899999998</v>
          </cell>
          <cell r="L568">
            <v>1436630.4899999998</v>
          </cell>
          <cell r="M568">
            <v>0</v>
          </cell>
        </row>
        <row r="569">
          <cell r="B569" t="str">
            <v>03-080/17</v>
          </cell>
          <cell r="C569" t="str">
            <v>2.01.01.01</v>
          </cell>
          <cell r="D569">
            <v>41351</v>
          </cell>
          <cell r="E569" t="str">
            <v>EMERSON BEDIN</v>
          </cell>
          <cell r="F569" t="str">
            <v>ADIANTAMENTO DE 40% DO SALÁRIO FOLHA MARÇO 2013</v>
          </cell>
          <cell r="G569" t="str">
            <v>D</v>
          </cell>
          <cell r="H569">
            <v>565</v>
          </cell>
          <cell r="I569">
            <v>0</v>
          </cell>
          <cell r="J569" t="str">
            <v>X</v>
          </cell>
          <cell r="K569">
            <v>1436065.4899999998</v>
          </cell>
          <cell r="L569">
            <v>1436065.4899999998</v>
          </cell>
          <cell r="M569">
            <v>0</v>
          </cell>
        </row>
        <row r="570">
          <cell r="B570" t="str">
            <v>03-080/18</v>
          </cell>
          <cell r="C570" t="str">
            <v>2.01.01.01</v>
          </cell>
          <cell r="D570">
            <v>41351</v>
          </cell>
          <cell r="E570" t="str">
            <v>THIAGO RIBEIRO</v>
          </cell>
          <cell r="F570" t="str">
            <v>ADIANTAMENTO DE 40% DO SALÁRIO FOLHA MARÇO 2013</v>
          </cell>
          <cell r="G570" t="str">
            <v>D</v>
          </cell>
          <cell r="H570">
            <v>478</v>
          </cell>
          <cell r="I570">
            <v>0</v>
          </cell>
          <cell r="J570" t="str">
            <v>X</v>
          </cell>
          <cell r="K570">
            <v>1435587.4899999998</v>
          </cell>
          <cell r="L570">
            <v>1435587.4899999998</v>
          </cell>
          <cell r="M570">
            <v>0</v>
          </cell>
        </row>
        <row r="571">
          <cell r="B571" t="str">
            <v>03-080/19</v>
          </cell>
          <cell r="C571" t="str">
            <v>2.01.01.01</v>
          </cell>
          <cell r="D571">
            <v>41351</v>
          </cell>
          <cell r="E571" t="str">
            <v>ALBERTINO M DA SILVA</v>
          </cell>
          <cell r="F571" t="str">
            <v>ADIANTAMENTO DE 40% DO SALÁRIO FOLHA MARÇO 2013</v>
          </cell>
          <cell r="G571" t="str">
            <v>D</v>
          </cell>
          <cell r="H571">
            <v>346</v>
          </cell>
          <cell r="I571">
            <v>0</v>
          </cell>
          <cell r="J571" t="str">
            <v>X</v>
          </cell>
          <cell r="K571">
            <v>1435241.4899999998</v>
          </cell>
          <cell r="L571">
            <v>1435241.4899999998</v>
          </cell>
          <cell r="M571">
            <v>0</v>
          </cell>
        </row>
        <row r="572">
          <cell r="B572" t="str">
            <v>03-080/20</v>
          </cell>
          <cell r="C572" t="str">
            <v>2.01.01.01</v>
          </cell>
          <cell r="D572">
            <v>41351</v>
          </cell>
          <cell r="E572" t="str">
            <v>ALEXANDRO JESUS DE ARAUJO</v>
          </cell>
          <cell r="F572" t="str">
            <v>ADIANTAMENTO DE 40% DO SALÁRIO FOLHA MARÇO 2013</v>
          </cell>
          <cell r="G572" t="str">
            <v>D</v>
          </cell>
          <cell r="H572">
            <v>261</v>
          </cell>
          <cell r="I572">
            <v>0</v>
          </cell>
          <cell r="J572" t="str">
            <v>X</v>
          </cell>
          <cell r="K572">
            <v>1434980.4899999998</v>
          </cell>
          <cell r="L572">
            <v>1434980.4899999998</v>
          </cell>
          <cell r="M572">
            <v>0</v>
          </cell>
        </row>
        <row r="573">
          <cell r="B573" t="str">
            <v>03-080/21</v>
          </cell>
          <cell r="C573" t="str">
            <v>2.01.01.01</v>
          </cell>
          <cell r="D573">
            <v>41351</v>
          </cell>
          <cell r="E573" t="str">
            <v>SANDRO PAGGI DE SOUSA</v>
          </cell>
          <cell r="F573" t="str">
            <v>ADIANTAMENTO DE 40% DO SALÁRIO FOLHA MARÇO 2013</v>
          </cell>
          <cell r="G573" t="str">
            <v>D</v>
          </cell>
          <cell r="H573">
            <v>346</v>
          </cell>
          <cell r="I573">
            <v>0</v>
          </cell>
          <cell r="J573" t="str">
            <v>X</v>
          </cell>
          <cell r="K573">
            <v>1434634.4899999998</v>
          </cell>
          <cell r="L573">
            <v>1434634.4899999998</v>
          </cell>
          <cell r="M573">
            <v>0</v>
          </cell>
        </row>
        <row r="574">
          <cell r="B574" t="str">
            <v>03-080/22</v>
          </cell>
          <cell r="C574" t="str">
            <v>2.01.01.01</v>
          </cell>
          <cell r="D574">
            <v>41351</v>
          </cell>
          <cell r="E574" t="str">
            <v>ALEXANDRE DE C ALVES</v>
          </cell>
          <cell r="F574" t="str">
            <v>ADIANTAMENTO DE 40% DO SALÁRIO FOLHA MARÇO 2013</v>
          </cell>
          <cell r="G574" t="str">
            <v>D</v>
          </cell>
          <cell r="H574">
            <v>346</v>
          </cell>
          <cell r="I574">
            <v>0</v>
          </cell>
          <cell r="J574" t="str">
            <v>X</v>
          </cell>
          <cell r="K574">
            <v>1434288.4899999998</v>
          </cell>
          <cell r="L574">
            <v>1434288.4899999998</v>
          </cell>
          <cell r="M574">
            <v>0</v>
          </cell>
        </row>
        <row r="575">
          <cell r="B575" t="str">
            <v>03-080/23</v>
          </cell>
          <cell r="C575" t="str">
            <v>2.01.01.01</v>
          </cell>
          <cell r="D575">
            <v>41351</v>
          </cell>
          <cell r="E575" t="str">
            <v>WILSON DE SOUZA</v>
          </cell>
          <cell r="F575" t="str">
            <v>ADIANTAMENTO DE 40% DO SALÁRIO FOLHA MARÇO 2013</v>
          </cell>
          <cell r="G575" t="str">
            <v>D</v>
          </cell>
          <cell r="H575">
            <v>346</v>
          </cell>
          <cell r="I575">
            <v>0</v>
          </cell>
          <cell r="J575" t="str">
            <v>X</v>
          </cell>
          <cell r="K575">
            <v>1433942.4899999998</v>
          </cell>
          <cell r="L575">
            <v>1433942.4899999998</v>
          </cell>
          <cell r="M575">
            <v>0</v>
          </cell>
        </row>
        <row r="576">
          <cell r="B576" t="str">
            <v>002-102</v>
          </cell>
          <cell r="C576" t="str">
            <v>2.01.03.16</v>
          </cell>
          <cell r="D576">
            <v>41351</v>
          </cell>
          <cell r="E576" t="str">
            <v xml:space="preserve">SALTO LUZ MATERIAIS ELÉTRICOS </v>
          </cell>
          <cell r="F576" t="str">
            <v>COMPRA DE MATERIAIS ELÉTRICOS PARA ETE</v>
          </cell>
          <cell r="G576" t="str">
            <v>D</v>
          </cell>
          <cell r="H576">
            <v>178.2</v>
          </cell>
          <cell r="I576">
            <v>0</v>
          </cell>
          <cell r="J576" t="str">
            <v>X</v>
          </cell>
          <cell r="K576">
            <v>1433764.2899999998</v>
          </cell>
          <cell r="L576">
            <v>1433764.2899999998</v>
          </cell>
          <cell r="M576">
            <v>12856</v>
          </cell>
        </row>
        <row r="577">
          <cell r="B577" t="str">
            <v>03-036</v>
          </cell>
          <cell r="C577" t="str">
            <v>2.01.03.16</v>
          </cell>
          <cell r="D577">
            <v>41351</v>
          </cell>
          <cell r="E577" t="str">
            <v xml:space="preserve">LIG LUZ </v>
          </cell>
          <cell r="F577" t="str">
            <v xml:space="preserve">COMPRA DE MATERIAL ELÉTRICO PARA ETE </v>
          </cell>
          <cell r="G577" t="str">
            <v>D</v>
          </cell>
          <cell r="H577">
            <v>201.5</v>
          </cell>
          <cell r="I577">
            <v>0</v>
          </cell>
          <cell r="J577" t="str">
            <v>X</v>
          </cell>
          <cell r="K577">
            <v>1433562.7899999998</v>
          </cell>
          <cell r="L577">
            <v>1433562.7899999998</v>
          </cell>
          <cell r="M577">
            <v>8548</v>
          </cell>
        </row>
        <row r="578">
          <cell r="B578" t="str">
            <v>03-027</v>
          </cell>
          <cell r="C578" t="str">
            <v>2.07.01.03</v>
          </cell>
          <cell r="D578">
            <v>41351</v>
          </cell>
          <cell r="E578" t="str">
            <v>SOLUTION UNITED TECNOLOGIA Ltda.</v>
          </cell>
          <cell r="F578" t="str">
            <v xml:space="preserve">SERVIÇO DE MANUTENÇÃO DE COLETORES DE DADOS </v>
          </cell>
          <cell r="G578" t="str">
            <v>D</v>
          </cell>
          <cell r="H578">
            <v>270.25</v>
          </cell>
          <cell r="I578">
            <v>0</v>
          </cell>
          <cell r="J578" t="str">
            <v>X</v>
          </cell>
          <cell r="K578">
            <v>1433292.5399999998</v>
          </cell>
          <cell r="L578">
            <v>1433292.5399999998</v>
          </cell>
          <cell r="M578">
            <v>184</v>
          </cell>
        </row>
        <row r="579">
          <cell r="B579" t="str">
            <v>03-026</v>
          </cell>
          <cell r="C579" t="str">
            <v>2.06.03.01</v>
          </cell>
          <cell r="D579">
            <v>41351</v>
          </cell>
          <cell r="E579" t="str">
            <v>BM&amp;FBOVESPA</v>
          </cell>
          <cell r="F579" t="str">
            <v>TAXA DE REGISTRO DE DEBENTURES</v>
          </cell>
          <cell r="G579" t="str">
            <v>D</v>
          </cell>
          <cell r="H579">
            <v>551.15</v>
          </cell>
          <cell r="I579">
            <v>0</v>
          </cell>
          <cell r="J579" t="str">
            <v>X</v>
          </cell>
          <cell r="K579">
            <v>1432741.39</v>
          </cell>
          <cell r="L579">
            <v>1432741.39</v>
          </cell>
          <cell r="M579">
            <v>9001135001</v>
          </cell>
        </row>
        <row r="580">
          <cell r="B580" t="str">
            <v>002-081</v>
          </cell>
          <cell r="C580" t="str">
            <v>2.02.02.01</v>
          </cell>
          <cell r="D580">
            <v>41351</v>
          </cell>
          <cell r="E580" t="str">
            <v>CODEQ SUPRIMENTOS PARA ESCRITÓRIOS Ltda.</v>
          </cell>
          <cell r="F580" t="str">
            <v>COMPRA DE MATERIAIS DE ESCRITÓRIO</v>
          </cell>
          <cell r="G580" t="str">
            <v>D</v>
          </cell>
          <cell r="H580">
            <v>645.17999999999995</v>
          </cell>
          <cell r="I580">
            <v>0</v>
          </cell>
          <cell r="J580" t="str">
            <v>X</v>
          </cell>
          <cell r="K580">
            <v>1432096.21</v>
          </cell>
          <cell r="L580">
            <v>1432096.21</v>
          </cell>
          <cell r="M580">
            <v>57233</v>
          </cell>
        </row>
        <row r="581">
          <cell r="B581" t="str">
            <v>03-047</v>
          </cell>
          <cell r="C581" t="str">
            <v>2.01.03.09</v>
          </cell>
          <cell r="D581">
            <v>41351</v>
          </cell>
          <cell r="E581" t="str">
            <v>COMPANHIA PIRATININGA DE FORÇA E LUZ - CPFL</v>
          </cell>
          <cell r="F581" t="str">
            <v>CONTA DE ENERGIA ELEV GUARAÚ 02 REF 02/2013</v>
          </cell>
          <cell r="G581" t="str">
            <v>D</v>
          </cell>
          <cell r="H581">
            <v>685.33</v>
          </cell>
          <cell r="I581">
            <v>0</v>
          </cell>
          <cell r="J581" t="str">
            <v>X</v>
          </cell>
          <cell r="K581">
            <v>1431410.88</v>
          </cell>
          <cell r="L581">
            <v>1431410.88</v>
          </cell>
          <cell r="M581">
            <v>0</v>
          </cell>
        </row>
        <row r="582">
          <cell r="B582" t="str">
            <v>12-098/02</v>
          </cell>
          <cell r="C582" t="str">
            <v>2.01.05.11</v>
          </cell>
          <cell r="D582">
            <v>41351</v>
          </cell>
          <cell r="E582" t="str">
            <v>MATESA MOTORES</v>
          </cell>
          <cell r="F582" t="str">
            <v>MANUTENÇÃO DE BOMBA PATIO DA PREFEITURA</v>
          </cell>
          <cell r="G582" t="str">
            <v>D</v>
          </cell>
          <cell r="H582">
            <v>5100</v>
          </cell>
          <cell r="I582">
            <v>0</v>
          </cell>
          <cell r="J582" t="str">
            <v>X</v>
          </cell>
          <cell r="K582">
            <v>1426310.88</v>
          </cell>
          <cell r="L582">
            <v>1426310.88</v>
          </cell>
          <cell r="M582">
            <v>2689</v>
          </cell>
        </row>
        <row r="583">
          <cell r="B583" t="str">
            <v>12-124/02</v>
          </cell>
          <cell r="C583" t="str">
            <v>2.01.05.11</v>
          </cell>
          <cell r="D583">
            <v>41351</v>
          </cell>
          <cell r="E583" t="str">
            <v>MATESA MOTORES</v>
          </cell>
          <cell r="F583" t="str">
            <v>MANUTENÇÃO E CONSERTO DE BOMBA SUBMERSIVEL</v>
          </cell>
          <cell r="G583" t="str">
            <v>D</v>
          </cell>
          <cell r="H583">
            <v>6328.06</v>
          </cell>
          <cell r="I583">
            <v>0</v>
          </cell>
          <cell r="J583" t="str">
            <v>X</v>
          </cell>
          <cell r="K583">
            <v>1419982.8199999998</v>
          </cell>
          <cell r="L583">
            <v>1419982.8199999998</v>
          </cell>
          <cell r="M583">
            <v>1921</v>
          </cell>
        </row>
        <row r="584">
          <cell r="B584" t="str">
            <v>12-123/02</v>
          </cell>
          <cell r="C584" t="str">
            <v>2.01.05.11</v>
          </cell>
          <cell r="D584">
            <v>41351</v>
          </cell>
          <cell r="E584" t="str">
            <v>MATESA MOTORES</v>
          </cell>
          <cell r="F584" t="str">
            <v>MANUTENÇÃO E CONSERTO DE BOMBA SUBMERSIVEL</v>
          </cell>
          <cell r="G584" t="str">
            <v>D</v>
          </cell>
          <cell r="H584">
            <v>1662.5</v>
          </cell>
          <cell r="I584">
            <v>0</v>
          </cell>
          <cell r="J584" t="str">
            <v>X</v>
          </cell>
          <cell r="K584">
            <v>1418320.3199999998</v>
          </cell>
          <cell r="L584">
            <v>1418320.3199999998</v>
          </cell>
          <cell r="M584">
            <v>1920</v>
          </cell>
        </row>
        <row r="585">
          <cell r="B585" t="str">
            <v>03-075</v>
          </cell>
          <cell r="C585" t="str">
            <v>2.01.03.09</v>
          </cell>
          <cell r="D585">
            <v>41351</v>
          </cell>
          <cell r="E585" t="str">
            <v>COMPANHIA PIRATININGA DE FORÇA E LUZ - CPFL</v>
          </cell>
          <cell r="F585" t="str">
            <v>CONTA DE ENERGIA ESCRITÓRIO REF 03/2013</v>
          </cell>
          <cell r="G585" t="str">
            <v>D</v>
          </cell>
          <cell r="H585">
            <v>880.45</v>
          </cell>
          <cell r="I585">
            <v>0</v>
          </cell>
          <cell r="J585" t="str">
            <v>X</v>
          </cell>
          <cell r="K585">
            <v>1417439.8699999999</v>
          </cell>
          <cell r="L585">
            <v>1417439.8699999999</v>
          </cell>
          <cell r="M585">
            <v>0</v>
          </cell>
        </row>
        <row r="586">
          <cell r="B586" t="str">
            <v>03-088</v>
          </cell>
          <cell r="C586" t="str">
            <v>2.07.01.04</v>
          </cell>
          <cell r="D586">
            <v>41352</v>
          </cell>
          <cell r="E586" t="str">
            <v>DIGITROL SERVICE</v>
          </cell>
          <cell r="F586" t="str">
            <v xml:space="preserve">PAGAMENTO DE TAXA DE SEDEX PARA ENVIO DE EQUIPAMENTO </v>
          </cell>
          <cell r="G586" t="str">
            <v>D</v>
          </cell>
          <cell r="H586">
            <v>34.9</v>
          </cell>
          <cell r="I586">
            <v>0</v>
          </cell>
          <cell r="J586" t="str">
            <v>X</v>
          </cell>
          <cell r="K586">
            <v>1417404.97</v>
          </cell>
          <cell r="L586">
            <v>1417404.97</v>
          </cell>
          <cell r="M586">
            <v>0</v>
          </cell>
        </row>
        <row r="587">
          <cell r="B587" t="str">
            <v>RE03-014</v>
          </cell>
          <cell r="C587" t="str">
            <v>1.01.01.01</v>
          </cell>
          <cell r="D587">
            <v>41353</v>
          </cell>
          <cell r="E587" t="str">
            <v xml:space="preserve">DIGITROL </v>
          </cell>
          <cell r="F587" t="str">
            <v>DEVOLUÇÃO DE VALOR PARA POSTAGEM SEDEX</v>
          </cell>
          <cell r="G587" t="str">
            <v>C</v>
          </cell>
          <cell r="H587">
            <v>0</v>
          </cell>
          <cell r="I587">
            <v>19.5</v>
          </cell>
          <cell r="J587" t="str">
            <v>X</v>
          </cell>
          <cell r="K587">
            <v>1417424.47</v>
          </cell>
          <cell r="L587">
            <v>1417424.47</v>
          </cell>
          <cell r="M587">
            <v>0</v>
          </cell>
        </row>
        <row r="588">
          <cell r="B588" t="str">
            <v>RE03-015</v>
          </cell>
          <cell r="C588" t="str">
            <v>1.01.04.01</v>
          </cell>
          <cell r="D588">
            <v>41353</v>
          </cell>
          <cell r="E588" t="str">
            <v xml:space="preserve">BANCO ITAÚ </v>
          </cell>
          <cell r="F588" t="str">
            <v xml:space="preserve">RENDIMENTO DE APLICAÇÃO </v>
          </cell>
          <cell r="G588" t="str">
            <v>C</v>
          </cell>
          <cell r="H588">
            <v>0</v>
          </cell>
          <cell r="I588">
            <v>41.87</v>
          </cell>
          <cell r="J588" t="str">
            <v>X</v>
          </cell>
          <cell r="K588">
            <v>1417466.34</v>
          </cell>
          <cell r="L588">
            <v>1417466.34</v>
          </cell>
          <cell r="M588">
            <v>0</v>
          </cell>
        </row>
        <row r="589">
          <cell r="B589" t="str">
            <v>03-024</v>
          </cell>
          <cell r="C589" t="str">
            <v>2.02.01.09</v>
          </cell>
          <cell r="D589">
            <v>41353</v>
          </cell>
          <cell r="E589" t="str">
            <v>Instituto Nacional do Seguro Social</v>
          </cell>
          <cell r="F589" t="str">
            <v>GPS FUNCIONÁRIOS SANESALTO REF 02/2013</v>
          </cell>
          <cell r="G589" t="str">
            <v>D</v>
          </cell>
          <cell r="H589">
            <v>22814.47</v>
          </cell>
          <cell r="I589">
            <v>0</v>
          </cell>
          <cell r="J589" t="str">
            <v>X</v>
          </cell>
          <cell r="K589">
            <v>1394651.87</v>
          </cell>
          <cell r="L589">
            <v>1394651.87</v>
          </cell>
          <cell r="M589">
            <v>0</v>
          </cell>
        </row>
        <row r="590">
          <cell r="B590" t="str">
            <v>03-055</v>
          </cell>
          <cell r="C590" t="str">
            <v>2.02.03.16</v>
          </cell>
          <cell r="D590">
            <v>41353</v>
          </cell>
          <cell r="E590" t="str">
            <v xml:space="preserve">GMF GESTÃO DE MEDIÇÃO E FATURAMENTO </v>
          </cell>
          <cell r="F590" t="str">
            <v>LICENÇA DE USO DO SISTEMA DE GESTÃO COMERCIAL INTELIGEST</v>
          </cell>
          <cell r="G590" t="str">
            <v>D</v>
          </cell>
          <cell r="H590">
            <v>13862.41</v>
          </cell>
          <cell r="I590">
            <v>0</v>
          </cell>
          <cell r="J590" t="str">
            <v>X</v>
          </cell>
          <cell r="K590">
            <v>1380789.4600000002</v>
          </cell>
          <cell r="L590">
            <v>1380789.4600000002</v>
          </cell>
          <cell r="M590">
            <v>364</v>
          </cell>
        </row>
        <row r="591">
          <cell r="B591" t="str">
            <v>03-022</v>
          </cell>
          <cell r="C591" t="str">
            <v>2.02.01.08</v>
          </cell>
          <cell r="D591">
            <v>41353</v>
          </cell>
          <cell r="E591" t="str">
            <v>SECRETARIA DA RECEITA FEDERAL DO BRASIL</v>
          </cell>
          <cell r="F591" t="str">
            <v>DARF PRÓ-LABORE</v>
          </cell>
          <cell r="G591" t="str">
            <v>D</v>
          </cell>
          <cell r="H591">
            <v>5750.14</v>
          </cell>
          <cell r="I591">
            <v>0</v>
          </cell>
          <cell r="J591" t="str">
            <v>X</v>
          </cell>
          <cell r="K591">
            <v>1375039.3200000003</v>
          </cell>
          <cell r="L591">
            <v>1375039.3200000003</v>
          </cell>
          <cell r="M591">
            <v>0</v>
          </cell>
        </row>
        <row r="592">
          <cell r="B592" t="str">
            <v>03-056</v>
          </cell>
          <cell r="C592" t="str">
            <v>2.02.03.16</v>
          </cell>
          <cell r="D592">
            <v>41353</v>
          </cell>
          <cell r="E592" t="str">
            <v xml:space="preserve">GMF GESTÃO DE MEDIÇÃO E FATURAMENTO </v>
          </cell>
          <cell r="F592" t="str">
            <v>LICENÇA DE USO DO SOFTWARE TINOS</v>
          </cell>
          <cell r="G592" t="str">
            <v>D</v>
          </cell>
          <cell r="H592">
            <v>3144.51</v>
          </cell>
          <cell r="I592">
            <v>0</v>
          </cell>
          <cell r="J592" t="str">
            <v>X</v>
          </cell>
          <cell r="K592">
            <v>1371894.8100000003</v>
          </cell>
          <cell r="L592">
            <v>1371894.8100000003</v>
          </cell>
          <cell r="M592">
            <v>365</v>
          </cell>
        </row>
        <row r="593">
          <cell r="B593" t="str">
            <v>002-079/1</v>
          </cell>
          <cell r="C593" t="str">
            <v>2.01.01.12</v>
          </cell>
          <cell r="D593">
            <v>41353</v>
          </cell>
          <cell r="E593" t="str">
            <v>NEW LINE UNIFORMES LTDA EPP</v>
          </cell>
          <cell r="F593" t="str">
            <v>COMPRA DE UNIFORMES PARA SANESALTO LEITURISTA E ETE</v>
          </cell>
          <cell r="G593" t="str">
            <v>D</v>
          </cell>
          <cell r="H593">
            <v>3082</v>
          </cell>
          <cell r="I593">
            <v>0</v>
          </cell>
          <cell r="J593" t="str">
            <v>X</v>
          </cell>
          <cell r="K593">
            <v>1368812.8100000003</v>
          </cell>
          <cell r="L593">
            <v>1368812.8100000003</v>
          </cell>
          <cell r="M593">
            <v>981</v>
          </cell>
        </row>
        <row r="594">
          <cell r="B594" t="str">
            <v>03-089</v>
          </cell>
          <cell r="C594" t="str">
            <v>2.03.01.05</v>
          </cell>
          <cell r="D594">
            <v>41353</v>
          </cell>
          <cell r="E594" t="str">
            <v>PREFEITURA DA ESTÂNCIA TURÍSTICA DE SALTO</v>
          </cell>
          <cell r="F594" t="str">
            <v>GUIA GISS ONLINE ISSQN</v>
          </cell>
          <cell r="G594" t="str">
            <v>D</v>
          </cell>
          <cell r="H594">
            <v>2472.4699999999998</v>
          </cell>
          <cell r="I594">
            <v>0</v>
          </cell>
          <cell r="J594" t="str">
            <v>X</v>
          </cell>
          <cell r="K594">
            <v>1366340.3400000003</v>
          </cell>
          <cell r="L594">
            <v>1366340.3400000003</v>
          </cell>
          <cell r="M594">
            <v>1453082</v>
          </cell>
        </row>
        <row r="595">
          <cell r="B595" t="str">
            <v>002-106</v>
          </cell>
          <cell r="C595" t="str">
            <v>2.01.05.05</v>
          </cell>
          <cell r="D595">
            <v>41353</v>
          </cell>
          <cell r="E595" t="str">
            <v>ACQUALAB LABORATÓRIO E CONSULTORIA AMBIENTAL S/S LTDA</v>
          </cell>
          <cell r="F595" t="str">
            <v>Serviços de Analise e Serv Tecnico de Amostragem e Transporte de Amostras</v>
          </cell>
          <cell r="G595" t="str">
            <v>D</v>
          </cell>
          <cell r="H595">
            <v>2166.02</v>
          </cell>
          <cell r="I595">
            <v>0</v>
          </cell>
          <cell r="J595" t="str">
            <v>X</v>
          </cell>
          <cell r="K595">
            <v>1364174.3200000003</v>
          </cell>
          <cell r="L595">
            <v>1364174.3200000003</v>
          </cell>
          <cell r="M595">
            <v>2115</v>
          </cell>
        </row>
        <row r="596">
          <cell r="B596" t="str">
            <v>002-136</v>
          </cell>
          <cell r="C596" t="str">
            <v>2.02.01.09</v>
          </cell>
          <cell r="D596">
            <v>41353</v>
          </cell>
          <cell r="E596" t="str">
            <v>Instituto Nacional do Seguro Social</v>
          </cell>
          <cell r="F596" t="str">
            <v>GPS NF 372 HF ANDRADE</v>
          </cell>
          <cell r="G596" t="str">
            <v>D</v>
          </cell>
          <cell r="H596">
            <v>1800.06</v>
          </cell>
          <cell r="I596">
            <v>0</v>
          </cell>
          <cell r="J596" t="str">
            <v>X</v>
          </cell>
          <cell r="K596">
            <v>1362374.2600000002</v>
          </cell>
          <cell r="L596">
            <v>1362374.2600000002</v>
          </cell>
          <cell r="M596">
            <v>372</v>
          </cell>
        </row>
        <row r="597">
          <cell r="B597" t="str">
            <v>03-011</v>
          </cell>
          <cell r="C597" t="str">
            <v>2.01.03.11</v>
          </cell>
          <cell r="D597">
            <v>41353</v>
          </cell>
          <cell r="E597" t="str">
            <v xml:space="preserve">MARIA ELIETE LOPES FELICIANO </v>
          </cell>
          <cell r="F597" t="str">
            <v>PRESTAÇÃO DE SERVIÇOS DE CONSTRUÇÃO DE CALÇADA AV. BRASÍLIA</v>
          </cell>
          <cell r="G597" t="str">
            <v>D</v>
          </cell>
          <cell r="H597">
            <v>1615</v>
          </cell>
          <cell r="I597">
            <v>0</v>
          </cell>
          <cell r="J597" t="str">
            <v>X</v>
          </cell>
          <cell r="K597">
            <v>1360759.2600000002</v>
          </cell>
          <cell r="L597">
            <v>1360759.2600000002</v>
          </cell>
          <cell r="M597">
            <v>151</v>
          </cell>
        </row>
        <row r="598">
          <cell r="B598" t="str">
            <v>03-023</v>
          </cell>
          <cell r="C598" t="str">
            <v>2.02.01.01</v>
          </cell>
          <cell r="D598">
            <v>41353</v>
          </cell>
          <cell r="E598" t="str">
            <v>SECRETARIA DA RECEITA FEDERAL DO BRASIL</v>
          </cell>
          <cell r="F598" t="str">
            <v>DARF PAGAMENTO SANESALTO</v>
          </cell>
          <cell r="G598" t="str">
            <v>D</v>
          </cell>
          <cell r="H598">
            <v>1237.47</v>
          </cell>
          <cell r="I598">
            <v>0</v>
          </cell>
          <cell r="J598" t="str">
            <v>X</v>
          </cell>
          <cell r="K598">
            <v>1359521.7900000003</v>
          </cell>
          <cell r="L598">
            <v>1359521.7900000003</v>
          </cell>
          <cell r="M598">
            <v>0</v>
          </cell>
        </row>
        <row r="599">
          <cell r="B599" t="str">
            <v>03-008/1</v>
          </cell>
          <cell r="C599" t="str">
            <v>2.07.01.03</v>
          </cell>
          <cell r="D599">
            <v>41353</v>
          </cell>
          <cell r="E599" t="str">
            <v>BR CONNECTION COM E SERV DE INFORMÁTICA</v>
          </cell>
          <cell r="F599" t="str">
            <v>LICENÇA/ATUALIZAÇÃO</v>
          </cell>
          <cell r="G599" t="str">
            <v>D</v>
          </cell>
          <cell r="H599">
            <v>575.46</v>
          </cell>
          <cell r="I599">
            <v>0</v>
          </cell>
          <cell r="J599" t="str">
            <v>X</v>
          </cell>
          <cell r="K599">
            <v>1358946.3300000003</v>
          </cell>
          <cell r="L599">
            <v>1358946.3300000003</v>
          </cell>
          <cell r="M599">
            <v>71519</v>
          </cell>
        </row>
        <row r="600">
          <cell r="B600" t="str">
            <v>03-072</v>
          </cell>
          <cell r="C600" t="str">
            <v>2.02.01.04</v>
          </cell>
          <cell r="D600">
            <v>41353</v>
          </cell>
          <cell r="E600" t="str">
            <v>UNIMED DE SALTO ITU COOP TRAB MÉDICO</v>
          </cell>
          <cell r="F600" t="str">
            <v>CONSULTA DOS FUNCIONÁRIOS 02/2013</v>
          </cell>
          <cell r="G600" t="str">
            <v>D</v>
          </cell>
          <cell r="H600">
            <v>386.64</v>
          </cell>
          <cell r="I600">
            <v>0</v>
          </cell>
          <cell r="J600" t="str">
            <v>X</v>
          </cell>
          <cell r="K600">
            <v>1358559.6900000004</v>
          </cell>
          <cell r="L600">
            <v>1358559.6900000004</v>
          </cell>
          <cell r="M600" t="str">
            <v>33000312/13</v>
          </cell>
        </row>
        <row r="601">
          <cell r="B601" t="str">
            <v>03-070</v>
          </cell>
          <cell r="C601" t="str">
            <v>2.02.03.23</v>
          </cell>
          <cell r="D601">
            <v>41353</v>
          </cell>
          <cell r="E601" t="str">
            <v>MERCOLINEIT TEC CONSULT E DESENVOLVIMENTO Ltda. EPP</v>
          </cell>
          <cell r="F601" t="str">
            <v>GESTÃO DE REQUISITOS LEGAIS APLICAVÉIS NO AMBITO DO MEIO AMBIENTE REF MAR/2013</v>
          </cell>
          <cell r="G601" t="str">
            <v>D</v>
          </cell>
          <cell r="H601">
            <v>300</v>
          </cell>
          <cell r="I601">
            <v>0</v>
          </cell>
          <cell r="J601" t="str">
            <v>X</v>
          </cell>
          <cell r="K601">
            <v>1358259.6900000004</v>
          </cell>
          <cell r="L601">
            <v>1358259.6900000004</v>
          </cell>
          <cell r="M601">
            <v>937</v>
          </cell>
        </row>
        <row r="602">
          <cell r="B602" t="str">
            <v>002-112</v>
          </cell>
          <cell r="C602" t="str">
            <v>2.02.01.09</v>
          </cell>
          <cell r="D602">
            <v>41353</v>
          </cell>
          <cell r="E602" t="str">
            <v>Instituto Nacional do Seguro Social</v>
          </cell>
          <cell r="F602" t="str">
            <v>GPS NF 149 MARIA E L FELICIANO</v>
          </cell>
          <cell r="G602" t="str">
            <v>D</v>
          </cell>
          <cell r="H602">
            <v>275</v>
          </cell>
          <cell r="I602">
            <v>0</v>
          </cell>
          <cell r="J602" t="str">
            <v>X</v>
          </cell>
          <cell r="K602">
            <v>1357984.6900000004</v>
          </cell>
          <cell r="L602">
            <v>1357984.6900000004</v>
          </cell>
          <cell r="M602">
            <v>0</v>
          </cell>
        </row>
        <row r="603">
          <cell r="B603" t="str">
            <v>002-111</v>
          </cell>
          <cell r="C603" t="str">
            <v>2.02.01.09</v>
          </cell>
          <cell r="D603">
            <v>41353</v>
          </cell>
          <cell r="E603" t="str">
            <v>Instituto Nacional do Seguro Social</v>
          </cell>
          <cell r="F603" t="str">
            <v>GPS NF 148 MARIA E L FELICIANO</v>
          </cell>
          <cell r="G603" t="str">
            <v>D</v>
          </cell>
          <cell r="H603">
            <v>220</v>
          </cell>
          <cell r="I603">
            <v>0</v>
          </cell>
          <cell r="J603" t="str">
            <v>X</v>
          </cell>
          <cell r="K603">
            <v>1357764.6900000004</v>
          </cell>
          <cell r="L603">
            <v>1357764.6900000004</v>
          </cell>
          <cell r="M603">
            <v>0</v>
          </cell>
        </row>
        <row r="604">
          <cell r="B604" t="str">
            <v>002-091</v>
          </cell>
          <cell r="C604" t="str">
            <v>2.01.05.10</v>
          </cell>
          <cell r="D604">
            <v>41353</v>
          </cell>
          <cell r="E604" t="str">
            <v>SECRETARIA DA RECEITA FEDERAL DO BRASIL</v>
          </cell>
          <cell r="F604" t="str">
            <v>DARF REF NF 10079 CORPUS IR</v>
          </cell>
          <cell r="G604" t="str">
            <v>D</v>
          </cell>
          <cell r="H604">
            <v>172.13</v>
          </cell>
          <cell r="I604">
            <v>0</v>
          </cell>
          <cell r="J604" t="str">
            <v>X</v>
          </cell>
          <cell r="K604">
            <v>1357592.5600000005</v>
          </cell>
          <cell r="L604">
            <v>1357592.5600000005</v>
          </cell>
          <cell r="M604">
            <v>0</v>
          </cell>
        </row>
        <row r="605">
          <cell r="B605" t="str">
            <v>002-040</v>
          </cell>
          <cell r="C605" t="str">
            <v>2.02.01.09</v>
          </cell>
          <cell r="D605">
            <v>41353</v>
          </cell>
          <cell r="E605" t="str">
            <v>Instituto Nacional do Seguro Social</v>
          </cell>
          <cell r="F605" t="str">
            <v>GPS NF 3388 SUDOESTE</v>
          </cell>
          <cell r="G605" t="str">
            <v>D</v>
          </cell>
          <cell r="H605">
            <v>140.13999999999999</v>
          </cell>
          <cell r="I605">
            <v>0</v>
          </cell>
          <cell r="J605" t="str">
            <v>X</v>
          </cell>
          <cell r="K605">
            <v>1357452.4200000006</v>
          </cell>
          <cell r="L605">
            <v>1357452.4200000006</v>
          </cell>
          <cell r="M605">
            <v>0</v>
          </cell>
        </row>
        <row r="606">
          <cell r="B606" t="str">
            <v>002-114</v>
          </cell>
          <cell r="C606" t="str">
            <v>2.01.03.16</v>
          </cell>
          <cell r="D606">
            <v>41353</v>
          </cell>
          <cell r="E606" t="str">
            <v xml:space="preserve">SALTO LUZ MATERIAIS ELÉTRICOS </v>
          </cell>
          <cell r="F606" t="str">
            <v>COMPRA DE MATERIAIS ELÉTRICOS PARA ETE</v>
          </cell>
          <cell r="G606" t="str">
            <v>D</v>
          </cell>
          <cell r="H606">
            <v>120.59</v>
          </cell>
          <cell r="I606">
            <v>0</v>
          </cell>
          <cell r="J606" t="str">
            <v>X</v>
          </cell>
          <cell r="K606">
            <v>1357331.8300000005</v>
          </cell>
          <cell r="L606">
            <v>1357331.8300000005</v>
          </cell>
          <cell r="M606">
            <v>12921</v>
          </cell>
        </row>
        <row r="607">
          <cell r="B607" t="str">
            <v>03-051</v>
          </cell>
          <cell r="C607" t="str">
            <v>2.02.03.19</v>
          </cell>
          <cell r="D607">
            <v>41353</v>
          </cell>
          <cell r="E607" t="str">
            <v>EDITORA TAPERÁ LTDA</v>
          </cell>
          <cell r="F607" t="str">
            <v xml:space="preserve">ANUNCIO DE PUBLICIDADE </v>
          </cell>
          <cell r="G607" t="str">
            <v>D</v>
          </cell>
          <cell r="H607">
            <v>120</v>
          </cell>
          <cell r="I607">
            <v>0</v>
          </cell>
          <cell r="J607" t="str">
            <v>X</v>
          </cell>
          <cell r="K607">
            <v>1357211.8300000005</v>
          </cell>
          <cell r="L607">
            <v>1357211.8300000005</v>
          </cell>
          <cell r="M607">
            <v>0</v>
          </cell>
        </row>
        <row r="608">
          <cell r="B608" t="str">
            <v>002-113</v>
          </cell>
          <cell r="C608" t="str">
            <v>2.01.03.16</v>
          </cell>
          <cell r="D608">
            <v>41353</v>
          </cell>
          <cell r="E608" t="str">
            <v xml:space="preserve">SALTO LUZ MATERIAIS ELÉTRICOS </v>
          </cell>
          <cell r="F608" t="str">
            <v>COMPRA DE MATERIAIS ELÉTRICOS PARA ETE</v>
          </cell>
          <cell r="G608" t="str">
            <v>D</v>
          </cell>
          <cell r="H608">
            <v>87.53</v>
          </cell>
          <cell r="I608">
            <v>0</v>
          </cell>
          <cell r="J608" t="str">
            <v>X</v>
          </cell>
          <cell r="K608">
            <v>1357124.3000000005</v>
          </cell>
          <cell r="L608">
            <v>1357124.3000000005</v>
          </cell>
          <cell r="M608">
            <v>12923</v>
          </cell>
        </row>
        <row r="609">
          <cell r="B609" t="str">
            <v>002-109</v>
          </cell>
          <cell r="C609" t="str">
            <v>2.01.05.10</v>
          </cell>
          <cell r="D609">
            <v>41353</v>
          </cell>
          <cell r="E609" t="str">
            <v>SECRETARIA DA RECEITA FEDERAL DO BRASIL</v>
          </cell>
          <cell r="F609" t="str">
            <v>DARF  IR NF 2115 ACQUALAB</v>
          </cell>
          <cell r="G609" t="str">
            <v>D</v>
          </cell>
          <cell r="H609">
            <v>32.979999999999997</v>
          </cell>
          <cell r="I609">
            <v>0</v>
          </cell>
          <cell r="J609" t="str">
            <v>X</v>
          </cell>
          <cell r="K609">
            <v>1357091.3200000005</v>
          </cell>
          <cell r="L609">
            <v>1357091.3200000005</v>
          </cell>
          <cell r="M609">
            <v>0</v>
          </cell>
        </row>
        <row r="610">
          <cell r="B610" t="str">
            <v>002-110</v>
          </cell>
          <cell r="C610" t="str">
            <v>2.02.03.04</v>
          </cell>
          <cell r="D610">
            <v>41353</v>
          </cell>
          <cell r="E610" t="str">
            <v>SECRETARIA DA RECEITA FEDERAL DO BRASIL</v>
          </cell>
          <cell r="F610" t="str">
            <v>DARF IR NF 2171 CASLANO</v>
          </cell>
          <cell r="G610" t="str">
            <v>D</v>
          </cell>
          <cell r="H610">
            <v>27.92</v>
          </cell>
          <cell r="I610">
            <v>0</v>
          </cell>
          <cell r="J610" t="str">
            <v>X</v>
          </cell>
          <cell r="K610">
            <v>1357063.4000000006</v>
          </cell>
          <cell r="L610">
            <v>1357063.4000000006</v>
          </cell>
          <cell r="M610">
            <v>0</v>
          </cell>
        </row>
        <row r="611">
          <cell r="B611" t="str">
            <v>002-094</v>
          </cell>
          <cell r="C611" t="str">
            <v>2.01.05.10</v>
          </cell>
          <cell r="D611">
            <v>41353</v>
          </cell>
          <cell r="E611" t="str">
            <v>SECRETARIA DA RECEITA FEDERAL DO BRASIL</v>
          </cell>
          <cell r="F611" t="str">
            <v>DARF REF IR ALUGUEL REGIS</v>
          </cell>
          <cell r="G611" t="str">
            <v>D</v>
          </cell>
          <cell r="H611">
            <v>13.54</v>
          </cell>
          <cell r="I611">
            <v>0</v>
          </cell>
          <cell r="J611" t="str">
            <v>X</v>
          </cell>
          <cell r="K611">
            <v>1357049.8600000006</v>
          </cell>
          <cell r="L611">
            <v>1357049.8600000006</v>
          </cell>
          <cell r="M611">
            <v>0</v>
          </cell>
        </row>
        <row r="612">
          <cell r="B612" t="str">
            <v>002-093</v>
          </cell>
          <cell r="C612" t="str">
            <v>2.01.05.10</v>
          </cell>
          <cell r="D612">
            <v>41353</v>
          </cell>
          <cell r="E612" t="str">
            <v>SECRETARIA DA RECEITA FEDERAL DO BRASIL</v>
          </cell>
          <cell r="F612" t="str">
            <v>DARF REF IR ALUGUEL LETÍCIA</v>
          </cell>
          <cell r="G612" t="str">
            <v>D</v>
          </cell>
          <cell r="H612">
            <v>13.54</v>
          </cell>
          <cell r="I612">
            <v>0</v>
          </cell>
          <cell r="J612" t="str">
            <v>X</v>
          </cell>
          <cell r="K612">
            <v>1357036.3200000005</v>
          </cell>
          <cell r="L612">
            <v>1357036.3200000005</v>
          </cell>
          <cell r="M612">
            <v>0</v>
          </cell>
        </row>
        <row r="613">
          <cell r="B613" t="str">
            <v>03-090</v>
          </cell>
          <cell r="C613" t="str">
            <v>2.01.05.09</v>
          </cell>
          <cell r="D613">
            <v>41353</v>
          </cell>
          <cell r="E613" t="str">
            <v>TRANSTRIP LOCADORA DE VEICULOS</v>
          </cell>
          <cell r="F613" t="str">
            <v>VALOR COMPLEMENTAR DE BOLETO PAGO A MENOR N. DOC. 471</v>
          </cell>
          <cell r="G613" t="str">
            <v>D</v>
          </cell>
          <cell r="H613">
            <v>819</v>
          </cell>
          <cell r="I613">
            <v>0</v>
          </cell>
          <cell r="J613" t="str">
            <v>X</v>
          </cell>
          <cell r="K613">
            <v>1356217.3200000005</v>
          </cell>
          <cell r="L613">
            <v>1356217.3200000005</v>
          </cell>
          <cell r="M613">
            <v>0</v>
          </cell>
        </row>
        <row r="614">
          <cell r="B614" t="str">
            <v>03-096</v>
          </cell>
          <cell r="C614" t="str">
            <v>2.03.01.05</v>
          </cell>
          <cell r="D614">
            <v>41354</v>
          </cell>
          <cell r="E614" t="str">
            <v>PREFEITURA DA ESTÂNCIA TURÍSTICA DE SALTO</v>
          </cell>
          <cell r="F614" t="str">
            <v>GUIA GISS ONLINE ISSQN</v>
          </cell>
          <cell r="G614" t="str">
            <v>D</v>
          </cell>
          <cell r="H614">
            <v>97.93</v>
          </cell>
          <cell r="I614">
            <v>0</v>
          </cell>
          <cell r="J614" t="str">
            <v>X</v>
          </cell>
          <cell r="K614">
            <v>1356119.3900000006</v>
          </cell>
          <cell r="L614">
            <v>1356119.3900000006</v>
          </cell>
          <cell r="M614">
            <v>1453163</v>
          </cell>
        </row>
        <row r="615">
          <cell r="B615" t="str">
            <v>RE03-016</v>
          </cell>
          <cell r="C615" t="str">
            <v>1.01.04.01</v>
          </cell>
          <cell r="D615">
            <v>41355</v>
          </cell>
          <cell r="E615" t="str">
            <v xml:space="preserve">BANCO ITAÚ </v>
          </cell>
          <cell r="F615" t="str">
            <v xml:space="preserve">RENDIMENTO DE APLICAÇÃO </v>
          </cell>
          <cell r="G615" t="str">
            <v>C</v>
          </cell>
          <cell r="H615">
            <v>0</v>
          </cell>
          <cell r="I615">
            <v>0.05</v>
          </cell>
          <cell r="J615" t="str">
            <v>X</v>
          </cell>
          <cell r="K615">
            <v>1356119.4400000006</v>
          </cell>
          <cell r="L615">
            <v>1356119.4400000006</v>
          </cell>
          <cell r="M615">
            <v>0</v>
          </cell>
        </row>
        <row r="616">
          <cell r="B616" t="str">
            <v>03-101</v>
          </cell>
          <cell r="C616" t="str">
            <v>2.02.03.19</v>
          </cell>
          <cell r="D616">
            <v>41355</v>
          </cell>
          <cell r="E616" t="str">
            <v>TRI ESPORTES PROMOÇÕES E EVENTOS LTDA</v>
          </cell>
          <cell r="F616" t="str">
            <v xml:space="preserve">PATROCIONIO ATLETISMO </v>
          </cell>
          <cell r="G616" t="str">
            <v>D</v>
          </cell>
          <cell r="H616">
            <v>70</v>
          </cell>
          <cell r="I616">
            <v>0</v>
          </cell>
          <cell r="J616" t="str">
            <v>X</v>
          </cell>
          <cell r="K616">
            <v>1356049.4400000006</v>
          </cell>
          <cell r="L616">
            <v>1356049.4400000006</v>
          </cell>
          <cell r="M616">
            <v>0</v>
          </cell>
        </row>
        <row r="617">
          <cell r="B617" t="str">
            <v>RE03-017</v>
          </cell>
          <cell r="C617" t="str">
            <v>1.01.04.01</v>
          </cell>
          <cell r="D617">
            <v>41358</v>
          </cell>
          <cell r="E617" t="str">
            <v xml:space="preserve">BANCO ITAÚ </v>
          </cell>
          <cell r="F617" t="str">
            <v xml:space="preserve">RENDIMENTO DE APLICAÇÃO </v>
          </cell>
          <cell r="G617" t="str">
            <v>C</v>
          </cell>
          <cell r="H617">
            <v>0</v>
          </cell>
          <cell r="I617">
            <v>70.02</v>
          </cell>
          <cell r="J617" t="str">
            <v>X</v>
          </cell>
          <cell r="K617">
            <v>1356119.4600000007</v>
          </cell>
          <cell r="L617">
            <v>1356119.4600000007</v>
          </cell>
          <cell r="M617">
            <v>0</v>
          </cell>
        </row>
        <row r="618">
          <cell r="B618" t="str">
            <v>RE03-018</v>
          </cell>
          <cell r="C618" t="str">
            <v>1.01.01.01</v>
          </cell>
          <cell r="D618">
            <v>41358</v>
          </cell>
          <cell r="E618" t="str">
            <v>SANESALTO SANEAMENTO S/A</v>
          </cell>
          <cell r="F618" t="str">
            <v>MEDIÇÃO DE 16 A 22/03/2013</v>
          </cell>
          <cell r="G618" t="str">
            <v>C</v>
          </cell>
          <cell r="H618">
            <v>0</v>
          </cell>
          <cell r="I618">
            <v>130102.3</v>
          </cell>
          <cell r="J618" t="str">
            <v>X</v>
          </cell>
          <cell r="K618">
            <v>1486221.7600000007</v>
          </cell>
          <cell r="L618">
            <v>1486221.7600000007</v>
          </cell>
          <cell r="M618">
            <v>0</v>
          </cell>
        </row>
        <row r="619">
          <cell r="B619" t="str">
            <v>03-110</v>
          </cell>
          <cell r="C619" t="str">
            <v>2.05.01.02</v>
          </cell>
          <cell r="D619">
            <v>41358</v>
          </cell>
          <cell r="E619" t="str">
            <v>BANCO ITAÚ S/A</v>
          </cell>
          <cell r="F619" t="str">
            <v>TARIFA ENV EXTRAT CONS 03/2013</v>
          </cell>
          <cell r="G619" t="str">
            <v>D</v>
          </cell>
          <cell r="H619">
            <v>4</v>
          </cell>
          <cell r="I619">
            <v>0</v>
          </cell>
          <cell r="J619" t="str">
            <v>X</v>
          </cell>
          <cell r="K619">
            <v>1486217.7600000007</v>
          </cell>
          <cell r="L619">
            <v>1486217.7600000007</v>
          </cell>
          <cell r="M619">
            <v>0</v>
          </cell>
        </row>
        <row r="620">
          <cell r="B620" t="str">
            <v>03-012</v>
          </cell>
          <cell r="C620" t="str">
            <v>2.01.03.12</v>
          </cell>
          <cell r="D620">
            <v>41358</v>
          </cell>
          <cell r="E620" t="str">
            <v>COMERCIAL DE PARAFUSOS SALTENSE LTDA EPP</v>
          </cell>
          <cell r="F620" t="str">
            <v>COMPRA DE MATERIAIS DIVERSOS</v>
          </cell>
          <cell r="G620" t="str">
            <v>D</v>
          </cell>
          <cell r="H620">
            <v>156.03</v>
          </cell>
          <cell r="I620">
            <v>0</v>
          </cell>
          <cell r="J620" t="str">
            <v>X</v>
          </cell>
          <cell r="K620">
            <v>1486061.7300000007</v>
          </cell>
          <cell r="L620">
            <v>1486061.7300000007</v>
          </cell>
          <cell r="M620">
            <v>35137</v>
          </cell>
        </row>
        <row r="621">
          <cell r="B621" t="str">
            <v>03-060</v>
          </cell>
          <cell r="C621" t="str">
            <v>2.01.03.09</v>
          </cell>
          <cell r="D621">
            <v>41358</v>
          </cell>
          <cell r="E621" t="str">
            <v>COMPANHIA PIRATININGA DE FORÇA E LUZ - CPFL</v>
          </cell>
          <cell r="F621" t="str">
            <v>CONTA DE ENERGIA ETE REF 03/2013</v>
          </cell>
          <cell r="G621" t="str">
            <v>D</v>
          </cell>
          <cell r="H621">
            <v>8366.61</v>
          </cell>
          <cell r="I621">
            <v>0</v>
          </cell>
          <cell r="J621" t="str">
            <v>X</v>
          </cell>
          <cell r="K621">
            <v>1477695.1200000006</v>
          </cell>
          <cell r="L621">
            <v>1477695.1200000006</v>
          </cell>
          <cell r="M621">
            <v>0</v>
          </cell>
        </row>
        <row r="622">
          <cell r="B622" t="str">
            <v>03-067</v>
          </cell>
          <cell r="C622" t="str">
            <v>2.01.03.09</v>
          </cell>
          <cell r="D622">
            <v>41358</v>
          </cell>
          <cell r="E622" t="str">
            <v>COMPANHIA PIRATININGA DE FORÇA E LUZ - CPFL</v>
          </cell>
          <cell r="F622" t="str">
            <v>CONTA DE ENERGIA ELEV BURU 02 REF 03/2013</v>
          </cell>
          <cell r="G622" t="str">
            <v>D</v>
          </cell>
          <cell r="H622">
            <v>11798.79</v>
          </cell>
          <cell r="I622">
            <v>0</v>
          </cell>
          <cell r="J622" t="str">
            <v>X</v>
          </cell>
          <cell r="K622">
            <v>1465896.3300000005</v>
          </cell>
          <cell r="L622">
            <v>1465896.3300000005</v>
          </cell>
          <cell r="M622">
            <v>0</v>
          </cell>
        </row>
        <row r="623">
          <cell r="B623" t="str">
            <v>03-068</v>
          </cell>
          <cell r="C623" t="str">
            <v>2.01.03.09</v>
          </cell>
          <cell r="D623">
            <v>41358</v>
          </cell>
          <cell r="E623" t="str">
            <v>COMPANHIA PIRATININGA DE FORÇA E LUZ - CPFL</v>
          </cell>
          <cell r="F623" t="str">
            <v>CONTA DE ENERGIA ELEV BURU 01 REF 03/2013</v>
          </cell>
          <cell r="G623" t="str">
            <v>D</v>
          </cell>
          <cell r="H623">
            <v>12080.47</v>
          </cell>
          <cell r="I623">
            <v>0</v>
          </cell>
          <cell r="J623" t="str">
            <v>X</v>
          </cell>
          <cell r="K623">
            <v>1453815.8600000006</v>
          </cell>
          <cell r="L623">
            <v>1453815.8600000006</v>
          </cell>
          <cell r="M623">
            <v>0</v>
          </cell>
        </row>
        <row r="624">
          <cell r="B624" t="str">
            <v>03-059</v>
          </cell>
          <cell r="C624" t="str">
            <v>2.01.03.09</v>
          </cell>
          <cell r="D624">
            <v>41358</v>
          </cell>
          <cell r="E624" t="str">
            <v>COMPANHIA PIRATININGA DE FORÇA E LUZ - CPFL</v>
          </cell>
          <cell r="F624" t="str">
            <v>CONTA DE ENERGIA ELEV GUARAÚ 01 REF 03/2013</v>
          </cell>
          <cell r="G624" t="str">
            <v>D</v>
          </cell>
          <cell r="H624">
            <v>3652.54</v>
          </cell>
          <cell r="I624">
            <v>0</v>
          </cell>
          <cell r="J624" t="str">
            <v>X</v>
          </cell>
          <cell r="K624">
            <v>1450163.3200000005</v>
          </cell>
          <cell r="L624">
            <v>1450163.3200000005</v>
          </cell>
          <cell r="M624">
            <v>0</v>
          </cell>
        </row>
        <row r="625">
          <cell r="B625" t="str">
            <v>03-065</v>
          </cell>
          <cell r="C625" t="str">
            <v>2.01.03.09</v>
          </cell>
          <cell r="D625">
            <v>41358</v>
          </cell>
          <cell r="E625" t="str">
            <v>COMPANHIA PIRATININGA DE FORÇA E LUZ - CPFL</v>
          </cell>
          <cell r="F625" t="str">
            <v>CONTA DE ENERGIA ELEV 01 REF 03/2013</v>
          </cell>
          <cell r="G625" t="str">
            <v>D</v>
          </cell>
          <cell r="H625">
            <v>4379.16</v>
          </cell>
          <cell r="I625">
            <v>0</v>
          </cell>
          <cell r="J625" t="str">
            <v>X</v>
          </cell>
          <cell r="K625">
            <v>1445784.1600000006</v>
          </cell>
          <cell r="L625">
            <v>1445784.1600000006</v>
          </cell>
          <cell r="M625">
            <v>0</v>
          </cell>
        </row>
        <row r="626">
          <cell r="B626" t="str">
            <v>03-066</v>
          </cell>
          <cell r="C626" t="str">
            <v>2.01.03.09</v>
          </cell>
          <cell r="D626">
            <v>41358</v>
          </cell>
          <cell r="E626" t="str">
            <v>COMPANHIA PIRATININGA DE FORÇA E LUZ - CPFL</v>
          </cell>
          <cell r="F626" t="str">
            <v>CONTA DE ENERGIA ELEV FINAL REF 03/2013</v>
          </cell>
          <cell r="G626" t="str">
            <v>D</v>
          </cell>
          <cell r="H626">
            <v>16338.99</v>
          </cell>
          <cell r="I626">
            <v>0</v>
          </cell>
          <cell r="J626" t="str">
            <v>X</v>
          </cell>
          <cell r="K626">
            <v>1429445.1700000006</v>
          </cell>
          <cell r="L626">
            <v>1429445.1700000006</v>
          </cell>
          <cell r="M626">
            <v>0</v>
          </cell>
        </row>
        <row r="627">
          <cell r="B627" t="str">
            <v>03-098</v>
          </cell>
          <cell r="C627" t="str">
            <v>2.02.02.04</v>
          </cell>
          <cell r="D627">
            <v>41358</v>
          </cell>
          <cell r="E627" t="str">
            <v>VIVO S/A</v>
          </cell>
          <cell r="F627" t="str">
            <v xml:space="preserve">PCTE VIVO INTERNET 1 GB </v>
          </cell>
          <cell r="G627" t="str">
            <v>D</v>
          </cell>
          <cell r="H627">
            <v>151.80000000000001</v>
          </cell>
          <cell r="I627">
            <v>0</v>
          </cell>
          <cell r="J627" t="str">
            <v>X</v>
          </cell>
          <cell r="K627">
            <v>1429293.3700000006</v>
          </cell>
          <cell r="L627">
            <v>1429293.3700000006</v>
          </cell>
          <cell r="M627">
            <v>2063756013</v>
          </cell>
        </row>
        <row r="628">
          <cell r="B628" t="str">
            <v>002-123</v>
          </cell>
          <cell r="C628" t="str">
            <v>2.01.05.08</v>
          </cell>
          <cell r="D628">
            <v>41358</v>
          </cell>
          <cell r="E628" t="str">
            <v>GRACIANO FERREIRA S/C Ltda. ME</v>
          </cell>
          <cell r="F628" t="str">
            <v xml:space="preserve">PRESTAÇÃO DE SERVIÇO DE GUINDASTE </v>
          </cell>
          <cell r="G628" t="str">
            <v>D</v>
          </cell>
          <cell r="H628">
            <v>400</v>
          </cell>
          <cell r="I628">
            <v>0</v>
          </cell>
          <cell r="J628" t="str">
            <v>X</v>
          </cell>
          <cell r="K628">
            <v>1428893.3700000006</v>
          </cell>
          <cell r="L628">
            <v>1428893.3700000006</v>
          </cell>
          <cell r="M628">
            <v>229</v>
          </cell>
        </row>
        <row r="629">
          <cell r="B629" t="str">
            <v>03-057</v>
          </cell>
          <cell r="C629" t="str">
            <v>2.01.05.04</v>
          </cell>
          <cell r="D629">
            <v>41358</v>
          </cell>
          <cell r="E629" t="str">
            <v>BERZIN ASSISTÊNCIA TÉCNICA DE INFORMÁTICA Ltda.</v>
          </cell>
          <cell r="F629" t="str">
            <v>SERVIÇOS DE CONSULTORIA PRESTADOS EM FEV/2013</v>
          </cell>
          <cell r="G629" t="str">
            <v>D</v>
          </cell>
          <cell r="H629">
            <v>3433.69</v>
          </cell>
          <cell r="I629">
            <v>0</v>
          </cell>
          <cell r="J629" t="str">
            <v>X</v>
          </cell>
          <cell r="K629">
            <v>1425459.6800000006</v>
          </cell>
          <cell r="L629">
            <v>1425459.6800000006</v>
          </cell>
          <cell r="M629">
            <v>345</v>
          </cell>
        </row>
        <row r="630">
          <cell r="B630" t="str">
            <v>03-109</v>
          </cell>
          <cell r="C630" t="str">
            <v>2.02.02.04</v>
          </cell>
          <cell r="D630">
            <v>41358</v>
          </cell>
          <cell r="E630" t="str">
            <v>NEXTEL TELECOMUNICAÇÕES</v>
          </cell>
          <cell r="F630" t="str">
            <v>PERIODO DE 07/01 A 06/02/2013</v>
          </cell>
          <cell r="G630" t="str">
            <v>D</v>
          </cell>
          <cell r="H630">
            <v>1322.93</v>
          </cell>
          <cell r="I630">
            <v>0</v>
          </cell>
          <cell r="J630" t="str">
            <v>X</v>
          </cell>
          <cell r="K630">
            <v>1424136.7500000007</v>
          </cell>
          <cell r="L630">
            <v>1424136.7500000007</v>
          </cell>
          <cell r="M630">
            <v>11558527</v>
          </cell>
        </row>
        <row r="631">
          <cell r="B631" t="str">
            <v>03-108</v>
          </cell>
          <cell r="C631" t="str">
            <v>2.02.02.04</v>
          </cell>
          <cell r="D631">
            <v>41358</v>
          </cell>
          <cell r="E631" t="str">
            <v>NEXTEL TELECOMUNICAÇÕES</v>
          </cell>
          <cell r="F631" t="str">
            <v>PERIODO DE 07/01 A 06/02/2013</v>
          </cell>
          <cell r="G631" t="str">
            <v>D</v>
          </cell>
          <cell r="H631">
            <v>530.88</v>
          </cell>
          <cell r="I631">
            <v>0</v>
          </cell>
          <cell r="J631" t="str">
            <v>X</v>
          </cell>
          <cell r="K631">
            <v>1423605.8700000008</v>
          </cell>
          <cell r="L631">
            <v>1423605.8700000008</v>
          </cell>
          <cell r="M631">
            <v>11585925</v>
          </cell>
        </row>
        <row r="632">
          <cell r="B632" t="str">
            <v>03-107</v>
          </cell>
          <cell r="C632" t="str">
            <v>2.02.02.04</v>
          </cell>
          <cell r="D632">
            <v>41358</v>
          </cell>
          <cell r="E632" t="str">
            <v>NEXTEL TELECOMUNICAÇÕES</v>
          </cell>
          <cell r="F632" t="str">
            <v>PERIODO DE 07/01 A 06/02/2013</v>
          </cell>
          <cell r="G632" t="str">
            <v>D</v>
          </cell>
          <cell r="H632">
            <v>302.89999999999998</v>
          </cell>
          <cell r="I632">
            <v>0</v>
          </cell>
          <cell r="J632" t="str">
            <v>X</v>
          </cell>
          <cell r="K632">
            <v>1423302.9700000009</v>
          </cell>
          <cell r="L632">
            <v>1423302.9700000009</v>
          </cell>
          <cell r="M632">
            <v>11571291</v>
          </cell>
        </row>
        <row r="633">
          <cell r="B633" t="str">
            <v>03-106</v>
          </cell>
          <cell r="C633" t="str">
            <v>1.01.02.02</v>
          </cell>
          <cell r="D633">
            <v>41358</v>
          </cell>
          <cell r="E633" t="str">
            <v>SECRETARIA DA RECEITA FEDERAL DO BRASIL</v>
          </cell>
          <cell r="F633" t="str">
            <v>DARF PIS REF 02/2013</v>
          </cell>
          <cell r="G633" t="str">
            <v>D</v>
          </cell>
          <cell r="H633">
            <v>13340.11</v>
          </cell>
          <cell r="I633">
            <v>0</v>
          </cell>
          <cell r="J633" t="str">
            <v>X</v>
          </cell>
          <cell r="K633">
            <v>1409962.8600000008</v>
          </cell>
          <cell r="L633">
            <v>1409962.8600000008</v>
          </cell>
          <cell r="M633">
            <v>0</v>
          </cell>
        </row>
        <row r="634">
          <cell r="B634" t="str">
            <v>03-105</v>
          </cell>
          <cell r="C634" t="str">
            <v>1.01.02.03</v>
          </cell>
          <cell r="D634">
            <v>41358</v>
          </cell>
          <cell r="E634" t="str">
            <v>SECRETARIA DA RECEITA FEDERAL DO BRASIL</v>
          </cell>
          <cell r="F634" t="str">
            <v>DARF COFINS REF 01/2013</v>
          </cell>
          <cell r="G634" t="str">
            <v>D</v>
          </cell>
          <cell r="H634">
            <v>67755.7</v>
          </cell>
          <cell r="I634">
            <v>0</v>
          </cell>
          <cell r="J634" t="str">
            <v>X</v>
          </cell>
          <cell r="K634">
            <v>1342207.1600000008</v>
          </cell>
          <cell r="L634">
            <v>1342207.1600000008</v>
          </cell>
          <cell r="M634">
            <v>0</v>
          </cell>
        </row>
        <row r="635">
          <cell r="B635" t="str">
            <v>03-103</v>
          </cell>
          <cell r="C635" t="str">
            <v>1.01.02.03</v>
          </cell>
          <cell r="D635">
            <v>41358</v>
          </cell>
          <cell r="E635" t="str">
            <v>SECRETARIA DA RECEITA FEDERAL DO BRASIL</v>
          </cell>
          <cell r="F635" t="str">
            <v>DARF COFINS REF 02/2013</v>
          </cell>
          <cell r="G635" t="str">
            <v>D</v>
          </cell>
          <cell r="H635">
            <v>61445.33</v>
          </cell>
          <cell r="I635">
            <v>0</v>
          </cell>
          <cell r="J635" t="str">
            <v>X</v>
          </cell>
          <cell r="K635">
            <v>1280761.8300000008</v>
          </cell>
          <cell r="L635">
            <v>1280761.8300000008</v>
          </cell>
          <cell r="M635">
            <v>0</v>
          </cell>
        </row>
        <row r="636">
          <cell r="B636" t="str">
            <v>03-104</v>
          </cell>
          <cell r="C636" t="str">
            <v>1.01.02.02</v>
          </cell>
          <cell r="D636">
            <v>41358</v>
          </cell>
          <cell r="E636" t="str">
            <v>SECRETARIA DA RECEITA FEDERAL DO BRASIL</v>
          </cell>
          <cell r="F636" t="str">
            <v>DARF PIS REF 01/2013</v>
          </cell>
          <cell r="G636" t="str">
            <v>D</v>
          </cell>
          <cell r="H636">
            <v>14710.11</v>
          </cell>
          <cell r="I636">
            <v>0</v>
          </cell>
          <cell r="J636" t="str">
            <v>X</v>
          </cell>
          <cell r="K636">
            <v>1266051.7200000007</v>
          </cell>
          <cell r="L636">
            <v>1266051.7200000007</v>
          </cell>
          <cell r="M636">
            <v>0</v>
          </cell>
        </row>
        <row r="637">
          <cell r="B637" t="str">
            <v>03-113</v>
          </cell>
          <cell r="C637" t="str">
            <v>2.09.01.01</v>
          </cell>
          <cell r="D637">
            <v>41360</v>
          </cell>
          <cell r="E637" t="str">
            <v>SANESALTO SANEAMENTO S.A</v>
          </cell>
          <cell r="F637" t="str">
            <v>PAGAMENTO DE CHEQUE (CAIXA INTERNO) 102814</v>
          </cell>
          <cell r="G637" t="str">
            <v>D</v>
          </cell>
          <cell r="H637">
            <v>4000</v>
          </cell>
          <cell r="I637">
            <v>0</v>
          </cell>
          <cell r="J637" t="str">
            <v>X</v>
          </cell>
          <cell r="K637">
            <v>1262051.7200000007</v>
          </cell>
          <cell r="L637">
            <v>1262051.7200000007</v>
          </cell>
          <cell r="M637">
            <v>0</v>
          </cell>
        </row>
        <row r="638">
          <cell r="B638" t="str">
            <v>RE03-019</v>
          </cell>
          <cell r="C638" t="str">
            <v>1.01.04.01</v>
          </cell>
          <cell r="D638">
            <v>41360</v>
          </cell>
          <cell r="E638" t="str">
            <v xml:space="preserve">BANCO ITAÚ </v>
          </cell>
          <cell r="F638" t="str">
            <v xml:space="preserve">RENDIMENTO DE APLICAÇÃO </v>
          </cell>
          <cell r="G638" t="str">
            <v>C</v>
          </cell>
          <cell r="H638">
            <v>0</v>
          </cell>
          <cell r="I638">
            <v>3.36</v>
          </cell>
          <cell r="J638" t="str">
            <v>X</v>
          </cell>
          <cell r="K638">
            <v>1262055.0800000008</v>
          </cell>
          <cell r="L638">
            <v>1262055.0800000008</v>
          </cell>
          <cell r="M638">
            <v>0</v>
          </cell>
        </row>
        <row r="639">
          <cell r="B639" t="str">
            <v>RE03-020</v>
          </cell>
          <cell r="C639" t="str">
            <v>1.01.04.01</v>
          </cell>
          <cell r="D639">
            <v>41361</v>
          </cell>
          <cell r="E639" t="str">
            <v xml:space="preserve">BANCO ITAÚ </v>
          </cell>
          <cell r="F639" t="str">
            <v xml:space="preserve">RENDIMENTO DE APLICAÇÃO </v>
          </cell>
          <cell r="G639" t="str">
            <v>C</v>
          </cell>
          <cell r="H639">
            <v>0</v>
          </cell>
          <cell r="I639">
            <v>312.91000000000003</v>
          </cell>
          <cell r="J639" t="str">
            <v>X</v>
          </cell>
          <cell r="K639">
            <v>1262367.9900000007</v>
          </cell>
          <cell r="L639">
            <v>1262367.9900000007</v>
          </cell>
          <cell r="M639">
            <v>0</v>
          </cell>
        </row>
        <row r="640">
          <cell r="B640" t="str">
            <v>03-100</v>
          </cell>
          <cell r="C640" t="str">
            <v>2.01.05.13</v>
          </cell>
          <cell r="D640">
            <v>41361</v>
          </cell>
          <cell r="E640" t="str">
            <v>GARRA COM E SERVIÇOS PROFISSIONALIZADOS Ltda. ME</v>
          </cell>
          <cell r="F640" t="str">
            <v>SERVIÇOS DE PORTARIA E LIMPEZA</v>
          </cell>
          <cell r="G640" t="str">
            <v>D</v>
          </cell>
          <cell r="H640">
            <v>15137.94</v>
          </cell>
          <cell r="I640">
            <v>0</v>
          </cell>
          <cell r="J640" t="str">
            <v>X</v>
          </cell>
          <cell r="K640">
            <v>1247230.0500000007</v>
          </cell>
          <cell r="L640">
            <v>1247230.0500000007</v>
          </cell>
          <cell r="M640">
            <v>915</v>
          </cell>
        </row>
        <row r="641">
          <cell r="B641" t="str">
            <v>03-120</v>
          </cell>
          <cell r="C641" t="str">
            <v>2.01.01.06</v>
          </cell>
          <cell r="D641">
            <v>41361</v>
          </cell>
          <cell r="E641" t="str">
            <v>SODEXO PASS DO BRASIL</v>
          </cell>
          <cell r="F641" t="str">
            <v>VALE ALIMENTAÇÃO REF 04/2013</v>
          </cell>
          <cell r="G641" t="str">
            <v>D</v>
          </cell>
          <cell r="H641">
            <v>8996.2000000000007</v>
          </cell>
          <cell r="I641">
            <v>0</v>
          </cell>
          <cell r="J641" t="str">
            <v>X</v>
          </cell>
          <cell r="K641">
            <v>1238233.8500000008</v>
          </cell>
          <cell r="L641">
            <v>1238233.8500000008</v>
          </cell>
          <cell r="M641">
            <v>706081</v>
          </cell>
        </row>
        <row r="642">
          <cell r="B642" t="str">
            <v>03-099</v>
          </cell>
          <cell r="C642" t="str">
            <v>2.01.05.13</v>
          </cell>
          <cell r="D642">
            <v>41361</v>
          </cell>
          <cell r="E642" t="str">
            <v>GARRA COM E SERVIÇOS PROFISSIONALIZADOS Ltda. ME</v>
          </cell>
          <cell r="F642" t="str">
            <v>SERVIÇOS DE PORTARIA</v>
          </cell>
          <cell r="G642" t="str">
            <v>D</v>
          </cell>
          <cell r="H642">
            <v>5151.75</v>
          </cell>
          <cell r="I642">
            <v>0</v>
          </cell>
          <cell r="J642" t="str">
            <v>X</v>
          </cell>
          <cell r="K642">
            <v>1233082.1000000008</v>
          </cell>
          <cell r="L642">
            <v>1233082.1000000008</v>
          </cell>
          <cell r="M642">
            <v>906</v>
          </cell>
        </row>
        <row r="643">
          <cell r="B643" t="str">
            <v>Db-029</v>
          </cell>
          <cell r="C643" t="str">
            <v>2.06.02.05</v>
          </cell>
          <cell r="D643">
            <v>41361</v>
          </cell>
          <cell r="E643" t="str">
            <v xml:space="preserve">CRÉDITO OPERAÇÕES SUP SERV EMP </v>
          </cell>
          <cell r="F643" t="str">
            <v>REF. AMORTIZAÇÃO DE DEBENTURES MAR/2013</v>
          </cell>
          <cell r="G643" t="str">
            <v>D</v>
          </cell>
          <cell r="H643">
            <v>462200.44</v>
          </cell>
          <cell r="I643">
            <v>0</v>
          </cell>
          <cell r="J643" t="str">
            <v>X</v>
          </cell>
          <cell r="K643">
            <v>770881.66000000085</v>
          </cell>
          <cell r="L643">
            <v>770881.66000000085</v>
          </cell>
          <cell r="M643">
            <v>0</v>
          </cell>
        </row>
        <row r="644">
          <cell r="B644" t="str">
            <v>03-102</v>
          </cell>
          <cell r="C644" t="str">
            <v>2.02.01.01</v>
          </cell>
          <cell r="D644">
            <v>41361</v>
          </cell>
          <cell r="E644" t="str">
            <v>ALOISIO BORIN</v>
          </cell>
          <cell r="F644" t="str">
            <v>FÉRIAS</v>
          </cell>
          <cell r="G644" t="str">
            <v>D</v>
          </cell>
          <cell r="H644">
            <v>2041.87</v>
          </cell>
          <cell r="I644">
            <v>0</v>
          </cell>
          <cell r="J644" t="str">
            <v>X</v>
          </cell>
          <cell r="K644">
            <v>768839.79000000085</v>
          </cell>
          <cell r="L644">
            <v>768839.79000000085</v>
          </cell>
          <cell r="M644">
            <v>0</v>
          </cell>
        </row>
        <row r="645">
          <cell r="B645" t="str">
            <v>03-081</v>
          </cell>
          <cell r="C645" t="str">
            <v>2.01.03.09</v>
          </cell>
          <cell r="D645">
            <v>41361</v>
          </cell>
          <cell r="E645" t="str">
            <v>COMPANHIA PIRATININGA DE FORÇA E LUZ - CPFL</v>
          </cell>
          <cell r="F645" t="str">
            <v>CONTA DE ENERGIA ELEV 03 REF 03/2013</v>
          </cell>
          <cell r="G645" t="str">
            <v>D</v>
          </cell>
          <cell r="H645">
            <v>1629.91</v>
          </cell>
          <cell r="I645">
            <v>0</v>
          </cell>
          <cell r="J645" t="str">
            <v>X</v>
          </cell>
          <cell r="K645">
            <v>767209.88000000082</v>
          </cell>
          <cell r="L645">
            <v>767209.88000000082</v>
          </cell>
          <cell r="M645">
            <v>0</v>
          </cell>
        </row>
        <row r="646">
          <cell r="B646" t="str">
            <v>03-016</v>
          </cell>
          <cell r="C646" t="str">
            <v>2.02.03.04</v>
          </cell>
          <cell r="D646">
            <v>41361</v>
          </cell>
          <cell r="E646" t="str">
            <v>SECRETARIA DA RECEITA FEDERAL DO BRASIL</v>
          </cell>
          <cell r="F646" t="str">
            <v>DARF CSRF NF 39 ARAUJO DE ARAUJO</v>
          </cell>
          <cell r="G646" t="str">
            <v>D</v>
          </cell>
          <cell r="H646">
            <v>1283.4000000000001</v>
          </cell>
          <cell r="I646">
            <v>0</v>
          </cell>
          <cell r="J646" t="str">
            <v>X</v>
          </cell>
          <cell r="K646">
            <v>765926.4800000008</v>
          </cell>
          <cell r="L646">
            <v>765926.4800000008</v>
          </cell>
          <cell r="M646">
            <v>0</v>
          </cell>
        </row>
        <row r="647">
          <cell r="B647" t="str">
            <v>03-015</v>
          </cell>
          <cell r="C647" t="str">
            <v>2.01.05.08</v>
          </cell>
          <cell r="D647">
            <v>41361</v>
          </cell>
          <cell r="E647" t="str">
            <v>GRACIANO FERREIRA S/C Ltda. ME</v>
          </cell>
          <cell r="F647" t="str">
            <v xml:space="preserve">PRESTAÇÃO DE SERVIÇO DE GUINDASTE </v>
          </cell>
          <cell r="G647" t="str">
            <v>D</v>
          </cell>
          <cell r="H647">
            <v>850</v>
          </cell>
          <cell r="I647">
            <v>0</v>
          </cell>
          <cell r="J647" t="str">
            <v>X</v>
          </cell>
          <cell r="K647">
            <v>765076.4800000008</v>
          </cell>
          <cell r="L647">
            <v>765076.4800000008</v>
          </cell>
          <cell r="M647">
            <v>233</v>
          </cell>
        </row>
        <row r="648">
          <cell r="B648" t="str">
            <v>03-009</v>
          </cell>
          <cell r="C648" t="str">
            <v>2.02.03.09</v>
          </cell>
          <cell r="D648">
            <v>41361</v>
          </cell>
          <cell r="E648" t="str">
            <v>TECNO TONER CARTUCHOS PARA IMPRESSORA</v>
          </cell>
          <cell r="F648" t="str">
            <v>COMPRA DE CARTUCHOS DE TONER PARA ESCRITÓRIO</v>
          </cell>
          <cell r="G648" t="str">
            <v>D</v>
          </cell>
          <cell r="H648">
            <v>828.9</v>
          </cell>
          <cell r="I648">
            <v>0</v>
          </cell>
          <cell r="J648" t="str">
            <v>X</v>
          </cell>
          <cell r="K648">
            <v>764247.58000000077</v>
          </cell>
          <cell r="L648">
            <v>764247.58000000077</v>
          </cell>
          <cell r="M648">
            <v>55595</v>
          </cell>
        </row>
        <row r="649">
          <cell r="B649" t="str">
            <v>002-092</v>
          </cell>
          <cell r="C649" t="str">
            <v>2.01.05.10</v>
          </cell>
          <cell r="D649">
            <v>41361</v>
          </cell>
          <cell r="E649" t="str">
            <v>SECRETARIA DA RECEITA FEDERAL DO BRASIL</v>
          </cell>
          <cell r="F649" t="str">
            <v>DARF REF NF 10079 CSRF CORPUS</v>
          </cell>
          <cell r="G649" t="str">
            <v>D</v>
          </cell>
          <cell r="H649">
            <v>800.41</v>
          </cell>
          <cell r="I649">
            <v>0</v>
          </cell>
          <cell r="J649" t="str">
            <v>X</v>
          </cell>
          <cell r="K649">
            <v>763447.17000000074</v>
          </cell>
          <cell r="L649">
            <v>763447.17000000074</v>
          </cell>
          <cell r="M649">
            <v>0</v>
          </cell>
        </row>
        <row r="650">
          <cell r="B650" t="str">
            <v>03-091</v>
          </cell>
          <cell r="C650" t="str">
            <v>2.01.05.14</v>
          </cell>
          <cell r="D650">
            <v>41361</v>
          </cell>
          <cell r="E650" t="str">
            <v>WILSON BENEDITO RIZZI</v>
          </cell>
          <cell r="F650" t="str">
            <v>COMPRA DE CAMINHÃO DE ÁGUA PARA ETE</v>
          </cell>
          <cell r="G650" t="str">
            <v>D</v>
          </cell>
          <cell r="H650">
            <v>440</v>
          </cell>
          <cell r="I650">
            <v>0</v>
          </cell>
          <cell r="J650" t="str">
            <v>X</v>
          </cell>
          <cell r="K650">
            <v>763007.17000000074</v>
          </cell>
          <cell r="L650">
            <v>763007.17000000074</v>
          </cell>
          <cell r="M650">
            <v>3787</v>
          </cell>
        </row>
        <row r="651">
          <cell r="B651" t="str">
            <v>001-111</v>
          </cell>
          <cell r="C651" t="str">
            <v>2.02.03.10</v>
          </cell>
          <cell r="D651">
            <v>41361</v>
          </cell>
          <cell r="E651" t="str">
            <v>CREA - SP CONSELHO REGIONAL DE ENGENHARIA</v>
          </cell>
          <cell r="F651" t="str">
            <v>ANUIDADE 2013</v>
          </cell>
          <cell r="G651" t="str">
            <v>D</v>
          </cell>
          <cell r="H651">
            <v>368.87</v>
          </cell>
          <cell r="I651">
            <v>0</v>
          </cell>
          <cell r="J651" t="str">
            <v>X</v>
          </cell>
          <cell r="K651">
            <v>762638.30000000075</v>
          </cell>
          <cell r="L651">
            <v>762638.30000000075</v>
          </cell>
          <cell r="M651">
            <v>0</v>
          </cell>
        </row>
        <row r="652">
          <cell r="B652" t="str">
            <v>03-114</v>
          </cell>
          <cell r="C652" t="str">
            <v>2.02.02.04</v>
          </cell>
          <cell r="D652">
            <v>41361</v>
          </cell>
          <cell r="E652" t="str">
            <v xml:space="preserve">NETSERV </v>
          </cell>
          <cell r="F652" t="str">
            <v>LINK DE INTERNET - SCM</v>
          </cell>
          <cell r="G652" t="str">
            <v>D</v>
          </cell>
          <cell r="H652">
            <v>307</v>
          </cell>
          <cell r="I652">
            <v>0</v>
          </cell>
          <cell r="J652" t="str">
            <v>X</v>
          </cell>
          <cell r="K652">
            <v>762331.30000000075</v>
          </cell>
          <cell r="L652">
            <v>762331.30000000075</v>
          </cell>
          <cell r="M652">
            <v>64672</v>
          </cell>
        </row>
        <row r="653">
          <cell r="B653" t="str">
            <v>03-050</v>
          </cell>
          <cell r="C653" t="str">
            <v>2.01.05.07</v>
          </cell>
          <cell r="D653">
            <v>41361</v>
          </cell>
          <cell r="E653" t="str">
            <v>CASSOMED COM SERVIÇO DE SEG E SAÚDE OCUPACIONAL Ltda. ME</v>
          </cell>
          <cell r="F653" t="str">
            <v>PRESTAÇÃO DE SERVIÇOS DE PCMSO E SEGURANÇA DO TRABALHO</v>
          </cell>
          <cell r="G653" t="str">
            <v>D</v>
          </cell>
          <cell r="H653">
            <v>232.18</v>
          </cell>
          <cell r="I653">
            <v>0</v>
          </cell>
          <cell r="J653" t="str">
            <v>X</v>
          </cell>
          <cell r="K653">
            <v>762099.12000000069</v>
          </cell>
          <cell r="L653">
            <v>762099.12000000069</v>
          </cell>
          <cell r="M653">
            <v>1259</v>
          </cell>
        </row>
        <row r="654">
          <cell r="B654" t="str">
            <v>03-079</v>
          </cell>
          <cell r="C654" t="str">
            <v>2.07.01.03</v>
          </cell>
          <cell r="D654">
            <v>41361</v>
          </cell>
          <cell r="E654" t="str">
            <v>SOLUTION UNITED TECNOLOGIA Ltda.</v>
          </cell>
          <cell r="F654" t="str">
            <v>SERVIÇO DE MANUTENÇÃO DE COLETORES DE DADOS</v>
          </cell>
          <cell r="G654" t="str">
            <v>D</v>
          </cell>
          <cell r="H654">
            <v>224.4</v>
          </cell>
          <cell r="I654">
            <v>0</v>
          </cell>
          <cell r="J654" t="str">
            <v>X</v>
          </cell>
          <cell r="K654">
            <v>761874.72000000067</v>
          </cell>
          <cell r="L654">
            <v>761874.72000000067</v>
          </cell>
          <cell r="M654">
            <v>230</v>
          </cell>
        </row>
        <row r="655">
          <cell r="B655" t="str">
            <v>03-115</v>
          </cell>
          <cell r="C655" t="str">
            <v>2.02.02.04</v>
          </cell>
          <cell r="D655">
            <v>41361</v>
          </cell>
          <cell r="E655" t="str">
            <v xml:space="preserve">NETSERV </v>
          </cell>
          <cell r="F655" t="str">
            <v>LINK DE INTERNET - SCM</v>
          </cell>
          <cell r="G655" t="str">
            <v>D</v>
          </cell>
          <cell r="H655">
            <v>134</v>
          </cell>
          <cell r="I655">
            <v>0</v>
          </cell>
          <cell r="J655" t="str">
            <v>X</v>
          </cell>
          <cell r="K655">
            <v>761740.72000000067</v>
          </cell>
          <cell r="L655">
            <v>761740.72000000067</v>
          </cell>
          <cell r="M655">
            <v>579</v>
          </cell>
        </row>
        <row r="656">
          <cell r="B656" t="str">
            <v>03-063</v>
          </cell>
          <cell r="C656" t="str">
            <v>2.01.05.02</v>
          </cell>
          <cell r="D656">
            <v>41361</v>
          </cell>
          <cell r="E656" t="str">
            <v>CARLOS ALBERTO PROGIANTI ME</v>
          </cell>
          <cell r="F656" t="str">
            <v>ASSISTÊNCIA TÉCNICA REF. A MÃO DE OBRA OS 8354</v>
          </cell>
          <cell r="G656" t="str">
            <v>D</v>
          </cell>
          <cell r="H656">
            <v>86.52</v>
          </cell>
          <cell r="I656">
            <v>0</v>
          </cell>
          <cell r="J656" t="str">
            <v>X</v>
          </cell>
          <cell r="K656">
            <v>761654.20000000065</v>
          </cell>
          <cell r="L656">
            <v>761654.20000000065</v>
          </cell>
          <cell r="M656">
            <v>7985</v>
          </cell>
        </row>
        <row r="657">
          <cell r="B657" t="str">
            <v>03-062</v>
          </cell>
          <cell r="C657" t="str">
            <v>2.01.05.02</v>
          </cell>
          <cell r="D657">
            <v>41361</v>
          </cell>
          <cell r="E657" t="str">
            <v>CARLOS ALBERTO PROGIANTI ME</v>
          </cell>
          <cell r="F657" t="str">
            <v>ASSISTÊNCIA TÉCNICA REF. A MÃO DE OBRA OS 8353</v>
          </cell>
          <cell r="G657" t="str">
            <v>D</v>
          </cell>
          <cell r="H657">
            <v>86.52</v>
          </cell>
          <cell r="I657">
            <v>0</v>
          </cell>
          <cell r="J657" t="str">
            <v>X</v>
          </cell>
          <cell r="K657">
            <v>761567.68000000063</v>
          </cell>
          <cell r="L657">
            <v>761567.68000000063</v>
          </cell>
          <cell r="M657">
            <v>7984</v>
          </cell>
        </row>
        <row r="658">
          <cell r="B658" t="str">
            <v>03-064</v>
          </cell>
          <cell r="C658" t="str">
            <v>2.01.05.02</v>
          </cell>
          <cell r="D658">
            <v>41361</v>
          </cell>
          <cell r="E658" t="str">
            <v>CARLOS ALBERTO PROGIANTI ME</v>
          </cell>
          <cell r="F658" t="str">
            <v>ASSISTÊNCIA TÉCNICA REF. A MÃO DE OBRA OS 8352</v>
          </cell>
          <cell r="G658" t="str">
            <v>D</v>
          </cell>
          <cell r="H658">
            <v>86.52</v>
          </cell>
          <cell r="I658">
            <v>0</v>
          </cell>
          <cell r="J658" t="str">
            <v>X</v>
          </cell>
          <cell r="K658">
            <v>761481.16000000061</v>
          </cell>
          <cell r="L658">
            <v>761481.16000000061</v>
          </cell>
          <cell r="M658">
            <v>7983</v>
          </cell>
        </row>
        <row r="659">
          <cell r="B659" t="str">
            <v>03-086</v>
          </cell>
          <cell r="C659" t="str">
            <v>2.02.03.08</v>
          </cell>
          <cell r="D659">
            <v>41361</v>
          </cell>
          <cell r="E659" t="str">
            <v>ARCOSERV AR CONDICIONADO Ltda.</v>
          </cell>
          <cell r="F659" t="str">
            <v>SERVIÇOS DE MANUTENÇÃO DE AR CONDICIONADO</v>
          </cell>
          <cell r="G659" t="str">
            <v>D</v>
          </cell>
          <cell r="H659">
            <v>76.510000000000005</v>
          </cell>
          <cell r="I659">
            <v>0</v>
          </cell>
          <cell r="J659" t="str">
            <v>X</v>
          </cell>
          <cell r="K659">
            <v>761404.65000000061</v>
          </cell>
          <cell r="L659">
            <v>761404.65000000061</v>
          </cell>
          <cell r="M659">
            <v>2619</v>
          </cell>
        </row>
        <row r="660">
          <cell r="B660" t="str">
            <v>03-010</v>
          </cell>
          <cell r="C660" t="str">
            <v>2.01.03.16</v>
          </cell>
          <cell r="D660">
            <v>41361</v>
          </cell>
          <cell r="E660" t="str">
            <v xml:space="preserve">SALTO LUZ MATERIAIS ELÉTRICOS </v>
          </cell>
          <cell r="F660" t="str">
            <v>COMPRA DE MATERIAIS ELÉTRICOS PARA ETE</v>
          </cell>
          <cell r="G660" t="str">
            <v>D</v>
          </cell>
          <cell r="H660">
            <v>68.040000000000006</v>
          </cell>
          <cell r="I660">
            <v>0</v>
          </cell>
          <cell r="J660" t="str">
            <v>X</v>
          </cell>
          <cell r="K660">
            <v>761336.61000000057</v>
          </cell>
          <cell r="L660">
            <v>761336.61000000057</v>
          </cell>
          <cell r="M660">
            <v>13079</v>
          </cell>
        </row>
        <row r="661">
          <cell r="B661" t="str">
            <v>03-116</v>
          </cell>
          <cell r="C661" t="str">
            <v>2.02.03.24</v>
          </cell>
          <cell r="D661">
            <v>41361</v>
          </cell>
          <cell r="E661" t="str">
            <v>BRTUV</v>
          </cell>
          <cell r="F661" t="str">
            <v>TÁXI VOUCHER AUDITOR</v>
          </cell>
          <cell r="G661" t="str">
            <v>D</v>
          </cell>
          <cell r="H661">
            <v>51</v>
          </cell>
          <cell r="I661">
            <v>0</v>
          </cell>
          <cell r="J661" t="str">
            <v>X</v>
          </cell>
          <cell r="K661">
            <v>761285.61000000057</v>
          </cell>
          <cell r="L661">
            <v>761285.61000000057</v>
          </cell>
          <cell r="M661">
            <v>20122769</v>
          </cell>
        </row>
        <row r="662">
          <cell r="B662" t="str">
            <v>RE04-001</v>
          </cell>
          <cell r="C662" t="str">
            <v>1.01.01.01</v>
          </cell>
          <cell r="D662">
            <v>41365</v>
          </cell>
          <cell r="E662" t="str">
            <v>SANESALTO SANEAMENTO S/A</v>
          </cell>
          <cell r="F662" t="str">
            <v>MEDIÇÃO DE 23 A 31/03/2013</v>
          </cell>
          <cell r="G662" t="str">
            <v>C</v>
          </cell>
          <cell r="H662">
            <v>0</v>
          </cell>
          <cell r="I662">
            <v>93829</v>
          </cell>
          <cell r="J662" t="str">
            <v>X</v>
          </cell>
          <cell r="K662">
            <v>855114.61000000057</v>
          </cell>
          <cell r="L662">
            <v>855114.61000000057</v>
          </cell>
          <cell r="M662">
            <v>0</v>
          </cell>
        </row>
        <row r="663">
          <cell r="B663" t="str">
            <v>04-019</v>
          </cell>
          <cell r="C663" t="str">
            <v>2.05.01.02</v>
          </cell>
          <cell r="D663">
            <v>41365</v>
          </cell>
          <cell r="E663" t="str">
            <v>BANCO ITAÚ S/A</v>
          </cell>
          <cell r="F663" t="str">
            <v>TARIFA DOC SISPAG</v>
          </cell>
          <cell r="G663" t="str">
            <v>D</v>
          </cell>
          <cell r="H663">
            <v>54</v>
          </cell>
          <cell r="I663">
            <v>0</v>
          </cell>
          <cell r="J663" t="str">
            <v>X</v>
          </cell>
          <cell r="K663">
            <v>855060.61000000057</v>
          </cell>
          <cell r="L663">
            <v>855060.61000000057</v>
          </cell>
          <cell r="M663">
            <v>0</v>
          </cell>
        </row>
        <row r="664">
          <cell r="B664" t="str">
            <v>04-020</v>
          </cell>
          <cell r="C664" t="str">
            <v>2.05.01.02</v>
          </cell>
          <cell r="D664">
            <v>41365</v>
          </cell>
          <cell r="E664" t="str">
            <v>BANCO ITAÚ S/A</v>
          </cell>
          <cell r="F664" t="str">
            <v>TARIFA DOC SISPAG</v>
          </cell>
          <cell r="G664" t="str">
            <v>D</v>
          </cell>
          <cell r="H664">
            <v>4.5</v>
          </cell>
          <cell r="I664">
            <v>0</v>
          </cell>
          <cell r="J664" t="str">
            <v>x</v>
          </cell>
          <cell r="K664">
            <v>855056.11000000057</v>
          </cell>
          <cell r="L664">
            <v>855056.11000000057</v>
          </cell>
          <cell r="M664">
            <v>0</v>
          </cell>
        </row>
        <row r="665">
          <cell r="B665" t="str">
            <v>04-021</v>
          </cell>
          <cell r="C665" t="str">
            <v>2.05.01.02</v>
          </cell>
          <cell r="D665">
            <v>41365</v>
          </cell>
          <cell r="E665" t="str">
            <v>BANCO ITAÚ S/A</v>
          </cell>
          <cell r="F665" t="str">
            <v>TARIFA DOC SISPAG</v>
          </cell>
          <cell r="G665" t="str">
            <v>D</v>
          </cell>
          <cell r="H665">
            <v>4.5</v>
          </cell>
          <cell r="I665">
            <v>0</v>
          </cell>
          <cell r="J665" t="str">
            <v>x</v>
          </cell>
          <cell r="K665">
            <v>855051.61000000057</v>
          </cell>
          <cell r="L665">
            <v>855051.61000000057</v>
          </cell>
          <cell r="M665">
            <v>0</v>
          </cell>
        </row>
        <row r="666">
          <cell r="B666" t="str">
            <v>04-022</v>
          </cell>
          <cell r="C666" t="str">
            <v>2.05.01.02</v>
          </cell>
          <cell r="D666">
            <v>41365</v>
          </cell>
          <cell r="E666" t="str">
            <v>BANCO ITAÚ S/A</v>
          </cell>
          <cell r="F666" t="str">
            <v>TARIFA TED SISPAG</v>
          </cell>
          <cell r="G666" t="str">
            <v>D</v>
          </cell>
          <cell r="H666">
            <v>40.5</v>
          </cell>
          <cell r="I666">
            <v>0</v>
          </cell>
          <cell r="J666" t="str">
            <v>x</v>
          </cell>
          <cell r="K666">
            <v>855011.11000000057</v>
          </cell>
          <cell r="L666">
            <v>855011.11000000057</v>
          </cell>
          <cell r="M666">
            <v>0</v>
          </cell>
        </row>
        <row r="667">
          <cell r="B667" t="str">
            <v>04-018</v>
          </cell>
          <cell r="C667" t="str">
            <v>2.02.02.04</v>
          </cell>
          <cell r="D667">
            <v>41365</v>
          </cell>
          <cell r="E667" t="str">
            <v>INTERDOTNET DO BRASIL LTDA</v>
          </cell>
          <cell r="F667" t="str">
            <v>LICENÇA DE SITE INTERNET</v>
          </cell>
          <cell r="G667" t="str">
            <v>D</v>
          </cell>
          <cell r="H667">
            <v>110</v>
          </cell>
          <cell r="I667">
            <v>0</v>
          </cell>
          <cell r="J667" t="str">
            <v>x</v>
          </cell>
          <cell r="K667">
            <v>854901.11000000057</v>
          </cell>
          <cell r="L667">
            <v>854901.11000000057</v>
          </cell>
          <cell r="M667">
            <v>6897627</v>
          </cell>
        </row>
        <row r="668">
          <cell r="B668" t="str">
            <v>03-118</v>
          </cell>
          <cell r="C668" t="str">
            <v>2.02.03.25</v>
          </cell>
          <cell r="D668">
            <v>41365</v>
          </cell>
          <cell r="E668" t="str">
            <v>FLORINDO PEREIRA PARDIM NETO ME - PRODÍGIO TELECOM</v>
          </cell>
          <cell r="F668" t="str">
            <v>REPROGRAMAÇÃO DE LINHAS TELFÔNICAS</v>
          </cell>
          <cell r="G668" t="str">
            <v>D</v>
          </cell>
          <cell r="H668">
            <v>130</v>
          </cell>
          <cell r="I668">
            <v>0</v>
          </cell>
          <cell r="J668" t="str">
            <v>x</v>
          </cell>
          <cell r="K668">
            <v>854771.11000000057</v>
          </cell>
          <cell r="L668">
            <v>854771.11000000057</v>
          </cell>
          <cell r="M668">
            <v>486</v>
          </cell>
        </row>
        <row r="669">
          <cell r="B669" t="str">
            <v>03-042</v>
          </cell>
          <cell r="C669" t="str">
            <v>2.02.02.02</v>
          </cell>
          <cell r="D669">
            <v>41365</v>
          </cell>
          <cell r="E669" t="str">
            <v xml:space="preserve">CAPITAL EMBALAGENS DESCARTÁVEIS </v>
          </cell>
          <cell r="F669" t="str">
            <v>COMPRA DE PRODUTOS DE LIMPEZA PARA ETE E ESCRITÓRIO</v>
          </cell>
          <cell r="G669" t="str">
            <v>D</v>
          </cell>
          <cell r="H669">
            <v>324.10000000000002</v>
          </cell>
          <cell r="I669">
            <v>0</v>
          </cell>
          <cell r="J669" t="str">
            <v>x</v>
          </cell>
          <cell r="K669">
            <v>854447.01000000059</v>
          </cell>
          <cell r="L669">
            <v>854447.01000000059</v>
          </cell>
          <cell r="M669">
            <v>30673</v>
          </cell>
        </row>
        <row r="670">
          <cell r="B670" t="str">
            <v>002-025/2</v>
          </cell>
          <cell r="C670" t="str">
            <v>2.01.03.16</v>
          </cell>
          <cell r="D670">
            <v>41365</v>
          </cell>
          <cell r="E670" t="str">
            <v>Tintas Taperá Comercial Ltda. EPP</v>
          </cell>
          <cell r="F670" t="str">
            <v>Compra de material para ETE</v>
          </cell>
          <cell r="G670" t="str">
            <v>D</v>
          </cell>
          <cell r="H670">
            <v>460</v>
          </cell>
          <cell r="I670">
            <v>0</v>
          </cell>
          <cell r="J670" t="str">
            <v>x</v>
          </cell>
          <cell r="K670">
            <v>853987.01000000059</v>
          </cell>
          <cell r="L670">
            <v>853987.01000000059</v>
          </cell>
          <cell r="M670">
            <v>5897</v>
          </cell>
        </row>
        <row r="671">
          <cell r="B671" t="str">
            <v>04-003</v>
          </cell>
          <cell r="C671" t="str">
            <v>2.02.03.21</v>
          </cell>
          <cell r="D671">
            <v>41365</v>
          </cell>
          <cell r="E671" t="str">
            <v>RODRIGO BUENO</v>
          </cell>
          <cell r="F671" t="str">
            <v>DESPESAS DE ALIMENTAÇÃO E COMBUSTÍVEL</v>
          </cell>
          <cell r="G671" t="str">
            <v>D</v>
          </cell>
          <cell r="H671">
            <v>520.47</v>
          </cell>
          <cell r="I671">
            <v>0</v>
          </cell>
          <cell r="J671" t="str">
            <v>x</v>
          </cell>
          <cell r="K671">
            <v>853466.54000000062</v>
          </cell>
          <cell r="L671">
            <v>853466.54000000062</v>
          </cell>
          <cell r="M671">
            <v>0</v>
          </cell>
        </row>
        <row r="672">
          <cell r="B672" t="str">
            <v>03-008/2</v>
          </cell>
          <cell r="C672" t="str">
            <v>2.07.01.03</v>
          </cell>
          <cell r="D672">
            <v>41365</v>
          </cell>
          <cell r="E672" t="str">
            <v>BR CONNECTION COM E SERV DE INFORMÁTICA</v>
          </cell>
          <cell r="F672" t="str">
            <v>LICENÇA/ATUALIZAÇÃO</v>
          </cell>
          <cell r="G672" t="str">
            <v>D</v>
          </cell>
          <cell r="H672">
            <v>602.57000000000005</v>
          </cell>
          <cell r="I672">
            <v>0</v>
          </cell>
          <cell r="J672" t="str">
            <v>X</v>
          </cell>
          <cell r="K672">
            <v>852863.97000000067</v>
          </cell>
          <cell r="L672">
            <v>852863.97000000067</v>
          </cell>
          <cell r="M672">
            <v>71519</v>
          </cell>
        </row>
        <row r="673">
          <cell r="B673" t="str">
            <v>001-006/3</v>
          </cell>
          <cell r="C673" t="str">
            <v>2.01.05.11</v>
          </cell>
          <cell r="D673">
            <v>41365</v>
          </cell>
          <cell r="E673" t="str">
            <v>VT COMÉRCIO DE MOTORES ELÉTRICOS E ACIONAMENTOS Ltda.</v>
          </cell>
          <cell r="F673" t="str">
            <v>REVISÃO E CONSERTO DE BOMBA</v>
          </cell>
          <cell r="G673" t="str">
            <v>D</v>
          </cell>
          <cell r="H673">
            <v>1466.66</v>
          </cell>
          <cell r="I673">
            <v>0</v>
          </cell>
          <cell r="J673" t="str">
            <v>X</v>
          </cell>
          <cell r="K673">
            <v>851397.31000000064</v>
          </cell>
          <cell r="L673">
            <v>851397.31000000064</v>
          </cell>
          <cell r="M673">
            <v>157</v>
          </cell>
        </row>
        <row r="674">
          <cell r="B674" t="str">
            <v>04-001</v>
          </cell>
          <cell r="C674" t="str">
            <v>2.01.01.07</v>
          </cell>
          <cell r="D674">
            <v>41365</v>
          </cell>
          <cell r="E674" t="str">
            <v>AUTO ONIBUS NARDELLI LTDA</v>
          </cell>
          <cell r="F674" t="str">
            <v>RECARGA CARTÃO VALE TRANSPORTE FUNCIONÁRIOS</v>
          </cell>
          <cell r="G674" t="str">
            <v>D</v>
          </cell>
          <cell r="H674">
            <v>1521.52</v>
          </cell>
          <cell r="I674">
            <v>0</v>
          </cell>
          <cell r="J674" t="str">
            <v>X</v>
          </cell>
          <cell r="K674">
            <v>849875.79000000062</v>
          </cell>
          <cell r="L674">
            <v>849875.79000000062</v>
          </cell>
          <cell r="M674">
            <v>0</v>
          </cell>
        </row>
        <row r="675">
          <cell r="B675" t="str">
            <v>03-035</v>
          </cell>
          <cell r="C675" t="str">
            <v>2.01.03.08</v>
          </cell>
          <cell r="D675">
            <v>41365</v>
          </cell>
          <cell r="E675" t="str">
            <v>NHEEL QUIMICA</v>
          </cell>
          <cell r="F675" t="str">
            <v>COMPRA DE REAGENTE OCC-220</v>
          </cell>
          <cell r="G675" t="str">
            <v>D</v>
          </cell>
          <cell r="H675">
            <v>1808.95</v>
          </cell>
          <cell r="I675">
            <v>0</v>
          </cell>
          <cell r="J675" t="str">
            <v>X</v>
          </cell>
          <cell r="K675">
            <v>848066.84000000067</v>
          </cell>
          <cell r="L675">
            <v>848066.84000000067</v>
          </cell>
          <cell r="M675">
            <v>31959</v>
          </cell>
        </row>
        <row r="676">
          <cell r="B676" t="str">
            <v>03-087</v>
          </cell>
          <cell r="C676" t="str">
            <v>2.02.03.04</v>
          </cell>
          <cell r="D676">
            <v>41365</v>
          </cell>
          <cell r="E676" t="str">
            <v xml:space="preserve">CB&amp;A AUDITORIA E CONTABILIDADE </v>
          </cell>
          <cell r="F676" t="str">
            <v>HONORÁRIOS REF A SERVIÇO DE AUDITORIA INDEPENDENTE 03/2013</v>
          </cell>
          <cell r="G676" t="str">
            <v>D</v>
          </cell>
          <cell r="H676">
            <v>1833.5</v>
          </cell>
          <cell r="I676">
            <v>0</v>
          </cell>
          <cell r="J676" t="str">
            <v>X</v>
          </cell>
          <cell r="K676">
            <v>846233.34000000067</v>
          </cell>
          <cell r="L676">
            <v>846233.34000000067</v>
          </cell>
          <cell r="M676">
            <v>2182</v>
          </cell>
        </row>
        <row r="677">
          <cell r="B677" t="str">
            <v>04-002</v>
          </cell>
          <cell r="C677" t="str">
            <v>2.01.05.13</v>
          </cell>
          <cell r="D677">
            <v>41365</v>
          </cell>
          <cell r="E677" t="str">
            <v>HF ANDRADE SERVIÇOS TEMPORÁRIOS</v>
          </cell>
          <cell r="F677" t="str">
            <v>SERVIÇOS DE MÃO DE OBRA TEMPORÁRIO REF MAR/2013</v>
          </cell>
          <cell r="G677" t="str">
            <v>D</v>
          </cell>
          <cell r="H677">
            <v>12388.26</v>
          </cell>
          <cell r="I677">
            <v>0</v>
          </cell>
          <cell r="J677" t="str">
            <v>x</v>
          </cell>
          <cell r="K677">
            <v>833845.08000000066</v>
          </cell>
          <cell r="L677">
            <v>833845.08000000066</v>
          </cell>
          <cell r="M677">
            <v>378</v>
          </cell>
        </row>
        <row r="678">
          <cell r="B678" t="str">
            <v>04-004</v>
          </cell>
          <cell r="C678" t="str">
            <v>2.02.03.04</v>
          </cell>
          <cell r="D678">
            <v>41365</v>
          </cell>
          <cell r="E678" t="str">
            <v>ARAUJO DE ARAUJO CONSULTORIA</v>
          </cell>
          <cell r="F678" t="str">
            <v xml:space="preserve">PAGAMENTO DE HONORÁRIOS DE CONSULTORIA </v>
          </cell>
          <cell r="G678" t="str">
            <v>D</v>
          </cell>
          <cell r="H678">
            <v>28516.98</v>
          </cell>
          <cell r="I678">
            <v>0</v>
          </cell>
          <cell r="J678" t="str">
            <v>x</v>
          </cell>
          <cell r="K678">
            <v>805328.10000000068</v>
          </cell>
          <cell r="L678">
            <v>805328.10000000068</v>
          </cell>
          <cell r="M678">
            <v>0</v>
          </cell>
        </row>
        <row r="679">
          <cell r="B679" t="str">
            <v>RE04-002</v>
          </cell>
          <cell r="C679" t="str">
            <v>1.01.04.01</v>
          </cell>
          <cell r="D679">
            <v>41367</v>
          </cell>
          <cell r="E679" t="str">
            <v xml:space="preserve">BANCO ITAÚ </v>
          </cell>
          <cell r="F679" t="str">
            <v xml:space="preserve">RENDIMENTO DE APLICAÇÃO </v>
          </cell>
          <cell r="G679" t="str">
            <v>C</v>
          </cell>
          <cell r="H679">
            <v>0</v>
          </cell>
          <cell r="I679">
            <v>2.27</v>
          </cell>
          <cell r="J679" t="str">
            <v>x</v>
          </cell>
          <cell r="K679">
            <v>805330.37000000069</v>
          </cell>
          <cell r="L679">
            <v>805330.37000000069</v>
          </cell>
          <cell r="M679">
            <v>0</v>
          </cell>
        </row>
        <row r="680">
          <cell r="B680" t="str">
            <v>04-027/1</v>
          </cell>
          <cell r="C680" t="str">
            <v>2.02.01.01</v>
          </cell>
          <cell r="D680">
            <v>41367</v>
          </cell>
          <cell r="E680" t="str">
            <v>NAEDSON LUIZ DE SOUZA</v>
          </cell>
          <cell r="F680" t="str">
            <v>SALÁRIO REF 03/2013</v>
          </cell>
          <cell r="G680" t="str">
            <v>D</v>
          </cell>
          <cell r="H680">
            <v>1600</v>
          </cell>
          <cell r="I680">
            <v>0</v>
          </cell>
          <cell r="J680" t="str">
            <v>x</v>
          </cell>
          <cell r="K680">
            <v>803730.37000000069</v>
          </cell>
          <cell r="L680">
            <v>803730.37000000069</v>
          </cell>
          <cell r="M680">
            <v>0</v>
          </cell>
        </row>
        <row r="681">
          <cell r="B681" t="str">
            <v>04-027/2</v>
          </cell>
          <cell r="C681" t="str">
            <v>2.02.01.01</v>
          </cell>
          <cell r="D681">
            <v>41367</v>
          </cell>
          <cell r="E681" t="str">
            <v>ALOISIO BORIN</v>
          </cell>
          <cell r="F681" t="str">
            <v>SALÁRIO REF 03/2013</v>
          </cell>
          <cell r="G681" t="str">
            <v>D</v>
          </cell>
          <cell r="H681">
            <v>777</v>
          </cell>
          <cell r="I681">
            <v>0</v>
          </cell>
          <cell r="J681" t="str">
            <v>x</v>
          </cell>
          <cell r="K681">
            <v>802953.37000000069</v>
          </cell>
          <cell r="L681">
            <v>802953.37000000069</v>
          </cell>
          <cell r="M681">
            <v>0</v>
          </cell>
        </row>
        <row r="682">
          <cell r="B682" t="str">
            <v>04-027/3</v>
          </cell>
          <cell r="C682" t="str">
            <v>2.02.01.01</v>
          </cell>
          <cell r="D682">
            <v>41367</v>
          </cell>
          <cell r="E682" t="str">
            <v>CLEBER C DA SILVA</v>
          </cell>
          <cell r="F682" t="str">
            <v>SALÁRIO REF 03/2013</v>
          </cell>
          <cell r="G682" t="str">
            <v>D</v>
          </cell>
          <cell r="H682">
            <v>1327</v>
          </cell>
          <cell r="I682">
            <v>0</v>
          </cell>
          <cell r="J682" t="str">
            <v>x</v>
          </cell>
          <cell r="K682">
            <v>801626.37000000069</v>
          </cell>
          <cell r="L682">
            <v>801626.37000000069</v>
          </cell>
          <cell r="M682">
            <v>0</v>
          </cell>
        </row>
        <row r="683">
          <cell r="B683" t="str">
            <v>04-027/4</v>
          </cell>
          <cell r="C683" t="str">
            <v>2.02.01.01</v>
          </cell>
          <cell r="D683">
            <v>41367</v>
          </cell>
          <cell r="E683" t="str">
            <v>ERICA AP DA SILVA DE MORAES</v>
          </cell>
          <cell r="F683" t="str">
            <v>SALÁRIO REF 03/2013</v>
          </cell>
          <cell r="G683" t="str">
            <v>D</v>
          </cell>
          <cell r="H683">
            <v>630</v>
          </cell>
          <cell r="I683">
            <v>0</v>
          </cell>
          <cell r="J683" t="str">
            <v>x</v>
          </cell>
          <cell r="K683">
            <v>800996.37000000069</v>
          </cell>
          <cell r="L683">
            <v>800996.37000000069</v>
          </cell>
          <cell r="M683">
            <v>0</v>
          </cell>
        </row>
        <row r="684">
          <cell r="B684" t="str">
            <v>04-027/5</v>
          </cell>
          <cell r="C684" t="str">
            <v>2.02.01.01</v>
          </cell>
          <cell r="D684">
            <v>41367</v>
          </cell>
          <cell r="E684" t="str">
            <v>ELIZANGELA REGINA P DIAS</v>
          </cell>
          <cell r="F684" t="str">
            <v>SALÁRIO REF 03/2013</v>
          </cell>
          <cell r="G684" t="str">
            <v>D</v>
          </cell>
          <cell r="H684">
            <v>1996</v>
          </cell>
          <cell r="I684">
            <v>0</v>
          </cell>
          <cell r="J684" t="str">
            <v>X</v>
          </cell>
          <cell r="K684">
            <v>799000.37000000069</v>
          </cell>
          <cell r="L684">
            <v>799000.37000000069</v>
          </cell>
          <cell r="M684">
            <v>0</v>
          </cell>
        </row>
        <row r="685">
          <cell r="B685" t="str">
            <v>04-027/6</v>
          </cell>
          <cell r="C685" t="str">
            <v>2.02.01.01</v>
          </cell>
          <cell r="D685">
            <v>41367</v>
          </cell>
          <cell r="E685" t="str">
            <v>RODRIGO BUENO</v>
          </cell>
          <cell r="F685" t="str">
            <v>SALÁRIO REF 03/2013</v>
          </cell>
          <cell r="G685" t="str">
            <v>D</v>
          </cell>
          <cell r="H685">
            <v>2220</v>
          </cell>
          <cell r="I685">
            <v>0</v>
          </cell>
          <cell r="J685" t="str">
            <v>x</v>
          </cell>
          <cell r="K685">
            <v>796780.37000000069</v>
          </cell>
          <cell r="L685">
            <v>796780.37000000069</v>
          </cell>
          <cell r="M685">
            <v>0</v>
          </cell>
        </row>
        <row r="686">
          <cell r="B686" t="str">
            <v>04-027/7</v>
          </cell>
          <cell r="C686" t="str">
            <v>2.02.01.01</v>
          </cell>
          <cell r="D686">
            <v>41367</v>
          </cell>
          <cell r="E686" t="str">
            <v>MARIANA CASTELLINI</v>
          </cell>
          <cell r="F686" t="str">
            <v>SALÁRIO REF 03/2013</v>
          </cell>
          <cell r="G686" t="str">
            <v>D</v>
          </cell>
          <cell r="H686">
            <v>762</v>
          </cell>
          <cell r="I686">
            <v>0</v>
          </cell>
          <cell r="J686" t="str">
            <v>x</v>
          </cell>
          <cell r="K686">
            <v>796018.37000000069</v>
          </cell>
          <cell r="L686">
            <v>796018.37000000069</v>
          </cell>
          <cell r="M686">
            <v>0</v>
          </cell>
        </row>
        <row r="687">
          <cell r="B687" t="str">
            <v>04-027/8</v>
          </cell>
          <cell r="C687" t="str">
            <v>2.02.01.01</v>
          </cell>
          <cell r="D687">
            <v>41367</v>
          </cell>
          <cell r="E687" t="str">
            <v>JANAÍNA SILVA SOUZA</v>
          </cell>
          <cell r="F687" t="str">
            <v>SALÁRIO REF 03/2013</v>
          </cell>
          <cell r="G687" t="str">
            <v>D</v>
          </cell>
          <cell r="H687">
            <v>429</v>
          </cell>
          <cell r="I687">
            <v>0</v>
          </cell>
          <cell r="J687" t="str">
            <v>x</v>
          </cell>
          <cell r="K687">
            <v>795589.37000000069</v>
          </cell>
          <cell r="L687">
            <v>795589.37000000069</v>
          </cell>
          <cell r="M687">
            <v>0</v>
          </cell>
        </row>
        <row r="688">
          <cell r="B688" t="str">
            <v>04-027/9</v>
          </cell>
          <cell r="C688" t="str">
            <v>2.02.01.01</v>
          </cell>
          <cell r="D688">
            <v>41367</v>
          </cell>
          <cell r="E688" t="str">
            <v>MARIANA CRISTINA GESSOLI</v>
          </cell>
          <cell r="F688" t="str">
            <v>SALÁRIO REF 03/2013</v>
          </cell>
          <cell r="G688" t="str">
            <v>D</v>
          </cell>
          <cell r="H688">
            <v>445</v>
          </cell>
          <cell r="I688">
            <v>0</v>
          </cell>
          <cell r="J688" t="str">
            <v>x</v>
          </cell>
          <cell r="K688">
            <v>795144.37000000069</v>
          </cell>
          <cell r="L688">
            <v>795144.37000000069</v>
          </cell>
          <cell r="M688">
            <v>0</v>
          </cell>
        </row>
        <row r="689">
          <cell r="B689" t="str">
            <v>04-027/10</v>
          </cell>
          <cell r="C689" t="str">
            <v>2.01.01.01</v>
          </cell>
          <cell r="D689">
            <v>41367</v>
          </cell>
          <cell r="E689" t="str">
            <v>JULIO CÉSAR DA S OLIVEIRA</v>
          </cell>
          <cell r="F689" t="str">
            <v>SALÁRIO REF 03/2013</v>
          </cell>
          <cell r="G689" t="str">
            <v>D</v>
          </cell>
          <cell r="H689">
            <v>432</v>
          </cell>
          <cell r="I689">
            <v>0</v>
          </cell>
          <cell r="J689" t="str">
            <v>x</v>
          </cell>
          <cell r="K689">
            <v>794712.37000000069</v>
          </cell>
          <cell r="L689">
            <v>794712.37000000069</v>
          </cell>
          <cell r="M689">
            <v>0</v>
          </cell>
        </row>
        <row r="690">
          <cell r="B690" t="str">
            <v>04-027/11</v>
          </cell>
          <cell r="C690" t="str">
            <v>2.01.01.01</v>
          </cell>
          <cell r="D690">
            <v>41367</v>
          </cell>
          <cell r="E690" t="str">
            <v>GILBERTO SILVA ROQUE</v>
          </cell>
          <cell r="F690" t="str">
            <v>SALÁRIO REF 03/2013</v>
          </cell>
          <cell r="G690" t="str">
            <v>D</v>
          </cell>
          <cell r="H690">
            <v>584</v>
          </cell>
          <cell r="I690">
            <v>0</v>
          </cell>
          <cell r="J690" t="str">
            <v>x</v>
          </cell>
          <cell r="K690">
            <v>794128.37000000069</v>
          </cell>
          <cell r="L690">
            <v>794128.37000000069</v>
          </cell>
          <cell r="M690">
            <v>0</v>
          </cell>
        </row>
        <row r="691">
          <cell r="B691" t="str">
            <v>04-027/12</v>
          </cell>
          <cell r="C691" t="str">
            <v>2.01.01.01</v>
          </cell>
          <cell r="D691">
            <v>41367</v>
          </cell>
          <cell r="E691" t="str">
            <v>WEVERTON EUGÊNIO PEREIRA</v>
          </cell>
          <cell r="F691" t="str">
            <v>SALÁRIO REF 03/2013</v>
          </cell>
          <cell r="G691" t="str">
            <v>D</v>
          </cell>
          <cell r="H691">
            <v>536</v>
          </cell>
          <cell r="I691">
            <v>0</v>
          </cell>
          <cell r="J691" t="str">
            <v>x</v>
          </cell>
          <cell r="K691">
            <v>793592.37000000069</v>
          </cell>
          <cell r="L691">
            <v>793592.37000000069</v>
          </cell>
          <cell r="M691">
            <v>0</v>
          </cell>
        </row>
        <row r="692">
          <cell r="B692" t="str">
            <v>04-027/13</v>
          </cell>
          <cell r="C692" t="str">
            <v>2.01.01.01</v>
          </cell>
          <cell r="D692">
            <v>41367</v>
          </cell>
          <cell r="E692" t="str">
            <v>LUCAS AMARAL</v>
          </cell>
          <cell r="F692" t="str">
            <v>SALÁRIO REF 03/2013</v>
          </cell>
          <cell r="G692" t="str">
            <v>D</v>
          </cell>
          <cell r="H692">
            <v>1</v>
          </cell>
          <cell r="I692">
            <v>0</v>
          </cell>
          <cell r="J692" t="str">
            <v>x</v>
          </cell>
          <cell r="K692">
            <v>793591.37000000069</v>
          </cell>
          <cell r="L692">
            <v>793591.37000000069</v>
          </cell>
          <cell r="M692">
            <v>0</v>
          </cell>
        </row>
        <row r="693">
          <cell r="B693" t="str">
            <v>04-027/14</v>
          </cell>
          <cell r="C693" t="str">
            <v>2.01.01.01</v>
          </cell>
          <cell r="D693">
            <v>41367</v>
          </cell>
          <cell r="E693" t="str">
            <v>MÁRCIO OSTIANO DE SOUZA</v>
          </cell>
          <cell r="F693" t="str">
            <v>SALÁRIO REF 03/2013</v>
          </cell>
          <cell r="G693" t="str">
            <v>D</v>
          </cell>
          <cell r="H693">
            <v>460</v>
          </cell>
          <cell r="I693">
            <v>0</v>
          </cell>
          <cell r="J693" t="str">
            <v>x</v>
          </cell>
          <cell r="K693">
            <v>793131.37000000069</v>
          </cell>
          <cell r="L693">
            <v>793131.37000000069</v>
          </cell>
          <cell r="M693">
            <v>0</v>
          </cell>
        </row>
        <row r="694">
          <cell r="B694" t="str">
            <v>04-027/15</v>
          </cell>
          <cell r="C694" t="str">
            <v>2.01.01.01</v>
          </cell>
          <cell r="D694">
            <v>41367</v>
          </cell>
          <cell r="E694" t="str">
            <v>ANDRÉ SIMÕES</v>
          </cell>
          <cell r="F694" t="str">
            <v>SALÁRIO REF 03/2013</v>
          </cell>
          <cell r="G694" t="str">
            <v>D</v>
          </cell>
          <cell r="H694">
            <v>416</v>
          </cell>
          <cell r="I694">
            <v>0</v>
          </cell>
          <cell r="J694" t="str">
            <v>x</v>
          </cell>
          <cell r="K694">
            <v>792715.37000000069</v>
          </cell>
          <cell r="L694">
            <v>792715.37000000069</v>
          </cell>
          <cell r="M694">
            <v>0</v>
          </cell>
        </row>
        <row r="695">
          <cell r="B695" t="str">
            <v>04-027/16</v>
          </cell>
          <cell r="C695" t="str">
            <v>2.01.01.01</v>
          </cell>
          <cell r="D695">
            <v>41367</v>
          </cell>
          <cell r="E695" t="str">
            <v>ANTONIO JOSÉ D DA SILVA JR</v>
          </cell>
          <cell r="F695" t="str">
            <v>SALÁRIO REF 03/2013</v>
          </cell>
          <cell r="G695" t="str">
            <v>D</v>
          </cell>
          <cell r="H695">
            <v>440</v>
          </cell>
          <cell r="I695">
            <v>0</v>
          </cell>
          <cell r="J695" t="str">
            <v>x</v>
          </cell>
          <cell r="K695">
            <v>792275.37000000069</v>
          </cell>
          <cell r="L695">
            <v>792275.37000000069</v>
          </cell>
          <cell r="M695">
            <v>0</v>
          </cell>
        </row>
        <row r="696">
          <cell r="B696" t="str">
            <v>04-027/17</v>
          </cell>
          <cell r="C696" t="str">
            <v>2.01.01.01</v>
          </cell>
          <cell r="D696">
            <v>41367</v>
          </cell>
          <cell r="E696" t="str">
            <v>EMERSON BEDIN</v>
          </cell>
          <cell r="F696" t="str">
            <v>SALÁRIO REF 03/2013</v>
          </cell>
          <cell r="G696" t="str">
            <v>D</v>
          </cell>
          <cell r="H696">
            <v>771</v>
          </cell>
          <cell r="I696">
            <v>0</v>
          </cell>
          <cell r="J696" t="str">
            <v>x</v>
          </cell>
          <cell r="K696">
            <v>791504.37000000069</v>
          </cell>
          <cell r="L696">
            <v>791504.37000000069</v>
          </cell>
          <cell r="M696">
            <v>0</v>
          </cell>
        </row>
        <row r="697">
          <cell r="B697" t="str">
            <v>04-027/18</v>
          </cell>
          <cell r="C697" t="str">
            <v>2.01.01.01</v>
          </cell>
          <cell r="D697">
            <v>41367</v>
          </cell>
          <cell r="E697" t="str">
            <v>THIAGO RIBEIRO</v>
          </cell>
          <cell r="F697" t="str">
            <v>SALÁRIO REF 03/2013</v>
          </cell>
          <cell r="G697" t="str">
            <v>D</v>
          </cell>
          <cell r="H697">
            <v>801</v>
          </cell>
          <cell r="I697">
            <v>0</v>
          </cell>
          <cell r="J697" t="str">
            <v>x</v>
          </cell>
          <cell r="K697">
            <v>790703.37000000069</v>
          </cell>
          <cell r="L697">
            <v>790703.37000000069</v>
          </cell>
          <cell r="M697">
            <v>0</v>
          </cell>
        </row>
        <row r="698">
          <cell r="B698" t="str">
            <v>04-027/19</v>
          </cell>
          <cell r="C698" t="str">
            <v>2.01.01.01</v>
          </cell>
          <cell r="D698">
            <v>41367</v>
          </cell>
          <cell r="E698" t="str">
            <v>ALBERTINO M DA SILVA</v>
          </cell>
          <cell r="F698" t="str">
            <v>SALÁRIO REF 03/2013</v>
          </cell>
          <cell r="G698" t="str">
            <v>D</v>
          </cell>
          <cell r="H698">
            <v>759</v>
          </cell>
          <cell r="I698">
            <v>0</v>
          </cell>
          <cell r="J698" t="str">
            <v>x</v>
          </cell>
          <cell r="K698">
            <v>789944.37000000069</v>
          </cell>
          <cell r="L698">
            <v>789944.37000000069</v>
          </cell>
          <cell r="M698">
            <v>0</v>
          </cell>
        </row>
        <row r="699">
          <cell r="B699" t="str">
            <v>04-027/20</v>
          </cell>
          <cell r="C699" t="str">
            <v>2.01.01.01</v>
          </cell>
          <cell r="D699">
            <v>41367</v>
          </cell>
          <cell r="E699" t="str">
            <v>SANDRO PAGGI DE SOUSA</v>
          </cell>
          <cell r="F699" t="str">
            <v>SALÁRIO REF 03/2013</v>
          </cell>
          <cell r="G699" t="str">
            <v>D</v>
          </cell>
          <cell r="H699">
            <v>670</v>
          </cell>
          <cell r="I699">
            <v>0</v>
          </cell>
          <cell r="J699" t="str">
            <v>x</v>
          </cell>
          <cell r="K699">
            <v>789274.37000000069</v>
          </cell>
          <cell r="L699">
            <v>789274.37000000069</v>
          </cell>
          <cell r="M699">
            <v>0</v>
          </cell>
        </row>
        <row r="700">
          <cell r="B700" t="str">
            <v>04-027/21</v>
          </cell>
          <cell r="C700" t="str">
            <v>2.01.01.01</v>
          </cell>
          <cell r="D700">
            <v>41367</v>
          </cell>
          <cell r="E700" t="str">
            <v>ALEXANDRO JESUS DE ARAUJO</v>
          </cell>
          <cell r="F700" t="str">
            <v>SALÁRIO REF 03/2013</v>
          </cell>
          <cell r="G700" t="str">
            <v>D</v>
          </cell>
          <cell r="H700">
            <v>295</v>
          </cell>
          <cell r="I700">
            <v>0</v>
          </cell>
          <cell r="J700" t="str">
            <v>x</v>
          </cell>
          <cell r="K700">
            <v>788979.37000000069</v>
          </cell>
          <cell r="L700">
            <v>788979.37000000069</v>
          </cell>
          <cell r="M700">
            <v>0</v>
          </cell>
        </row>
        <row r="701">
          <cell r="B701" t="str">
            <v>04-027/22</v>
          </cell>
          <cell r="C701" t="str">
            <v>2.01.01.01</v>
          </cell>
          <cell r="D701">
            <v>41367</v>
          </cell>
          <cell r="E701" t="str">
            <v>ALEXANDRE DE C ALVES</v>
          </cell>
          <cell r="F701" t="str">
            <v>SALÁRIO REF 03/2013</v>
          </cell>
          <cell r="G701" t="str">
            <v>D</v>
          </cell>
          <cell r="H701">
            <v>618</v>
          </cell>
          <cell r="I701">
            <v>0</v>
          </cell>
          <cell r="J701" t="str">
            <v>x</v>
          </cell>
          <cell r="K701">
            <v>788361.37000000069</v>
          </cell>
          <cell r="L701">
            <v>788361.37000000069</v>
          </cell>
          <cell r="M701">
            <v>0</v>
          </cell>
        </row>
        <row r="702">
          <cell r="B702" t="str">
            <v>04-027/23</v>
          </cell>
          <cell r="C702" t="str">
            <v>2.01.01.01</v>
          </cell>
          <cell r="D702">
            <v>41367</v>
          </cell>
          <cell r="E702" t="str">
            <v xml:space="preserve">MARCELO DOS SANTOS </v>
          </cell>
          <cell r="F702" t="str">
            <v>SALÁRIO REF 03/2013</v>
          </cell>
          <cell r="G702" t="str">
            <v>D</v>
          </cell>
          <cell r="H702">
            <v>402</v>
          </cell>
          <cell r="I702">
            <v>0</v>
          </cell>
          <cell r="J702" t="str">
            <v>x</v>
          </cell>
          <cell r="K702">
            <v>787959.37000000069</v>
          </cell>
          <cell r="L702">
            <v>787959.37000000069</v>
          </cell>
          <cell r="M702">
            <v>0</v>
          </cell>
        </row>
        <row r="703">
          <cell r="B703" t="str">
            <v>04-027/24</v>
          </cell>
          <cell r="C703" t="str">
            <v>2.01.01.01</v>
          </cell>
          <cell r="D703">
            <v>41367</v>
          </cell>
          <cell r="E703" t="str">
            <v>WILSON DE SOUZA</v>
          </cell>
          <cell r="F703" t="str">
            <v>SALÁRIO REF 03/2013</v>
          </cell>
          <cell r="G703" t="str">
            <v>D</v>
          </cell>
          <cell r="H703">
            <v>602</v>
          </cell>
          <cell r="I703">
            <v>0</v>
          </cell>
          <cell r="J703" t="str">
            <v>x</v>
          </cell>
          <cell r="K703">
            <v>787357.37000000069</v>
          </cell>
          <cell r="L703">
            <v>787357.37000000069</v>
          </cell>
          <cell r="M703">
            <v>0</v>
          </cell>
        </row>
        <row r="704">
          <cell r="B704" t="str">
            <v>04-027/25</v>
          </cell>
          <cell r="C704" t="str">
            <v>2.02.01.08</v>
          </cell>
          <cell r="D704">
            <v>41367</v>
          </cell>
          <cell r="E704" t="str">
            <v>PAULO ANDRÉ GIL BOSCHIERO</v>
          </cell>
          <cell r="F704" t="str">
            <v>SALÁRIO REF 03/2013</v>
          </cell>
          <cell r="G704" t="str">
            <v>D</v>
          </cell>
          <cell r="H704">
            <v>9358.27</v>
          </cell>
          <cell r="I704">
            <v>0</v>
          </cell>
          <cell r="J704" t="str">
            <v>x</v>
          </cell>
          <cell r="K704">
            <v>777999.10000000068</v>
          </cell>
          <cell r="L704">
            <v>777999.10000000068</v>
          </cell>
          <cell r="M704">
            <v>0</v>
          </cell>
        </row>
        <row r="705">
          <cell r="B705" t="str">
            <v>04-027/26</v>
          </cell>
          <cell r="C705" t="str">
            <v>2.02.01.08</v>
          </cell>
          <cell r="D705">
            <v>41367</v>
          </cell>
          <cell r="E705" t="str">
            <v>RICARDO KASSARDJIAN</v>
          </cell>
          <cell r="F705" t="str">
            <v>SALÁRIO REF 03/2013</v>
          </cell>
          <cell r="G705" t="str">
            <v>D</v>
          </cell>
          <cell r="H705">
            <v>11243.87</v>
          </cell>
          <cell r="I705">
            <v>0</v>
          </cell>
          <cell r="J705" t="str">
            <v>x</v>
          </cell>
          <cell r="K705">
            <v>766755.23000000068</v>
          </cell>
          <cell r="L705">
            <v>766755.23000000068</v>
          </cell>
          <cell r="M705">
            <v>0</v>
          </cell>
        </row>
        <row r="706">
          <cell r="B706" t="str">
            <v>04-027/27</v>
          </cell>
          <cell r="C706" t="str">
            <v>2.02.01.08</v>
          </cell>
          <cell r="D706">
            <v>41367</v>
          </cell>
          <cell r="E706" t="str">
            <v>PEDRO P BERGAMASCHI</v>
          </cell>
          <cell r="F706" t="str">
            <v>SALÁRIO REF 03/2013</v>
          </cell>
          <cell r="G706" t="str">
            <v>D</v>
          </cell>
          <cell r="H706">
            <v>2365.27</v>
          </cell>
          <cell r="I706">
            <v>0</v>
          </cell>
          <cell r="J706" t="str">
            <v>x</v>
          </cell>
          <cell r="K706">
            <v>764389.96000000066</v>
          </cell>
          <cell r="L706">
            <v>764389.96000000066</v>
          </cell>
          <cell r="M706">
            <v>0</v>
          </cell>
        </row>
        <row r="707">
          <cell r="B707" t="str">
            <v>04-027/28</v>
          </cell>
          <cell r="C707" t="str">
            <v>2.02.01.08</v>
          </cell>
          <cell r="D707">
            <v>41367</v>
          </cell>
          <cell r="E707" t="str">
            <v>JOÃO MAURO BOSCHIERO</v>
          </cell>
          <cell r="F707" t="str">
            <v>SALÁRIO REF 03/2013</v>
          </cell>
          <cell r="G707" t="str">
            <v>D</v>
          </cell>
          <cell r="H707">
            <v>2261.83</v>
          </cell>
          <cell r="I707">
            <v>0</v>
          </cell>
          <cell r="J707" t="str">
            <v>x</v>
          </cell>
          <cell r="K707">
            <v>762128.1300000007</v>
          </cell>
          <cell r="L707">
            <v>762128.1300000007</v>
          </cell>
          <cell r="M707">
            <v>0</v>
          </cell>
        </row>
        <row r="708">
          <cell r="B708" t="str">
            <v>04-023</v>
          </cell>
          <cell r="C708" t="str">
            <v>2.03.01.05</v>
          </cell>
          <cell r="D708">
            <v>41367</v>
          </cell>
          <cell r="E708" t="str">
            <v>COMPANHIA AMBIENTAL DO ESTADO DE SÃO PAULO - CETESB</v>
          </cell>
          <cell r="F708" t="str">
            <v xml:space="preserve">SOLICITAÇÃO DE CERTIFICADO MOV RESÍDUOS AMBIENTAIS </v>
          </cell>
          <cell r="G708" t="str">
            <v>D</v>
          </cell>
          <cell r="H708">
            <v>1355.9</v>
          </cell>
          <cell r="I708">
            <v>0</v>
          </cell>
          <cell r="J708" t="str">
            <v>x</v>
          </cell>
          <cell r="K708">
            <v>760772.23000000068</v>
          </cell>
          <cell r="L708">
            <v>760772.23000000068</v>
          </cell>
          <cell r="M708">
            <v>36022890</v>
          </cell>
        </row>
        <row r="709">
          <cell r="B709" t="str">
            <v>RE04-003</v>
          </cell>
          <cell r="C709" t="str">
            <v>1.01.04.01</v>
          </cell>
          <cell r="D709">
            <v>41369</v>
          </cell>
          <cell r="E709" t="str">
            <v xml:space="preserve">BANCO ITAÚ </v>
          </cell>
          <cell r="F709" t="str">
            <v xml:space="preserve">RENDIMENTO DE APLICAÇÃO </v>
          </cell>
          <cell r="G709" t="str">
            <v>C</v>
          </cell>
          <cell r="H709">
            <v>0</v>
          </cell>
          <cell r="I709">
            <v>1.78</v>
          </cell>
          <cell r="J709" t="str">
            <v>x</v>
          </cell>
          <cell r="K709">
            <v>760774.01000000071</v>
          </cell>
          <cell r="L709">
            <v>760774.01000000071</v>
          </cell>
          <cell r="M709">
            <v>0</v>
          </cell>
        </row>
        <row r="710">
          <cell r="B710" t="str">
            <v>03-077</v>
          </cell>
          <cell r="C710" t="str">
            <v>2.01.05.10</v>
          </cell>
          <cell r="D710">
            <v>41369</v>
          </cell>
          <cell r="E710" t="str">
            <v>CORPUS SANEAMENTO E OBRAS LTDA</v>
          </cell>
          <cell r="F710" t="str">
            <v xml:space="preserve">COLETA, TRANSPORTES E DESTINAÇÃO FINAL DE RESÍDUOS INDUSTRIAIS </v>
          </cell>
          <cell r="G710" t="str">
            <v>D</v>
          </cell>
          <cell r="H710">
            <v>10819.49</v>
          </cell>
          <cell r="I710">
            <v>0</v>
          </cell>
          <cell r="J710" t="str">
            <v>x</v>
          </cell>
          <cell r="K710">
            <v>749954.52000000072</v>
          </cell>
          <cell r="L710">
            <v>749954.52000000072</v>
          </cell>
          <cell r="M710">
            <v>10456</v>
          </cell>
        </row>
        <row r="711">
          <cell r="B711" t="str">
            <v>03-049</v>
          </cell>
          <cell r="C711" t="str">
            <v>2.07.03.05</v>
          </cell>
          <cell r="D711">
            <v>41369</v>
          </cell>
          <cell r="E711" t="str">
            <v xml:space="preserve">EVAGON GESTÃO ANALÍTICA </v>
          </cell>
          <cell r="F711" t="str">
            <v xml:space="preserve">COMPRA DE EQUIPAMENTO REATOR DE DQO PARA ETE </v>
          </cell>
          <cell r="G711" t="str">
            <v>D</v>
          </cell>
          <cell r="H711">
            <v>3986</v>
          </cell>
          <cell r="I711">
            <v>0</v>
          </cell>
          <cell r="J711" t="str">
            <v>x</v>
          </cell>
          <cell r="K711">
            <v>745968.52000000072</v>
          </cell>
          <cell r="L711">
            <v>745968.52000000072</v>
          </cell>
          <cell r="M711">
            <v>1014</v>
          </cell>
        </row>
        <row r="712">
          <cell r="B712" t="str">
            <v>04-007</v>
          </cell>
          <cell r="C712" t="str">
            <v>2.02.03.05</v>
          </cell>
          <cell r="D712">
            <v>41369</v>
          </cell>
          <cell r="E712" t="str">
            <v>SCANDIUZZI CONSULTORIA CONTABIL Ltda.</v>
          </cell>
          <cell r="F712" t="str">
            <v>HONORÁRIOS MENSAIS REF 03/2013</v>
          </cell>
          <cell r="G712" t="str">
            <v>D</v>
          </cell>
          <cell r="H712">
            <v>3732</v>
          </cell>
          <cell r="I712">
            <v>0</v>
          </cell>
          <cell r="J712" t="str">
            <v>x</v>
          </cell>
          <cell r="K712">
            <v>742236.52000000072</v>
          </cell>
          <cell r="L712">
            <v>742236.52000000072</v>
          </cell>
          <cell r="M712">
            <v>1654</v>
          </cell>
        </row>
        <row r="713">
          <cell r="B713" t="str">
            <v>04-028</v>
          </cell>
          <cell r="C713" t="str">
            <v>2.01.01.09</v>
          </cell>
          <cell r="D713">
            <v>41369</v>
          </cell>
          <cell r="E713" t="str">
            <v>FGTS SANESALTO</v>
          </cell>
          <cell r="F713" t="str">
            <v>FUNDO DE GARANTIA POR TEMPO DE SERVIÇO REF 03/2013</v>
          </cell>
          <cell r="G713" t="str">
            <v>D</v>
          </cell>
          <cell r="H713">
            <v>3433.05</v>
          </cell>
          <cell r="I713">
            <v>0</v>
          </cell>
          <cell r="J713" t="str">
            <v>x</v>
          </cell>
          <cell r="K713">
            <v>738803.47000000067</v>
          </cell>
          <cell r="L713">
            <v>738803.47000000067</v>
          </cell>
          <cell r="M713">
            <v>0</v>
          </cell>
        </row>
        <row r="714">
          <cell r="B714" t="str">
            <v>04-005</v>
          </cell>
          <cell r="C714" t="str">
            <v>2.01.01.06</v>
          </cell>
          <cell r="D714">
            <v>41369</v>
          </cell>
          <cell r="E714" t="str">
            <v xml:space="preserve">RESTAURANTE SUINDARA </v>
          </cell>
          <cell r="F714" t="str">
            <v xml:space="preserve">FORNECIMENTO DE MARMITEX PARA ETE </v>
          </cell>
          <cell r="G714" t="str">
            <v>D</v>
          </cell>
          <cell r="H714">
            <v>2442</v>
          </cell>
          <cell r="I714">
            <v>0</v>
          </cell>
          <cell r="J714" t="str">
            <v>x</v>
          </cell>
          <cell r="K714">
            <v>736361.47000000067</v>
          </cell>
          <cell r="L714">
            <v>736361.47000000067</v>
          </cell>
          <cell r="M714">
            <v>4956</v>
          </cell>
        </row>
        <row r="715">
          <cell r="B715" t="str">
            <v>002-054/2</v>
          </cell>
          <cell r="C715" t="str">
            <v>2.07.01.03</v>
          </cell>
          <cell r="D715">
            <v>41369</v>
          </cell>
          <cell r="E715" t="str">
            <v>SOLUTION UNITED TECNOLOGIA Ltda.</v>
          </cell>
          <cell r="F715" t="str">
            <v>COMPRA DE CANETA MARCADORA</v>
          </cell>
          <cell r="G715" t="str">
            <v>D</v>
          </cell>
          <cell r="H715">
            <v>1342.48</v>
          </cell>
          <cell r="I715">
            <v>0</v>
          </cell>
          <cell r="J715" t="str">
            <v>x</v>
          </cell>
          <cell r="K715">
            <v>735018.99000000069</v>
          </cell>
          <cell r="L715">
            <v>735018.99000000069</v>
          </cell>
          <cell r="M715">
            <v>1512</v>
          </cell>
        </row>
        <row r="716">
          <cell r="B716" t="str">
            <v>03-097</v>
          </cell>
          <cell r="C716" t="str">
            <v>2.01.05.04</v>
          </cell>
          <cell r="D716">
            <v>41369</v>
          </cell>
          <cell r="E716" t="str">
            <v>AGF GESTÃO DE SAÚDE E SEGURANÇA DO TRABALHO</v>
          </cell>
          <cell r="F716" t="str">
            <v>REF ELABORAÇÃO DE LAUDO AMBIENTAL</v>
          </cell>
          <cell r="G716" t="str">
            <v>D</v>
          </cell>
          <cell r="H716">
            <v>972.48</v>
          </cell>
          <cell r="I716">
            <v>0</v>
          </cell>
          <cell r="J716" t="str">
            <v>x</v>
          </cell>
          <cell r="K716">
            <v>734046.51000000071</v>
          </cell>
          <cell r="L716">
            <v>734046.51000000071</v>
          </cell>
          <cell r="M716">
            <v>38</v>
          </cell>
        </row>
        <row r="717">
          <cell r="B717" t="str">
            <v>04-008</v>
          </cell>
          <cell r="C717" t="str">
            <v>2.02.02.04</v>
          </cell>
          <cell r="D717">
            <v>41369</v>
          </cell>
          <cell r="E717" t="str">
            <v>TELEFONICA TELECOMUNICAÇÕES DE SÃO PAULO S.A/ VIVO</v>
          </cell>
          <cell r="F717" t="str">
            <v>CONTA DE TELEFONE 4021-5766 REF 03/2013</v>
          </cell>
          <cell r="G717" t="str">
            <v>D</v>
          </cell>
          <cell r="H717">
            <v>926.58</v>
          </cell>
          <cell r="I717">
            <v>0</v>
          </cell>
          <cell r="J717" t="str">
            <v>x</v>
          </cell>
          <cell r="K717">
            <v>733119.93000000075</v>
          </cell>
          <cell r="L717">
            <v>733119.93000000075</v>
          </cell>
          <cell r="M717">
            <v>0</v>
          </cell>
        </row>
        <row r="718">
          <cell r="B718" t="str">
            <v>03-069</v>
          </cell>
          <cell r="C718" t="str">
            <v>2.01.05.02</v>
          </cell>
          <cell r="D718">
            <v>41369</v>
          </cell>
          <cell r="E718" t="str">
            <v>CARLOS ALBERTO PROGIANTI ME</v>
          </cell>
          <cell r="F718" t="str">
            <v xml:space="preserve">ASSISTÊNCIA TÉCNICA REF. A MÃO DE OBRA </v>
          </cell>
          <cell r="G718" t="str">
            <v>D</v>
          </cell>
          <cell r="H718">
            <v>238.16</v>
          </cell>
          <cell r="I718">
            <v>0</v>
          </cell>
          <cell r="J718" t="str">
            <v>x</v>
          </cell>
          <cell r="K718">
            <v>732881.77000000072</v>
          </cell>
          <cell r="L718">
            <v>732881.77000000072</v>
          </cell>
          <cell r="M718">
            <v>8038</v>
          </cell>
        </row>
        <row r="719">
          <cell r="B719" t="str">
            <v>04-009</v>
          </cell>
          <cell r="C719" t="str">
            <v>2.02.02.04</v>
          </cell>
          <cell r="D719">
            <v>41369</v>
          </cell>
          <cell r="E719" t="str">
            <v>TELEFONICA TELECOMUNICAÇÕES DE SÃO PAULO S.A/ VIVO</v>
          </cell>
          <cell r="F719" t="str">
            <v>CONTA DE TELEFONE 4029-3700 REF 03/2013</v>
          </cell>
          <cell r="G719" t="str">
            <v>D</v>
          </cell>
          <cell r="H719">
            <v>226.64</v>
          </cell>
          <cell r="I719">
            <v>0</v>
          </cell>
          <cell r="J719" t="str">
            <v>x</v>
          </cell>
          <cell r="K719">
            <v>732655.1300000007</v>
          </cell>
          <cell r="L719">
            <v>732655.1300000007</v>
          </cell>
          <cell r="M719">
            <v>0</v>
          </cell>
        </row>
        <row r="720">
          <cell r="B720" t="str">
            <v>04-025</v>
          </cell>
          <cell r="C720" t="str">
            <v>2.02.02.10</v>
          </cell>
          <cell r="D720">
            <v>41369</v>
          </cell>
          <cell r="E720" t="str">
            <v>FERNANDO SANTOS DA SILVEIRA SALTO ME</v>
          </cell>
          <cell r="F720" t="str">
            <v>CONFECÇÃO DE CRACHÁS SANESALTO</v>
          </cell>
          <cell r="G720" t="str">
            <v>D</v>
          </cell>
          <cell r="H720">
            <v>215.6</v>
          </cell>
          <cell r="I720">
            <v>0</v>
          </cell>
          <cell r="J720" t="str">
            <v>x</v>
          </cell>
          <cell r="K720">
            <v>732439.53000000073</v>
          </cell>
          <cell r="L720">
            <v>732439.53000000073</v>
          </cell>
          <cell r="M720">
            <v>71</v>
          </cell>
        </row>
        <row r="721">
          <cell r="B721" t="str">
            <v>RE04-004</v>
          </cell>
          <cell r="C721" t="str">
            <v>1.01.01.01</v>
          </cell>
          <cell r="D721">
            <v>41372</v>
          </cell>
          <cell r="E721" t="str">
            <v>SANESALTO SANEAMENTO S/A</v>
          </cell>
          <cell r="F721" t="str">
            <v>MEDIÇÃO DE 01 A 05/04/2013</v>
          </cell>
          <cell r="G721" t="str">
            <v>C</v>
          </cell>
          <cell r="H721">
            <v>0</v>
          </cell>
          <cell r="I721">
            <v>209964.15</v>
          </cell>
          <cell r="J721" t="str">
            <v>x</v>
          </cell>
          <cell r="K721">
            <v>942403.68000000075</v>
          </cell>
          <cell r="L721">
            <v>942403.68000000075</v>
          </cell>
          <cell r="M721">
            <v>0</v>
          </cell>
        </row>
        <row r="722">
          <cell r="B722" t="str">
            <v>03-093</v>
          </cell>
          <cell r="C722" t="str">
            <v>2.01.03.09</v>
          </cell>
          <cell r="D722">
            <v>41372</v>
          </cell>
          <cell r="E722" t="str">
            <v>COMPANHIA PIRATININGA DE FORÇA E LUZ - CPFL</v>
          </cell>
          <cell r="F722" t="str">
            <v>CONTA DE ENERGIA ELEV 02 REF 03/2013</v>
          </cell>
          <cell r="G722" t="str">
            <v>D</v>
          </cell>
          <cell r="H722">
            <v>121.53</v>
          </cell>
          <cell r="I722">
            <v>0</v>
          </cell>
          <cell r="J722" t="str">
            <v>x</v>
          </cell>
          <cell r="K722">
            <v>942282.15000000072</v>
          </cell>
          <cell r="L722">
            <v>942282.15000000072</v>
          </cell>
          <cell r="M722">
            <v>0</v>
          </cell>
        </row>
        <row r="723">
          <cell r="B723" t="str">
            <v>03-054</v>
          </cell>
          <cell r="C723" t="str">
            <v>2.01.03.16</v>
          </cell>
          <cell r="D723">
            <v>41372</v>
          </cell>
          <cell r="E723" t="str">
            <v xml:space="preserve">SALTO LUZ MATERIAIS ELÉTRICOS </v>
          </cell>
          <cell r="F723" t="str">
            <v>COMPRA DE MATERIAIS ELÉTRICOS PARA ETE</v>
          </cell>
          <cell r="G723" t="str">
            <v>D</v>
          </cell>
          <cell r="H723">
            <v>83.49</v>
          </cell>
          <cell r="I723">
            <v>0</v>
          </cell>
          <cell r="J723" t="str">
            <v>x</v>
          </cell>
          <cell r="K723">
            <v>942198.66000000073</v>
          </cell>
          <cell r="L723">
            <v>942198.66000000073</v>
          </cell>
          <cell r="M723">
            <v>13202</v>
          </cell>
        </row>
        <row r="724">
          <cell r="B724" t="str">
            <v>RE04-005</v>
          </cell>
          <cell r="C724" t="str">
            <v>1.01.01.02</v>
          </cell>
          <cell r="D724">
            <v>41373</v>
          </cell>
          <cell r="E724" t="str">
            <v>SANETRAT SANEAMENTO S/A</v>
          </cell>
          <cell r="F724" t="str">
            <v>TRATAMENTO DE ESGOTO REF 01/2013</v>
          </cell>
          <cell r="G724" t="str">
            <v>C</v>
          </cell>
          <cell r="H724">
            <v>0</v>
          </cell>
          <cell r="I724">
            <v>12565.24</v>
          </cell>
          <cell r="J724" t="str">
            <v>x</v>
          </cell>
          <cell r="K724">
            <v>954763.90000000072</v>
          </cell>
          <cell r="L724">
            <v>954763.90000000072</v>
          </cell>
          <cell r="M724">
            <v>0</v>
          </cell>
        </row>
        <row r="725">
          <cell r="B725" t="str">
            <v>RE04-006</v>
          </cell>
          <cell r="C725" t="str">
            <v>1.01.04.01</v>
          </cell>
          <cell r="D725">
            <v>41374</v>
          </cell>
          <cell r="E725" t="str">
            <v xml:space="preserve">BANCO ITAÚ </v>
          </cell>
          <cell r="F725" t="str">
            <v xml:space="preserve">RENDIMENTO DE APLICAÇÃO </v>
          </cell>
          <cell r="G725" t="str">
            <v>C</v>
          </cell>
          <cell r="H725">
            <v>0</v>
          </cell>
          <cell r="I725">
            <v>18.02</v>
          </cell>
          <cell r="J725" t="str">
            <v>x</v>
          </cell>
          <cell r="K725">
            <v>954781.92000000074</v>
          </cell>
          <cell r="L725">
            <v>954781.92000000074</v>
          </cell>
          <cell r="M725">
            <v>0</v>
          </cell>
        </row>
        <row r="726">
          <cell r="B726" t="str">
            <v>04-045</v>
          </cell>
          <cell r="C726" t="str">
            <v>2.01.05.02</v>
          </cell>
          <cell r="D726">
            <v>41374</v>
          </cell>
          <cell r="E726" t="str">
            <v>CARLOS ALBERTO PROGIANTI ME</v>
          </cell>
          <cell r="F726" t="str">
            <v>ASSISTÊNCIA TÉCNICA REF A LEITURA DE DADOS</v>
          </cell>
          <cell r="G726" t="str">
            <v>D</v>
          </cell>
          <cell r="H726">
            <v>124.6</v>
          </cell>
          <cell r="I726">
            <v>0</v>
          </cell>
          <cell r="J726" t="str">
            <v>x</v>
          </cell>
          <cell r="K726">
            <v>954657.32000000076</v>
          </cell>
          <cell r="L726">
            <v>954657.32000000076</v>
          </cell>
          <cell r="M726">
            <v>8062</v>
          </cell>
        </row>
        <row r="727">
          <cell r="B727" t="str">
            <v>04-043</v>
          </cell>
          <cell r="C727" t="str">
            <v>2.01.05.02</v>
          </cell>
          <cell r="D727">
            <v>41374</v>
          </cell>
          <cell r="E727" t="str">
            <v>CARLOS ALBERTO PROGIANTI ME</v>
          </cell>
          <cell r="F727" t="str">
            <v>ASSISTÊNCIA TÉCNICA REF A LEITURA DE DADOS</v>
          </cell>
          <cell r="G727" t="str">
            <v>D</v>
          </cell>
          <cell r="H727">
            <v>131.97999999999999</v>
          </cell>
          <cell r="I727">
            <v>0</v>
          </cell>
          <cell r="J727" t="str">
            <v>x</v>
          </cell>
          <cell r="K727">
            <v>954525.34000000078</v>
          </cell>
          <cell r="L727">
            <v>954525.34000000078</v>
          </cell>
          <cell r="M727">
            <v>8060</v>
          </cell>
        </row>
        <row r="728">
          <cell r="B728" t="str">
            <v>04-042</v>
          </cell>
          <cell r="C728" t="str">
            <v>2.01.05.02</v>
          </cell>
          <cell r="D728">
            <v>41374</v>
          </cell>
          <cell r="E728" t="str">
            <v>CARLOS ALBERTO PROGIANTI ME</v>
          </cell>
          <cell r="F728" t="str">
            <v>ASSISTÊNCIA TÉCNICA REF A LEITURA DE DADOS</v>
          </cell>
          <cell r="G728" t="str">
            <v>D</v>
          </cell>
          <cell r="H728">
            <v>125.14</v>
          </cell>
          <cell r="I728">
            <v>0</v>
          </cell>
          <cell r="J728" t="str">
            <v>x</v>
          </cell>
          <cell r="K728">
            <v>954400.20000000077</v>
          </cell>
          <cell r="L728">
            <v>954400.20000000077</v>
          </cell>
          <cell r="M728">
            <v>8065</v>
          </cell>
        </row>
        <row r="729">
          <cell r="B729" t="str">
            <v>11-043/07</v>
          </cell>
          <cell r="C729" t="str">
            <v>2.07.01.04</v>
          </cell>
          <cell r="D729">
            <v>41374</v>
          </cell>
          <cell r="E729" t="str">
            <v>KSB BOMBAS HIDRAULICAS  S/A</v>
          </cell>
          <cell r="F729" t="str">
            <v>REF BOMBA MODELO KRT K150-401/804 UNG</v>
          </cell>
          <cell r="G729" t="str">
            <v>D</v>
          </cell>
          <cell r="H729">
            <v>9780</v>
          </cell>
          <cell r="I729">
            <v>0</v>
          </cell>
          <cell r="J729" t="str">
            <v>x</v>
          </cell>
          <cell r="K729">
            <v>944620.20000000077</v>
          </cell>
          <cell r="L729">
            <v>944620.20000000077</v>
          </cell>
          <cell r="M729">
            <v>2410</v>
          </cell>
        </row>
        <row r="730">
          <cell r="B730" t="str">
            <v>04-016</v>
          </cell>
          <cell r="C730" t="str">
            <v>2.02.01.04</v>
          </cell>
          <cell r="D730">
            <v>41374</v>
          </cell>
          <cell r="E730" t="str">
            <v>UNIMED DE SALTO ITU COOP TRAB MÉDICO</v>
          </cell>
          <cell r="F730" t="str">
            <v>CONVÊNIO DOS FUNIONÁRIOS 04/2013</v>
          </cell>
          <cell r="G730" t="str">
            <v>D</v>
          </cell>
          <cell r="H730">
            <v>5264.52</v>
          </cell>
          <cell r="I730">
            <v>0</v>
          </cell>
          <cell r="J730" t="str">
            <v>x</v>
          </cell>
          <cell r="K730">
            <v>939355.68000000075</v>
          </cell>
          <cell r="L730">
            <v>939355.68000000075</v>
          </cell>
          <cell r="M730" t="str">
            <v>30000960/13</v>
          </cell>
        </row>
        <row r="731">
          <cell r="B731" t="str">
            <v>03-048/1</v>
          </cell>
          <cell r="C731" t="str">
            <v>2.07.01.04</v>
          </cell>
          <cell r="D731">
            <v>41374</v>
          </cell>
          <cell r="E731" t="str">
            <v>STARLUX EQUIPAMENTOS INDUSTRIAIS LTDA</v>
          </cell>
          <cell r="F731" t="str">
            <v>COMPRA DE EQUIPAMENTO DE BLOQUEADOR DIMENSIONAL DE ACESSÓRIO COMPLETO</v>
          </cell>
          <cell r="G731" t="str">
            <v>D</v>
          </cell>
          <cell r="H731">
            <v>2311</v>
          </cell>
          <cell r="I731">
            <v>0</v>
          </cell>
          <cell r="J731" t="str">
            <v>x</v>
          </cell>
          <cell r="K731">
            <v>937044.68000000075</v>
          </cell>
          <cell r="L731">
            <v>937044.68000000075</v>
          </cell>
          <cell r="M731">
            <v>2643</v>
          </cell>
        </row>
        <row r="732">
          <cell r="B732" t="str">
            <v>12-088/4</v>
          </cell>
          <cell r="C732" t="str">
            <v>2.07.01.04</v>
          </cell>
          <cell r="D732">
            <v>41374</v>
          </cell>
          <cell r="E732" t="str">
            <v>SOLUTION UNITED TECNOLOGIA Ltda.</v>
          </cell>
          <cell r="F732" t="str">
            <v>COMPRA DE COLETOR DE DADOS E EMPRESSORA</v>
          </cell>
          <cell r="G732" t="str">
            <v>D</v>
          </cell>
          <cell r="H732">
            <v>2901.36</v>
          </cell>
          <cell r="I732">
            <v>0</v>
          </cell>
          <cell r="J732" t="str">
            <v>x</v>
          </cell>
          <cell r="K732">
            <v>934143.32000000076</v>
          </cell>
          <cell r="L732">
            <v>934143.32000000076</v>
          </cell>
          <cell r="M732">
            <v>1402</v>
          </cell>
        </row>
        <row r="733">
          <cell r="B733" t="str">
            <v>03-076</v>
          </cell>
          <cell r="C733" t="str">
            <v>2.01.03.08</v>
          </cell>
          <cell r="D733">
            <v>41374</v>
          </cell>
          <cell r="E733" t="str">
            <v>HEXIS CIENTÍFICA S.A</v>
          </cell>
          <cell r="F733" t="str">
            <v>COMPRA DE REAGENTE DQO PARA ETE + ESTOJO QUIMICO</v>
          </cell>
          <cell r="G733" t="str">
            <v>D</v>
          </cell>
          <cell r="H733">
            <v>2581.3000000000002</v>
          </cell>
          <cell r="I733">
            <v>0</v>
          </cell>
          <cell r="J733" t="str">
            <v>x</v>
          </cell>
          <cell r="K733">
            <v>931562.02000000072</v>
          </cell>
          <cell r="L733">
            <v>931562.02000000072</v>
          </cell>
          <cell r="M733">
            <v>241017</v>
          </cell>
        </row>
        <row r="734">
          <cell r="B734" t="str">
            <v>03-071</v>
          </cell>
          <cell r="C734" t="str">
            <v>2.06.03.01</v>
          </cell>
          <cell r="D734">
            <v>41374</v>
          </cell>
          <cell r="E734" t="str">
            <v>CVM - COMISSÃO DE VALORES MOBILIÁRIOS</v>
          </cell>
          <cell r="F734" t="str">
            <v>TAXA DE FISCALIZAÇÃO DA CVM</v>
          </cell>
          <cell r="G734" t="str">
            <v>D</v>
          </cell>
          <cell r="H734">
            <v>1243.05</v>
          </cell>
          <cell r="I734">
            <v>0</v>
          </cell>
          <cell r="J734" t="str">
            <v>X</v>
          </cell>
          <cell r="K734">
            <v>930318.97000000067</v>
          </cell>
          <cell r="L734">
            <v>930318.97000000067</v>
          </cell>
          <cell r="M734">
            <v>1237662</v>
          </cell>
        </row>
        <row r="735">
          <cell r="B735" t="str">
            <v>03-078</v>
          </cell>
          <cell r="C735" t="str">
            <v>2.01.05.05</v>
          </cell>
          <cell r="D735">
            <v>41374</v>
          </cell>
          <cell r="E735" t="str">
            <v>ACQUALAB LABORATÓRIO E CONSULTORIA AMBIENTAL S/S LTDA</v>
          </cell>
          <cell r="F735" t="str">
            <v>Serviços de Analise e Serv Tecnico de Amostragem e Transporte de Amostras</v>
          </cell>
          <cell r="G735" t="str">
            <v>D</v>
          </cell>
          <cell r="H735">
            <v>1176.0899999999999</v>
          </cell>
          <cell r="I735">
            <v>0</v>
          </cell>
          <cell r="J735" t="str">
            <v>X</v>
          </cell>
          <cell r="K735">
            <v>929142.8800000007</v>
          </cell>
          <cell r="L735">
            <v>929142.8800000007</v>
          </cell>
          <cell r="M735">
            <v>2278</v>
          </cell>
        </row>
        <row r="736">
          <cell r="B736" t="str">
            <v>04-056</v>
          </cell>
          <cell r="C736" t="str">
            <v>2.06.03.01</v>
          </cell>
          <cell r="D736">
            <v>41374</v>
          </cell>
          <cell r="E736" t="str">
            <v>CVM - COMISSÃO DE VALORES MOBILIÁRIOS</v>
          </cell>
          <cell r="F736" t="str">
            <v xml:space="preserve">MULTA COMINATÓRIA </v>
          </cell>
          <cell r="G736" t="str">
            <v>D</v>
          </cell>
          <cell r="H736">
            <v>735.84</v>
          </cell>
          <cell r="I736">
            <v>0</v>
          </cell>
          <cell r="J736" t="str">
            <v>X</v>
          </cell>
          <cell r="K736">
            <v>928407.04000000074</v>
          </cell>
          <cell r="L736">
            <v>928407.04000000074</v>
          </cell>
          <cell r="M736">
            <v>50409</v>
          </cell>
        </row>
        <row r="737">
          <cell r="B737" t="str">
            <v>04-047</v>
          </cell>
          <cell r="C737" t="str">
            <v>2.02.02.04</v>
          </cell>
          <cell r="D737">
            <v>41374</v>
          </cell>
          <cell r="E737" t="str">
            <v>VIVO S/A</v>
          </cell>
          <cell r="F737" t="str">
            <v xml:space="preserve">VIVO INTERNET 500MP </v>
          </cell>
          <cell r="G737" t="str">
            <v>D</v>
          </cell>
          <cell r="H737">
            <v>576.5</v>
          </cell>
          <cell r="I737">
            <v>0</v>
          </cell>
          <cell r="J737" t="str">
            <v>X</v>
          </cell>
          <cell r="K737">
            <v>927830.54000000074</v>
          </cell>
          <cell r="L737">
            <v>927830.54000000074</v>
          </cell>
          <cell r="M737">
            <v>2063779473</v>
          </cell>
        </row>
        <row r="738">
          <cell r="B738" t="str">
            <v>03-119</v>
          </cell>
          <cell r="C738" t="str">
            <v>2.07.01.03</v>
          </cell>
          <cell r="D738">
            <v>41374</v>
          </cell>
          <cell r="E738" t="str">
            <v>SOLUTION UNITED TECNOLOGIA Ltda.</v>
          </cell>
          <cell r="F738" t="str">
            <v>SERVIÇO DE MANUTENÇÃO DE COLETORES DE DADOS</v>
          </cell>
          <cell r="G738" t="str">
            <v>D</v>
          </cell>
          <cell r="H738">
            <v>354.86</v>
          </cell>
          <cell r="I738">
            <v>0</v>
          </cell>
          <cell r="J738" t="str">
            <v>X</v>
          </cell>
          <cell r="K738">
            <v>927475.68000000075</v>
          </cell>
          <cell r="L738">
            <v>927475.68000000075</v>
          </cell>
          <cell r="M738">
            <v>270</v>
          </cell>
        </row>
        <row r="739">
          <cell r="B739" t="str">
            <v>04-040</v>
          </cell>
          <cell r="C739" t="str">
            <v>2.01.05.02</v>
          </cell>
          <cell r="D739">
            <v>41374</v>
          </cell>
          <cell r="E739" t="str">
            <v>CARLOS ALBERTO PROGIANTI ME</v>
          </cell>
          <cell r="F739" t="str">
            <v>ASSISTÊNCIA TÉCNICA REF A LEITURA DE DADOS</v>
          </cell>
          <cell r="G739" t="str">
            <v>D</v>
          </cell>
          <cell r="H739">
            <v>80.38</v>
          </cell>
          <cell r="I739">
            <v>0</v>
          </cell>
          <cell r="J739" t="str">
            <v>X</v>
          </cell>
          <cell r="K739">
            <v>927395.30000000075</v>
          </cell>
          <cell r="L739">
            <v>927395.30000000075</v>
          </cell>
          <cell r="M739">
            <v>8083</v>
          </cell>
        </row>
        <row r="740">
          <cell r="B740" t="str">
            <v>04-011</v>
          </cell>
          <cell r="C740" t="str">
            <v>2.01.03.17</v>
          </cell>
          <cell r="D740">
            <v>41374</v>
          </cell>
          <cell r="E740" t="str">
            <v>SANESALTO SANEAMENTO S.A</v>
          </cell>
          <cell r="F740" t="str">
            <v>CONTA DE ÁGUA ELEV FINAL REF 03/2013</v>
          </cell>
          <cell r="G740" t="str">
            <v>D</v>
          </cell>
          <cell r="H740">
            <v>51.87</v>
          </cell>
          <cell r="I740">
            <v>0</v>
          </cell>
          <cell r="J740" t="str">
            <v>x</v>
          </cell>
          <cell r="K740">
            <v>927343.43000000075</v>
          </cell>
          <cell r="L740">
            <v>927343.43000000075</v>
          </cell>
          <cell r="M740">
            <v>0</v>
          </cell>
        </row>
        <row r="741">
          <cell r="B741" t="str">
            <v>03-083</v>
          </cell>
          <cell r="C741" t="str">
            <v>2.01.03.16</v>
          </cell>
          <cell r="D741">
            <v>41374</v>
          </cell>
          <cell r="E741" t="str">
            <v xml:space="preserve">SALTO LUZ MATERIAIS ELÉTRICOS </v>
          </cell>
          <cell r="F741" t="str">
            <v>COMPRA DE MATERIAIS ELÉTRICOS PARA ETE</v>
          </cell>
          <cell r="G741" t="str">
            <v>D</v>
          </cell>
          <cell r="H741">
            <v>38.78</v>
          </cell>
          <cell r="I741">
            <v>0</v>
          </cell>
          <cell r="J741" t="str">
            <v>x</v>
          </cell>
          <cell r="K741">
            <v>927304.65000000072</v>
          </cell>
          <cell r="L741">
            <v>927304.65000000072</v>
          </cell>
          <cell r="M741">
            <v>13294</v>
          </cell>
        </row>
        <row r="742">
          <cell r="B742" t="str">
            <v>03-053</v>
          </cell>
          <cell r="C742" t="str">
            <v>2.01.03.17</v>
          </cell>
          <cell r="D742">
            <v>41374</v>
          </cell>
          <cell r="E742" t="str">
            <v>SANESALTO SANEAMENTO S.A</v>
          </cell>
          <cell r="F742" t="str">
            <v>CONTA DE ÁGUA ESCRITORIO REF 03/2013</v>
          </cell>
          <cell r="G742" t="str">
            <v>D</v>
          </cell>
          <cell r="H742">
            <v>37.270000000000003</v>
          </cell>
          <cell r="I742">
            <v>0</v>
          </cell>
          <cell r="J742" t="str">
            <v>X</v>
          </cell>
          <cell r="K742">
            <v>927267.3800000007</v>
          </cell>
          <cell r="L742">
            <v>927267.3800000007</v>
          </cell>
          <cell r="M742">
            <v>0</v>
          </cell>
        </row>
        <row r="743">
          <cell r="B743" t="str">
            <v>04-013</v>
          </cell>
          <cell r="C743" t="str">
            <v>2.01.03.17</v>
          </cell>
          <cell r="D743">
            <v>41374</v>
          </cell>
          <cell r="E743" t="str">
            <v>SANESALTO SANEAMENTO S.A</v>
          </cell>
          <cell r="F743" t="str">
            <v>CONTA DE ÁGUA ELEV GUARAÚ 02 REF 03/2013</v>
          </cell>
          <cell r="G743" t="str">
            <v>D</v>
          </cell>
          <cell r="H743">
            <v>33.69</v>
          </cell>
          <cell r="I743">
            <v>0</v>
          </cell>
          <cell r="J743" t="str">
            <v>X</v>
          </cell>
          <cell r="K743">
            <v>927233.69000000076</v>
          </cell>
          <cell r="L743">
            <v>927233.69000000076</v>
          </cell>
          <cell r="M743">
            <v>0</v>
          </cell>
        </row>
        <row r="744">
          <cell r="B744" t="str">
            <v>04-012</v>
          </cell>
          <cell r="C744" t="str">
            <v>2.01.03.17</v>
          </cell>
          <cell r="D744">
            <v>41374</v>
          </cell>
          <cell r="E744" t="str">
            <v>SANESALTO SANEAMENTO S.A</v>
          </cell>
          <cell r="F744" t="str">
            <v>CONTA DE ÁGUA ELEV GUARAÚ 01 REF 03/2013</v>
          </cell>
          <cell r="G744" t="str">
            <v>D</v>
          </cell>
          <cell r="H744">
            <v>33.69</v>
          </cell>
          <cell r="I744">
            <v>0</v>
          </cell>
          <cell r="J744" t="str">
            <v>X</v>
          </cell>
          <cell r="K744">
            <v>927200.00000000081</v>
          </cell>
          <cell r="L744">
            <v>927200.00000000081</v>
          </cell>
          <cell r="M744">
            <v>0</v>
          </cell>
        </row>
        <row r="745">
          <cell r="B745" t="str">
            <v>04-010</v>
          </cell>
          <cell r="C745" t="str">
            <v>2.01.03.17</v>
          </cell>
          <cell r="D745">
            <v>41374</v>
          </cell>
          <cell r="E745" t="str">
            <v>SANESALTO SANEAMENTO S.A</v>
          </cell>
          <cell r="F745" t="str">
            <v>CONTA DE ÁGUA ELEV 03 REF 03/2013</v>
          </cell>
          <cell r="G745" t="str">
            <v>D</v>
          </cell>
          <cell r="H745">
            <v>24.87</v>
          </cell>
          <cell r="I745">
            <v>0</v>
          </cell>
          <cell r="J745" t="str">
            <v>X</v>
          </cell>
          <cell r="K745">
            <v>927175.13000000082</v>
          </cell>
          <cell r="L745">
            <v>927175.13000000082</v>
          </cell>
          <cell r="M745">
            <v>0</v>
          </cell>
        </row>
        <row r="746">
          <cell r="B746" t="str">
            <v>04-015</v>
          </cell>
          <cell r="C746" t="str">
            <v>2.01.03.17</v>
          </cell>
          <cell r="D746">
            <v>41374</v>
          </cell>
          <cell r="E746" t="str">
            <v>SANESALTO SANEAMENTO S.A</v>
          </cell>
          <cell r="F746" t="str">
            <v>CONTA DE ÁGUA ELEV BURU 02 REF 03/2013</v>
          </cell>
          <cell r="G746" t="str">
            <v>D</v>
          </cell>
          <cell r="H746">
            <v>17.93</v>
          </cell>
          <cell r="I746">
            <v>0</v>
          </cell>
          <cell r="J746" t="str">
            <v>X</v>
          </cell>
          <cell r="K746">
            <v>927157.20000000077</v>
          </cell>
          <cell r="L746">
            <v>927157.20000000077</v>
          </cell>
          <cell r="M746">
            <v>0</v>
          </cell>
        </row>
        <row r="747">
          <cell r="B747" t="str">
            <v>04-014</v>
          </cell>
          <cell r="C747" t="str">
            <v>2.01.03.17</v>
          </cell>
          <cell r="D747">
            <v>41374</v>
          </cell>
          <cell r="E747" t="str">
            <v>SANESALTO SANEAMENTO S.A</v>
          </cell>
          <cell r="F747" t="str">
            <v>CONTA DE ÁGUA ELEV BURU 01 REF 03/2013</v>
          </cell>
          <cell r="G747" t="str">
            <v>D</v>
          </cell>
          <cell r="H747">
            <v>17.93</v>
          </cell>
          <cell r="I747">
            <v>0</v>
          </cell>
          <cell r="J747" t="str">
            <v>X</v>
          </cell>
          <cell r="K747">
            <v>927139.27000000072</v>
          </cell>
          <cell r="L747">
            <v>927139.27000000072</v>
          </cell>
          <cell r="M747">
            <v>0</v>
          </cell>
        </row>
        <row r="748">
          <cell r="B748" t="str">
            <v>RE04-007</v>
          </cell>
          <cell r="C748" t="str">
            <v>1.01.01.01</v>
          </cell>
          <cell r="D748">
            <v>41379</v>
          </cell>
          <cell r="E748" t="str">
            <v>SANESALTO SANEAMENTO S/A</v>
          </cell>
          <cell r="F748" t="str">
            <v>MEDIÇÃO DE 06 A 12.04.2013</v>
          </cell>
          <cell r="G748" t="str">
            <v>C</v>
          </cell>
          <cell r="H748">
            <v>0</v>
          </cell>
          <cell r="I748">
            <v>500000</v>
          </cell>
          <cell r="J748" t="str">
            <v>X</v>
          </cell>
          <cell r="K748">
            <v>1427139.2700000007</v>
          </cell>
          <cell r="L748">
            <v>1427139.2700000007</v>
          </cell>
          <cell r="M748">
            <v>0</v>
          </cell>
        </row>
        <row r="749">
          <cell r="B749" t="str">
            <v>04-041</v>
          </cell>
          <cell r="C749" t="str">
            <v>2.01.05.02</v>
          </cell>
          <cell r="D749">
            <v>41379</v>
          </cell>
          <cell r="E749" t="str">
            <v>CARLOS ALBERTO PROGIANTI ME</v>
          </cell>
          <cell r="F749" t="str">
            <v>ASSISTÊNCIA TÉCNICA REF A LEITURA DE DADOS</v>
          </cell>
          <cell r="G749" t="str">
            <v>D</v>
          </cell>
          <cell r="H749">
            <v>132.82</v>
          </cell>
          <cell r="I749">
            <v>0</v>
          </cell>
          <cell r="J749" t="str">
            <v>X</v>
          </cell>
          <cell r="K749">
            <v>1427006.4500000007</v>
          </cell>
          <cell r="L749">
            <v>1427006.4500000007</v>
          </cell>
          <cell r="M749">
            <v>8059</v>
          </cell>
        </row>
        <row r="750">
          <cell r="B750" t="str">
            <v>04-044</v>
          </cell>
          <cell r="C750" t="str">
            <v>2.01.05.02</v>
          </cell>
          <cell r="D750">
            <v>41379</v>
          </cell>
          <cell r="E750" t="str">
            <v>CARLOS ALBERTO PROGIANTI ME</v>
          </cell>
          <cell r="F750" t="str">
            <v>ASSISTÊNCIA TÉCNICA REF A LEITURA DE DADOS</v>
          </cell>
          <cell r="G750" t="str">
            <v>D</v>
          </cell>
          <cell r="H750">
            <v>132.82</v>
          </cell>
          <cell r="I750">
            <v>0</v>
          </cell>
          <cell r="J750" t="str">
            <v>X</v>
          </cell>
          <cell r="K750">
            <v>1426873.6300000006</v>
          </cell>
          <cell r="L750">
            <v>1426873.6300000006</v>
          </cell>
          <cell r="M750">
            <v>8061</v>
          </cell>
        </row>
        <row r="751">
          <cell r="B751" t="str">
            <v>04-070</v>
          </cell>
          <cell r="C751" t="str">
            <v>2.02.02.04</v>
          </cell>
          <cell r="D751">
            <v>41379</v>
          </cell>
          <cell r="E751" t="str">
            <v>VIVO S/A</v>
          </cell>
          <cell r="F751" t="str">
            <v>VIVO INTERNET MOVEL 300MB EMPRESA</v>
          </cell>
          <cell r="G751" t="str">
            <v>D</v>
          </cell>
          <cell r="H751">
            <v>35.729999999999997</v>
          </cell>
          <cell r="I751">
            <v>0</v>
          </cell>
          <cell r="J751" t="str">
            <v>X</v>
          </cell>
          <cell r="K751">
            <v>1426837.9000000006</v>
          </cell>
          <cell r="L751">
            <v>1426837.9000000006</v>
          </cell>
          <cell r="M751">
            <v>2124509579</v>
          </cell>
        </row>
        <row r="752">
          <cell r="B752" t="str">
            <v>04-036</v>
          </cell>
          <cell r="C752" t="str">
            <v>2.01.05.14</v>
          </cell>
          <cell r="D752">
            <v>41379</v>
          </cell>
          <cell r="E752" t="str">
            <v>WILSON BENEDITO RIZZI</v>
          </cell>
          <cell r="F752" t="str">
            <v>COMPRA DE CAMINHÃO DE ÁGUA PARA ETE</v>
          </cell>
          <cell r="G752" t="str">
            <v>D</v>
          </cell>
          <cell r="H752">
            <v>220</v>
          </cell>
          <cell r="I752">
            <v>0</v>
          </cell>
          <cell r="J752" t="str">
            <v>X</v>
          </cell>
          <cell r="K752">
            <v>1426617.9000000006</v>
          </cell>
          <cell r="L752">
            <v>1426617.9000000006</v>
          </cell>
          <cell r="M752">
            <v>3791</v>
          </cell>
        </row>
        <row r="753">
          <cell r="B753" t="str">
            <v>04-073</v>
          </cell>
          <cell r="C753" t="str">
            <v>2.02.02.04</v>
          </cell>
          <cell r="D753">
            <v>41379</v>
          </cell>
          <cell r="E753" t="str">
            <v>NEXTEL TELECOMUNICAÇÕES</v>
          </cell>
          <cell r="F753" t="str">
            <v>PERIODO DE 07/02 A 06/03/2013</v>
          </cell>
          <cell r="G753" t="str">
            <v>D</v>
          </cell>
          <cell r="H753">
            <v>302.89999999999998</v>
          </cell>
          <cell r="I753">
            <v>0</v>
          </cell>
          <cell r="J753" t="str">
            <v>X</v>
          </cell>
          <cell r="K753">
            <v>1426315.0000000007</v>
          </cell>
          <cell r="L753">
            <v>1426315.0000000007</v>
          </cell>
          <cell r="M753">
            <v>15699357</v>
          </cell>
        </row>
        <row r="754">
          <cell r="B754" t="str">
            <v>04-060</v>
          </cell>
          <cell r="C754" t="str">
            <v>2.02.02.01</v>
          </cell>
          <cell r="D754">
            <v>41379</v>
          </cell>
          <cell r="E754" t="str">
            <v>CODEQ SUPRIMENTOS PARA ESCRITÓRIOS Ltda.</v>
          </cell>
          <cell r="F754" t="str">
            <v>COMPRA DE MATERIAIS DE ESCRITÓRIO</v>
          </cell>
          <cell r="G754" t="str">
            <v>D</v>
          </cell>
          <cell r="H754">
            <v>476.72</v>
          </cell>
          <cell r="I754">
            <v>0</v>
          </cell>
          <cell r="J754" t="str">
            <v>X</v>
          </cell>
          <cell r="K754">
            <v>1425838.2800000007</v>
          </cell>
          <cell r="L754">
            <v>1425838.2800000007</v>
          </cell>
          <cell r="M754">
            <v>57669</v>
          </cell>
        </row>
        <row r="755">
          <cell r="B755" t="str">
            <v>04-072</v>
          </cell>
          <cell r="C755" t="str">
            <v>2.02.02.04</v>
          </cell>
          <cell r="D755">
            <v>41379</v>
          </cell>
          <cell r="E755" t="str">
            <v>NEXTEL TELECOMUNICAÇÕES</v>
          </cell>
          <cell r="F755" t="str">
            <v>PERIODO DE 07/02 A 06/03/2013</v>
          </cell>
          <cell r="G755" t="str">
            <v>D</v>
          </cell>
          <cell r="H755">
            <v>543.05999999999995</v>
          </cell>
          <cell r="I755">
            <v>0</v>
          </cell>
          <cell r="J755" t="str">
            <v>X</v>
          </cell>
          <cell r="K755">
            <v>1425295.2200000007</v>
          </cell>
          <cell r="L755">
            <v>1425295.2200000007</v>
          </cell>
          <cell r="M755">
            <v>15687922</v>
          </cell>
        </row>
        <row r="756">
          <cell r="B756" t="str">
            <v>04-037</v>
          </cell>
          <cell r="C756" t="str">
            <v>2.06.03.01</v>
          </cell>
          <cell r="D756">
            <v>41379</v>
          </cell>
          <cell r="E756" t="str">
            <v>BM&amp;FBOVESPA</v>
          </cell>
          <cell r="F756" t="str">
            <v>TAXA DE REGISTRO DE DEBENTURES</v>
          </cell>
          <cell r="G756" t="str">
            <v>D</v>
          </cell>
          <cell r="H756">
            <v>552.35</v>
          </cell>
          <cell r="I756">
            <v>0</v>
          </cell>
          <cell r="J756" t="str">
            <v>X</v>
          </cell>
          <cell r="K756">
            <v>1424742.8700000006</v>
          </cell>
          <cell r="L756">
            <v>1424742.8700000006</v>
          </cell>
          <cell r="M756">
            <v>9001418301</v>
          </cell>
        </row>
        <row r="757">
          <cell r="B757" t="str">
            <v>03-008/3</v>
          </cell>
          <cell r="C757" t="str">
            <v>2.07.01.03</v>
          </cell>
          <cell r="D757">
            <v>41379</v>
          </cell>
          <cell r="E757" t="str">
            <v>BR CONNECTION COM E SERV DE INFORMÁTICA</v>
          </cell>
          <cell r="F757" t="str">
            <v>LICENÇA/ATUALIZAÇÃO</v>
          </cell>
          <cell r="G757" t="str">
            <v>D</v>
          </cell>
          <cell r="H757">
            <v>602.75</v>
          </cell>
          <cell r="I757">
            <v>0</v>
          </cell>
          <cell r="J757" t="str">
            <v>X</v>
          </cell>
          <cell r="K757">
            <v>1424140.1200000006</v>
          </cell>
          <cell r="L757">
            <v>1424140.1200000006</v>
          </cell>
          <cell r="M757">
            <v>71519</v>
          </cell>
        </row>
        <row r="758">
          <cell r="B758" t="str">
            <v>04-071</v>
          </cell>
          <cell r="C758" t="str">
            <v>2.02.02.04</v>
          </cell>
          <cell r="D758">
            <v>41379</v>
          </cell>
          <cell r="E758" t="str">
            <v>NEXTEL TELECOMUNICAÇÕES</v>
          </cell>
          <cell r="F758" t="str">
            <v>PERIODO DE 07/02 A 06/03/2013</v>
          </cell>
          <cell r="G758" t="str">
            <v>D</v>
          </cell>
          <cell r="H758">
            <v>1134.8800000000001</v>
          </cell>
          <cell r="I758">
            <v>0</v>
          </cell>
          <cell r="J758" t="str">
            <v>X</v>
          </cell>
          <cell r="K758">
            <v>1423005.2400000007</v>
          </cell>
          <cell r="L758">
            <v>1423005.2400000007</v>
          </cell>
          <cell r="M758">
            <v>6244996120</v>
          </cell>
        </row>
        <row r="759">
          <cell r="B759" t="str">
            <v>04-054</v>
          </cell>
          <cell r="C759" t="str">
            <v>2.02.03.17</v>
          </cell>
          <cell r="D759">
            <v>41379</v>
          </cell>
          <cell r="E759" t="str">
            <v>DT EXPRESSO LTDA ME</v>
          </cell>
          <cell r="F759" t="str">
            <v xml:space="preserve">SERVIÇOS DE MOTOBOY </v>
          </cell>
          <cell r="G759" t="str">
            <v>D</v>
          </cell>
          <cell r="H759">
            <v>1166.2</v>
          </cell>
          <cell r="I759">
            <v>0</v>
          </cell>
          <cell r="J759" t="str">
            <v>X</v>
          </cell>
          <cell r="K759">
            <v>1421839.0400000007</v>
          </cell>
          <cell r="L759">
            <v>1421839.0400000007</v>
          </cell>
          <cell r="M759">
            <v>78</v>
          </cell>
        </row>
        <row r="760">
          <cell r="B760" t="str">
            <v>04-074/1</v>
          </cell>
          <cell r="C760" t="str">
            <v>2.01.05.11</v>
          </cell>
          <cell r="D760">
            <v>41379</v>
          </cell>
          <cell r="E760" t="str">
            <v>VT COMÉRCIO DE MOTORES ELÉTRICOS E ACIONAMENTOS Ltda.</v>
          </cell>
          <cell r="F760" t="str">
            <v>TROCA DE CABO EM BOMBA</v>
          </cell>
          <cell r="G760" t="str">
            <v>D</v>
          </cell>
          <cell r="H760">
            <v>1393</v>
          </cell>
          <cell r="I760">
            <v>0</v>
          </cell>
          <cell r="J760" t="str">
            <v>X</v>
          </cell>
          <cell r="K760">
            <v>1420446.0400000007</v>
          </cell>
          <cell r="L760">
            <v>1420446.0400000007</v>
          </cell>
          <cell r="M760">
            <v>209</v>
          </cell>
        </row>
        <row r="761">
          <cell r="B761" t="str">
            <v>04-096/28</v>
          </cell>
          <cell r="C761" t="str">
            <v>2.07.03.02</v>
          </cell>
          <cell r="D761">
            <v>41379</v>
          </cell>
          <cell r="E761" t="str">
            <v>CONASA COMPANHIA NACIONAL DE SANEAMENTO</v>
          </cell>
          <cell r="F761" t="str">
            <v>Adiantamento à fornecedores (parcela referente ao pagamento de geradores do Sistema Burú)</v>
          </cell>
          <cell r="G761" t="str">
            <v>D</v>
          </cell>
          <cell r="H761">
            <v>3195.67</v>
          </cell>
          <cell r="I761">
            <v>0</v>
          </cell>
          <cell r="J761" t="str">
            <v>X</v>
          </cell>
          <cell r="K761">
            <v>1417250.3700000008</v>
          </cell>
          <cell r="L761">
            <v>1417250.3700000008</v>
          </cell>
          <cell r="M761">
            <v>0</v>
          </cell>
        </row>
        <row r="762">
          <cell r="B762" t="str">
            <v>03-092</v>
          </cell>
          <cell r="C762" t="str">
            <v>2.01.03.08</v>
          </cell>
          <cell r="D762">
            <v>41379</v>
          </cell>
          <cell r="E762" t="str">
            <v>NHEEL QUIMICA</v>
          </cell>
          <cell r="F762" t="str">
            <v>COMPRA DE REAGENTE OCC-220</v>
          </cell>
          <cell r="G762" t="str">
            <v>D</v>
          </cell>
          <cell r="H762">
            <v>3752.45</v>
          </cell>
          <cell r="I762">
            <v>0</v>
          </cell>
          <cell r="J762" t="str">
            <v>X</v>
          </cell>
          <cell r="K762">
            <v>1413497.9200000009</v>
          </cell>
          <cell r="L762">
            <v>1413497.9200000009</v>
          </cell>
          <cell r="M762">
            <v>32438</v>
          </cell>
        </row>
        <row r="763">
          <cell r="B763" t="str">
            <v>04-046</v>
          </cell>
          <cell r="C763" t="str">
            <v>2.09.01.01</v>
          </cell>
          <cell r="D763">
            <v>41379</v>
          </cell>
          <cell r="E763" t="str">
            <v>BANCO BRADESCO</v>
          </cell>
          <cell r="F763" t="str">
            <v>TRANSFERÊNCIA DE VALOR SANESALTO</v>
          </cell>
          <cell r="G763" t="str">
            <v>D</v>
          </cell>
          <cell r="H763">
            <v>2500</v>
          </cell>
          <cell r="I763">
            <v>0</v>
          </cell>
          <cell r="J763" t="str">
            <v>X</v>
          </cell>
          <cell r="K763">
            <v>1410997.9200000009</v>
          </cell>
          <cell r="L763">
            <v>1410997.9200000009</v>
          </cell>
          <cell r="M763">
            <v>0</v>
          </cell>
        </row>
        <row r="764">
          <cell r="B764" t="str">
            <v>04-053</v>
          </cell>
          <cell r="C764" t="str">
            <v>2.02.03.20</v>
          </cell>
          <cell r="D764">
            <v>41379</v>
          </cell>
          <cell r="E764" t="str">
            <v>APAE</v>
          </cell>
          <cell r="F764" t="str">
            <v>DOAÇÃO MENSAL</v>
          </cell>
          <cell r="G764" t="str">
            <v>D</v>
          </cell>
          <cell r="H764">
            <v>2500</v>
          </cell>
          <cell r="I764">
            <v>0</v>
          </cell>
          <cell r="J764" t="str">
            <v>X</v>
          </cell>
          <cell r="K764">
            <v>1408497.9200000009</v>
          </cell>
          <cell r="L764">
            <v>1408497.9200000009</v>
          </cell>
          <cell r="M764">
            <v>0</v>
          </cell>
        </row>
        <row r="765">
          <cell r="B765" t="str">
            <v>al004-001</v>
          </cell>
          <cell r="C765" t="str">
            <v>2.02.03.14</v>
          </cell>
          <cell r="D765">
            <v>41379</v>
          </cell>
          <cell r="E765" t="str">
            <v>COSTA ROCHA IMOBILIÁRIA</v>
          </cell>
          <cell r="F765" t="str">
            <v>ALUGUEL PRÉDIO SANESALTO</v>
          </cell>
          <cell r="G765" t="str">
            <v>D</v>
          </cell>
          <cell r="H765">
            <v>3608.22</v>
          </cell>
          <cell r="I765">
            <v>0</v>
          </cell>
          <cell r="J765" t="str">
            <v>X</v>
          </cell>
          <cell r="K765">
            <v>1404889.7000000009</v>
          </cell>
          <cell r="L765">
            <v>1404889.7000000009</v>
          </cell>
          <cell r="M765">
            <v>0</v>
          </cell>
        </row>
        <row r="766">
          <cell r="B766" t="str">
            <v>RE04-008</v>
          </cell>
          <cell r="C766" t="str">
            <v>1.01.01.01</v>
          </cell>
          <cell r="D766">
            <v>41380</v>
          </cell>
          <cell r="E766" t="str">
            <v>SANESALTO SANEAMENTO S/A</v>
          </cell>
          <cell r="F766" t="str">
            <v>MEDIÇÃO DE 06 A 12.04.2013</v>
          </cell>
          <cell r="G766" t="str">
            <v>C</v>
          </cell>
          <cell r="H766">
            <v>0</v>
          </cell>
          <cell r="I766">
            <v>6264.42</v>
          </cell>
          <cell r="J766" t="str">
            <v>X</v>
          </cell>
          <cell r="K766">
            <v>1411154.1200000008</v>
          </cell>
          <cell r="L766">
            <v>1411154.1200000008</v>
          </cell>
          <cell r="M766">
            <v>0</v>
          </cell>
        </row>
        <row r="767">
          <cell r="B767" t="str">
            <v>RE04-009</v>
          </cell>
          <cell r="C767" t="str">
            <v>1.01.01.01</v>
          </cell>
          <cell r="D767">
            <v>41380</v>
          </cell>
          <cell r="E767" t="str">
            <v xml:space="preserve">BANCO ITAÚ </v>
          </cell>
          <cell r="F767" t="str">
            <v xml:space="preserve">RENDIMENTO DE APLICAÇÃO </v>
          </cell>
          <cell r="G767" t="str">
            <v>C</v>
          </cell>
          <cell r="H767">
            <v>0</v>
          </cell>
          <cell r="I767">
            <v>7.53</v>
          </cell>
          <cell r="J767" t="str">
            <v>X</v>
          </cell>
          <cell r="K767">
            <v>1411161.6500000008</v>
          </cell>
          <cell r="L767">
            <v>1411161.6500000008</v>
          </cell>
          <cell r="M767">
            <v>0</v>
          </cell>
        </row>
        <row r="768">
          <cell r="B768" t="str">
            <v>04-085</v>
          </cell>
          <cell r="C768" t="str">
            <v>2.02.03.21</v>
          </cell>
          <cell r="D768">
            <v>41380</v>
          </cell>
          <cell r="E768" t="str">
            <v>JONAS SANTOS</v>
          </cell>
          <cell r="F768" t="str">
            <v>REEMBOLSO DESPESAS VIAGEM REUNIÃO AUDITOR</v>
          </cell>
          <cell r="G768" t="str">
            <v>D</v>
          </cell>
          <cell r="H768">
            <v>121.2</v>
          </cell>
          <cell r="I768">
            <v>0</v>
          </cell>
          <cell r="J768" t="str">
            <v>X</v>
          </cell>
          <cell r="K768">
            <v>1411040.4500000009</v>
          </cell>
          <cell r="L768">
            <v>1411040.4500000009</v>
          </cell>
          <cell r="M768">
            <v>0</v>
          </cell>
        </row>
        <row r="769">
          <cell r="B769" t="str">
            <v>04-083</v>
          </cell>
          <cell r="C769" t="str">
            <v>2.07.01.04</v>
          </cell>
          <cell r="D769">
            <v>41380</v>
          </cell>
          <cell r="E769" t="str">
            <v xml:space="preserve">OXIAÇOS CORTES ESPECIAIS LTDA ME </v>
          </cell>
          <cell r="F769" t="str">
            <v>COMPRA DE BASE PARA BOMBA DE INOX</v>
          </cell>
          <cell r="G769" t="str">
            <v>D</v>
          </cell>
          <cell r="H769">
            <v>180</v>
          </cell>
          <cell r="I769">
            <v>0</v>
          </cell>
          <cell r="J769" t="str">
            <v>X</v>
          </cell>
          <cell r="K769">
            <v>1410860.4500000009</v>
          </cell>
          <cell r="L769">
            <v>1410860.4500000009</v>
          </cell>
          <cell r="M769">
            <v>4729</v>
          </cell>
        </row>
        <row r="770">
          <cell r="B770" t="str">
            <v>04-084/1</v>
          </cell>
          <cell r="C770" t="str">
            <v>2.02.01.01</v>
          </cell>
          <cell r="D770">
            <v>41380</v>
          </cell>
          <cell r="E770" t="str">
            <v>NAEDSON LUIZ DE SOUZA</v>
          </cell>
          <cell r="F770" t="str">
            <v>ADIANTAMENTO DE 40% DO SALÁRIO FOLHA ABRIL 2013</v>
          </cell>
          <cell r="G770" t="str">
            <v>D</v>
          </cell>
          <cell r="H770">
            <v>1521</v>
          </cell>
          <cell r="I770">
            <v>0</v>
          </cell>
          <cell r="J770" t="str">
            <v>X</v>
          </cell>
          <cell r="K770">
            <v>1409339.4500000009</v>
          </cell>
          <cell r="L770">
            <v>1409339.4500000009</v>
          </cell>
          <cell r="M770">
            <v>0</v>
          </cell>
        </row>
        <row r="771">
          <cell r="B771" t="str">
            <v>04-084/2</v>
          </cell>
          <cell r="C771" t="str">
            <v>2.02.01.01</v>
          </cell>
          <cell r="D771">
            <v>41380</v>
          </cell>
          <cell r="E771" t="str">
            <v>ALOISIO BORIN</v>
          </cell>
          <cell r="F771" t="str">
            <v>ADIANTAMENTO DE 40% DO SALÁRIO FOLHA ABRIL 2013</v>
          </cell>
          <cell r="G771" t="str">
            <v>D</v>
          </cell>
          <cell r="H771">
            <v>217</v>
          </cell>
          <cell r="I771">
            <v>0</v>
          </cell>
          <cell r="J771" t="str">
            <v>X</v>
          </cell>
          <cell r="K771">
            <v>1409122.4500000009</v>
          </cell>
          <cell r="L771">
            <v>1409122.4500000009</v>
          </cell>
          <cell r="M771">
            <v>0</v>
          </cell>
        </row>
        <row r="772">
          <cell r="B772" t="str">
            <v>04-084/3</v>
          </cell>
          <cell r="C772" t="str">
            <v>2.02.01.01</v>
          </cell>
          <cell r="D772">
            <v>41380</v>
          </cell>
          <cell r="E772" t="str">
            <v>CLEBER C DA SILVA</v>
          </cell>
          <cell r="F772" t="str">
            <v>ADIANTAMENTO DE 40% DO SALÁRIO FOLHA ABRIL 2013</v>
          </cell>
          <cell r="G772" t="str">
            <v>D</v>
          </cell>
          <cell r="H772">
            <v>1217</v>
          </cell>
          <cell r="I772">
            <v>0</v>
          </cell>
          <cell r="J772" t="str">
            <v>X</v>
          </cell>
          <cell r="K772">
            <v>1407905.4500000009</v>
          </cell>
          <cell r="L772">
            <v>1407905.4500000009</v>
          </cell>
          <cell r="M772">
            <v>0</v>
          </cell>
        </row>
        <row r="773">
          <cell r="B773" t="str">
            <v>04-084/4</v>
          </cell>
          <cell r="C773" t="str">
            <v>2.02.01.01</v>
          </cell>
          <cell r="D773">
            <v>41380</v>
          </cell>
          <cell r="E773" t="str">
            <v>ERICA AP DA SILVA DE MORAES</v>
          </cell>
          <cell r="F773" t="str">
            <v>ADIANTAMENTO DE 40% DO SALÁRIO FOLHA ABRIL 2013</v>
          </cell>
          <cell r="G773" t="str">
            <v>D</v>
          </cell>
          <cell r="H773">
            <v>652</v>
          </cell>
          <cell r="I773">
            <v>0</v>
          </cell>
          <cell r="J773" t="str">
            <v>X</v>
          </cell>
          <cell r="K773">
            <v>1407253.4500000009</v>
          </cell>
          <cell r="L773">
            <v>1407253.4500000009</v>
          </cell>
          <cell r="M773">
            <v>0</v>
          </cell>
        </row>
        <row r="774">
          <cell r="B774" t="str">
            <v>04-084/5</v>
          </cell>
          <cell r="C774" t="str">
            <v>2.02.01.01</v>
          </cell>
          <cell r="D774">
            <v>41380</v>
          </cell>
          <cell r="E774" t="str">
            <v>ELIZANGELA REGINA P DIAS</v>
          </cell>
          <cell r="F774" t="str">
            <v>ADIANTAMENTO DE 40% DO SALÁRIO FOLHA ABRIL 2013</v>
          </cell>
          <cell r="G774" t="str">
            <v>D</v>
          </cell>
          <cell r="H774">
            <v>2110</v>
          </cell>
          <cell r="I774">
            <v>0</v>
          </cell>
          <cell r="J774" t="str">
            <v>X</v>
          </cell>
          <cell r="K774">
            <v>1405143.4500000009</v>
          </cell>
          <cell r="L774">
            <v>1405143.4500000009</v>
          </cell>
          <cell r="M774">
            <v>0</v>
          </cell>
        </row>
        <row r="775">
          <cell r="B775" t="str">
            <v>04-084/6</v>
          </cell>
          <cell r="C775" t="str">
            <v>2.02.01.01</v>
          </cell>
          <cell r="D775">
            <v>41380</v>
          </cell>
          <cell r="E775" t="str">
            <v>RODRIGO BUENO</v>
          </cell>
          <cell r="F775" t="str">
            <v>ADIANTAMENTO DE 40% DO SALÁRIO FOLHA ABRIL 2013</v>
          </cell>
          <cell r="G775" t="str">
            <v>D</v>
          </cell>
          <cell r="H775">
            <v>2109</v>
          </cell>
          <cell r="I775">
            <v>0</v>
          </cell>
          <cell r="J775" t="str">
            <v>X</v>
          </cell>
          <cell r="K775">
            <v>1403034.4500000009</v>
          </cell>
          <cell r="L775">
            <v>1403034.4500000009</v>
          </cell>
          <cell r="M775">
            <v>0</v>
          </cell>
        </row>
        <row r="776">
          <cell r="B776" t="str">
            <v>04-084/7</v>
          </cell>
          <cell r="C776" t="str">
            <v>2.02.01.01</v>
          </cell>
          <cell r="D776">
            <v>41380</v>
          </cell>
          <cell r="E776" t="str">
            <v>MARIANA CASTELLINI</v>
          </cell>
          <cell r="F776" t="str">
            <v>ADIANTAMENTO DE 40% DO SALÁRIO FOLHA ABRIL 2013</v>
          </cell>
          <cell r="G776" t="str">
            <v>D</v>
          </cell>
          <cell r="H776">
            <v>640</v>
          </cell>
          <cell r="I776">
            <v>0</v>
          </cell>
          <cell r="J776" t="str">
            <v>X</v>
          </cell>
          <cell r="K776">
            <v>1402394.4500000009</v>
          </cell>
          <cell r="L776">
            <v>1402394.4500000009</v>
          </cell>
          <cell r="M776">
            <v>0</v>
          </cell>
        </row>
        <row r="777">
          <cell r="B777" t="str">
            <v>04-084/8</v>
          </cell>
          <cell r="C777" t="str">
            <v>2.02.01.01</v>
          </cell>
          <cell r="D777">
            <v>41380</v>
          </cell>
          <cell r="E777" t="str">
            <v>JANAÍNA SILVA SOUZA</v>
          </cell>
          <cell r="F777" t="str">
            <v>ADIANTAMENTO DE 40% DO SALÁRIO FOLHA ABRIL 2013</v>
          </cell>
          <cell r="G777" t="str">
            <v>D</v>
          </cell>
          <cell r="H777">
            <v>392</v>
          </cell>
          <cell r="I777">
            <v>0</v>
          </cell>
          <cell r="J777" t="str">
            <v>X</v>
          </cell>
          <cell r="K777">
            <v>1402002.4500000009</v>
          </cell>
          <cell r="L777">
            <v>1402002.4500000009</v>
          </cell>
          <cell r="M777">
            <v>0</v>
          </cell>
        </row>
        <row r="778">
          <cell r="B778" t="str">
            <v>04-084/9</v>
          </cell>
          <cell r="C778" t="str">
            <v>2.02.01.01</v>
          </cell>
          <cell r="D778">
            <v>41380</v>
          </cell>
          <cell r="E778" t="str">
            <v>MARIANA CRISTINA GESSOLI</v>
          </cell>
          <cell r="F778" t="str">
            <v>ADIANTAMENTO DE 40% DO SALÁRIO FOLHA ABRIL 2013</v>
          </cell>
          <cell r="G778" t="str">
            <v>D</v>
          </cell>
          <cell r="H778">
            <v>392</v>
          </cell>
          <cell r="I778">
            <v>0</v>
          </cell>
          <cell r="J778" t="str">
            <v>X</v>
          </cell>
          <cell r="K778">
            <v>1401610.4500000009</v>
          </cell>
          <cell r="L778">
            <v>1401610.4500000009</v>
          </cell>
          <cell r="M778">
            <v>0</v>
          </cell>
        </row>
        <row r="779">
          <cell r="B779" t="str">
            <v>04-084/10</v>
          </cell>
          <cell r="C779" t="str">
            <v>2.01.01.01</v>
          </cell>
          <cell r="D779">
            <v>41380</v>
          </cell>
          <cell r="E779" t="str">
            <v>JULIO CÉSAR DA S OLIVEIRA</v>
          </cell>
          <cell r="F779" t="str">
            <v>ADIANTAMENTO DE 40% DO SALÁRIO FOLHA ABRIL 2013</v>
          </cell>
          <cell r="G779" t="str">
            <v>D</v>
          </cell>
          <cell r="H779">
            <v>405</v>
          </cell>
          <cell r="I779">
            <v>0</v>
          </cell>
          <cell r="J779" t="str">
            <v>X</v>
          </cell>
          <cell r="K779">
            <v>1401205.4500000009</v>
          </cell>
          <cell r="L779">
            <v>1401205.4500000009</v>
          </cell>
          <cell r="M779">
            <v>0</v>
          </cell>
        </row>
        <row r="780">
          <cell r="B780" t="str">
            <v>04-084/11</v>
          </cell>
          <cell r="C780" t="str">
            <v>2.01.01.01</v>
          </cell>
          <cell r="D780">
            <v>41380</v>
          </cell>
          <cell r="E780" t="str">
            <v>GILBERTO SILVA ROQUE</v>
          </cell>
          <cell r="F780" t="str">
            <v>ADIANTAMENTO DE 40% DO SALÁRIO FOLHA ABRIL 2013</v>
          </cell>
          <cell r="G780" t="str">
            <v>D</v>
          </cell>
          <cell r="H780">
            <v>480</v>
          </cell>
          <cell r="I780">
            <v>0</v>
          </cell>
          <cell r="J780" t="str">
            <v>X</v>
          </cell>
          <cell r="K780">
            <v>1400725.4500000009</v>
          </cell>
          <cell r="L780">
            <v>1400725.4500000009</v>
          </cell>
          <cell r="M780">
            <v>0</v>
          </cell>
        </row>
        <row r="781">
          <cell r="B781" t="str">
            <v>04-084/12</v>
          </cell>
          <cell r="C781" t="str">
            <v>2.01.01.01</v>
          </cell>
          <cell r="D781">
            <v>41380</v>
          </cell>
          <cell r="E781" t="str">
            <v>LUCAS AMARAL</v>
          </cell>
          <cell r="F781" t="str">
            <v>ADIANTAMENTO DE 40% DO SALÁRIO FOLHA ABRIL 2013</v>
          </cell>
          <cell r="G781" t="str">
            <v>D</v>
          </cell>
          <cell r="H781">
            <v>378</v>
          </cell>
          <cell r="I781">
            <v>0</v>
          </cell>
          <cell r="J781" t="str">
            <v>X</v>
          </cell>
          <cell r="K781">
            <v>1400347.4500000009</v>
          </cell>
          <cell r="L781">
            <v>1400347.4500000009</v>
          </cell>
          <cell r="M781">
            <v>0</v>
          </cell>
        </row>
        <row r="782">
          <cell r="B782" t="str">
            <v>04-084/13</v>
          </cell>
          <cell r="C782" t="str">
            <v>2.01.01.01</v>
          </cell>
          <cell r="D782">
            <v>41380</v>
          </cell>
          <cell r="E782" t="str">
            <v>WEVERTON EUGÊNIO PEREIRA</v>
          </cell>
          <cell r="F782" t="str">
            <v>ADIANTAMENTO DE 40% DO SALÁRIO FOLHA ABRIL 2013</v>
          </cell>
          <cell r="G782" t="str">
            <v>D</v>
          </cell>
          <cell r="H782">
            <v>480</v>
          </cell>
          <cell r="I782">
            <v>0</v>
          </cell>
          <cell r="J782" t="str">
            <v>X</v>
          </cell>
          <cell r="K782">
            <v>1399867.4500000009</v>
          </cell>
          <cell r="L782">
            <v>1399867.4500000009</v>
          </cell>
          <cell r="M782">
            <v>0</v>
          </cell>
        </row>
        <row r="783">
          <cell r="B783" t="str">
            <v>04-084/14</v>
          </cell>
          <cell r="C783" t="str">
            <v>2.01.01.01</v>
          </cell>
          <cell r="D783">
            <v>41380</v>
          </cell>
          <cell r="E783" t="str">
            <v>MÁRCIO OSTIANO DE SOUZA</v>
          </cell>
          <cell r="F783" t="str">
            <v>ADIANTAMENTO DE 40% DO SALÁRIO FOLHA ABRIL 2013</v>
          </cell>
          <cell r="G783" t="str">
            <v>D</v>
          </cell>
          <cell r="H783">
            <v>405</v>
          </cell>
          <cell r="I783">
            <v>0</v>
          </cell>
          <cell r="J783" t="str">
            <v>X</v>
          </cell>
          <cell r="K783">
            <v>1399462.4500000009</v>
          </cell>
          <cell r="L783">
            <v>1399462.4500000009</v>
          </cell>
          <cell r="M783">
            <v>0</v>
          </cell>
        </row>
        <row r="784">
          <cell r="B784" t="str">
            <v>04-084/15</v>
          </cell>
          <cell r="C784" t="str">
            <v>2.01.01.01</v>
          </cell>
          <cell r="D784">
            <v>41380</v>
          </cell>
          <cell r="E784" t="str">
            <v>ANDRÉ SIMÕES</v>
          </cell>
          <cell r="F784" t="str">
            <v>ADIANTAMENTO DE 40% DO SALÁRIO FOLHA ABRIL 2013</v>
          </cell>
          <cell r="G784" t="str">
            <v>D</v>
          </cell>
          <cell r="H784">
            <v>406</v>
          </cell>
          <cell r="I784">
            <v>0</v>
          </cell>
          <cell r="J784" t="str">
            <v>X</v>
          </cell>
          <cell r="K784">
            <v>1399056.4500000009</v>
          </cell>
          <cell r="L784">
            <v>1399056.4500000009</v>
          </cell>
          <cell r="M784">
            <v>0</v>
          </cell>
        </row>
        <row r="785">
          <cell r="B785" t="str">
            <v>04-084/16</v>
          </cell>
          <cell r="C785" t="str">
            <v>2.01.01.01</v>
          </cell>
          <cell r="D785">
            <v>41380</v>
          </cell>
          <cell r="E785" t="str">
            <v>ANTONIO JOSÉ D DA SILVA JR</v>
          </cell>
          <cell r="F785" t="str">
            <v>ADIANTAMENTO DE 40% DO SALÁRIO FOLHA ABRIL 2013</v>
          </cell>
          <cell r="G785" t="str">
            <v>D</v>
          </cell>
          <cell r="H785">
            <v>405</v>
          </cell>
          <cell r="I785">
            <v>0</v>
          </cell>
          <cell r="J785" t="str">
            <v>X</v>
          </cell>
          <cell r="K785">
            <v>1398651.4500000009</v>
          </cell>
          <cell r="L785">
            <v>1398651.4500000009</v>
          </cell>
          <cell r="M785">
            <v>0</v>
          </cell>
        </row>
        <row r="786">
          <cell r="B786" t="str">
            <v>04-084/17</v>
          </cell>
          <cell r="C786" t="str">
            <v>2.01.01.01</v>
          </cell>
          <cell r="D786">
            <v>41380</v>
          </cell>
          <cell r="E786" t="str">
            <v>EMERSON BEDIN</v>
          </cell>
          <cell r="F786" t="str">
            <v>ADIANTAMENTO DE 40% DO SALÁRIO FOLHA ABRIL 2013</v>
          </cell>
          <cell r="G786" t="str">
            <v>D</v>
          </cell>
          <cell r="H786">
            <v>564</v>
          </cell>
          <cell r="I786">
            <v>0</v>
          </cell>
          <cell r="J786" t="str">
            <v>X</v>
          </cell>
          <cell r="K786">
            <v>1398087.4500000009</v>
          </cell>
          <cell r="L786">
            <v>1398087.4500000009</v>
          </cell>
          <cell r="M786">
            <v>0</v>
          </cell>
        </row>
        <row r="787">
          <cell r="B787" t="str">
            <v>04-084/18</v>
          </cell>
          <cell r="C787" t="str">
            <v>2.01.01.01</v>
          </cell>
          <cell r="D787">
            <v>41380</v>
          </cell>
          <cell r="E787" t="str">
            <v>THIAGO RIBEIRO</v>
          </cell>
          <cell r="F787" t="str">
            <v>ADIANTAMENTO DE 40% DO SALÁRIO FOLHA ABRIL 2013</v>
          </cell>
          <cell r="G787" t="str">
            <v>D</v>
          </cell>
          <cell r="H787">
            <v>477</v>
          </cell>
          <cell r="I787">
            <v>0</v>
          </cell>
          <cell r="J787" t="str">
            <v>X</v>
          </cell>
          <cell r="K787">
            <v>1397610.4500000009</v>
          </cell>
          <cell r="L787">
            <v>1397610.4500000009</v>
          </cell>
          <cell r="M787">
            <v>0</v>
          </cell>
        </row>
        <row r="788">
          <cell r="B788" t="str">
            <v>04-084/19</v>
          </cell>
          <cell r="C788" t="str">
            <v>2.01.01.01</v>
          </cell>
          <cell r="D788">
            <v>41380</v>
          </cell>
          <cell r="E788" t="str">
            <v>ALBERTINO M DA SILVA</v>
          </cell>
          <cell r="F788" t="str">
            <v>ADIANTAMENTO DE 40% DO SALÁRIO FOLHA ABRIL 2013</v>
          </cell>
          <cell r="G788" t="str">
            <v>D</v>
          </cell>
          <cell r="H788">
            <v>346</v>
          </cell>
          <cell r="I788">
            <v>0</v>
          </cell>
          <cell r="J788" t="str">
            <v>X</v>
          </cell>
          <cell r="K788">
            <v>1397264.4500000009</v>
          </cell>
          <cell r="L788">
            <v>1397264.4500000009</v>
          </cell>
          <cell r="M788">
            <v>0</v>
          </cell>
        </row>
        <row r="789">
          <cell r="B789" t="str">
            <v>04-084/20</v>
          </cell>
          <cell r="C789" t="str">
            <v>2.01.01.01</v>
          </cell>
          <cell r="D789">
            <v>41380</v>
          </cell>
          <cell r="E789" t="str">
            <v>ALEXANDRO JESUS DE ARAUJO</v>
          </cell>
          <cell r="F789" t="str">
            <v>ADIANTAMENTO DE 40% DO SALÁRIO FOLHA ABRIL 2013</v>
          </cell>
          <cell r="G789" t="str">
            <v>D</v>
          </cell>
          <cell r="H789">
            <v>782</v>
          </cell>
          <cell r="I789">
            <v>0</v>
          </cell>
          <cell r="J789" t="str">
            <v>X</v>
          </cell>
          <cell r="K789">
            <v>1396482.4500000009</v>
          </cell>
          <cell r="L789">
            <v>1396482.4500000009</v>
          </cell>
          <cell r="M789">
            <v>0</v>
          </cell>
        </row>
        <row r="790">
          <cell r="B790" t="str">
            <v>04-084/21</v>
          </cell>
          <cell r="C790" t="str">
            <v>2.01.01.01</v>
          </cell>
          <cell r="D790">
            <v>41380</v>
          </cell>
          <cell r="E790" t="str">
            <v>SANDRO PAGGI DE SOUSA</v>
          </cell>
          <cell r="F790" t="str">
            <v>ADIANTAMENTO DE 40% DO SALÁRIO FOLHA ABRIL 2013</v>
          </cell>
          <cell r="G790" t="str">
            <v>D</v>
          </cell>
          <cell r="H790">
            <v>345</v>
          </cell>
          <cell r="I790">
            <v>0</v>
          </cell>
          <cell r="J790" t="str">
            <v>X</v>
          </cell>
          <cell r="K790">
            <v>1396137.4500000009</v>
          </cell>
          <cell r="L790">
            <v>1396137.4500000009</v>
          </cell>
          <cell r="M790">
            <v>0</v>
          </cell>
        </row>
        <row r="791">
          <cell r="B791" t="str">
            <v>04-084/22</v>
          </cell>
          <cell r="C791" t="str">
            <v>2.01.01.01</v>
          </cell>
          <cell r="D791">
            <v>41380</v>
          </cell>
          <cell r="E791" t="str">
            <v>ALEXANDRE DE C ALVES</v>
          </cell>
          <cell r="F791" t="str">
            <v>ADIANTAMENTO DE 40% DO SALÁRIO FOLHA ABRIL 2013</v>
          </cell>
          <cell r="G791" t="str">
            <v>D</v>
          </cell>
          <cell r="H791">
            <v>345</v>
          </cell>
          <cell r="I791">
            <v>0</v>
          </cell>
          <cell r="J791" t="str">
            <v>X</v>
          </cell>
          <cell r="K791">
            <v>1395792.4500000009</v>
          </cell>
          <cell r="L791">
            <v>1395792.4500000009</v>
          </cell>
          <cell r="M791">
            <v>0</v>
          </cell>
        </row>
        <row r="792">
          <cell r="B792" t="str">
            <v>04-084/23</v>
          </cell>
          <cell r="C792" t="str">
            <v>2.01.01.01</v>
          </cell>
          <cell r="D792">
            <v>41380</v>
          </cell>
          <cell r="E792" t="str">
            <v>WILSON DE SOUZA</v>
          </cell>
          <cell r="F792" t="str">
            <v>ADIANTAMENTO DE 40% DO SALÁRIO FOLHA ABRIL 2013</v>
          </cell>
          <cell r="G792" t="str">
            <v>D</v>
          </cell>
          <cell r="H792">
            <v>345</v>
          </cell>
          <cell r="I792">
            <v>0</v>
          </cell>
          <cell r="J792" t="str">
            <v>X</v>
          </cell>
          <cell r="K792">
            <v>1395447.4500000009</v>
          </cell>
          <cell r="L792">
            <v>1395447.4500000009</v>
          </cell>
          <cell r="M792">
            <v>0</v>
          </cell>
        </row>
        <row r="793">
          <cell r="B793" t="str">
            <v>04-084/24</v>
          </cell>
          <cell r="C793" t="str">
            <v>2.01.01.01</v>
          </cell>
          <cell r="D793">
            <v>41380</v>
          </cell>
          <cell r="E793" t="str">
            <v xml:space="preserve">MARCELO DOS SANTOS </v>
          </cell>
          <cell r="F793" t="str">
            <v>ADIANTAMENTO DE 40% DO SALÁRIO FOLHA ABRIL 2013</v>
          </cell>
          <cell r="G793" t="str">
            <v>D</v>
          </cell>
          <cell r="H793">
            <v>345</v>
          </cell>
          <cell r="I793">
            <v>0</v>
          </cell>
          <cell r="J793" t="str">
            <v>X</v>
          </cell>
          <cell r="K793">
            <v>1395102.4500000009</v>
          </cell>
          <cell r="L793">
            <v>1395102.4500000009</v>
          </cell>
          <cell r="M793">
            <v>0</v>
          </cell>
        </row>
        <row r="794">
          <cell r="B794" t="str">
            <v>RE04-010</v>
          </cell>
          <cell r="C794" t="str">
            <v>1.01.01.01</v>
          </cell>
          <cell r="D794">
            <v>41382</v>
          </cell>
          <cell r="E794" t="str">
            <v>SANESALTO SANEAMENTO S/A</v>
          </cell>
          <cell r="F794" t="str">
            <v>MEDIÇÃO DE 06 A 12.04.2013</v>
          </cell>
          <cell r="G794" t="str">
            <v>C</v>
          </cell>
          <cell r="H794">
            <v>0</v>
          </cell>
          <cell r="I794">
            <v>92515.34</v>
          </cell>
          <cell r="J794" t="str">
            <v>X</v>
          </cell>
          <cell r="K794">
            <v>1487617.790000001</v>
          </cell>
          <cell r="L794">
            <v>1487617.790000001</v>
          </cell>
          <cell r="M794">
            <v>0</v>
          </cell>
        </row>
        <row r="795">
          <cell r="B795" t="str">
            <v>04-029</v>
          </cell>
          <cell r="C795" t="str">
            <v>2.02.01.09</v>
          </cell>
          <cell r="D795">
            <v>41382</v>
          </cell>
          <cell r="E795" t="str">
            <v>Instituto Nacional do Seguro Social</v>
          </cell>
          <cell r="F795" t="str">
            <v>GPS NF FUNCIONÁRIOS SANESALTO REF 03/2013</v>
          </cell>
          <cell r="G795" t="str">
            <v>D</v>
          </cell>
          <cell r="H795">
            <v>23245.81</v>
          </cell>
          <cell r="I795">
            <v>0</v>
          </cell>
          <cell r="J795" t="str">
            <v>X</v>
          </cell>
          <cell r="K795">
            <v>1464371.9800000009</v>
          </cell>
          <cell r="L795">
            <v>1464371.9800000009</v>
          </cell>
          <cell r="M795">
            <v>0</v>
          </cell>
        </row>
        <row r="796">
          <cell r="B796" t="str">
            <v>04-035</v>
          </cell>
          <cell r="C796" t="str">
            <v>2.02.01.08</v>
          </cell>
          <cell r="D796">
            <v>41382</v>
          </cell>
          <cell r="E796" t="str">
            <v>SECRETARIA DA RECEITA FEDERAL DO BRASIL</v>
          </cell>
          <cell r="F796" t="str">
            <v>DARF REF PRÓ-LABORE</v>
          </cell>
          <cell r="G796" t="str">
            <v>D</v>
          </cell>
          <cell r="H796">
            <v>5731.44</v>
          </cell>
          <cell r="I796">
            <v>0</v>
          </cell>
          <cell r="J796" t="str">
            <v>X</v>
          </cell>
          <cell r="K796">
            <v>1458640.540000001</v>
          </cell>
          <cell r="L796">
            <v>1458640.540000001</v>
          </cell>
          <cell r="M796">
            <v>0</v>
          </cell>
        </row>
        <row r="797">
          <cell r="B797" t="str">
            <v>04-026</v>
          </cell>
          <cell r="C797" t="str">
            <v>2.02.01.09</v>
          </cell>
          <cell r="D797">
            <v>41382</v>
          </cell>
          <cell r="E797" t="str">
            <v>Instituto Nacional do Seguro Social</v>
          </cell>
          <cell r="F797" t="str">
            <v>GPS NF 378 HF ANDRADE</v>
          </cell>
          <cell r="G797" t="str">
            <v>D</v>
          </cell>
          <cell r="H797">
            <v>1643.09</v>
          </cell>
          <cell r="I797">
            <v>0</v>
          </cell>
          <cell r="J797" t="str">
            <v>X</v>
          </cell>
          <cell r="K797">
            <v>1456997.4500000009</v>
          </cell>
          <cell r="L797">
            <v>1456997.4500000009</v>
          </cell>
          <cell r="M797">
            <v>0</v>
          </cell>
        </row>
        <row r="798">
          <cell r="B798" t="str">
            <v>04-034</v>
          </cell>
          <cell r="C798" t="str">
            <v>2.02.01.01</v>
          </cell>
          <cell r="D798">
            <v>41382</v>
          </cell>
          <cell r="E798" t="str">
            <v>SECRETARIA DA RECEITA FEDERAL DO BRASIL</v>
          </cell>
          <cell r="F798" t="str">
            <v xml:space="preserve">DARF REF PAGAMENTO  SANESALTO </v>
          </cell>
          <cell r="G798" t="str">
            <v>D</v>
          </cell>
          <cell r="H798">
            <v>1217.18</v>
          </cell>
          <cell r="I798">
            <v>0</v>
          </cell>
          <cell r="J798" t="str">
            <v>X</v>
          </cell>
          <cell r="K798">
            <v>1455780.2700000009</v>
          </cell>
          <cell r="L798">
            <v>1455780.2700000009</v>
          </cell>
          <cell r="M798">
            <v>0</v>
          </cell>
        </row>
        <row r="799">
          <cell r="B799" t="str">
            <v>04-031</v>
          </cell>
          <cell r="C799" t="str">
            <v>2.02.01.09</v>
          </cell>
          <cell r="D799">
            <v>41382</v>
          </cell>
          <cell r="E799" t="str">
            <v>Instituto Nacional do Seguro Social</v>
          </cell>
          <cell r="F799" t="str">
            <v>GPS NF 915 GARRA</v>
          </cell>
          <cell r="G799" t="str">
            <v>D</v>
          </cell>
          <cell r="H799">
            <v>540.77</v>
          </cell>
          <cell r="I799">
            <v>0</v>
          </cell>
          <cell r="J799" t="str">
            <v>X</v>
          </cell>
          <cell r="K799">
            <v>1455239.5000000009</v>
          </cell>
          <cell r="L799">
            <v>1455239.5000000009</v>
          </cell>
          <cell r="M799">
            <v>0</v>
          </cell>
        </row>
        <row r="800">
          <cell r="B800" t="str">
            <v>04-092</v>
          </cell>
          <cell r="C800" t="str">
            <v>2.02.01.01</v>
          </cell>
          <cell r="D800">
            <v>41382</v>
          </cell>
          <cell r="E800" t="str">
            <v>SECRETARIA DA RECEITA FEDERAL DO BRASIL</v>
          </cell>
          <cell r="F800" t="str">
            <v>DARF CSRF NF 372 HF ANDRADE</v>
          </cell>
          <cell r="G800" t="str">
            <v>D</v>
          </cell>
          <cell r="H800">
            <v>474.11</v>
          </cell>
          <cell r="I800">
            <v>0</v>
          </cell>
          <cell r="J800" t="str">
            <v>X</v>
          </cell>
          <cell r="K800">
            <v>1454765.3900000008</v>
          </cell>
          <cell r="L800">
            <v>1454765.3900000008</v>
          </cell>
          <cell r="M800">
            <v>0</v>
          </cell>
        </row>
        <row r="801">
          <cell r="B801" t="str">
            <v>03-017</v>
          </cell>
          <cell r="C801" t="str">
            <v>2.02.03.04</v>
          </cell>
          <cell r="D801">
            <v>41382</v>
          </cell>
          <cell r="E801" t="str">
            <v>SECRETARIA DA RECEITA FEDERAL DO BRASIL</v>
          </cell>
          <cell r="F801" t="str">
            <v>DARF IR NF 39 ARAUJO DE ARAUJO</v>
          </cell>
          <cell r="G801" t="str">
            <v>D</v>
          </cell>
          <cell r="H801">
            <v>414</v>
          </cell>
          <cell r="I801">
            <v>0</v>
          </cell>
          <cell r="J801" t="str">
            <v>X</v>
          </cell>
          <cell r="K801">
            <v>1454351.3900000008</v>
          </cell>
          <cell r="L801">
            <v>1454351.3900000008</v>
          </cell>
          <cell r="M801">
            <v>0</v>
          </cell>
        </row>
        <row r="802">
          <cell r="B802" t="str">
            <v>04-088</v>
          </cell>
          <cell r="C802" t="str">
            <v>2.02.01.01</v>
          </cell>
          <cell r="D802">
            <v>41382</v>
          </cell>
          <cell r="E802" t="str">
            <v>SECRETARIA DA RECEITA FEDERAL DO BRASIL</v>
          </cell>
          <cell r="F802" t="str">
            <v>DARF CSRF NF 364 HF ANDRADE</v>
          </cell>
          <cell r="G802" t="str">
            <v>D</v>
          </cell>
          <cell r="H802">
            <v>381.29</v>
          </cell>
          <cell r="I802">
            <v>0</v>
          </cell>
          <cell r="J802" t="str">
            <v>X</v>
          </cell>
          <cell r="K802">
            <v>1453970.1000000008</v>
          </cell>
          <cell r="L802">
            <v>1453970.1000000008</v>
          </cell>
          <cell r="M802">
            <v>0</v>
          </cell>
        </row>
        <row r="803">
          <cell r="B803" t="str">
            <v>03-117</v>
          </cell>
          <cell r="C803" t="str">
            <v>2.02.01.09</v>
          </cell>
          <cell r="D803">
            <v>41382</v>
          </cell>
          <cell r="E803" t="str">
            <v>Instituto Nacional do Seguro Social</v>
          </cell>
          <cell r="F803" t="str">
            <v>GPS NF 01 MDL TOLEDO</v>
          </cell>
          <cell r="G803" t="str">
            <v>D</v>
          </cell>
          <cell r="H803">
            <v>257.39999999999998</v>
          </cell>
          <cell r="I803">
            <v>0</v>
          </cell>
          <cell r="J803" t="str">
            <v>X</v>
          </cell>
          <cell r="K803">
            <v>1453712.7000000009</v>
          </cell>
          <cell r="L803">
            <v>1453712.7000000009</v>
          </cell>
          <cell r="M803">
            <v>0</v>
          </cell>
        </row>
        <row r="804">
          <cell r="B804" t="str">
            <v>03-094</v>
          </cell>
          <cell r="C804" t="str">
            <v>2.02.01.09</v>
          </cell>
          <cell r="D804">
            <v>41382</v>
          </cell>
          <cell r="E804" t="str">
            <v>Instituto Nacional do Seguro Social</v>
          </cell>
          <cell r="F804" t="str">
            <v>GPS NF 151 MARIA E L FELICIANO</v>
          </cell>
          <cell r="G804" t="str">
            <v>D</v>
          </cell>
          <cell r="H804">
            <v>187</v>
          </cell>
          <cell r="I804">
            <v>0</v>
          </cell>
          <cell r="J804" t="str">
            <v>X</v>
          </cell>
          <cell r="K804">
            <v>1453525.7000000009</v>
          </cell>
          <cell r="L804">
            <v>1453525.7000000009</v>
          </cell>
          <cell r="M804">
            <v>0</v>
          </cell>
        </row>
        <row r="805">
          <cell r="B805" t="str">
            <v>04-030</v>
          </cell>
          <cell r="C805" t="str">
            <v>2.02.01.09</v>
          </cell>
          <cell r="D805">
            <v>41382</v>
          </cell>
          <cell r="E805" t="str">
            <v>Instituto Nacional do Seguro Social</v>
          </cell>
          <cell r="F805" t="str">
            <v>GPS NF 906 GARRA</v>
          </cell>
          <cell r="G805" t="str">
            <v>D</v>
          </cell>
          <cell r="H805">
            <v>174</v>
          </cell>
          <cell r="I805">
            <v>0</v>
          </cell>
          <cell r="J805" t="str">
            <v>X</v>
          </cell>
          <cell r="K805">
            <v>1453351.7000000009</v>
          </cell>
          <cell r="L805">
            <v>1453351.7000000009</v>
          </cell>
          <cell r="M805">
            <v>0</v>
          </cell>
        </row>
        <row r="806">
          <cell r="B806" t="str">
            <v>03-085</v>
          </cell>
          <cell r="C806" t="str">
            <v>2.01.05.10</v>
          </cell>
          <cell r="D806">
            <v>41382</v>
          </cell>
          <cell r="E806" t="str">
            <v>SECRETARIA DA RECEITA FEDERAL DO BRASIL</v>
          </cell>
          <cell r="F806" t="str">
            <v>DARF IR NF 10456 CORPUS</v>
          </cell>
          <cell r="G806" t="str">
            <v>D</v>
          </cell>
          <cell r="H806">
            <v>121.09</v>
          </cell>
          <cell r="I806">
            <v>0</v>
          </cell>
          <cell r="J806" t="str">
            <v>X</v>
          </cell>
          <cell r="K806">
            <v>1453230.6100000008</v>
          </cell>
          <cell r="L806">
            <v>1453230.6100000008</v>
          </cell>
          <cell r="M806">
            <v>0</v>
          </cell>
        </row>
        <row r="807">
          <cell r="B807" t="str">
            <v>04-051</v>
          </cell>
          <cell r="C807" t="str">
            <v>2.01.05.02</v>
          </cell>
          <cell r="D807">
            <v>41382</v>
          </cell>
          <cell r="E807" t="str">
            <v>CARLOS ALBERTO PROGIANTI ME</v>
          </cell>
          <cell r="F807" t="str">
            <v>ASSISTÊNCIA TÉCNICA REF A MÃO DE OBRA OS 8532</v>
          </cell>
          <cell r="G807" t="str">
            <v>D</v>
          </cell>
          <cell r="H807">
            <v>115.68</v>
          </cell>
          <cell r="I807">
            <v>0</v>
          </cell>
          <cell r="J807" t="str">
            <v>X</v>
          </cell>
          <cell r="K807">
            <v>1453114.9300000009</v>
          </cell>
          <cell r="L807">
            <v>1453114.9300000009</v>
          </cell>
          <cell r="M807">
            <v>8106</v>
          </cell>
        </row>
        <row r="808">
          <cell r="B808" t="str">
            <v>04-093</v>
          </cell>
          <cell r="C808" t="str">
            <v>2.02.01.01</v>
          </cell>
          <cell r="D808">
            <v>41382</v>
          </cell>
          <cell r="E808" t="str">
            <v>SECRETARIA DA RECEITA FEDERAL DO BRASIL</v>
          </cell>
          <cell r="F808" t="str">
            <v>DARF IR NF 372 HF ANDRADE</v>
          </cell>
          <cell r="G808" t="str">
            <v>D</v>
          </cell>
          <cell r="H808">
            <v>105.41</v>
          </cell>
          <cell r="I808">
            <v>0</v>
          </cell>
          <cell r="J808" t="str">
            <v>X</v>
          </cell>
          <cell r="K808">
            <v>1453009.5200000009</v>
          </cell>
          <cell r="L808">
            <v>1453009.5200000009</v>
          </cell>
          <cell r="M808">
            <v>0</v>
          </cell>
        </row>
        <row r="809">
          <cell r="B809" t="str">
            <v>04-032</v>
          </cell>
          <cell r="C809" t="str">
            <v>2.02.01.01</v>
          </cell>
          <cell r="D809">
            <v>41382</v>
          </cell>
          <cell r="E809" t="str">
            <v>SECRETARIA DA RECEITA FEDERAL DO BRASIL</v>
          </cell>
          <cell r="F809" t="str">
            <v>DARF IR NF 378 HF ANDRADE</v>
          </cell>
          <cell r="G809" t="str">
            <v>D</v>
          </cell>
          <cell r="H809">
            <v>87.03</v>
          </cell>
          <cell r="I809">
            <v>0</v>
          </cell>
          <cell r="J809" t="str">
            <v>X</v>
          </cell>
          <cell r="K809">
            <v>1452922.4900000009</v>
          </cell>
          <cell r="L809">
            <v>1452922.4900000009</v>
          </cell>
          <cell r="M809">
            <v>0</v>
          </cell>
        </row>
        <row r="810">
          <cell r="B810" t="str">
            <v>04-089</v>
          </cell>
          <cell r="C810" t="str">
            <v>2.02.01.01</v>
          </cell>
          <cell r="D810">
            <v>41382</v>
          </cell>
          <cell r="E810" t="str">
            <v>SECRETARIA DA RECEITA FEDERAL DO BRASIL</v>
          </cell>
          <cell r="F810" t="str">
            <v>DARF IR NF 364 HF ANDRADE</v>
          </cell>
          <cell r="G810" t="str">
            <v>D</v>
          </cell>
          <cell r="H810">
            <v>83.83</v>
          </cell>
          <cell r="I810">
            <v>0</v>
          </cell>
          <cell r="J810" t="str">
            <v>X</v>
          </cell>
          <cell r="K810">
            <v>1452838.6600000008</v>
          </cell>
          <cell r="L810">
            <v>1452838.6600000008</v>
          </cell>
          <cell r="M810">
            <v>0</v>
          </cell>
        </row>
        <row r="811">
          <cell r="B811" t="str">
            <v>03-112</v>
          </cell>
          <cell r="C811" t="str">
            <v>2.02.03.04</v>
          </cell>
          <cell r="D811">
            <v>41382</v>
          </cell>
          <cell r="E811" t="str">
            <v>SECRETARIA DA RECEITA FEDERAL DO BRASIL</v>
          </cell>
          <cell r="F811" t="str">
            <v>DARF IR NF 2182 CASLANO</v>
          </cell>
          <cell r="G811" t="str">
            <v>D</v>
          </cell>
          <cell r="H811">
            <v>27.92</v>
          </cell>
          <cell r="I811">
            <v>0</v>
          </cell>
          <cell r="J811" t="str">
            <v>X</v>
          </cell>
          <cell r="K811">
            <v>1452810.7400000009</v>
          </cell>
          <cell r="L811">
            <v>1452810.7400000009</v>
          </cell>
          <cell r="M811">
            <v>0</v>
          </cell>
        </row>
        <row r="812">
          <cell r="B812" t="str">
            <v>03-021</v>
          </cell>
          <cell r="C812" t="str">
            <v>2.02.03.04</v>
          </cell>
          <cell r="D812">
            <v>41382</v>
          </cell>
          <cell r="E812" t="str">
            <v>SECRETARIA DA RECEITA FEDERAL DO BRASIL</v>
          </cell>
          <cell r="F812" t="str">
            <v>DARF IR NF 71519 BR CONNECTION</v>
          </cell>
          <cell r="G812" t="str">
            <v>D</v>
          </cell>
          <cell r="H812">
            <v>27.11</v>
          </cell>
          <cell r="I812">
            <v>0</v>
          </cell>
          <cell r="J812" t="str">
            <v>X</v>
          </cell>
          <cell r="K812">
            <v>1452783.6300000008</v>
          </cell>
          <cell r="L812">
            <v>1452783.6300000008</v>
          </cell>
          <cell r="M812">
            <v>0</v>
          </cell>
        </row>
        <row r="813">
          <cell r="B813" t="str">
            <v>03-095</v>
          </cell>
          <cell r="C813" t="str">
            <v>2.01.05.10</v>
          </cell>
          <cell r="D813">
            <v>41382</v>
          </cell>
          <cell r="E813" t="str">
            <v>SECRETARIA DA RECEITA FEDERAL DO BRASIL</v>
          </cell>
          <cell r="F813" t="str">
            <v>DARF IR NF 2278 ACQUALAB</v>
          </cell>
          <cell r="G813" t="str">
            <v>D</v>
          </cell>
          <cell r="H813">
            <v>17.91</v>
          </cell>
          <cell r="I813">
            <v>0</v>
          </cell>
          <cell r="J813" t="str">
            <v>X</v>
          </cell>
          <cell r="K813">
            <v>1452765.7200000009</v>
          </cell>
          <cell r="L813">
            <v>1452765.7200000009</v>
          </cell>
          <cell r="M813">
            <v>0</v>
          </cell>
        </row>
        <row r="814">
          <cell r="B814" t="str">
            <v>03-111</v>
          </cell>
          <cell r="C814" t="str">
            <v>2.01.03.08</v>
          </cell>
          <cell r="D814">
            <v>41382</v>
          </cell>
          <cell r="E814" t="str">
            <v>HEXIS CIENTÍFICA S.A</v>
          </cell>
          <cell r="F814" t="str">
            <v>COMPRA DE PIPETA SOROLOG GRADUADA</v>
          </cell>
          <cell r="G814" t="str">
            <v>D</v>
          </cell>
          <cell r="H814">
            <v>15.15</v>
          </cell>
          <cell r="I814">
            <v>0</v>
          </cell>
          <cell r="J814" t="str">
            <v>X</v>
          </cell>
          <cell r="K814">
            <v>1452750.570000001</v>
          </cell>
          <cell r="L814">
            <v>1452750.570000001</v>
          </cell>
          <cell r="M814">
            <v>243972</v>
          </cell>
        </row>
        <row r="815">
          <cell r="B815" t="str">
            <v>04-086</v>
          </cell>
          <cell r="C815" t="str">
            <v>2.01.05.09</v>
          </cell>
          <cell r="D815">
            <v>41382</v>
          </cell>
          <cell r="E815" t="str">
            <v>TRANSTRIP LOCADORA DE VEICULOS</v>
          </cell>
          <cell r="F815" t="str">
            <v>LOCAÇÃO DE VEICULO KOMBI REF 03/2013  + KM EXCEDENTE</v>
          </cell>
          <cell r="G815" t="str">
            <v>D</v>
          </cell>
          <cell r="H815">
            <v>8313.7000000000007</v>
          </cell>
          <cell r="I815">
            <v>0</v>
          </cell>
          <cell r="J815" t="str">
            <v>X</v>
          </cell>
          <cell r="K815">
            <v>1444436.870000001</v>
          </cell>
          <cell r="L815">
            <v>1444436.870000001</v>
          </cell>
          <cell r="M815">
            <v>481</v>
          </cell>
        </row>
        <row r="816">
          <cell r="B816" t="str">
            <v>04-100</v>
          </cell>
          <cell r="C816" t="str">
            <v>2.01.03.11</v>
          </cell>
          <cell r="D816">
            <v>41382</v>
          </cell>
          <cell r="E816" t="str">
            <v xml:space="preserve">MARIA ELIETE LOPES FELICIANO </v>
          </cell>
          <cell r="F816" t="str">
            <v>PRESTAÇÃO DE SERVIÇOS DE MÃO DE OBRA CORREGO DO AJUDANTE</v>
          </cell>
          <cell r="G816" t="str">
            <v>D</v>
          </cell>
          <cell r="H816">
            <v>3325</v>
          </cell>
          <cell r="I816">
            <v>0</v>
          </cell>
          <cell r="J816" t="str">
            <v>X</v>
          </cell>
          <cell r="K816">
            <v>1441111.870000001</v>
          </cell>
          <cell r="L816">
            <v>1441111.870000001</v>
          </cell>
          <cell r="M816">
            <v>152</v>
          </cell>
        </row>
        <row r="817">
          <cell r="B817" t="str">
            <v>002-079/2</v>
          </cell>
          <cell r="C817" t="str">
            <v>2.01.01.12</v>
          </cell>
          <cell r="D817">
            <v>41382</v>
          </cell>
          <cell r="E817" t="str">
            <v>NEW LINE UNIFORMES LTDA EPP</v>
          </cell>
          <cell r="F817" t="str">
            <v>COMPRA DE UNIFORMES PARA SANESALTO LEITURISTA E ETE</v>
          </cell>
          <cell r="G817" t="str">
            <v>D</v>
          </cell>
          <cell r="H817">
            <v>3082</v>
          </cell>
          <cell r="I817">
            <v>0</v>
          </cell>
          <cell r="J817" t="str">
            <v>X</v>
          </cell>
          <cell r="K817">
            <v>1438029.870000001</v>
          </cell>
          <cell r="L817">
            <v>1438029.870000001</v>
          </cell>
          <cell r="M817">
            <v>981</v>
          </cell>
        </row>
        <row r="818">
          <cell r="B818" t="str">
            <v>04-065</v>
          </cell>
          <cell r="C818" t="str">
            <v>2.07.01.04</v>
          </cell>
          <cell r="D818">
            <v>41382</v>
          </cell>
          <cell r="E818" t="str">
            <v>ERICO SEBESTIEN MOLNAR MARQUES ME</v>
          </cell>
          <cell r="F818" t="str">
            <v>SERVIÇOS DE PREVENTIVA EM BOMBAS</v>
          </cell>
          <cell r="G818" t="str">
            <v>D</v>
          </cell>
          <cell r="H818">
            <v>1400</v>
          </cell>
          <cell r="I818">
            <v>0</v>
          </cell>
          <cell r="J818" t="str">
            <v>X</v>
          </cell>
          <cell r="K818">
            <v>1436629.870000001</v>
          </cell>
          <cell r="L818">
            <v>1436629.870000001</v>
          </cell>
          <cell r="M818">
            <v>51</v>
          </cell>
        </row>
        <row r="819">
          <cell r="B819" t="str">
            <v>04-066</v>
          </cell>
          <cell r="C819" t="str">
            <v>2.07.01.04</v>
          </cell>
          <cell r="D819">
            <v>41382</v>
          </cell>
          <cell r="E819" t="str">
            <v>ERICO SEBESTIEN MOLNAR MARQUES ME</v>
          </cell>
          <cell r="F819" t="str">
            <v xml:space="preserve">REPAROS ELÉTRICOS EM GERAL </v>
          </cell>
          <cell r="G819" t="str">
            <v>D</v>
          </cell>
          <cell r="H819">
            <v>1050</v>
          </cell>
          <cell r="I819">
            <v>0</v>
          </cell>
          <cell r="J819" t="str">
            <v>X</v>
          </cell>
          <cell r="K819">
            <v>1435579.870000001</v>
          </cell>
          <cell r="L819">
            <v>1435579.870000001</v>
          </cell>
          <cell r="M819">
            <v>50</v>
          </cell>
        </row>
        <row r="820">
          <cell r="B820" t="str">
            <v>04-063</v>
          </cell>
          <cell r="C820" t="str">
            <v>2.01.03.09</v>
          </cell>
          <cell r="D820">
            <v>41382</v>
          </cell>
          <cell r="E820" t="str">
            <v>COMPANHIA PIRATININGA DE FORÇA E LUZ - CPFL</v>
          </cell>
          <cell r="F820" t="str">
            <v>CONTA DE ENERGIA ESCRITÓRIO REF 04/2013</v>
          </cell>
          <cell r="G820" t="str">
            <v>D</v>
          </cell>
          <cell r="H820">
            <v>763.73</v>
          </cell>
          <cell r="I820">
            <v>0</v>
          </cell>
          <cell r="J820" t="str">
            <v>X</v>
          </cell>
          <cell r="K820">
            <v>1434816.1400000011</v>
          </cell>
          <cell r="L820">
            <v>1434816.1400000011</v>
          </cell>
          <cell r="M820">
            <v>0</v>
          </cell>
        </row>
        <row r="821">
          <cell r="B821" t="str">
            <v>04-078</v>
          </cell>
          <cell r="C821" t="str">
            <v>2.02.03.23</v>
          </cell>
          <cell r="D821">
            <v>41382</v>
          </cell>
          <cell r="E821" t="str">
            <v>MERCOLINEIT TEC CONSULT E DESENVOLVIMENTO Ltda. EPP</v>
          </cell>
          <cell r="F821" t="str">
            <v>GESTÃO DE REQUISITOS LEGAIS APLICAVÉIS NO AMBITO DO MEIO AMBIENTE REF ABR/2013</v>
          </cell>
          <cell r="G821" t="str">
            <v>D</v>
          </cell>
          <cell r="H821">
            <v>300</v>
          </cell>
          <cell r="I821">
            <v>0</v>
          </cell>
          <cell r="J821" t="str">
            <v>X</v>
          </cell>
          <cell r="K821">
            <v>1434516.1400000011</v>
          </cell>
          <cell r="L821">
            <v>1434516.1400000011</v>
          </cell>
          <cell r="M821">
            <v>962</v>
          </cell>
        </row>
        <row r="822">
          <cell r="B822" t="str">
            <v>RE04-011</v>
          </cell>
          <cell r="C822" t="str">
            <v>1.01.01.01</v>
          </cell>
          <cell r="D822">
            <v>41383</v>
          </cell>
          <cell r="E822" t="str">
            <v xml:space="preserve">BANCO ITAÚ </v>
          </cell>
          <cell r="F822" t="str">
            <v xml:space="preserve">RENDIMENTO DE APLICAÇÃO </v>
          </cell>
          <cell r="G822" t="str">
            <v>C</v>
          </cell>
          <cell r="H822">
            <v>0</v>
          </cell>
          <cell r="I822">
            <v>2.9</v>
          </cell>
          <cell r="J822" t="str">
            <v>X</v>
          </cell>
          <cell r="K822">
            <v>1434519.040000001</v>
          </cell>
          <cell r="L822">
            <v>1434519.040000001</v>
          </cell>
          <cell r="M822">
            <v>0</v>
          </cell>
        </row>
        <row r="823">
          <cell r="B823" t="str">
            <v>04-106</v>
          </cell>
          <cell r="C823" t="str">
            <v>2.02.03.03</v>
          </cell>
          <cell r="D823">
            <v>41383</v>
          </cell>
          <cell r="E823" t="str">
            <v xml:space="preserve">DRA WELICA GONÇALVES ALMEIDA RENZO </v>
          </cell>
          <cell r="F823" t="str">
            <v xml:space="preserve">DEFESA E AIDIÊNCIA PROCESSO N. </v>
          </cell>
          <cell r="G823" t="str">
            <v>D</v>
          </cell>
          <cell r="H823">
            <v>678</v>
          </cell>
          <cell r="I823">
            <v>0</v>
          </cell>
          <cell r="J823" t="str">
            <v>X</v>
          </cell>
          <cell r="K823">
            <v>1433841.040000001</v>
          </cell>
          <cell r="L823">
            <v>1433841.040000001</v>
          </cell>
          <cell r="M823">
            <v>0</v>
          </cell>
        </row>
        <row r="824">
          <cell r="B824" t="str">
            <v>04-107</v>
          </cell>
          <cell r="C824" t="str">
            <v>2.03.01.05</v>
          </cell>
          <cell r="D824">
            <v>41383</v>
          </cell>
          <cell r="E824" t="str">
            <v>PREFEITURA DA ESTÂNCIA TURÍSTICA DE SALTO</v>
          </cell>
          <cell r="F824" t="str">
            <v>GUIA GISS ONLINE ISSQN</v>
          </cell>
          <cell r="G824" t="str">
            <v>D</v>
          </cell>
          <cell r="H824">
            <v>2781.53</v>
          </cell>
          <cell r="I824">
            <v>0</v>
          </cell>
          <cell r="J824" t="str">
            <v>X</v>
          </cell>
          <cell r="K824">
            <v>1431059.5100000009</v>
          </cell>
          <cell r="L824">
            <v>1431059.5100000009</v>
          </cell>
          <cell r="M824">
            <v>1454903</v>
          </cell>
        </row>
        <row r="825">
          <cell r="B825" t="str">
            <v>RE04-012</v>
          </cell>
          <cell r="C825" t="str">
            <v>1.01.01.01</v>
          </cell>
          <cell r="D825">
            <v>41386</v>
          </cell>
          <cell r="E825" t="str">
            <v>SANESALTO SANEAMENTO S/A</v>
          </cell>
          <cell r="F825" t="str">
            <v>MEDIÇÃO DE 13 A 19.04.2013</v>
          </cell>
          <cell r="G825" t="str">
            <v>C</v>
          </cell>
          <cell r="H825">
            <v>0</v>
          </cell>
          <cell r="I825">
            <v>127094.03</v>
          </cell>
          <cell r="J825" t="str">
            <v>X</v>
          </cell>
          <cell r="K825">
            <v>1558153.540000001</v>
          </cell>
          <cell r="L825">
            <v>1558153.540000001</v>
          </cell>
          <cell r="M825">
            <v>0</v>
          </cell>
        </row>
        <row r="826">
          <cell r="B826" t="str">
            <v>04-102/1</v>
          </cell>
          <cell r="C826" t="str">
            <v>2.02.03.22</v>
          </cell>
          <cell r="D826">
            <v>41386</v>
          </cell>
          <cell r="E826" t="str">
            <v>MARÍTIMA SEGUROS S/A</v>
          </cell>
          <cell r="F826" t="str">
            <v xml:space="preserve">SEGURO PRÉDIO SANESALTO </v>
          </cell>
          <cell r="G826" t="str">
            <v>D</v>
          </cell>
          <cell r="H826">
            <v>251.94</v>
          </cell>
          <cell r="I826">
            <v>0</v>
          </cell>
          <cell r="J826" t="str">
            <v>X</v>
          </cell>
          <cell r="K826">
            <v>1557901.600000001</v>
          </cell>
          <cell r="L826">
            <v>1557901.600000001</v>
          </cell>
          <cell r="M826">
            <v>0</v>
          </cell>
        </row>
        <row r="827">
          <cell r="B827" t="str">
            <v>03-082</v>
          </cell>
          <cell r="C827" t="str">
            <v>2.02.03.19</v>
          </cell>
          <cell r="D827">
            <v>41386</v>
          </cell>
          <cell r="E827" t="str">
            <v>EDITORA TAPERÁ LTDA</v>
          </cell>
          <cell r="F827" t="str">
            <v>ANUNCIO DE PUBLICIDADE DIA DA ÁGUA</v>
          </cell>
          <cell r="G827" t="str">
            <v>D</v>
          </cell>
          <cell r="H827">
            <v>750</v>
          </cell>
          <cell r="I827">
            <v>0</v>
          </cell>
          <cell r="J827" t="str">
            <v>X</v>
          </cell>
          <cell r="K827">
            <v>1557151.600000001</v>
          </cell>
          <cell r="L827">
            <v>1557151.600000001</v>
          </cell>
          <cell r="M827">
            <v>6779</v>
          </cell>
        </row>
        <row r="828">
          <cell r="B828" t="str">
            <v>04-061</v>
          </cell>
          <cell r="C828" t="str">
            <v>2.01.03.09</v>
          </cell>
          <cell r="D828">
            <v>41386</v>
          </cell>
          <cell r="E828" t="str">
            <v>COMPANHIA PIRATININGA DE FORÇA E LUZ - CPFL</v>
          </cell>
          <cell r="F828" t="str">
            <v>CONTA DE ENERGIA ELEV GUARAÚ 01 REF 04/2013</v>
          </cell>
          <cell r="G828" t="str">
            <v>D</v>
          </cell>
          <cell r="H828">
            <v>3816.49</v>
          </cell>
          <cell r="I828">
            <v>0</v>
          </cell>
          <cell r="J828" t="str">
            <v>X</v>
          </cell>
          <cell r="K828">
            <v>1553335.110000001</v>
          </cell>
          <cell r="L828">
            <v>1553335.110000001</v>
          </cell>
          <cell r="M828">
            <v>0</v>
          </cell>
        </row>
        <row r="829">
          <cell r="B829" t="str">
            <v>04-062</v>
          </cell>
          <cell r="C829" t="str">
            <v>2.01.03.09</v>
          </cell>
          <cell r="D829">
            <v>41386</v>
          </cell>
          <cell r="E829" t="str">
            <v>COMPANHIA PIRATININGA DE FORÇA E LUZ - CPFL</v>
          </cell>
          <cell r="F829" t="str">
            <v>CONTA DE ENERGIA ETE REF 04/2013</v>
          </cell>
          <cell r="G829" t="str">
            <v>D</v>
          </cell>
          <cell r="H829">
            <v>8457.77</v>
          </cell>
          <cell r="I829">
            <v>0</v>
          </cell>
          <cell r="J829" t="str">
            <v>X</v>
          </cell>
          <cell r="K829">
            <v>1544877.340000001</v>
          </cell>
          <cell r="L829">
            <v>1544877.340000001</v>
          </cell>
          <cell r="M829">
            <v>0</v>
          </cell>
        </row>
        <row r="830">
          <cell r="B830" t="str">
            <v>04-087</v>
          </cell>
          <cell r="C830" t="str">
            <v>2.02.03.16</v>
          </cell>
          <cell r="D830">
            <v>41386</v>
          </cell>
          <cell r="E830" t="str">
            <v xml:space="preserve">GMF GESTÃO DE MEDIÇÃO E FATURAMENTO </v>
          </cell>
          <cell r="F830" t="str">
            <v>LICENÇA DE USO DO SOFTWARE TINOS</v>
          </cell>
          <cell r="G830" t="str">
            <v>D</v>
          </cell>
          <cell r="H830">
            <v>4000</v>
          </cell>
          <cell r="I830">
            <v>0</v>
          </cell>
          <cell r="J830" t="str">
            <v>X</v>
          </cell>
          <cell r="K830">
            <v>1540877.340000001</v>
          </cell>
          <cell r="L830">
            <v>1540877.340000001</v>
          </cell>
          <cell r="M830">
            <v>376</v>
          </cell>
        </row>
        <row r="831">
          <cell r="B831" t="str">
            <v>04-067</v>
          </cell>
          <cell r="C831" t="str">
            <v>2.02.03.16</v>
          </cell>
          <cell r="D831">
            <v>41386</v>
          </cell>
          <cell r="E831" t="str">
            <v xml:space="preserve">GMF GESTÃO DE MEDIÇÃO E FATURAMENTO </v>
          </cell>
          <cell r="F831" t="str">
            <v>LICENÇA DE USO DO SISTEMA DE GESTÃO COMERCIAL INTELIGEST</v>
          </cell>
          <cell r="G831" t="str">
            <v>D</v>
          </cell>
          <cell r="H831">
            <v>15000</v>
          </cell>
          <cell r="I831">
            <v>0</v>
          </cell>
          <cell r="J831" t="str">
            <v>X</v>
          </cell>
          <cell r="K831">
            <v>1525877.340000001</v>
          </cell>
          <cell r="L831">
            <v>1525877.340000001</v>
          </cell>
          <cell r="M831">
            <v>373</v>
          </cell>
        </row>
        <row r="832">
          <cell r="B832" t="str">
            <v>04-108/1</v>
          </cell>
          <cell r="C832" t="str">
            <v>2.02.01.13</v>
          </cell>
          <cell r="D832">
            <v>41386</v>
          </cell>
          <cell r="E832" t="str">
            <v>KRAKS ESPORTE - JENILDO CEDRO CAVALCANTI</v>
          </cell>
          <cell r="F832" t="str">
            <v>COMPRA DE UNIFORMES PARA PATROCÍNIO JOGOS DOS TRABALHADORES</v>
          </cell>
          <cell r="G832" t="str">
            <v>D</v>
          </cell>
          <cell r="H832">
            <v>486.4</v>
          </cell>
          <cell r="I832">
            <v>0</v>
          </cell>
          <cell r="J832" t="str">
            <v>X</v>
          </cell>
          <cell r="K832">
            <v>1525390.9400000011</v>
          </cell>
          <cell r="L832">
            <v>1525390.9400000011</v>
          </cell>
          <cell r="M832">
            <v>21</v>
          </cell>
        </row>
        <row r="833">
          <cell r="B833" t="str">
            <v>RE04-013</v>
          </cell>
          <cell r="C833" t="str">
            <v>1.01.01.01</v>
          </cell>
          <cell r="D833">
            <v>41389</v>
          </cell>
          <cell r="E833" t="str">
            <v xml:space="preserve">BANCO ITAÚ </v>
          </cell>
          <cell r="F833" t="str">
            <v xml:space="preserve">RENDIMENTO DE APLICAÇÃO </v>
          </cell>
          <cell r="G833" t="str">
            <v>C</v>
          </cell>
          <cell r="H833">
            <v>0</v>
          </cell>
          <cell r="I833">
            <v>102.16</v>
          </cell>
          <cell r="J833" t="str">
            <v>X</v>
          </cell>
          <cell r="K833">
            <v>1525493.100000001</v>
          </cell>
          <cell r="L833">
            <v>1525493.100000001</v>
          </cell>
          <cell r="M833">
            <v>0</v>
          </cell>
        </row>
        <row r="834">
          <cell r="B834" t="str">
            <v>04-134</v>
          </cell>
          <cell r="C834" t="str">
            <v>2.05.01.02</v>
          </cell>
          <cell r="D834">
            <v>41389</v>
          </cell>
          <cell r="E834" t="str">
            <v>BANCO ITAÚ S/A</v>
          </cell>
          <cell r="F834" t="str">
            <v>TARIFA DE ENVIO EXTRATO CONS 04/13</v>
          </cell>
          <cell r="G834" t="str">
            <v>D</v>
          </cell>
          <cell r="H834">
            <v>4</v>
          </cell>
          <cell r="I834">
            <v>0</v>
          </cell>
          <cell r="J834" t="str">
            <v>X</v>
          </cell>
          <cell r="K834">
            <v>1525489.100000001</v>
          </cell>
          <cell r="L834">
            <v>1525489.100000001</v>
          </cell>
          <cell r="M834">
            <v>0</v>
          </cell>
        </row>
        <row r="835">
          <cell r="B835" t="str">
            <v>04-068</v>
          </cell>
          <cell r="C835" t="str">
            <v>2.01.05.02</v>
          </cell>
          <cell r="D835">
            <v>41389</v>
          </cell>
          <cell r="E835" t="str">
            <v>CARLOS ALBERTO PROGIANTI ME</v>
          </cell>
          <cell r="F835" t="str">
            <v>ASSISTÊNCIA TÉCNICA REF A MÃO DE OBRA OS 8565</v>
          </cell>
          <cell r="G835" t="str">
            <v>D</v>
          </cell>
          <cell r="H835">
            <v>86.52</v>
          </cell>
          <cell r="I835">
            <v>0</v>
          </cell>
          <cell r="J835" t="str">
            <v>X</v>
          </cell>
          <cell r="K835">
            <v>1525402.580000001</v>
          </cell>
          <cell r="L835">
            <v>1525402.580000001</v>
          </cell>
          <cell r="M835">
            <v>8134</v>
          </cell>
        </row>
        <row r="836">
          <cell r="B836" t="str">
            <v>04-049</v>
          </cell>
          <cell r="C836" t="str">
            <v>2.01.05.02</v>
          </cell>
          <cell r="D836">
            <v>41389</v>
          </cell>
          <cell r="E836" t="str">
            <v>CARLOS ALBERTO PROGIANTI ME</v>
          </cell>
          <cell r="F836" t="str">
            <v>ASSISTÊNCIA TÉCNICA REF A MÃO DE OBRA OS 8534</v>
          </cell>
          <cell r="G836" t="str">
            <v>D</v>
          </cell>
          <cell r="H836">
            <v>86.6</v>
          </cell>
          <cell r="I836">
            <v>0</v>
          </cell>
          <cell r="J836" t="str">
            <v>X</v>
          </cell>
          <cell r="K836">
            <v>1525315.9800000009</v>
          </cell>
          <cell r="L836">
            <v>1525315.9800000009</v>
          </cell>
          <cell r="M836">
            <v>8104</v>
          </cell>
        </row>
        <row r="837">
          <cell r="B837" t="str">
            <v>04-052</v>
          </cell>
          <cell r="C837" t="str">
            <v>2.01.05.02</v>
          </cell>
          <cell r="D837">
            <v>41389</v>
          </cell>
          <cell r="E837" t="str">
            <v>CARLOS ALBERTO PROGIANTI ME</v>
          </cell>
          <cell r="F837" t="str">
            <v>ASSISTÊNCIA TÉCNICA REF A MÃO DE OBRA OS 8535</v>
          </cell>
          <cell r="G837" t="str">
            <v>D</v>
          </cell>
          <cell r="H837">
            <v>86.6</v>
          </cell>
          <cell r="I837">
            <v>0</v>
          </cell>
          <cell r="J837" t="str">
            <v>X</v>
          </cell>
          <cell r="K837">
            <v>1525229.3800000008</v>
          </cell>
          <cell r="L837">
            <v>1525229.3800000008</v>
          </cell>
          <cell r="M837">
            <v>8105</v>
          </cell>
        </row>
        <row r="838">
          <cell r="B838" t="str">
            <v>04-048</v>
          </cell>
          <cell r="C838" t="str">
            <v>2.01.05.02</v>
          </cell>
          <cell r="D838">
            <v>41389</v>
          </cell>
          <cell r="E838" t="str">
            <v>CARLOS ALBERTO PROGIANTI ME</v>
          </cell>
          <cell r="F838" t="str">
            <v>ASSISTÊNCIA TÉCNICA REF A MÃO DE OBRA OS 8533</v>
          </cell>
          <cell r="G838" t="str">
            <v>D</v>
          </cell>
          <cell r="H838">
            <v>92.35</v>
          </cell>
          <cell r="I838">
            <v>0</v>
          </cell>
          <cell r="J838" t="str">
            <v>X</v>
          </cell>
          <cell r="K838">
            <v>1525137.0300000007</v>
          </cell>
          <cell r="L838">
            <v>1525137.0300000007</v>
          </cell>
          <cell r="M838">
            <v>8103</v>
          </cell>
        </row>
        <row r="839">
          <cell r="B839" t="str">
            <v>04-104</v>
          </cell>
          <cell r="C839" t="str">
            <v>2.02.02.04</v>
          </cell>
          <cell r="D839">
            <v>41389</v>
          </cell>
          <cell r="E839" t="str">
            <v>VIVO S/A</v>
          </cell>
          <cell r="F839" t="str">
            <v xml:space="preserve">PCTE VIVO INTERNET 1 GB </v>
          </cell>
          <cell r="G839" t="str">
            <v>D</v>
          </cell>
          <cell r="H839">
            <v>151.80000000000001</v>
          </cell>
          <cell r="I839">
            <v>0</v>
          </cell>
          <cell r="J839" t="str">
            <v>X</v>
          </cell>
          <cell r="K839">
            <v>1524985.2300000007</v>
          </cell>
          <cell r="L839">
            <v>1524985.2300000007</v>
          </cell>
          <cell r="M839">
            <v>2063756013</v>
          </cell>
        </row>
        <row r="840">
          <cell r="B840" t="str">
            <v>04-050</v>
          </cell>
          <cell r="C840" t="str">
            <v>2.01.05.02</v>
          </cell>
          <cell r="D840">
            <v>41389</v>
          </cell>
          <cell r="E840" t="str">
            <v>INFRAVERMELHO</v>
          </cell>
          <cell r="F840" t="str">
            <v xml:space="preserve">COMPRA DE PEÇA PARA MANUTENÇÃO DE ELEV  ENERGIZADOR DE CERCA ELÉTRICA   </v>
          </cell>
          <cell r="G840" t="str">
            <v>D</v>
          </cell>
          <cell r="H840">
            <v>285</v>
          </cell>
          <cell r="I840">
            <v>0</v>
          </cell>
          <cell r="J840" t="str">
            <v>X</v>
          </cell>
          <cell r="K840">
            <v>1524700.2300000007</v>
          </cell>
          <cell r="L840">
            <v>1524700.2300000007</v>
          </cell>
          <cell r="M840">
            <v>210</v>
          </cell>
        </row>
        <row r="841">
          <cell r="B841" t="str">
            <v>04-017</v>
          </cell>
          <cell r="C841" t="str">
            <v>2.02.02.02</v>
          </cell>
          <cell r="D841">
            <v>41389</v>
          </cell>
          <cell r="E841" t="str">
            <v xml:space="preserve">CAPITAL EMBALAGENS DESCARTÁVEIS </v>
          </cell>
          <cell r="F841" t="str">
            <v>COMPRA DE PRODUTOS DE LIMPEZA PARA ETE E ESCRITÓRIO</v>
          </cell>
          <cell r="G841" t="str">
            <v>D</v>
          </cell>
          <cell r="H841">
            <v>341.8</v>
          </cell>
          <cell r="I841">
            <v>0</v>
          </cell>
          <cell r="J841" t="str">
            <v>X</v>
          </cell>
          <cell r="K841">
            <v>1524358.4300000006</v>
          </cell>
          <cell r="L841">
            <v>1524358.4300000006</v>
          </cell>
          <cell r="M841">
            <v>31769</v>
          </cell>
        </row>
        <row r="842">
          <cell r="B842" t="str">
            <v>04-101</v>
          </cell>
          <cell r="C842" t="str">
            <v>2.02.01.04</v>
          </cell>
          <cell r="D842">
            <v>41389</v>
          </cell>
          <cell r="E842" t="str">
            <v>UNIMED DE SALTO ITU COOP TRAB MÉDICO</v>
          </cell>
          <cell r="F842" t="str">
            <v>CONSULTAS DOS FUNCIONÁRIOS 03/2013</v>
          </cell>
          <cell r="G842" t="str">
            <v>D</v>
          </cell>
          <cell r="H842">
            <v>386.64</v>
          </cell>
          <cell r="I842">
            <v>0</v>
          </cell>
          <cell r="J842" t="str">
            <v>X</v>
          </cell>
          <cell r="K842">
            <v>1523971.7900000007</v>
          </cell>
          <cell r="L842">
            <v>1523971.7900000007</v>
          </cell>
          <cell r="M842" t="str">
            <v>33000527/13</v>
          </cell>
        </row>
        <row r="843">
          <cell r="B843" t="str">
            <v>04-074/2</v>
          </cell>
          <cell r="C843" t="str">
            <v>2.01.05.11</v>
          </cell>
          <cell r="D843">
            <v>41389</v>
          </cell>
          <cell r="E843" t="str">
            <v>VT COMÉRCIO DE MOTORES ELÉTRICOS E ACIONAMENTOS Ltda.</v>
          </cell>
          <cell r="F843" t="str">
            <v>TROCA DE CABO EM BOMBA</v>
          </cell>
          <cell r="G843" t="str">
            <v>D</v>
          </cell>
          <cell r="H843">
            <v>1350</v>
          </cell>
          <cell r="I843">
            <v>0</v>
          </cell>
          <cell r="J843" t="str">
            <v>X</v>
          </cell>
          <cell r="K843">
            <v>1522621.7900000007</v>
          </cell>
          <cell r="L843">
            <v>1522621.7900000007</v>
          </cell>
          <cell r="M843">
            <v>209</v>
          </cell>
        </row>
        <row r="844">
          <cell r="B844" t="str">
            <v>03-048/2</v>
          </cell>
          <cell r="C844" t="str">
            <v>2.07.01.04</v>
          </cell>
          <cell r="D844">
            <v>41389</v>
          </cell>
          <cell r="E844" t="str">
            <v>STARLUX EQUIPAMENTOS INDUSTRIAIS LTDA</v>
          </cell>
          <cell r="F844" t="str">
            <v>COMPRA DE EQUIPAMENTO DE BLOQUEADOR DIMENSIONAL DE ACESSÓRIO COMPLETO</v>
          </cell>
          <cell r="G844" t="str">
            <v>D</v>
          </cell>
          <cell r="H844">
            <v>2311</v>
          </cell>
          <cell r="I844">
            <v>0</v>
          </cell>
          <cell r="J844" t="str">
            <v>X</v>
          </cell>
          <cell r="K844">
            <v>1520310.7900000007</v>
          </cell>
          <cell r="L844">
            <v>1520310.7900000007</v>
          </cell>
          <cell r="M844">
            <v>2643</v>
          </cell>
        </row>
        <row r="845">
          <cell r="B845" t="str">
            <v>04-057</v>
          </cell>
          <cell r="C845" t="str">
            <v>2.01.05.04</v>
          </cell>
          <cell r="D845">
            <v>41389</v>
          </cell>
          <cell r="E845" t="str">
            <v>BERZIN ASSISTÊNCIA TÉCNICA DE INFORMÁTICA Ltda.</v>
          </cell>
          <cell r="F845" t="str">
            <v>SERVIÇOS DE CONSULTORIA PRESTADOS EM MAR/2013</v>
          </cell>
          <cell r="G845" t="str">
            <v>D</v>
          </cell>
          <cell r="H845">
            <v>2938</v>
          </cell>
          <cell r="I845">
            <v>0</v>
          </cell>
          <cell r="J845" t="str">
            <v>X</v>
          </cell>
          <cell r="K845">
            <v>1517372.7900000007</v>
          </cell>
          <cell r="L845">
            <v>1517372.7900000007</v>
          </cell>
          <cell r="M845">
            <v>347</v>
          </cell>
        </row>
        <row r="846">
          <cell r="B846" t="str">
            <v>04-080</v>
          </cell>
          <cell r="C846" t="str">
            <v>2.07.01.04</v>
          </cell>
          <cell r="D846">
            <v>41389</v>
          </cell>
          <cell r="E846" t="str">
            <v>ANGOLINI &amp; ANGOLINI LTDA</v>
          </cell>
          <cell r="F846" t="str">
            <v xml:space="preserve">COMPRA DE VALVULA DE RETENÇÃO PARA ETE </v>
          </cell>
          <cell r="G846" t="str">
            <v>D</v>
          </cell>
          <cell r="H846">
            <v>3560</v>
          </cell>
          <cell r="I846">
            <v>0</v>
          </cell>
          <cell r="J846" t="str">
            <v>X</v>
          </cell>
          <cell r="K846">
            <v>1513812.7900000007</v>
          </cell>
          <cell r="L846">
            <v>1513812.7900000007</v>
          </cell>
          <cell r="M846">
            <v>8434</v>
          </cell>
        </row>
        <row r="847">
          <cell r="B847" t="str">
            <v>04-081</v>
          </cell>
          <cell r="C847" t="str">
            <v>2.01.03.09</v>
          </cell>
          <cell r="D847">
            <v>41389</v>
          </cell>
          <cell r="E847" t="str">
            <v>COMPANHIA PIRATININGA DE FORÇA E LUZ - CPFL</v>
          </cell>
          <cell r="F847" t="str">
            <v>CONTA DE ENERGIA ELEV BURU 01 REF 04/2013</v>
          </cell>
          <cell r="G847" t="str">
            <v>D</v>
          </cell>
          <cell r="H847">
            <v>9397.9</v>
          </cell>
          <cell r="I847">
            <v>0</v>
          </cell>
          <cell r="J847" t="str">
            <v>X</v>
          </cell>
          <cell r="K847">
            <v>1504414.8900000008</v>
          </cell>
          <cell r="L847">
            <v>1504414.8900000008</v>
          </cell>
          <cell r="M847">
            <v>0</v>
          </cell>
        </row>
        <row r="848">
          <cell r="B848" t="str">
            <v>04-082</v>
          </cell>
          <cell r="C848" t="str">
            <v>2.01.03.09</v>
          </cell>
          <cell r="D848">
            <v>41389</v>
          </cell>
          <cell r="E848" t="str">
            <v>COMPANHIA PIRATININGA DE FORÇA E LUZ - CPFL</v>
          </cell>
          <cell r="F848" t="str">
            <v>CONTA DE ENERGIA ELEV BURU 02 REF 04/2013</v>
          </cell>
          <cell r="G848" t="str">
            <v>D</v>
          </cell>
          <cell r="H848">
            <v>9667.7099999999991</v>
          </cell>
          <cell r="I848">
            <v>0</v>
          </cell>
          <cell r="J848" t="str">
            <v>X</v>
          </cell>
          <cell r="K848">
            <v>1494747.1800000009</v>
          </cell>
          <cell r="L848">
            <v>1494747.1800000009</v>
          </cell>
          <cell r="M848">
            <v>0</v>
          </cell>
        </row>
        <row r="849">
          <cell r="B849" t="str">
            <v>04-135</v>
          </cell>
          <cell r="C849" t="str">
            <v>1.01.02.02</v>
          </cell>
          <cell r="D849">
            <v>41389</v>
          </cell>
          <cell r="E849" t="str">
            <v>SECRETARIA DA RECEITA FEDERAL DO BRASIL</v>
          </cell>
          <cell r="F849" t="str">
            <v>DARF PIS REF 03/2013</v>
          </cell>
          <cell r="G849" t="str">
            <v>D</v>
          </cell>
          <cell r="H849">
            <v>12702</v>
          </cell>
          <cell r="I849">
            <v>0</v>
          </cell>
          <cell r="J849" t="str">
            <v>X</v>
          </cell>
          <cell r="K849">
            <v>1482045.1800000009</v>
          </cell>
          <cell r="L849">
            <v>1482045.1800000009</v>
          </cell>
          <cell r="M849">
            <v>0</v>
          </cell>
        </row>
        <row r="850">
          <cell r="B850" t="str">
            <v>04-136</v>
          </cell>
          <cell r="C850" t="str">
            <v>1.01.02.03</v>
          </cell>
          <cell r="D850">
            <v>41389</v>
          </cell>
          <cell r="E850" t="str">
            <v>SECRETARIA DA RECEITA FEDERAL DO BRASIL</v>
          </cell>
          <cell r="F850" t="str">
            <v>DARF COFINS REF 03/2013</v>
          </cell>
          <cell r="G850" t="str">
            <v>D</v>
          </cell>
          <cell r="H850">
            <v>58506.19</v>
          </cell>
          <cell r="I850">
            <v>0</v>
          </cell>
          <cell r="J850" t="str">
            <v>X</v>
          </cell>
          <cell r="K850">
            <v>1423538.9900000009</v>
          </cell>
          <cell r="L850">
            <v>1423538.9900000009</v>
          </cell>
          <cell r="M850">
            <v>0</v>
          </cell>
        </row>
        <row r="851">
          <cell r="B851" t="str">
            <v>RE04-014</v>
          </cell>
          <cell r="C851" t="str">
            <v>1.01.01.01</v>
          </cell>
          <cell r="D851">
            <v>41390</v>
          </cell>
          <cell r="E851" t="str">
            <v xml:space="preserve">BANCO ITAÚ </v>
          </cell>
          <cell r="F851" t="str">
            <v xml:space="preserve">RENDIMENTO DE APLICAÇÃO </v>
          </cell>
          <cell r="G851" t="str">
            <v>C</v>
          </cell>
          <cell r="H851">
            <v>0</v>
          </cell>
          <cell r="I851">
            <v>4.8899999999999997</v>
          </cell>
          <cell r="J851" t="str">
            <v>X</v>
          </cell>
          <cell r="K851">
            <v>1423543.8800000008</v>
          </cell>
          <cell r="L851">
            <v>1423543.8800000008</v>
          </cell>
          <cell r="M851">
            <v>0</v>
          </cell>
        </row>
        <row r="852">
          <cell r="B852" t="str">
            <v>04-145</v>
          </cell>
          <cell r="C852" t="str">
            <v>2.02.03.27</v>
          </cell>
          <cell r="D852">
            <v>41390</v>
          </cell>
          <cell r="E852" t="str">
            <v>RS CONSTRUTORA RODRIGUES SALTO LTDA</v>
          </cell>
          <cell r="F852" t="str">
            <v xml:space="preserve">SERVIÇOS DE TERRAPLANAGEM E FORNECIMENTO DE MATERIAL ESTRADA ETE </v>
          </cell>
          <cell r="G852" t="str">
            <v>D</v>
          </cell>
          <cell r="H852">
            <v>4715</v>
          </cell>
          <cell r="I852">
            <v>0</v>
          </cell>
          <cell r="J852" t="str">
            <v>X</v>
          </cell>
          <cell r="K852">
            <v>1418828.8800000008</v>
          </cell>
          <cell r="L852">
            <v>1418828.8800000008</v>
          </cell>
          <cell r="M852">
            <v>114</v>
          </cell>
        </row>
        <row r="853">
          <cell r="B853" t="str">
            <v>RE04-015</v>
          </cell>
          <cell r="C853" t="str">
            <v>1.01.01.01</v>
          </cell>
          <cell r="D853">
            <v>41393</v>
          </cell>
          <cell r="E853" t="str">
            <v>SANESALTO SANEAMENTO S/A</v>
          </cell>
          <cell r="F853" t="str">
            <v>MEDIÇÃO DE 20 A 26/04/2013</v>
          </cell>
          <cell r="G853" t="str">
            <v>C</v>
          </cell>
          <cell r="H853">
            <v>0</v>
          </cell>
          <cell r="I853">
            <v>122437.47</v>
          </cell>
          <cell r="J853" t="str">
            <v>X</v>
          </cell>
          <cell r="K853">
            <v>1541266.3500000008</v>
          </cell>
          <cell r="L853">
            <v>1541266.3500000008</v>
          </cell>
          <cell r="M853">
            <v>0</v>
          </cell>
        </row>
        <row r="854">
          <cell r="B854" t="str">
            <v>RE04-016</v>
          </cell>
          <cell r="C854" t="str">
            <v>1.01.01.01</v>
          </cell>
          <cell r="D854">
            <v>41393</v>
          </cell>
          <cell r="E854" t="str">
            <v xml:space="preserve">BANCO ITAÚ </v>
          </cell>
          <cell r="F854" t="str">
            <v xml:space="preserve">RENDIMENTO DE APLICAÇÃO </v>
          </cell>
          <cell r="G854" t="str">
            <v>C</v>
          </cell>
          <cell r="H854">
            <v>0</v>
          </cell>
          <cell r="I854">
            <v>372.4</v>
          </cell>
          <cell r="J854" t="str">
            <v>X</v>
          </cell>
          <cell r="K854">
            <v>1541638.7500000007</v>
          </cell>
          <cell r="L854">
            <v>1541638.7500000007</v>
          </cell>
          <cell r="M854">
            <v>0</v>
          </cell>
        </row>
        <row r="855">
          <cell r="B855" t="str">
            <v>04-095</v>
          </cell>
          <cell r="C855" t="str">
            <v>2.01.03.09</v>
          </cell>
          <cell r="D855">
            <v>41393</v>
          </cell>
          <cell r="E855" t="str">
            <v>COMPANHIA PIRATININGA DE FORÇA E LUZ - CPFL</v>
          </cell>
          <cell r="F855" t="str">
            <v>CONTA DE ENERGIA ELEV FINAL REF 04/2013</v>
          </cell>
          <cell r="G855" t="str">
            <v>D</v>
          </cell>
          <cell r="H855">
            <v>19763.14</v>
          </cell>
          <cell r="I855">
            <v>0</v>
          </cell>
          <cell r="J855" t="str">
            <v>X</v>
          </cell>
          <cell r="K855">
            <v>1521875.6100000008</v>
          </cell>
          <cell r="L855">
            <v>1521875.6100000008</v>
          </cell>
          <cell r="M855">
            <v>0</v>
          </cell>
        </row>
        <row r="856">
          <cell r="B856" t="str">
            <v>04-110</v>
          </cell>
          <cell r="C856" t="str">
            <v>2.01.05.13</v>
          </cell>
          <cell r="D856">
            <v>41393</v>
          </cell>
          <cell r="E856" t="str">
            <v>GARRA COM E SERVIÇOS PROFISSIONALIZADOS Ltda. ME</v>
          </cell>
          <cell r="F856" t="str">
            <v>SERVIÇOS DE PORTARIA E LIMPEZA</v>
          </cell>
          <cell r="G856" t="str">
            <v>D</v>
          </cell>
          <cell r="H856">
            <v>13940.73</v>
          </cell>
          <cell r="I856">
            <v>0</v>
          </cell>
          <cell r="J856" t="str">
            <v>X</v>
          </cell>
          <cell r="K856">
            <v>1507934.8800000008</v>
          </cell>
          <cell r="L856">
            <v>1507934.8800000008</v>
          </cell>
          <cell r="M856">
            <v>954</v>
          </cell>
        </row>
        <row r="857">
          <cell r="B857" t="str">
            <v>04-097</v>
          </cell>
          <cell r="C857" t="str">
            <v>2.01.03.09</v>
          </cell>
          <cell r="D857">
            <v>41393</v>
          </cell>
          <cell r="E857" t="str">
            <v>COMPANHIA PIRATININGA DE FORÇA E LUZ - CPFL</v>
          </cell>
          <cell r="F857" t="str">
            <v>CONTA DE ENERGIA ELEV 01 REF 04/2013</v>
          </cell>
          <cell r="G857" t="str">
            <v>D</v>
          </cell>
          <cell r="H857">
            <v>5598.32</v>
          </cell>
          <cell r="I857">
            <v>0</v>
          </cell>
          <cell r="J857" t="str">
            <v>X</v>
          </cell>
          <cell r="K857">
            <v>1502336.5600000008</v>
          </cell>
          <cell r="L857">
            <v>1502336.5600000008</v>
          </cell>
          <cell r="M857">
            <v>0</v>
          </cell>
        </row>
        <row r="858">
          <cell r="B858" t="str">
            <v>04-111</v>
          </cell>
          <cell r="C858" t="str">
            <v>2.01.05.13</v>
          </cell>
          <cell r="D858">
            <v>41393</v>
          </cell>
          <cell r="E858" t="str">
            <v>GARRA COM E SERVIÇOS PROFISSIONALIZADOS Ltda. ME</v>
          </cell>
          <cell r="F858" t="str">
            <v>SERVIÇOS DE PORTARIA</v>
          </cell>
          <cell r="G858" t="str">
            <v>D</v>
          </cell>
          <cell r="H858">
            <v>5151.75</v>
          </cell>
          <cell r="I858">
            <v>0</v>
          </cell>
          <cell r="J858" t="str">
            <v>X</v>
          </cell>
          <cell r="K858">
            <v>1497184.8100000008</v>
          </cell>
          <cell r="L858">
            <v>1497184.8100000008</v>
          </cell>
          <cell r="M858">
            <v>955</v>
          </cell>
        </row>
        <row r="859">
          <cell r="B859" t="str">
            <v>04-055</v>
          </cell>
          <cell r="C859" t="str">
            <v>2.06.03.01</v>
          </cell>
          <cell r="D859">
            <v>41393</v>
          </cell>
          <cell r="E859" t="str">
            <v>CVM - COMISSÃO DE VALORES MOBILIÁRIOS</v>
          </cell>
          <cell r="F859" t="str">
            <v>PARCELAMENTO N. 267 PARCELA 15</v>
          </cell>
          <cell r="G859" t="str">
            <v>D</v>
          </cell>
          <cell r="H859">
            <v>4804.42</v>
          </cell>
          <cell r="I859">
            <v>0</v>
          </cell>
          <cell r="J859" t="str">
            <v>X</v>
          </cell>
          <cell r="K859">
            <v>1492380.3900000008</v>
          </cell>
          <cell r="L859">
            <v>1492380.3900000008</v>
          </cell>
          <cell r="M859">
            <v>47245</v>
          </cell>
        </row>
        <row r="860">
          <cell r="B860" t="str">
            <v>04-096</v>
          </cell>
          <cell r="C860" t="str">
            <v>2.01.03.09</v>
          </cell>
          <cell r="D860">
            <v>41393</v>
          </cell>
          <cell r="E860" t="str">
            <v>COMPANHIA PIRATININGA DE FORÇA E LUZ - CPFL</v>
          </cell>
          <cell r="F860" t="str">
            <v>CONTA DE ENERGIA ELEV 03 REF 04/2013</v>
          </cell>
          <cell r="G860" t="str">
            <v>D</v>
          </cell>
          <cell r="H860">
            <v>1822.32</v>
          </cell>
          <cell r="I860">
            <v>0</v>
          </cell>
          <cell r="J860" t="str">
            <v>X</v>
          </cell>
          <cell r="K860">
            <v>1490558.0700000008</v>
          </cell>
          <cell r="L860">
            <v>1490558.0700000008</v>
          </cell>
          <cell r="M860">
            <v>0</v>
          </cell>
        </row>
        <row r="861">
          <cell r="B861" t="str">
            <v>04-123</v>
          </cell>
          <cell r="C861" t="str">
            <v>2.01.01.01</v>
          </cell>
          <cell r="D861">
            <v>41393</v>
          </cell>
          <cell r="E861" t="str">
            <v>WEVERTON EUGÊNIO PEREIRA</v>
          </cell>
          <cell r="F861" t="str">
            <v xml:space="preserve">FÉRIAS </v>
          </cell>
          <cell r="G861" t="str">
            <v>D</v>
          </cell>
          <cell r="H861">
            <v>1456</v>
          </cell>
          <cell r="I861">
            <v>0</v>
          </cell>
          <cell r="J861" t="str">
            <v>X</v>
          </cell>
          <cell r="K861">
            <v>1489102.0700000008</v>
          </cell>
          <cell r="L861">
            <v>1489102.0700000008</v>
          </cell>
          <cell r="M861">
            <v>0</v>
          </cell>
        </row>
        <row r="862">
          <cell r="B862" t="str">
            <v>04-090</v>
          </cell>
          <cell r="C862" t="str">
            <v>2.02.03.04</v>
          </cell>
          <cell r="D862">
            <v>41393</v>
          </cell>
          <cell r="E862" t="str">
            <v>SECRETARIA DA RECEITA FEDERAL DO BRASIL</v>
          </cell>
          <cell r="F862" t="str">
            <v>DARF CSRF NF 40 ARAUJO DE ARAUJO</v>
          </cell>
          <cell r="G862" t="str">
            <v>D</v>
          </cell>
          <cell r="H862">
            <v>1283.4000000000001</v>
          </cell>
          <cell r="I862">
            <v>0</v>
          </cell>
          <cell r="J862" t="str">
            <v>X</v>
          </cell>
          <cell r="K862">
            <v>1487818.6700000009</v>
          </cell>
          <cell r="L862">
            <v>1487818.6700000009</v>
          </cell>
          <cell r="M862">
            <v>0</v>
          </cell>
        </row>
        <row r="863">
          <cell r="B863" t="str">
            <v>04-105</v>
          </cell>
          <cell r="C863" t="str">
            <v>2.02.01.14</v>
          </cell>
          <cell r="D863">
            <v>41393</v>
          </cell>
          <cell r="E863" t="str">
            <v xml:space="preserve">SINDICATO TRAB AGUA ESGOTO E MEIO AMBIENTE DO EST DE SP </v>
          </cell>
          <cell r="F863" t="str">
            <v xml:space="preserve">CONTRIBUIÇÃO SINDICAL URBANA </v>
          </cell>
          <cell r="G863" t="str">
            <v>D</v>
          </cell>
          <cell r="H863">
            <v>1175.8499999999999</v>
          </cell>
          <cell r="I863">
            <v>0</v>
          </cell>
          <cell r="J863" t="str">
            <v>X</v>
          </cell>
          <cell r="K863">
            <v>1486642.8200000008</v>
          </cell>
          <cell r="L863">
            <v>1486642.8200000008</v>
          </cell>
          <cell r="M863">
            <v>201301914346</v>
          </cell>
        </row>
        <row r="864">
          <cell r="B864" t="str">
            <v>04-039</v>
          </cell>
          <cell r="C864" t="str">
            <v>2.01.05.11</v>
          </cell>
          <cell r="D864">
            <v>41393</v>
          </cell>
          <cell r="E864" t="str">
            <v>WGR IND. COM. IMP. E EX.LTDA</v>
          </cell>
          <cell r="F864" t="str">
            <v xml:space="preserve">COMPRA DE CONTROLADOR DE POTÊNCIA </v>
          </cell>
          <cell r="G864" t="str">
            <v>D</v>
          </cell>
          <cell r="H864">
            <v>1094.7</v>
          </cell>
          <cell r="I864">
            <v>0</v>
          </cell>
          <cell r="J864" t="str">
            <v>X</v>
          </cell>
          <cell r="K864">
            <v>1485548.1200000008</v>
          </cell>
          <cell r="L864">
            <v>1485548.1200000008</v>
          </cell>
          <cell r="M864">
            <v>15595</v>
          </cell>
        </row>
        <row r="865">
          <cell r="B865" t="str">
            <v>04-033</v>
          </cell>
          <cell r="C865" t="str">
            <v>2.02.01.01</v>
          </cell>
          <cell r="D865">
            <v>41393</v>
          </cell>
          <cell r="E865" t="str">
            <v>SECRETARIA DA RECEITA FEDERAL DO BRASIL</v>
          </cell>
          <cell r="F865" t="str">
            <v>DARF CSRF NF 378 HF ANDRADE</v>
          </cell>
          <cell r="G865" t="str">
            <v>D</v>
          </cell>
          <cell r="H865">
            <v>610.78</v>
          </cell>
          <cell r="I865">
            <v>0</v>
          </cell>
          <cell r="J865" t="str">
            <v>X</v>
          </cell>
          <cell r="K865">
            <v>1484937.3400000008</v>
          </cell>
          <cell r="L865">
            <v>1484937.3400000008</v>
          </cell>
          <cell r="M865">
            <v>0</v>
          </cell>
        </row>
        <row r="866">
          <cell r="B866" t="str">
            <v>04-024</v>
          </cell>
          <cell r="C866" t="str">
            <v>2.02.02.07</v>
          </cell>
          <cell r="D866">
            <v>41393</v>
          </cell>
          <cell r="E866" t="str">
            <v>REVIMAQ ASSISTENCIA TÉCNICA DE MÁQUINAS E COMÉRCIO LTDA</v>
          </cell>
          <cell r="F866" t="str">
            <v xml:space="preserve">REPARAÇÃO EM SOFT STARTER WEG ETE </v>
          </cell>
          <cell r="G866" t="str">
            <v>D</v>
          </cell>
          <cell r="H866">
            <v>597</v>
          </cell>
          <cell r="I866">
            <v>0</v>
          </cell>
          <cell r="J866" t="str">
            <v>X</v>
          </cell>
          <cell r="K866">
            <v>1484340.3400000008</v>
          </cell>
          <cell r="L866">
            <v>1484340.3400000008</v>
          </cell>
          <cell r="M866">
            <v>2940</v>
          </cell>
        </row>
        <row r="867">
          <cell r="B867" t="str">
            <v>03-084</v>
          </cell>
          <cell r="C867" t="str">
            <v>2.01.05.10</v>
          </cell>
          <cell r="D867">
            <v>41393</v>
          </cell>
          <cell r="E867" t="str">
            <v>SECRETARIA DA RECEITA FEDERAL DO BRASIL</v>
          </cell>
          <cell r="F867" t="str">
            <v xml:space="preserve">DARF CSRF NF 10456 CORPUS </v>
          </cell>
          <cell r="G867" t="str">
            <v>D</v>
          </cell>
          <cell r="H867">
            <v>563.07000000000005</v>
          </cell>
          <cell r="I867">
            <v>0</v>
          </cell>
          <cell r="J867" t="str">
            <v>X</v>
          </cell>
          <cell r="K867">
            <v>1483777.2700000007</v>
          </cell>
          <cell r="L867">
            <v>1483777.2700000007</v>
          </cell>
          <cell r="M867">
            <v>0</v>
          </cell>
        </row>
        <row r="868">
          <cell r="B868" t="str">
            <v>04-115</v>
          </cell>
          <cell r="C868" t="str">
            <v>2.01.05.14</v>
          </cell>
          <cell r="D868">
            <v>41393</v>
          </cell>
          <cell r="E868" t="str">
            <v>WILSON BENEDITO RIZZI</v>
          </cell>
          <cell r="F868" t="str">
            <v>COMPRA DE CAMINHÃO DE ÁGUA PARA ETE</v>
          </cell>
          <cell r="G868" t="str">
            <v>D</v>
          </cell>
          <cell r="H868">
            <v>440</v>
          </cell>
          <cell r="I868">
            <v>0</v>
          </cell>
          <cell r="J868" t="str">
            <v>X</v>
          </cell>
          <cell r="K868">
            <v>1483337.2700000007</v>
          </cell>
          <cell r="L868">
            <v>1483337.2700000007</v>
          </cell>
          <cell r="M868">
            <v>3796</v>
          </cell>
        </row>
        <row r="869">
          <cell r="B869" t="str">
            <v>04-116</v>
          </cell>
          <cell r="C869" t="str">
            <v>2.01.03.16</v>
          </cell>
          <cell r="D869">
            <v>41393</v>
          </cell>
          <cell r="E869" t="str">
            <v>ELETRO IRMÃOS MATERIAIS ELETRICOS LTDA</v>
          </cell>
          <cell r="F869" t="str">
            <v>COMPRA DE MATERIAIS ELETRICOS PARA ETE</v>
          </cell>
          <cell r="G869" t="str">
            <v>D</v>
          </cell>
          <cell r="H869">
            <v>405.05</v>
          </cell>
          <cell r="I869">
            <v>0</v>
          </cell>
          <cell r="J869" t="str">
            <v>X</v>
          </cell>
          <cell r="K869">
            <v>1482932.2200000007</v>
          </cell>
          <cell r="L869">
            <v>1482932.2200000007</v>
          </cell>
          <cell r="M869">
            <v>8698</v>
          </cell>
        </row>
        <row r="870">
          <cell r="B870" t="str">
            <v>04-120</v>
          </cell>
          <cell r="C870" t="str">
            <v>2.02.02.04</v>
          </cell>
          <cell r="D870">
            <v>41393</v>
          </cell>
          <cell r="E870" t="str">
            <v xml:space="preserve">NETSERV </v>
          </cell>
          <cell r="F870" t="str">
            <v>LINK DE INTERNET - SCM</v>
          </cell>
          <cell r="G870" t="str">
            <v>D</v>
          </cell>
          <cell r="H870">
            <v>307</v>
          </cell>
          <cell r="I870">
            <v>0</v>
          </cell>
          <cell r="J870" t="str">
            <v>X</v>
          </cell>
          <cell r="K870">
            <v>1482625.2200000007</v>
          </cell>
          <cell r="L870">
            <v>1482625.2200000007</v>
          </cell>
          <cell r="M870">
            <v>65718</v>
          </cell>
        </row>
        <row r="871">
          <cell r="B871" t="str">
            <v>04-064</v>
          </cell>
          <cell r="C871" t="str">
            <v>2.01.05.07</v>
          </cell>
          <cell r="D871">
            <v>41393</v>
          </cell>
          <cell r="E871" t="str">
            <v>CASSOMED COM SERVIÇO DE SEG E SAÚDE OCUPACIONAL Ltda. ME</v>
          </cell>
          <cell r="F871" t="str">
            <v>PRESTAÇÃO DE SERVIÇOS DE PCMSO E SEGURANÇA DO TRABALHO</v>
          </cell>
          <cell r="G871" t="str">
            <v>D</v>
          </cell>
          <cell r="H871">
            <v>290.66000000000003</v>
          </cell>
          <cell r="I871">
            <v>0</v>
          </cell>
          <cell r="J871" t="str">
            <v>X</v>
          </cell>
          <cell r="K871">
            <v>1482334.5600000008</v>
          </cell>
          <cell r="L871">
            <v>1482334.5600000008</v>
          </cell>
          <cell r="M871">
            <v>1339</v>
          </cell>
        </row>
        <row r="872">
          <cell r="B872" t="str">
            <v>04-138</v>
          </cell>
          <cell r="C872" t="str">
            <v>2.02.03.04</v>
          </cell>
          <cell r="D872">
            <v>41393</v>
          </cell>
          <cell r="E872" t="str">
            <v xml:space="preserve">CB&amp;A AUDITORIA E CONTABILIDADE </v>
          </cell>
          <cell r="F872" t="str">
            <v xml:space="preserve">DESPESAS DIVERSAS </v>
          </cell>
          <cell r="G872" t="str">
            <v>D</v>
          </cell>
          <cell r="H872">
            <v>290.02</v>
          </cell>
          <cell r="I872">
            <v>0</v>
          </cell>
          <cell r="J872" t="str">
            <v>X</v>
          </cell>
          <cell r="K872">
            <v>1482044.5400000007</v>
          </cell>
          <cell r="L872">
            <v>1482044.5400000007</v>
          </cell>
          <cell r="M872">
            <v>21</v>
          </cell>
        </row>
        <row r="873">
          <cell r="B873" t="str">
            <v>04-140</v>
          </cell>
          <cell r="C873" t="str">
            <v>2.02.03.15</v>
          </cell>
          <cell r="D873">
            <v>41393</v>
          </cell>
          <cell r="E873" t="str">
            <v>LORENZON LOCADORA DE EQUIPAMENTOS EIRELI ME</v>
          </cell>
          <cell r="F873" t="str">
            <v>LOCAÇÃO DE MÁQUINA DE SOLDA PARA ETE</v>
          </cell>
          <cell r="G873" t="str">
            <v>D</v>
          </cell>
          <cell r="H873">
            <v>200</v>
          </cell>
          <cell r="I873">
            <v>0</v>
          </cell>
          <cell r="J873" t="str">
            <v>X</v>
          </cell>
          <cell r="K873">
            <v>1481844.5400000007</v>
          </cell>
          <cell r="L873">
            <v>1481844.5400000007</v>
          </cell>
          <cell r="M873">
            <v>2646</v>
          </cell>
        </row>
        <row r="874">
          <cell r="B874" t="str">
            <v>04-099</v>
          </cell>
          <cell r="C874" t="str">
            <v>2.02.02.04</v>
          </cell>
          <cell r="D874">
            <v>41393</v>
          </cell>
          <cell r="E874" t="str">
            <v xml:space="preserve">NETSERV </v>
          </cell>
          <cell r="F874" t="str">
            <v>LINK DE INTERNET - SCM</v>
          </cell>
          <cell r="G874" t="str">
            <v>D</v>
          </cell>
          <cell r="H874">
            <v>134</v>
          </cell>
          <cell r="I874">
            <v>0</v>
          </cell>
          <cell r="J874" t="str">
            <v>X</v>
          </cell>
          <cell r="K874">
            <v>1481710.5400000007</v>
          </cell>
          <cell r="L874">
            <v>1481710.5400000007</v>
          </cell>
          <cell r="M874">
            <v>561</v>
          </cell>
        </row>
        <row r="875">
          <cell r="B875" t="str">
            <v>04-006</v>
          </cell>
          <cell r="C875" t="str">
            <v>2.01.03.16</v>
          </cell>
          <cell r="D875">
            <v>41393</v>
          </cell>
          <cell r="E875" t="str">
            <v xml:space="preserve">SALTO LUZ MATERIAIS ELÉTRICOS </v>
          </cell>
          <cell r="F875" t="str">
            <v>COMPRA DE MATERIAIS ELÉTRICOS PARA ETE</v>
          </cell>
          <cell r="G875" t="str">
            <v>D</v>
          </cell>
          <cell r="H875">
            <v>109.09</v>
          </cell>
          <cell r="I875">
            <v>0</v>
          </cell>
          <cell r="J875" t="str">
            <v>X</v>
          </cell>
          <cell r="K875">
            <v>1481601.4500000007</v>
          </cell>
          <cell r="L875">
            <v>1481601.4500000007</v>
          </cell>
          <cell r="M875">
            <v>13559</v>
          </cell>
        </row>
        <row r="876">
          <cell r="B876" t="str">
            <v>04-103</v>
          </cell>
          <cell r="C876" t="str">
            <v>2.02.03.08</v>
          </cell>
          <cell r="D876">
            <v>41393</v>
          </cell>
          <cell r="E876" t="str">
            <v>ARCOSERV AR CONDICIONADO Ltda.</v>
          </cell>
          <cell r="F876" t="str">
            <v>SERVIÇOS DE MANUTENÇÃO DE AR CONDICIONADO</v>
          </cell>
          <cell r="G876" t="str">
            <v>D</v>
          </cell>
          <cell r="H876">
            <v>82.67</v>
          </cell>
          <cell r="I876">
            <v>0</v>
          </cell>
          <cell r="J876" t="str">
            <v>X</v>
          </cell>
          <cell r="K876">
            <v>1481518.7800000007</v>
          </cell>
          <cell r="L876">
            <v>1481518.7800000007</v>
          </cell>
          <cell r="M876">
            <v>2690</v>
          </cell>
        </row>
        <row r="877">
          <cell r="B877" t="str">
            <v>04-038</v>
          </cell>
          <cell r="C877" t="str">
            <v>2.01.03.12</v>
          </cell>
          <cell r="D877">
            <v>41393</v>
          </cell>
          <cell r="E877" t="str">
            <v>COMERCIAL DE PARAFUSOS SALTENSE LTDA EPP</v>
          </cell>
          <cell r="F877" t="str">
            <v xml:space="preserve">COMPRA DE MATERIAIS DIVERSOS </v>
          </cell>
          <cell r="G877" t="str">
            <v>D</v>
          </cell>
          <cell r="H877">
            <v>50.32</v>
          </cell>
          <cell r="I877">
            <v>0</v>
          </cell>
          <cell r="J877" t="str">
            <v>X</v>
          </cell>
          <cell r="K877">
            <v>1481468.4600000007</v>
          </cell>
          <cell r="L877">
            <v>1481468.4600000007</v>
          </cell>
          <cell r="M877">
            <v>36745</v>
          </cell>
        </row>
        <row r="878">
          <cell r="B878" t="str">
            <v>Db-030</v>
          </cell>
          <cell r="C878" t="str">
            <v>2.06.02.05</v>
          </cell>
          <cell r="D878">
            <v>41393</v>
          </cell>
          <cell r="E878" t="str">
            <v xml:space="preserve">CRÉDITO OPERAÇÕES SUP SERV EMP </v>
          </cell>
          <cell r="F878" t="str">
            <v>REF. AMORTIZAÇÃO DE DEBENTURES ABR/2013</v>
          </cell>
          <cell r="G878" t="str">
            <v>D</v>
          </cell>
          <cell r="H878">
            <v>462200.44</v>
          </cell>
          <cell r="I878">
            <v>0</v>
          </cell>
          <cell r="J878" t="str">
            <v>X</v>
          </cell>
          <cell r="K878">
            <v>1019268.0200000007</v>
          </cell>
          <cell r="L878">
            <v>1019268.0200000007</v>
          </cell>
          <cell r="M878">
            <v>0</v>
          </cell>
        </row>
        <row r="879">
          <cell r="B879" t="str">
            <v>RE04-017</v>
          </cell>
          <cell r="C879" t="str">
            <v>1.01.01.01</v>
          </cell>
          <cell r="D879">
            <v>41394</v>
          </cell>
          <cell r="E879" t="str">
            <v xml:space="preserve">BANCO ITAÚ </v>
          </cell>
          <cell r="F879" t="str">
            <v xml:space="preserve">RENDIMENTO DE APLICAÇÃO </v>
          </cell>
          <cell r="G879" t="str">
            <v>C</v>
          </cell>
          <cell r="H879">
            <v>0</v>
          </cell>
          <cell r="I879">
            <v>9.4600000000000009</v>
          </cell>
          <cell r="J879" t="str">
            <v>X</v>
          </cell>
          <cell r="K879">
            <v>1019277.4800000007</v>
          </cell>
          <cell r="L879">
            <v>1019277.4800000007</v>
          </cell>
          <cell r="M879">
            <v>0</v>
          </cell>
        </row>
        <row r="880">
          <cell r="B880" t="str">
            <v>04-147</v>
          </cell>
          <cell r="C880" t="str">
            <v>2.01.01.07</v>
          </cell>
          <cell r="D880">
            <v>41394</v>
          </cell>
          <cell r="E880" t="str">
            <v>AUTO ONIBUS NARDELLI LTDA</v>
          </cell>
          <cell r="F880" t="str">
            <v>RECARGA CARTÃO VALE TRANSPORTE FUNCIONÁRIOS</v>
          </cell>
          <cell r="G880" t="str">
            <v>D</v>
          </cell>
          <cell r="H880">
            <v>1425.76</v>
          </cell>
          <cell r="I880">
            <v>0</v>
          </cell>
          <cell r="J880" t="str">
            <v>X</v>
          </cell>
          <cell r="K880">
            <v>1017851.7200000007</v>
          </cell>
          <cell r="L880">
            <v>1017851.7200000007</v>
          </cell>
          <cell r="M880">
            <v>54074</v>
          </cell>
        </row>
        <row r="881">
          <cell r="B881" t="str">
            <v>04-148</v>
          </cell>
          <cell r="C881" t="str">
            <v>2.01.01.06</v>
          </cell>
          <cell r="D881">
            <v>41394</v>
          </cell>
          <cell r="E881" t="str">
            <v>SODEXO PASS DO BRASIL</v>
          </cell>
          <cell r="F881" t="str">
            <v>VALE ALIMENTAÇÃO REF 05/2013</v>
          </cell>
          <cell r="G881" t="str">
            <v>D</v>
          </cell>
          <cell r="H881">
            <v>8592.16</v>
          </cell>
          <cell r="I881">
            <v>0</v>
          </cell>
          <cell r="J881" t="str">
            <v>X</v>
          </cell>
          <cell r="K881">
            <v>1009259.5600000006</v>
          </cell>
          <cell r="L881">
            <v>1009259.5600000006</v>
          </cell>
          <cell r="M881">
            <v>413762</v>
          </cell>
        </row>
        <row r="882">
          <cell r="B882" t="str">
            <v>05-029</v>
          </cell>
          <cell r="C882" t="str">
            <v>2.05.01.02</v>
          </cell>
          <cell r="D882">
            <v>41396</v>
          </cell>
          <cell r="E882" t="str">
            <v>BANCO ITAÚ S/A</v>
          </cell>
          <cell r="F882" t="str">
            <v>TARIFA DOC SISPAG</v>
          </cell>
          <cell r="G882" t="str">
            <v>D</v>
          </cell>
          <cell r="H882">
            <v>27</v>
          </cell>
          <cell r="I882">
            <v>0</v>
          </cell>
          <cell r="J882" t="str">
            <v>X</v>
          </cell>
          <cell r="K882">
            <v>1009232.5600000006</v>
          </cell>
          <cell r="L882">
            <v>1009232.5600000006</v>
          </cell>
          <cell r="M882">
            <v>0</v>
          </cell>
        </row>
        <row r="883">
          <cell r="B883" t="str">
            <v>05-030</v>
          </cell>
          <cell r="C883" t="str">
            <v>2.05.01.02</v>
          </cell>
          <cell r="D883">
            <v>41396</v>
          </cell>
          <cell r="E883" t="str">
            <v>BANCO ITAÚ S/A</v>
          </cell>
          <cell r="F883" t="str">
            <v>TARIFA TED SISPAG</v>
          </cell>
          <cell r="G883" t="str">
            <v>D</v>
          </cell>
          <cell r="H883">
            <v>58.5</v>
          </cell>
          <cell r="I883">
            <v>0</v>
          </cell>
          <cell r="J883" t="str">
            <v>X</v>
          </cell>
          <cell r="K883">
            <v>1009174.0600000006</v>
          </cell>
          <cell r="L883">
            <v>1009174.0600000006</v>
          </cell>
          <cell r="M883">
            <v>0</v>
          </cell>
        </row>
        <row r="884">
          <cell r="B884" t="str">
            <v>05-031</v>
          </cell>
          <cell r="C884" t="str">
            <v>2.05.01.02</v>
          </cell>
          <cell r="D884">
            <v>41396</v>
          </cell>
          <cell r="E884" t="str">
            <v>BANCO ITAÚ S/A</v>
          </cell>
          <cell r="F884" t="str">
            <v>TARIFA TED SISPAG</v>
          </cell>
          <cell r="G884" t="str">
            <v>D</v>
          </cell>
          <cell r="H884">
            <v>4.5</v>
          </cell>
          <cell r="I884">
            <v>0</v>
          </cell>
          <cell r="J884" t="str">
            <v>X</v>
          </cell>
          <cell r="K884">
            <v>1009169.5600000006</v>
          </cell>
          <cell r="L884">
            <v>1009169.5600000006</v>
          </cell>
          <cell r="M884">
            <v>0</v>
          </cell>
        </row>
        <row r="885">
          <cell r="B885" t="str">
            <v>RE05-002</v>
          </cell>
          <cell r="C885" t="str">
            <v>1.01.01.01</v>
          </cell>
          <cell r="D885">
            <v>41396</v>
          </cell>
          <cell r="E885" t="str">
            <v xml:space="preserve">BANCO ITAÚ </v>
          </cell>
          <cell r="F885" t="str">
            <v xml:space="preserve">RENDIMENTO DE APLICAÇÃO </v>
          </cell>
          <cell r="G885" t="str">
            <v>C</v>
          </cell>
          <cell r="H885">
            <v>0</v>
          </cell>
          <cell r="I885">
            <v>0.09</v>
          </cell>
          <cell r="J885" t="str">
            <v>X</v>
          </cell>
          <cell r="K885">
            <v>1009169.6500000006</v>
          </cell>
          <cell r="L885">
            <v>1009169.6500000006</v>
          </cell>
          <cell r="M885">
            <v>0</v>
          </cell>
        </row>
        <row r="886">
          <cell r="B886" t="str">
            <v>RE05-001</v>
          </cell>
          <cell r="C886" t="str">
            <v>1.01.01.01</v>
          </cell>
          <cell r="D886">
            <v>41397</v>
          </cell>
          <cell r="E886" t="str">
            <v>SANESALTO SANEAMENTO S/A</v>
          </cell>
          <cell r="F886" t="str">
            <v>MEDIÇÃO DE 27 A 30/04/2013</v>
          </cell>
          <cell r="G886" t="str">
            <v>C</v>
          </cell>
          <cell r="H886">
            <v>0</v>
          </cell>
          <cell r="I886">
            <v>45208.69</v>
          </cell>
          <cell r="J886" t="str">
            <v>X</v>
          </cell>
          <cell r="K886">
            <v>1054378.3400000005</v>
          </cell>
          <cell r="L886">
            <v>1054378.3400000005</v>
          </cell>
          <cell r="M886">
            <v>0</v>
          </cell>
        </row>
        <row r="887">
          <cell r="B887" t="str">
            <v>05-023</v>
          </cell>
          <cell r="C887" t="str">
            <v>2.02.03.04</v>
          </cell>
          <cell r="D887">
            <v>41397</v>
          </cell>
          <cell r="E887" t="str">
            <v>ARAUJO DE ARAUJO CONSULTORIA</v>
          </cell>
          <cell r="F887" t="str">
            <v xml:space="preserve">PAGAMENTO DE HONORÁRIOS DE CONSULTORIA </v>
          </cell>
          <cell r="G887" t="str">
            <v>D</v>
          </cell>
          <cell r="H887">
            <v>27725.64</v>
          </cell>
          <cell r="I887">
            <v>0</v>
          </cell>
          <cell r="J887" t="str">
            <v>X</v>
          </cell>
          <cell r="K887">
            <v>1026652.7000000005</v>
          </cell>
          <cell r="L887">
            <v>1026652.7000000005</v>
          </cell>
          <cell r="M887">
            <v>41</v>
          </cell>
        </row>
        <row r="888">
          <cell r="B888" t="str">
            <v>05-001</v>
          </cell>
          <cell r="C888" t="str">
            <v>2.01.05.13</v>
          </cell>
          <cell r="D888">
            <v>41397</v>
          </cell>
          <cell r="E888" t="str">
            <v>HF ANDRADE SERVIÇOS TEMPORÁRIOS</v>
          </cell>
          <cell r="F888" t="str">
            <v>SERVIÇOS DE MÃO DE OBRA TEMPORÁRIO REF ABR/2013</v>
          </cell>
          <cell r="G888" t="str">
            <v>D</v>
          </cell>
          <cell r="H888">
            <v>5679.11</v>
          </cell>
          <cell r="I888">
            <v>0</v>
          </cell>
          <cell r="J888" t="str">
            <v>X</v>
          </cell>
          <cell r="K888">
            <v>1020973.5900000005</v>
          </cell>
          <cell r="L888">
            <v>1020973.5900000005</v>
          </cell>
          <cell r="M888">
            <v>383</v>
          </cell>
        </row>
        <row r="889">
          <cell r="B889" t="str">
            <v>04-112</v>
          </cell>
          <cell r="C889" t="str">
            <v>2.02.01.01</v>
          </cell>
          <cell r="D889">
            <v>41397</v>
          </cell>
          <cell r="E889" t="str">
            <v>ERICA AP DA SILVA DE MORAES</v>
          </cell>
          <cell r="F889" t="str">
            <v xml:space="preserve">FÉRIAS </v>
          </cell>
          <cell r="G889" t="str">
            <v>D</v>
          </cell>
          <cell r="H889">
            <v>2041.87</v>
          </cell>
          <cell r="I889">
            <v>0</v>
          </cell>
          <cell r="J889" t="str">
            <v>X</v>
          </cell>
          <cell r="K889">
            <v>1018931.7200000006</v>
          </cell>
          <cell r="L889">
            <v>1018931.7200000006</v>
          </cell>
          <cell r="M889">
            <v>0</v>
          </cell>
        </row>
        <row r="890">
          <cell r="B890" t="str">
            <v>04-058</v>
          </cell>
          <cell r="C890" t="str">
            <v>2.02.03.04</v>
          </cell>
          <cell r="D890">
            <v>41397</v>
          </cell>
          <cell r="E890" t="str">
            <v xml:space="preserve">CB&amp;A AUDITORIA E CONTABILIDADE </v>
          </cell>
          <cell r="F890" t="str">
            <v>HONORÁRIOS REF A SERVIÇO DE AUDITORIA INDEPENDENTE 03/2013</v>
          </cell>
          <cell r="G890" t="str">
            <v>D</v>
          </cell>
          <cell r="H890">
            <v>1833.5</v>
          </cell>
          <cell r="I890">
            <v>0</v>
          </cell>
          <cell r="J890" t="str">
            <v>X</v>
          </cell>
          <cell r="K890">
            <v>1017098.2200000006</v>
          </cell>
          <cell r="L890">
            <v>1017098.2200000006</v>
          </cell>
          <cell r="M890">
            <v>2193</v>
          </cell>
        </row>
        <row r="891">
          <cell r="B891" t="str">
            <v>04-146</v>
          </cell>
          <cell r="C891" t="str">
            <v>2.01.01.01</v>
          </cell>
          <cell r="D891">
            <v>41397</v>
          </cell>
          <cell r="E891" t="str">
            <v>ALBERTINO M DA SILVA</v>
          </cell>
          <cell r="F891" t="str">
            <v xml:space="preserve">FÉRIAS </v>
          </cell>
          <cell r="G891" t="str">
            <v>D</v>
          </cell>
          <cell r="H891">
            <v>1401.91</v>
          </cell>
          <cell r="I891">
            <v>0</v>
          </cell>
          <cell r="J891" t="str">
            <v>X</v>
          </cell>
          <cell r="K891">
            <v>1015696.3100000005</v>
          </cell>
          <cell r="L891">
            <v>1015696.3100000005</v>
          </cell>
          <cell r="M891">
            <v>0</v>
          </cell>
        </row>
        <row r="892">
          <cell r="B892" t="str">
            <v>05-012</v>
          </cell>
          <cell r="C892" t="str">
            <v>2.02.02.04</v>
          </cell>
          <cell r="D892">
            <v>41397</v>
          </cell>
          <cell r="E892" t="str">
            <v>NEXTEL TELECOMUNICAÇÕES</v>
          </cell>
          <cell r="F892" t="str">
            <v>PERIODO DE 07/03 A 06/04/2013</v>
          </cell>
          <cell r="G892" t="str">
            <v>D</v>
          </cell>
          <cell r="H892">
            <v>1145.19</v>
          </cell>
          <cell r="I892">
            <v>0</v>
          </cell>
          <cell r="J892" t="str">
            <v>X</v>
          </cell>
          <cell r="K892">
            <v>1014551.1200000006</v>
          </cell>
          <cell r="L892">
            <v>1014551.1200000006</v>
          </cell>
          <cell r="M892">
            <v>20313829</v>
          </cell>
        </row>
        <row r="893">
          <cell r="B893" t="str">
            <v>05-010</v>
          </cell>
          <cell r="C893" t="str">
            <v>2.02.02.04</v>
          </cell>
          <cell r="D893">
            <v>41397</v>
          </cell>
          <cell r="E893" t="str">
            <v>NEXTEL TELECOMUNICAÇÕES</v>
          </cell>
          <cell r="F893" t="str">
            <v>PERIODO DE 07/03 A 06/04/2013</v>
          </cell>
          <cell r="G893" t="str">
            <v>D</v>
          </cell>
          <cell r="H893">
            <v>530.88</v>
          </cell>
          <cell r="I893">
            <v>0</v>
          </cell>
          <cell r="J893" t="str">
            <v>X</v>
          </cell>
          <cell r="K893">
            <v>1014020.2400000006</v>
          </cell>
          <cell r="L893">
            <v>1014020.2400000006</v>
          </cell>
          <cell r="M893">
            <v>20331614</v>
          </cell>
        </row>
        <row r="894">
          <cell r="B894" t="str">
            <v>05-011</v>
          </cell>
          <cell r="C894" t="str">
            <v>2.02.02.04</v>
          </cell>
          <cell r="D894">
            <v>41397</v>
          </cell>
          <cell r="E894" t="str">
            <v>NEXTEL TELECOMUNICAÇÕES</v>
          </cell>
          <cell r="F894" t="str">
            <v>PERIODO DE 07/03 A 06/04/2013</v>
          </cell>
          <cell r="G894" t="str">
            <v>D</v>
          </cell>
          <cell r="H894">
            <v>302.89999999999998</v>
          </cell>
          <cell r="I894">
            <v>0</v>
          </cell>
          <cell r="J894" t="str">
            <v>X</v>
          </cell>
          <cell r="K894">
            <v>1013717.3400000005</v>
          </cell>
          <cell r="L894">
            <v>1013717.3400000005</v>
          </cell>
          <cell r="M894">
            <v>20331617</v>
          </cell>
        </row>
        <row r="895">
          <cell r="B895" t="str">
            <v>04-126</v>
          </cell>
          <cell r="C895" t="str">
            <v>2.01.05.02</v>
          </cell>
          <cell r="D895">
            <v>41397</v>
          </cell>
          <cell r="E895" t="str">
            <v>CARLOS ALBERTO PROGIANTI ME</v>
          </cell>
          <cell r="F895" t="str">
            <v>ASSISTÊNCIA TÉCNICA REF A LEITURA DE DADOS</v>
          </cell>
          <cell r="G895" t="str">
            <v>D</v>
          </cell>
          <cell r="H895">
            <v>127.33</v>
          </cell>
          <cell r="I895">
            <v>0</v>
          </cell>
          <cell r="J895" t="str">
            <v>X</v>
          </cell>
          <cell r="K895">
            <v>1013590.0100000006</v>
          </cell>
          <cell r="L895">
            <v>1013590.0100000006</v>
          </cell>
          <cell r="M895">
            <v>2</v>
          </cell>
        </row>
        <row r="896">
          <cell r="B896" t="str">
            <v>04-129</v>
          </cell>
          <cell r="C896" t="str">
            <v>2.01.05.02</v>
          </cell>
          <cell r="D896">
            <v>41397</v>
          </cell>
          <cell r="E896" t="str">
            <v>CARLOS ALBERTO PROGIANTI ME</v>
          </cell>
          <cell r="F896" t="str">
            <v>ASSISTÊNCIA TÉCNICA REF A LEITURA DE DADOS</v>
          </cell>
          <cell r="G896" t="str">
            <v>D</v>
          </cell>
          <cell r="H896">
            <v>120.73</v>
          </cell>
          <cell r="I896">
            <v>0</v>
          </cell>
          <cell r="J896" t="str">
            <v>X</v>
          </cell>
          <cell r="K896">
            <v>1013469.2800000006</v>
          </cell>
          <cell r="L896">
            <v>1013469.2800000006</v>
          </cell>
          <cell r="M896">
            <v>5</v>
          </cell>
        </row>
        <row r="897">
          <cell r="B897" t="str">
            <v>04-130</v>
          </cell>
          <cell r="C897" t="str">
            <v>2.01.05.02</v>
          </cell>
          <cell r="D897">
            <v>41397</v>
          </cell>
          <cell r="E897" t="str">
            <v>CARLOS ALBERTO PROGIANTI ME</v>
          </cell>
          <cell r="F897" t="str">
            <v>ASSISTÊNCIA TÉCNICA REF A LEITURA DE DADOS</v>
          </cell>
          <cell r="G897" t="str">
            <v>D</v>
          </cell>
          <cell r="H897">
            <v>127.33</v>
          </cell>
          <cell r="I897">
            <v>0</v>
          </cell>
          <cell r="J897" t="str">
            <v>X</v>
          </cell>
          <cell r="K897">
            <v>1013341.9500000007</v>
          </cell>
          <cell r="L897">
            <v>1013341.9500000007</v>
          </cell>
          <cell r="M897">
            <v>1</v>
          </cell>
        </row>
        <row r="898">
          <cell r="B898" t="str">
            <v>04-127</v>
          </cell>
          <cell r="C898" t="str">
            <v>2.01.05.02</v>
          </cell>
          <cell r="D898">
            <v>41397</v>
          </cell>
          <cell r="E898" t="str">
            <v>CARLOS ALBERTO PROGIANTI ME</v>
          </cell>
          <cell r="F898" t="str">
            <v>ASSISTÊNCIA TÉCNICA REF A LEITURA DE DADOS</v>
          </cell>
          <cell r="G898" t="str">
            <v>D</v>
          </cell>
          <cell r="H898">
            <v>127.33</v>
          </cell>
          <cell r="I898">
            <v>0</v>
          </cell>
          <cell r="J898" t="str">
            <v>X</v>
          </cell>
          <cell r="K898">
            <v>1013214.6200000007</v>
          </cell>
          <cell r="L898">
            <v>1013214.6200000007</v>
          </cell>
          <cell r="M898">
            <v>3</v>
          </cell>
        </row>
        <row r="899">
          <cell r="B899" t="str">
            <v>04-128</v>
          </cell>
          <cell r="C899" t="str">
            <v>2.01.05.02</v>
          </cell>
          <cell r="D899">
            <v>41397</v>
          </cell>
          <cell r="E899" t="str">
            <v>CARLOS ALBERTO PROGIANTI ME</v>
          </cell>
          <cell r="F899" t="str">
            <v>ASSISTÊNCIA TÉCNICA REF A LEITURA DE DADOS</v>
          </cell>
          <cell r="G899" t="str">
            <v>D</v>
          </cell>
          <cell r="H899">
            <v>120.2</v>
          </cell>
          <cell r="I899">
            <v>0</v>
          </cell>
          <cell r="J899" t="str">
            <v>X</v>
          </cell>
          <cell r="K899">
            <v>1013094.4200000007</v>
          </cell>
          <cell r="L899">
            <v>1013094.4200000007</v>
          </cell>
          <cell r="M899">
            <v>4</v>
          </cell>
        </row>
        <row r="900">
          <cell r="B900" t="str">
            <v>04-139</v>
          </cell>
          <cell r="C900" t="str">
            <v>2.02.03.15</v>
          </cell>
          <cell r="D900">
            <v>41397</v>
          </cell>
          <cell r="E900" t="str">
            <v>LORENZON LOCADORA DE EQUIPAMENTOS EIRELI ME</v>
          </cell>
          <cell r="F900" t="str">
            <v>LOCAÇÃO DE PLATAFORMA PARA ETE</v>
          </cell>
          <cell r="G900" t="str">
            <v>D</v>
          </cell>
          <cell r="H900">
            <v>77.5</v>
          </cell>
          <cell r="I900">
            <v>0</v>
          </cell>
          <cell r="J900" t="str">
            <v>X</v>
          </cell>
          <cell r="K900">
            <v>1013016.9200000007</v>
          </cell>
          <cell r="L900">
            <v>1013016.9200000007</v>
          </cell>
          <cell r="M900">
            <v>2694</v>
          </cell>
        </row>
        <row r="901">
          <cell r="B901" t="str">
            <v>04-142</v>
          </cell>
          <cell r="C901" t="str">
            <v>2.02.03.05</v>
          </cell>
          <cell r="D901">
            <v>41397</v>
          </cell>
          <cell r="E901" t="str">
            <v>SCANDIUZZI CONSULTORIA CONTABIL Ltda.</v>
          </cell>
          <cell r="F901" t="str">
            <v>DESPESAS DIVERSAS REF 03/2013</v>
          </cell>
          <cell r="G901" t="str">
            <v>D</v>
          </cell>
          <cell r="H901">
            <v>15.4</v>
          </cell>
          <cell r="I901">
            <v>0</v>
          </cell>
          <cell r="J901" t="str">
            <v>X</v>
          </cell>
          <cell r="K901">
            <v>1013001.5200000007</v>
          </cell>
          <cell r="L901">
            <v>1013001.5200000007</v>
          </cell>
          <cell r="M901">
            <v>416</v>
          </cell>
        </row>
        <row r="902">
          <cell r="B902" t="str">
            <v>05-027</v>
          </cell>
          <cell r="C902" t="str">
            <v>2.02.03.19</v>
          </cell>
          <cell r="D902">
            <v>41397</v>
          </cell>
          <cell r="E902" t="str">
            <v>IMPRENSA OFICIAL DO ESTADO S.A</v>
          </cell>
          <cell r="F902" t="str">
            <v xml:space="preserve">PUBLICAÇÃO DE LICENÇA DE OPERAÇÃO </v>
          </cell>
          <cell r="G902" t="str">
            <v>D</v>
          </cell>
          <cell r="H902">
            <v>129</v>
          </cell>
          <cell r="I902">
            <v>0</v>
          </cell>
          <cell r="J902" t="str">
            <v>X</v>
          </cell>
          <cell r="K902">
            <v>1012872.5200000007</v>
          </cell>
          <cell r="L902">
            <v>1012872.5200000007</v>
          </cell>
          <cell r="M902" t="str">
            <v>0607037/01</v>
          </cell>
        </row>
        <row r="903">
          <cell r="B903" t="str">
            <v>05-028</v>
          </cell>
          <cell r="C903" t="str">
            <v>2.02.03.21</v>
          </cell>
          <cell r="D903">
            <v>41397</v>
          </cell>
          <cell r="E903" t="str">
            <v>RODRIGO BUENO</v>
          </cell>
          <cell r="F903" t="str">
            <v>DESPESAS DE ALIMENTAÇÃO E COMBUSTÍVEL</v>
          </cell>
          <cell r="G903" t="str">
            <v>D</v>
          </cell>
          <cell r="H903">
            <v>503.83</v>
          </cell>
          <cell r="I903">
            <v>0</v>
          </cell>
          <cell r="J903" t="str">
            <v>X</v>
          </cell>
          <cell r="K903">
            <v>1012368.6900000008</v>
          </cell>
          <cell r="L903">
            <v>1012368.6900000008</v>
          </cell>
          <cell r="M903">
            <v>0</v>
          </cell>
        </row>
        <row r="904">
          <cell r="B904" t="str">
            <v>RE05-003</v>
          </cell>
          <cell r="C904" t="str">
            <v>1.01.01.01</v>
          </cell>
          <cell r="D904">
            <v>41400</v>
          </cell>
          <cell r="E904" t="str">
            <v>SANESALTO SANEAMENTO S/A</v>
          </cell>
          <cell r="F904" t="str">
            <v>MEDIÇÃO DE 01 A 03/05/2013</v>
          </cell>
          <cell r="G904" t="str">
            <v>C</v>
          </cell>
          <cell r="H904">
            <v>0</v>
          </cell>
          <cell r="I904">
            <v>81924.960000000006</v>
          </cell>
          <cell r="J904" t="str">
            <v>X</v>
          </cell>
          <cell r="K904">
            <v>1094293.6500000008</v>
          </cell>
          <cell r="L904">
            <v>1094293.6500000008</v>
          </cell>
          <cell r="M904">
            <v>0</v>
          </cell>
        </row>
        <row r="905">
          <cell r="B905" t="str">
            <v>05-047</v>
          </cell>
          <cell r="C905" t="str">
            <v>2.01.05.04</v>
          </cell>
          <cell r="D905">
            <v>41400</v>
          </cell>
          <cell r="E905" t="str">
            <v>AGROAMBIENTE CONSL AGRON. E AMBIENTAL</v>
          </cell>
          <cell r="F905" t="str">
            <v xml:space="preserve">MANUTENÇÃO DE CERCA DE ISOLAMENTO DE PLANTIO </v>
          </cell>
          <cell r="G905" t="str">
            <v>D</v>
          </cell>
          <cell r="H905">
            <v>2205.9</v>
          </cell>
          <cell r="I905">
            <v>0</v>
          </cell>
          <cell r="J905" t="str">
            <v>X</v>
          </cell>
          <cell r="K905">
            <v>1092087.7500000009</v>
          </cell>
          <cell r="L905">
            <v>1092087.7500000009</v>
          </cell>
          <cell r="M905">
            <v>91</v>
          </cell>
        </row>
        <row r="906">
          <cell r="B906" t="str">
            <v>05-046</v>
          </cell>
          <cell r="C906" t="str">
            <v>2.02.03.19</v>
          </cell>
          <cell r="D906">
            <v>41400</v>
          </cell>
          <cell r="E906" t="str">
            <v>EDITORA TAPERÁ LTDA</v>
          </cell>
          <cell r="F906" t="str">
            <v>ANUNCIO DE PUBLICAÇÃO CETESB</v>
          </cell>
          <cell r="G906" t="str">
            <v>D</v>
          </cell>
          <cell r="H906">
            <v>45</v>
          </cell>
          <cell r="I906">
            <v>0</v>
          </cell>
          <cell r="J906" t="str">
            <v>X</v>
          </cell>
          <cell r="K906">
            <v>1092042.7500000009</v>
          </cell>
          <cell r="L906">
            <v>1092042.7500000009</v>
          </cell>
          <cell r="M906">
            <v>0</v>
          </cell>
        </row>
        <row r="907">
          <cell r="B907" t="str">
            <v>04-069</v>
          </cell>
          <cell r="C907" t="str">
            <v>2.01.03.16</v>
          </cell>
          <cell r="D907">
            <v>41400</v>
          </cell>
          <cell r="E907" t="str">
            <v xml:space="preserve">SALTO LUZ MATERIAIS ELÉTRICOS </v>
          </cell>
          <cell r="F907" t="str">
            <v>COMPRA DE MATERIAIS ELÉTRICOS PARA ETE</v>
          </cell>
          <cell r="G907" t="str">
            <v>D</v>
          </cell>
          <cell r="H907">
            <v>365.75</v>
          </cell>
          <cell r="I907">
            <v>0</v>
          </cell>
          <cell r="J907" t="str">
            <v>X</v>
          </cell>
          <cell r="K907">
            <v>1091677.0000000009</v>
          </cell>
          <cell r="L907">
            <v>1091677.0000000009</v>
          </cell>
          <cell r="M907">
            <v>13712</v>
          </cell>
        </row>
        <row r="908">
          <cell r="B908" t="str">
            <v>05-032</v>
          </cell>
          <cell r="C908" t="str">
            <v>2.02.03.05</v>
          </cell>
          <cell r="D908">
            <v>41400</v>
          </cell>
          <cell r="E908" t="str">
            <v>SCANDIUZZI CONSULTORIA CONTABIL Ltda.</v>
          </cell>
          <cell r="F908" t="str">
            <v>HONORÁRIOS MENSAIS REF 04/2013</v>
          </cell>
          <cell r="G908" t="str">
            <v>D</v>
          </cell>
          <cell r="H908">
            <v>3732</v>
          </cell>
          <cell r="I908">
            <v>0</v>
          </cell>
          <cell r="J908" t="str">
            <v>X</v>
          </cell>
          <cell r="K908">
            <v>1087945.0000000009</v>
          </cell>
          <cell r="L908">
            <v>1087945.0000000009</v>
          </cell>
          <cell r="M908">
            <v>1701</v>
          </cell>
        </row>
        <row r="909">
          <cell r="B909" t="str">
            <v>04-098</v>
          </cell>
          <cell r="C909" t="str">
            <v>2.01.05.10</v>
          </cell>
          <cell r="D909">
            <v>41400</v>
          </cell>
          <cell r="E909" t="str">
            <v>CORPUS SANEAMENTO E OBRAS LTDA</v>
          </cell>
          <cell r="F909" t="str">
            <v xml:space="preserve">COLETA, TRANSPORTES E DESTINAÇÃO FINAL DE RESÍDUOS INDUSTRIAIS </v>
          </cell>
          <cell r="G909" t="str">
            <v>D</v>
          </cell>
          <cell r="H909">
            <v>15786.56</v>
          </cell>
          <cell r="I909">
            <v>0</v>
          </cell>
          <cell r="J909" t="str">
            <v>X</v>
          </cell>
          <cell r="K909">
            <v>1072158.4400000009</v>
          </cell>
          <cell r="L909">
            <v>1072158.4400000009</v>
          </cell>
          <cell r="M909">
            <v>11189</v>
          </cell>
        </row>
        <row r="910">
          <cell r="B910" t="str">
            <v>04-077</v>
          </cell>
          <cell r="C910" t="str">
            <v>2.01.05.05</v>
          </cell>
          <cell r="D910">
            <v>41400</v>
          </cell>
          <cell r="E910" t="str">
            <v>ACQUALAB LABORATÓRIO E CONSULTORIA AMBIENTAL S/S LTDA</v>
          </cell>
          <cell r="F910" t="str">
            <v>Serviços de Analise e Serv Tecnico de Amostragem e Transporte de Amostras</v>
          </cell>
          <cell r="G910" t="str">
            <v>D</v>
          </cell>
          <cell r="H910">
            <v>1176.0899999999999</v>
          </cell>
          <cell r="I910">
            <v>0</v>
          </cell>
          <cell r="J910" t="str">
            <v>X</v>
          </cell>
          <cell r="K910">
            <v>1070982.3500000008</v>
          </cell>
          <cell r="L910">
            <v>1070982.3500000008</v>
          </cell>
          <cell r="M910">
            <v>2535</v>
          </cell>
        </row>
        <row r="911">
          <cell r="B911" t="str">
            <v>05-006</v>
          </cell>
          <cell r="C911" t="str">
            <v>2.02.02.04</v>
          </cell>
          <cell r="D911">
            <v>41400</v>
          </cell>
          <cell r="E911" t="str">
            <v>TELEFONICA TELECOMUNICAÇÕES DE SÃO PAULO S.A/ VIVO</v>
          </cell>
          <cell r="F911" t="str">
            <v>CONTA DE TELEFONE 4021-5766 REF 04/2013</v>
          </cell>
          <cell r="G911" t="str">
            <v>D</v>
          </cell>
          <cell r="H911">
            <v>911.81</v>
          </cell>
          <cell r="I911">
            <v>0</v>
          </cell>
          <cell r="J911" t="str">
            <v>X</v>
          </cell>
          <cell r="K911">
            <v>1070070.5400000007</v>
          </cell>
          <cell r="L911">
            <v>1070070.5400000007</v>
          </cell>
          <cell r="M911">
            <v>0</v>
          </cell>
        </row>
        <row r="912">
          <cell r="B912" t="str">
            <v>04-144</v>
          </cell>
          <cell r="C912" t="str">
            <v>2.07.01.03</v>
          </cell>
          <cell r="D912">
            <v>41400</v>
          </cell>
          <cell r="E912" t="str">
            <v>SOLUTION UNITED TECNOLOGIA Ltda.</v>
          </cell>
          <cell r="F912" t="str">
            <v>SERVIÇO DE MANUTENÇÃO DE COLETORES DE DADOS</v>
          </cell>
          <cell r="G912" t="str">
            <v>D</v>
          </cell>
          <cell r="H912">
            <v>694.88</v>
          </cell>
          <cell r="I912">
            <v>0</v>
          </cell>
          <cell r="J912" t="str">
            <v>X</v>
          </cell>
          <cell r="K912">
            <v>1069375.6600000008</v>
          </cell>
          <cell r="L912">
            <v>1069375.6600000008</v>
          </cell>
          <cell r="M912">
            <v>353</v>
          </cell>
        </row>
        <row r="913">
          <cell r="B913" t="str">
            <v>04-122</v>
          </cell>
          <cell r="C913" t="str">
            <v>2.01.03.09</v>
          </cell>
          <cell r="D913">
            <v>41400</v>
          </cell>
          <cell r="E913" t="str">
            <v>COMPANHIA PIRATININGA DE FORÇA E LUZ - CPFL</v>
          </cell>
          <cell r="F913" t="str">
            <v>CONTA DE ENERGIA ELEV GUARAÚ 02 REF 04/2013</v>
          </cell>
          <cell r="G913" t="str">
            <v>D</v>
          </cell>
          <cell r="H913">
            <v>605.47</v>
          </cell>
          <cell r="I913">
            <v>0</v>
          </cell>
          <cell r="J913" t="str">
            <v>X</v>
          </cell>
          <cell r="K913">
            <v>1068770.1900000009</v>
          </cell>
          <cell r="L913">
            <v>1068770.1900000009</v>
          </cell>
          <cell r="M913">
            <v>0</v>
          </cell>
        </row>
        <row r="914">
          <cell r="B914" t="str">
            <v>05-007</v>
          </cell>
          <cell r="C914" t="str">
            <v>2.02.02.04</v>
          </cell>
          <cell r="D914">
            <v>41400</v>
          </cell>
          <cell r="E914" t="str">
            <v>TELEFONICA TELECOMUNICAÇÕES DE SÃO PAULO S.A/ VIVO</v>
          </cell>
          <cell r="F914" t="str">
            <v>CONTA DE TELEFONE 4029-3700 REF 04/2013</v>
          </cell>
          <cell r="G914" t="str">
            <v>D</v>
          </cell>
          <cell r="H914">
            <v>227.26</v>
          </cell>
          <cell r="I914">
            <v>0</v>
          </cell>
          <cell r="J914" t="str">
            <v>X</v>
          </cell>
          <cell r="K914">
            <v>1068542.9300000009</v>
          </cell>
          <cell r="L914">
            <v>1068542.9300000009</v>
          </cell>
          <cell r="M914">
            <v>0</v>
          </cell>
        </row>
        <row r="915">
          <cell r="B915" t="str">
            <v>05-034</v>
          </cell>
          <cell r="C915" t="str">
            <v>2.02.03.19</v>
          </cell>
          <cell r="D915">
            <v>41400</v>
          </cell>
          <cell r="E915" t="str">
            <v>GALGRIN GROUP LTDA - CORPO PERFEITO</v>
          </cell>
          <cell r="F915" t="str">
            <v>PATROCÍNIO GILBERTO - SUPLEMENTO</v>
          </cell>
          <cell r="G915" t="str">
            <v>D</v>
          </cell>
          <cell r="H915">
            <v>196.22</v>
          </cell>
          <cell r="I915">
            <v>0</v>
          </cell>
          <cell r="J915" t="str">
            <v>X</v>
          </cell>
          <cell r="K915">
            <v>1068346.7100000009</v>
          </cell>
          <cell r="L915">
            <v>1068346.7100000009</v>
          </cell>
          <cell r="M915">
            <v>66757283</v>
          </cell>
        </row>
        <row r="916">
          <cell r="B916" t="str">
            <v>04-121</v>
          </cell>
          <cell r="C916" t="str">
            <v>2.01.03.09</v>
          </cell>
          <cell r="D916">
            <v>41400</v>
          </cell>
          <cell r="E916" t="str">
            <v>COMPANHIA PIRATININGA DE FORÇA E LUZ - CPFL</v>
          </cell>
          <cell r="F916" t="str">
            <v>CONTA DE ENERGIA ELEV 02 REF 04/2013</v>
          </cell>
          <cell r="G916" t="str">
            <v>D</v>
          </cell>
          <cell r="H916">
            <v>133.03</v>
          </cell>
          <cell r="I916">
            <v>0</v>
          </cell>
          <cell r="J916" t="str">
            <v>X</v>
          </cell>
          <cell r="K916">
            <v>1068213.6800000009</v>
          </cell>
          <cell r="L916">
            <v>1068213.6800000009</v>
          </cell>
          <cell r="M916">
            <v>0</v>
          </cell>
        </row>
        <row r="917">
          <cell r="B917" t="str">
            <v>05-008</v>
          </cell>
          <cell r="C917" t="str">
            <v>2.02.02.04</v>
          </cell>
          <cell r="D917">
            <v>41400</v>
          </cell>
          <cell r="E917" t="str">
            <v>TELEFONICA TELECOMUNICAÇÕES DE SÃO PAULO S.A/ VIVO</v>
          </cell>
          <cell r="F917" t="str">
            <v>CONTA DE TELEFONE 4029-2688 REF 04/2013</v>
          </cell>
          <cell r="G917" t="str">
            <v>D</v>
          </cell>
          <cell r="H917">
            <v>11.38</v>
          </cell>
          <cell r="I917">
            <v>0</v>
          </cell>
          <cell r="J917" t="str">
            <v>X</v>
          </cell>
          <cell r="K917">
            <v>1068202.300000001</v>
          </cell>
          <cell r="L917">
            <v>1068202.300000001</v>
          </cell>
          <cell r="M917">
            <v>0</v>
          </cell>
        </row>
        <row r="918">
          <cell r="B918" t="str">
            <v>05-009</v>
          </cell>
          <cell r="C918" t="str">
            <v>2.02.02.04</v>
          </cell>
          <cell r="D918">
            <v>41400</v>
          </cell>
          <cell r="E918" t="str">
            <v>TELEFONICA TELECOMUNICAÇÕES DE SÃO PAULO S.A/ VIVO</v>
          </cell>
          <cell r="F918" t="str">
            <v>CONTA DE TELEFONE 4029-3932 REF 04/2013</v>
          </cell>
          <cell r="G918" t="str">
            <v>D</v>
          </cell>
          <cell r="H918">
            <v>11.38</v>
          </cell>
          <cell r="I918">
            <v>0</v>
          </cell>
          <cell r="J918" t="str">
            <v>X</v>
          </cell>
          <cell r="K918">
            <v>1068190.9200000011</v>
          </cell>
          <cell r="L918">
            <v>1068190.9200000011</v>
          </cell>
          <cell r="M918">
            <v>0</v>
          </cell>
        </row>
        <row r="919">
          <cell r="B919" t="str">
            <v>05-024</v>
          </cell>
          <cell r="C919" t="str">
            <v>2.01.01.06</v>
          </cell>
          <cell r="D919">
            <v>41400</v>
          </cell>
          <cell r="E919" t="str">
            <v xml:space="preserve">RESTAURANTE SUINDARA </v>
          </cell>
          <cell r="F919" t="str">
            <v xml:space="preserve">FORNECIMENTO DE MARMITEX PARA ETE </v>
          </cell>
          <cell r="G919" t="str">
            <v>D</v>
          </cell>
          <cell r="H919">
            <v>2464</v>
          </cell>
          <cell r="I919">
            <v>0</v>
          </cell>
          <cell r="J919" t="str">
            <v>X</v>
          </cell>
          <cell r="K919">
            <v>1065726.9200000011</v>
          </cell>
          <cell r="L919">
            <v>1065726.9200000011</v>
          </cell>
          <cell r="M919">
            <v>4982</v>
          </cell>
        </row>
        <row r="920">
          <cell r="B920" t="str">
            <v>05-033/1</v>
          </cell>
          <cell r="C920" t="str">
            <v>2.02.01.01</v>
          </cell>
          <cell r="D920">
            <v>41400</v>
          </cell>
          <cell r="E920" t="str">
            <v>NAEDSON LUIZ DE SOUZA</v>
          </cell>
          <cell r="F920" t="str">
            <v>PAGAMENTO DE SÁLARIOS REF 04/2013</v>
          </cell>
          <cell r="G920" t="str">
            <v>D</v>
          </cell>
          <cell r="H920">
            <v>1711</v>
          </cell>
          <cell r="I920">
            <v>0</v>
          </cell>
          <cell r="J920" t="str">
            <v>X</v>
          </cell>
          <cell r="K920">
            <v>1064015.9200000011</v>
          </cell>
          <cell r="L920">
            <v>1064015.9200000011</v>
          </cell>
          <cell r="M920">
            <v>0</v>
          </cell>
        </row>
        <row r="921">
          <cell r="B921" t="str">
            <v>05-033/2</v>
          </cell>
          <cell r="C921" t="str">
            <v>2.02.01.01</v>
          </cell>
          <cell r="D921">
            <v>41400</v>
          </cell>
          <cell r="E921" t="str">
            <v>ALOISIO BORIN</v>
          </cell>
          <cell r="F921" t="str">
            <v>PAGAMENTO DE SÁLARIOS REF 04/2013</v>
          </cell>
          <cell r="G921" t="str">
            <v>D</v>
          </cell>
          <cell r="H921">
            <v>229</v>
          </cell>
          <cell r="I921">
            <v>0</v>
          </cell>
          <cell r="J921" t="str">
            <v>X</v>
          </cell>
          <cell r="K921">
            <v>1063786.9200000011</v>
          </cell>
          <cell r="L921">
            <v>1063786.9200000011</v>
          </cell>
          <cell r="M921">
            <v>0</v>
          </cell>
        </row>
        <row r="922">
          <cell r="B922" t="str">
            <v>05-033/3</v>
          </cell>
          <cell r="C922" t="str">
            <v>2.02.01.01</v>
          </cell>
          <cell r="D922">
            <v>41400</v>
          </cell>
          <cell r="E922" t="str">
            <v>CLEBER C DA SILVA</v>
          </cell>
          <cell r="F922" t="str">
            <v>PAGAMENTO DE SÁLARIOS REF 04/2013</v>
          </cell>
          <cell r="G922" t="str">
            <v>D</v>
          </cell>
          <cell r="H922">
            <v>1412</v>
          </cell>
          <cell r="I922">
            <v>0</v>
          </cell>
          <cell r="J922" t="str">
            <v>X</v>
          </cell>
          <cell r="K922">
            <v>1062374.9200000011</v>
          </cell>
          <cell r="L922">
            <v>1062374.9200000011</v>
          </cell>
          <cell r="M922">
            <v>0</v>
          </cell>
        </row>
        <row r="923">
          <cell r="B923" t="str">
            <v>05-033/4</v>
          </cell>
          <cell r="C923" t="str">
            <v>2.02.01.01</v>
          </cell>
          <cell r="D923">
            <v>41400</v>
          </cell>
          <cell r="E923" t="str">
            <v>ERICA AP DA SILVA DE MORAES</v>
          </cell>
          <cell r="F923" t="str">
            <v>PAGAMENTO DE SÁLARIOS REF 04/2013</v>
          </cell>
          <cell r="G923" t="str">
            <v>D</v>
          </cell>
          <cell r="H923">
            <v>685</v>
          </cell>
          <cell r="I923">
            <v>0</v>
          </cell>
          <cell r="J923" t="str">
            <v>X</v>
          </cell>
          <cell r="K923">
            <v>1061689.9200000011</v>
          </cell>
          <cell r="L923">
            <v>1061689.9200000011</v>
          </cell>
          <cell r="M923">
            <v>0</v>
          </cell>
        </row>
        <row r="924">
          <cell r="B924" t="str">
            <v>05-033/5</v>
          </cell>
          <cell r="C924" t="str">
            <v>2.02.01.01</v>
          </cell>
          <cell r="D924">
            <v>41400</v>
          </cell>
          <cell r="E924" t="str">
            <v>ELIZANGELA REGINA P DIAS</v>
          </cell>
          <cell r="F924" t="str">
            <v>PAGAMENTO DE SÁLARIOS REF 04/2013</v>
          </cell>
          <cell r="G924" t="str">
            <v>D</v>
          </cell>
          <cell r="H924">
            <v>2172</v>
          </cell>
          <cell r="I924">
            <v>0</v>
          </cell>
          <cell r="J924" t="str">
            <v>X</v>
          </cell>
          <cell r="K924">
            <v>1059517.9200000011</v>
          </cell>
          <cell r="L924">
            <v>1059517.9200000011</v>
          </cell>
          <cell r="M924">
            <v>0</v>
          </cell>
        </row>
        <row r="925">
          <cell r="B925" t="str">
            <v>05-033/6</v>
          </cell>
          <cell r="C925" t="str">
            <v>2.02.01.01</v>
          </cell>
          <cell r="D925">
            <v>41400</v>
          </cell>
          <cell r="E925" t="str">
            <v>RODRIGO BUENO</v>
          </cell>
          <cell r="F925" t="str">
            <v>PAGAMENTO DE SÁLARIOS REF 04/2013</v>
          </cell>
          <cell r="G925" t="str">
            <v>D</v>
          </cell>
          <cell r="H925">
            <v>2220</v>
          </cell>
          <cell r="I925">
            <v>0</v>
          </cell>
          <cell r="J925" t="str">
            <v>X</v>
          </cell>
          <cell r="K925">
            <v>1057297.9200000011</v>
          </cell>
          <cell r="L925">
            <v>1057297.9200000011</v>
          </cell>
          <cell r="M925">
            <v>0</v>
          </cell>
        </row>
        <row r="926">
          <cell r="B926" t="str">
            <v>05-033/7</v>
          </cell>
          <cell r="C926" t="str">
            <v>2.02.01.01</v>
          </cell>
          <cell r="D926">
            <v>41400</v>
          </cell>
          <cell r="E926" t="str">
            <v>MARIANA CASTELLINI</v>
          </cell>
          <cell r="F926" t="str">
            <v>PAGAMENTO DE SÁLARIOS REF 04/2013</v>
          </cell>
          <cell r="G926" t="str">
            <v>D</v>
          </cell>
          <cell r="H926">
            <v>800</v>
          </cell>
          <cell r="I926">
            <v>0</v>
          </cell>
          <cell r="J926" t="str">
            <v>X</v>
          </cell>
          <cell r="K926">
            <v>1056497.9200000011</v>
          </cell>
          <cell r="L926">
            <v>1056497.9200000011</v>
          </cell>
          <cell r="M926">
            <v>0</v>
          </cell>
        </row>
        <row r="927">
          <cell r="B927" t="str">
            <v>05-033/8</v>
          </cell>
          <cell r="C927" t="str">
            <v>2.02.01.01</v>
          </cell>
          <cell r="D927">
            <v>41400</v>
          </cell>
          <cell r="E927" t="str">
            <v>JANAÍNA SILVA SOUZA</v>
          </cell>
          <cell r="F927" t="str">
            <v>PAGAMENTO DE SÁLARIOS REF 04/2013</v>
          </cell>
          <cell r="G927" t="str">
            <v>D</v>
          </cell>
          <cell r="H927">
            <v>477</v>
          </cell>
          <cell r="I927">
            <v>0</v>
          </cell>
          <cell r="J927" t="str">
            <v>X</v>
          </cell>
          <cell r="K927">
            <v>1056020.9200000011</v>
          </cell>
          <cell r="L927">
            <v>1056020.9200000011</v>
          </cell>
          <cell r="M927">
            <v>0</v>
          </cell>
        </row>
        <row r="928">
          <cell r="B928" t="str">
            <v>05-033/9</v>
          </cell>
          <cell r="C928" t="str">
            <v>2.02.01.01</v>
          </cell>
          <cell r="D928">
            <v>41400</v>
          </cell>
          <cell r="E928" t="str">
            <v>MARIANA CRISTINA GESSOLI</v>
          </cell>
          <cell r="F928" t="str">
            <v>PAGAMENTO DE SÁLARIOS REF 04/2013</v>
          </cell>
          <cell r="G928" t="str">
            <v>D</v>
          </cell>
          <cell r="H928">
            <v>493</v>
          </cell>
          <cell r="I928">
            <v>0</v>
          </cell>
          <cell r="J928" t="str">
            <v>X</v>
          </cell>
          <cell r="K928">
            <v>1055527.9200000011</v>
          </cell>
          <cell r="L928">
            <v>1055527.9200000011</v>
          </cell>
          <cell r="M928">
            <v>0</v>
          </cell>
        </row>
        <row r="929">
          <cell r="B929" t="str">
            <v>05-033/10</v>
          </cell>
          <cell r="C929" t="str">
            <v>2.01.01.01</v>
          </cell>
          <cell r="D929">
            <v>41400</v>
          </cell>
          <cell r="E929" t="str">
            <v>JULIO CÉSAR DA S OLIVEIRA</v>
          </cell>
          <cell r="F929" t="str">
            <v>PAGAMENTO DE SÁLARIOS REF 04/2013</v>
          </cell>
          <cell r="G929" t="str">
            <v>D</v>
          </cell>
          <cell r="H929">
            <v>466</v>
          </cell>
          <cell r="I929">
            <v>0</v>
          </cell>
          <cell r="J929" t="str">
            <v>X</v>
          </cell>
          <cell r="K929">
            <v>1055061.9200000011</v>
          </cell>
          <cell r="L929">
            <v>1055061.9200000011</v>
          </cell>
          <cell r="M929">
            <v>0</v>
          </cell>
        </row>
        <row r="930">
          <cell r="B930" t="str">
            <v>05-033/11</v>
          </cell>
          <cell r="C930" t="str">
            <v>2.01.01.01</v>
          </cell>
          <cell r="D930">
            <v>41400</v>
          </cell>
          <cell r="E930" t="str">
            <v>GILBERTO SILVA ROQUE</v>
          </cell>
          <cell r="F930" t="str">
            <v>PAGAMENTO DE SÁLARIOS REF 04/2013</v>
          </cell>
          <cell r="G930" t="str">
            <v>D</v>
          </cell>
          <cell r="H930">
            <v>624</v>
          </cell>
          <cell r="I930">
            <v>0</v>
          </cell>
          <cell r="J930" t="str">
            <v>X</v>
          </cell>
          <cell r="K930">
            <v>1054437.9200000011</v>
          </cell>
          <cell r="L930">
            <v>1054437.9200000011</v>
          </cell>
          <cell r="M930">
            <v>0</v>
          </cell>
        </row>
        <row r="931">
          <cell r="B931" t="str">
            <v>05-033/12</v>
          </cell>
          <cell r="C931" t="str">
            <v>2.01.01.01</v>
          </cell>
          <cell r="D931">
            <v>41400</v>
          </cell>
          <cell r="E931" t="str">
            <v>WEVERTON EUGÊNIO PEREIRA</v>
          </cell>
          <cell r="F931" t="str">
            <v>PAGAMENTO DE SÁLARIOS REF 04/2013</v>
          </cell>
          <cell r="G931" t="str">
            <v>D</v>
          </cell>
          <cell r="H931">
            <v>608</v>
          </cell>
          <cell r="I931">
            <v>0</v>
          </cell>
          <cell r="J931" t="str">
            <v>X</v>
          </cell>
          <cell r="K931">
            <v>1053829.9200000011</v>
          </cell>
          <cell r="L931">
            <v>1053829.9200000011</v>
          </cell>
          <cell r="M931">
            <v>0</v>
          </cell>
        </row>
        <row r="932">
          <cell r="B932" t="str">
            <v>05-033/13</v>
          </cell>
          <cell r="C932" t="str">
            <v>2.01.01.01</v>
          </cell>
          <cell r="D932">
            <v>41400</v>
          </cell>
          <cell r="E932" t="str">
            <v>LUCAS AMARAL</v>
          </cell>
          <cell r="F932" t="str">
            <v>PAGAMENTO DE SÁLARIOS REF 04/2013</v>
          </cell>
          <cell r="G932" t="str">
            <v>D</v>
          </cell>
          <cell r="H932">
            <v>492</v>
          </cell>
          <cell r="I932">
            <v>0</v>
          </cell>
          <cell r="J932" t="str">
            <v>X</v>
          </cell>
          <cell r="K932">
            <v>1053337.9200000011</v>
          </cell>
          <cell r="L932">
            <v>1053337.9200000011</v>
          </cell>
          <cell r="M932">
            <v>0</v>
          </cell>
        </row>
        <row r="933">
          <cell r="B933" t="str">
            <v>05-033/14</v>
          </cell>
          <cell r="C933" t="str">
            <v>2.01.01.01</v>
          </cell>
          <cell r="D933">
            <v>41400</v>
          </cell>
          <cell r="E933" t="str">
            <v>MÁRCIO OSTIANO DE SOUZA</v>
          </cell>
          <cell r="F933" t="str">
            <v>PAGAMENTO DE SÁLARIOS REF 04/2013</v>
          </cell>
          <cell r="G933" t="str">
            <v>D</v>
          </cell>
          <cell r="H933">
            <v>527</v>
          </cell>
          <cell r="I933">
            <v>0</v>
          </cell>
          <cell r="J933" t="str">
            <v>X</v>
          </cell>
          <cell r="K933">
            <v>1052810.9200000011</v>
          </cell>
          <cell r="L933">
            <v>1052810.9200000011</v>
          </cell>
          <cell r="M933">
            <v>0</v>
          </cell>
        </row>
        <row r="934">
          <cell r="B934" t="str">
            <v>05-033/15</v>
          </cell>
          <cell r="C934" t="str">
            <v>2.01.01.01</v>
          </cell>
          <cell r="D934">
            <v>41400</v>
          </cell>
          <cell r="E934" t="str">
            <v>ANDRÉ SIMÕES</v>
          </cell>
          <cell r="F934" t="str">
            <v>PAGAMENTO DE SÁLARIOS REF 04/2013</v>
          </cell>
          <cell r="G934" t="str">
            <v>D</v>
          </cell>
          <cell r="H934">
            <v>449</v>
          </cell>
          <cell r="I934">
            <v>0</v>
          </cell>
          <cell r="J934" t="str">
            <v>X</v>
          </cell>
          <cell r="K934">
            <v>1052361.9200000011</v>
          </cell>
          <cell r="L934">
            <v>1052361.9200000011</v>
          </cell>
          <cell r="M934">
            <v>0</v>
          </cell>
        </row>
        <row r="935">
          <cell r="B935" t="str">
            <v>05-033/16</v>
          </cell>
          <cell r="C935" t="str">
            <v>2.01.01.01</v>
          </cell>
          <cell r="D935">
            <v>41400</v>
          </cell>
          <cell r="E935" t="str">
            <v>ANTONIO JOSÉ D DA SILVA JR</v>
          </cell>
          <cell r="F935" t="str">
            <v>PAGAMENTO DE SÁLARIOS REF 04/2013</v>
          </cell>
          <cell r="G935" t="str">
            <v>D</v>
          </cell>
          <cell r="H935">
            <v>527</v>
          </cell>
          <cell r="I935">
            <v>0</v>
          </cell>
          <cell r="J935" t="str">
            <v>X</v>
          </cell>
          <cell r="K935">
            <v>1051834.9200000011</v>
          </cell>
          <cell r="L935">
            <v>1051834.9200000011</v>
          </cell>
          <cell r="M935">
            <v>0</v>
          </cell>
        </row>
        <row r="936">
          <cell r="B936" t="str">
            <v>05-033/17</v>
          </cell>
          <cell r="C936" t="str">
            <v>2.01.01.01</v>
          </cell>
          <cell r="D936">
            <v>41400</v>
          </cell>
          <cell r="E936" t="str">
            <v xml:space="preserve">DANILO ALVES DOS SANTOS </v>
          </cell>
          <cell r="F936" t="str">
            <v>PAGAMENTO DE SÁLARIOS REF 04/2013</v>
          </cell>
          <cell r="G936" t="str">
            <v>D</v>
          </cell>
          <cell r="H936">
            <v>836</v>
          </cell>
          <cell r="I936">
            <v>0</v>
          </cell>
          <cell r="J936" t="str">
            <v>X</v>
          </cell>
          <cell r="K936">
            <v>1050998.9200000011</v>
          </cell>
          <cell r="L936">
            <v>1050998.9200000011</v>
          </cell>
          <cell r="M936">
            <v>0</v>
          </cell>
        </row>
        <row r="937">
          <cell r="B937" t="str">
            <v>05-033/18</v>
          </cell>
          <cell r="C937" t="str">
            <v>2.01.01.01</v>
          </cell>
          <cell r="D937">
            <v>41400</v>
          </cell>
          <cell r="E937" t="str">
            <v>CLEITON MARTINS</v>
          </cell>
          <cell r="F937" t="str">
            <v>PAGAMENTO DE SÁLARIOS REF 04/2013</v>
          </cell>
          <cell r="G937" t="str">
            <v>D</v>
          </cell>
          <cell r="H937">
            <v>605</v>
          </cell>
          <cell r="I937">
            <v>0</v>
          </cell>
          <cell r="J937" t="str">
            <v>X</v>
          </cell>
          <cell r="K937">
            <v>1050393.9200000011</v>
          </cell>
          <cell r="L937">
            <v>1050393.9200000011</v>
          </cell>
          <cell r="M937">
            <v>0</v>
          </cell>
        </row>
        <row r="938">
          <cell r="B938" t="str">
            <v>05-033/19</v>
          </cell>
          <cell r="C938" t="str">
            <v>2.01.01.01</v>
          </cell>
          <cell r="D938">
            <v>41400</v>
          </cell>
          <cell r="E938" t="str">
            <v>EMERSON BEDIN</v>
          </cell>
          <cell r="F938" t="str">
            <v>PAGAMENTO DE SÁLARIOS REF 04/2013</v>
          </cell>
          <cell r="G938" t="str">
            <v>D</v>
          </cell>
          <cell r="H938">
            <v>786</v>
          </cell>
          <cell r="I938">
            <v>0</v>
          </cell>
          <cell r="J938" t="str">
            <v>X</v>
          </cell>
          <cell r="K938">
            <v>1049607.9200000011</v>
          </cell>
          <cell r="L938">
            <v>1049607.9200000011</v>
          </cell>
          <cell r="M938">
            <v>0</v>
          </cell>
        </row>
        <row r="939">
          <cell r="B939" t="str">
            <v>05-033/20</v>
          </cell>
          <cell r="C939" t="str">
            <v>2.01.01.01</v>
          </cell>
          <cell r="D939">
            <v>41400</v>
          </cell>
          <cell r="E939" t="str">
            <v>THIAGO RIBEIRO</v>
          </cell>
          <cell r="F939" t="str">
            <v>PAGAMENTO DE SÁLARIOS REF 04/2013</v>
          </cell>
          <cell r="G939" t="str">
            <v>D</v>
          </cell>
          <cell r="H939">
            <v>1062</v>
          </cell>
          <cell r="I939">
            <v>0</v>
          </cell>
          <cell r="J939" t="str">
            <v>X</v>
          </cell>
          <cell r="K939">
            <v>1048545.9200000011</v>
          </cell>
          <cell r="L939">
            <v>1048545.9200000011</v>
          </cell>
          <cell r="M939">
            <v>0</v>
          </cell>
        </row>
        <row r="940">
          <cell r="B940" t="str">
            <v>05-033/21</v>
          </cell>
          <cell r="C940" t="str">
            <v>2.01.01.01</v>
          </cell>
          <cell r="D940">
            <v>41400</v>
          </cell>
          <cell r="E940" t="str">
            <v>ALBERTINO M DA SILVA</v>
          </cell>
          <cell r="F940" t="str">
            <v>PAGAMENTO DE SÁLARIOS REF 04/2013</v>
          </cell>
          <cell r="G940" t="str">
            <v>D</v>
          </cell>
          <cell r="H940">
            <v>875</v>
          </cell>
          <cell r="I940">
            <v>0</v>
          </cell>
          <cell r="J940" t="str">
            <v>X</v>
          </cell>
          <cell r="K940">
            <v>1047670.9200000011</v>
          </cell>
          <cell r="L940">
            <v>1047670.9200000011</v>
          </cell>
          <cell r="M940">
            <v>0</v>
          </cell>
        </row>
        <row r="941">
          <cell r="B941" t="str">
            <v>05-033/22</v>
          </cell>
          <cell r="C941" t="str">
            <v>2.01.01.01</v>
          </cell>
          <cell r="D941">
            <v>41400</v>
          </cell>
          <cell r="E941" t="str">
            <v>SANDRO PAGGI DE SOUSA</v>
          </cell>
          <cell r="F941" t="str">
            <v>PAGAMENTO DE SÁLARIOS REF 04/2013</v>
          </cell>
          <cell r="G941" t="str">
            <v>D</v>
          </cell>
          <cell r="H941">
            <v>779</v>
          </cell>
          <cell r="I941">
            <v>0</v>
          </cell>
          <cell r="J941" t="str">
            <v>X</v>
          </cell>
          <cell r="K941">
            <v>1046891.9200000011</v>
          </cell>
          <cell r="L941">
            <v>1046891.9200000011</v>
          </cell>
          <cell r="M941">
            <v>0</v>
          </cell>
        </row>
        <row r="942">
          <cell r="B942" t="str">
            <v>05-033/23</v>
          </cell>
          <cell r="C942" t="str">
            <v>2.01.01.01</v>
          </cell>
          <cell r="D942">
            <v>41400</v>
          </cell>
          <cell r="E942" t="str">
            <v>ALEXANDRO JESUS DE ARAUJO</v>
          </cell>
          <cell r="F942" t="str">
            <v>PAGAMENTO DE SÁLARIOS REF 04/2013</v>
          </cell>
          <cell r="G942" t="str">
            <v>D</v>
          </cell>
          <cell r="H942">
            <v>1559</v>
          </cell>
          <cell r="I942">
            <v>0</v>
          </cell>
          <cell r="J942" t="str">
            <v>X</v>
          </cell>
          <cell r="K942">
            <v>1045332.9200000011</v>
          </cell>
          <cell r="L942">
            <v>1045332.9200000011</v>
          </cell>
          <cell r="M942">
            <v>0</v>
          </cell>
        </row>
        <row r="943">
          <cell r="B943" t="str">
            <v>05-033/24</v>
          </cell>
          <cell r="C943" t="str">
            <v>2.01.01.01</v>
          </cell>
          <cell r="D943">
            <v>41400</v>
          </cell>
          <cell r="E943" t="str">
            <v>ALEXANDRE DE C ALVES</v>
          </cell>
          <cell r="F943" t="str">
            <v>PAGAMENTO DE SÁLARIOS REF 04/2013</v>
          </cell>
          <cell r="G943" t="str">
            <v>D</v>
          </cell>
          <cell r="H943">
            <v>722</v>
          </cell>
          <cell r="I943">
            <v>0</v>
          </cell>
          <cell r="J943" t="str">
            <v>X</v>
          </cell>
          <cell r="K943">
            <v>1044610.9200000011</v>
          </cell>
          <cell r="L943">
            <v>1044610.9200000011</v>
          </cell>
          <cell r="M943">
            <v>0</v>
          </cell>
        </row>
        <row r="944">
          <cell r="B944" t="str">
            <v>05-033/25</v>
          </cell>
          <cell r="C944" t="str">
            <v>2.01.01.01</v>
          </cell>
          <cell r="D944">
            <v>41400</v>
          </cell>
          <cell r="E944" t="str">
            <v xml:space="preserve">MARCELO DOS SANTOS </v>
          </cell>
          <cell r="F944" t="str">
            <v>PAGAMENTO DE SÁLARIOS REF 04/2013</v>
          </cell>
          <cell r="G944" t="str">
            <v>D</v>
          </cell>
          <cell r="H944">
            <v>727</v>
          </cell>
          <cell r="I944">
            <v>0</v>
          </cell>
          <cell r="J944" t="str">
            <v>X</v>
          </cell>
          <cell r="K944">
            <v>1043883.9200000011</v>
          </cell>
          <cell r="L944">
            <v>1043883.9200000011</v>
          </cell>
          <cell r="M944">
            <v>0</v>
          </cell>
        </row>
        <row r="945">
          <cell r="B945" t="str">
            <v>05-033/26</v>
          </cell>
          <cell r="C945" t="str">
            <v>2.01.01.01</v>
          </cell>
          <cell r="D945">
            <v>41400</v>
          </cell>
          <cell r="E945" t="str">
            <v>WILSON DE SOUZA</v>
          </cell>
          <cell r="F945" t="str">
            <v>PAGAMENTO DE SÁLARIOS REF 04/2013</v>
          </cell>
          <cell r="G945" t="str">
            <v>D</v>
          </cell>
          <cell r="H945">
            <v>727</v>
          </cell>
          <cell r="I945">
            <v>0</v>
          </cell>
          <cell r="J945" t="str">
            <v>X</v>
          </cell>
          <cell r="K945">
            <v>1043156.9200000011</v>
          </cell>
          <cell r="L945">
            <v>1043156.9200000011</v>
          </cell>
          <cell r="M945">
            <v>0</v>
          </cell>
        </row>
        <row r="946">
          <cell r="B946" t="str">
            <v>05-033/27</v>
          </cell>
          <cell r="C946" t="str">
            <v>2.01.01.01</v>
          </cell>
          <cell r="D946">
            <v>41400</v>
          </cell>
          <cell r="E946" t="str">
            <v xml:space="preserve">PLÍNIO DOS SANTOS </v>
          </cell>
          <cell r="F946" t="str">
            <v>PAGAMENTO DE SÁLARIOS REF 04/2013</v>
          </cell>
          <cell r="G946" t="str">
            <v>D</v>
          </cell>
          <cell r="H946">
            <v>666</v>
          </cell>
          <cell r="I946">
            <v>0</v>
          </cell>
          <cell r="J946" t="str">
            <v>X</v>
          </cell>
          <cell r="K946">
            <v>1042490.9200000011</v>
          </cell>
          <cell r="L946">
            <v>1042490.9200000011</v>
          </cell>
          <cell r="M946">
            <v>0</v>
          </cell>
        </row>
        <row r="947">
          <cell r="B947" t="str">
            <v>05-033/28</v>
          </cell>
          <cell r="C947" t="str">
            <v>2.01.01.01</v>
          </cell>
          <cell r="D947">
            <v>41400</v>
          </cell>
          <cell r="E947" t="str">
            <v>ROBERTO DIAS</v>
          </cell>
          <cell r="F947" t="str">
            <v>PAGAMENTO DE SÁLARIOS REF 04/2013</v>
          </cell>
          <cell r="G947" t="str">
            <v>D</v>
          </cell>
          <cell r="H947">
            <v>608</v>
          </cell>
          <cell r="I947">
            <v>0</v>
          </cell>
          <cell r="J947" t="str">
            <v>X</v>
          </cell>
          <cell r="K947">
            <v>1041882.9200000011</v>
          </cell>
          <cell r="L947">
            <v>1041882.9200000011</v>
          </cell>
          <cell r="M947">
            <v>0</v>
          </cell>
        </row>
        <row r="948">
          <cell r="B948" t="str">
            <v>05-033/29</v>
          </cell>
          <cell r="C948" t="str">
            <v>2.01.01.01</v>
          </cell>
          <cell r="D948">
            <v>41400</v>
          </cell>
          <cell r="E948" t="str">
            <v xml:space="preserve">ARMANDO IGNÁCIO TORRÃO </v>
          </cell>
          <cell r="F948" t="str">
            <v>PAGAMENTO DE SÁLARIOS REF 04/2013</v>
          </cell>
          <cell r="G948" t="str">
            <v>D</v>
          </cell>
          <cell r="H948">
            <v>550</v>
          </cell>
          <cell r="I948">
            <v>0</v>
          </cell>
          <cell r="J948" t="str">
            <v>X</v>
          </cell>
          <cell r="K948">
            <v>1041332.9200000011</v>
          </cell>
          <cell r="L948">
            <v>1041332.9200000011</v>
          </cell>
          <cell r="M948">
            <v>0</v>
          </cell>
        </row>
        <row r="949">
          <cell r="B949" t="str">
            <v>05-033/30</v>
          </cell>
          <cell r="C949" t="str">
            <v>2.02.01.08</v>
          </cell>
          <cell r="D949">
            <v>41400</v>
          </cell>
          <cell r="E949" t="str">
            <v>PAULO ANDRÉ GIL BOSCHIERO</v>
          </cell>
          <cell r="F949" t="str">
            <v>PAGAMENTO DE SÁLARIOS REF 04/2013</v>
          </cell>
          <cell r="G949" t="str">
            <v>D</v>
          </cell>
          <cell r="H949">
            <v>9557.64</v>
          </cell>
          <cell r="I949">
            <v>0</v>
          </cell>
          <cell r="J949" t="str">
            <v>X</v>
          </cell>
          <cell r="K949">
            <v>1031775.2800000011</v>
          </cell>
          <cell r="L949">
            <v>1031775.2800000011</v>
          </cell>
          <cell r="M949">
            <v>0</v>
          </cell>
        </row>
        <row r="950">
          <cell r="B950" t="str">
            <v>05-033/31</v>
          </cell>
          <cell r="C950" t="str">
            <v>2.02.01.08</v>
          </cell>
          <cell r="D950">
            <v>41400</v>
          </cell>
          <cell r="E950" t="str">
            <v>RICARDO KASSARDJIAN</v>
          </cell>
          <cell r="F950" t="str">
            <v>PAGAMENTO DE SÁLARIOS REF 04/2013</v>
          </cell>
          <cell r="G950" t="str">
            <v>D</v>
          </cell>
          <cell r="H950">
            <v>11516.33</v>
          </cell>
          <cell r="I950">
            <v>0</v>
          </cell>
          <cell r="J950" t="str">
            <v>X</v>
          </cell>
          <cell r="K950">
            <v>1020258.9500000011</v>
          </cell>
          <cell r="L950">
            <v>1020258.9500000011</v>
          </cell>
          <cell r="M950">
            <v>0</v>
          </cell>
        </row>
        <row r="951">
          <cell r="B951" t="str">
            <v>05-033/32</v>
          </cell>
          <cell r="C951" t="str">
            <v>2.02.01.08</v>
          </cell>
          <cell r="D951">
            <v>41400</v>
          </cell>
          <cell r="E951" t="str">
            <v>PEDRO P BERGAMASCHI</v>
          </cell>
          <cell r="F951" t="str">
            <v>PAGAMENTO DE SÁLARIOS REF 04/2013</v>
          </cell>
          <cell r="G951" t="str">
            <v>D</v>
          </cell>
          <cell r="H951">
            <v>2568.81</v>
          </cell>
          <cell r="I951">
            <v>0</v>
          </cell>
          <cell r="J951" t="str">
            <v>X</v>
          </cell>
          <cell r="K951">
            <v>1017690.1400000011</v>
          </cell>
          <cell r="L951">
            <v>1017690.1400000011</v>
          </cell>
          <cell r="M951">
            <v>0</v>
          </cell>
        </row>
        <row r="952">
          <cell r="B952" t="str">
            <v>05-033/33</v>
          </cell>
          <cell r="C952" t="str">
            <v>2.02.01.08</v>
          </cell>
          <cell r="D952">
            <v>41400</v>
          </cell>
          <cell r="E952" t="str">
            <v>JOÃO MAURO BOSCHIERO</v>
          </cell>
          <cell r="F952" t="str">
            <v>PAGAMENTO DE SÁLARIOS REF 04/2013</v>
          </cell>
          <cell r="G952" t="str">
            <v>D</v>
          </cell>
          <cell r="H952">
            <v>2361.94</v>
          </cell>
          <cell r="I952">
            <v>0</v>
          </cell>
          <cell r="J952" t="str">
            <v>X</v>
          </cell>
          <cell r="K952">
            <v>1015328.2000000011</v>
          </cell>
          <cell r="L952">
            <v>1015328.2000000011</v>
          </cell>
          <cell r="M952">
            <v>0</v>
          </cell>
        </row>
        <row r="953">
          <cell r="B953" t="str">
            <v>RE05-004</v>
          </cell>
          <cell r="C953" t="str">
            <v>1.01.01.01</v>
          </cell>
          <cell r="D953">
            <v>41401</v>
          </cell>
          <cell r="E953" t="str">
            <v xml:space="preserve">BANCO ITAÚ </v>
          </cell>
          <cell r="F953" t="str">
            <v xml:space="preserve">RENDIMENTO DE APLICAÇÃO </v>
          </cell>
          <cell r="G953" t="str">
            <v>C</v>
          </cell>
          <cell r="H953">
            <v>0</v>
          </cell>
          <cell r="I953">
            <v>14.06</v>
          </cell>
          <cell r="J953" t="str">
            <v>X</v>
          </cell>
          <cell r="K953">
            <v>1015342.2600000012</v>
          </cell>
          <cell r="L953">
            <v>1015342.2600000012</v>
          </cell>
          <cell r="M953">
            <v>0</v>
          </cell>
        </row>
        <row r="954">
          <cell r="B954" t="str">
            <v>05-057</v>
          </cell>
          <cell r="C954" t="str">
            <v>2.06.03.01</v>
          </cell>
          <cell r="D954">
            <v>41401</v>
          </cell>
          <cell r="E954" t="str">
            <v>PLANNER TRUSTEE DTVM LTDA</v>
          </cell>
          <cell r="F954" t="str">
            <v xml:space="preserve">DEPOSITO REF RATEIO </v>
          </cell>
          <cell r="G954" t="str">
            <v>D</v>
          </cell>
          <cell r="H954">
            <v>241.84</v>
          </cell>
          <cell r="I954">
            <v>0</v>
          </cell>
          <cell r="J954" t="str">
            <v>X</v>
          </cell>
          <cell r="K954">
            <v>1015100.4200000012</v>
          </cell>
          <cell r="L954">
            <v>1015100.4200000012</v>
          </cell>
          <cell r="M954">
            <v>0</v>
          </cell>
        </row>
        <row r="955">
          <cell r="B955" t="str">
            <v>05-053</v>
          </cell>
          <cell r="C955" t="str">
            <v>2.01.01.09</v>
          </cell>
          <cell r="D955">
            <v>41401</v>
          </cell>
          <cell r="E955" t="str">
            <v>FGTS SANESALTO</v>
          </cell>
          <cell r="F955" t="str">
            <v>FUNDO DE GARANTIA POR TEMPO DE SERVIÇO REF 04/2013</v>
          </cell>
          <cell r="G955" t="str">
            <v>D</v>
          </cell>
          <cell r="H955">
            <v>3819</v>
          </cell>
          <cell r="I955">
            <v>0</v>
          </cell>
          <cell r="J955" t="str">
            <v>X</v>
          </cell>
          <cell r="K955">
            <v>1011281.4200000012</v>
          </cell>
          <cell r="L955">
            <v>1011281.4200000012</v>
          </cell>
          <cell r="M955">
            <v>0</v>
          </cell>
        </row>
        <row r="956">
          <cell r="B956" t="str">
            <v>05-058</v>
          </cell>
          <cell r="C956" t="str">
            <v>2.02.03.04</v>
          </cell>
          <cell r="D956">
            <v>41401</v>
          </cell>
          <cell r="E956" t="str">
            <v xml:space="preserve">J.SANTOS TREINAMENTO </v>
          </cell>
          <cell r="F956" t="str">
            <v>PRESTAÇÃO DE SERVIÇOS REF 04/2013</v>
          </cell>
          <cell r="G956" t="str">
            <v>D</v>
          </cell>
          <cell r="H956">
            <v>4639.4799999999996</v>
          </cell>
          <cell r="I956">
            <v>0</v>
          </cell>
          <cell r="J956" t="str">
            <v>X</v>
          </cell>
          <cell r="K956">
            <v>1006641.9400000012</v>
          </cell>
          <cell r="L956">
            <v>1006641.9400000012</v>
          </cell>
          <cell r="M956">
            <v>18</v>
          </cell>
        </row>
        <row r="957">
          <cell r="B957" t="str">
            <v>04-079</v>
          </cell>
          <cell r="C957" t="str">
            <v>2.01.03.08</v>
          </cell>
          <cell r="D957">
            <v>41401</v>
          </cell>
          <cell r="E957" t="str">
            <v>NHEEL QUIMICA</v>
          </cell>
          <cell r="F957" t="str">
            <v>COMPRA DE KEMIRA OCC-220</v>
          </cell>
          <cell r="G957" t="str">
            <v>D</v>
          </cell>
          <cell r="H957">
            <v>4544.8</v>
          </cell>
          <cell r="I957">
            <v>0</v>
          </cell>
          <cell r="J957" t="str">
            <v>X</v>
          </cell>
          <cell r="K957">
            <v>1002097.1400000012</v>
          </cell>
          <cell r="L957">
            <v>1002097.1400000012</v>
          </cell>
          <cell r="M957">
            <v>33222</v>
          </cell>
        </row>
        <row r="958">
          <cell r="B958" t="str">
            <v>RE05-005</v>
          </cell>
          <cell r="C958" t="str">
            <v>1.01.01.01</v>
          </cell>
          <cell r="D958">
            <v>41402</v>
          </cell>
          <cell r="E958" t="str">
            <v>SANETRAT SANEAMENTO S/A</v>
          </cell>
          <cell r="F958" t="str">
            <v>TRATAMENTO DE ESGOTO REF 02/2013</v>
          </cell>
          <cell r="G958" t="str">
            <v>C</v>
          </cell>
          <cell r="H958">
            <v>0</v>
          </cell>
          <cell r="I958">
            <v>10379.77</v>
          </cell>
          <cell r="J958" t="str">
            <v>X</v>
          </cell>
          <cell r="K958">
            <v>1012476.9100000012</v>
          </cell>
          <cell r="L958">
            <v>1012476.9100000012</v>
          </cell>
          <cell r="M958">
            <v>0</v>
          </cell>
        </row>
        <row r="959">
          <cell r="B959" t="str">
            <v>RE05-006</v>
          </cell>
          <cell r="C959" t="str">
            <v>1.01.01.01</v>
          </cell>
          <cell r="D959">
            <v>41402</v>
          </cell>
          <cell r="E959" t="str">
            <v xml:space="preserve">BANCO ITAÚ </v>
          </cell>
          <cell r="F959" t="str">
            <v xml:space="preserve">RENDIMENTO DE APLICAÇÃO </v>
          </cell>
          <cell r="G959" t="str">
            <v>C</v>
          </cell>
          <cell r="H959">
            <v>0</v>
          </cell>
          <cell r="I959">
            <v>4.42</v>
          </cell>
          <cell r="J959" t="str">
            <v>X</v>
          </cell>
          <cell r="K959">
            <v>1012481.3300000012</v>
          </cell>
          <cell r="L959">
            <v>1012481.3300000012</v>
          </cell>
          <cell r="M959">
            <v>0</v>
          </cell>
        </row>
        <row r="960">
          <cell r="B960" t="str">
            <v>05-066</v>
          </cell>
          <cell r="C960" t="str">
            <v>2.09.01.01</v>
          </cell>
          <cell r="D960">
            <v>41402</v>
          </cell>
          <cell r="E960" t="str">
            <v>SANESALTO SANEAMENTO S.A</v>
          </cell>
          <cell r="F960" t="str">
            <v>PAGAMENTO DE CHEQUE (CAIXA INTERNO) 102815</v>
          </cell>
          <cell r="G960" t="str">
            <v>D</v>
          </cell>
          <cell r="H960">
            <v>4000</v>
          </cell>
          <cell r="I960">
            <v>0</v>
          </cell>
          <cell r="J960" t="str">
            <v>X</v>
          </cell>
          <cell r="K960">
            <v>1008481.3300000012</v>
          </cell>
          <cell r="L960">
            <v>1008481.3300000012</v>
          </cell>
          <cell r="M960">
            <v>0</v>
          </cell>
        </row>
        <row r="961">
          <cell r="B961" t="str">
            <v>05-067</v>
          </cell>
          <cell r="C961" t="str">
            <v>2.02.03.21</v>
          </cell>
          <cell r="D961">
            <v>41403</v>
          </cell>
          <cell r="E961" t="str">
            <v>JONAS SANTOS</v>
          </cell>
          <cell r="F961" t="str">
            <v>DESPESAS DE VIAGEM</v>
          </cell>
          <cell r="G961" t="str">
            <v>D</v>
          </cell>
          <cell r="H961">
            <v>28</v>
          </cell>
          <cell r="I961">
            <v>0</v>
          </cell>
          <cell r="J961" t="str">
            <v>X</v>
          </cell>
          <cell r="K961">
            <v>1008453.3300000012</v>
          </cell>
          <cell r="L961">
            <v>1008453.3300000012</v>
          </cell>
          <cell r="M961">
            <v>0</v>
          </cell>
        </row>
        <row r="962">
          <cell r="B962" t="str">
            <v>05-059</v>
          </cell>
          <cell r="C962" t="str">
            <v>2.02.01.11</v>
          </cell>
          <cell r="D962">
            <v>41403</v>
          </cell>
          <cell r="E962" t="str">
            <v>TIAGO HENRIQUE DE OLIVEIRA</v>
          </cell>
          <cell r="F962" t="str">
            <v xml:space="preserve">MULTA RESCISÃO TRABALHISTA </v>
          </cell>
          <cell r="G962" t="str">
            <v>D</v>
          </cell>
          <cell r="H962">
            <v>1012.79</v>
          </cell>
          <cell r="I962">
            <v>0</v>
          </cell>
          <cell r="J962" t="str">
            <v>X</v>
          </cell>
          <cell r="K962">
            <v>1007440.5400000012</v>
          </cell>
          <cell r="L962">
            <v>1007440.5400000012</v>
          </cell>
          <cell r="M962">
            <v>0</v>
          </cell>
        </row>
        <row r="963">
          <cell r="B963" t="str">
            <v>RE05-007</v>
          </cell>
          <cell r="C963" t="str">
            <v>1.01.01.01</v>
          </cell>
          <cell r="D963">
            <v>41404</v>
          </cell>
          <cell r="E963" t="str">
            <v xml:space="preserve">BANCO ITAÚ </v>
          </cell>
          <cell r="F963" t="str">
            <v xml:space="preserve">RENDIMENTO DE APLICAÇÃO </v>
          </cell>
          <cell r="G963" t="str">
            <v>C</v>
          </cell>
          <cell r="H963">
            <v>0</v>
          </cell>
          <cell r="I963">
            <v>26.01</v>
          </cell>
          <cell r="J963" t="str">
            <v>X</v>
          </cell>
          <cell r="K963">
            <v>1007466.5500000012</v>
          </cell>
          <cell r="L963">
            <v>1007466.5500000012</v>
          </cell>
          <cell r="M963">
            <v>0</v>
          </cell>
        </row>
        <row r="964">
          <cell r="B964" t="str">
            <v>05-068</v>
          </cell>
          <cell r="C964" t="str">
            <v>2.02.03.23</v>
          </cell>
          <cell r="D964">
            <v>41404</v>
          </cell>
          <cell r="E964" t="str">
            <v xml:space="preserve">4 TABELIÃO DE NOTAS DA CAPITAL </v>
          </cell>
          <cell r="F964" t="str">
            <v>DESPESAS COM SERVIÇOS DE CARTÓRIO SP</v>
          </cell>
          <cell r="G964" t="str">
            <v>D</v>
          </cell>
          <cell r="H964">
            <v>25</v>
          </cell>
          <cell r="I964">
            <v>0</v>
          </cell>
          <cell r="J964" t="str">
            <v>X</v>
          </cell>
          <cell r="K964">
            <v>1007441.5500000012</v>
          </cell>
          <cell r="L964">
            <v>1007441.5500000012</v>
          </cell>
          <cell r="M964">
            <v>0</v>
          </cell>
        </row>
        <row r="965">
          <cell r="B965" t="str">
            <v>05-069</v>
          </cell>
          <cell r="C965" t="str">
            <v>2.02.02.04</v>
          </cell>
          <cell r="D965">
            <v>41404</v>
          </cell>
          <cell r="E965" t="str">
            <v xml:space="preserve">LOCAWEB SERV INTERNET S/A </v>
          </cell>
          <cell r="F965" t="str">
            <v>LOCAÇÃO DE WEB SITE</v>
          </cell>
          <cell r="G965" t="str">
            <v>D</v>
          </cell>
          <cell r="H965">
            <v>40</v>
          </cell>
          <cell r="I965">
            <v>0</v>
          </cell>
          <cell r="J965" t="str">
            <v>X</v>
          </cell>
          <cell r="K965">
            <v>1007401.5500000012</v>
          </cell>
          <cell r="L965">
            <v>1007401.5500000012</v>
          </cell>
          <cell r="M965">
            <v>0</v>
          </cell>
        </row>
        <row r="966">
          <cell r="B966" t="str">
            <v>05-019</v>
          </cell>
          <cell r="C966" t="str">
            <v>2.01.03.17</v>
          </cell>
          <cell r="D966">
            <v>41404</v>
          </cell>
          <cell r="E966" t="str">
            <v>SANESALTO SANEAMENTO S.A</v>
          </cell>
          <cell r="F966" t="str">
            <v>CONTA DE ÁGUA ELEV BURU 01 REF 04/2013</v>
          </cell>
          <cell r="G966" t="str">
            <v>D</v>
          </cell>
          <cell r="H966">
            <v>17.93</v>
          </cell>
          <cell r="I966">
            <v>0</v>
          </cell>
          <cell r="J966" t="str">
            <v>X</v>
          </cell>
          <cell r="K966">
            <v>1007383.6200000012</v>
          </cell>
          <cell r="L966">
            <v>1007383.6200000012</v>
          </cell>
          <cell r="M966">
            <v>0</v>
          </cell>
        </row>
        <row r="967">
          <cell r="B967" t="str">
            <v>05-018</v>
          </cell>
          <cell r="C967" t="str">
            <v>2.01.03.17</v>
          </cell>
          <cell r="D967">
            <v>41404</v>
          </cell>
          <cell r="E967" t="str">
            <v>SANESALTO SANEAMENTO S.A</v>
          </cell>
          <cell r="F967" t="str">
            <v>CONTA DE ÁGUA ELEV BURU 02 REF 04/2013</v>
          </cell>
          <cell r="G967" t="str">
            <v>D</v>
          </cell>
          <cell r="H967">
            <v>17.93</v>
          </cell>
          <cell r="I967">
            <v>0</v>
          </cell>
          <cell r="J967" t="str">
            <v>X</v>
          </cell>
          <cell r="K967">
            <v>1007365.6900000011</v>
          </cell>
          <cell r="L967">
            <v>1007365.6900000011</v>
          </cell>
          <cell r="M967">
            <v>0</v>
          </cell>
        </row>
        <row r="968">
          <cell r="B968" t="str">
            <v>05-015</v>
          </cell>
          <cell r="C968" t="str">
            <v>2.01.03.17</v>
          </cell>
          <cell r="D968">
            <v>41404</v>
          </cell>
          <cell r="E968" t="str">
            <v>SANESALTO SANEAMENTO S.A</v>
          </cell>
          <cell r="F968" t="str">
            <v>CONTA DE ÁGUA ELEV FINAL REF 04/2013</v>
          </cell>
          <cell r="G968" t="str">
            <v>D</v>
          </cell>
          <cell r="H968">
            <v>22.36</v>
          </cell>
          <cell r="I968">
            <v>0</v>
          </cell>
          <cell r="J968" t="str">
            <v>X</v>
          </cell>
          <cell r="K968">
            <v>1007343.3300000011</v>
          </cell>
          <cell r="L968">
            <v>1007343.3300000011</v>
          </cell>
          <cell r="M968">
            <v>0</v>
          </cell>
        </row>
        <row r="969">
          <cell r="B969" t="str">
            <v>05-014</v>
          </cell>
          <cell r="C969" t="str">
            <v>2.01.03.17</v>
          </cell>
          <cell r="D969">
            <v>41404</v>
          </cell>
          <cell r="E969" t="str">
            <v>SANESALTO SANEAMENTO S.A</v>
          </cell>
          <cell r="F969" t="str">
            <v>CONTA DE ÁGUA ELEV 03 REF 04/2013</v>
          </cell>
          <cell r="G969" t="str">
            <v>D</v>
          </cell>
          <cell r="H969">
            <v>24.87</v>
          </cell>
          <cell r="I969">
            <v>0</v>
          </cell>
          <cell r="J969" t="str">
            <v>X</v>
          </cell>
          <cell r="K969">
            <v>1007318.4600000011</v>
          </cell>
          <cell r="L969">
            <v>1007318.4600000011</v>
          </cell>
          <cell r="M969">
            <v>0</v>
          </cell>
        </row>
        <row r="970">
          <cell r="B970" t="str">
            <v>05-017</v>
          </cell>
          <cell r="C970" t="str">
            <v>2.01.03.17</v>
          </cell>
          <cell r="D970">
            <v>41404</v>
          </cell>
          <cell r="E970" t="str">
            <v>SANESALTO SANEAMENTO S.A</v>
          </cell>
          <cell r="F970" t="str">
            <v>CONTA DE ÁGUA ELEV GUARAÚ 02 REF 04/2013</v>
          </cell>
          <cell r="G970" t="str">
            <v>D</v>
          </cell>
          <cell r="H970">
            <v>33.69</v>
          </cell>
          <cell r="I970">
            <v>0</v>
          </cell>
          <cell r="J970" t="str">
            <v>X</v>
          </cell>
          <cell r="K970">
            <v>1007284.7700000012</v>
          </cell>
          <cell r="L970">
            <v>1007284.7700000012</v>
          </cell>
          <cell r="M970">
            <v>0</v>
          </cell>
        </row>
        <row r="971">
          <cell r="B971" t="str">
            <v>05-016</v>
          </cell>
          <cell r="C971" t="str">
            <v>2.01.03.17</v>
          </cell>
          <cell r="D971">
            <v>41404</v>
          </cell>
          <cell r="E971" t="str">
            <v>SANESALTO SANEAMENTO S.A</v>
          </cell>
          <cell r="F971" t="str">
            <v>CONTA DE ÁGUA ELEV GUARAÚ 01 REF 04/2013</v>
          </cell>
          <cell r="G971" t="str">
            <v>D</v>
          </cell>
          <cell r="H971">
            <v>33.69</v>
          </cell>
          <cell r="I971">
            <v>0</v>
          </cell>
          <cell r="J971" t="str">
            <v>X</v>
          </cell>
          <cell r="K971">
            <v>1007251.0800000012</v>
          </cell>
          <cell r="L971">
            <v>1007251.0800000012</v>
          </cell>
          <cell r="M971">
            <v>0</v>
          </cell>
        </row>
        <row r="972">
          <cell r="B972" t="str">
            <v>04-059</v>
          </cell>
          <cell r="C972" t="str">
            <v>2.01.03.17</v>
          </cell>
          <cell r="D972">
            <v>41404</v>
          </cell>
          <cell r="E972" t="str">
            <v>SANESALTO SANEAMENTO S.A</v>
          </cell>
          <cell r="F972" t="str">
            <v>CONTA DE ÁGUA ESCRITORIO REF 04/2013</v>
          </cell>
          <cell r="G972" t="str">
            <v>D</v>
          </cell>
          <cell r="H972">
            <v>37.270000000000003</v>
          </cell>
          <cell r="I972">
            <v>0</v>
          </cell>
          <cell r="J972" t="str">
            <v>X</v>
          </cell>
          <cell r="K972">
            <v>1007213.8100000012</v>
          </cell>
          <cell r="L972">
            <v>1007213.8100000012</v>
          </cell>
          <cell r="M972">
            <v>0</v>
          </cell>
        </row>
        <row r="973">
          <cell r="B973" t="str">
            <v>04-124</v>
          </cell>
          <cell r="C973" t="str">
            <v>2.01.05.02</v>
          </cell>
          <cell r="D973">
            <v>41404</v>
          </cell>
          <cell r="E973" t="str">
            <v>CARLOS ALBERTO PROGIANTI ME</v>
          </cell>
          <cell r="F973" t="str">
            <v>ASSISTÊNCIA TÉCNICA REF A LEITURA DE DADOS</v>
          </cell>
          <cell r="G973" t="str">
            <v>D</v>
          </cell>
          <cell r="H973">
            <v>80.38</v>
          </cell>
          <cell r="I973">
            <v>0</v>
          </cell>
          <cell r="J973" t="str">
            <v>X</v>
          </cell>
          <cell r="K973">
            <v>1007133.4300000012</v>
          </cell>
          <cell r="L973">
            <v>1007133.4300000012</v>
          </cell>
          <cell r="M973">
            <v>37</v>
          </cell>
        </row>
        <row r="974">
          <cell r="B974" t="str">
            <v>04-108/2</v>
          </cell>
          <cell r="C974" t="str">
            <v>2.02.01.13</v>
          </cell>
          <cell r="D974">
            <v>41404</v>
          </cell>
          <cell r="E974" t="str">
            <v>KRAKS ESPORTE - JENILDO CEDRO CAVALCANTI</v>
          </cell>
          <cell r="F974" t="str">
            <v>COMPRA DE UNIFORMES PARA PATROCÍNIO JOGOS DOS TRABALHADORES</v>
          </cell>
          <cell r="G974" t="str">
            <v>D</v>
          </cell>
          <cell r="H974">
            <v>486.4</v>
          </cell>
          <cell r="I974">
            <v>0</v>
          </cell>
          <cell r="J974" t="str">
            <v>X</v>
          </cell>
          <cell r="K974">
            <v>1006647.0300000012</v>
          </cell>
          <cell r="L974">
            <v>1006647.0300000012</v>
          </cell>
          <cell r="M974">
            <v>21</v>
          </cell>
        </row>
        <row r="975">
          <cell r="B975" t="str">
            <v>05-048</v>
          </cell>
          <cell r="C975" t="str">
            <v>2.02.02.04</v>
          </cell>
          <cell r="D975">
            <v>41404</v>
          </cell>
          <cell r="E975" t="str">
            <v>VIVO S/A</v>
          </cell>
          <cell r="F975" t="str">
            <v xml:space="preserve">VIVO INTERNET 500MP </v>
          </cell>
          <cell r="G975" t="str">
            <v>D</v>
          </cell>
          <cell r="H975">
            <v>576.5</v>
          </cell>
          <cell r="I975">
            <v>0</v>
          </cell>
          <cell r="J975" t="str">
            <v>X</v>
          </cell>
          <cell r="K975">
            <v>1006070.5300000012</v>
          </cell>
          <cell r="L975">
            <v>1006070.5300000012</v>
          </cell>
          <cell r="M975">
            <v>2063779473</v>
          </cell>
        </row>
        <row r="976">
          <cell r="B976" t="str">
            <v>05-026</v>
          </cell>
          <cell r="C976" t="str">
            <v>2.02.01.04</v>
          </cell>
          <cell r="D976">
            <v>41404</v>
          </cell>
          <cell r="E976" t="str">
            <v>UNIMED DE SALTO ITU COOP TRAB MÉDICO</v>
          </cell>
          <cell r="F976" t="str">
            <v>CONVÊNIO DOS FUNIONÁRIOS 05/2013</v>
          </cell>
          <cell r="G976" t="str">
            <v>D</v>
          </cell>
          <cell r="H976">
            <v>6949.28</v>
          </cell>
          <cell r="I976">
            <v>0</v>
          </cell>
          <cell r="J976" t="str">
            <v>X</v>
          </cell>
          <cell r="K976">
            <v>999121.25000000116</v>
          </cell>
          <cell r="L976">
            <v>999121.25000000116</v>
          </cell>
          <cell r="M976" t="str">
            <v>30001240/13</v>
          </cell>
        </row>
        <row r="977">
          <cell r="B977" t="str">
            <v>04-074/3</v>
          </cell>
          <cell r="C977" t="str">
            <v>2.01.05.11</v>
          </cell>
          <cell r="D977">
            <v>41404</v>
          </cell>
          <cell r="E977" t="str">
            <v>VT COMÉRCIO DE MOTORES ELÉTRICOS E ACIONAMENTOS Ltda.</v>
          </cell>
          <cell r="F977" t="str">
            <v>TROCA DE CABO EM BOMBA</v>
          </cell>
          <cell r="G977" t="str">
            <v>D</v>
          </cell>
          <cell r="H977">
            <v>1350</v>
          </cell>
          <cell r="I977">
            <v>0</v>
          </cell>
          <cell r="J977" t="str">
            <v>X</v>
          </cell>
          <cell r="K977">
            <v>997771.25000000116</v>
          </cell>
          <cell r="L977">
            <v>997771.25000000116</v>
          </cell>
          <cell r="M977">
            <v>209</v>
          </cell>
        </row>
        <row r="978">
          <cell r="B978" t="str">
            <v>12-088/5</v>
          </cell>
          <cell r="C978" t="str">
            <v>2.07.01.04</v>
          </cell>
          <cell r="D978">
            <v>41404</v>
          </cell>
          <cell r="E978" t="str">
            <v>SOLUTION UNITED TECNOLOGIA Ltda.</v>
          </cell>
          <cell r="F978" t="str">
            <v>COMPRA DE COLETOR DE DADOS E EMPRESSORA</v>
          </cell>
          <cell r="G978" t="str">
            <v>D</v>
          </cell>
          <cell r="H978">
            <v>2901.36</v>
          </cell>
          <cell r="I978">
            <v>0</v>
          </cell>
          <cell r="J978" t="str">
            <v>X</v>
          </cell>
          <cell r="K978">
            <v>994869.89000000118</v>
          </cell>
          <cell r="L978">
            <v>994869.89000000118</v>
          </cell>
          <cell r="M978">
            <v>1402</v>
          </cell>
        </row>
        <row r="979">
          <cell r="B979" t="str">
            <v>11-043/08</v>
          </cell>
          <cell r="C979" t="str">
            <v>2.07.01.04</v>
          </cell>
          <cell r="D979">
            <v>41404</v>
          </cell>
          <cell r="E979" t="str">
            <v>KSB BOMBAS HIDRAULICAS  S/A</v>
          </cell>
          <cell r="F979" t="str">
            <v>REF BOMBA MODELO KRT K150-401/804 UNG</v>
          </cell>
          <cell r="G979" t="str">
            <v>D</v>
          </cell>
          <cell r="H979">
            <v>9780</v>
          </cell>
          <cell r="I979">
            <v>0</v>
          </cell>
          <cell r="J979" t="str">
            <v>X</v>
          </cell>
          <cell r="K979">
            <v>985089.89000000118</v>
          </cell>
          <cell r="L979">
            <v>985089.89000000118</v>
          </cell>
          <cell r="M979">
            <v>2410</v>
          </cell>
        </row>
        <row r="980">
          <cell r="B980" t="str">
            <v>RE05-008</v>
          </cell>
          <cell r="C980" t="str">
            <v>1.01.01.01</v>
          </cell>
          <cell r="D980">
            <v>41407</v>
          </cell>
          <cell r="E980" t="str">
            <v>SANESALTO SANEAMENTO S/A</v>
          </cell>
          <cell r="F980" t="str">
            <v>MEDIÇÃO DE 04 A 10/05/2013</v>
          </cell>
          <cell r="G980" t="str">
            <v>C</v>
          </cell>
          <cell r="H980">
            <v>0</v>
          </cell>
          <cell r="I980">
            <v>333418.05</v>
          </cell>
          <cell r="J980" t="str">
            <v>X</v>
          </cell>
          <cell r="K980">
            <v>1318507.9400000011</v>
          </cell>
          <cell r="L980">
            <v>1318507.9400000011</v>
          </cell>
          <cell r="M980">
            <v>0</v>
          </cell>
        </row>
        <row r="981">
          <cell r="B981" t="str">
            <v>04-113</v>
          </cell>
          <cell r="C981" t="str">
            <v>2.01.05.08</v>
          </cell>
          <cell r="D981">
            <v>41407</v>
          </cell>
          <cell r="E981" t="str">
            <v>GRACIANO FERREIRA S/C Ltda. ME</v>
          </cell>
          <cell r="F981" t="str">
            <v xml:space="preserve">PRESTAÇÃO DE SERVIÇO DE GUINDASTE </v>
          </cell>
          <cell r="G981" t="str">
            <v>D</v>
          </cell>
          <cell r="H981">
            <v>388.84</v>
          </cell>
          <cell r="I981">
            <v>0</v>
          </cell>
          <cell r="J981" t="str">
            <v>X</v>
          </cell>
          <cell r="K981">
            <v>1318119.100000001</v>
          </cell>
          <cell r="L981">
            <v>1318119.100000001</v>
          </cell>
          <cell r="M981">
            <v>245</v>
          </cell>
        </row>
        <row r="982">
          <cell r="B982" t="str">
            <v>05-070</v>
          </cell>
          <cell r="C982" t="str">
            <v>2.01.05.04</v>
          </cell>
          <cell r="D982">
            <v>41407</v>
          </cell>
          <cell r="E982" t="str">
            <v>AGROAMBIENTE CONSL AGRON. E AMBIENTAL</v>
          </cell>
          <cell r="F982" t="str">
            <v xml:space="preserve">RELATÓRIO FOTOGRÁFICO DE PLANTIO </v>
          </cell>
          <cell r="G982" t="str">
            <v>D</v>
          </cell>
          <cell r="H982">
            <v>399</v>
          </cell>
          <cell r="I982">
            <v>0</v>
          </cell>
          <cell r="J982" t="str">
            <v>X</v>
          </cell>
          <cell r="K982">
            <v>1317720.100000001</v>
          </cell>
          <cell r="L982">
            <v>1317720.100000001</v>
          </cell>
          <cell r="M982">
            <v>92</v>
          </cell>
        </row>
        <row r="983">
          <cell r="B983" t="str">
            <v>05-072</v>
          </cell>
          <cell r="C983" t="str">
            <v>2.01.05.04</v>
          </cell>
          <cell r="D983">
            <v>41407</v>
          </cell>
          <cell r="E983" t="str">
            <v>M.D.L. TOLEDO DA PAZ ME</v>
          </cell>
          <cell r="F983" t="str">
            <v>SERVIÇOS DE ROÇAGEM NA ETE</v>
          </cell>
          <cell r="G983" t="str">
            <v>D</v>
          </cell>
          <cell r="H983">
            <v>431.05</v>
          </cell>
          <cell r="I983">
            <v>0</v>
          </cell>
          <cell r="J983" t="str">
            <v>X</v>
          </cell>
          <cell r="K983">
            <v>1317289.050000001</v>
          </cell>
          <cell r="L983">
            <v>1317289.050000001</v>
          </cell>
          <cell r="M983">
            <v>10</v>
          </cell>
        </row>
        <row r="984">
          <cell r="B984" t="str">
            <v>05-071</v>
          </cell>
          <cell r="C984" t="str">
            <v>2.02.03.19</v>
          </cell>
          <cell r="D984">
            <v>41407</v>
          </cell>
          <cell r="E984" t="str">
            <v>GILBERTO SILVA ROQUE</v>
          </cell>
          <cell r="F984" t="str">
            <v>PATROCÍNIO CORRIDA - SUPERINSCRIÇÕES</v>
          </cell>
          <cell r="G984" t="str">
            <v>D</v>
          </cell>
          <cell r="H984">
            <v>84.3</v>
          </cell>
          <cell r="I984">
            <v>0</v>
          </cell>
          <cell r="J984" t="str">
            <v>X</v>
          </cell>
          <cell r="K984">
            <v>1317204.7500000009</v>
          </cell>
          <cell r="L984">
            <v>1317204.7500000009</v>
          </cell>
          <cell r="M984">
            <v>0</v>
          </cell>
        </row>
        <row r="985">
          <cell r="B985" t="str">
            <v>RE05-009</v>
          </cell>
          <cell r="C985" t="str">
            <v>1.01.01.01</v>
          </cell>
          <cell r="D985">
            <v>41409</v>
          </cell>
          <cell r="E985" t="str">
            <v xml:space="preserve">BANCO ITAÚ </v>
          </cell>
          <cell r="F985" t="str">
            <v xml:space="preserve">RENDIMENTO DE APLICAÇÃO </v>
          </cell>
          <cell r="G985" t="str">
            <v>C</v>
          </cell>
          <cell r="H985">
            <v>0</v>
          </cell>
          <cell r="I985">
            <v>117.81</v>
          </cell>
          <cell r="J985" t="str">
            <v>X</v>
          </cell>
          <cell r="K985">
            <v>1317322.560000001</v>
          </cell>
          <cell r="L985">
            <v>1317322.560000001</v>
          </cell>
          <cell r="M985">
            <v>0</v>
          </cell>
        </row>
        <row r="986">
          <cell r="B986" t="str">
            <v>al05-001</v>
          </cell>
          <cell r="C986" t="str">
            <v>2.02.03.14</v>
          </cell>
          <cell r="D986">
            <v>41409</v>
          </cell>
          <cell r="E986" t="str">
            <v>COSTA ROCHA IMOBILIÁRIA</v>
          </cell>
          <cell r="F986" t="str">
            <v>ALUGUEL PRÉDIO SANESALTO</v>
          </cell>
          <cell r="G986" t="str">
            <v>D</v>
          </cell>
          <cell r="H986">
            <v>3608.22</v>
          </cell>
          <cell r="I986">
            <v>0</v>
          </cell>
          <cell r="J986" t="str">
            <v>X</v>
          </cell>
          <cell r="K986">
            <v>1313714.340000001</v>
          </cell>
          <cell r="L986">
            <v>1313714.340000001</v>
          </cell>
          <cell r="M986">
            <v>0</v>
          </cell>
        </row>
        <row r="987">
          <cell r="B987" t="str">
            <v>05-022</v>
          </cell>
          <cell r="C987" t="str">
            <v>2.02.03.20</v>
          </cell>
          <cell r="D987">
            <v>41409</v>
          </cell>
          <cell r="E987" t="str">
            <v>APAE</v>
          </cell>
          <cell r="F987" t="str">
            <v>DOAÇÃO MENSAL</v>
          </cell>
          <cell r="G987" t="str">
            <v>D</v>
          </cell>
          <cell r="H987">
            <v>2500</v>
          </cell>
          <cell r="I987">
            <v>0</v>
          </cell>
          <cell r="J987" t="str">
            <v>X</v>
          </cell>
          <cell r="K987">
            <v>1311214.340000001</v>
          </cell>
          <cell r="L987">
            <v>1311214.340000001</v>
          </cell>
          <cell r="M987">
            <v>0</v>
          </cell>
        </row>
        <row r="988">
          <cell r="B988" t="str">
            <v>04-102/2</v>
          </cell>
          <cell r="C988" t="str">
            <v>2.02.03.22</v>
          </cell>
          <cell r="D988">
            <v>41409</v>
          </cell>
          <cell r="E988" t="str">
            <v>MARÍTIMA SEGUROS S/A</v>
          </cell>
          <cell r="F988" t="str">
            <v xml:space="preserve">SEGURO PRÉDIO SANESALTO </v>
          </cell>
          <cell r="G988" t="str">
            <v>D</v>
          </cell>
          <cell r="H988">
            <v>251.91</v>
          </cell>
          <cell r="I988">
            <v>0</v>
          </cell>
          <cell r="J988" t="str">
            <v>X</v>
          </cell>
          <cell r="K988">
            <v>1310962.4300000011</v>
          </cell>
          <cell r="L988">
            <v>1310962.4300000011</v>
          </cell>
          <cell r="M988">
            <v>0</v>
          </cell>
        </row>
        <row r="989">
          <cell r="B989" t="str">
            <v>05-020</v>
          </cell>
          <cell r="C989" t="str">
            <v>2.09.01.01</v>
          </cell>
          <cell r="D989">
            <v>41409</v>
          </cell>
          <cell r="E989" t="str">
            <v>BANCO BRADESCO</v>
          </cell>
          <cell r="F989" t="str">
            <v>TRANSFERÊNCIA DE VALOR SANESALTO</v>
          </cell>
          <cell r="G989" t="str">
            <v>D</v>
          </cell>
          <cell r="H989">
            <v>2500</v>
          </cell>
          <cell r="I989">
            <v>0</v>
          </cell>
          <cell r="J989" t="str">
            <v>X</v>
          </cell>
          <cell r="K989">
            <v>1308462.4300000011</v>
          </cell>
          <cell r="L989">
            <v>1308462.4300000011</v>
          </cell>
          <cell r="M989">
            <v>0</v>
          </cell>
        </row>
        <row r="990">
          <cell r="B990" t="str">
            <v>05-077</v>
          </cell>
          <cell r="C990" t="str">
            <v>2.02.03.09</v>
          </cell>
          <cell r="D990">
            <v>41409</v>
          </cell>
          <cell r="E990" t="str">
            <v>GRAFSALTO ARTES GRAFICAS SALTO LTDA ME</v>
          </cell>
          <cell r="F990" t="str">
            <v>IMPRESSÃO DE CARTÕES PARA SUPERINTENDENTE</v>
          </cell>
          <cell r="G990" t="str">
            <v>D</v>
          </cell>
          <cell r="H990">
            <v>69.3</v>
          </cell>
          <cell r="I990">
            <v>0</v>
          </cell>
          <cell r="J990" t="str">
            <v>X</v>
          </cell>
          <cell r="K990">
            <v>1308393.1300000011</v>
          </cell>
          <cell r="L990">
            <v>1308393.1300000011</v>
          </cell>
          <cell r="M990" t="str">
            <v>1856/1836</v>
          </cell>
        </row>
        <row r="991">
          <cell r="B991" t="str">
            <v>05-049</v>
          </cell>
          <cell r="C991" t="str">
            <v>2.01.05.14</v>
          </cell>
          <cell r="D991">
            <v>41409</v>
          </cell>
          <cell r="E991" t="str">
            <v>WILSON BENEDITO RIZZI</v>
          </cell>
          <cell r="F991" t="str">
            <v>COMPRA DE CAMINHÃO DE ÁGUA PARA ETE</v>
          </cell>
          <cell r="G991" t="str">
            <v>D</v>
          </cell>
          <cell r="H991">
            <v>220</v>
          </cell>
          <cell r="I991">
            <v>0</v>
          </cell>
          <cell r="J991" t="str">
            <v>X</v>
          </cell>
          <cell r="K991">
            <v>1308173.1300000011</v>
          </cell>
          <cell r="L991">
            <v>1308173.1300000011</v>
          </cell>
          <cell r="M991">
            <v>3798</v>
          </cell>
        </row>
        <row r="992">
          <cell r="B992" t="str">
            <v>04-141</v>
          </cell>
          <cell r="C992" t="str">
            <v>2.01.03.16</v>
          </cell>
          <cell r="D992">
            <v>41409</v>
          </cell>
          <cell r="E992" t="str">
            <v xml:space="preserve">MADEREIRA SALTENSE LTDA </v>
          </cell>
          <cell r="F992" t="str">
            <v>COMPRA DE CAIBRO PARA ETE</v>
          </cell>
          <cell r="G992" t="str">
            <v>D</v>
          </cell>
          <cell r="H992">
            <v>243.92</v>
          </cell>
          <cell r="I992">
            <v>0</v>
          </cell>
          <cell r="J992" t="str">
            <v>X</v>
          </cell>
          <cell r="K992">
            <v>1307929.2100000011</v>
          </cell>
          <cell r="L992">
            <v>1307929.2100000011</v>
          </cell>
          <cell r="M992">
            <v>11485</v>
          </cell>
        </row>
        <row r="993">
          <cell r="B993" t="str">
            <v>05-079</v>
          </cell>
          <cell r="C993" t="str">
            <v>2.02.02.04</v>
          </cell>
          <cell r="D993">
            <v>41409</v>
          </cell>
          <cell r="E993" t="str">
            <v>VIVO S/A</v>
          </cell>
          <cell r="F993" t="str">
            <v>VIVO INTERNET MOVEL 300MB EMPRESA</v>
          </cell>
          <cell r="G993" t="str">
            <v>D</v>
          </cell>
          <cell r="H993">
            <v>259.83</v>
          </cell>
          <cell r="I993">
            <v>0</v>
          </cell>
          <cell r="J993" t="str">
            <v>X</v>
          </cell>
          <cell r="K993">
            <v>1307669.3800000011</v>
          </cell>
          <cell r="L993">
            <v>1307669.3800000011</v>
          </cell>
          <cell r="M993">
            <v>21245095791</v>
          </cell>
        </row>
        <row r="994">
          <cell r="B994" t="str">
            <v>04-143</v>
          </cell>
          <cell r="C994" t="str">
            <v>2.02.02.09</v>
          </cell>
          <cell r="D994">
            <v>41409</v>
          </cell>
          <cell r="E994" t="str">
            <v>DEPÓSITO DE MATERIAL BÁSICO PARA COSNT ADILSON PECHIO LTDA</v>
          </cell>
          <cell r="F994" t="str">
            <v>COMPRA DE MATERIAIS DE CONTRUÇÃO PARA OBRA ETE</v>
          </cell>
          <cell r="G994" t="str">
            <v>D</v>
          </cell>
          <cell r="H994">
            <v>296.26</v>
          </cell>
          <cell r="I994">
            <v>0</v>
          </cell>
          <cell r="J994" t="str">
            <v>X</v>
          </cell>
          <cell r="K994">
            <v>1307373.120000001</v>
          </cell>
          <cell r="L994">
            <v>1307373.120000001</v>
          </cell>
          <cell r="M994">
            <v>336993</v>
          </cell>
        </row>
        <row r="995">
          <cell r="B995" t="str">
            <v>04-125</v>
          </cell>
          <cell r="C995" t="str">
            <v>2.01.05.02</v>
          </cell>
          <cell r="D995">
            <v>41409</v>
          </cell>
          <cell r="E995" t="str">
            <v>CARLOS ALBERTO PROGIANTI ME</v>
          </cell>
          <cell r="F995" t="str">
            <v xml:space="preserve">ASSISTÊNCIA TÉCNICA REFERENTE A MANUTENÇÃO </v>
          </cell>
          <cell r="G995" t="str">
            <v>D</v>
          </cell>
          <cell r="H995">
            <v>306.20999999999998</v>
          </cell>
          <cell r="I995">
            <v>0</v>
          </cell>
          <cell r="J995" t="str">
            <v>X</v>
          </cell>
          <cell r="K995">
            <v>1307066.9100000011</v>
          </cell>
          <cell r="L995">
            <v>1307066.9100000011</v>
          </cell>
          <cell r="M995">
            <v>63</v>
          </cell>
        </row>
        <row r="996">
          <cell r="B996" t="str">
            <v>04-075</v>
          </cell>
          <cell r="C996" t="str">
            <v>2.02.03.09</v>
          </cell>
          <cell r="D996">
            <v>41409</v>
          </cell>
          <cell r="E996" t="str">
            <v>TECNO TONER CARTUCHOS PARA IMPRESSORA</v>
          </cell>
          <cell r="F996" t="str">
            <v>COMPRA DE CARTUCHOS DE TONER PARA ESCRITÓRIO</v>
          </cell>
          <cell r="G996" t="str">
            <v>D</v>
          </cell>
          <cell r="H996">
            <v>875.88</v>
          </cell>
          <cell r="I996">
            <v>0</v>
          </cell>
          <cell r="J996" t="str">
            <v>X</v>
          </cell>
          <cell r="K996">
            <v>1306191.0300000012</v>
          </cell>
          <cell r="L996">
            <v>1306191.0300000012</v>
          </cell>
          <cell r="M996">
            <v>56037</v>
          </cell>
        </row>
        <row r="997">
          <cell r="B997" t="str">
            <v>05-051</v>
          </cell>
          <cell r="C997" t="str">
            <v>2.02.03.17</v>
          </cell>
          <cell r="D997">
            <v>41409</v>
          </cell>
          <cell r="E997" t="str">
            <v>DT EXPRESSO LTDA ME</v>
          </cell>
          <cell r="F997" t="str">
            <v xml:space="preserve">SERVIÇOS DE MOTOBOY </v>
          </cell>
          <cell r="G997" t="str">
            <v>D</v>
          </cell>
          <cell r="H997">
            <v>938.35</v>
          </cell>
          <cell r="I997">
            <v>0</v>
          </cell>
          <cell r="J997" t="str">
            <v>X</v>
          </cell>
          <cell r="K997">
            <v>1305252.6800000011</v>
          </cell>
          <cell r="L997">
            <v>1305252.6800000011</v>
          </cell>
          <cell r="M997">
            <v>116</v>
          </cell>
        </row>
        <row r="998">
          <cell r="B998" t="str">
            <v>05-045/1</v>
          </cell>
          <cell r="C998" t="str">
            <v>2.01.05.11</v>
          </cell>
          <cell r="D998">
            <v>41409</v>
          </cell>
          <cell r="E998" t="str">
            <v>VT COMÉRCIO DE MOTORES ELÉTRICOS E ACIONAMENTOS Ltda.</v>
          </cell>
          <cell r="F998" t="str">
            <v>COMPRA DE ROTOR</v>
          </cell>
          <cell r="G998" t="str">
            <v>D</v>
          </cell>
          <cell r="H998">
            <v>2833.33</v>
          </cell>
          <cell r="I998">
            <v>0</v>
          </cell>
          <cell r="J998" t="str">
            <v>X</v>
          </cell>
          <cell r="K998">
            <v>1302419.350000001</v>
          </cell>
          <cell r="L998">
            <v>1302419.350000001</v>
          </cell>
          <cell r="M998">
            <v>630</v>
          </cell>
        </row>
        <row r="999">
          <cell r="B999" t="str">
            <v>04-096/29</v>
          </cell>
          <cell r="C999" t="str">
            <v>2.07.03.02</v>
          </cell>
          <cell r="D999">
            <v>41409</v>
          </cell>
          <cell r="E999" t="str">
            <v>CONASA COMPANHIA NACIONAL DE SANEAMENTO</v>
          </cell>
          <cell r="F999" t="str">
            <v>Adiantamento à fornecedores (parcela referente ao pagamento de geradores do Sistema Burú)</v>
          </cell>
          <cell r="G999" t="str">
            <v>D</v>
          </cell>
          <cell r="H999">
            <v>3195.67</v>
          </cell>
          <cell r="I999">
            <v>0</v>
          </cell>
          <cell r="J999" t="str">
            <v>X</v>
          </cell>
          <cell r="K999">
            <v>1299223.6800000011</v>
          </cell>
          <cell r="L999">
            <v>1299223.6800000011</v>
          </cell>
          <cell r="M999">
            <v>0</v>
          </cell>
        </row>
        <row r="1000">
          <cell r="B1000" t="str">
            <v>05-025</v>
          </cell>
          <cell r="C1000" t="str">
            <v>2.02.01.13</v>
          </cell>
          <cell r="D1000">
            <v>41409</v>
          </cell>
          <cell r="E1000" t="str">
            <v>TRETTEL E OLIVEIRA COM E CONFECÇÃO DE ROUPAS LTDA</v>
          </cell>
          <cell r="F1000" t="str">
            <v>COMPRA DE UNIFORMES PARA ESCRITÓRIO SANESALTO</v>
          </cell>
          <cell r="G1000" t="str">
            <v>D</v>
          </cell>
          <cell r="H1000">
            <v>3953.5</v>
          </cell>
          <cell r="I1000">
            <v>0</v>
          </cell>
          <cell r="J1000" t="str">
            <v>X</v>
          </cell>
          <cell r="K1000">
            <v>1295270.1800000011</v>
          </cell>
          <cell r="L1000">
            <v>1295270.1800000011</v>
          </cell>
          <cell r="M1000">
            <v>433</v>
          </cell>
        </row>
        <row r="1001">
          <cell r="B1001" t="str">
            <v>05-080</v>
          </cell>
          <cell r="C1001" t="str">
            <v>2.02.03.19</v>
          </cell>
          <cell r="D1001">
            <v>41409</v>
          </cell>
          <cell r="E1001" t="str">
            <v xml:space="preserve">EMPÓRIO DE IDEIAS PROPAGANDA LEGAL </v>
          </cell>
          <cell r="F1001" t="str">
            <v xml:space="preserve">PUBLICAÇÃO DE BALANÇO PATRIMONIAL </v>
          </cell>
          <cell r="G1001" t="str">
            <v>D</v>
          </cell>
          <cell r="H1001">
            <v>71129.7</v>
          </cell>
          <cell r="I1001">
            <v>0</v>
          </cell>
          <cell r="J1001" t="str">
            <v>X</v>
          </cell>
          <cell r="K1001">
            <v>1224140.4800000011</v>
          </cell>
          <cell r="L1001">
            <v>1224140.4800000011</v>
          </cell>
          <cell r="M1001">
            <v>99</v>
          </cell>
        </row>
        <row r="1002">
          <cell r="B1002" t="str">
            <v>05-043</v>
          </cell>
          <cell r="C1002" t="str">
            <v>2.01.03.16</v>
          </cell>
          <cell r="D1002">
            <v>41409</v>
          </cell>
          <cell r="E1002" t="str">
            <v>ELETRO IRMÃOS MATERIAIS ELETRICOS LTDA</v>
          </cell>
          <cell r="F1002" t="str">
            <v>COMPRA DE MATERIAIS ELETRICOS PARA ETE</v>
          </cell>
          <cell r="G1002" t="str">
            <v>D</v>
          </cell>
          <cell r="H1002">
            <v>53.3</v>
          </cell>
          <cell r="I1002">
            <v>0</v>
          </cell>
          <cell r="J1002" t="str">
            <v>X</v>
          </cell>
          <cell r="K1002">
            <v>1224087.1800000011</v>
          </cell>
          <cell r="L1002">
            <v>1224087.1800000011</v>
          </cell>
          <cell r="M1002">
            <v>8813</v>
          </cell>
        </row>
        <row r="1003">
          <cell r="B1003" t="str">
            <v>RE05-010</v>
          </cell>
          <cell r="C1003" t="str">
            <v>1.01.01.01</v>
          </cell>
          <cell r="D1003">
            <v>41410</v>
          </cell>
          <cell r="E1003" t="str">
            <v xml:space="preserve">BANCO ITAÚ </v>
          </cell>
          <cell r="F1003" t="str">
            <v xml:space="preserve">RENDIMENTO DE APLICAÇÃO </v>
          </cell>
          <cell r="G1003" t="str">
            <v>C</v>
          </cell>
          <cell r="H1003">
            <v>0</v>
          </cell>
          <cell r="I1003">
            <v>25.86</v>
          </cell>
          <cell r="J1003" t="str">
            <v>X</v>
          </cell>
          <cell r="K1003">
            <v>1224113.0400000012</v>
          </cell>
          <cell r="L1003">
            <v>1224113.0400000012</v>
          </cell>
          <cell r="M1003">
            <v>0</v>
          </cell>
        </row>
        <row r="1004">
          <cell r="B1004" t="str">
            <v>05-096/1</v>
          </cell>
          <cell r="C1004" t="str">
            <v>2.02.01.01</v>
          </cell>
          <cell r="D1004">
            <v>41410</v>
          </cell>
          <cell r="E1004" t="str">
            <v>NAEDSON LUIZ DE SOUZA</v>
          </cell>
          <cell r="F1004" t="str">
            <v>ADIANTAMENTO DE 40% DO SALÁRIO FOLHA MAIO 2013</v>
          </cell>
          <cell r="G1004" t="str">
            <v>D</v>
          </cell>
          <cell r="H1004">
            <v>1520</v>
          </cell>
          <cell r="I1004">
            <v>0</v>
          </cell>
          <cell r="J1004" t="str">
            <v>X</v>
          </cell>
          <cell r="K1004">
            <v>1222593.0400000012</v>
          </cell>
          <cell r="L1004">
            <v>1222593.0400000012</v>
          </cell>
          <cell r="M1004">
            <v>0</v>
          </cell>
        </row>
        <row r="1005">
          <cell r="B1005" t="str">
            <v>05-096/2</v>
          </cell>
          <cell r="C1005" t="str">
            <v>2.02.01.01</v>
          </cell>
          <cell r="D1005">
            <v>41410</v>
          </cell>
          <cell r="E1005" t="str">
            <v>ALOISIO BORIN</v>
          </cell>
          <cell r="F1005" t="str">
            <v>ADIANTAMENTO DE 40% DO SALÁRIO FOLHA MAIO 2013</v>
          </cell>
          <cell r="G1005" t="str">
            <v>D</v>
          </cell>
          <cell r="H1005">
            <v>651</v>
          </cell>
          <cell r="I1005">
            <v>0</v>
          </cell>
          <cell r="J1005" t="str">
            <v>X</v>
          </cell>
          <cell r="K1005">
            <v>1221942.0400000012</v>
          </cell>
          <cell r="L1005">
            <v>1221942.0400000012</v>
          </cell>
          <cell r="M1005">
            <v>0</v>
          </cell>
        </row>
        <row r="1006">
          <cell r="B1006" t="str">
            <v>05-096/3</v>
          </cell>
          <cell r="C1006" t="str">
            <v>2.02.01.01</v>
          </cell>
          <cell r="D1006">
            <v>41410</v>
          </cell>
          <cell r="E1006" t="str">
            <v>CLEBER C DA SILVA</v>
          </cell>
          <cell r="F1006" t="str">
            <v>ADIANTAMENTO DE 40% DO SALÁRIO FOLHA MAIO 2013</v>
          </cell>
          <cell r="G1006" t="str">
            <v>D</v>
          </cell>
          <cell r="H1006">
            <v>1217</v>
          </cell>
          <cell r="I1006">
            <v>0</v>
          </cell>
          <cell r="J1006" t="str">
            <v>X</v>
          </cell>
          <cell r="K1006">
            <v>1220725.0400000012</v>
          </cell>
          <cell r="L1006">
            <v>1220725.0400000012</v>
          </cell>
          <cell r="M1006">
            <v>0</v>
          </cell>
        </row>
        <row r="1007">
          <cell r="B1007" t="str">
            <v>05-096/4</v>
          </cell>
          <cell r="C1007" t="str">
            <v>2.02.01.01</v>
          </cell>
          <cell r="D1007">
            <v>41410</v>
          </cell>
          <cell r="E1007" t="str">
            <v>ERICA AP DA SILVA DE MORAES</v>
          </cell>
          <cell r="F1007" t="str">
            <v>ADIANTAMENTO DE 40% DO SALÁRIO FOLHA MAIO 2013</v>
          </cell>
          <cell r="G1007" t="str">
            <v>D</v>
          </cell>
          <cell r="H1007">
            <v>217</v>
          </cell>
          <cell r="I1007">
            <v>0</v>
          </cell>
          <cell r="J1007" t="str">
            <v>X</v>
          </cell>
          <cell r="K1007">
            <v>1220508.0400000012</v>
          </cell>
          <cell r="L1007">
            <v>1220508.0400000012</v>
          </cell>
          <cell r="M1007">
            <v>0</v>
          </cell>
        </row>
        <row r="1008">
          <cell r="B1008" t="str">
            <v>05-096/5</v>
          </cell>
          <cell r="C1008" t="str">
            <v>2.02.01.01</v>
          </cell>
          <cell r="D1008">
            <v>41410</v>
          </cell>
          <cell r="E1008" t="str">
            <v>ELIZANGELA REGINA P DIAS</v>
          </cell>
          <cell r="F1008" t="str">
            <v>ADIANTAMENTO DE 40% DO SALÁRIO FOLHA MAIO 2013</v>
          </cell>
          <cell r="G1008" t="str">
            <v>D</v>
          </cell>
          <cell r="H1008">
            <v>2110</v>
          </cell>
          <cell r="I1008">
            <v>0</v>
          </cell>
          <cell r="J1008" t="str">
            <v>X</v>
          </cell>
          <cell r="K1008">
            <v>1218398.0400000012</v>
          </cell>
          <cell r="L1008">
            <v>1218398.0400000012</v>
          </cell>
          <cell r="M1008">
            <v>0</v>
          </cell>
        </row>
        <row r="1009">
          <cell r="B1009" t="str">
            <v>05-096/6</v>
          </cell>
          <cell r="C1009" t="str">
            <v>2.02.01.01</v>
          </cell>
          <cell r="D1009">
            <v>41410</v>
          </cell>
          <cell r="E1009" t="str">
            <v>RODRIGO BUENO</v>
          </cell>
          <cell r="F1009" t="str">
            <v>ADIANTAMENTO DE 40% DO SALÁRIO FOLHA MAIO 2013</v>
          </cell>
          <cell r="G1009" t="str">
            <v>D</v>
          </cell>
          <cell r="H1009">
            <v>2109</v>
          </cell>
          <cell r="I1009">
            <v>0</v>
          </cell>
          <cell r="J1009" t="str">
            <v>X</v>
          </cell>
          <cell r="K1009">
            <v>1216289.0400000012</v>
          </cell>
          <cell r="L1009">
            <v>1216289.0400000012</v>
          </cell>
          <cell r="M1009">
            <v>0</v>
          </cell>
        </row>
        <row r="1010">
          <cell r="B1010" t="str">
            <v>05-096/7</v>
          </cell>
          <cell r="C1010" t="str">
            <v>2.02.01.01</v>
          </cell>
          <cell r="D1010">
            <v>41410</v>
          </cell>
          <cell r="E1010" t="str">
            <v>MARIANA CASTELLINI</v>
          </cell>
          <cell r="F1010" t="str">
            <v>ADIANTAMENTO DE 40% DO SALÁRIO FOLHA MAIO 2013</v>
          </cell>
          <cell r="G1010" t="str">
            <v>D</v>
          </cell>
          <cell r="H1010">
            <v>640</v>
          </cell>
          <cell r="I1010">
            <v>0</v>
          </cell>
          <cell r="J1010" t="str">
            <v>X</v>
          </cell>
          <cell r="K1010">
            <v>1215649.0400000012</v>
          </cell>
          <cell r="L1010">
            <v>1215649.0400000012</v>
          </cell>
          <cell r="M1010">
            <v>0</v>
          </cell>
        </row>
        <row r="1011">
          <cell r="B1011" t="str">
            <v>05-096/8</v>
          </cell>
          <cell r="C1011" t="str">
            <v>2.02.01.01</v>
          </cell>
          <cell r="D1011">
            <v>41410</v>
          </cell>
          <cell r="E1011" t="str">
            <v>JANAÍNA SILVA SOUZA</v>
          </cell>
          <cell r="F1011" t="str">
            <v>ADIANTAMENTO DE 40% DO SALÁRIO FOLHA MAIO 2013</v>
          </cell>
          <cell r="G1011" t="str">
            <v>D</v>
          </cell>
          <cell r="H1011">
            <v>392</v>
          </cell>
          <cell r="I1011">
            <v>0</v>
          </cell>
          <cell r="J1011" t="str">
            <v>X</v>
          </cell>
          <cell r="K1011">
            <v>1215257.0400000012</v>
          </cell>
          <cell r="L1011">
            <v>1215257.0400000012</v>
          </cell>
          <cell r="M1011">
            <v>0</v>
          </cell>
        </row>
        <row r="1012">
          <cell r="B1012" t="str">
            <v>05-096/9</v>
          </cell>
          <cell r="C1012" t="str">
            <v>2.02.01.01</v>
          </cell>
          <cell r="D1012">
            <v>41410</v>
          </cell>
          <cell r="E1012" t="str">
            <v>MARIANA CRISTINA GESSOLI</v>
          </cell>
          <cell r="F1012" t="str">
            <v>ADIANTAMENTO DE 40% DO SALÁRIO FOLHA MAIO 2013</v>
          </cell>
          <cell r="G1012" t="str">
            <v>D</v>
          </cell>
          <cell r="H1012">
            <v>392</v>
          </cell>
          <cell r="I1012">
            <v>0</v>
          </cell>
          <cell r="J1012" t="str">
            <v>X</v>
          </cell>
          <cell r="K1012">
            <v>1214865.0400000012</v>
          </cell>
          <cell r="L1012">
            <v>1214865.0400000012</v>
          </cell>
          <cell r="M1012">
            <v>0</v>
          </cell>
        </row>
        <row r="1013">
          <cell r="B1013" t="str">
            <v>05-096/10</v>
          </cell>
          <cell r="C1013" t="str">
            <v>2.01.01.01</v>
          </cell>
          <cell r="D1013">
            <v>41410</v>
          </cell>
          <cell r="E1013" t="str">
            <v>JULIO CÉSAR DA S OLIVEIRA</v>
          </cell>
          <cell r="F1013" t="str">
            <v>ADIANTAMENTO DE 40% DO SALÁRIO FOLHA MAIO 2013</v>
          </cell>
          <cell r="G1013" t="str">
            <v>D</v>
          </cell>
          <cell r="H1013">
            <v>405</v>
          </cell>
          <cell r="I1013">
            <v>0</v>
          </cell>
          <cell r="J1013" t="str">
            <v>X</v>
          </cell>
          <cell r="K1013">
            <v>1214460.0400000012</v>
          </cell>
          <cell r="L1013">
            <v>1214460.0400000012</v>
          </cell>
          <cell r="M1013">
            <v>0</v>
          </cell>
        </row>
        <row r="1014">
          <cell r="B1014" t="str">
            <v>05-096/11</v>
          </cell>
          <cell r="C1014" t="str">
            <v>2.01.01.01</v>
          </cell>
          <cell r="D1014">
            <v>41410</v>
          </cell>
          <cell r="E1014" t="str">
            <v>GILBERTO SILVA ROQUE</v>
          </cell>
          <cell r="F1014" t="str">
            <v>ADIANTAMENTO DE 40% DO SALÁRIO FOLHA MAIO 2013</v>
          </cell>
          <cell r="G1014" t="str">
            <v>D</v>
          </cell>
          <cell r="H1014">
            <v>480</v>
          </cell>
          <cell r="I1014">
            <v>0</v>
          </cell>
          <cell r="J1014" t="str">
            <v>X</v>
          </cell>
          <cell r="K1014">
            <v>1213980.0400000012</v>
          </cell>
          <cell r="L1014">
            <v>1213980.0400000012</v>
          </cell>
          <cell r="M1014">
            <v>0</v>
          </cell>
        </row>
        <row r="1015">
          <cell r="B1015" t="str">
            <v>05-096/12</v>
          </cell>
          <cell r="C1015" t="str">
            <v>2.01.01.01</v>
          </cell>
          <cell r="D1015">
            <v>41410</v>
          </cell>
          <cell r="E1015" t="str">
            <v>LUCAS AMARAL</v>
          </cell>
          <cell r="F1015" t="str">
            <v>ADIANTAMENTO DE 40% DO SALÁRIO FOLHA MAIO 2013</v>
          </cell>
          <cell r="G1015" t="str">
            <v>D</v>
          </cell>
          <cell r="H1015">
            <v>406</v>
          </cell>
          <cell r="I1015">
            <v>0</v>
          </cell>
          <cell r="J1015" t="str">
            <v>X</v>
          </cell>
          <cell r="K1015">
            <v>1213574.0400000012</v>
          </cell>
          <cell r="L1015">
            <v>1213574.0400000012</v>
          </cell>
          <cell r="M1015">
            <v>0</v>
          </cell>
        </row>
        <row r="1016">
          <cell r="B1016" t="str">
            <v>05-096/13</v>
          </cell>
          <cell r="C1016" t="str">
            <v>2.01.01.01</v>
          </cell>
          <cell r="D1016">
            <v>41410</v>
          </cell>
          <cell r="E1016" t="str">
            <v>MÁRCIO OSTIANO DE SOUZA</v>
          </cell>
          <cell r="F1016" t="str">
            <v>ADIANTAMENTO DE 40% DO SALÁRIO FOLHA MAIO 2013</v>
          </cell>
          <cell r="G1016" t="str">
            <v>D</v>
          </cell>
          <cell r="H1016">
            <v>405</v>
          </cell>
          <cell r="I1016">
            <v>0</v>
          </cell>
          <cell r="J1016" t="str">
            <v>X</v>
          </cell>
          <cell r="K1016">
            <v>1213169.0400000012</v>
          </cell>
          <cell r="L1016">
            <v>1213169.0400000012</v>
          </cell>
          <cell r="M1016">
            <v>0</v>
          </cell>
        </row>
        <row r="1017">
          <cell r="B1017" t="str">
            <v>05-096/14</v>
          </cell>
          <cell r="C1017" t="str">
            <v>2.01.01.01</v>
          </cell>
          <cell r="D1017">
            <v>41410</v>
          </cell>
          <cell r="E1017" t="str">
            <v>ANDRÉ SIMÕES</v>
          </cell>
          <cell r="F1017" t="str">
            <v>ADIANTAMENTO DE 40% DO SALÁRIO FOLHA MAIO 2013</v>
          </cell>
          <cell r="G1017" t="str">
            <v>D</v>
          </cell>
          <cell r="H1017">
            <v>405</v>
          </cell>
          <cell r="I1017">
            <v>0</v>
          </cell>
          <cell r="J1017" t="str">
            <v>X</v>
          </cell>
          <cell r="K1017">
            <v>1212764.0400000012</v>
          </cell>
          <cell r="L1017">
            <v>1212764.0400000012</v>
          </cell>
          <cell r="M1017">
            <v>0</v>
          </cell>
        </row>
        <row r="1018">
          <cell r="B1018" t="str">
            <v>05-096/15</v>
          </cell>
          <cell r="C1018" t="str">
            <v>2.01.01.01</v>
          </cell>
          <cell r="D1018">
            <v>41410</v>
          </cell>
          <cell r="E1018" t="str">
            <v>ANTONIO JOSÉ D DA SILVA JR</v>
          </cell>
          <cell r="F1018" t="str">
            <v>ADIANTAMENTO DE 40% DO SALÁRIO FOLHA MAIO 2013</v>
          </cell>
          <cell r="G1018" t="str">
            <v>D</v>
          </cell>
          <cell r="H1018">
            <v>405</v>
          </cell>
          <cell r="I1018">
            <v>0</v>
          </cell>
          <cell r="J1018" t="str">
            <v>X</v>
          </cell>
          <cell r="K1018">
            <v>1212359.0400000012</v>
          </cell>
          <cell r="L1018">
            <v>1212359.0400000012</v>
          </cell>
          <cell r="M1018">
            <v>0</v>
          </cell>
        </row>
        <row r="1019">
          <cell r="B1019" t="str">
            <v>05-096/16</v>
          </cell>
          <cell r="C1019" t="str">
            <v>2.01.01.01</v>
          </cell>
          <cell r="D1019">
            <v>41410</v>
          </cell>
          <cell r="E1019" t="str">
            <v xml:space="preserve">DANILO ALVES DOS SANTOS </v>
          </cell>
          <cell r="F1019" t="str">
            <v>ADIANTAMENTO DE 40% DO SALÁRIO FOLHA MAIO 2013</v>
          </cell>
          <cell r="G1019" t="str">
            <v>D</v>
          </cell>
          <cell r="H1019">
            <v>405</v>
          </cell>
          <cell r="I1019">
            <v>0</v>
          </cell>
          <cell r="J1019" t="str">
            <v>X</v>
          </cell>
          <cell r="K1019">
            <v>1211954.0400000012</v>
          </cell>
          <cell r="L1019">
            <v>1211954.0400000012</v>
          </cell>
          <cell r="M1019">
            <v>0</v>
          </cell>
        </row>
        <row r="1020">
          <cell r="B1020" t="str">
            <v>05-096/17</v>
          </cell>
          <cell r="C1020" t="str">
            <v>2.01.01.01</v>
          </cell>
          <cell r="D1020">
            <v>41410</v>
          </cell>
          <cell r="E1020" t="str">
            <v>CLEITON MARTINS</v>
          </cell>
          <cell r="F1020" t="str">
            <v>ADIANTAMENTO DE 40% DO SALÁRIO FOLHA MAIO 2013</v>
          </cell>
          <cell r="G1020" t="str">
            <v>D</v>
          </cell>
          <cell r="H1020">
            <v>406</v>
          </cell>
          <cell r="I1020">
            <v>0</v>
          </cell>
          <cell r="J1020" t="str">
            <v>X</v>
          </cell>
          <cell r="K1020">
            <v>1211548.0400000012</v>
          </cell>
          <cell r="L1020">
            <v>1211548.0400000012</v>
          </cell>
          <cell r="M1020">
            <v>0</v>
          </cell>
        </row>
        <row r="1021">
          <cell r="B1021" t="str">
            <v>05-096/18</v>
          </cell>
          <cell r="C1021" t="str">
            <v>2.01.01.01</v>
          </cell>
          <cell r="D1021">
            <v>41410</v>
          </cell>
          <cell r="E1021" t="str">
            <v>EMERSON BEDIN</v>
          </cell>
          <cell r="F1021" t="str">
            <v>ADIANTAMENTO DE 40% DO SALÁRIO FOLHA MAIO 2013</v>
          </cell>
          <cell r="G1021" t="str">
            <v>D</v>
          </cell>
          <cell r="H1021">
            <v>565</v>
          </cell>
          <cell r="I1021">
            <v>0</v>
          </cell>
          <cell r="J1021" t="str">
            <v>X</v>
          </cell>
          <cell r="K1021">
            <v>1210983.0400000012</v>
          </cell>
          <cell r="L1021">
            <v>1210983.0400000012</v>
          </cell>
          <cell r="M1021">
            <v>0</v>
          </cell>
        </row>
        <row r="1022">
          <cell r="B1022" t="str">
            <v>05-096/19</v>
          </cell>
          <cell r="C1022" t="str">
            <v>2.01.01.01</v>
          </cell>
          <cell r="D1022">
            <v>41410</v>
          </cell>
          <cell r="E1022" t="str">
            <v>THIAGO RIBEIRO</v>
          </cell>
          <cell r="F1022" t="str">
            <v>ADIANTAMENTO DE 40% DO SALÁRIO FOLHA MAIO 2013</v>
          </cell>
          <cell r="G1022" t="str">
            <v>D</v>
          </cell>
          <cell r="H1022">
            <v>477</v>
          </cell>
          <cell r="I1022">
            <v>0</v>
          </cell>
          <cell r="J1022" t="str">
            <v>X</v>
          </cell>
          <cell r="K1022">
            <v>1210506.0400000012</v>
          </cell>
          <cell r="L1022">
            <v>1210506.0400000012</v>
          </cell>
          <cell r="M1022">
            <v>0</v>
          </cell>
        </row>
        <row r="1023">
          <cell r="B1023" t="str">
            <v>05-096/20</v>
          </cell>
          <cell r="C1023" t="str">
            <v>2.01.01.01</v>
          </cell>
          <cell r="D1023">
            <v>41410</v>
          </cell>
          <cell r="E1023" t="str">
            <v>ALBERTINO M DA SILVA</v>
          </cell>
          <cell r="F1023" t="str">
            <v>ADIANTAMENTO DE 40% DO SALÁRIO FOLHA MAIO 2013</v>
          </cell>
          <cell r="G1023" t="str">
            <v>D</v>
          </cell>
          <cell r="H1023">
            <v>46</v>
          </cell>
          <cell r="I1023">
            <v>0</v>
          </cell>
          <cell r="J1023" t="str">
            <v>X</v>
          </cell>
          <cell r="K1023">
            <v>1210460.0400000012</v>
          </cell>
          <cell r="L1023">
            <v>1210460.0400000012</v>
          </cell>
          <cell r="M1023">
            <v>0</v>
          </cell>
        </row>
        <row r="1024">
          <cell r="B1024" t="str">
            <v>05-096/21</v>
          </cell>
          <cell r="C1024" t="str">
            <v>2.01.01.01</v>
          </cell>
          <cell r="D1024">
            <v>41410</v>
          </cell>
          <cell r="E1024" t="str">
            <v>ALEXANDRO JESUS DE ARAUJO</v>
          </cell>
          <cell r="F1024" t="str">
            <v>ADIANTAMENTO DE 40% DO SALÁRIO FOLHA MAIO 2013</v>
          </cell>
          <cell r="G1024" t="str">
            <v>D</v>
          </cell>
          <cell r="H1024">
            <v>782</v>
          </cell>
          <cell r="I1024">
            <v>0</v>
          </cell>
          <cell r="J1024" t="str">
            <v>X</v>
          </cell>
          <cell r="K1024">
            <v>1209678.0400000012</v>
          </cell>
          <cell r="L1024">
            <v>1209678.0400000012</v>
          </cell>
          <cell r="M1024">
            <v>0</v>
          </cell>
        </row>
        <row r="1025">
          <cell r="B1025" t="str">
            <v>05-096/22</v>
          </cell>
          <cell r="C1025" t="str">
            <v>2.01.01.01</v>
          </cell>
          <cell r="D1025">
            <v>41410</v>
          </cell>
          <cell r="E1025" t="str">
            <v>SANDRO PAGGI DE SOUSA</v>
          </cell>
          <cell r="F1025" t="str">
            <v>ADIANTAMENTO DE 40% DO SALÁRIO FOLHA MAIO 2013</v>
          </cell>
          <cell r="G1025" t="str">
            <v>D</v>
          </cell>
          <cell r="H1025">
            <v>345</v>
          </cell>
          <cell r="I1025">
            <v>0</v>
          </cell>
          <cell r="J1025" t="str">
            <v>X</v>
          </cell>
          <cell r="K1025">
            <v>1209333.0400000012</v>
          </cell>
          <cell r="L1025">
            <v>1209333.0400000012</v>
          </cell>
          <cell r="M1025">
            <v>0</v>
          </cell>
        </row>
        <row r="1026">
          <cell r="B1026" t="str">
            <v>05-096/23</v>
          </cell>
          <cell r="C1026" t="str">
            <v>2.01.01.01</v>
          </cell>
          <cell r="D1026">
            <v>41410</v>
          </cell>
          <cell r="E1026" t="str">
            <v>ALEXANDRE DE C ALVES</v>
          </cell>
          <cell r="F1026" t="str">
            <v>ADIANTAMENTO DE 40% DO SALÁRIO FOLHA MAIO 2013</v>
          </cell>
          <cell r="G1026" t="str">
            <v>D</v>
          </cell>
          <cell r="H1026">
            <v>345</v>
          </cell>
          <cell r="I1026">
            <v>0</v>
          </cell>
          <cell r="J1026" t="str">
            <v>X</v>
          </cell>
          <cell r="K1026">
            <v>1208988.0400000012</v>
          </cell>
          <cell r="L1026">
            <v>1208988.0400000012</v>
          </cell>
          <cell r="M1026">
            <v>0</v>
          </cell>
        </row>
        <row r="1027">
          <cell r="B1027" t="str">
            <v>05-096/24</v>
          </cell>
          <cell r="C1027" t="str">
            <v>2.01.01.01</v>
          </cell>
          <cell r="D1027">
            <v>41410</v>
          </cell>
          <cell r="E1027" t="str">
            <v>WILSON DE SOUZA</v>
          </cell>
          <cell r="F1027" t="str">
            <v>ADIANTAMENTO DE 40% DO SALÁRIO FOLHA MAIO 2013</v>
          </cell>
          <cell r="H1027">
            <v>345</v>
          </cell>
          <cell r="I1027">
            <v>0</v>
          </cell>
          <cell r="J1027" t="str">
            <v>X</v>
          </cell>
          <cell r="K1027">
            <v>1208643.0400000012</v>
          </cell>
          <cell r="L1027">
            <v>1208643.0400000012</v>
          </cell>
          <cell r="M1027">
            <v>0</v>
          </cell>
        </row>
        <row r="1028">
          <cell r="B1028" t="str">
            <v>05-096/25</v>
          </cell>
          <cell r="C1028" t="str">
            <v>2.01.01.01</v>
          </cell>
          <cell r="D1028">
            <v>41410</v>
          </cell>
          <cell r="E1028" t="str">
            <v xml:space="preserve">MARCELO DOS SANTOS </v>
          </cell>
          <cell r="F1028" t="str">
            <v>ADIANTAMENTO DE 40% DO SALÁRIO FOLHA MAIO 2013</v>
          </cell>
          <cell r="H1028">
            <v>345</v>
          </cell>
          <cell r="I1028">
            <v>0</v>
          </cell>
          <cell r="J1028" t="str">
            <v>X</v>
          </cell>
          <cell r="K1028">
            <v>1208298.0400000012</v>
          </cell>
          <cell r="L1028">
            <v>1208298.0400000012</v>
          </cell>
          <cell r="M1028">
            <v>0</v>
          </cell>
        </row>
        <row r="1029">
          <cell r="B1029" t="str">
            <v>05-096/26</v>
          </cell>
          <cell r="C1029" t="str">
            <v>2.01.01.01</v>
          </cell>
          <cell r="D1029">
            <v>41410</v>
          </cell>
          <cell r="E1029" t="str">
            <v xml:space="preserve">PLÍNIO DOS SANTOS </v>
          </cell>
          <cell r="F1029" t="str">
            <v>ADIANTAMENTO DE 40% DO SALÁRIO FOLHA MAIO 2013</v>
          </cell>
          <cell r="H1029">
            <v>346</v>
          </cell>
          <cell r="I1029">
            <v>0</v>
          </cell>
          <cell r="J1029" t="str">
            <v>X</v>
          </cell>
          <cell r="K1029">
            <v>1207952.0400000012</v>
          </cell>
          <cell r="L1029">
            <v>1207952.0400000012</v>
          </cell>
          <cell r="M1029">
            <v>0</v>
          </cell>
        </row>
        <row r="1030">
          <cell r="B1030" t="str">
            <v>05-096/27</v>
          </cell>
          <cell r="C1030" t="str">
            <v>2.01.01.01</v>
          </cell>
          <cell r="D1030">
            <v>41410</v>
          </cell>
          <cell r="E1030" t="str">
            <v>ROBERTO DIAS</v>
          </cell>
          <cell r="F1030" t="str">
            <v>ADIANTAMENTO DE 40% DO SALÁRIO FOLHA MAIO 2013</v>
          </cell>
          <cell r="H1030">
            <v>345</v>
          </cell>
          <cell r="I1030">
            <v>0</v>
          </cell>
          <cell r="J1030" t="str">
            <v>X</v>
          </cell>
          <cell r="K1030">
            <v>1207607.0400000012</v>
          </cell>
          <cell r="L1030">
            <v>1207607.0400000012</v>
          </cell>
          <cell r="M1030">
            <v>0</v>
          </cell>
        </row>
        <row r="1031">
          <cell r="B1031" t="str">
            <v>05-096/28</v>
          </cell>
          <cell r="C1031" t="str">
            <v>2.01.01.01</v>
          </cell>
          <cell r="D1031">
            <v>41410</v>
          </cell>
          <cell r="E1031" t="str">
            <v xml:space="preserve">ARMANDO IGNÁCIO TORRÃO </v>
          </cell>
          <cell r="F1031" t="str">
            <v>ADIANTAMENTO DE 40% DO SALÁRIO FOLHA MAIO 2013</v>
          </cell>
          <cell r="H1031">
            <v>782</v>
          </cell>
          <cell r="I1031">
            <v>0</v>
          </cell>
          <cell r="J1031" t="str">
            <v>X</v>
          </cell>
          <cell r="K1031">
            <v>1206825.0400000012</v>
          </cell>
          <cell r="L1031">
            <v>1206825.0400000012</v>
          </cell>
          <cell r="M1031">
            <v>0</v>
          </cell>
        </row>
        <row r="1032">
          <cell r="B1032" t="str">
            <v>05-021</v>
          </cell>
          <cell r="C1032" t="str">
            <v>2.01.05.09</v>
          </cell>
          <cell r="D1032">
            <v>41410</v>
          </cell>
          <cell r="E1032" t="str">
            <v>TRANSTRIP LOCADORA DE VEICULOS</v>
          </cell>
          <cell r="F1032" t="str">
            <v>LOCAÇÃO DE VEICULO KOMBI REF 04/2013  + KM EXCEDENTE</v>
          </cell>
          <cell r="H1032">
            <v>8107.8</v>
          </cell>
          <cell r="I1032">
            <v>0</v>
          </cell>
          <cell r="J1032" t="str">
            <v>X</v>
          </cell>
          <cell r="K1032">
            <v>1198717.2400000012</v>
          </cell>
          <cell r="L1032">
            <v>1198717.2400000012</v>
          </cell>
          <cell r="M1032">
            <v>490</v>
          </cell>
        </row>
        <row r="1033">
          <cell r="B1033" t="str">
            <v>RE05-011</v>
          </cell>
          <cell r="C1033" t="str">
            <v>1.01.01.01</v>
          </cell>
          <cell r="D1033">
            <v>41411</v>
          </cell>
          <cell r="E1033" t="str">
            <v>ERICO SBSTEJEN MONAR MARQUES ME</v>
          </cell>
          <cell r="F1033" t="str">
            <v xml:space="preserve">DEVOLUÇÃO DIFERENÇA DE RECOLHIMENTO ISS </v>
          </cell>
          <cell r="H1033">
            <v>0</v>
          </cell>
          <cell r="I1033">
            <v>50</v>
          </cell>
          <cell r="J1033" t="str">
            <v>X</v>
          </cell>
          <cell r="K1033">
            <v>1198767.2400000012</v>
          </cell>
          <cell r="L1033">
            <v>1198767.2400000012</v>
          </cell>
          <cell r="M1033">
            <v>0</v>
          </cell>
        </row>
        <row r="1034">
          <cell r="B1034" t="str">
            <v>05-097</v>
          </cell>
          <cell r="C1034" t="str">
            <v>2.02.03.19</v>
          </cell>
          <cell r="D1034">
            <v>41411</v>
          </cell>
          <cell r="E1034" t="str">
            <v>EDITORA TAPERÁ LTDA</v>
          </cell>
          <cell r="F1034" t="str">
            <v>ANUNCIO DE PUBLICAÇÃO CETESB</v>
          </cell>
          <cell r="H1034">
            <v>45</v>
          </cell>
          <cell r="I1034">
            <v>0</v>
          </cell>
          <cell r="J1034" t="str">
            <v>X</v>
          </cell>
          <cell r="K1034">
            <v>1198722.2400000012</v>
          </cell>
          <cell r="L1034">
            <v>1198722.2400000012</v>
          </cell>
          <cell r="M1034">
            <v>0</v>
          </cell>
        </row>
        <row r="1035">
          <cell r="B1035" t="str">
            <v>RE05-012</v>
          </cell>
          <cell r="C1035" t="str">
            <v>1.01.01.01</v>
          </cell>
          <cell r="D1035">
            <v>41414</v>
          </cell>
          <cell r="E1035" t="str">
            <v>SANESALTO SANEAMENTO S/A</v>
          </cell>
          <cell r="F1035" t="str">
            <v>MEDIÇÃO DE 11 A 17/05/2013</v>
          </cell>
          <cell r="H1035">
            <v>0</v>
          </cell>
          <cell r="I1035">
            <v>372103.67999999999</v>
          </cell>
          <cell r="J1035" t="str">
            <v>X</v>
          </cell>
          <cell r="K1035">
            <v>1570825.9200000011</v>
          </cell>
          <cell r="L1035">
            <v>1570825.9200000011</v>
          </cell>
          <cell r="M1035">
            <v>0</v>
          </cell>
        </row>
        <row r="1036">
          <cell r="B1036" t="str">
            <v>05-102</v>
          </cell>
          <cell r="C1036" t="str">
            <v>2.02.03.19</v>
          </cell>
          <cell r="D1036">
            <v>41414</v>
          </cell>
          <cell r="E1036" t="str">
            <v>IMPRENSA OFICIAL DO ESTADO S.A</v>
          </cell>
          <cell r="F1036" t="str">
            <v xml:space="preserve">PUBLICAÇÃO DE LICENÇA DE OPERAÇÃO </v>
          </cell>
          <cell r="H1036">
            <v>129</v>
          </cell>
          <cell r="I1036">
            <v>0</v>
          </cell>
          <cell r="J1036" t="str">
            <v>X</v>
          </cell>
          <cell r="K1036">
            <v>1570696.9200000011</v>
          </cell>
          <cell r="L1036">
            <v>1570696.9200000011</v>
          </cell>
          <cell r="M1036">
            <v>0</v>
          </cell>
        </row>
        <row r="1037">
          <cell r="B1037" t="str">
            <v>05-103</v>
          </cell>
          <cell r="C1037" t="str">
            <v>2.03.01.05</v>
          </cell>
          <cell r="D1037">
            <v>41414</v>
          </cell>
          <cell r="E1037" t="str">
            <v>COMPANHIA AMBIENTAL DO ESTADO DE SÃO PAULO - CETESB</v>
          </cell>
          <cell r="F1037" t="str">
            <v xml:space="preserve">SOLICITAÇÃO DE LICENÇA DE OPERAÇÃO </v>
          </cell>
          <cell r="H1037">
            <v>3357.5</v>
          </cell>
          <cell r="I1037">
            <v>0</v>
          </cell>
          <cell r="J1037" t="str">
            <v>X</v>
          </cell>
          <cell r="K1037">
            <v>1567339.4200000011</v>
          </cell>
          <cell r="L1037">
            <v>1567339.4200000011</v>
          </cell>
          <cell r="M1037">
            <v>0</v>
          </cell>
        </row>
        <row r="1038">
          <cell r="B1038" t="str">
            <v>05-104</v>
          </cell>
          <cell r="C1038" t="str">
            <v>2.03.01.05</v>
          </cell>
          <cell r="D1038">
            <v>41414</v>
          </cell>
          <cell r="E1038" t="str">
            <v>PREFEITURA DA ESTÂNCIA TURÍSTICA DE SALTO</v>
          </cell>
          <cell r="F1038" t="str">
            <v>GUIA GISS ONLINE ISSQN</v>
          </cell>
          <cell r="H1038">
            <v>2661.09</v>
          </cell>
          <cell r="I1038">
            <v>0</v>
          </cell>
          <cell r="J1038" t="str">
            <v>X</v>
          </cell>
          <cell r="K1038">
            <v>1564678.330000001</v>
          </cell>
          <cell r="L1038">
            <v>1564678.330000001</v>
          </cell>
          <cell r="M1038">
            <v>1456632</v>
          </cell>
        </row>
        <row r="1039">
          <cell r="B1039" t="str">
            <v>04-114</v>
          </cell>
          <cell r="C1039" t="str">
            <v>2.01.05.11</v>
          </cell>
          <cell r="D1039">
            <v>41414</v>
          </cell>
          <cell r="E1039" t="str">
            <v>VT COMÉRCIO DE MOTORES ELÉTRICOS E ACIONAMENTOS Ltda.</v>
          </cell>
          <cell r="F1039" t="str">
            <v>MÃO DE OBRA EM BOMBA</v>
          </cell>
          <cell r="H1039">
            <v>600</v>
          </cell>
          <cell r="I1039">
            <v>0</v>
          </cell>
          <cell r="J1039" t="str">
            <v>X</v>
          </cell>
          <cell r="K1039">
            <v>1564078.330000001</v>
          </cell>
          <cell r="L1039">
            <v>1564078.330000001</v>
          </cell>
          <cell r="M1039">
            <v>216</v>
          </cell>
        </row>
        <row r="1040">
          <cell r="B1040" t="str">
            <v>05-064</v>
          </cell>
          <cell r="C1040" t="str">
            <v>2.02.03.16</v>
          </cell>
          <cell r="D1040">
            <v>41414</v>
          </cell>
          <cell r="E1040" t="str">
            <v xml:space="preserve">GMF GESTÃO DE MEDIÇÃO E FATURAMENTO </v>
          </cell>
          <cell r="F1040" t="str">
            <v>LICENÇA DE USO DO SISTEMA DE GESTÃO COMERCIAL INTELIGEST</v>
          </cell>
          <cell r="H1040">
            <v>15000</v>
          </cell>
          <cell r="I1040">
            <v>0</v>
          </cell>
          <cell r="J1040" t="str">
            <v>X</v>
          </cell>
          <cell r="K1040">
            <v>1549078.330000001</v>
          </cell>
          <cell r="L1040">
            <v>1549078.330000001</v>
          </cell>
          <cell r="M1040">
            <v>383</v>
          </cell>
        </row>
        <row r="1041">
          <cell r="B1041" t="str">
            <v>05-063</v>
          </cell>
          <cell r="C1041" t="str">
            <v>2.02.03.16</v>
          </cell>
          <cell r="D1041">
            <v>41414</v>
          </cell>
          <cell r="E1041" t="str">
            <v xml:space="preserve">GMF GESTÃO DE MEDIÇÃO E FATURAMENTO </v>
          </cell>
          <cell r="F1041" t="str">
            <v>LICENÇA DE USO DO SOFTWARE TINOS</v>
          </cell>
          <cell r="G1041" t="str">
            <v>D</v>
          </cell>
          <cell r="H1041">
            <v>4000</v>
          </cell>
          <cell r="I1041">
            <v>0</v>
          </cell>
          <cell r="J1041" t="str">
            <v>X</v>
          </cell>
          <cell r="K1041">
            <v>1545078.330000001</v>
          </cell>
          <cell r="L1041">
            <v>1545078.330000001</v>
          </cell>
          <cell r="M1041">
            <v>384</v>
          </cell>
        </row>
        <row r="1042">
          <cell r="B1042" t="str">
            <v>04-131/1</v>
          </cell>
          <cell r="C1042" t="str">
            <v>2.01.05.06</v>
          </cell>
          <cell r="D1042">
            <v>41414</v>
          </cell>
          <cell r="E1042" t="str">
            <v xml:space="preserve">MISAEL APARECIDO NOBREGA ME </v>
          </cell>
          <cell r="F1042" t="str">
            <v xml:space="preserve">MÃO DE OBRA DE MANUTENÇÃO E COMPRA DE PEÇA </v>
          </cell>
          <cell r="G1042" t="str">
            <v>D</v>
          </cell>
          <cell r="H1042">
            <v>7137.55</v>
          </cell>
          <cell r="I1042">
            <v>0</v>
          </cell>
          <cell r="J1042" t="str">
            <v>X</v>
          </cell>
          <cell r="K1042">
            <v>1537940.780000001</v>
          </cell>
          <cell r="L1042">
            <v>1537940.780000001</v>
          </cell>
          <cell r="M1042">
            <v>119</v>
          </cell>
        </row>
        <row r="1043">
          <cell r="B1043" t="str">
            <v>05-003</v>
          </cell>
          <cell r="C1043" t="str">
            <v>2.01.03.08</v>
          </cell>
          <cell r="D1043">
            <v>41414</v>
          </cell>
          <cell r="E1043" t="str">
            <v>HEXIS CIENTÍFICA S.A</v>
          </cell>
          <cell r="F1043" t="str">
            <v>COMPRA DE REAGENTE DQO PARA ETE + ESTOJO QUIMICO</v>
          </cell>
          <cell r="G1043" t="str">
            <v>D</v>
          </cell>
          <cell r="H1043">
            <v>2432</v>
          </cell>
          <cell r="I1043">
            <v>0</v>
          </cell>
          <cell r="J1043" t="str">
            <v>X</v>
          </cell>
          <cell r="K1043">
            <v>1535508.780000001</v>
          </cell>
          <cell r="L1043">
            <v>1535508.780000001</v>
          </cell>
          <cell r="M1043">
            <v>253051</v>
          </cell>
        </row>
        <row r="1044">
          <cell r="B1044" t="str">
            <v>05-099</v>
          </cell>
          <cell r="C1044" t="str">
            <v>2.07.01.04</v>
          </cell>
          <cell r="D1044">
            <v>41414</v>
          </cell>
          <cell r="E1044" t="str">
            <v>ERICO SEBESTIEN MOLNAR MARQUES ME</v>
          </cell>
          <cell r="F1044" t="str">
            <v xml:space="preserve">PREVENTIVA DE ABRIL </v>
          </cell>
          <cell r="G1044" t="str">
            <v>D</v>
          </cell>
          <cell r="H1044">
            <v>1372</v>
          </cell>
          <cell r="I1044">
            <v>0</v>
          </cell>
          <cell r="J1044" t="str">
            <v>X</v>
          </cell>
          <cell r="K1044">
            <v>1534136.780000001</v>
          </cell>
          <cell r="L1044">
            <v>1534136.780000001</v>
          </cell>
          <cell r="M1044">
            <v>57</v>
          </cell>
        </row>
        <row r="1045">
          <cell r="B1045" t="str">
            <v>05-054</v>
          </cell>
          <cell r="C1045" t="str">
            <v>2.02.01.01</v>
          </cell>
          <cell r="D1045">
            <v>41414</v>
          </cell>
          <cell r="E1045" t="str">
            <v>SECRETARIA DA RECEITA FEDERAL DO BRASIL</v>
          </cell>
          <cell r="F1045" t="str">
            <v xml:space="preserve">DARF REF PAGAMENTO  SANESALTO </v>
          </cell>
          <cell r="G1045" t="str">
            <v>D</v>
          </cell>
          <cell r="H1045">
            <v>1237.47</v>
          </cell>
          <cell r="I1045">
            <v>0</v>
          </cell>
          <cell r="J1045" t="str">
            <v>X</v>
          </cell>
          <cell r="K1045">
            <v>1532899.310000001</v>
          </cell>
          <cell r="L1045">
            <v>1532899.310000001</v>
          </cell>
          <cell r="M1045">
            <v>0</v>
          </cell>
        </row>
        <row r="1046">
          <cell r="B1046" t="str">
            <v>04-119</v>
          </cell>
          <cell r="C1046" t="str">
            <v>2.01.05.11</v>
          </cell>
          <cell r="D1046">
            <v>41414</v>
          </cell>
          <cell r="E1046" t="str">
            <v>WGR IND. COM. IMP. E EX.LTDA</v>
          </cell>
          <cell r="F1046" t="str">
            <v xml:space="preserve">COMPRA DE UNIDADE CAPACITIVA TRIFASICA </v>
          </cell>
          <cell r="G1046" t="str">
            <v>D</v>
          </cell>
          <cell r="H1046">
            <v>1099.79</v>
          </cell>
          <cell r="I1046">
            <v>0</v>
          </cell>
          <cell r="J1046" t="str">
            <v>X</v>
          </cell>
          <cell r="K1046">
            <v>1531799.5200000009</v>
          </cell>
          <cell r="L1046">
            <v>1531799.5200000009</v>
          </cell>
          <cell r="M1046">
            <v>15782</v>
          </cell>
        </row>
        <row r="1047">
          <cell r="B1047" t="str">
            <v>05-100</v>
          </cell>
          <cell r="C1047" t="str">
            <v>2.07.01.04</v>
          </cell>
          <cell r="D1047">
            <v>41414</v>
          </cell>
          <cell r="E1047" t="str">
            <v>ERICO SEBESTIEN MOLNAR MARQUES ME</v>
          </cell>
          <cell r="F1047" t="str">
            <v>REPAROS ELÉTRICOS EM GERAL CONFORME OS 27 E 30</v>
          </cell>
          <cell r="G1047" t="str">
            <v>D</v>
          </cell>
          <cell r="H1047">
            <v>960.4</v>
          </cell>
          <cell r="I1047">
            <v>0</v>
          </cell>
          <cell r="J1047" t="str">
            <v>X</v>
          </cell>
          <cell r="K1047">
            <v>1530839.120000001</v>
          </cell>
          <cell r="L1047">
            <v>1530839.120000001</v>
          </cell>
          <cell r="M1047">
            <v>58</v>
          </cell>
        </row>
        <row r="1048">
          <cell r="B1048" t="str">
            <v>05-002</v>
          </cell>
          <cell r="C1048" t="str">
            <v>2.02.01.09</v>
          </cell>
          <cell r="D1048">
            <v>41414</v>
          </cell>
          <cell r="E1048" t="str">
            <v>Instituto Nacional do Seguro Social</v>
          </cell>
          <cell r="F1048" t="str">
            <v>GPS NF 383 HF ANDRADE</v>
          </cell>
          <cell r="G1048" t="str">
            <v>D</v>
          </cell>
          <cell r="H1048">
            <v>754.09</v>
          </cell>
          <cell r="I1048">
            <v>0</v>
          </cell>
          <cell r="J1048" t="str">
            <v>X</v>
          </cell>
          <cell r="K1048">
            <v>1530085.030000001</v>
          </cell>
          <cell r="L1048">
            <v>1530085.030000001</v>
          </cell>
          <cell r="M1048">
            <v>0</v>
          </cell>
        </row>
        <row r="1049">
          <cell r="B1049" t="str">
            <v>05-056</v>
          </cell>
          <cell r="C1049" t="str">
            <v>2.02.01.09</v>
          </cell>
          <cell r="D1049">
            <v>41414</v>
          </cell>
          <cell r="E1049" t="str">
            <v>Instituto Nacional do Seguro Social</v>
          </cell>
          <cell r="F1049" t="str">
            <v>GPS NF FUNCIONÁRIOS SANESALTO REF 04/2013</v>
          </cell>
          <cell r="G1049" t="str">
            <v>D</v>
          </cell>
          <cell r="H1049">
            <v>24930.09</v>
          </cell>
          <cell r="I1049">
            <v>0</v>
          </cell>
          <cell r="J1049" t="str">
            <v>X</v>
          </cell>
          <cell r="K1049">
            <v>1505154.9400000009</v>
          </cell>
          <cell r="L1049">
            <v>1505154.9400000009</v>
          </cell>
          <cell r="M1049">
            <v>0</v>
          </cell>
        </row>
        <row r="1050">
          <cell r="B1050" t="str">
            <v>05-055</v>
          </cell>
          <cell r="C1050" t="str">
            <v>2.02.01.08</v>
          </cell>
          <cell r="D1050">
            <v>41414</v>
          </cell>
          <cell r="E1050" t="str">
            <v>SECRETARIA DA RECEITA FEDERAL DO BRASIL</v>
          </cell>
          <cell r="F1050" t="str">
            <v>DARF REF PRÓ-LABORE</v>
          </cell>
          <cell r="G1050" t="str">
            <v>D</v>
          </cell>
          <cell r="H1050">
            <v>5731.44</v>
          </cell>
          <cell r="I1050">
            <v>0</v>
          </cell>
          <cell r="J1050" t="str">
            <v>X</v>
          </cell>
          <cell r="K1050">
            <v>1499423.5000000009</v>
          </cell>
          <cell r="L1050">
            <v>1499423.5000000009</v>
          </cell>
          <cell r="M1050">
            <v>0</v>
          </cell>
        </row>
        <row r="1051">
          <cell r="B1051" t="str">
            <v>05-073</v>
          </cell>
          <cell r="C1051" t="str">
            <v>2.01.03.09</v>
          </cell>
          <cell r="D1051">
            <v>41414</v>
          </cell>
          <cell r="E1051" t="str">
            <v>COMPANHIA PIRATININGA DE FORÇA E LUZ - CPFL</v>
          </cell>
          <cell r="F1051" t="str">
            <v>CONTA DE ENERGIA ESCRITÓRIO REF 05/2013</v>
          </cell>
          <cell r="G1051" t="str">
            <v>D</v>
          </cell>
          <cell r="H1051">
            <v>718.03</v>
          </cell>
          <cell r="I1051">
            <v>0</v>
          </cell>
          <cell r="J1051" t="str">
            <v>X</v>
          </cell>
          <cell r="K1051">
            <v>1498705.4700000009</v>
          </cell>
          <cell r="L1051">
            <v>1498705.4700000009</v>
          </cell>
          <cell r="M1051">
            <v>0</v>
          </cell>
        </row>
        <row r="1052">
          <cell r="B1052" t="str">
            <v>05-041</v>
          </cell>
          <cell r="C1052" t="str">
            <v>2.06.03.01</v>
          </cell>
          <cell r="D1052">
            <v>41414</v>
          </cell>
          <cell r="E1052" t="str">
            <v>BM&amp;FBOVESPA</v>
          </cell>
          <cell r="F1052" t="str">
            <v>TAXA DE REGISTRO DE DEBENTURES</v>
          </cell>
          <cell r="G1052" t="str">
            <v>D</v>
          </cell>
          <cell r="H1052">
            <v>553.19000000000005</v>
          </cell>
          <cell r="I1052">
            <v>0</v>
          </cell>
          <cell r="J1052" t="str">
            <v>X</v>
          </cell>
          <cell r="K1052">
            <v>1498152.280000001</v>
          </cell>
          <cell r="L1052">
            <v>1498152.280000001</v>
          </cell>
          <cell r="M1052">
            <v>9001907901</v>
          </cell>
        </row>
        <row r="1053">
          <cell r="B1053" t="str">
            <v>04-132</v>
          </cell>
          <cell r="C1053" t="str">
            <v>2.02.01.09</v>
          </cell>
          <cell r="D1053">
            <v>41414</v>
          </cell>
          <cell r="E1053" t="str">
            <v>Instituto Nacional do Seguro Social</v>
          </cell>
          <cell r="F1053" t="str">
            <v>GPS NF 954 GARRA</v>
          </cell>
          <cell r="G1053" t="str">
            <v>D</v>
          </cell>
          <cell r="H1053">
            <v>497.69</v>
          </cell>
          <cell r="I1053">
            <v>0</v>
          </cell>
          <cell r="J1053" t="str">
            <v>X</v>
          </cell>
          <cell r="K1053">
            <v>1497654.590000001</v>
          </cell>
          <cell r="L1053">
            <v>1497654.590000001</v>
          </cell>
          <cell r="M1053">
            <v>0</v>
          </cell>
        </row>
        <row r="1054">
          <cell r="B1054" t="str">
            <v>04-091</v>
          </cell>
          <cell r="C1054" t="str">
            <v>2.02.03.04</v>
          </cell>
          <cell r="D1054">
            <v>41414</v>
          </cell>
          <cell r="E1054" t="str">
            <v>SECRETARIA DA RECEITA FEDERAL DO BRASIL</v>
          </cell>
          <cell r="F1054" t="str">
            <v>DARF IR NF 40 ARAUJO DE ARAUJO</v>
          </cell>
          <cell r="G1054" t="str">
            <v>D</v>
          </cell>
          <cell r="H1054">
            <v>414</v>
          </cell>
          <cell r="I1054">
            <v>0</v>
          </cell>
          <cell r="J1054" t="str">
            <v>X</v>
          </cell>
          <cell r="K1054">
            <v>1497240.590000001</v>
          </cell>
          <cell r="L1054">
            <v>1497240.590000001</v>
          </cell>
          <cell r="M1054">
            <v>0</v>
          </cell>
        </row>
        <row r="1055">
          <cell r="B1055" t="str">
            <v>05-037</v>
          </cell>
          <cell r="C1055" t="str">
            <v>2.02.03.04</v>
          </cell>
          <cell r="D1055">
            <v>41414</v>
          </cell>
          <cell r="E1055" t="str">
            <v>SECRETARIA DA RECEITA FEDERAL DO BRASIL</v>
          </cell>
          <cell r="F1055" t="str">
            <v>DARF IR NF 41 ARAUJO DE ARAUJO</v>
          </cell>
          <cell r="G1055" t="str">
            <v>D</v>
          </cell>
          <cell r="H1055">
            <v>414</v>
          </cell>
          <cell r="I1055">
            <v>0</v>
          </cell>
          <cell r="J1055" t="str">
            <v>X</v>
          </cell>
          <cell r="K1055">
            <v>1496826.590000001</v>
          </cell>
          <cell r="L1055">
            <v>1496826.590000001</v>
          </cell>
          <cell r="M1055">
            <v>0</v>
          </cell>
        </row>
        <row r="1056">
          <cell r="B1056" t="str">
            <v>04-137</v>
          </cell>
          <cell r="C1056" t="str">
            <v>2.02.01.09</v>
          </cell>
          <cell r="D1056">
            <v>41414</v>
          </cell>
          <cell r="E1056" t="str">
            <v>Instituto Nacional do Seguro Social</v>
          </cell>
          <cell r="F1056" t="str">
            <v>GPS NF 114 RS CONSTRUTORA</v>
          </cell>
          <cell r="G1056" t="str">
            <v>D</v>
          </cell>
          <cell r="H1056">
            <v>385</v>
          </cell>
          <cell r="I1056">
            <v>0</v>
          </cell>
          <cell r="J1056" t="str">
            <v>X</v>
          </cell>
          <cell r="K1056">
            <v>1496441.590000001</v>
          </cell>
          <cell r="L1056">
            <v>1496441.590000001</v>
          </cell>
          <cell r="M1056">
            <v>0</v>
          </cell>
        </row>
        <row r="1057">
          <cell r="B1057" t="str">
            <v>04-109</v>
          </cell>
          <cell r="C1057" t="str">
            <v>2.02.01.09</v>
          </cell>
          <cell r="D1057">
            <v>41414</v>
          </cell>
          <cell r="E1057" t="str">
            <v>Instituto Nacional do Seguro Social</v>
          </cell>
          <cell r="F1057" t="str">
            <v>GPS NF 152 MARIA ELIETE F LOPES</v>
          </cell>
          <cell r="G1057" t="str">
            <v>D</v>
          </cell>
          <cell r="H1057">
            <v>385</v>
          </cell>
          <cell r="I1057">
            <v>0</v>
          </cell>
          <cell r="J1057" t="str">
            <v>X</v>
          </cell>
          <cell r="K1057">
            <v>1496056.590000001</v>
          </cell>
          <cell r="L1057">
            <v>1496056.590000001</v>
          </cell>
          <cell r="M1057">
            <v>0</v>
          </cell>
        </row>
        <row r="1058">
          <cell r="B1058" t="str">
            <v>05-101/1</v>
          </cell>
          <cell r="C1058" t="str">
            <v>2.02.03.26</v>
          </cell>
          <cell r="D1058">
            <v>41414</v>
          </cell>
          <cell r="E1058" t="str">
            <v xml:space="preserve">COMERCIAL AUTOMOTIVA LTDA </v>
          </cell>
          <cell r="F1058" t="str">
            <v xml:space="preserve">SERVIÇOS DE MANUTENÇÃO AUTOMOTIVA LOGAN/TROCA DE PNEUS </v>
          </cell>
          <cell r="G1058" t="str">
            <v>D</v>
          </cell>
          <cell r="H1058">
            <v>357.52</v>
          </cell>
          <cell r="I1058">
            <v>0</v>
          </cell>
          <cell r="J1058" t="str">
            <v>X</v>
          </cell>
          <cell r="K1058">
            <v>1495699.070000001</v>
          </cell>
          <cell r="L1058">
            <v>1495699.070000001</v>
          </cell>
          <cell r="M1058" t="str">
            <v>6303/18812</v>
          </cell>
        </row>
        <row r="1059">
          <cell r="B1059" t="str">
            <v>05-082</v>
          </cell>
          <cell r="C1059" t="str">
            <v>2.02.03.23</v>
          </cell>
          <cell r="D1059">
            <v>41414</v>
          </cell>
          <cell r="E1059" t="str">
            <v>MERCOLINEIT TEC CONSULT E DESENVOLVIMENTO Ltda. EPP</v>
          </cell>
          <cell r="F1059" t="str">
            <v>GESTÃO DE REQUISITOS LEGAIS APLICAVÉIS NO AMBITO DO MEIO AMBIENTE REF MAI/2013</v>
          </cell>
          <cell r="G1059" t="str">
            <v>D</v>
          </cell>
          <cell r="H1059">
            <v>300</v>
          </cell>
          <cell r="I1059">
            <v>0</v>
          </cell>
          <cell r="J1059" t="str">
            <v>X</v>
          </cell>
          <cell r="K1059">
            <v>1495399.070000001</v>
          </cell>
          <cell r="L1059">
            <v>1495399.070000001</v>
          </cell>
          <cell r="M1059">
            <v>987</v>
          </cell>
        </row>
        <row r="1060">
          <cell r="B1060" t="str">
            <v>04-117</v>
          </cell>
          <cell r="C1060" t="str">
            <v>2.01.05.10</v>
          </cell>
          <cell r="D1060">
            <v>41414</v>
          </cell>
          <cell r="E1060" t="str">
            <v>SECRETARIA DA RECEITA FEDERAL DO BRASIL</v>
          </cell>
          <cell r="F1060" t="str">
            <v>DARF IR NF 11189 CORPUS</v>
          </cell>
          <cell r="G1060" t="str">
            <v>D</v>
          </cell>
          <cell r="H1060">
            <v>176.68</v>
          </cell>
          <cell r="I1060">
            <v>0</v>
          </cell>
          <cell r="J1060" t="str">
            <v>X</v>
          </cell>
          <cell r="K1060">
            <v>1495222.3900000011</v>
          </cell>
          <cell r="L1060">
            <v>1495222.3900000011</v>
          </cell>
          <cell r="M1060">
            <v>0</v>
          </cell>
        </row>
        <row r="1061">
          <cell r="B1061" t="str">
            <v>04-133</v>
          </cell>
          <cell r="C1061" t="str">
            <v>2.02.01.09</v>
          </cell>
          <cell r="D1061">
            <v>41414</v>
          </cell>
          <cell r="E1061" t="str">
            <v>Instituto Nacional do Seguro Social</v>
          </cell>
          <cell r="F1061" t="str">
            <v>GPS NF 955 GARRA</v>
          </cell>
          <cell r="G1061" t="str">
            <v>D</v>
          </cell>
          <cell r="H1061">
            <v>174</v>
          </cell>
          <cell r="I1061">
            <v>0</v>
          </cell>
          <cell r="J1061" t="str">
            <v>X</v>
          </cell>
          <cell r="K1061">
            <v>1495048.3900000011</v>
          </cell>
          <cell r="L1061">
            <v>1495048.3900000011</v>
          </cell>
          <cell r="M1061">
            <v>0</v>
          </cell>
        </row>
        <row r="1062">
          <cell r="B1062" t="str">
            <v>05-078</v>
          </cell>
          <cell r="C1062" t="str">
            <v>2.02.01.09</v>
          </cell>
          <cell r="D1062">
            <v>41414</v>
          </cell>
          <cell r="E1062" t="str">
            <v>Instituto Nacional do Seguro Social</v>
          </cell>
          <cell r="F1062" t="str">
            <v>GPS NF 10 M DE L TOLEDO</v>
          </cell>
          <cell r="G1062" t="str">
            <v>D</v>
          </cell>
          <cell r="H1062">
            <v>55</v>
          </cell>
          <cell r="I1062">
            <v>0</v>
          </cell>
          <cell r="J1062" t="str">
            <v>X</v>
          </cell>
          <cell r="K1062">
            <v>1494993.3900000011</v>
          </cell>
          <cell r="L1062">
            <v>1494993.3900000011</v>
          </cell>
          <cell r="M1062">
            <v>0</v>
          </cell>
        </row>
        <row r="1063">
          <cell r="B1063" t="str">
            <v>05-038</v>
          </cell>
          <cell r="C1063" t="str">
            <v>2.02.01.01</v>
          </cell>
          <cell r="D1063">
            <v>41414</v>
          </cell>
          <cell r="E1063" t="str">
            <v>SECRETARIA DA RECEITA FEDERAL DO BRASIL</v>
          </cell>
          <cell r="F1063" t="str">
            <v>DARF IR NF 383 HF ANDRADE</v>
          </cell>
          <cell r="G1063" t="str">
            <v>D</v>
          </cell>
          <cell r="H1063">
            <v>39.94</v>
          </cell>
          <cell r="I1063">
            <v>0</v>
          </cell>
          <cell r="J1063" t="str">
            <v>X</v>
          </cell>
          <cell r="K1063">
            <v>1494953.4500000011</v>
          </cell>
          <cell r="L1063">
            <v>1494953.4500000011</v>
          </cell>
          <cell r="M1063">
            <v>0</v>
          </cell>
        </row>
        <row r="1064">
          <cell r="B1064" t="str">
            <v>04-076</v>
          </cell>
          <cell r="C1064" t="str">
            <v>2.02.03.04</v>
          </cell>
          <cell r="D1064">
            <v>41414</v>
          </cell>
          <cell r="E1064" t="str">
            <v>SECRETARIA DA RECEITA FEDERAL DO BRASIL</v>
          </cell>
          <cell r="F1064" t="str">
            <v>DARF IR NF 2193 CASLANO</v>
          </cell>
          <cell r="G1064" t="str">
            <v>D</v>
          </cell>
          <cell r="H1064">
            <v>27.92</v>
          </cell>
          <cell r="I1064">
            <v>0</v>
          </cell>
          <cell r="J1064" t="str">
            <v>X</v>
          </cell>
          <cell r="K1064">
            <v>1494925.5300000012</v>
          </cell>
          <cell r="L1064">
            <v>1494925.5300000012</v>
          </cell>
          <cell r="M1064">
            <v>0</v>
          </cell>
        </row>
        <row r="1065">
          <cell r="B1065" t="str">
            <v>05-095</v>
          </cell>
          <cell r="C1065" t="str">
            <v>2.02.01.04</v>
          </cell>
          <cell r="D1065">
            <v>41414</v>
          </cell>
          <cell r="E1065" t="str">
            <v xml:space="preserve">EMBRATEL </v>
          </cell>
          <cell r="F1065" t="str">
            <v>LIGAÇÕES INTERURBANAS</v>
          </cell>
          <cell r="G1065" t="str">
            <v>D</v>
          </cell>
          <cell r="H1065">
            <v>21.49</v>
          </cell>
          <cell r="I1065">
            <v>0</v>
          </cell>
          <cell r="J1065" t="str">
            <v>X</v>
          </cell>
          <cell r="K1065">
            <v>1494904.0400000012</v>
          </cell>
          <cell r="L1065">
            <v>1494904.0400000012</v>
          </cell>
          <cell r="M1065">
            <v>210096501269</v>
          </cell>
        </row>
        <row r="1066">
          <cell r="B1066" t="str">
            <v>04-094</v>
          </cell>
          <cell r="C1066" t="str">
            <v>2.01.05.10</v>
          </cell>
          <cell r="D1066">
            <v>41414</v>
          </cell>
          <cell r="E1066" t="str">
            <v>SECRETARIA DA RECEITA FEDERAL DO BRASIL</v>
          </cell>
          <cell r="F1066" t="str">
            <v>DARF IR NF 2535 ACQUALAB</v>
          </cell>
          <cell r="G1066" t="str">
            <v>D</v>
          </cell>
          <cell r="H1066">
            <v>17.91</v>
          </cell>
          <cell r="I1066">
            <v>0</v>
          </cell>
          <cell r="J1066" t="str">
            <v>X</v>
          </cell>
          <cell r="K1066">
            <v>1494886.1300000013</v>
          </cell>
          <cell r="L1066">
            <v>1494886.1300000013</v>
          </cell>
          <cell r="M1066">
            <v>0</v>
          </cell>
        </row>
        <row r="1067">
          <cell r="B1067" t="str">
            <v>RE05-013</v>
          </cell>
          <cell r="C1067" t="str">
            <v>1.01.01.01</v>
          </cell>
          <cell r="D1067">
            <v>41411</v>
          </cell>
          <cell r="E1067" t="str">
            <v xml:space="preserve">BANCO ITAÚ </v>
          </cell>
          <cell r="F1067" t="str">
            <v xml:space="preserve">DEVOLUÇÃO DE DOC </v>
          </cell>
          <cell r="G1067" t="str">
            <v>C</v>
          </cell>
          <cell r="H1067">
            <v>0</v>
          </cell>
          <cell r="I1067">
            <v>45</v>
          </cell>
          <cell r="J1067" t="str">
            <v>X</v>
          </cell>
          <cell r="K1067">
            <v>1494931.1300000013</v>
          </cell>
          <cell r="L1067">
            <v>1494931.1300000013</v>
          </cell>
          <cell r="M1067">
            <v>0</v>
          </cell>
        </row>
        <row r="1068">
          <cell r="B1068" t="str">
            <v>RE05-014</v>
          </cell>
          <cell r="C1068" t="str">
            <v>1.01.01.01</v>
          </cell>
          <cell r="D1068">
            <v>41415</v>
          </cell>
          <cell r="E1068" t="str">
            <v>SANESALTO SANEAMENTO S/A</v>
          </cell>
          <cell r="F1068" t="str">
            <v>MEDIÇÃO DE 11 A 17/05/2013</v>
          </cell>
          <cell r="G1068" t="str">
            <v>C</v>
          </cell>
          <cell r="H1068">
            <v>0</v>
          </cell>
          <cell r="I1068">
            <v>82886.399999999994</v>
          </cell>
          <cell r="J1068" t="str">
            <v>X</v>
          </cell>
          <cell r="K1068">
            <v>1577817.5300000012</v>
          </cell>
          <cell r="L1068">
            <v>1577817.5300000012</v>
          </cell>
          <cell r="M1068">
            <v>0</v>
          </cell>
        </row>
        <row r="1069">
          <cell r="B1069" t="str">
            <v>05-097</v>
          </cell>
          <cell r="C1069" t="str">
            <v>2.02.03.19</v>
          </cell>
          <cell r="D1069">
            <v>41415</v>
          </cell>
          <cell r="E1069" t="str">
            <v>EDITORA TAPERÁ LTDA</v>
          </cell>
          <cell r="F1069" t="str">
            <v>ANUNCIO DE PUBLICAÇÃO CETESB</v>
          </cell>
          <cell r="G1069" t="str">
            <v>D</v>
          </cell>
          <cell r="H1069">
            <v>45</v>
          </cell>
          <cell r="I1069">
            <v>0</v>
          </cell>
          <cell r="J1069" t="str">
            <v>X</v>
          </cell>
          <cell r="K1069">
            <v>1577772.5300000012</v>
          </cell>
          <cell r="L1069">
            <v>1577772.5300000012</v>
          </cell>
          <cell r="M1069">
            <v>0</v>
          </cell>
        </row>
        <row r="1070">
          <cell r="B1070" t="str">
            <v>RE05-015</v>
          </cell>
          <cell r="C1070" t="str">
            <v>1.01.01.01</v>
          </cell>
          <cell r="D1070">
            <v>41418</v>
          </cell>
          <cell r="E1070" t="str">
            <v xml:space="preserve">BANCO ITAÚ </v>
          </cell>
          <cell r="F1070" t="str">
            <v xml:space="preserve">RENDIMENTO DE APLICAÇÃO </v>
          </cell>
          <cell r="G1070" t="str">
            <v>C</v>
          </cell>
          <cell r="H1070">
            <v>0</v>
          </cell>
          <cell r="I1070">
            <v>81</v>
          </cell>
          <cell r="J1070" t="str">
            <v>X</v>
          </cell>
          <cell r="K1070">
            <v>1577853.5300000012</v>
          </cell>
          <cell r="L1070">
            <v>1577853.5300000012</v>
          </cell>
          <cell r="M1070">
            <v>0</v>
          </cell>
        </row>
        <row r="1071">
          <cell r="B1071" t="str">
            <v>05-131</v>
          </cell>
          <cell r="C1071" t="str">
            <v>1.01.02.03</v>
          </cell>
          <cell r="D1071">
            <v>41418</v>
          </cell>
          <cell r="E1071" t="str">
            <v>SECRETARIA DA RECEITA FEDERAL DO BRASIL</v>
          </cell>
          <cell r="F1071" t="str">
            <v>DARF COFINS REF 04/2013</v>
          </cell>
          <cell r="G1071" t="str">
            <v>D</v>
          </cell>
          <cell r="H1071">
            <v>60998.879999999997</v>
          </cell>
          <cell r="I1071">
            <v>0</v>
          </cell>
          <cell r="J1071" t="str">
            <v>X</v>
          </cell>
          <cell r="K1071">
            <v>1516854.6500000013</v>
          </cell>
          <cell r="L1071">
            <v>1516854.6500000013</v>
          </cell>
          <cell r="M1071">
            <v>0</v>
          </cell>
        </row>
        <row r="1072">
          <cell r="B1072" t="str">
            <v>05-132</v>
          </cell>
          <cell r="C1072" t="str">
            <v>1.01.02.02</v>
          </cell>
          <cell r="D1072">
            <v>41418</v>
          </cell>
          <cell r="E1072" t="str">
            <v>SECRETARIA DA RECEITA FEDERAL DO BRASIL</v>
          </cell>
          <cell r="F1072" t="str">
            <v>DARF PIS REF 04/2013</v>
          </cell>
          <cell r="G1072" t="str">
            <v>D</v>
          </cell>
          <cell r="H1072">
            <v>13243.18</v>
          </cell>
          <cell r="I1072">
            <v>0</v>
          </cell>
          <cell r="J1072" t="str">
            <v>X</v>
          </cell>
          <cell r="K1072">
            <v>1503611.4700000014</v>
          </cell>
          <cell r="L1072">
            <v>1503611.4700000014</v>
          </cell>
          <cell r="M1072">
            <v>0</v>
          </cell>
        </row>
        <row r="1073">
          <cell r="B1073" t="str">
            <v>RE05-016</v>
          </cell>
          <cell r="C1073" t="str">
            <v>1.01.01.01</v>
          </cell>
          <cell r="D1073">
            <v>41421</v>
          </cell>
          <cell r="E1073" t="str">
            <v>SANESALTO SANEAMENTO S/A</v>
          </cell>
          <cell r="F1073" t="str">
            <v>MEDIÇÃO DE 18 A 24/05/2013</v>
          </cell>
          <cell r="G1073" t="str">
            <v>C</v>
          </cell>
          <cell r="H1073">
            <v>0</v>
          </cell>
          <cell r="I1073">
            <v>130520.16</v>
          </cell>
          <cell r="J1073" t="str">
            <v>X</v>
          </cell>
          <cell r="K1073">
            <v>1634131.6300000013</v>
          </cell>
          <cell r="L1073">
            <v>1634131.6300000013</v>
          </cell>
          <cell r="M1073">
            <v>0</v>
          </cell>
        </row>
        <row r="1074">
          <cell r="B1074" t="str">
            <v>05-150</v>
          </cell>
          <cell r="C1074" t="str">
            <v>2.05.01.02</v>
          </cell>
          <cell r="D1074">
            <v>41421</v>
          </cell>
          <cell r="E1074" t="str">
            <v>BANCO ITAÚ S/A</v>
          </cell>
          <cell r="F1074" t="str">
            <v>TARIFA ENV EXTRAT CONS 05/2013</v>
          </cell>
          <cell r="G1074" t="str">
            <v>D</v>
          </cell>
          <cell r="H1074">
            <v>4</v>
          </cell>
          <cell r="I1074">
            <v>0</v>
          </cell>
          <cell r="J1074" t="str">
            <v>X</v>
          </cell>
          <cell r="K1074">
            <v>1634127.6300000013</v>
          </cell>
          <cell r="L1074">
            <v>1634127.6300000013</v>
          </cell>
          <cell r="M1074">
            <v>0</v>
          </cell>
        </row>
        <row r="1075">
          <cell r="B1075" t="str">
            <v>05-120</v>
          </cell>
          <cell r="C1075" t="str">
            <v>2.02.03.05</v>
          </cell>
          <cell r="D1075">
            <v>41421</v>
          </cell>
          <cell r="E1075" t="str">
            <v>SCANDIUZZI CONSULTORIA CONTABIL Ltda.</v>
          </cell>
          <cell r="F1075" t="str">
            <v>DESPESAS REF 04/2013</v>
          </cell>
          <cell r="G1075" t="str">
            <v>D</v>
          </cell>
          <cell r="H1075">
            <v>15.4</v>
          </cell>
          <cell r="I1075">
            <v>0</v>
          </cell>
          <cell r="J1075" t="str">
            <v>X</v>
          </cell>
          <cell r="K1075">
            <v>1634112.2300000014</v>
          </cell>
          <cell r="L1075">
            <v>1634112.2300000014</v>
          </cell>
          <cell r="M1075">
            <v>432</v>
          </cell>
        </row>
        <row r="1076">
          <cell r="B1076" t="str">
            <v>05-044</v>
          </cell>
          <cell r="C1076" t="str">
            <v>2.01.03.12</v>
          </cell>
          <cell r="D1076">
            <v>41421</v>
          </cell>
          <cell r="E1076" t="str">
            <v>COMERCIAL DE PARAFUSOS SALTENSE LTDA EPP</v>
          </cell>
          <cell r="F1076" t="str">
            <v xml:space="preserve">COMPRA DE MATERIAIS DIVERSOS </v>
          </cell>
          <cell r="G1076" t="str">
            <v>D</v>
          </cell>
          <cell r="H1076">
            <v>66.27</v>
          </cell>
          <cell r="I1076">
            <v>0</v>
          </cell>
          <cell r="J1076" t="str">
            <v>X</v>
          </cell>
          <cell r="K1076">
            <v>1634045.9600000014</v>
          </cell>
          <cell r="L1076">
            <v>1634045.9600000014</v>
          </cell>
          <cell r="M1076">
            <v>38000</v>
          </cell>
        </row>
        <row r="1077">
          <cell r="B1077" t="str">
            <v>05-112</v>
          </cell>
          <cell r="C1077" t="str">
            <v>2.02.01.04</v>
          </cell>
          <cell r="D1077">
            <v>41421</v>
          </cell>
          <cell r="E1077" t="str">
            <v>UNIMED DE SALTO ITU COOP TRAB MÉDICO</v>
          </cell>
          <cell r="F1077" t="str">
            <v>CONSULTAS DOS FUNCIONÁRIOS 04/2013</v>
          </cell>
          <cell r="G1077" t="str">
            <v>D</v>
          </cell>
          <cell r="H1077">
            <v>225.54</v>
          </cell>
          <cell r="I1077">
            <v>0</v>
          </cell>
          <cell r="J1077" t="str">
            <v>X</v>
          </cell>
          <cell r="K1077">
            <v>1633820.4200000013</v>
          </cell>
          <cell r="L1077">
            <v>1633820.4200000013</v>
          </cell>
          <cell r="M1077" t="str">
            <v>33000733/13</v>
          </cell>
        </row>
        <row r="1078">
          <cell r="B1078" t="str">
            <v>05-151</v>
          </cell>
          <cell r="C1078" t="str">
            <v>2.02.02.04</v>
          </cell>
          <cell r="D1078">
            <v>41421</v>
          </cell>
          <cell r="E1078" t="str">
            <v>VIVO S/A</v>
          </cell>
          <cell r="F1078" t="str">
            <v xml:space="preserve">PCTE VIVO INTERNET 1 GB </v>
          </cell>
          <cell r="G1078" t="str">
            <v>D</v>
          </cell>
          <cell r="H1078">
            <v>510.27</v>
          </cell>
          <cell r="I1078">
            <v>0</v>
          </cell>
          <cell r="J1078" t="str">
            <v>X</v>
          </cell>
          <cell r="K1078">
            <v>1633310.1500000013</v>
          </cell>
          <cell r="L1078">
            <v>1633310.1500000013</v>
          </cell>
          <cell r="M1078">
            <v>2063756013</v>
          </cell>
        </row>
        <row r="1079">
          <cell r="B1079" t="str">
            <v>05-005</v>
          </cell>
          <cell r="C1079" t="str">
            <v>2.01.05.11</v>
          </cell>
          <cell r="D1079">
            <v>41421</v>
          </cell>
          <cell r="E1079" t="str">
            <v>STEMAC S/A</v>
          </cell>
          <cell r="F1079" t="str">
            <v>RETIFIC 5A 24VCC</v>
          </cell>
          <cell r="G1079" t="str">
            <v>D</v>
          </cell>
          <cell r="H1079">
            <v>908</v>
          </cell>
          <cell r="I1079">
            <v>0</v>
          </cell>
          <cell r="J1079" t="str">
            <v>X</v>
          </cell>
          <cell r="K1079">
            <v>1632402.1500000013</v>
          </cell>
          <cell r="L1079">
            <v>1632402.1500000013</v>
          </cell>
          <cell r="M1079">
            <v>70662</v>
          </cell>
        </row>
        <row r="1080">
          <cell r="B1080" t="str">
            <v>05-133</v>
          </cell>
          <cell r="C1080" t="str">
            <v>2.02.03.21</v>
          </cell>
          <cell r="D1080">
            <v>41421</v>
          </cell>
          <cell r="E1080" t="str">
            <v>ANDRÉ CÔRTES VELLOSO</v>
          </cell>
          <cell r="F1080" t="str">
            <v>DESPESAS MENSAIS</v>
          </cell>
          <cell r="G1080" t="str">
            <v>D</v>
          </cell>
          <cell r="H1080">
            <v>984.4</v>
          </cell>
          <cell r="I1080">
            <v>0</v>
          </cell>
          <cell r="J1080" t="str">
            <v>X</v>
          </cell>
          <cell r="K1080">
            <v>1631417.7500000014</v>
          </cell>
          <cell r="L1080">
            <v>1631417.7500000014</v>
          </cell>
          <cell r="M1080">
            <v>0</v>
          </cell>
        </row>
        <row r="1081">
          <cell r="B1081" t="str">
            <v>05-108</v>
          </cell>
          <cell r="C1081" t="str">
            <v>2.01.05.04</v>
          </cell>
          <cell r="D1081">
            <v>41421</v>
          </cell>
          <cell r="E1081" t="str">
            <v>BERZIN ASSISTÊNCIA TÉCNICA DE INFORMÁTICA Ltda.</v>
          </cell>
          <cell r="F1081" t="str">
            <v>SERVIÇOS DE CONSULTORIA PRESTADOS EM ABR/2013</v>
          </cell>
          <cell r="G1081" t="str">
            <v/>
          </cell>
          <cell r="H1081">
            <v>4284.76</v>
          </cell>
          <cell r="I1081">
            <v>0</v>
          </cell>
          <cell r="J1081" t="str">
            <v>X</v>
          </cell>
          <cell r="K1081">
            <v>1627132.9900000014</v>
          </cell>
          <cell r="L1081">
            <v>1627132.9900000014</v>
          </cell>
          <cell r="M1081">
            <v>351</v>
          </cell>
        </row>
        <row r="1082">
          <cell r="B1082" t="str">
            <v>05-074</v>
          </cell>
          <cell r="C1082" t="str">
            <v>2.01.03.09</v>
          </cell>
          <cell r="D1082">
            <v>41421</v>
          </cell>
          <cell r="E1082" t="str">
            <v>COMPANHIA PIRATININGA DE FORÇA E LUZ - CPFL</v>
          </cell>
          <cell r="F1082" t="str">
            <v>CONTA DE ENERGIA ELEV GUARAÚ 01 REF 05/2013</v>
          </cell>
          <cell r="G1082" t="str">
            <v>D</v>
          </cell>
          <cell r="H1082">
            <v>4787.21</v>
          </cell>
          <cell r="I1082">
            <v>0</v>
          </cell>
          <cell r="J1082" t="str">
            <v>X</v>
          </cell>
          <cell r="K1082">
            <v>1622345.7800000014</v>
          </cell>
          <cell r="L1082">
            <v>1622345.7800000014</v>
          </cell>
          <cell r="M1082">
            <v>0</v>
          </cell>
        </row>
        <row r="1083">
          <cell r="B1083" t="str">
            <v>05-083</v>
          </cell>
          <cell r="C1083" t="str">
            <v>2.01.03.09</v>
          </cell>
          <cell r="D1083">
            <v>41421</v>
          </cell>
          <cell r="E1083" t="str">
            <v>COMPANHIA PIRATININGA DE FORÇA E LUZ - CPFL</v>
          </cell>
          <cell r="F1083" t="str">
            <v>CONTA DE ENERGIA ELEV BURU 02 REF 05/2013</v>
          </cell>
          <cell r="G1083" t="str">
            <v>D</v>
          </cell>
          <cell r="H1083">
            <v>7132.03</v>
          </cell>
          <cell r="I1083">
            <v>0</v>
          </cell>
          <cell r="J1083" t="str">
            <v>X</v>
          </cell>
          <cell r="K1083">
            <v>1615213.7500000014</v>
          </cell>
          <cell r="L1083">
            <v>1615213.7500000014</v>
          </cell>
          <cell r="M1083">
            <v>0</v>
          </cell>
        </row>
        <row r="1084">
          <cell r="B1084" t="str">
            <v>05-075</v>
          </cell>
          <cell r="C1084" t="str">
            <v>2.01.03.09</v>
          </cell>
          <cell r="D1084">
            <v>41421</v>
          </cell>
          <cell r="E1084" t="str">
            <v>COMPANHIA PIRATININGA DE FORÇA E LUZ - CPFL</v>
          </cell>
          <cell r="F1084" t="str">
            <v>CONTA DE ENERGIA ETE REF 05/2013</v>
          </cell>
          <cell r="G1084" t="str">
            <v>D</v>
          </cell>
          <cell r="H1084">
            <v>9119.42</v>
          </cell>
          <cell r="I1084">
            <v>0</v>
          </cell>
          <cell r="J1084" t="str">
            <v>X</v>
          </cell>
          <cell r="K1084">
            <v>1606094.3300000015</v>
          </cell>
          <cell r="L1084">
            <v>1606094.3300000015</v>
          </cell>
          <cell r="M1084">
            <v>0</v>
          </cell>
        </row>
        <row r="1085">
          <cell r="B1085" t="str">
            <v>05-084</v>
          </cell>
          <cell r="C1085" t="str">
            <v>2.01.03.09</v>
          </cell>
          <cell r="D1085">
            <v>41421</v>
          </cell>
          <cell r="E1085" t="str">
            <v>COMPANHIA PIRATININGA DE FORÇA E LUZ - CPFL</v>
          </cell>
          <cell r="F1085" t="str">
            <v>CONTA DE ENERGIA ELEV BURU 01 REF 05/2013</v>
          </cell>
          <cell r="G1085" t="str">
            <v>D</v>
          </cell>
          <cell r="H1085">
            <v>9565.76</v>
          </cell>
          <cell r="I1085">
            <v>0</v>
          </cell>
          <cell r="J1085" t="str">
            <v>X</v>
          </cell>
          <cell r="K1085">
            <v>1596528.5700000015</v>
          </cell>
          <cell r="L1085">
            <v>1596528.5700000015</v>
          </cell>
          <cell r="M1085">
            <v>0</v>
          </cell>
        </row>
        <row r="1086">
          <cell r="B1086" t="str">
            <v>05-042</v>
          </cell>
          <cell r="C1086" t="str">
            <v>2.02.03.20</v>
          </cell>
          <cell r="D1086">
            <v>41421</v>
          </cell>
          <cell r="E1086" t="str">
            <v xml:space="preserve">BIG BI COMERCIAL LTDA EPP </v>
          </cell>
          <cell r="F1086" t="str">
            <v>COMPRA DE CAIXAS DE LÁPIS DE COR PARA SEMANA DO MEIO AMBIENTE</v>
          </cell>
          <cell r="G1086" t="str">
            <v>D</v>
          </cell>
          <cell r="H1086">
            <v>629.70000000000005</v>
          </cell>
          <cell r="I1086">
            <v>0</v>
          </cell>
          <cell r="J1086" t="str">
            <v>X</v>
          </cell>
          <cell r="K1086">
            <v>1595898.8700000015</v>
          </cell>
          <cell r="L1086">
            <v>1595898.8700000015</v>
          </cell>
          <cell r="M1086">
            <v>6162</v>
          </cell>
        </row>
        <row r="1087">
          <cell r="B1087" t="str">
            <v>RE05-017</v>
          </cell>
          <cell r="C1087" t="str">
            <v>1.01.01.01</v>
          </cell>
          <cell r="D1087">
            <v>41423</v>
          </cell>
          <cell r="E1087" t="str">
            <v xml:space="preserve">BANCO ITAÚ </v>
          </cell>
          <cell r="F1087" t="str">
            <v xml:space="preserve">RENDIMENTO DE APLICAÇÃO </v>
          </cell>
          <cell r="G1087" t="str">
            <v>C</v>
          </cell>
          <cell r="H1087">
            <v>0</v>
          </cell>
          <cell r="I1087">
            <v>578.03</v>
          </cell>
          <cell r="J1087" t="str">
            <v>X</v>
          </cell>
          <cell r="K1087">
            <v>1596476.9000000015</v>
          </cell>
          <cell r="L1087">
            <v>1596476.9000000015</v>
          </cell>
          <cell r="M1087">
            <v>0</v>
          </cell>
        </row>
        <row r="1088">
          <cell r="B1088" t="str">
            <v>05-154</v>
          </cell>
          <cell r="C1088" t="str">
            <v>2.01.01.07</v>
          </cell>
          <cell r="D1088">
            <v>41423</v>
          </cell>
          <cell r="E1088" t="str">
            <v>AUTO ONIBUS NARDELLI LTDA</v>
          </cell>
          <cell r="F1088" t="str">
            <v>RECARGA CARTÃO VALE TRANSPORTE FUNCIONÁRIOS</v>
          </cell>
          <cell r="G1088" t="str">
            <v>D</v>
          </cell>
          <cell r="H1088">
            <v>1303.4000000000001</v>
          </cell>
          <cell r="I1088">
            <v>0</v>
          </cell>
          <cell r="J1088" t="str">
            <v>X</v>
          </cell>
          <cell r="K1088">
            <v>1595173.5000000016</v>
          </cell>
          <cell r="L1088">
            <v>1595173.5000000016</v>
          </cell>
          <cell r="M1088">
            <v>0</v>
          </cell>
        </row>
        <row r="1089">
          <cell r="B1089" t="str">
            <v>05-153</v>
          </cell>
          <cell r="C1089" t="str">
            <v>2.01.01.06</v>
          </cell>
          <cell r="D1089">
            <v>41423</v>
          </cell>
          <cell r="E1089" t="str">
            <v>SODEXO PASS DO BRASIL</v>
          </cell>
          <cell r="F1089" t="str">
            <v>VALE ALIMENTAÇÃO REF 06/2013</v>
          </cell>
          <cell r="G1089" t="str">
            <v>D</v>
          </cell>
          <cell r="H1089">
            <v>8404.74</v>
          </cell>
          <cell r="I1089">
            <v>0</v>
          </cell>
          <cell r="J1089" t="str">
            <v>X</v>
          </cell>
          <cell r="K1089">
            <v>1586768.7600000016</v>
          </cell>
          <cell r="L1089">
            <v>1586768.7600000016</v>
          </cell>
          <cell r="M1089">
            <v>0</v>
          </cell>
        </row>
        <row r="1090">
          <cell r="B1090" t="str">
            <v>05-117</v>
          </cell>
          <cell r="C1090" t="str">
            <v>2.02.01.01</v>
          </cell>
          <cell r="D1090">
            <v>41423</v>
          </cell>
          <cell r="E1090" t="str">
            <v>SECRETARIA DA RECEITA FEDERAL DO BRASIL</v>
          </cell>
          <cell r="F1090" t="str">
            <v>DARF IR NF 358 HF ANDRADE</v>
          </cell>
          <cell r="G1090" t="str">
            <v>D</v>
          </cell>
          <cell r="H1090">
            <v>36.89</v>
          </cell>
          <cell r="I1090">
            <v>0</v>
          </cell>
          <cell r="J1090" t="str">
            <v>X</v>
          </cell>
          <cell r="K1090">
            <v>1586731.8700000017</v>
          </cell>
          <cell r="L1090">
            <v>1586731.8700000017</v>
          </cell>
          <cell r="M1090">
            <v>0</v>
          </cell>
        </row>
        <row r="1091">
          <cell r="B1091" t="str">
            <v>05-135/1</v>
          </cell>
          <cell r="C1091" t="str">
            <v>2.02.02.04</v>
          </cell>
          <cell r="D1091">
            <v>41423</v>
          </cell>
          <cell r="E1091" t="str">
            <v>NEXTEL TELECOMUNICAÇÕES</v>
          </cell>
          <cell r="F1091" t="str">
            <v>PERÍODO DE 07/04 A 06/05/2013</v>
          </cell>
          <cell r="G1091" t="str">
            <v>D</v>
          </cell>
          <cell r="H1091">
            <v>1126.8399999999999</v>
          </cell>
          <cell r="I1091">
            <v>0</v>
          </cell>
          <cell r="J1091" t="str">
            <v>X</v>
          </cell>
          <cell r="K1091">
            <v>1585605.0300000017</v>
          </cell>
          <cell r="L1091">
            <v>1585605.0300000017</v>
          </cell>
          <cell r="M1091">
            <v>23464754</v>
          </cell>
        </row>
        <row r="1092">
          <cell r="B1092" t="str">
            <v>05-135/2</v>
          </cell>
          <cell r="C1092" t="str">
            <v>2.02.02.04</v>
          </cell>
          <cell r="D1092">
            <v>41423</v>
          </cell>
          <cell r="E1092" t="str">
            <v>NEXTEL TELECOMUNICAÇÕES</v>
          </cell>
          <cell r="F1092" t="str">
            <v>PERÍODO DE 07/04 A 06/05/2013</v>
          </cell>
          <cell r="G1092" t="str">
            <v>D</v>
          </cell>
          <cell r="H1092">
            <v>39.9</v>
          </cell>
          <cell r="I1092">
            <v>0</v>
          </cell>
          <cell r="J1092" t="str">
            <v>X</v>
          </cell>
          <cell r="K1092">
            <v>1585565.1300000018</v>
          </cell>
          <cell r="L1092">
            <v>1585565.1300000018</v>
          </cell>
          <cell r="M1092">
            <v>23464769</v>
          </cell>
        </row>
        <row r="1093">
          <cell r="B1093" t="str">
            <v>05-136/1</v>
          </cell>
          <cell r="C1093" t="str">
            <v>2.02.02.04</v>
          </cell>
          <cell r="D1093">
            <v>41423</v>
          </cell>
          <cell r="E1093" t="str">
            <v>NEXTEL TELECOMUNICAÇÕES</v>
          </cell>
          <cell r="F1093" t="str">
            <v>PERÍODO DE 07/04 A 06/05/2013</v>
          </cell>
          <cell r="G1093" t="str">
            <v>D</v>
          </cell>
          <cell r="H1093">
            <v>508.44</v>
          </cell>
          <cell r="I1093">
            <v>0</v>
          </cell>
          <cell r="J1093" t="str">
            <v>X</v>
          </cell>
          <cell r="K1093">
            <v>1585056.6900000018</v>
          </cell>
          <cell r="L1093">
            <v>1585056.6900000018</v>
          </cell>
          <cell r="M1093">
            <v>23424471</v>
          </cell>
        </row>
        <row r="1094">
          <cell r="B1094" t="str">
            <v>05-136/2</v>
          </cell>
          <cell r="C1094" t="str">
            <v>2.02.02.04</v>
          </cell>
          <cell r="D1094">
            <v>41423</v>
          </cell>
          <cell r="E1094" t="str">
            <v>NEXTEL TELECOMUNICAÇÕES</v>
          </cell>
          <cell r="F1094" t="str">
            <v>PERÍODO DE 07/04 A 06/05/2013</v>
          </cell>
          <cell r="G1094" t="str">
            <v>D</v>
          </cell>
          <cell r="H1094">
            <v>39.9</v>
          </cell>
          <cell r="I1094">
            <v>0</v>
          </cell>
          <cell r="J1094" t="str">
            <v>X</v>
          </cell>
          <cell r="K1094">
            <v>1585016.7900000019</v>
          </cell>
          <cell r="L1094">
            <v>1585016.7900000019</v>
          </cell>
          <cell r="M1094">
            <v>23424498</v>
          </cell>
        </row>
        <row r="1095">
          <cell r="B1095" t="str">
            <v>05-127</v>
          </cell>
          <cell r="C1095" t="str">
            <v>2.02.03.08</v>
          </cell>
          <cell r="D1095">
            <v>41423</v>
          </cell>
          <cell r="E1095" t="str">
            <v>ARCOSERV AR CONDICIONADO Ltda.</v>
          </cell>
          <cell r="F1095" t="str">
            <v>SERVIÇOS DE MANUTENÇÃO DE AR CONDICIONADO</v>
          </cell>
          <cell r="G1095" t="str">
            <v>D</v>
          </cell>
          <cell r="H1095">
            <v>82.67</v>
          </cell>
          <cell r="I1095">
            <v>0</v>
          </cell>
          <cell r="J1095" t="str">
            <v>X</v>
          </cell>
          <cell r="K1095">
            <v>1584934.120000002</v>
          </cell>
          <cell r="L1095">
            <v>1584934.120000002</v>
          </cell>
          <cell r="M1095">
            <v>2833</v>
          </cell>
        </row>
        <row r="1096">
          <cell r="B1096" t="str">
            <v>05-060</v>
          </cell>
          <cell r="C1096" t="str">
            <v>2.01.03.16</v>
          </cell>
          <cell r="D1096">
            <v>41423</v>
          </cell>
          <cell r="E1096" t="str">
            <v>ELETRO IRMÃOS MATERIAIS ELETRICOS LTDA</v>
          </cell>
          <cell r="F1096" t="str">
            <v>COMPRA DE MATERIAIS ELETRICOS PARA ETE</v>
          </cell>
          <cell r="G1096" t="str">
            <v>D</v>
          </cell>
          <cell r="H1096">
            <v>108.22</v>
          </cell>
          <cell r="I1096">
            <v>0</v>
          </cell>
          <cell r="J1096" t="str">
            <v>X</v>
          </cell>
          <cell r="K1096">
            <v>1584825.900000002</v>
          </cell>
          <cell r="L1096">
            <v>1584825.900000002</v>
          </cell>
          <cell r="M1096">
            <v>8818</v>
          </cell>
        </row>
        <row r="1097">
          <cell r="B1097" t="str">
            <v>05-086</v>
          </cell>
          <cell r="C1097" t="str">
            <v>2.02.02.04</v>
          </cell>
          <cell r="D1097">
            <v>41423</v>
          </cell>
          <cell r="E1097" t="str">
            <v xml:space="preserve">NETSERV </v>
          </cell>
          <cell r="F1097" t="str">
            <v>LINK DE INTERNET - SCM</v>
          </cell>
          <cell r="G1097" t="str">
            <v>D</v>
          </cell>
          <cell r="H1097">
            <v>134</v>
          </cell>
          <cell r="I1097">
            <v>0</v>
          </cell>
          <cell r="J1097" t="str">
            <v>X</v>
          </cell>
          <cell r="K1097">
            <v>1584691.900000002</v>
          </cell>
          <cell r="L1097">
            <v>1584691.900000002</v>
          </cell>
          <cell r="M1097">
            <v>543</v>
          </cell>
        </row>
        <row r="1098">
          <cell r="B1098" t="str">
            <v>05-152</v>
          </cell>
          <cell r="C1098" t="str">
            <v>2.02.03.21</v>
          </cell>
          <cell r="D1098">
            <v>41423</v>
          </cell>
          <cell r="E1098" t="str">
            <v>JONAS SANTOS</v>
          </cell>
          <cell r="F1098" t="str">
            <v>DESPESAS DE VIAGEM</v>
          </cell>
          <cell r="G1098" t="str">
            <v>D</v>
          </cell>
          <cell r="H1098">
            <v>135.9</v>
          </cell>
          <cell r="I1098">
            <v>0</v>
          </cell>
          <cell r="J1098" t="str">
            <v>X</v>
          </cell>
          <cell r="K1098">
            <v>1584556.0000000021</v>
          </cell>
          <cell r="L1098">
            <v>1584556.0000000021</v>
          </cell>
          <cell r="M1098">
            <v>0</v>
          </cell>
        </row>
        <row r="1099">
          <cell r="B1099" t="str">
            <v>05-052</v>
          </cell>
          <cell r="C1099" t="str">
            <v>2.02.01.14</v>
          </cell>
          <cell r="D1099">
            <v>41423</v>
          </cell>
          <cell r="E1099" t="str">
            <v xml:space="preserve">SINDICATO TRAB AGUA ESGOTO E MEIO AMBIENTE DO EST DE SP </v>
          </cell>
          <cell r="F1099" t="str">
            <v xml:space="preserve">CONTRIBUIÇÃO SINDICAL URBANA </v>
          </cell>
          <cell r="G1099" t="str">
            <v>D</v>
          </cell>
          <cell r="H1099">
            <v>190.24</v>
          </cell>
          <cell r="I1099">
            <v>0</v>
          </cell>
          <cell r="J1099" t="str">
            <v>X</v>
          </cell>
          <cell r="K1099">
            <v>1584365.7600000021</v>
          </cell>
          <cell r="L1099">
            <v>1584365.7600000021</v>
          </cell>
          <cell r="M1099">
            <v>0</v>
          </cell>
        </row>
        <row r="1100">
          <cell r="B1100" t="str">
            <v>05-039</v>
          </cell>
          <cell r="C1100" t="str">
            <v>2.02.01.01</v>
          </cell>
          <cell r="D1100">
            <v>41423</v>
          </cell>
          <cell r="E1100" t="str">
            <v>SECRETARIA DA RECEITA FEDERAL DO BRASIL</v>
          </cell>
          <cell r="F1100" t="str">
            <v>DARF CSRF NF 383 HF ANDRADE</v>
          </cell>
          <cell r="G1100" t="str">
            <v>D</v>
          </cell>
          <cell r="H1100">
            <v>280.31</v>
          </cell>
          <cell r="I1100">
            <v>0</v>
          </cell>
          <cell r="J1100" t="str">
            <v>X</v>
          </cell>
          <cell r="K1100">
            <v>1584085.450000002</v>
          </cell>
          <cell r="L1100">
            <v>1584085.450000002</v>
          </cell>
          <cell r="M1100">
            <v>0</v>
          </cell>
        </row>
        <row r="1101">
          <cell r="B1101" t="str">
            <v>05-130</v>
          </cell>
          <cell r="C1101" t="str">
            <v>2.02.02.04</v>
          </cell>
          <cell r="D1101">
            <v>41423</v>
          </cell>
          <cell r="E1101" t="str">
            <v xml:space="preserve">NETSERV </v>
          </cell>
          <cell r="F1101" t="str">
            <v>LINK DE INTERNET - SCM</v>
          </cell>
          <cell r="G1101" t="str">
            <v>D</v>
          </cell>
          <cell r="H1101">
            <v>307</v>
          </cell>
          <cell r="I1101">
            <v>0</v>
          </cell>
          <cell r="J1101" t="str">
            <v>X</v>
          </cell>
          <cell r="K1101">
            <v>1583778.450000002</v>
          </cell>
          <cell r="L1101">
            <v>1583778.450000002</v>
          </cell>
          <cell r="M1101">
            <v>66751</v>
          </cell>
        </row>
        <row r="1102">
          <cell r="B1102" t="str">
            <v>05-081</v>
          </cell>
          <cell r="C1102" t="str">
            <v>2.01.05.07</v>
          </cell>
          <cell r="D1102">
            <v>41423</v>
          </cell>
          <cell r="E1102" t="str">
            <v>CASSOMED COM SERVIÇO DE SEG E SAÚDE OCUPACIONAL Ltda. ME</v>
          </cell>
          <cell r="F1102" t="str">
            <v>PRESTAÇÃO DE SERVIÇOS DE PCMSO E SEGURANÇA DO TRABALHO</v>
          </cell>
          <cell r="G1102" t="str">
            <v>D</v>
          </cell>
          <cell r="H1102">
            <v>391.21</v>
          </cell>
          <cell r="I1102">
            <v>0</v>
          </cell>
          <cell r="J1102" t="str">
            <v>X</v>
          </cell>
          <cell r="K1102">
            <v>1583387.2400000021</v>
          </cell>
          <cell r="L1102">
            <v>1583387.2400000021</v>
          </cell>
          <cell r="M1102">
            <v>1417</v>
          </cell>
        </row>
        <row r="1103">
          <cell r="B1103" t="str">
            <v>05-040</v>
          </cell>
          <cell r="C1103" t="str">
            <v>2.02.02.02</v>
          </cell>
          <cell r="D1103">
            <v>41423</v>
          </cell>
          <cell r="E1103" t="str">
            <v xml:space="preserve">CAPITAL EMBALAGENS DESCARTÁVEIS </v>
          </cell>
          <cell r="F1103" t="str">
            <v>COMPRA DE PRODUTOS DE LIMPEZA PARA ETE E ESCRITÓRIO</v>
          </cell>
          <cell r="G1103" t="str">
            <v>D</v>
          </cell>
          <cell r="H1103">
            <v>453.5</v>
          </cell>
          <cell r="I1103">
            <v>0</v>
          </cell>
          <cell r="J1103" t="str">
            <v>X</v>
          </cell>
          <cell r="K1103">
            <v>1582933.7400000021</v>
          </cell>
          <cell r="L1103">
            <v>1582933.7400000021</v>
          </cell>
          <cell r="M1103">
            <v>33126</v>
          </cell>
        </row>
        <row r="1104">
          <cell r="B1104" t="str">
            <v>05-107</v>
          </cell>
          <cell r="C1104" t="str">
            <v>2.01.05.14</v>
          </cell>
          <cell r="D1104">
            <v>41423</v>
          </cell>
          <cell r="E1104" t="str">
            <v>WILSON BENEDITO RIZZI</v>
          </cell>
          <cell r="F1104" t="str">
            <v>COMPRA DE CAMINHÃO DE ÁGUA PARA ETE</v>
          </cell>
          <cell r="G1104" t="str">
            <v>D</v>
          </cell>
          <cell r="H1104">
            <v>660</v>
          </cell>
          <cell r="I1104">
            <v>0</v>
          </cell>
          <cell r="J1104" t="str">
            <v>X</v>
          </cell>
          <cell r="K1104">
            <v>1582273.7400000021</v>
          </cell>
          <cell r="L1104">
            <v>1582273.7400000021</v>
          </cell>
          <cell r="M1104">
            <v>3803</v>
          </cell>
        </row>
        <row r="1105">
          <cell r="B1105" t="str">
            <v>04-118</v>
          </cell>
          <cell r="C1105" t="str">
            <v>2.01.05.10</v>
          </cell>
          <cell r="D1105">
            <v>41423</v>
          </cell>
          <cell r="E1105" t="str">
            <v>SECRETARIA DA RECEITA FEDERAL DO BRASIL</v>
          </cell>
          <cell r="F1105" t="str">
            <v>DARF CSRF NF 11189 CORPUS</v>
          </cell>
          <cell r="G1105" t="str">
            <v>D</v>
          </cell>
          <cell r="H1105">
            <v>821.57</v>
          </cell>
          <cell r="I1105">
            <v>0</v>
          </cell>
          <cell r="J1105" t="str">
            <v>X</v>
          </cell>
          <cell r="K1105">
            <v>1581452.170000002</v>
          </cell>
          <cell r="L1105">
            <v>1581452.170000002</v>
          </cell>
          <cell r="M1105">
            <v>0</v>
          </cell>
        </row>
        <row r="1106">
          <cell r="B1106" t="str">
            <v>05-137</v>
          </cell>
          <cell r="C1106" t="str">
            <v>2.02.02.04</v>
          </cell>
          <cell r="D1106">
            <v>41423</v>
          </cell>
          <cell r="E1106" t="str">
            <v>NEXTEL TELECOMUNICAÇÕES</v>
          </cell>
          <cell r="F1106" t="str">
            <v>PERÍODO DE 07/04 A 06/05/2013</v>
          </cell>
          <cell r="G1106" t="str">
            <v>D</v>
          </cell>
          <cell r="H1106">
            <v>533.20000000000005</v>
          </cell>
          <cell r="I1106">
            <v>0</v>
          </cell>
          <cell r="J1106" t="str">
            <v>X</v>
          </cell>
          <cell r="K1106">
            <v>1580918.9700000021</v>
          </cell>
          <cell r="L1106">
            <v>1580918.9700000021</v>
          </cell>
          <cell r="M1106">
            <v>23424450</v>
          </cell>
        </row>
        <row r="1107">
          <cell r="B1107" t="str">
            <v>05-149</v>
          </cell>
          <cell r="C1107" t="str">
            <v>2.02.01.03</v>
          </cell>
          <cell r="D1107">
            <v>41423</v>
          </cell>
          <cell r="E1107" t="str">
            <v>JULIO CÉSAR DA S OLIVEIRA</v>
          </cell>
          <cell r="F1107" t="str">
            <v xml:space="preserve">FÉRIAS </v>
          </cell>
          <cell r="G1107" t="str">
            <v>D</v>
          </cell>
          <cell r="H1107">
            <v>1228.8499999999999</v>
          </cell>
          <cell r="I1107">
            <v>0</v>
          </cell>
          <cell r="J1107" t="str">
            <v>X</v>
          </cell>
          <cell r="K1107">
            <v>1579690.120000002</v>
          </cell>
          <cell r="L1107">
            <v>1579690.120000002</v>
          </cell>
          <cell r="M1107">
            <v>0</v>
          </cell>
        </row>
        <row r="1108">
          <cell r="B1108" t="str">
            <v>05-036</v>
          </cell>
          <cell r="C1108" t="str">
            <v>2.02.03.04</v>
          </cell>
          <cell r="D1108">
            <v>41423</v>
          </cell>
          <cell r="E1108" t="str">
            <v>SECRETARIA DA RECEITA FEDERAL DO BRASIL</v>
          </cell>
          <cell r="F1108" t="str">
            <v>DARF CSRF NF 41 ARAUJO DE ARAUJO</v>
          </cell>
          <cell r="G1108" t="str">
            <v>D</v>
          </cell>
          <cell r="H1108">
            <v>1283.4000000000001</v>
          </cell>
          <cell r="I1108">
            <v>0</v>
          </cell>
          <cell r="J1108" t="str">
            <v>X</v>
          </cell>
          <cell r="K1108">
            <v>1578406.7200000021</v>
          </cell>
          <cell r="L1108">
            <v>1578406.7200000021</v>
          </cell>
          <cell r="M1108">
            <v>0</v>
          </cell>
        </row>
        <row r="1109">
          <cell r="B1109" t="str">
            <v>05-123/1</v>
          </cell>
          <cell r="C1109" t="str">
            <v>2.02.03.06</v>
          </cell>
          <cell r="D1109">
            <v>41423</v>
          </cell>
          <cell r="E1109" t="str">
            <v>ECOMAX ENGENHARIA LTDA</v>
          </cell>
          <cell r="F1109" t="str">
            <v>SERVIÇOS TÉCNICOS DE LICENCIAMENTO AMBIENTAL</v>
          </cell>
          <cell r="G1109" t="str">
            <v>D</v>
          </cell>
          <cell r="H1109">
            <v>1402.5</v>
          </cell>
          <cell r="I1109">
            <v>0</v>
          </cell>
          <cell r="J1109" t="str">
            <v>X</v>
          </cell>
          <cell r="K1109">
            <v>1577004.2200000021</v>
          </cell>
          <cell r="L1109">
            <v>1577004.2200000021</v>
          </cell>
          <cell r="M1109">
            <v>2014</v>
          </cell>
        </row>
        <row r="1110">
          <cell r="B1110" t="str">
            <v>05-089</v>
          </cell>
          <cell r="C1110" t="str">
            <v>2.01.03.09</v>
          </cell>
          <cell r="D1110">
            <v>41423</v>
          </cell>
          <cell r="E1110" t="str">
            <v>COMPANHIA PIRATININGA DE FORÇA E LUZ - CPFL</v>
          </cell>
          <cell r="F1110" t="str">
            <v>CONTA DE ENERGIA ELEV 03 REF 05/2013</v>
          </cell>
          <cell r="G1110" t="str">
            <v>D</v>
          </cell>
          <cell r="H1110">
            <v>1878.81</v>
          </cell>
          <cell r="I1110">
            <v>0</v>
          </cell>
          <cell r="J1110" t="str">
            <v>X</v>
          </cell>
          <cell r="K1110">
            <v>1575125.410000002</v>
          </cell>
          <cell r="L1110">
            <v>1575125.410000002</v>
          </cell>
          <cell r="M1110">
            <v>0</v>
          </cell>
        </row>
        <row r="1111">
          <cell r="B1111" t="str">
            <v>05-090</v>
          </cell>
          <cell r="C1111" t="str">
            <v>2.01.03.09</v>
          </cell>
          <cell r="D1111">
            <v>41423</v>
          </cell>
          <cell r="E1111" t="str">
            <v>COMPANHIA PIRATININGA DE FORÇA E LUZ - CPFL</v>
          </cell>
          <cell r="F1111" t="str">
            <v>CONTA DE ENERGIA ELEV 01 REF 05/2013</v>
          </cell>
          <cell r="G1111" t="str">
            <v>D</v>
          </cell>
          <cell r="H1111">
            <v>4515.43</v>
          </cell>
          <cell r="I1111">
            <v>0</v>
          </cell>
          <cell r="J1111" t="str">
            <v>X</v>
          </cell>
          <cell r="K1111">
            <v>1570609.9800000021</v>
          </cell>
          <cell r="L1111">
            <v>1570609.9800000021</v>
          </cell>
          <cell r="M1111">
            <v>0</v>
          </cell>
        </row>
        <row r="1112">
          <cell r="B1112" t="str">
            <v>05-035</v>
          </cell>
          <cell r="C1112" t="str">
            <v>2.06.03.01</v>
          </cell>
          <cell r="D1112">
            <v>41423</v>
          </cell>
          <cell r="E1112" t="str">
            <v>CVM - COMISSÃO DE VALORES MOBILIÁRIOS</v>
          </cell>
          <cell r="F1112" t="str">
            <v>PARCELAMENTO N. 267 PARCELA 16</v>
          </cell>
          <cell r="G1112" t="str">
            <v>D</v>
          </cell>
          <cell r="H1112">
            <v>4830.6499999999996</v>
          </cell>
          <cell r="I1112">
            <v>0</v>
          </cell>
          <cell r="J1112" t="str">
            <v>X</v>
          </cell>
          <cell r="K1112">
            <v>1565779.3300000022</v>
          </cell>
          <cell r="L1112">
            <v>1565779.3300000022</v>
          </cell>
          <cell r="M1112">
            <v>47246</v>
          </cell>
        </row>
        <row r="1113">
          <cell r="B1113" t="str">
            <v>05-109</v>
          </cell>
          <cell r="C1113" t="str">
            <v>2.01.05.13</v>
          </cell>
          <cell r="D1113">
            <v>41423</v>
          </cell>
          <cell r="E1113" t="str">
            <v>GARRA COM E SERVIÇOS PROFISSIONALIZADOS Ltda. ME</v>
          </cell>
          <cell r="F1113" t="str">
            <v>SERVIÇOS DE PORTARIA</v>
          </cell>
          <cell r="G1113" t="str">
            <v>D</v>
          </cell>
          <cell r="H1113">
            <v>5312.92</v>
          </cell>
          <cell r="I1113">
            <v>0</v>
          </cell>
          <cell r="J1113" t="str">
            <v>X</v>
          </cell>
          <cell r="K1113">
            <v>1560466.4100000022</v>
          </cell>
          <cell r="L1113">
            <v>1560466.4100000022</v>
          </cell>
          <cell r="M1113">
            <v>997</v>
          </cell>
        </row>
        <row r="1114">
          <cell r="B1114" t="str">
            <v>05-134</v>
          </cell>
          <cell r="C1114" t="str">
            <v>2.02.03.03</v>
          </cell>
          <cell r="D1114">
            <v>41423</v>
          </cell>
          <cell r="E1114" t="str">
            <v>BOCATER, CAMARGO, COSTA E SILVA</v>
          </cell>
          <cell r="F1114" t="str">
            <v>HONORÁRIOS PARA ELABORAÇÃO DE OPINIÃO LEGAL SOBRE INTEGRALIZAÇÃO  DE DEBENTURES</v>
          </cell>
          <cell r="G1114" t="str">
            <v>D</v>
          </cell>
          <cell r="H1114">
            <v>7508</v>
          </cell>
          <cell r="I1114">
            <v>0</v>
          </cell>
          <cell r="J1114" t="str">
            <v>X</v>
          </cell>
          <cell r="K1114">
            <v>1552958.4100000022</v>
          </cell>
          <cell r="L1114">
            <v>1552958.4100000022</v>
          </cell>
          <cell r="M1114">
            <v>1621</v>
          </cell>
        </row>
        <row r="1115">
          <cell r="B1115" t="str">
            <v>05-098</v>
          </cell>
          <cell r="C1115" t="str">
            <v>2.06.03.01</v>
          </cell>
          <cell r="D1115">
            <v>41423</v>
          </cell>
          <cell r="E1115" t="str">
            <v>PLANNER TRUSTEE DTVM LTDA</v>
          </cell>
          <cell r="F1115" t="str">
            <v>36 PARCELA DE PRESTAÇÃO DE SERVIÇO DE AGENTE FIDUCIÁRIO/FISCALIZADOR</v>
          </cell>
          <cell r="G1115" t="str">
            <v>D</v>
          </cell>
          <cell r="H1115">
            <v>8397.92</v>
          </cell>
          <cell r="I1115">
            <v>0</v>
          </cell>
          <cell r="J1115" t="str">
            <v>X</v>
          </cell>
          <cell r="K1115">
            <v>1544560.4900000023</v>
          </cell>
          <cell r="L1115">
            <v>1544560.4900000023</v>
          </cell>
          <cell r="M1115">
            <v>2636</v>
          </cell>
        </row>
        <row r="1116">
          <cell r="B1116" t="str">
            <v>05-004</v>
          </cell>
          <cell r="C1116" t="str">
            <v>2.01.03.17</v>
          </cell>
          <cell r="D1116">
            <v>41423</v>
          </cell>
          <cell r="E1116" t="str">
            <v>REGISPEL IND E COM DE BOBINAS S/A</v>
          </cell>
          <cell r="F1116" t="str">
            <v>COMPRA DE BOBINA BOLETO SANESALTO</v>
          </cell>
          <cell r="G1116" t="str">
            <v>D</v>
          </cell>
          <cell r="H1116">
            <v>9842</v>
          </cell>
          <cell r="I1116">
            <v>0</v>
          </cell>
          <cell r="J1116" t="str">
            <v>X</v>
          </cell>
          <cell r="K1116">
            <v>1534718.4900000023</v>
          </cell>
          <cell r="L1116">
            <v>1534718.4900000023</v>
          </cell>
          <cell r="M1116">
            <v>64891</v>
          </cell>
        </row>
        <row r="1117">
          <cell r="B1117" t="str">
            <v>05-110</v>
          </cell>
          <cell r="C1117" t="str">
            <v>2.01.05.13</v>
          </cell>
          <cell r="D1117">
            <v>41423</v>
          </cell>
          <cell r="E1117" t="str">
            <v>GARRA COM E SERVIÇOS PROFISSIONALIZADOS Ltda. ME</v>
          </cell>
          <cell r="F1117" t="str">
            <v>SERVIÇOS DE PORTARIA E LIMPEZA</v>
          </cell>
          <cell r="G1117" t="str">
            <v>D</v>
          </cell>
          <cell r="H1117">
            <v>14379.7</v>
          </cell>
          <cell r="I1117">
            <v>0</v>
          </cell>
          <cell r="J1117" t="str">
            <v>X</v>
          </cell>
          <cell r="K1117">
            <v>1520338.7900000024</v>
          </cell>
          <cell r="L1117">
            <v>1520338.7900000024</v>
          </cell>
          <cell r="M1117">
            <v>996</v>
          </cell>
        </row>
        <row r="1118">
          <cell r="B1118" t="str">
            <v>05-091</v>
          </cell>
          <cell r="C1118" t="str">
            <v>2.01.03.09</v>
          </cell>
          <cell r="D1118">
            <v>41423</v>
          </cell>
          <cell r="E1118" t="str">
            <v>COMPANHIA PIRATININGA DE FORÇA E LUZ - CPFL</v>
          </cell>
          <cell r="F1118" t="str">
            <v>CONTA DE ENERGIA ELEV FINAL REF 05/2013</v>
          </cell>
          <cell r="G1118" t="str">
            <v>D</v>
          </cell>
          <cell r="H1118">
            <v>17053.97</v>
          </cell>
          <cell r="I1118">
            <v>0</v>
          </cell>
          <cell r="J1118" t="str">
            <v>X</v>
          </cell>
          <cell r="K1118">
            <v>1503284.8200000024</v>
          </cell>
          <cell r="L1118">
            <v>1503284.8200000024</v>
          </cell>
          <cell r="M1118">
            <v>0</v>
          </cell>
        </row>
        <row r="1119">
          <cell r="B1119" t="str">
            <v>Db-031</v>
          </cell>
          <cell r="C1119" t="str">
            <v>2.06.02.05</v>
          </cell>
          <cell r="D1119">
            <v>41423</v>
          </cell>
          <cell r="E1119" t="str">
            <v xml:space="preserve">CRÉDITO OPERAÇÕES SUP SERV EMP </v>
          </cell>
          <cell r="F1119" t="str">
            <v>REF. AMORTIZAÇÃO DE DEBENTURES MAI/2013</v>
          </cell>
          <cell r="G1119" t="str">
            <v>D</v>
          </cell>
          <cell r="H1119">
            <v>462200.44</v>
          </cell>
          <cell r="I1119">
            <v>0</v>
          </cell>
          <cell r="J1119" t="str">
            <v>X</v>
          </cell>
          <cell r="K1119">
            <v>1041084.3800000024</v>
          </cell>
          <cell r="L1119">
            <v>1041084.3800000024</v>
          </cell>
          <cell r="M1119">
            <v>0</v>
          </cell>
        </row>
        <row r="1120">
          <cell r="B1120" t="str">
            <v>RE06-001</v>
          </cell>
          <cell r="C1120" t="str">
            <v>1.01.01.01</v>
          </cell>
          <cell r="D1120">
            <v>41428</v>
          </cell>
          <cell r="E1120" t="str">
            <v xml:space="preserve">BANCO ITAÚ </v>
          </cell>
          <cell r="F1120" t="str">
            <v xml:space="preserve">RENDIMENTO DE APLICAÇÃO </v>
          </cell>
          <cell r="G1120" t="str">
            <v>C</v>
          </cell>
          <cell r="H1120">
            <v>0</v>
          </cell>
          <cell r="I1120">
            <v>23.9</v>
          </cell>
          <cell r="J1120" t="str">
            <v>X</v>
          </cell>
          <cell r="K1120">
            <v>1041108.2800000025</v>
          </cell>
          <cell r="L1120">
            <v>1041108.2800000025</v>
          </cell>
          <cell r="M1120">
            <v>0</v>
          </cell>
        </row>
        <row r="1121">
          <cell r="B1121" t="str">
            <v>RE06-002</v>
          </cell>
          <cell r="C1121" t="str">
            <v>1.01.01.01</v>
          </cell>
          <cell r="D1121">
            <v>41428</v>
          </cell>
          <cell r="E1121" t="str">
            <v>SANESALTO SANEAMENTO S/A</v>
          </cell>
          <cell r="F1121" t="str">
            <v>MEDIÇÃO DE 25 A 31/05/2013</v>
          </cell>
          <cell r="G1121" t="str">
            <v>C</v>
          </cell>
          <cell r="H1121">
            <v>0</v>
          </cell>
          <cell r="I1121">
            <v>85319.33</v>
          </cell>
          <cell r="J1121" t="str">
            <v>X</v>
          </cell>
          <cell r="K1121">
            <v>1126427.6100000024</v>
          </cell>
          <cell r="L1121">
            <v>1126427.6100000024</v>
          </cell>
          <cell r="M1121">
            <v>0</v>
          </cell>
        </row>
        <row r="1122">
          <cell r="B1122" t="str">
            <v>06-021</v>
          </cell>
          <cell r="C1122" t="str">
            <v>2.05.01.02</v>
          </cell>
          <cell r="D1122">
            <v>41428</v>
          </cell>
          <cell r="E1122" t="str">
            <v>BANCO ITAÚ S/A</v>
          </cell>
          <cell r="F1122" t="str">
            <v>TARIFA DOC SISPAG</v>
          </cell>
          <cell r="G1122" t="str">
            <v>D</v>
          </cell>
          <cell r="H1122">
            <v>63</v>
          </cell>
          <cell r="I1122">
            <v>0</v>
          </cell>
          <cell r="J1122" t="str">
            <v>X</v>
          </cell>
          <cell r="K1122">
            <v>1126364.6100000024</v>
          </cell>
          <cell r="L1122">
            <v>1126364.6100000024</v>
          </cell>
          <cell r="M1122">
            <v>0</v>
          </cell>
        </row>
        <row r="1123">
          <cell r="B1123" t="str">
            <v>06-022</v>
          </cell>
          <cell r="C1123" t="str">
            <v>2.05.01.02</v>
          </cell>
          <cell r="D1123">
            <v>41428</v>
          </cell>
          <cell r="E1123" t="str">
            <v>BANCO ITAÚ S/A</v>
          </cell>
          <cell r="F1123" t="str">
            <v>TARIFA DOC SISPAG</v>
          </cell>
          <cell r="G1123" t="str">
            <v>D</v>
          </cell>
          <cell r="H1123">
            <v>4.5</v>
          </cell>
          <cell r="I1123">
            <v>0</v>
          </cell>
          <cell r="J1123" t="str">
            <v>X</v>
          </cell>
          <cell r="K1123">
            <v>1126360.1100000024</v>
          </cell>
          <cell r="L1123">
            <v>1126360.1100000024</v>
          </cell>
          <cell r="M1123">
            <v>0</v>
          </cell>
        </row>
        <row r="1124">
          <cell r="B1124" t="str">
            <v>06-023</v>
          </cell>
          <cell r="C1124" t="str">
            <v>2.05.01.02</v>
          </cell>
          <cell r="D1124">
            <v>41428</v>
          </cell>
          <cell r="E1124" t="str">
            <v>BANCO ITAÚ S/A</v>
          </cell>
          <cell r="F1124" t="str">
            <v>TARIFA TED SISPAG</v>
          </cell>
          <cell r="G1124" t="str">
            <v>D</v>
          </cell>
          <cell r="H1124">
            <v>67.5</v>
          </cell>
          <cell r="I1124">
            <v>0</v>
          </cell>
          <cell r="J1124" t="str">
            <v>X</v>
          </cell>
          <cell r="K1124">
            <v>1126292.6100000024</v>
          </cell>
          <cell r="L1124">
            <v>1126292.6100000024</v>
          </cell>
          <cell r="M1124">
            <v>0</v>
          </cell>
        </row>
        <row r="1125">
          <cell r="B1125" t="str">
            <v>06-024</v>
          </cell>
          <cell r="C1125" t="str">
            <v>2.05.01.02</v>
          </cell>
          <cell r="D1125">
            <v>41428</v>
          </cell>
          <cell r="E1125" t="str">
            <v>BANCO ITAÚ S/A</v>
          </cell>
          <cell r="F1125" t="str">
            <v>TARIFA TED SISPAG</v>
          </cell>
          <cell r="G1125" t="str">
            <v>D</v>
          </cell>
          <cell r="H1125">
            <v>4.5</v>
          </cell>
          <cell r="I1125">
            <v>0</v>
          </cell>
          <cell r="J1125" t="str">
            <v>X</v>
          </cell>
          <cell r="K1125">
            <v>1126288.1100000024</v>
          </cell>
          <cell r="L1125">
            <v>1126288.1100000024</v>
          </cell>
          <cell r="M1125">
            <v>0</v>
          </cell>
        </row>
        <row r="1126">
          <cell r="B1126" t="str">
            <v>06-020</v>
          </cell>
          <cell r="C1126" t="str">
            <v>2.02.03.04</v>
          </cell>
          <cell r="D1126">
            <v>41428</v>
          </cell>
          <cell r="E1126" t="str">
            <v>ARAUJO DE ARAUJO CONSULTORIA</v>
          </cell>
          <cell r="F1126" t="str">
            <v xml:space="preserve">PAGAMENTO DE HONORÁRIOS DE CONSULTORIA </v>
          </cell>
          <cell r="G1126" t="str">
            <v>D</v>
          </cell>
          <cell r="H1126">
            <v>27111.26</v>
          </cell>
          <cell r="I1126">
            <v>0</v>
          </cell>
          <cell r="J1126" t="str">
            <v>X</v>
          </cell>
          <cell r="K1126">
            <v>1099176.8500000024</v>
          </cell>
          <cell r="L1126">
            <v>1099176.8500000024</v>
          </cell>
          <cell r="M1126">
            <v>42</v>
          </cell>
        </row>
        <row r="1127">
          <cell r="B1127" t="str">
            <v>06-018</v>
          </cell>
          <cell r="C1127" t="str">
            <v>2.06.03.01</v>
          </cell>
          <cell r="D1127">
            <v>41428</v>
          </cell>
          <cell r="E1127" t="str">
            <v>PLANNER TRUSTEE DTVM LTDA</v>
          </cell>
          <cell r="F1127" t="str">
            <v>35 PARCELA DE PRESTAÇÃO DE SERVIÇO DE AGENTE FIDUCIÁRIO/FISCALIZADOR</v>
          </cell>
          <cell r="G1127" t="str">
            <v>D</v>
          </cell>
          <cell r="H1127">
            <v>8397.92</v>
          </cell>
          <cell r="I1127">
            <v>0</v>
          </cell>
          <cell r="J1127" t="str">
            <v>X</v>
          </cell>
          <cell r="K1127">
            <v>1090778.9300000025</v>
          </cell>
          <cell r="L1127">
            <v>1090778.9300000025</v>
          </cell>
          <cell r="M1127">
            <v>2519</v>
          </cell>
        </row>
        <row r="1128">
          <cell r="B1128" t="str">
            <v>06-001</v>
          </cell>
          <cell r="C1128" t="str">
            <v>2.01.05.13</v>
          </cell>
          <cell r="D1128">
            <v>41428</v>
          </cell>
          <cell r="E1128" t="str">
            <v>HF ANDRADE SERVIÇOS TEMPORÁRIOS</v>
          </cell>
          <cell r="F1128" t="str">
            <v>SERVIÇOS DE MÃO DE OBRA TEMPORÁRIO REF MI/2013</v>
          </cell>
          <cell r="G1128" t="str">
            <v>D</v>
          </cell>
          <cell r="H1128">
            <v>2126.9299999999998</v>
          </cell>
          <cell r="I1128">
            <v>0</v>
          </cell>
          <cell r="J1128" t="str">
            <v>X</v>
          </cell>
          <cell r="K1128">
            <v>1088652.0000000026</v>
          </cell>
          <cell r="L1128">
            <v>1088652.0000000026</v>
          </cell>
          <cell r="M1128">
            <v>385</v>
          </cell>
        </row>
        <row r="1129">
          <cell r="B1129" t="str">
            <v>05-065</v>
          </cell>
          <cell r="C1129" t="str">
            <v>2.01.05.08</v>
          </cell>
          <cell r="D1129">
            <v>41428</v>
          </cell>
          <cell r="E1129" t="str">
            <v>GRACIANO FERREIRA S/C Ltda. ME</v>
          </cell>
          <cell r="F1129" t="str">
            <v xml:space="preserve">PRESTAÇÃO DE SERVIÇO DE GUINDASTE </v>
          </cell>
          <cell r="G1129" t="str">
            <v>D</v>
          </cell>
          <cell r="H1129">
            <v>2430.25</v>
          </cell>
          <cell r="I1129">
            <v>0</v>
          </cell>
          <cell r="J1129" t="str">
            <v>X</v>
          </cell>
          <cell r="K1129">
            <v>1086221.7500000026</v>
          </cell>
          <cell r="L1129">
            <v>1086221.7500000026</v>
          </cell>
          <cell r="M1129">
            <v>255</v>
          </cell>
        </row>
        <row r="1130">
          <cell r="B1130" t="str">
            <v>05-125</v>
          </cell>
          <cell r="C1130" t="str">
            <v>2.02.01.03</v>
          </cell>
          <cell r="D1130">
            <v>41428</v>
          </cell>
          <cell r="E1130" t="str">
            <v>ELIZANGELA REGINA P DIAS</v>
          </cell>
          <cell r="F1130" t="str">
            <v xml:space="preserve">FÉRIAS </v>
          </cell>
          <cell r="G1130" t="str">
            <v>D</v>
          </cell>
          <cell r="H1130">
            <v>6198.59</v>
          </cell>
          <cell r="I1130">
            <v>0</v>
          </cell>
          <cell r="J1130" t="str">
            <v>X</v>
          </cell>
          <cell r="K1130">
            <v>1080023.1600000025</v>
          </cell>
          <cell r="L1130">
            <v>1080023.1600000025</v>
          </cell>
          <cell r="M1130">
            <v>0</v>
          </cell>
        </row>
        <row r="1131">
          <cell r="B1131" t="str">
            <v>05-111</v>
          </cell>
          <cell r="C1131" t="str">
            <v>2.01.03.14</v>
          </cell>
          <cell r="D1131">
            <v>41428</v>
          </cell>
          <cell r="E1131" t="str">
            <v>FIORAMAQ MOTORES E MANGUEIRAS</v>
          </cell>
          <cell r="F1131" t="str">
            <v>COMPRA DE MATERIAIS PARA ETE</v>
          </cell>
          <cell r="G1131" t="str">
            <v>D</v>
          </cell>
          <cell r="H1131">
            <v>331.27</v>
          </cell>
          <cell r="I1131">
            <v>0</v>
          </cell>
          <cell r="J1131" t="str">
            <v>X</v>
          </cell>
          <cell r="K1131">
            <v>1079691.8900000025</v>
          </cell>
          <cell r="L1131">
            <v>1079691.8900000025</v>
          </cell>
          <cell r="M1131">
            <v>9561</v>
          </cell>
        </row>
        <row r="1132">
          <cell r="B1132" t="str">
            <v>05-061</v>
          </cell>
          <cell r="C1132" t="str">
            <v>2.01.03.16</v>
          </cell>
          <cell r="D1132">
            <v>41428</v>
          </cell>
          <cell r="E1132" t="str">
            <v>Tintas Taperá Comercial Ltda. EPP</v>
          </cell>
          <cell r="F1132" t="str">
            <v>Compra de material para ETE</v>
          </cell>
          <cell r="G1132" t="str">
            <v>D</v>
          </cell>
          <cell r="H1132">
            <v>461.1</v>
          </cell>
          <cell r="I1132">
            <v>0</v>
          </cell>
          <cell r="J1132" t="str">
            <v>X</v>
          </cell>
          <cell r="K1132">
            <v>1079230.7900000024</v>
          </cell>
          <cell r="L1132">
            <v>1079230.7900000024</v>
          </cell>
          <cell r="M1132">
            <v>6690</v>
          </cell>
        </row>
        <row r="1133">
          <cell r="B1133" t="str">
            <v>06-019</v>
          </cell>
          <cell r="C1133" t="str">
            <v>2.02.01.01</v>
          </cell>
          <cell r="D1133">
            <v>41428</v>
          </cell>
          <cell r="E1133" t="str">
            <v>RODRIGO BUENO</v>
          </cell>
          <cell r="F1133" t="str">
            <v>DESPESAS DE ALIMENTAÇÃO E COMBUSTÍVEL</v>
          </cell>
          <cell r="G1133" t="str">
            <v>D</v>
          </cell>
          <cell r="H1133">
            <v>720.53</v>
          </cell>
          <cell r="I1133">
            <v>0</v>
          </cell>
          <cell r="J1133" t="str">
            <v>X</v>
          </cell>
          <cell r="K1133">
            <v>1078510.2600000023</v>
          </cell>
          <cell r="L1133">
            <v>1078510.2600000023</v>
          </cell>
          <cell r="M1133">
            <v>0</v>
          </cell>
        </row>
        <row r="1134">
          <cell r="B1134" t="str">
            <v>05-050</v>
          </cell>
          <cell r="C1134" t="str">
            <v>2.02.03.04</v>
          </cell>
          <cell r="D1134">
            <v>41428</v>
          </cell>
          <cell r="E1134" t="str">
            <v xml:space="preserve">CB&amp;A AUDITORIA E CONTABILIDADE </v>
          </cell>
          <cell r="F1134" t="str">
            <v>HONORÁRIOS REF A SERVIÇO DE AUDITORIA INDEPENDENTE 04/2013</v>
          </cell>
          <cell r="G1134" t="str">
            <v>D</v>
          </cell>
          <cell r="H1134">
            <v>1833.5</v>
          </cell>
          <cell r="I1134">
            <v>0</v>
          </cell>
          <cell r="J1134" t="str">
            <v>X</v>
          </cell>
          <cell r="K1134">
            <v>1076676.7600000023</v>
          </cell>
          <cell r="L1134">
            <v>1076676.7600000023</v>
          </cell>
          <cell r="M1134">
            <v>2212</v>
          </cell>
        </row>
        <row r="1135">
          <cell r="B1135" t="str">
            <v>05-121</v>
          </cell>
          <cell r="C1135" t="str">
            <v>2.02.03.19</v>
          </cell>
          <cell r="D1135">
            <v>41428</v>
          </cell>
          <cell r="E1135" t="str">
            <v xml:space="preserve">EMPÓRIO DE IDEIAS PROPAGANDA LEGAL </v>
          </cell>
          <cell r="F1135" t="str">
            <v>PUBLICAÇÃO CONVOCAÇÃO AG DE DEBENTURISTAS</v>
          </cell>
          <cell r="G1135" t="str">
            <v>D</v>
          </cell>
          <cell r="H1135">
            <v>2996.37</v>
          </cell>
          <cell r="I1135">
            <v>0</v>
          </cell>
          <cell r="J1135" t="str">
            <v>X</v>
          </cell>
          <cell r="K1135">
            <v>1073680.3900000022</v>
          </cell>
          <cell r="L1135">
            <v>1073680.3900000022</v>
          </cell>
          <cell r="M1135">
            <v>114</v>
          </cell>
        </row>
        <row r="1136">
          <cell r="B1136" t="str">
            <v>06-002</v>
          </cell>
          <cell r="C1136" t="str">
            <v>2.02.03.05</v>
          </cell>
          <cell r="D1136">
            <v>41428</v>
          </cell>
          <cell r="E1136" t="str">
            <v>SCANDIUZZI CONSULTORIA CONTABIL Ltda.</v>
          </cell>
          <cell r="F1136" t="str">
            <v>HONORÁRIOS MENSAIS REF 05/2013</v>
          </cell>
          <cell r="G1136" t="str">
            <v>D</v>
          </cell>
          <cell r="H1136">
            <v>3732</v>
          </cell>
          <cell r="I1136">
            <v>0</v>
          </cell>
          <cell r="J1136" t="str">
            <v>X</v>
          </cell>
          <cell r="K1136">
            <v>1069948.3900000022</v>
          </cell>
          <cell r="L1136">
            <v>1069948.3900000022</v>
          </cell>
          <cell r="M1136">
            <v>1773</v>
          </cell>
        </row>
        <row r="1137">
          <cell r="B1137" t="str">
            <v>05-013</v>
          </cell>
          <cell r="C1137" t="str">
            <v>2.01.05.11</v>
          </cell>
          <cell r="D1137">
            <v>41428</v>
          </cell>
          <cell r="E1137" t="str">
            <v>DISCOM DISTR. DE CORREIAS E MOTORES LTDA</v>
          </cell>
          <cell r="F1137" t="str">
            <v>SOFT STARTE SSW 060085</v>
          </cell>
          <cell r="G1137" t="str">
            <v>D</v>
          </cell>
          <cell r="H1137">
            <v>2670</v>
          </cell>
          <cell r="I1137">
            <v>0</v>
          </cell>
          <cell r="J1137" t="str">
            <v>X</v>
          </cell>
          <cell r="K1137">
            <v>1067278.3900000022</v>
          </cell>
          <cell r="L1137">
            <v>1067278.3900000022</v>
          </cell>
          <cell r="M1137">
            <v>23889</v>
          </cell>
        </row>
        <row r="1138">
          <cell r="B1138" t="str">
            <v>06-003/1</v>
          </cell>
          <cell r="C1138" t="str">
            <v>2.02.01.01</v>
          </cell>
          <cell r="D1138">
            <v>41428</v>
          </cell>
          <cell r="E1138" t="str">
            <v>NAEDSON LUIZ DE SOUZA</v>
          </cell>
          <cell r="F1138" t="str">
            <v>SALÁRIO REF 05/2013</v>
          </cell>
          <cell r="G1138" t="str">
            <v>D</v>
          </cell>
          <cell r="H1138">
            <v>1728</v>
          </cell>
          <cell r="I1138">
            <v>0</v>
          </cell>
          <cell r="J1138" t="str">
            <v>X</v>
          </cell>
          <cell r="K1138">
            <v>1065550.3900000022</v>
          </cell>
          <cell r="L1138">
            <v>1065550.3900000022</v>
          </cell>
          <cell r="M1138">
            <v>0</v>
          </cell>
        </row>
        <row r="1139">
          <cell r="B1139" t="str">
            <v>06-003/2</v>
          </cell>
          <cell r="C1139" t="str">
            <v>2.02.01.01</v>
          </cell>
          <cell r="D1139">
            <v>41428</v>
          </cell>
          <cell r="E1139" t="str">
            <v>ALOISIO BORIN</v>
          </cell>
          <cell r="F1139" t="str">
            <v>SALÁRIO REF 05/2013</v>
          </cell>
          <cell r="G1139" t="str">
            <v>D</v>
          </cell>
          <cell r="H1139">
            <v>783</v>
          </cell>
          <cell r="I1139">
            <v>0</v>
          </cell>
          <cell r="J1139" t="str">
            <v>X</v>
          </cell>
          <cell r="K1139">
            <v>1064767.3900000022</v>
          </cell>
          <cell r="L1139">
            <v>1064767.3900000022</v>
          </cell>
          <cell r="M1139">
            <v>0</v>
          </cell>
        </row>
        <row r="1140">
          <cell r="B1140" t="str">
            <v>06-003/3</v>
          </cell>
          <cell r="C1140" t="str">
            <v>2.02.01.01</v>
          </cell>
          <cell r="D1140">
            <v>41428</v>
          </cell>
          <cell r="E1140" t="str">
            <v>CLEBER C DA SILVA</v>
          </cell>
          <cell r="F1140" t="str">
            <v>SALÁRIO REF 05/2013</v>
          </cell>
          <cell r="G1140" t="str">
            <v>D</v>
          </cell>
          <cell r="H1140">
            <v>1428</v>
          </cell>
          <cell r="I1140">
            <v>0</v>
          </cell>
          <cell r="J1140" t="str">
            <v>X</v>
          </cell>
          <cell r="K1140">
            <v>1063339.3900000022</v>
          </cell>
          <cell r="L1140">
            <v>1063339.3900000022</v>
          </cell>
          <cell r="M1140">
            <v>0</v>
          </cell>
        </row>
        <row r="1141">
          <cell r="B1141" t="str">
            <v>06-003/4</v>
          </cell>
          <cell r="C1141" t="str">
            <v>2.02.01.01</v>
          </cell>
          <cell r="D1141">
            <v>41428</v>
          </cell>
          <cell r="E1141" t="str">
            <v>ERICA AP DA SILVA DE MORAES</v>
          </cell>
          <cell r="F1141" t="str">
            <v>SALÁRIO REF 05/2013</v>
          </cell>
          <cell r="G1141" t="str">
            <v>D</v>
          </cell>
          <cell r="H1141">
            <v>228</v>
          </cell>
          <cell r="I1141">
            <v>0</v>
          </cell>
          <cell r="J1141" t="str">
            <v>X</v>
          </cell>
          <cell r="K1141">
            <v>1063111.3900000022</v>
          </cell>
          <cell r="L1141">
            <v>1063111.3900000022</v>
          </cell>
          <cell r="M1141">
            <v>0</v>
          </cell>
        </row>
        <row r="1142">
          <cell r="B1142" t="str">
            <v>06-003/5</v>
          </cell>
          <cell r="C1142" t="str">
            <v>2.02.01.01</v>
          </cell>
          <cell r="D1142">
            <v>41428</v>
          </cell>
          <cell r="E1142" t="str">
            <v>ELIZANGELA REGINA P DIAS</v>
          </cell>
          <cell r="F1142" t="str">
            <v>SALÁRIO REF 05/2013</v>
          </cell>
          <cell r="G1142" t="str">
            <v>D</v>
          </cell>
          <cell r="H1142">
            <v>2156</v>
          </cell>
          <cell r="I1142">
            <v>0</v>
          </cell>
          <cell r="J1142" t="str">
            <v>X</v>
          </cell>
          <cell r="K1142">
            <v>1060955.3900000022</v>
          </cell>
          <cell r="L1142">
            <v>1060955.3900000022</v>
          </cell>
          <cell r="M1142">
            <v>0</v>
          </cell>
        </row>
        <row r="1143">
          <cell r="B1143" t="str">
            <v>06-003/6</v>
          </cell>
          <cell r="C1143" t="str">
            <v>2.02.01.01</v>
          </cell>
          <cell r="D1143">
            <v>41428</v>
          </cell>
          <cell r="E1143" t="str">
            <v>RODRIGO BUENO</v>
          </cell>
          <cell r="F1143" t="str">
            <v>SALÁRIO REF 05/2013</v>
          </cell>
          <cell r="G1143" t="str">
            <v>D</v>
          </cell>
          <cell r="H1143">
            <v>2220</v>
          </cell>
          <cell r="I1143">
            <v>0</v>
          </cell>
          <cell r="J1143" t="str">
            <v>X</v>
          </cell>
          <cell r="K1143">
            <v>1058735.3900000022</v>
          </cell>
          <cell r="L1143">
            <v>1058735.3900000022</v>
          </cell>
          <cell r="M1143">
            <v>0</v>
          </cell>
        </row>
        <row r="1144">
          <cell r="B1144" t="str">
            <v>06-003/7</v>
          </cell>
          <cell r="C1144" t="str">
            <v>2.02.01.01</v>
          </cell>
          <cell r="D1144">
            <v>41428</v>
          </cell>
          <cell r="E1144" t="str">
            <v>MARIANA CASTELLINI</v>
          </cell>
          <cell r="F1144" t="str">
            <v>SALÁRIO REF 05/2013</v>
          </cell>
          <cell r="G1144" t="str">
            <v>D</v>
          </cell>
          <cell r="H1144">
            <v>816</v>
          </cell>
          <cell r="I1144">
            <v>0</v>
          </cell>
          <cell r="J1144" t="str">
            <v>X</v>
          </cell>
          <cell r="K1144">
            <v>1057919.3900000022</v>
          </cell>
          <cell r="L1144">
            <v>1057919.3900000022</v>
          </cell>
          <cell r="M1144">
            <v>0</v>
          </cell>
        </row>
        <row r="1145">
          <cell r="B1145" t="str">
            <v>06-003/8</v>
          </cell>
          <cell r="C1145" t="str">
            <v>2.02.01.01</v>
          </cell>
          <cell r="D1145">
            <v>41428</v>
          </cell>
          <cell r="E1145" t="str">
            <v>JANAÍNA SILVA SOUZA</v>
          </cell>
          <cell r="F1145" t="str">
            <v>SALÁRIO REF 05/2013</v>
          </cell>
          <cell r="G1145" t="str">
            <v>D</v>
          </cell>
          <cell r="H1145">
            <v>509</v>
          </cell>
          <cell r="I1145">
            <v>0</v>
          </cell>
          <cell r="J1145" t="str">
            <v>X</v>
          </cell>
          <cell r="K1145">
            <v>1057410.3900000022</v>
          </cell>
          <cell r="L1145">
            <v>1057410.3900000022</v>
          </cell>
          <cell r="M1145">
            <v>0</v>
          </cell>
        </row>
        <row r="1146">
          <cell r="B1146" t="str">
            <v>06-003/9</v>
          </cell>
          <cell r="C1146" t="str">
            <v>2.02.01.01</v>
          </cell>
          <cell r="D1146">
            <v>41428</v>
          </cell>
          <cell r="E1146" t="str">
            <v>MARIANA CRISTINA GESSOLI</v>
          </cell>
          <cell r="F1146" t="str">
            <v>SALÁRIO REF 05/2013</v>
          </cell>
          <cell r="G1146" t="str">
            <v>D</v>
          </cell>
          <cell r="H1146">
            <v>509</v>
          </cell>
          <cell r="I1146">
            <v>0</v>
          </cell>
          <cell r="J1146" t="str">
            <v>X</v>
          </cell>
          <cell r="K1146">
            <v>1056901.3900000022</v>
          </cell>
          <cell r="L1146">
            <v>1056901.3900000022</v>
          </cell>
          <cell r="M1146">
            <v>0</v>
          </cell>
        </row>
        <row r="1147">
          <cell r="B1147" t="str">
            <v>06-003/10</v>
          </cell>
          <cell r="C1147" t="str">
            <v>2.01.01.01</v>
          </cell>
          <cell r="D1147">
            <v>41428</v>
          </cell>
          <cell r="E1147" t="str">
            <v>JULIO CÉSAR DA S OLIVEIRA</v>
          </cell>
          <cell r="F1147" t="str">
            <v>SALÁRIO REF 05/2013</v>
          </cell>
          <cell r="G1147" t="str">
            <v>D</v>
          </cell>
          <cell r="H1147">
            <v>450</v>
          </cell>
          <cell r="I1147">
            <v>0</v>
          </cell>
          <cell r="J1147" t="str">
            <v>X</v>
          </cell>
          <cell r="K1147">
            <v>1056451.3900000022</v>
          </cell>
          <cell r="L1147">
            <v>1056451.3900000022</v>
          </cell>
          <cell r="M1147">
            <v>0</v>
          </cell>
        </row>
        <row r="1148">
          <cell r="B1148" t="str">
            <v>06-003/11</v>
          </cell>
          <cell r="C1148" t="str">
            <v>2.01.01.01</v>
          </cell>
          <cell r="D1148">
            <v>41428</v>
          </cell>
          <cell r="E1148" t="str">
            <v>GILBERTO SILVA ROQUE</v>
          </cell>
          <cell r="F1148" t="str">
            <v>SALÁRIO REF 05/2013</v>
          </cell>
          <cell r="G1148" t="str">
            <v>D</v>
          </cell>
          <cell r="H1148">
            <v>608</v>
          </cell>
          <cell r="I1148">
            <v>0</v>
          </cell>
          <cell r="J1148" t="str">
            <v>X</v>
          </cell>
          <cell r="K1148">
            <v>1055843.3900000022</v>
          </cell>
          <cell r="L1148">
            <v>1055843.3900000022</v>
          </cell>
          <cell r="M1148">
            <v>0</v>
          </cell>
        </row>
        <row r="1149">
          <cell r="B1149" t="str">
            <v>06-003/12</v>
          </cell>
          <cell r="C1149" t="str">
            <v>2.01.01.01</v>
          </cell>
          <cell r="D1149">
            <v>41428</v>
          </cell>
          <cell r="E1149" t="str">
            <v>LUCAS AMARAL</v>
          </cell>
          <cell r="F1149" t="str">
            <v>SALÁRIO REF 05/2013</v>
          </cell>
          <cell r="G1149" t="str">
            <v>D</v>
          </cell>
          <cell r="H1149">
            <v>526</v>
          </cell>
          <cell r="I1149">
            <v>0</v>
          </cell>
          <cell r="J1149" t="str">
            <v>X</v>
          </cell>
          <cell r="K1149">
            <v>1055317.3900000022</v>
          </cell>
          <cell r="L1149">
            <v>1055317.3900000022</v>
          </cell>
          <cell r="M1149">
            <v>0</v>
          </cell>
        </row>
        <row r="1150">
          <cell r="B1150" t="str">
            <v>06-003/13</v>
          </cell>
          <cell r="C1150" t="str">
            <v>2.01.01.01</v>
          </cell>
          <cell r="D1150">
            <v>41428</v>
          </cell>
          <cell r="E1150" t="str">
            <v>MÁRCIO OSTIANO DE SOUZA</v>
          </cell>
          <cell r="F1150" t="str">
            <v>SALÁRIO REF 05/2013</v>
          </cell>
          <cell r="G1150" t="str">
            <v>D</v>
          </cell>
          <cell r="H1150">
            <v>527</v>
          </cell>
          <cell r="I1150">
            <v>0</v>
          </cell>
          <cell r="J1150" t="str">
            <v>X</v>
          </cell>
          <cell r="K1150">
            <v>1054790.3900000022</v>
          </cell>
          <cell r="L1150">
            <v>1054790.3900000022</v>
          </cell>
          <cell r="M1150">
            <v>0</v>
          </cell>
        </row>
        <row r="1151">
          <cell r="B1151" t="str">
            <v>06-003/14</v>
          </cell>
          <cell r="C1151" t="str">
            <v>2.01.01.01</v>
          </cell>
          <cell r="D1151">
            <v>41428</v>
          </cell>
          <cell r="E1151" t="str">
            <v>ANDRÉ SIMÕES</v>
          </cell>
          <cell r="F1151" t="str">
            <v>SALÁRIO REF 05/2013</v>
          </cell>
          <cell r="G1151" t="str">
            <v>D</v>
          </cell>
          <cell r="H1151">
            <v>434</v>
          </cell>
          <cell r="I1151">
            <v>0</v>
          </cell>
          <cell r="J1151" t="str">
            <v>X</v>
          </cell>
          <cell r="K1151">
            <v>1054356.3900000022</v>
          </cell>
          <cell r="L1151">
            <v>1054356.3900000022</v>
          </cell>
          <cell r="M1151">
            <v>0</v>
          </cell>
        </row>
        <row r="1152">
          <cell r="B1152" t="str">
            <v>06-003/15</v>
          </cell>
          <cell r="C1152" t="str">
            <v>2.01.01.01</v>
          </cell>
          <cell r="D1152">
            <v>41428</v>
          </cell>
          <cell r="E1152" t="str">
            <v>ANTONIO JOSÉ D DA SILVA JR</v>
          </cell>
          <cell r="F1152" t="str">
            <v>SALÁRIO REF 05/2013</v>
          </cell>
          <cell r="G1152" t="str">
            <v>D</v>
          </cell>
          <cell r="H1152">
            <v>527</v>
          </cell>
          <cell r="I1152">
            <v>0</v>
          </cell>
          <cell r="J1152" t="str">
            <v>X</v>
          </cell>
          <cell r="K1152">
            <v>1053829.3900000022</v>
          </cell>
          <cell r="L1152">
            <v>1053829.3900000022</v>
          </cell>
          <cell r="M1152">
            <v>0</v>
          </cell>
        </row>
        <row r="1153">
          <cell r="B1153" t="str">
            <v>06-003/16</v>
          </cell>
          <cell r="C1153" t="str">
            <v>2.01.01.01</v>
          </cell>
          <cell r="D1153">
            <v>41428</v>
          </cell>
          <cell r="E1153" t="str">
            <v xml:space="preserve">DANILO ALVES DOS SANTOS </v>
          </cell>
          <cell r="F1153" t="str">
            <v>SALÁRIO REF 05/2013</v>
          </cell>
          <cell r="G1153" t="str">
            <v>D</v>
          </cell>
          <cell r="H1153">
            <v>526</v>
          </cell>
          <cell r="I1153">
            <v>0</v>
          </cell>
          <cell r="J1153" t="str">
            <v>X</v>
          </cell>
          <cell r="K1153">
            <v>1053303.3900000022</v>
          </cell>
          <cell r="L1153">
            <v>1053303.3900000022</v>
          </cell>
          <cell r="M1153">
            <v>0</v>
          </cell>
        </row>
        <row r="1154">
          <cell r="B1154" t="str">
            <v>06-003/17</v>
          </cell>
          <cell r="C1154" t="str">
            <v>2.01.01.01</v>
          </cell>
          <cell r="D1154">
            <v>41428</v>
          </cell>
          <cell r="E1154" t="str">
            <v>CLEITON MARTINS</v>
          </cell>
          <cell r="F1154" t="str">
            <v>SALÁRIO REF 05/2013</v>
          </cell>
          <cell r="G1154" t="str">
            <v>D</v>
          </cell>
          <cell r="H1154">
            <v>465</v>
          </cell>
          <cell r="I1154">
            <v>0</v>
          </cell>
          <cell r="J1154" t="str">
            <v>X</v>
          </cell>
          <cell r="K1154">
            <v>1052838.3900000022</v>
          </cell>
          <cell r="L1154">
            <v>1052838.3900000022</v>
          </cell>
          <cell r="M1154">
            <v>0</v>
          </cell>
        </row>
        <row r="1155">
          <cell r="B1155" t="str">
            <v>06-003/18</v>
          </cell>
          <cell r="C1155" t="str">
            <v>2.01.01.01</v>
          </cell>
          <cell r="D1155">
            <v>41428</v>
          </cell>
          <cell r="E1155" t="str">
            <v>ROGER DE SANTA EUFRÁSIO</v>
          </cell>
          <cell r="F1155" t="str">
            <v>SALÁRIO REF 05/2013</v>
          </cell>
          <cell r="G1155" t="str">
            <v>D</v>
          </cell>
          <cell r="H1155">
            <v>228</v>
          </cell>
          <cell r="I1155">
            <v>0</v>
          </cell>
          <cell r="J1155" t="str">
            <v>X</v>
          </cell>
          <cell r="K1155">
            <v>1052610.3900000022</v>
          </cell>
          <cell r="L1155">
            <v>1052610.3900000022</v>
          </cell>
          <cell r="M1155">
            <v>0</v>
          </cell>
        </row>
        <row r="1156">
          <cell r="B1156" t="str">
            <v>06-003/19</v>
          </cell>
          <cell r="C1156" t="str">
            <v>2.01.01.01</v>
          </cell>
          <cell r="D1156">
            <v>41428</v>
          </cell>
          <cell r="E1156" t="str">
            <v>EMERSON BEDIN</v>
          </cell>
          <cell r="F1156" t="str">
            <v>SALÁRIO REF 05/2013</v>
          </cell>
          <cell r="G1156" t="str">
            <v>D</v>
          </cell>
          <cell r="H1156">
            <v>850</v>
          </cell>
          <cell r="I1156">
            <v>0</v>
          </cell>
          <cell r="J1156" t="str">
            <v>X</v>
          </cell>
          <cell r="K1156">
            <v>1051760.3900000022</v>
          </cell>
          <cell r="L1156">
            <v>1051760.3900000022</v>
          </cell>
          <cell r="M1156">
            <v>0</v>
          </cell>
        </row>
        <row r="1157">
          <cell r="B1157" t="str">
            <v>06-003/20</v>
          </cell>
          <cell r="C1157" t="str">
            <v>2.01.01.01</v>
          </cell>
          <cell r="D1157">
            <v>41428</v>
          </cell>
          <cell r="E1157" t="str">
            <v>THIAGO RIBEIRO</v>
          </cell>
          <cell r="F1157" t="str">
            <v>SALÁRIO REF 05/2013</v>
          </cell>
          <cell r="G1157" t="str">
            <v>D</v>
          </cell>
          <cell r="H1157">
            <v>968</v>
          </cell>
          <cell r="I1157">
            <v>0</v>
          </cell>
          <cell r="J1157" t="str">
            <v>X</v>
          </cell>
          <cell r="K1157">
            <v>1050792.3900000022</v>
          </cell>
          <cell r="L1157">
            <v>1050792.3900000022</v>
          </cell>
          <cell r="M1157">
            <v>0</v>
          </cell>
        </row>
        <row r="1158">
          <cell r="B1158" t="str">
            <v>06-003/21</v>
          </cell>
          <cell r="C1158" t="str">
            <v>2.01.01.01</v>
          </cell>
          <cell r="D1158">
            <v>41428</v>
          </cell>
          <cell r="E1158" t="str">
            <v>ALBERTINO M DA SILVA</v>
          </cell>
          <cell r="F1158" t="str">
            <v>SALÁRIO REF 05/2013</v>
          </cell>
          <cell r="G1158" t="str">
            <v>D</v>
          </cell>
          <cell r="H1158">
            <v>287</v>
          </cell>
          <cell r="I1158">
            <v>0</v>
          </cell>
          <cell r="J1158" t="str">
            <v>X</v>
          </cell>
          <cell r="K1158">
            <v>1050505.3900000022</v>
          </cell>
          <cell r="L1158">
            <v>1050505.3900000022</v>
          </cell>
          <cell r="M1158">
            <v>0</v>
          </cell>
        </row>
        <row r="1159">
          <cell r="B1159" t="str">
            <v>06-003/22</v>
          </cell>
          <cell r="C1159" t="str">
            <v>2.01.01.01</v>
          </cell>
          <cell r="D1159">
            <v>41428</v>
          </cell>
          <cell r="E1159" t="str">
            <v>SANDRO PAGGI DE SOUSA</v>
          </cell>
          <cell r="F1159" t="str">
            <v>SALÁRIO REF 05/2013</v>
          </cell>
          <cell r="G1159" t="str">
            <v>D</v>
          </cell>
          <cell r="H1159">
            <v>699</v>
          </cell>
          <cell r="I1159">
            <v>0</v>
          </cell>
          <cell r="J1159" t="str">
            <v>X</v>
          </cell>
          <cell r="K1159">
            <v>1049806.3900000022</v>
          </cell>
          <cell r="L1159">
            <v>1049806.3900000022</v>
          </cell>
          <cell r="M1159">
            <v>0</v>
          </cell>
        </row>
        <row r="1160">
          <cell r="B1160" t="str">
            <v>06-003/23</v>
          </cell>
          <cell r="C1160" t="str">
            <v>2.01.01.01</v>
          </cell>
          <cell r="D1160">
            <v>41428</v>
          </cell>
          <cell r="E1160" t="str">
            <v>ALEXANDRO JESUS DE ARAUJO</v>
          </cell>
          <cell r="F1160" t="str">
            <v>SALÁRIO REF 05/2013</v>
          </cell>
          <cell r="G1160" t="str">
            <v>D</v>
          </cell>
          <cell r="H1160">
            <v>1179</v>
          </cell>
          <cell r="I1160">
            <v>0</v>
          </cell>
          <cell r="J1160" t="str">
            <v>X</v>
          </cell>
          <cell r="K1160">
            <v>1048627.3900000022</v>
          </cell>
          <cell r="L1160">
            <v>1048627.3900000022</v>
          </cell>
          <cell r="M1160">
            <v>0</v>
          </cell>
        </row>
        <row r="1161">
          <cell r="B1161" t="str">
            <v>06-003/24</v>
          </cell>
          <cell r="C1161" t="str">
            <v>2.01.01.01</v>
          </cell>
          <cell r="D1161">
            <v>41428</v>
          </cell>
          <cell r="E1161" t="str">
            <v>ALEXANDRE DE C ALVES</v>
          </cell>
          <cell r="F1161" t="str">
            <v>SALÁRIO REF 05/2013</v>
          </cell>
          <cell r="G1161" t="str">
            <v>D</v>
          </cell>
          <cell r="H1161">
            <v>734</v>
          </cell>
          <cell r="I1161">
            <v>0</v>
          </cell>
          <cell r="J1161" t="str">
            <v>X</v>
          </cell>
          <cell r="K1161">
            <v>1047893.3900000022</v>
          </cell>
          <cell r="L1161">
            <v>1047893.3900000022</v>
          </cell>
          <cell r="M1161">
            <v>0</v>
          </cell>
        </row>
        <row r="1162">
          <cell r="B1162" t="str">
            <v>06-003/25</v>
          </cell>
          <cell r="C1162" t="str">
            <v>2.01.01.01</v>
          </cell>
          <cell r="D1162">
            <v>41428</v>
          </cell>
          <cell r="E1162" t="str">
            <v xml:space="preserve">MARCELO DOS SANTOS </v>
          </cell>
          <cell r="F1162" t="str">
            <v>SALÁRIO REF 05/2013</v>
          </cell>
          <cell r="G1162" t="str">
            <v>D</v>
          </cell>
          <cell r="H1162">
            <v>647</v>
          </cell>
          <cell r="I1162">
            <v>0</v>
          </cell>
          <cell r="J1162" t="str">
            <v>X</v>
          </cell>
          <cell r="K1162">
            <v>1047246.3900000022</v>
          </cell>
          <cell r="L1162">
            <v>1047246.3900000022</v>
          </cell>
          <cell r="M1162">
            <v>0</v>
          </cell>
        </row>
        <row r="1163">
          <cell r="B1163" t="str">
            <v>06-003/26</v>
          </cell>
          <cell r="C1163" t="str">
            <v>2.01.01.01</v>
          </cell>
          <cell r="D1163">
            <v>41428</v>
          </cell>
          <cell r="E1163" t="str">
            <v>WILSON DE SOUZA</v>
          </cell>
          <cell r="F1163" t="str">
            <v>SALÁRIO REF 05/2013</v>
          </cell>
          <cell r="G1163" t="str">
            <v>D</v>
          </cell>
          <cell r="H1163">
            <v>702</v>
          </cell>
          <cell r="I1163">
            <v>0</v>
          </cell>
          <cell r="J1163" t="str">
            <v>X</v>
          </cell>
          <cell r="K1163">
            <v>1046544.3900000022</v>
          </cell>
          <cell r="L1163">
            <v>1046544.3900000022</v>
          </cell>
          <cell r="M1163">
            <v>0</v>
          </cell>
        </row>
        <row r="1164">
          <cell r="B1164" t="str">
            <v>06-003/27</v>
          </cell>
          <cell r="C1164" t="str">
            <v>2.01.01.01</v>
          </cell>
          <cell r="D1164">
            <v>41428</v>
          </cell>
          <cell r="E1164" t="str">
            <v xml:space="preserve">PLÍNIO DOS SANTOS </v>
          </cell>
          <cell r="F1164" t="str">
            <v>SALÁRIO REF 05/2013</v>
          </cell>
          <cell r="G1164" t="str">
            <v>D</v>
          </cell>
          <cell r="H1164">
            <v>733</v>
          </cell>
          <cell r="I1164">
            <v>0</v>
          </cell>
          <cell r="J1164" t="str">
            <v>X</v>
          </cell>
          <cell r="K1164">
            <v>1045811.3900000022</v>
          </cell>
          <cell r="L1164">
            <v>1045811.3900000022</v>
          </cell>
          <cell r="M1164">
            <v>0</v>
          </cell>
        </row>
        <row r="1165">
          <cell r="B1165" t="str">
            <v>06-003/28</v>
          </cell>
          <cell r="C1165" t="str">
            <v>2.01.01.01</v>
          </cell>
          <cell r="D1165">
            <v>41428</v>
          </cell>
          <cell r="E1165" t="str">
            <v>ROBERTO DIAS</v>
          </cell>
          <cell r="F1165" t="str">
            <v>SALÁRIO REF 05/2013</v>
          </cell>
          <cell r="G1165" t="str">
            <v>D</v>
          </cell>
          <cell r="H1165">
            <v>786</v>
          </cell>
          <cell r="I1165">
            <v>0</v>
          </cell>
          <cell r="J1165" t="str">
            <v>X</v>
          </cell>
          <cell r="K1165">
            <v>1045025.3900000022</v>
          </cell>
          <cell r="L1165">
            <v>1045025.3900000022</v>
          </cell>
          <cell r="M1165">
            <v>0</v>
          </cell>
        </row>
        <row r="1166">
          <cell r="B1166" t="str">
            <v>06-003/29</v>
          </cell>
          <cell r="C1166" t="str">
            <v>2.01.01.01</v>
          </cell>
          <cell r="D1166">
            <v>41428</v>
          </cell>
          <cell r="E1166" t="str">
            <v xml:space="preserve">ARMANDO IGNÁCIO TORRÃO </v>
          </cell>
          <cell r="F1166" t="str">
            <v>SALÁRIO REF 05/2013</v>
          </cell>
          <cell r="G1166" t="str">
            <v>D</v>
          </cell>
          <cell r="H1166">
            <v>1199</v>
          </cell>
          <cell r="I1166">
            <v>0</v>
          </cell>
          <cell r="J1166" t="str">
            <v>X</v>
          </cell>
          <cell r="K1166">
            <v>1043826.3900000022</v>
          </cell>
          <cell r="L1166">
            <v>1043826.3900000022</v>
          </cell>
          <cell r="M1166">
            <v>0</v>
          </cell>
        </row>
        <row r="1167">
          <cell r="B1167" t="str">
            <v>06-003/30</v>
          </cell>
          <cell r="C1167" t="str">
            <v>2.01.01.01</v>
          </cell>
          <cell r="D1167">
            <v>41428</v>
          </cell>
          <cell r="E1167" t="str">
            <v>PAULO ANDRÉ GIL BOSCHIERO</v>
          </cell>
          <cell r="F1167" t="str">
            <v>PRO LABORE REF 05/2013</v>
          </cell>
          <cell r="G1167" t="str">
            <v>D</v>
          </cell>
          <cell r="H1167">
            <v>9358.27</v>
          </cell>
          <cell r="I1167">
            <v>0</v>
          </cell>
          <cell r="J1167" t="str">
            <v>X</v>
          </cell>
          <cell r="K1167">
            <v>1034468.1200000022</v>
          </cell>
          <cell r="L1167">
            <v>1034468.1200000022</v>
          </cell>
          <cell r="M1167">
            <v>0</v>
          </cell>
        </row>
        <row r="1168">
          <cell r="B1168" t="str">
            <v>06-003/31</v>
          </cell>
          <cell r="C1168" t="str">
            <v>2.01.01.01</v>
          </cell>
          <cell r="D1168">
            <v>41428</v>
          </cell>
          <cell r="E1168" t="str">
            <v>RICARDO KASSARDJIAN</v>
          </cell>
          <cell r="F1168" t="str">
            <v>PRO LABORE REF 05/2013</v>
          </cell>
          <cell r="G1168" t="str">
            <v>D</v>
          </cell>
          <cell r="H1168">
            <v>11243.87</v>
          </cell>
          <cell r="I1168">
            <v>0</v>
          </cell>
          <cell r="J1168" t="str">
            <v>X</v>
          </cell>
          <cell r="K1168">
            <v>1023224.2500000022</v>
          </cell>
          <cell r="L1168">
            <v>1023224.2500000022</v>
          </cell>
          <cell r="M1168">
            <v>0</v>
          </cell>
        </row>
        <row r="1169">
          <cell r="B1169" t="str">
            <v>06-003/32</v>
          </cell>
          <cell r="C1169" t="str">
            <v>2.01.01.01</v>
          </cell>
          <cell r="D1169">
            <v>41428</v>
          </cell>
          <cell r="E1169" t="str">
            <v>PEDRO P BERGAMASCHI</v>
          </cell>
          <cell r="F1169" t="str">
            <v>PRO LABORE REF 05/2013</v>
          </cell>
          <cell r="G1169" t="str">
            <v>D</v>
          </cell>
          <cell r="H1169">
            <v>2365.27</v>
          </cell>
          <cell r="I1169">
            <v>0</v>
          </cell>
          <cell r="J1169" t="str">
            <v>X</v>
          </cell>
          <cell r="K1169">
            <v>1020858.9800000022</v>
          </cell>
          <cell r="L1169">
            <v>1020858.9800000022</v>
          </cell>
          <cell r="M1169">
            <v>0</v>
          </cell>
        </row>
        <row r="1170">
          <cell r="B1170" t="str">
            <v>06-003/33</v>
          </cell>
          <cell r="C1170" t="str">
            <v>2.01.01.01</v>
          </cell>
          <cell r="D1170">
            <v>41428</v>
          </cell>
          <cell r="E1170" t="str">
            <v>JOÃO MAURO BOSCHIERO</v>
          </cell>
          <cell r="F1170" t="str">
            <v>PRO LABORE REF 05/2013</v>
          </cell>
          <cell r="G1170" t="str">
            <v>D</v>
          </cell>
          <cell r="H1170">
            <v>2261.83</v>
          </cell>
          <cell r="I1170">
            <v>0</v>
          </cell>
          <cell r="J1170" t="str">
            <v>X</v>
          </cell>
          <cell r="K1170">
            <v>1018597.1500000022</v>
          </cell>
          <cell r="L1170">
            <v>1018597.1500000022</v>
          </cell>
          <cell r="M1170">
            <v>0</v>
          </cell>
        </row>
        <row r="1171">
          <cell r="B1171" t="str">
            <v>05-045/2</v>
          </cell>
          <cell r="C1171" t="str">
            <v>2.01.05.11</v>
          </cell>
          <cell r="D1171">
            <v>41429</v>
          </cell>
          <cell r="E1171" t="str">
            <v>VT COMÉRCIO DE MOTORES ELÉTRICOS E ACIONAMENTOS Ltda.</v>
          </cell>
          <cell r="F1171" t="str">
            <v>COMPRA DE ROTOR</v>
          </cell>
          <cell r="G1171" t="str">
            <v>D</v>
          </cell>
          <cell r="H1171">
            <v>2843.77</v>
          </cell>
          <cell r="I1171">
            <v>0</v>
          </cell>
          <cell r="J1171" t="str">
            <v>X</v>
          </cell>
          <cell r="K1171">
            <v>1015753.3800000022</v>
          </cell>
          <cell r="L1171">
            <v>1015753.3800000022</v>
          </cell>
          <cell r="M1171">
            <v>630</v>
          </cell>
        </row>
        <row r="1172">
          <cell r="B1172" t="str">
            <v>RE06-003</v>
          </cell>
          <cell r="C1172" t="str">
            <v>1.01.01.01</v>
          </cell>
          <cell r="D1172">
            <v>41429</v>
          </cell>
          <cell r="E1172" t="str">
            <v>SANETRAT SANEAMENTO S/A</v>
          </cell>
          <cell r="F1172" t="str">
            <v>TRATAMENTO DE ESGOTO REF 03/2013</v>
          </cell>
          <cell r="G1172" t="str">
            <v>C</v>
          </cell>
          <cell r="H1172">
            <v>0</v>
          </cell>
          <cell r="I1172">
            <v>10900.47</v>
          </cell>
          <cell r="J1172" t="str">
            <v>X</v>
          </cell>
          <cell r="K1172">
            <v>1026653.8500000022</v>
          </cell>
          <cell r="L1172">
            <v>1026653.8500000022</v>
          </cell>
          <cell r="M1172">
            <v>0</v>
          </cell>
        </row>
        <row r="1173">
          <cell r="B1173" t="str">
            <v>RE06-004</v>
          </cell>
          <cell r="C1173" t="str">
            <v>1.01.01.01</v>
          </cell>
          <cell r="D1173">
            <v>41430</v>
          </cell>
          <cell r="E1173" t="str">
            <v xml:space="preserve">BANCO ITAÚ </v>
          </cell>
          <cell r="F1173" t="str">
            <v xml:space="preserve">RENDIMENTO DE APLICAÇÃO </v>
          </cell>
          <cell r="G1173" t="str">
            <v>C</v>
          </cell>
          <cell r="H1173">
            <v>0</v>
          </cell>
          <cell r="I1173">
            <v>38.32</v>
          </cell>
          <cell r="J1173" t="str">
            <v>X</v>
          </cell>
          <cell r="K1173">
            <v>1026692.1700000021</v>
          </cell>
          <cell r="L1173">
            <v>1026692.1700000021</v>
          </cell>
          <cell r="M1173">
            <v>0</v>
          </cell>
        </row>
        <row r="1174">
          <cell r="B1174" t="str">
            <v>05-146</v>
          </cell>
          <cell r="C1174" t="str">
            <v>2.01.05.02</v>
          </cell>
          <cell r="D1174">
            <v>41430</v>
          </cell>
          <cell r="E1174" t="str">
            <v>CARLOS ALBERTO PROGIANTI ME</v>
          </cell>
          <cell r="F1174" t="str">
            <v>ASSISTÊNCIA TÉCNICA REF A LEITURA DE DADOS</v>
          </cell>
          <cell r="G1174" t="str">
            <v>D</v>
          </cell>
          <cell r="H1174">
            <v>127.34</v>
          </cell>
          <cell r="I1174">
            <v>0</v>
          </cell>
          <cell r="J1174" t="str">
            <v>X</v>
          </cell>
          <cell r="K1174">
            <v>1026564.8300000022</v>
          </cell>
          <cell r="L1174">
            <v>1026564.8300000022</v>
          </cell>
          <cell r="M1174">
            <v>145</v>
          </cell>
        </row>
        <row r="1175">
          <cell r="B1175" t="str">
            <v>05-142</v>
          </cell>
          <cell r="C1175" t="str">
            <v>2.01.05.02</v>
          </cell>
          <cell r="D1175">
            <v>41430</v>
          </cell>
          <cell r="E1175" t="str">
            <v>CARLOS ALBERTO PROGIANTI ME</v>
          </cell>
          <cell r="F1175" t="str">
            <v>ASSISTÊNCIA TÉCNICA REF A LEITURA DE DADOS</v>
          </cell>
          <cell r="G1175" t="str">
            <v>D</v>
          </cell>
          <cell r="H1175">
            <v>127.34</v>
          </cell>
          <cell r="I1175">
            <v>0</v>
          </cell>
          <cell r="J1175" t="str">
            <v>X</v>
          </cell>
          <cell r="K1175">
            <v>1026437.4900000022</v>
          </cell>
          <cell r="L1175">
            <v>1026437.4900000022</v>
          </cell>
          <cell r="M1175">
            <v>146</v>
          </cell>
        </row>
        <row r="1176">
          <cell r="B1176" t="str">
            <v>05-147</v>
          </cell>
          <cell r="C1176" t="str">
            <v>2.01.05.02</v>
          </cell>
          <cell r="D1176">
            <v>41430</v>
          </cell>
          <cell r="E1176" t="str">
            <v>CARLOS ALBERTO PROGIANTI ME</v>
          </cell>
          <cell r="F1176" t="str">
            <v>ASSISTÊNCIA TÉCNICA REF A LEITURA DE DADOS</v>
          </cell>
          <cell r="G1176" t="str">
            <v>D</v>
          </cell>
          <cell r="H1176">
            <v>120.2</v>
          </cell>
          <cell r="I1176">
            <v>0</v>
          </cell>
          <cell r="J1176" t="str">
            <v>X</v>
          </cell>
          <cell r="K1176">
            <v>1026317.2900000022</v>
          </cell>
          <cell r="L1176">
            <v>1026317.2900000022</v>
          </cell>
          <cell r="M1176">
            <v>147</v>
          </cell>
        </row>
        <row r="1177">
          <cell r="B1177" t="str">
            <v>05-143</v>
          </cell>
          <cell r="C1177" t="str">
            <v>2.01.05.02</v>
          </cell>
          <cell r="D1177">
            <v>41430</v>
          </cell>
          <cell r="E1177" t="str">
            <v>CARLOS ALBERTO PROGIANTI ME</v>
          </cell>
          <cell r="F1177" t="str">
            <v>ASSISTÊNCIA TÉCNICA REF A LEITURA DE DADOS</v>
          </cell>
          <cell r="G1177" t="str">
            <v>D</v>
          </cell>
          <cell r="H1177">
            <v>120.73</v>
          </cell>
          <cell r="I1177">
            <v>0</v>
          </cell>
          <cell r="J1177" t="str">
            <v>X</v>
          </cell>
          <cell r="K1177">
            <v>1026196.5600000023</v>
          </cell>
          <cell r="L1177">
            <v>1026196.5600000023</v>
          </cell>
          <cell r="M1177">
            <v>148</v>
          </cell>
        </row>
        <row r="1178">
          <cell r="B1178" t="str">
            <v>05-145</v>
          </cell>
          <cell r="C1178" t="str">
            <v>2.01.05.02</v>
          </cell>
          <cell r="D1178">
            <v>41430</v>
          </cell>
          <cell r="E1178" t="str">
            <v>CARLOS ALBERTO PROGIANTI ME</v>
          </cell>
          <cell r="F1178" t="str">
            <v>ASSISTÊNCIA TÉCNICA REF A LEITURA DE DADOS</v>
          </cell>
          <cell r="G1178" t="str">
            <v>D</v>
          </cell>
          <cell r="H1178">
            <v>127.34</v>
          </cell>
          <cell r="I1178">
            <v>0</v>
          </cell>
          <cell r="J1178" t="str">
            <v>X</v>
          </cell>
          <cell r="K1178">
            <v>1026069.2200000023</v>
          </cell>
          <cell r="L1178">
            <v>1026069.2200000023</v>
          </cell>
          <cell r="M1178">
            <v>144</v>
          </cell>
        </row>
        <row r="1179">
          <cell r="B1179" t="str">
            <v>05-138</v>
          </cell>
          <cell r="C1179" t="str">
            <v>2.01.03.09</v>
          </cell>
          <cell r="D1179">
            <v>41430</v>
          </cell>
          <cell r="E1179" t="str">
            <v>COMPANHIA PIRATININGA DE FORÇA E LUZ - CPFL</v>
          </cell>
          <cell r="F1179" t="str">
            <v>CONTA DE ENERGIA ELEV 02 REF 05/2013</v>
          </cell>
          <cell r="G1179" t="str">
            <v>D</v>
          </cell>
          <cell r="H1179">
            <v>229.38</v>
          </cell>
          <cell r="I1179">
            <v>0</v>
          </cell>
          <cell r="J1179" t="str">
            <v>X</v>
          </cell>
          <cell r="K1179">
            <v>1025839.8400000023</v>
          </cell>
          <cell r="L1179">
            <v>1025839.8400000023</v>
          </cell>
          <cell r="M1179">
            <v>0</v>
          </cell>
        </row>
        <row r="1180">
          <cell r="B1180" t="str">
            <v>06-028</v>
          </cell>
          <cell r="C1180" t="str">
            <v>2.07.01.03</v>
          </cell>
          <cell r="D1180">
            <v>41430</v>
          </cell>
          <cell r="E1180" t="str">
            <v>KALUNGA COM. IND. GRÁFICA LTDA</v>
          </cell>
          <cell r="F1180" t="str">
            <v xml:space="preserve">COMPRA DE MATERIAIS DE INFORMÁTICA PARA ETE </v>
          </cell>
          <cell r="G1180" t="str">
            <v>D</v>
          </cell>
          <cell r="H1180">
            <v>378.24</v>
          </cell>
          <cell r="I1180">
            <v>0</v>
          </cell>
          <cell r="J1180" t="str">
            <v>X</v>
          </cell>
          <cell r="K1180">
            <v>1025461.6000000023</v>
          </cell>
          <cell r="L1180">
            <v>1025461.6000000023</v>
          </cell>
          <cell r="M1180">
            <v>1591574</v>
          </cell>
        </row>
        <row r="1181">
          <cell r="B1181" t="str">
            <v>05-139</v>
          </cell>
          <cell r="C1181" t="str">
            <v>2.01.03.09</v>
          </cell>
          <cell r="D1181">
            <v>41430</v>
          </cell>
          <cell r="E1181" t="str">
            <v>COMPANHIA PIRATININGA DE FORÇA E LUZ - CPFL</v>
          </cell>
          <cell r="F1181" t="str">
            <v>CONTA DE ENERGIA ELEV GUARAÚ 02 REF 05/2013</v>
          </cell>
          <cell r="G1181" t="str">
            <v>D</v>
          </cell>
          <cell r="H1181">
            <v>507.97</v>
          </cell>
          <cell r="I1181">
            <v>0</v>
          </cell>
          <cell r="J1181" t="str">
            <v>X</v>
          </cell>
          <cell r="K1181">
            <v>1024953.6300000023</v>
          </cell>
          <cell r="L1181">
            <v>1024953.6300000023</v>
          </cell>
          <cell r="M1181">
            <v>0</v>
          </cell>
        </row>
        <row r="1182">
          <cell r="B1182" t="str">
            <v>05-140</v>
          </cell>
          <cell r="C1182" t="str">
            <v>2.02.02.06</v>
          </cell>
          <cell r="D1182">
            <v>41430</v>
          </cell>
          <cell r="E1182" t="str">
            <v>SAUELI DE SOUZA SALTO ME</v>
          </cell>
          <cell r="F1182" t="str">
            <v>COMPRA DE 4 BOTIJÃO GLP</v>
          </cell>
          <cell r="G1182" t="str">
            <v>D</v>
          </cell>
          <cell r="H1182">
            <v>600</v>
          </cell>
          <cell r="I1182">
            <v>0</v>
          </cell>
          <cell r="J1182" t="str">
            <v>X</v>
          </cell>
          <cell r="K1182">
            <v>1024353.6300000023</v>
          </cell>
          <cell r="L1182">
            <v>1024353.6300000023</v>
          </cell>
          <cell r="M1182">
            <v>3156</v>
          </cell>
        </row>
        <row r="1183">
          <cell r="B1183" t="str">
            <v>05-124</v>
          </cell>
          <cell r="C1183" t="str">
            <v>2.02.01.03</v>
          </cell>
          <cell r="D1183">
            <v>41430</v>
          </cell>
          <cell r="E1183" t="str">
            <v>MARIANA CRISTINA GESSOLI</v>
          </cell>
          <cell r="F1183" t="str">
            <v xml:space="preserve">FÉRIAS </v>
          </cell>
          <cell r="G1183" t="str">
            <v>D</v>
          </cell>
          <cell r="H1183">
            <v>1236.5</v>
          </cell>
          <cell r="I1183">
            <v>0</v>
          </cell>
          <cell r="J1183" t="str">
            <v>X</v>
          </cell>
          <cell r="K1183">
            <v>1023117.1300000023</v>
          </cell>
          <cell r="L1183">
            <v>1023117.1300000023</v>
          </cell>
          <cell r="M1183">
            <v>0</v>
          </cell>
        </row>
        <row r="1184">
          <cell r="B1184" t="str">
            <v>06-031</v>
          </cell>
          <cell r="C1184" t="str">
            <v>2.01.01.06</v>
          </cell>
          <cell r="D1184">
            <v>41430</v>
          </cell>
          <cell r="E1184" t="str">
            <v xml:space="preserve">RESTAURANTE SUINDARA </v>
          </cell>
          <cell r="F1184" t="str">
            <v xml:space="preserve">FORNECIMENTO DE MARMITEX PARA ETE </v>
          </cell>
          <cell r="G1184" t="str">
            <v>D</v>
          </cell>
          <cell r="H1184">
            <v>2519</v>
          </cell>
          <cell r="I1184">
            <v>0</v>
          </cell>
          <cell r="J1184" t="str">
            <v>X</v>
          </cell>
          <cell r="K1184">
            <v>1020598.1300000023</v>
          </cell>
          <cell r="L1184">
            <v>1020598.1300000023</v>
          </cell>
          <cell r="M1184">
            <v>5007</v>
          </cell>
        </row>
        <row r="1185">
          <cell r="B1185" t="str">
            <v>06-014</v>
          </cell>
          <cell r="C1185" t="str">
            <v>2.01.01.09</v>
          </cell>
          <cell r="D1185">
            <v>41430</v>
          </cell>
          <cell r="E1185" t="str">
            <v>FGTS SANESALTO</v>
          </cell>
          <cell r="F1185" t="str">
            <v>FUNDO DE GARANTIA POR TEMPO DE SERVIÇO REF 05/2013</v>
          </cell>
          <cell r="G1185" t="str">
            <v>D</v>
          </cell>
          <cell r="H1185">
            <v>4109.71</v>
          </cell>
          <cell r="I1185">
            <v>0</v>
          </cell>
          <cell r="J1185" t="str">
            <v>X</v>
          </cell>
          <cell r="K1185">
            <v>1016488.4200000024</v>
          </cell>
          <cell r="L1185">
            <v>1016488.4200000024</v>
          </cell>
          <cell r="M1185">
            <v>0</v>
          </cell>
        </row>
        <row r="1186">
          <cell r="B1186" t="str">
            <v>04-131/2</v>
          </cell>
          <cell r="C1186" t="str">
            <v>2.01.05.06</v>
          </cell>
          <cell r="D1186">
            <v>41430</v>
          </cell>
          <cell r="E1186" t="str">
            <v xml:space="preserve">MISAEL APARECIDO NOBREGA ME </v>
          </cell>
          <cell r="F1186" t="str">
            <v xml:space="preserve">MÃO DE OBRA DE MANUTENÇÃO E COMPRA DE PEÇA </v>
          </cell>
          <cell r="G1186" t="str">
            <v>D</v>
          </cell>
          <cell r="H1186">
            <v>7137.55</v>
          </cell>
          <cell r="I1186">
            <v>0</v>
          </cell>
          <cell r="J1186" t="str">
            <v>X</v>
          </cell>
          <cell r="K1186">
            <v>1009350.8700000023</v>
          </cell>
          <cell r="L1186">
            <v>1009350.8700000023</v>
          </cell>
          <cell r="M1186">
            <v>119</v>
          </cell>
        </row>
        <row r="1187">
          <cell r="B1187" t="str">
            <v>05-092</v>
          </cell>
          <cell r="C1187" t="str">
            <v>2.01.05.10</v>
          </cell>
          <cell r="D1187">
            <v>41430</v>
          </cell>
          <cell r="E1187" t="str">
            <v>CORPUS SANEAMENTO E OBRAS LTDA</v>
          </cell>
          <cell r="F1187" t="str">
            <v xml:space="preserve">COLETA, TRANSPORTES E DESTINAÇÃO FINAL DE RESÍDUOS INDUSTRIAIS </v>
          </cell>
          <cell r="G1187" t="str">
            <v>D</v>
          </cell>
          <cell r="H1187">
            <v>16728.650000000001</v>
          </cell>
          <cell r="I1187">
            <v>0</v>
          </cell>
          <cell r="J1187" t="str">
            <v>X</v>
          </cell>
          <cell r="K1187">
            <v>992622.2200000023</v>
          </cell>
          <cell r="L1187">
            <v>992622.2200000023</v>
          </cell>
          <cell r="M1187">
            <v>11574</v>
          </cell>
        </row>
        <row r="1188">
          <cell r="B1188" t="str">
            <v>RE06-005</v>
          </cell>
          <cell r="C1188" t="str">
            <v>1.01.01.01</v>
          </cell>
          <cell r="D1188">
            <v>41431</v>
          </cell>
          <cell r="E1188" t="str">
            <v xml:space="preserve">BANCO ITAÚ </v>
          </cell>
          <cell r="F1188" t="str">
            <v xml:space="preserve">RENDIMENTO DE APLICAÇÃO </v>
          </cell>
          <cell r="G1188" t="str">
            <v>C</v>
          </cell>
          <cell r="H1188">
            <v>0</v>
          </cell>
          <cell r="I1188">
            <v>4.04</v>
          </cell>
          <cell r="J1188" t="str">
            <v>X</v>
          </cell>
          <cell r="K1188">
            <v>992626.26000000234</v>
          </cell>
          <cell r="L1188">
            <v>992626.26000000234</v>
          </cell>
          <cell r="M1188">
            <v>0</v>
          </cell>
        </row>
        <row r="1189">
          <cell r="B1189" t="str">
            <v>06-032</v>
          </cell>
          <cell r="C1189" t="str">
            <v>2.02.03.21</v>
          </cell>
          <cell r="D1189">
            <v>41431</v>
          </cell>
          <cell r="E1189" t="str">
            <v>JONAS SANTOS</v>
          </cell>
          <cell r="F1189" t="str">
            <v>HONORÁRIOS MENSAIS</v>
          </cell>
          <cell r="G1189" t="str">
            <v>D</v>
          </cell>
          <cell r="H1189">
            <v>3468.6</v>
          </cell>
          <cell r="I1189">
            <v>0</v>
          </cell>
          <cell r="J1189" t="str">
            <v>X</v>
          </cell>
          <cell r="K1189">
            <v>989157.66000000236</v>
          </cell>
          <cell r="L1189">
            <v>989157.66000000236</v>
          </cell>
          <cell r="M1189">
            <v>24</v>
          </cell>
        </row>
        <row r="1190">
          <cell r="B1190" t="str">
            <v>RE06-006</v>
          </cell>
          <cell r="C1190" t="str">
            <v>1.01.01.01</v>
          </cell>
          <cell r="D1190">
            <v>41432</v>
          </cell>
          <cell r="E1190" t="str">
            <v xml:space="preserve">BANCO ITAÚ </v>
          </cell>
          <cell r="F1190" t="str">
            <v xml:space="preserve">RENDIMENTO DE APLICAÇÃO </v>
          </cell>
          <cell r="G1190" t="str">
            <v>C</v>
          </cell>
          <cell r="H1190">
            <v>0</v>
          </cell>
          <cell r="I1190">
            <v>4.79</v>
          </cell>
          <cell r="J1190" t="str">
            <v>X</v>
          </cell>
          <cell r="K1190">
            <v>989162.4500000024</v>
          </cell>
          <cell r="L1190">
            <v>989162.4500000024</v>
          </cell>
          <cell r="M1190">
            <v>0</v>
          </cell>
        </row>
        <row r="1191">
          <cell r="B1191" t="str">
            <v>06-057</v>
          </cell>
          <cell r="C1191" t="str">
            <v>2.05.01.02</v>
          </cell>
          <cell r="D1191">
            <v>41432</v>
          </cell>
          <cell r="E1191" t="str">
            <v>SANESALTO SANEAMENTO S.A</v>
          </cell>
          <cell r="F1191" t="str">
            <v>PAGAMENTO DE CHEQUE (CAIXA INTERNO) 102816</v>
          </cell>
          <cell r="G1191" t="str">
            <v>D</v>
          </cell>
          <cell r="H1191">
            <v>4000</v>
          </cell>
          <cell r="I1191">
            <v>0</v>
          </cell>
          <cell r="J1191" t="str">
            <v>X</v>
          </cell>
          <cell r="K1191">
            <v>985162.4500000024</v>
          </cell>
          <cell r="L1191">
            <v>985162.4500000024</v>
          </cell>
          <cell r="M1191">
            <v>0</v>
          </cell>
        </row>
        <row r="1192">
          <cell r="B1192" t="str">
            <v>RE06-007</v>
          </cell>
          <cell r="C1192" t="str">
            <v>1.01.01.01</v>
          </cell>
          <cell r="D1192">
            <v>41435</v>
          </cell>
          <cell r="E1192" t="str">
            <v>SANESALTO SANEAMENTO S/A</v>
          </cell>
          <cell r="F1192" t="str">
            <v>MEDIÇÃO DE 01 A 07/06/2013</v>
          </cell>
          <cell r="G1192" t="str">
            <v>C</v>
          </cell>
          <cell r="H1192">
            <v>0</v>
          </cell>
          <cell r="I1192">
            <v>243618.95</v>
          </cell>
          <cell r="J1192" t="str">
            <v>X</v>
          </cell>
          <cell r="K1192">
            <v>1228781.4000000025</v>
          </cell>
          <cell r="L1192">
            <v>1228781.4000000025</v>
          </cell>
          <cell r="M1192">
            <v>0</v>
          </cell>
        </row>
        <row r="1193">
          <cell r="B1193" t="str">
            <v>06-040</v>
          </cell>
          <cell r="C1193" t="str">
            <v>2.01.03.17</v>
          </cell>
          <cell r="D1193">
            <v>41435</v>
          </cell>
          <cell r="E1193" t="str">
            <v>SANESALTO SANEAMENTO S.A</v>
          </cell>
          <cell r="F1193" t="str">
            <v>CONTA DE ÁGUA ELEV BURU 01 REF 05/2013</v>
          </cell>
          <cell r="G1193" t="str">
            <v>D</v>
          </cell>
          <cell r="H1193">
            <v>17.93</v>
          </cell>
          <cell r="I1193">
            <v>0</v>
          </cell>
          <cell r="J1193" t="str">
            <v>X</v>
          </cell>
          <cell r="K1193">
            <v>1228763.4700000025</v>
          </cell>
          <cell r="L1193">
            <v>1228763.4700000025</v>
          </cell>
          <cell r="M1193">
            <v>0</v>
          </cell>
        </row>
        <row r="1194">
          <cell r="B1194" t="str">
            <v>06-039</v>
          </cell>
          <cell r="C1194" t="str">
            <v>2.01.03.17</v>
          </cell>
          <cell r="D1194">
            <v>41435</v>
          </cell>
          <cell r="E1194" t="str">
            <v>SANESALTO SANEAMENTO S.A</v>
          </cell>
          <cell r="F1194" t="str">
            <v>CONTA DE ÁGUA ELEV BURU 02 REF 05/2013</v>
          </cell>
          <cell r="G1194" t="str">
            <v>D</v>
          </cell>
          <cell r="H1194">
            <v>17.93</v>
          </cell>
          <cell r="I1194">
            <v>0</v>
          </cell>
          <cell r="J1194" t="str">
            <v>X</v>
          </cell>
          <cell r="K1194">
            <v>1228745.5400000026</v>
          </cell>
          <cell r="L1194">
            <v>1228745.5400000026</v>
          </cell>
          <cell r="M1194">
            <v>0</v>
          </cell>
        </row>
        <row r="1195">
          <cell r="B1195" t="str">
            <v>06-036</v>
          </cell>
          <cell r="C1195" t="str">
            <v>2.01.03.17</v>
          </cell>
          <cell r="D1195">
            <v>41435</v>
          </cell>
          <cell r="E1195" t="str">
            <v>SANESALTO SANEAMENTO S.A</v>
          </cell>
          <cell r="F1195" t="str">
            <v>CONTA DE ÁGUA ELEV FINAL REF 05/2013</v>
          </cell>
          <cell r="G1195" t="str">
            <v>D</v>
          </cell>
          <cell r="H1195">
            <v>22.36</v>
          </cell>
          <cell r="I1195">
            <v>0</v>
          </cell>
          <cell r="J1195" t="str">
            <v>X</v>
          </cell>
          <cell r="K1195">
            <v>1228723.1800000025</v>
          </cell>
          <cell r="L1195">
            <v>1228723.1800000025</v>
          </cell>
          <cell r="M1195">
            <v>0</v>
          </cell>
        </row>
        <row r="1196">
          <cell r="B1196" t="str">
            <v>06-030</v>
          </cell>
          <cell r="C1196" t="str">
            <v>2.01.03.17</v>
          </cell>
          <cell r="D1196">
            <v>41435</v>
          </cell>
          <cell r="E1196" t="str">
            <v>SANESALTO SANEAMENTO S.A</v>
          </cell>
          <cell r="F1196" t="str">
            <v>CONTA DE ÁGUA ELEV 03 REF 05/2013</v>
          </cell>
          <cell r="G1196" t="str">
            <v>D</v>
          </cell>
          <cell r="H1196">
            <v>24.87</v>
          </cell>
          <cell r="I1196">
            <v>0</v>
          </cell>
          <cell r="J1196" t="str">
            <v>X</v>
          </cell>
          <cell r="K1196">
            <v>1228698.3100000024</v>
          </cell>
          <cell r="L1196">
            <v>1228698.3100000024</v>
          </cell>
          <cell r="M1196">
            <v>0</v>
          </cell>
        </row>
        <row r="1197">
          <cell r="B1197" t="str">
            <v>06-037</v>
          </cell>
          <cell r="C1197" t="str">
            <v>2.01.03.17</v>
          </cell>
          <cell r="D1197">
            <v>41435</v>
          </cell>
          <cell r="E1197" t="str">
            <v>SANESALTO SANEAMENTO S.A</v>
          </cell>
          <cell r="F1197" t="str">
            <v>CONTA DE ÁGUA ELEV GUARAÚ 01 REF 05/2013</v>
          </cell>
          <cell r="G1197" t="str">
            <v>D</v>
          </cell>
          <cell r="H1197">
            <v>33.69</v>
          </cell>
          <cell r="I1197">
            <v>0</v>
          </cell>
          <cell r="J1197" t="str">
            <v>X</v>
          </cell>
          <cell r="K1197">
            <v>1228664.6200000024</v>
          </cell>
          <cell r="L1197">
            <v>1228664.6200000024</v>
          </cell>
          <cell r="M1197">
            <v>0</v>
          </cell>
        </row>
        <row r="1198">
          <cell r="B1198" t="str">
            <v>06-038</v>
          </cell>
          <cell r="C1198" t="str">
            <v>2.01.03.17</v>
          </cell>
          <cell r="D1198">
            <v>41435</v>
          </cell>
          <cell r="E1198" t="str">
            <v>SANESALTO SANEAMENTO S.A</v>
          </cell>
          <cell r="F1198" t="str">
            <v>CONTA DE ÁGUA ELEV GUARAÚ 02 REF 05/2013</v>
          </cell>
          <cell r="G1198" t="str">
            <v>D</v>
          </cell>
          <cell r="H1198">
            <v>33.69</v>
          </cell>
          <cell r="I1198">
            <v>0</v>
          </cell>
          <cell r="J1198" t="str">
            <v>X</v>
          </cell>
          <cell r="K1198">
            <v>1228630.9300000025</v>
          </cell>
          <cell r="L1198">
            <v>1228630.9300000025</v>
          </cell>
          <cell r="M1198">
            <v>0</v>
          </cell>
        </row>
        <row r="1199">
          <cell r="B1199" t="str">
            <v>05-076</v>
          </cell>
          <cell r="C1199" t="str">
            <v>2.01.03.17</v>
          </cell>
          <cell r="D1199">
            <v>41435</v>
          </cell>
          <cell r="E1199" t="str">
            <v>SANESALTO SANEAMENTO S.A</v>
          </cell>
          <cell r="F1199" t="str">
            <v>CONTA DE ÁGUA ESCRITÓRIO REF 05/2013</v>
          </cell>
          <cell r="G1199" t="str">
            <v>D</v>
          </cell>
          <cell r="H1199">
            <v>37.270000000000003</v>
          </cell>
          <cell r="I1199">
            <v>0</v>
          </cell>
          <cell r="J1199" t="str">
            <v>X</v>
          </cell>
          <cell r="K1199">
            <v>1228593.6600000025</v>
          </cell>
          <cell r="L1199">
            <v>1228593.6600000025</v>
          </cell>
          <cell r="M1199">
            <v>0</v>
          </cell>
        </row>
        <row r="1200">
          <cell r="B1200" t="str">
            <v>06-033</v>
          </cell>
          <cell r="C1200" t="str">
            <v>2.02.03.23</v>
          </cell>
          <cell r="D1200">
            <v>41435</v>
          </cell>
          <cell r="E1200" t="str">
            <v xml:space="preserve">4 TABELIÃO DE NOTAS DA CAPITAL </v>
          </cell>
          <cell r="F1200" t="str">
            <v>DESPESAS COM SERVIÇOS DE CARTÓRIO SP</v>
          </cell>
          <cell r="G1200" t="str">
            <v>D</v>
          </cell>
          <cell r="H1200">
            <v>43</v>
          </cell>
          <cell r="I1200">
            <v>0</v>
          </cell>
          <cell r="J1200" t="str">
            <v>X</v>
          </cell>
          <cell r="K1200">
            <v>1228550.6600000025</v>
          </cell>
          <cell r="L1200">
            <v>1228550.6600000025</v>
          </cell>
          <cell r="M1200">
            <v>0</v>
          </cell>
        </row>
        <row r="1201">
          <cell r="B1201" t="str">
            <v>05-087</v>
          </cell>
          <cell r="C1201" t="str">
            <v>2.01.03.12</v>
          </cell>
          <cell r="D1201">
            <v>41435</v>
          </cell>
          <cell r="E1201" t="str">
            <v>COMERCIAL DE PARAFUSOS SALTENSE LTDA EPP</v>
          </cell>
          <cell r="F1201" t="str">
            <v xml:space="preserve">COMPRA DE MATERIAIS DIVERSOS </v>
          </cell>
          <cell r="G1201" t="str">
            <v>D</v>
          </cell>
          <cell r="H1201">
            <v>66.48</v>
          </cell>
          <cell r="I1201">
            <v>0</v>
          </cell>
          <cell r="J1201" t="str">
            <v>X</v>
          </cell>
          <cell r="K1201">
            <v>1228484.1800000025</v>
          </cell>
          <cell r="L1201">
            <v>1228484.1800000025</v>
          </cell>
          <cell r="M1201">
            <v>38626</v>
          </cell>
        </row>
        <row r="1202">
          <cell r="B1202" t="str">
            <v>05-093</v>
          </cell>
          <cell r="C1202" t="str">
            <v>2.01.03.16</v>
          </cell>
          <cell r="D1202">
            <v>41435</v>
          </cell>
          <cell r="E1202" t="str">
            <v>Tintas Taperá Comercial Ltda. EPP</v>
          </cell>
          <cell r="F1202" t="str">
            <v>Compra de material para ETE</v>
          </cell>
          <cell r="G1202" t="str">
            <v>D</v>
          </cell>
          <cell r="H1202">
            <v>71.989999999999995</v>
          </cell>
          <cell r="I1202">
            <v>0</v>
          </cell>
          <cell r="J1202" t="str">
            <v>X</v>
          </cell>
          <cell r="K1202">
            <v>1228412.1900000025</v>
          </cell>
          <cell r="L1202">
            <v>1228412.1900000025</v>
          </cell>
          <cell r="M1202">
            <v>6798</v>
          </cell>
        </row>
        <row r="1203">
          <cell r="B1203" t="str">
            <v>05-144</v>
          </cell>
          <cell r="C1203" t="str">
            <v>2.01.05.02</v>
          </cell>
          <cell r="D1203">
            <v>41435</v>
          </cell>
          <cell r="E1203" t="str">
            <v>CARLOS ALBERTO PROGIANTI ME</v>
          </cell>
          <cell r="F1203" t="str">
            <v>ASSISTÊNCIA TÉCNICA REF A LEITURA DE DADOS</v>
          </cell>
          <cell r="G1203" t="str">
            <v>D</v>
          </cell>
          <cell r="H1203">
            <v>80.38</v>
          </cell>
          <cell r="I1203">
            <v>0</v>
          </cell>
          <cell r="J1203" t="str">
            <v>X</v>
          </cell>
          <cell r="K1203">
            <v>1228331.8100000026</v>
          </cell>
          <cell r="L1203">
            <v>1228331.8100000026</v>
          </cell>
          <cell r="M1203">
            <v>161</v>
          </cell>
        </row>
        <row r="1204">
          <cell r="B1204" t="str">
            <v>05-088</v>
          </cell>
          <cell r="C1204" t="str">
            <v>2.01.03.16</v>
          </cell>
          <cell r="D1204">
            <v>41435</v>
          </cell>
          <cell r="E1204" t="str">
            <v xml:space="preserve">SALTO LUZ MATERIAIS ELÉTRICOS </v>
          </cell>
          <cell r="F1204" t="str">
            <v>COMPRA DE MATERIAIS ELÉTRICOS PARA ETE</v>
          </cell>
          <cell r="G1204" t="str">
            <v>D</v>
          </cell>
          <cell r="H1204">
            <v>80.98</v>
          </cell>
          <cell r="I1204">
            <v>0</v>
          </cell>
          <cell r="J1204" t="str">
            <v>X</v>
          </cell>
          <cell r="K1204">
            <v>1228250.8300000026</v>
          </cell>
          <cell r="L1204">
            <v>1228250.8300000026</v>
          </cell>
          <cell r="M1204">
            <v>14293</v>
          </cell>
        </row>
        <row r="1205">
          <cell r="B1205" t="str">
            <v>05-094</v>
          </cell>
          <cell r="C1205" t="str">
            <v>2.01.03.16</v>
          </cell>
          <cell r="D1205">
            <v>41435</v>
          </cell>
          <cell r="E1205" t="str">
            <v>ELETRO IRMÃOS MATERIAIS ELETRICOS LTDA</v>
          </cell>
          <cell r="F1205" t="str">
            <v>COMPRA DE MATERIAIS ELETRICOS PARA ETE</v>
          </cell>
          <cell r="G1205" t="str">
            <v>D</v>
          </cell>
          <cell r="H1205">
            <v>206.86</v>
          </cell>
          <cell r="I1205">
            <v>0</v>
          </cell>
          <cell r="J1205" t="str">
            <v>X</v>
          </cell>
          <cell r="K1205">
            <v>1228043.9700000025</v>
          </cell>
          <cell r="L1205">
            <v>1228043.9700000025</v>
          </cell>
          <cell r="M1205">
            <v>8933</v>
          </cell>
        </row>
        <row r="1206">
          <cell r="B1206" t="str">
            <v>06-058</v>
          </cell>
          <cell r="C1206" t="str">
            <v>2.07.01.03</v>
          </cell>
          <cell r="D1206">
            <v>41435</v>
          </cell>
          <cell r="E1206" t="str">
            <v>ECCO DO BRASIL PRODUTOS PARA INFOMÁTICA LTDA</v>
          </cell>
          <cell r="F1206" t="str">
            <v xml:space="preserve">COMPRA DE MULTIFUNCIONAL HP PARA ETE </v>
          </cell>
          <cell r="G1206" t="str">
            <v>D</v>
          </cell>
          <cell r="H1206">
            <v>282.52999999999997</v>
          </cell>
          <cell r="I1206">
            <v>0</v>
          </cell>
          <cell r="J1206" t="str">
            <v>X</v>
          </cell>
          <cell r="K1206">
            <v>1227761.4400000025</v>
          </cell>
          <cell r="L1206">
            <v>1227761.4400000025</v>
          </cell>
          <cell r="M1206">
            <v>990082</v>
          </cell>
        </row>
        <row r="1207">
          <cell r="B1207" t="str">
            <v>06-035</v>
          </cell>
          <cell r="C1207" t="str">
            <v>2.02.02.04</v>
          </cell>
          <cell r="D1207">
            <v>41435</v>
          </cell>
          <cell r="E1207" t="str">
            <v>VIVO S/A</v>
          </cell>
          <cell r="F1207">
            <v>0</v>
          </cell>
          <cell r="G1207" t="str">
            <v>D</v>
          </cell>
          <cell r="H1207">
            <v>576.5</v>
          </cell>
          <cell r="I1207">
            <v>0</v>
          </cell>
          <cell r="J1207" t="str">
            <v>X</v>
          </cell>
          <cell r="K1207">
            <v>1227184.9400000025</v>
          </cell>
          <cell r="L1207">
            <v>1227184.9400000025</v>
          </cell>
          <cell r="M1207">
            <v>2063779473</v>
          </cell>
        </row>
        <row r="1208">
          <cell r="B1208" t="str">
            <v>05-085</v>
          </cell>
          <cell r="C1208" t="str">
            <v>2.01.05.08</v>
          </cell>
          <cell r="D1208">
            <v>41435</v>
          </cell>
          <cell r="E1208" t="str">
            <v>GRACIANO FERREIRA S/C Ltda. ME</v>
          </cell>
          <cell r="F1208" t="str">
            <v xml:space="preserve">PRESTAÇÃO DE SERVIÇO DE GUINDASTE </v>
          </cell>
          <cell r="G1208" t="str">
            <v>D</v>
          </cell>
          <cell r="H1208">
            <v>874.89</v>
          </cell>
          <cell r="I1208">
            <v>0</v>
          </cell>
          <cell r="J1208" t="str">
            <v>X</v>
          </cell>
          <cell r="K1208">
            <v>1226310.0500000026</v>
          </cell>
          <cell r="L1208">
            <v>1226310.0500000026</v>
          </cell>
          <cell r="M1208">
            <v>261</v>
          </cell>
        </row>
        <row r="1209">
          <cell r="B1209" t="str">
            <v>06-016</v>
          </cell>
          <cell r="C1209" t="str">
            <v>2.02.01.04</v>
          </cell>
          <cell r="D1209">
            <v>41435</v>
          </cell>
          <cell r="E1209" t="str">
            <v>UNIMED DE SALTO ITU COOP TRAB MÉDICO</v>
          </cell>
          <cell r="F1209" t="str">
            <v>CONVÊNIO DOS FUNIONÁRIOS 06/2013</v>
          </cell>
          <cell r="G1209" t="str">
            <v>D</v>
          </cell>
          <cell r="H1209">
            <v>6812.38</v>
          </cell>
          <cell r="I1209">
            <v>0</v>
          </cell>
          <cell r="J1209" t="str">
            <v>X</v>
          </cell>
          <cell r="K1209">
            <v>1219497.6700000027</v>
          </cell>
          <cell r="L1209">
            <v>1219497.6700000027</v>
          </cell>
          <cell r="M1209" t="str">
            <v>30001521/13</v>
          </cell>
        </row>
        <row r="1210">
          <cell r="B1210" t="str">
            <v>06-059</v>
          </cell>
          <cell r="C1210" t="str">
            <v>2.01.03.08</v>
          </cell>
          <cell r="D1210">
            <v>41435</v>
          </cell>
          <cell r="E1210" t="str">
            <v>PRODUQUIMICA IND. E COM. LTDA</v>
          </cell>
          <cell r="F1210" t="str">
            <v xml:space="preserve">COMPRA DE NITRATO DE CALCIO SOLUÇÃO </v>
          </cell>
          <cell r="G1210" t="str">
            <v>D</v>
          </cell>
          <cell r="H1210">
            <v>8970</v>
          </cell>
          <cell r="I1210">
            <v>0</v>
          </cell>
          <cell r="J1210" t="str">
            <v>X</v>
          </cell>
          <cell r="K1210">
            <v>1210527.6700000027</v>
          </cell>
          <cell r="L1210">
            <v>1210527.6700000027</v>
          </cell>
          <cell r="M1210">
            <v>0</v>
          </cell>
        </row>
        <row r="1211">
          <cell r="B1211" t="str">
            <v>RE06-008</v>
          </cell>
          <cell r="C1211" t="str">
            <v>1.01.01.01</v>
          </cell>
          <cell r="D1211">
            <v>41438</v>
          </cell>
          <cell r="E1211" t="str">
            <v xml:space="preserve">BANCO ITAÚ </v>
          </cell>
          <cell r="F1211" t="str">
            <v xml:space="preserve">RENDIMENTO DE APLICAÇÃO </v>
          </cell>
          <cell r="G1211" t="str">
            <v>C</v>
          </cell>
          <cell r="H1211">
            <v>0</v>
          </cell>
          <cell r="I1211">
            <v>49.98</v>
          </cell>
          <cell r="J1211" t="str">
            <v>X</v>
          </cell>
          <cell r="K1211">
            <v>1210577.6500000027</v>
          </cell>
          <cell r="L1211">
            <v>1210577.6500000027</v>
          </cell>
          <cell r="M1211">
            <v>0</v>
          </cell>
        </row>
        <row r="1212">
          <cell r="B1212" t="str">
            <v>06-075</v>
          </cell>
          <cell r="C1212" t="str">
            <v>2.01.05.09</v>
          </cell>
          <cell r="D1212">
            <v>41438</v>
          </cell>
          <cell r="E1212" t="str">
            <v>TRANSTRIP LOCADORA DE VEICULOS</v>
          </cell>
          <cell r="F1212" t="str">
            <v>LOCAÇÃO DE VEICULO KOMBI REF 05/2013  + KM EXCEDENTE</v>
          </cell>
          <cell r="G1212" t="str">
            <v>D</v>
          </cell>
          <cell r="H1212">
            <v>8215.75</v>
          </cell>
          <cell r="I1212">
            <v>0</v>
          </cell>
          <cell r="J1212" t="str">
            <v>X</v>
          </cell>
          <cell r="K1212">
            <v>1202361.9000000027</v>
          </cell>
          <cell r="L1212">
            <v>1202361.9000000027</v>
          </cell>
          <cell r="M1212">
            <v>497</v>
          </cell>
        </row>
        <row r="1213">
          <cell r="B1213" t="str">
            <v>06-054</v>
          </cell>
          <cell r="C1213" t="str">
            <v>2.09.01.01</v>
          </cell>
          <cell r="D1213">
            <v>41438</v>
          </cell>
          <cell r="E1213" t="str">
            <v>BANCO BRADESCO</v>
          </cell>
          <cell r="F1213" t="str">
            <v>TRANSFERÊNCIA DE VALOR SANESALTO</v>
          </cell>
          <cell r="G1213" t="str">
            <v>D</v>
          </cell>
          <cell r="H1213">
            <v>2500</v>
          </cell>
          <cell r="I1213">
            <v>0</v>
          </cell>
          <cell r="J1213" t="str">
            <v>X</v>
          </cell>
          <cell r="K1213">
            <v>1199861.9000000027</v>
          </cell>
          <cell r="L1213">
            <v>1199861.9000000027</v>
          </cell>
          <cell r="M1213">
            <v>0</v>
          </cell>
        </row>
        <row r="1214">
          <cell r="B1214" t="str">
            <v>06-053</v>
          </cell>
          <cell r="C1214" t="str">
            <v>2.02.03.20</v>
          </cell>
          <cell r="D1214">
            <v>41438</v>
          </cell>
          <cell r="E1214" t="str">
            <v>APAE</v>
          </cell>
          <cell r="F1214" t="str">
            <v>DOAÇÃO MENSAL</v>
          </cell>
          <cell r="G1214" t="str">
            <v>D</v>
          </cell>
          <cell r="H1214">
            <v>2500</v>
          </cell>
          <cell r="I1214">
            <v>0</v>
          </cell>
          <cell r="J1214" t="str">
            <v>X</v>
          </cell>
          <cell r="K1214">
            <v>1197361.9000000027</v>
          </cell>
          <cell r="L1214">
            <v>1197361.9000000027</v>
          </cell>
          <cell r="M1214">
            <v>0</v>
          </cell>
        </row>
        <row r="1215">
          <cell r="B1215" t="str">
            <v>al06-001</v>
          </cell>
          <cell r="C1215" t="str">
            <v>2.02.03.14</v>
          </cell>
          <cell r="D1215">
            <v>41438</v>
          </cell>
          <cell r="E1215" t="str">
            <v>COSTA ROCHA IMOBILIÁRIA</v>
          </cell>
          <cell r="F1215" t="str">
            <v>ALUGUEL PRÉDIO SANESALTO</v>
          </cell>
          <cell r="G1215" t="str">
            <v>D</v>
          </cell>
          <cell r="H1215">
            <v>3635.3</v>
          </cell>
          <cell r="I1215">
            <v>0</v>
          </cell>
          <cell r="J1215" t="str">
            <v>X</v>
          </cell>
          <cell r="K1215">
            <v>1193726.6000000027</v>
          </cell>
          <cell r="L1215">
            <v>1193726.6000000027</v>
          </cell>
          <cell r="M1215">
            <v>0</v>
          </cell>
        </row>
        <row r="1216">
          <cell r="B1216" t="str">
            <v>al06-002</v>
          </cell>
          <cell r="C1216" t="str">
            <v>2.02.03.14</v>
          </cell>
          <cell r="D1216">
            <v>41438</v>
          </cell>
          <cell r="E1216" t="str">
            <v>COSTA ROCHA IMOBILIÁRIA</v>
          </cell>
          <cell r="F1216" t="str">
            <v>DEVOLUÇÃO DE VALORES RETIDOS INDEVIDAMENTE NO ANO DE 2013</v>
          </cell>
          <cell r="G1216" t="str">
            <v>D</v>
          </cell>
          <cell r="H1216">
            <v>135.4</v>
          </cell>
          <cell r="I1216">
            <v>0</v>
          </cell>
          <cell r="J1216" t="str">
            <v>X</v>
          </cell>
          <cell r="K1216">
            <v>1193591.2000000027</v>
          </cell>
          <cell r="L1216">
            <v>1193591.2000000027</v>
          </cell>
          <cell r="M1216">
            <v>0</v>
          </cell>
        </row>
        <row r="1217">
          <cell r="B1217" t="str">
            <v>05-141</v>
          </cell>
          <cell r="C1217" t="str">
            <v>2.01.05.02</v>
          </cell>
          <cell r="D1217">
            <v>41438</v>
          </cell>
          <cell r="E1217" t="str">
            <v>CARLOS ALBERTO PROGIANTI ME</v>
          </cell>
          <cell r="F1217" t="str">
            <v xml:space="preserve">ASSISTÊNCIA TÉCNICA REFERENTE A MANUTENÇÃO </v>
          </cell>
          <cell r="G1217" t="str">
            <v>D</v>
          </cell>
          <cell r="H1217">
            <v>170.12</v>
          </cell>
          <cell r="I1217">
            <v>0</v>
          </cell>
          <cell r="J1217" t="str">
            <v>X</v>
          </cell>
          <cell r="K1217">
            <v>1193421.0800000026</v>
          </cell>
          <cell r="L1217">
            <v>1193421.0800000026</v>
          </cell>
          <cell r="M1217">
            <v>194</v>
          </cell>
        </row>
        <row r="1218">
          <cell r="B1218" t="str">
            <v>05-106</v>
          </cell>
          <cell r="C1218" t="str">
            <v>2.02.02.01</v>
          </cell>
          <cell r="D1218">
            <v>41438</v>
          </cell>
          <cell r="E1218" t="str">
            <v>CODEQ SUPRIMENTOS PARA ESCRITÓRIOS Ltda.</v>
          </cell>
          <cell r="F1218" t="str">
            <v>COMPRA DE MATERIAIS DE ESCRITÓRIO</v>
          </cell>
          <cell r="G1218" t="str">
            <v>D</v>
          </cell>
          <cell r="H1218">
            <v>348</v>
          </cell>
          <cell r="I1218">
            <v>0</v>
          </cell>
          <cell r="J1218" t="str">
            <v>X</v>
          </cell>
          <cell r="K1218">
            <v>1193073.0800000026</v>
          </cell>
          <cell r="L1218">
            <v>1193073.0800000026</v>
          </cell>
          <cell r="M1218">
            <v>58032</v>
          </cell>
        </row>
        <row r="1219">
          <cell r="B1219" t="str">
            <v>05-101/2</v>
          </cell>
          <cell r="C1219" t="str">
            <v>2.02.03.26</v>
          </cell>
          <cell r="D1219">
            <v>41438</v>
          </cell>
          <cell r="E1219" t="str">
            <v xml:space="preserve">COMERCIAL AUTOMOTIVA LTDA </v>
          </cell>
          <cell r="F1219" t="str">
            <v xml:space="preserve">SERVIÇOS DE MANUTENÇÃO AUTOMOTIVA LOGAN/TROCA DE PNEUS </v>
          </cell>
          <cell r="G1219" t="str">
            <v>D</v>
          </cell>
          <cell r="H1219">
            <v>357.51</v>
          </cell>
          <cell r="I1219">
            <v>0</v>
          </cell>
          <cell r="J1219" t="str">
            <v>X</v>
          </cell>
          <cell r="K1219">
            <v>1192715.5700000026</v>
          </cell>
          <cell r="L1219">
            <v>1192715.5700000026</v>
          </cell>
          <cell r="M1219" t="str">
            <v>6303/18812</v>
          </cell>
        </row>
        <row r="1220">
          <cell r="B1220" t="str">
            <v>06-007</v>
          </cell>
          <cell r="C1220" t="str">
            <v>2.02.03.04</v>
          </cell>
          <cell r="D1220">
            <v>41438</v>
          </cell>
          <cell r="E1220" t="str">
            <v>SECRETARIA DA RECEITA FEDERAL DO BRASIL</v>
          </cell>
          <cell r="F1220" t="str">
            <v>DARF CSRF NF 1621 BOCATER</v>
          </cell>
          <cell r="G1220" t="str">
            <v>D</v>
          </cell>
          <cell r="H1220">
            <v>372</v>
          </cell>
          <cell r="I1220">
            <v>0</v>
          </cell>
          <cell r="J1220" t="str">
            <v>X</v>
          </cell>
          <cell r="K1220">
            <v>1192343.5700000026</v>
          </cell>
          <cell r="L1220">
            <v>1192343.5700000026</v>
          </cell>
          <cell r="M1220">
            <v>0</v>
          </cell>
        </row>
        <row r="1221">
          <cell r="B1221" t="str">
            <v>05-113</v>
          </cell>
          <cell r="C1221" t="str">
            <v>2.02.03.04</v>
          </cell>
          <cell r="D1221">
            <v>41438</v>
          </cell>
          <cell r="E1221" t="str">
            <v>SECRETARIA DA RECEITA FEDERAL DO BRASIL</v>
          </cell>
          <cell r="F1221" t="str">
            <v>DARF CSRF NF 2636 PLANNER</v>
          </cell>
          <cell r="G1221" t="str">
            <v>D</v>
          </cell>
          <cell r="H1221">
            <v>416.09</v>
          </cell>
          <cell r="I1221">
            <v>0</v>
          </cell>
          <cell r="J1221" t="str">
            <v>X</v>
          </cell>
          <cell r="K1221">
            <v>1191927.4800000025</v>
          </cell>
          <cell r="L1221">
            <v>1191927.4800000025</v>
          </cell>
          <cell r="M1221">
            <v>0</v>
          </cell>
        </row>
        <row r="1222">
          <cell r="B1222" t="str">
            <v>06-041</v>
          </cell>
          <cell r="C1222" t="str">
            <v>2.01.05.14</v>
          </cell>
          <cell r="D1222">
            <v>41438</v>
          </cell>
          <cell r="E1222" t="str">
            <v>WILSON BENEDITO RIZZI</v>
          </cell>
          <cell r="F1222" t="str">
            <v>COMPRA DE CAMINHÃO DE ÁGUA PARA ETE</v>
          </cell>
          <cell r="G1222" t="str">
            <v>D</v>
          </cell>
          <cell r="H1222">
            <v>880</v>
          </cell>
          <cell r="I1222">
            <v>0</v>
          </cell>
          <cell r="J1222" t="str">
            <v>X</v>
          </cell>
          <cell r="K1222">
            <v>1191047.4800000025</v>
          </cell>
          <cell r="L1222">
            <v>1191047.4800000025</v>
          </cell>
          <cell r="M1222">
            <v>3807</v>
          </cell>
        </row>
        <row r="1223">
          <cell r="B1223" t="str">
            <v>06-067</v>
          </cell>
          <cell r="C1223" t="str">
            <v>2.02.03.17</v>
          </cell>
          <cell r="D1223">
            <v>41438</v>
          </cell>
          <cell r="E1223" t="str">
            <v>DT EXPRESSO LTDA ME</v>
          </cell>
          <cell r="F1223" t="str">
            <v>SERVIÇOS DE MOTOBOY E FRETE</v>
          </cell>
          <cell r="G1223" t="str">
            <v>D</v>
          </cell>
          <cell r="H1223">
            <v>1078</v>
          </cell>
          <cell r="I1223">
            <v>0</v>
          </cell>
          <cell r="J1223" t="str">
            <v>X</v>
          </cell>
          <cell r="K1223">
            <v>1189969.4800000025</v>
          </cell>
          <cell r="L1223">
            <v>1189969.4800000025</v>
          </cell>
          <cell r="M1223">
            <v>162</v>
          </cell>
        </row>
        <row r="1224">
          <cell r="B1224" t="str">
            <v>06-045</v>
          </cell>
          <cell r="C1224" t="str">
            <v>2.02.03.04</v>
          </cell>
          <cell r="D1224">
            <v>41438</v>
          </cell>
          <cell r="E1224" t="str">
            <v>KPMG AUDITORES INDEPENDENTES</v>
          </cell>
          <cell r="F1224" t="str">
            <v>DESPESAS COM AUDITORIA SANESALTO</v>
          </cell>
          <cell r="G1224" t="str">
            <v>D</v>
          </cell>
          <cell r="H1224">
            <v>2050.4</v>
          </cell>
          <cell r="I1224">
            <v>0</v>
          </cell>
          <cell r="J1224" t="str">
            <v>X</v>
          </cell>
          <cell r="K1224">
            <v>1187919.0800000026</v>
          </cell>
          <cell r="L1224">
            <v>1187919.0800000026</v>
          </cell>
          <cell r="M1224">
            <v>11615</v>
          </cell>
        </row>
        <row r="1225">
          <cell r="B1225" t="str">
            <v>05-045/3</v>
          </cell>
          <cell r="C1225" t="str">
            <v>2.01.05.11</v>
          </cell>
          <cell r="D1225">
            <v>41438</v>
          </cell>
          <cell r="E1225" t="str">
            <v>VT COMÉRCIO DE MOTORES ELÉTRICOS E ACIONAMENTOS Ltda.</v>
          </cell>
          <cell r="F1225" t="str">
            <v>COMPRA DE ROTOR</v>
          </cell>
          <cell r="G1225" t="str">
            <v>D</v>
          </cell>
          <cell r="H1225">
            <v>2833.33</v>
          </cell>
          <cell r="I1225">
            <v>0</v>
          </cell>
          <cell r="J1225" t="str">
            <v>X</v>
          </cell>
          <cell r="K1225">
            <v>1185085.7500000026</v>
          </cell>
          <cell r="L1225">
            <v>1185085.7500000026</v>
          </cell>
          <cell r="M1225">
            <v>630</v>
          </cell>
        </row>
        <row r="1226">
          <cell r="B1226" t="str">
            <v>04-096/30</v>
          </cell>
          <cell r="C1226" t="str">
            <v>2.07.03.02</v>
          </cell>
          <cell r="D1226">
            <v>41438</v>
          </cell>
          <cell r="E1226" t="str">
            <v>CONASA COMPANHIA NACIONAL DE SANEAMENTO</v>
          </cell>
          <cell r="F1226" t="str">
            <v>Adiantamento à fornecedores (parcela referente ao pagamento de geradores do Sistema Burú)</v>
          </cell>
          <cell r="G1226" t="str">
            <v>D</v>
          </cell>
          <cell r="H1226">
            <v>3195.67</v>
          </cell>
          <cell r="I1226">
            <v>0</v>
          </cell>
          <cell r="J1226" t="str">
            <v>X</v>
          </cell>
          <cell r="K1226">
            <v>1181890.0800000026</v>
          </cell>
          <cell r="L1226">
            <v>1181890.0800000026</v>
          </cell>
          <cell r="M1226">
            <v>0</v>
          </cell>
        </row>
        <row r="1227">
          <cell r="B1227" t="str">
            <v>11-043/09</v>
          </cell>
          <cell r="C1227" t="str">
            <v>2.07.01.04</v>
          </cell>
          <cell r="D1227">
            <v>41438</v>
          </cell>
          <cell r="E1227" t="str">
            <v>KSB BOMBAS HIDRAULICAS  S/A</v>
          </cell>
          <cell r="F1227" t="str">
            <v>REF BOMBA MODELO KRT K150-401/804 UNG</v>
          </cell>
          <cell r="G1227" t="str">
            <v>D</v>
          </cell>
          <cell r="H1227">
            <v>9780</v>
          </cell>
          <cell r="I1227">
            <v>0</v>
          </cell>
          <cell r="J1227" t="str">
            <v>X</v>
          </cell>
          <cell r="K1227">
            <v>1172110.0800000026</v>
          </cell>
          <cell r="L1227">
            <v>1172110.0800000026</v>
          </cell>
          <cell r="M1227">
            <v>2410</v>
          </cell>
        </row>
        <row r="1228">
          <cell r="C1228" t="e">
            <v>#N/A</v>
          </cell>
          <cell r="E1228" t="e">
            <v>#N/A</v>
          </cell>
          <cell r="F1228" t="e">
            <v>#N/A</v>
          </cell>
          <cell r="G1228" t="e">
            <v>#N/A</v>
          </cell>
          <cell r="H1228">
            <v>0</v>
          </cell>
          <cell r="I1228">
            <v>0</v>
          </cell>
          <cell r="J1228" t="str">
            <v>X</v>
          </cell>
          <cell r="K1228">
            <v>1172110.0800000026</v>
          </cell>
          <cell r="L1228">
            <v>1172110.0800000026</v>
          </cell>
          <cell r="M1228" t="e">
            <v>#N/A</v>
          </cell>
        </row>
        <row r="1229">
          <cell r="C1229" t="e">
            <v>#N/A</v>
          </cell>
          <cell r="E1229" t="e">
            <v>#N/A</v>
          </cell>
          <cell r="F1229" t="e">
            <v>#N/A</v>
          </cell>
          <cell r="G1229" t="e">
            <v>#N/A</v>
          </cell>
          <cell r="H1229">
            <v>0</v>
          </cell>
          <cell r="I1229">
            <v>0</v>
          </cell>
          <cell r="J1229" t="str">
            <v>X</v>
          </cell>
          <cell r="K1229">
            <v>1172110.0800000026</v>
          </cell>
          <cell r="L1229">
            <v>1172110.0800000026</v>
          </cell>
          <cell r="M1229" t="e">
            <v>#N/A</v>
          </cell>
        </row>
        <row r="1230">
          <cell r="C1230" t="e">
            <v>#N/A</v>
          </cell>
          <cell r="E1230" t="e">
            <v>#N/A</v>
          </cell>
          <cell r="F1230" t="e">
            <v>#N/A</v>
          </cell>
          <cell r="G1230" t="e">
            <v>#N/A</v>
          </cell>
          <cell r="H1230">
            <v>0</v>
          </cell>
          <cell r="I1230">
            <v>0</v>
          </cell>
          <cell r="J1230" t="str">
            <v>X</v>
          </cell>
          <cell r="K1230">
            <v>1172110.0800000026</v>
          </cell>
          <cell r="L1230">
            <v>1172110.0800000026</v>
          </cell>
          <cell r="M1230" t="e">
            <v>#N/A</v>
          </cell>
        </row>
        <row r="1231">
          <cell r="C1231" t="e">
            <v>#N/A</v>
          </cell>
          <cell r="E1231" t="e">
            <v>#N/A</v>
          </cell>
          <cell r="F1231" t="e">
            <v>#N/A</v>
          </cell>
          <cell r="G1231" t="e">
            <v>#N/A</v>
          </cell>
          <cell r="H1231">
            <v>0</v>
          </cell>
          <cell r="I1231">
            <v>0</v>
          </cell>
          <cell r="J1231" t="str">
            <v>X</v>
          </cell>
          <cell r="K1231">
            <v>1172110.0800000026</v>
          </cell>
          <cell r="L1231">
            <v>1172110.0800000026</v>
          </cell>
          <cell r="M1231" t="e">
            <v>#N/A</v>
          </cell>
        </row>
        <row r="1232">
          <cell r="C1232" t="e">
            <v>#N/A</v>
          </cell>
          <cell r="E1232" t="e">
            <v>#N/A</v>
          </cell>
          <cell r="F1232" t="e">
            <v>#N/A</v>
          </cell>
          <cell r="G1232" t="e">
            <v>#N/A</v>
          </cell>
          <cell r="H1232">
            <v>0</v>
          </cell>
          <cell r="I1232">
            <v>0</v>
          </cell>
          <cell r="J1232" t="str">
            <v>X</v>
          </cell>
          <cell r="K1232">
            <v>1172110.0800000026</v>
          </cell>
          <cell r="L1232">
            <v>1172110.0800000026</v>
          </cell>
          <cell r="M1232" t="e">
            <v>#N/A</v>
          </cell>
        </row>
        <row r="1233">
          <cell r="C1233" t="e">
            <v>#N/A</v>
          </cell>
          <cell r="E1233" t="e">
            <v>#N/A</v>
          </cell>
          <cell r="F1233" t="e">
            <v>#N/A</v>
          </cell>
          <cell r="G1233" t="e">
            <v>#N/A</v>
          </cell>
          <cell r="H1233">
            <v>0</v>
          </cell>
          <cell r="I1233">
            <v>0</v>
          </cell>
          <cell r="J1233" t="str">
            <v>X</v>
          </cell>
          <cell r="K1233">
            <v>1172110.0800000026</v>
          </cell>
          <cell r="L1233">
            <v>1172110.0800000026</v>
          </cell>
          <cell r="M1233" t="e">
            <v>#N/A</v>
          </cell>
        </row>
        <row r="1234">
          <cell r="C1234" t="e">
            <v>#N/A</v>
          </cell>
          <cell r="E1234" t="e">
            <v>#N/A</v>
          </cell>
          <cell r="F1234" t="e">
            <v>#N/A</v>
          </cell>
          <cell r="G1234" t="e">
            <v>#N/A</v>
          </cell>
          <cell r="H1234">
            <v>0</v>
          </cell>
          <cell r="I1234">
            <v>0</v>
          </cell>
          <cell r="J1234" t="str">
            <v>X</v>
          </cell>
          <cell r="K1234">
            <v>1172110.0800000026</v>
          </cell>
          <cell r="L1234">
            <v>1172110.0800000026</v>
          </cell>
          <cell r="M1234" t="e">
            <v>#N/A</v>
          </cell>
        </row>
        <row r="1235">
          <cell r="C1235" t="e">
            <v>#N/A</v>
          </cell>
          <cell r="E1235" t="e">
            <v>#N/A</v>
          </cell>
          <cell r="F1235" t="e">
            <v>#N/A</v>
          </cell>
          <cell r="G1235" t="e">
            <v>#N/A</v>
          </cell>
          <cell r="H1235">
            <v>0</v>
          </cell>
          <cell r="I1235">
            <v>0</v>
          </cell>
          <cell r="J1235" t="str">
            <v>X</v>
          </cell>
          <cell r="K1235">
            <v>1172110.0800000026</v>
          </cell>
          <cell r="L1235">
            <v>1172110.0800000026</v>
          </cell>
          <cell r="M1235" t="e">
            <v>#N/A</v>
          </cell>
        </row>
        <row r="1236">
          <cell r="C1236" t="e">
            <v>#N/A</v>
          </cell>
          <cell r="E1236" t="e">
            <v>#N/A</v>
          </cell>
          <cell r="F1236" t="e">
            <v>#N/A</v>
          </cell>
          <cell r="G1236" t="e">
            <v>#N/A</v>
          </cell>
          <cell r="H1236">
            <v>0</v>
          </cell>
          <cell r="I1236">
            <v>0</v>
          </cell>
          <cell r="J1236" t="str">
            <v>X</v>
          </cell>
          <cell r="K1236">
            <v>1172110.0800000026</v>
          </cell>
          <cell r="L1236">
            <v>1172110.0800000026</v>
          </cell>
          <cell r="M1236" t="e">
            <v>#N/A</v>
          </cell>
        </row>
        <row r="1237">
          <cell r="C1237" t="e">
            <v>#N/A</v>
          </cell>
          <cell r="E1237" t="e">
            <v>#N/A</v>
          </cell>
          <cell r="F1237" t="e">
            <v>#N/A</v>
          </cell>
          <cell r="G1237" t="e">
            <v>#N/A</v>
          </cell>
          <cell r="H1237">
            <v>0</v>
          </cell>
          <cell r="I1237">
            <v>0</v>
          </cell>
          <cell r="J1237" t="str">
            <v>X</v>
          </cell>
          <cell r="K1237">
            <v>1172110.0800000026</v>
          </cell>
          <cell r="L1237">
            <v>1172110.0800000026</v>
          </cell>
          <cell r="M1237" t="e">
            <v>#N/A</v>
          </cell>
        </row>
        <row r="1238">
          <cell r="C1238" t="e">
            <v>#N/A</v>
          </cell>
          <cell r="E1238" t="e">
            <v>#N/A</v>
          </cell>
          <cell r="F1238" t="e">
            <v>#N/A</v>
          </cell>
          <cell r="G1238" t="e">
            <v>#N/A</v>
          </cell>
          <cell r="H1238">
            <v>0</v>
          </cell>
          <cell r="I1238">
            <v>0</v>
          </cell>
          <cell r="J1238" t="str">
            <v>X</v>
          </cell>
          <cell r="K1238">
            <v>1172110.0800000026</v>
          </cell>
          <cell r="L1238">
            <v>1172110.0800000026</v>
          </cell>
          <cell r="M1238" t="e">
            <v>#N/A</v>
          </cell>
        </row>
        <row r="1239">
          <cell r="C1239" t="e">
            <v>#N/A</v>
          </cell>
          <cell r="E1239" t="e">
            <v>#N/A</v>
          </cell>
          <cell r="F1239" t="e">
            <v>#N/A</v>
          </cell>
          <cell r="G1239" t="e">
            <v>#N/A</v>
          </cell>
          <cell r="H1239">
            <v>0</v>
          </cell>
          <cell r="I1239">
            <v>0</v>
          </cell>
          <cell r="J1239" t="str">
            <v>X</v>
          </cell>
          <cell r="K1239">
            <v>1172110.0800000026</v>
          </cell>
          <cell r="L1239">
            <v>1172110.0800000026</v>
          </cell>
          <cell r="M1239" t="e">
            <v>#N/A</v>
          </cell>
        </row>
        <row r="1240">
          <cell r="C1240" t="e">
            <v>#N/A</v>
          </cell>
          <cell r="E1240" t="e">
            <v>#N/A</v>
          </cell>
          <cell r="F1240" t="e">
            <v>#N/A</v>
          </cell>
          <cell r="G1240" t="e">
            <v>#N/A</v>
          </cell>
          <cell r="H1240">
            <v>0</v>
          </cell>
          <cell r="I1240">
            <v>0</v>
          </cell>
          <cell r="J1240" t="str">
            <v>X</v>
          </cell>
          <cell r="K1240">
            <v>1172110.0800000026</v>
          </cell>
          <cell r="L1240">
            <v>1172110.0800000026</v>
          </cell>
          <cell r="M1240" t="e">
            <v>#N/A</v>
          </cell>
        </row>
        <row r="1241">
          <cell r="C1241" t="e">
            <v>#N/A</v>
          </cell>
          <cell r="E1241" t="e">
            <v>#N/A</v>
          </cell>
          <cell r="F1241" t="e">
            <v>#N/A</v>
          </cell>
          <cell r="G1241" t="e">
            <v>#N/A</v>
          </cell>
          <cell r="H1241">
            <v>0</v>
          </cell>
          <cell r="I1241">
            <v>0</v>
          </cell>
          <cell r="J1241" t="str">
            <v>X</v>
          </cell>
          <cell r="K1241">
            <v>1172110.0800000026</v>
          </cell>
          <cell r="L1241">
            <v>1172110.0800000026</v>
          </cell>
          <cell r="M1241" t="e">
            <v>#N/A</v>
          </cell>
        </row>
        <row r="1242">
          <cell r="C1242" t="e">
            <v>#N/A</v>
          </cell>
          <cell r="E1242" t="e">
            <v>#N/A</v>
          </cell>
          <cell r="F1242" t="e">
            <v>#N/A</v>
          </cell>
          <cell r="G1242" t="e">
            <v>#N/A</v>
          </cell>
          <cell r="H1242">
            <v>0</v>
          </cell>
          <cell r="I1242">
            <v>0</v>
          </cell>
          <cell r="J1242" t="str">
            <v>X</v>
          </cell>
          <cell r="K1242">
            <v>1172110.0800000026</v>
          </cell>
          <cell r="L1242">
            <v>1172110.0800000026</v>
          </cell>
          <cell r="M1242" t="e">
            <v>#N/A</v>
          </cell>
        </row>
        <row r="1243">
          <cell r="C1243" t="e">
            <v>#N/A</v>
          </cell>
          <cell r="E1243" t="e">
            <v>#N/A</v>
          </cell>
          <cell r="F1243" t="e">
            <v>#N/A</v>
          </cell>
          <cell r="G1243" t="e">
            <v>#N/A</v>
          </cell>
          <cell r="H1243">
            <v>0</v>
          </cell>
          <cell r="I1243">
            <v>0</v>
          </cell>
          <cell r="J1243" t="str">
            <v>X</v>
          </cell>
          <cell r="K1243">
            <v>1172110.0800000026</v>
          </cell>
          <cell r="L1243">
            <v>1172110.0800000026</v>
          </cell>
          <cell r="M1243" t="e">
            <v>#N/A</v>
          </cell>
        </row>
        <row r="1244">
          <cell r="C1244" t="e">
            <v>#N/A</v>
          </cell>
          <cell r="E1244" t="e">
            <v>#N/A</v>
          </cell>
          <cell r="F1244" t="e">
            <v>#N/A</v>
          </cell>
          <cell r="G1244" t="e">
            <v>#N/A</v>
          </cell>
          <cell r="H1244">
            <v>0</v>
          </cell>
          <cell r="I1244">
            <v>0</v>
          </cell>
          <cell r="J1244" t="str">
            <v>X</v>
          </cell>
          <cell r="K1244">
            <v>1172110.0800000026</v>
          </cell>
          <cell r="L1244">
            <v>1172110.0800000026</v>
          </cell>
          <cell r="M1244" t="e">
            <v>#N/A</v>
          </cell>
        </row>
        <row r="1245">
          <cell r="C1245" t="e">
            <v>#N/A</v>
          </cell>
          <cell r="E1245" t="e">
            <v>#N/A</v>
          </cell>
          <cell r="F1245" t="e">
            <v>#N/A</v>
          </cell>
          <cell r="G1245" t="e">
            <v>#N/A</v>
          </cell>
          <cell r="H1245">
            <v>0</v>
          </cell>
          <cell r="I1245">
            <v>0</v>
          </cell>
          <cell r="J1245" t="str">
            <v>X</v>
          </cell>
          <cell r="K1245">
            <v>1172110.0800000026</v>
          </cell>
          <cell r="L1245">
            <v>1172110.0800000026</v>
          </cell>
          <cell r="M1245" t="e">
            <v>#N/A</v>
          </cell>
        </row>
        <row r="1246">
          <cell r="C1246" t="e">
            <v>#N/A</v>
          </cell>
          <cell r="E1246" t="e">
            <v>#N/A</v>
          </cell>
          <cell r="F1246" t="e">
            <v>#N/A</v>
          </cell>
          <cell r="G1246" t="e">
            <v>#N/A</v>
          </cell>
          <cell r="H1246">
            <v>0</v>
          </cell>
          <cell r="I1246">
            <v>0</v>
          </cell>
          <cell r="J1246" t="str">
            <v>X</v>
          </cell>
          <cell r="K1246">
            <v>1172110.0800000026</v>
          </cell>
          <cell r="L1246">
            <v>1172110.0800000026</v>
          </cell>
          <cell r="M1246" t="e">
            <v>#N/A</v>
          </cell>
        </row>
        <row r="1247">
          <cell r="C1247" t="e">
            <v>#N/A</v>
          </cell>
          <cell r="E1247" t="e">
            <v>#N/A</v>
          </cell>
          <cell r="F1247" t="e">
            <v>#N/A</v>
          </cell>
          <cell r="G1247" t="e">
            <v>#N/A</v>
          </cell>
          <cell r="H1247">
            <v>0</v>
          </cell>
          <cell r="I1247">
            <v>0</v>
          </cell>
          <cell r="J1247" t="str">
            <v>X</v>
          </cell>
          <cell r="K1247">
            <v>1172110.0800000026</v>
          </cell>
          <cell r="L1247">
            <v>1172110.0800000026</v>
          </cell>
          <cell r="M1247" t="e">
            <v>#N/A</v>
          </cell>
        </row>
        <row r="1248">
          <cell r="C1248" t="e">
            <v>#N/A</v>
          </cell>
          <cell r="E1248" t="e">
            <v>#N/A</v>
          </cell>
          <cell r="F1248" t="e">
            <v>#N/A</v>
          </cell>
          <cell r="G1248" t="e">
            <v>#N/A</v>
          </cell>
          <cell r="H1248">
            <v>0</v>
          </cell>
          <cell r="I1248">
            <v>0</v>
          </cell>
          <cell r="J1248" t="str">
            <v>X</v>
          </cell>
          <cell r="K1248">
            <v>1172110.0800000026</v>
          </cell>
          <cell r="L1248">
            <v>1172110.0800000026</v>
          </cell>
          <cell r="M1248" t="e">
            <v>#N/A</v>
          </cell>
        </row>
        <row r="1249">
          <cell r="C1249" t="e">
            <v>#N/A</v>
          </cell>
          <cell r="E1249" t="e">
            <v>#N/A</v>
          </cell>
          <cell r="F1249" t="e">
            <v>#N/A</v>
          </cell>
          <cell r="G1249" t="e">
            <v>#N/A</v>
          </cell>
          <cell r="H1249">
            <v>0</v>
          </cell>
          <cell r="I1249">
            <v>0</v>
          </cell>
          <cell r="J1249" t="str">
            <v>X</v>
          </cell>
          <cell r="K1249">
            <v>1172110.0800000026</v>
          </cell>
          <cell r="L1249">
            <v>1172110.0800000026</v>
          </cell>
          <cell r="M1249" t="e">
            <v>#N/A</v>
          </cell>
        </row>
        <row r="1250">
          <cell r="C1250" t="e">
            <v>#N/A</v>
          </cell>
          <cell r="E1250" t="e">
            <v>#N/A</v>
          </cell>
          <cell r="F1250" t="e">
            <v>#N/A</v>
          </cell>
          <cell r="G1250" t="e">
            <v>#N/A</v>
          </cell>
          <cell r="H1250">
            <v>0</v>
          </cell>
          <cell r="I1250">
            <v>0</v>
          </cell>
          <cell r="J1250" t="str">
            <v>X</v>
          </cell>
          <cell r="K1250">
            <v>1172110.0800000026</v>
          </cell>
          <cell r="L1250">
            <v>1172110.0800000026</v>
          </cell>
          <cell r="M1250" t="e">
            <v>#N/A</v>
          </cell>
        </row>
        <row r="1251">
          <cell r="C1251" t="e">
            <v>#N/A</v>
          </cell>
          <cell r="E1251" t="e">
            <v>#N/A</v>
          </cell>
          <cell r="F1251" t="e">
            <v>#N/A</v>
          </cell>
          <cell r="G1251" t="e">
            <v>#N/A</v>
          </cell>
          <cell r="H1251">
            <v>0</v>
          </cell>
          <cell r="I1251">
            <v>0</v>
          </cell>
          <cell r="J1251" t="str">
            <v>X</v>
          </cell>
          <cell r="K1251">
            <v>1172110.0800000026</v>
          </cell>
          <cell r="L1251">
            <v>1172110.0800000026</v>
          </cell>
          <cell r="M1251" t="e">
            <v>#N/A</v>
          </cell>
        </row>
        <row r="1252">
          <cell r="C1252" t="e">
            <v>#N/A</v>
          </cell>
          <cell r="E1252" t="e">
            <v>#N/A</v>
          </cell>
          <cell r="F1252" t="e">
            <v>#N/A</v>
          </cell>
          <cell r="G1252" t="e">
            <v>#N/A</v>
          </cell>
          <cell r="H1252">
            <v>0</v>
          </cell>
          <cell r="I1252">
            <v>0</v>
          </cell>
          <cell r="J1252" t="str">
            <v>X</v>
          </cell>
          <cell r="K1252">
            <v>1172110.0800000026</v>
          </cell>
          <cell r="L1252">
            <v>1172110.0800000026</v>
          </cell>
          <cell r="M1252" t="e">
            <v>#N/A</v>
          </cell>
        </row>
        <row r="1253">
          <cell r="C1253" t="e">
            <v>#N/A</v>
          </cell>
          <cell r="E1253" t="e">
            <v>#N/A</v>
          </cell>
          <cell r="F1253" t="e">
            <v>#N/A</v>
          </cell>
          <cell r="G1253" t="e">
            <v>#N/A</v>
          </cell>
          <cell r="H1253">
            <v>0</v>
          </cell>
          <cell r="I1253">
            <v>0</v>
          </cell>
          <cell r="J1253" t="str">
            <v>X</v>
          </cell>
          <cell r="K1253">
            <v>1172110.0800000026</v>
          </cell>
          <cell r="L1253">
            <v>1172110.0800000026</v>
          </cell>
          <cell r="M1253" t="e">
            <v>#N/A</v>
          </cell>
        </row>
        <row r="1254">
          <cell r="C1254" t="e">
            <v>#N/A</v>
          </cell>
          <cell r="E1254" t="e">
            <v>#N/A</v>
          </cell>
          <cell r="F1254" t="e">
            <v>#N/A</v>
          </cell>
          <cell r="G1254" t="e">
            <v>#N/A</v>
          </cell>
          <cell r="H1254">
            <v>0</v>
          </cell>
          <cell r="I1254">
            <v>0</v>
          </cell>
          <cell r="J1254" t="str">
            <v>X</v>
          </cell>
          <cell r="K1254">
            <v>1172110.0800000026</v>
          </cell>
          <cell r="L1254">
            <v>1172110.0800000026</v>
          </cell>
          <cell r="M1254" t="e">
            <v>#N/A</v>
          </cell>
        </row>
        <row r="1255">
          <cell r="C1255" t="e">
            <v>#N/A</v>
          </cell>
          <cell r="E1255" t="e">
            <v>#N/A</v>
          </cell>
          <cell r="F1255" t="e">
            <v>#N/A</v>
          </cell>
          <cell r="G1255" t="e">
            <v>#N/A</v>
          </cell>
          <cell r="H1255">
            <v>0</v>
          </cell>
          <cell r="I1255">
            <v>0</v>
          </cell>
          <cell r="J1255" t="str">
            <v>X</v>
          </cell>
          <cell r="K1255">
            <v>1172110.0800000026</v>
          </cell>
          <cell r="L1255">
            <v>1172110.0800000026</v>
          </cell>
          <cell r="M1255" t="e">
            <v>#N/A</v>
          </cell>
        </row>
        <row r="1256">
          <cell r="C1256" t="e">
            <v>#N/A</v>
          </cell>
          <cell r="E1256" t="e">
            <v>#N/A</v>
          </cell>
          <cell r="F1256" t="e">
            <v>#N/A</v>
          </cell>
          <cell r="G1256" t="e">
            <v>#N/A</v>
          </cell>
          <cell r="H1256">
            <v>0</v>
          </cell>
          <cell r="I1256">
            <v>0</v>
          </cell>
          <cell r="J1256" t="str">
            <v>X</v>
          </cell>
          <cell r="K1256">
            <v>1172110.0800000026</v>
          </cell>
          <cell r="L1256">
            <v>1172110.0800000026</v>
          </cell>
          <cell r="M1256" t="e">
            <v>#N/A</v>
          </cell>
        </row>
        <row r="1257">
          <cell r="C1257" t="e">
            <v>#N/A</v>
          </cell>
          <cell r="E1257" t="e">
            <v>#N/A</v>
          </cell>
          <cell r="F1257" t="e">
            <v>#N/A</v>
          </cell>
          <cell r="G1257" t="e">
            <v>#N/A</v>
          </cell>
          <cell r="H1257">
            <v>0</v>
          </cell>
          <cell r="I1257">
            <v>0</v>
          </cell>
          <cell r="J1257" t="str">
            <v>X</v>
          </cell>
          <cell r="K1257">
            <v>1172110.0800000026</v>
          </cell>
          <cell r="L1257">
            <v>1172110.0800000026</v>
          </cell>
          <cell r="M1257" t="e">
            <v>#N/A</v>
          </cell>
        </row>
        <row r="1258">
          <cell r="C1258" t="e">
            <v>#N/A</v>
          </cell>
          <cell r="E1258" t="e">
            <v>#N/A</v>
          </cell>
          <cell r="F1258" t="e">
            <v>#N/A</v>
          </cell>
          <cell r="G1258" t="e">
            <v>#N/A</v>
          </cell>
          <cell r="H1258">
            <v>0</v>
          </cell>
          <cell r="I1258">
            <v>0</v>
          </cell>
          <cell r="J1258" t="str">
            <v>X</v>
          </cell>
          <cell r="K1258">
            <v>1172110.0800000026</v>
          </cell>
          <cell r="L1258">
            <v>1172110.0800000026</v>
          </cell>
          <cell r="M1258" t="e">
            <v>#N/A</v>
          </cell>
        </row>
        <row r="1259">
          <cell r="C1259" t="e">
            <v>#N/A</v>
          </cell>
          <cell r="E1259" t="e">
            <v>#N/A</v>
          </cell>
          <cell r="F1259" t="e">
            <v>#N/A</v>
          </cell>
          <cell r="G1259" t="e">
            <v>#N/A</v>
          </cell>
          <cell r="H1259">
            <v>0</v>
          </cell>
          <cell r="I1259">
            <v>0</v>
          </cell>
          <cell r="J1259" t="str">
            <v>X</v>
          </cell>
          <cell r="K1259">
            <v>1172110.0800000026</v>
          </cell>
          <cell r="L1259">
            <v>1172110.0800000026</v>
          </cell>
          <cell r="M1259" t="e">
            <v>#N/A</v>
          </cell>
        </row>
        <row r="1260">
          <cell r="C1260" t="e">
            <v>#N/A</v>
          </cell>
          <cell r="E1260" t="e">
            <v>#N/A</v>
          </cell>
          <cell r="F1260" t="e">
            <v>#N/A</v>
          </cell>
          <cell r="G1260" t="e">
            <v>#N/A</v>
          </cell>
          <cell r="H1260">
            <v>0</v>
          </cell>
          <cell r="I1260">
            <v>0</v>
          </cell>
          <cell r="J1260" t="str">
            <v>X</v>
          </cell>
          <cell r="K1260">
            <v>1172110.0800000026</v>
          </cell>
          <cell r="L1260">
            <v>1172110.0800000026</v>
          </cell>
          <cell r="M1260" t="e">
            <v>#N/A</v>
          </cell>
        </row>
        <row r="1261">
          <cell r="C1261" t="e">
            <v>#N/A</v>
          </cell>
          <cell r="E1261" t="e">
            <v>#N/A</v>
          </cell>
          <cell r="F1261" t="e">
            <v>#N/A</v>
          </cell>
          <cell r="G1261" t="e">
            <v>#N/A</v>
          </cell>
          <cell r="H1261">
            <v>0</v>
          </cell>
          <cell r="I1261">
            <v>0</v>
          </cell>
          <cell r="J1261" t="str">
            <v>X</v>
          </cell>
          <cell r="K1261">
            <v>1172110.0800000026</v>
          </cell>
          <cell r="L1261">
            <v>1172110.0800000026</v>
          </cell>
          <cell r="M1261" t="e">
            <v>#N/A</v>
          </cell>
        </row>
        <row r="1262">
          <cell r="C1262" t="e">
            <v>#N/A</v>
          </cell>
          <cell r="E1262" t="e">
            <v>#N/A</v>
          </cell>
          <cell r="F1262" t="e">
            <v>#N/A</v>
          </cell>
          <cell r="G1262" t="e">
            <v>#N/A</v>
          </cell>
          <cell r="H1262">
            <v>0</v>
          </cell>
          <cell r="I1262">
            <v>0</v>
          </cell>
          <cell r="J1262" t="str">
            <v>X</v>
          </cell>
          <cell r="K1262">
            <v>1172110.0800000026</v>
          </cell>
          <cell r="L1262">
            <v>1172110.0800000026</v>
          </cell>
          <cell r="M1262" t="e">
            <v>#N/A</v>
          </cell>
        </row>
        <row r="1263">
          <cell r="C1263" t="e">
            <v>#N/A</v>
          </cell>
          <cell r="E1263" t="e">
            <v>#N/A</v>
          </cell>
          <cell r="F1263" t="e">
            <v>#N/A</v>
          </cell>
          <cell r="G1263" t="e">
            <v>#N/A</v>
          </cell>
          <cell r="H1263">
            <v>0</v>
          </cell>
          <cell r="I1263">
            <v>0</v>
          </cell>
          <cell r="J1263" t="str">
            <v>X</v>
          </cell>
          <cell r="K1263">
            <v>1172110.0800000026</v>
          </cell>
          <cell r="L1263">
            <v>1172110.0800000026</v>
          </cell>
          <cell r="M1263" t="e">
            <v>#N/A</v>
          </cell>
        </row>
        <row r="1264">
          <cell r="C1264" t="e">
            <v>#N/A</v>
          </cell>
          <cell r="E1264" t="e">
            <v>#N/A</v>
          </cell>
          <cell r="F1264" t="e">
            <v>#N/A</v>
          </cell>
          <cell r="G1264" t="e">
            <v>#N/A</v>
          </cell>
          <cell r="H1264">
            <v>0</v>
          </cell>
          <cell r="I1264">
            <v>0</v>
          </cell>
          <cell r="J1264" t="str">
            <v>X</v>
          </cell>
          <cell r="K1264">
            <v>1172110.0800000026</v>
          </cell>
          <cell r="L1264">
            <v>1172110.0800000026</v>
          </cell>
          <cell r="M1264" t="e">
            <v>#N/A</v>
          </cell>
        </row>
        <row r="1265">
          <cell r="C1265" t="e">
            <v>#N/A</v>
          </cell>
          <cell r="E1265" t="e">
            <v>#N/A</v>
          </cell>
          <cell r="F1265" t="e">
            <v>#N/A</v>
          </cell>
          <cell r="G1265" t="e">
            <v>#N/A</v>
          </cell>
          <cell r="H1265">
            <v>0</v>
          </cell>
          <cell r="I1265">
            <v>0</v>
          </cell>
          <cell r="J1265" t="str">
            <v>X</v>
          </cell>
          <cell r="K1265">
            <v>1172110.0800000026</v>
          </cell>
          <cell r="L1265">
            <v>1172110.0800000026</v>
          </cell>
          <cell r="M1265" t="e">
            <v>#N/A</v>
          </cell>
        </row>
        <row r="1266">
          <cell r="C1266" t="e">
            <v>#N/A</v>
          </cell>
          <cell r="E1266" t="e">
            <v>#N/A</v>
          </cell>
          <cell r="F1266" t="e">
            <v>#N/A</v>
          </cell>
          <cell r="G1266" t="e">
            <v>#N/A</v>
          </cell>
          <cell r="H1266">
            <v>0</v>
          </cell>
          <cell r="I1266">
            <v>0</v>
          </cell>
          <cell r="J1266" t="str">
            <v>X</v>
          </cell>
          <cell r="K1266">
            <v>1172110.0800000026</v>
          </cell>
          <cell r="L1266">
            <v>1172110.0800000026</v>
          </cell>
          <cell r="M1266" t="e">
            <v>#N/A</v>
          </cell>
        </row>
        <row r="1267">
          <cell r="C1267" t="e">
            <v>#N/A</v>
          </cell>
          <cell r="E1267" t="e">
            <v>#N/A</v>
          </cell>
          <cell r="F1267" t="e">
            <v>#N/A</v>
          </cell>
          <cell r="G1267" t="e">
            <v>#N/A</v>
          </cell>
          <cell r="H1267">
            <v>0</v>
          </cell>
          <cell r="I1267">
            <v>0</v>
          </cell>
          <cell r="J1267" t="str">
            <v>X</v>
          </cell>
          <cell r="K1267">
            <v>1172110.0800000026</v>
          </cell>
          <cell r="L1267">
            <v>1172110.0800000026</v>
          </cell>
          <cell r="M1267" t="e">
            <v>#N/A</v>
          </cell>
        </row>
        <row r="1268">
          <cell r="C1268" t="e">
            <v>#N/A</v>
          </cell>
          <cell r="E1268" t="e">
            <v>#N/A</v>
          </cell>
          <cell r="F1268" t="e">
            <v>#N/A</v>
          </cell>
          <cell r="G1268" t="e">
            <v>#N/A</v>
          </cell>
          <cell r="H1268">
            <v>0</v>
          </cell>
          <cell r="I1268">
            <v>0</v>
          </cell>
          <cell r="J1268" t="str">
            <v>X</v>
          </cell>
          <cell r="K1268">
            <v>1172110.0800000026</v>
          </cell>
          <cell r="L1268">
            <v>1172110.0800000026</v>
          </cell>
          <cell r="M1268" t="e">
            <v>#N/A</v>
          </cell>
        </row>
        <row r="1269">
          <cell r="C1269" t="e">
            <v>#N/A</v>
          </cell>
          <cell r="E1269" t="e">
            <v>#N/A</v>
          </cell>
          <cell r="F1269" t="e">
            <v>#N/A</v>
          </cell>
          <cell r="G1269" t="e">
            <v>#N/A</v>
          </cell>
          <cell r="H1269">
            <v>0</v>
          </cell>
          <cell r="I1269">
            <v>0</v>
          </cell>
          <cell r="J1269" t="str">
            <v>X</v>
          </cell>
          <cell r="K1269">
            <v>1172110.0800000026</v>
          </cell>
          <cell r="L1269">
            <v>1172110.0800000026</v>
          </cell>
          <cell r="M1269" t="e">
            <v>#N/A</v>
          </cell>
        </row>
        <row r="1270">
          <cell r="C1270" t="e">
            <v>#N/A</v>
          </cell>
          <cell r="E1270" t="e">
            <v>#N/A</v>
          </cell>
          <cell r="F1270" t="e">
            <v>#N/A</v>
          </cell>
          <cell r="G1270" t="e">
            <v>#N/A</v>
          </cell>
          <cell r="H1270">
            <v>0</v>
          </cell>
          <cell r="I1270">
            <v>0</v>
          </cell>
          <cell r="J1270" t="str">
            <v>X</v>
          </cell>
          <cell r="K1270">
            <v>1172110.0800000026</v>
          </cell>
          <cell r="L1270">
            <v>1172110.0800000026</v>
          </cell>
          <cell r="M1270" t="e">
            <v>#N/A</v>
          </cell>
        </row>
        <row r="1271">
          <cell r="C1271" t="e">
            <v>#N/A</v>
          </cell>
          <cell r="E1271" t="e">
            <v>#N/A</v>
          </cell>
          <cell r="F1271" t="e">
            <v>#N/A</v>
          </cell>
          <cell r="G1271" t="e">
            <v>#N/A</v>
          </cell>
          <cell r="H1271">
            <v>0</v>
          </cell>
          <cell r="I1271">
            <v>0</v>
          </cell>
          <cell r="J1271" t="str">
            <v>X</v>
          </cell>
          <cell r="K1271">
            <v>1172110.0800000026</v>
          </cell>
          <cell r="L1271">
            <v>1172110.0800000026</v>
          </cell>
          <cell r="M1271" t="e">
            <v>#N/A</v>
          </cell>
        </row>
        <row r="1272">
          <cell r="C1272" t="e">
            <v>#N/A</v>
          </cell>
          <cell r="E1272" t="e">
            <v>#N/A</v>
          </cell>
          <cell r="F1272" t="e">
            <v>#N/A</v>
          </cell>
          <cell r="G1272" t="e">
            <v>#N/A</v>
          </cell>
          <cell r="H1272">
            <v>0</v>
          </cell>
          <cell r="I1272">
            <v>0</v>
          </cell>
          <cell r="J1272" t="str">
            <v>X</v>
          </cell>
          <cell r="K1272">
            <v>1172110.0800000026</v>
          </cell>
          <cell r="L1272">
            <v>1172110.0800000026</v>
          </cell>
          <cell r="M1272" t="e">
            <v>#N/A</v>
          </cell>
        </row>
        <row r="1273">
          <cell r="C1273" t="e">
            <v>#N/A</v>
          </cell>
          <cell r="E1273" t="e">
            <v>#N/A</v>
          </cell>
          <cell r="F1273" t="e">
            <v>#N/A</v>
          </cell>
          <cell r="G1273" t="e">
            <v>#N/A</v>
          </cell>
          <cell r="H1273">
            <v>0</v>
          </cell>
          <cell r="I1273">
            <v>0</v>
          </cell>
          <cell r="J1273" t="str">
            <v>X</v>
          </cell>
          <cell r="K1273">
            <v>1172110.0800000026</v>
          </cell>
          <cell r="L1273">
            <v>1172110.0800000026</v>
          </cell>
          <cell r="M1273" t="e">
            <v>#N/A</v>
          </cell>
        </row>
        <row r="1274">
          <cell r="C1274" t="e">
            <v>#N/A</v>
          </cell>
          <cell r="E1274" t="e">
            <v>#N/A</v>
          </cell>
          <cell r="F1274" t="e">
            <v>#N/A</v>
          </cell>
          <cell r="G1274" t="e">
            <v>#N/A</v>
          </cell>
          <cell r="H1274">
            <v>0</v>
          </cell>
          <cell r="I1274">
            <v>0</v>
          </cell>
          <cell r="J1274" t="str">
            <v>X</v>
          </cell>
          <cell r="K1274">
            <v>1172110.0800000026</v>
          </cell>
          <cell r="L1274">
            <v>1172110.0800000026</v>
          </cell>
          <cell r="M1274" t="e">
            <v>#N/A</v>
          </cell>
        </row>
        <row r="1275">
          <cell r="C1275" t="e">
            <v>#N/A</v>
          </cell>
          <cell r="E1275" t="e">
            <v>#N/A</v>
          </cell>
          <cell r="F1275" t="e">
            <v>#N/A</v>
          </cell>
          <cell r="G1275" t="e">
            <v>#N/A</v>
          </cell>
          <cell r="H1275">
            <v>0</v>
          </cell>
          <cell r="I1275">
            <v>0</v>
          </cell>
          <cell r="J1275" t="str">
            <v>X</v>
          </cell>
          <cell r="K1275">
            <v>1172110.0800000026</v>
          </cell>
          <cell r="L1275">
            <v>1172110.0800000026</v>
          </cell>
          <cell r="M1275" t="e">
            <v>#N/A</v>
          </cell>
        </row>
        <row r="1276">
          <cell r="C1276" t="e">
            <v>#N/A</v>
          </cell>
          <cell r="E1276" t="e">
            <v>#N/A</v>
          </cell>
          <cell r="F1276" t="e">
            <v>#N/A</v>
          </cell>
          <cell r="G1276" t="e">
            <v>#N/A</v>
          </cell>
          <cell r="H1276">
            <v>0</v>
          </cell>
          <cell r="I1276">
            <v>0</v>
          </cell>
          <cell r="J1276" t="str">
            <v>X</v>
          </cell>
          <cell r="K1276">
            <v>1172110.0800000026</v>
          </cell>
          <cell r="L1276">
            <v>1172110.0800000026</v>
          </cell>
          <cell r="M1276" t="e">
            <v>#N/A</v>
          </cell>
        </row>
        <row r="1277">
          <cell r="C1277" t="e">
            <v>#N/A</v>
          </cell>
          <cell r="E1277" t="e">
            <v>#N/A</v>
          </cell>
          <cell r="F1277" t="e">
            <v>#N/A</v>
          </cell>
          <cell r="G1277" t="e">
            <v>#N/A</v>
          </cell>
          <cell r="H1277">
            <v>0</v>
          </cell>
          <cell r="I1277">
            <v>0</v>
          </cell>
          <cell r="J1277" t="str">
            <v>X</v>
          </cell>
          <cell r="K1277">
            <v>1172110.0800000026</v>
          </cell>
          <cell r="L1277">
            <v>1172110.0800000026</v>
          </cell>
          <cell r="M1277" t="e">
            <v>#N/A</v>
          </cell>
        </row>
        <row r="1278">
          <cell r="C1278" t="e">
            <v>#N/A</v>
          </cell>
          <cell r="E1278" t="e">
            <v>#N/A</v>
          </cell>
          <cell r="F1278" t="e">
            <v>#N/A</v>
          </cell>
          <cell r="G1278" t="e">
            <v>#N/A</v>
          </cell>
          <cell r="H1278">
            <v>0</v>
          </cell>
          <cell r="I1278">
            <v>0</v>
          </cell>
          <cell r="J1278" t="str">
            <v>X</v>
          </cell>
          <cell r="K1278">
            <v>1172110.0800000026</v>
          </cell>
          <cell r="L1278">
            <v>1172110.0800000026</v>
          </cell>
          <cell r="M1278" t="e">
            <v>#N/A</v>
          </cell>
        </row>
        <row r="1279">
          <cell r="C1279" t="e">
            <v>#N/A</v>
          </cell>
          <cell r="E1279" t="e">
            <v>#N/A</v>
          </cell>
          <cell r="F1279" t="e">
            <v>#N/A</v>
          </cell>
          <cell r="G1279" t="e">
            <v>#N/A</v>
          </cell>
          <cell r="H1279">
            <v>0</v>
          </cell>
          <cell r="I1279">
            <v>0</v>
          </cell>
          <cell r="J1279" t="str">
            <v>X</v>
          </cell>
          <cell r="K1279">
            <v>1172110.0800000026</v>
          </cell>
          <cell r="L1279">
            <v>1172110.0800000026</v>
          </cell>
          <cell r="M1279" t="e">
            <v>#N/A</v>
          </cell>
        </row>
        <row r="1280">
          <cell r="C1280" t="e">
            <v>#N/A</v>
          </cell>
          <cell r="E1280" t="e">
            <v>#N/A</v>
          </cell>
          <cell r="F1280" t="e">
            <v>#N/A</v>
          </cell>
          <cell r="G1280" t="e">
            <v>#N/A</v>
          </cell>
          <cell r="H1280">
            <v>0</v>
          </cell>
          <cell r="I1280">
            <v>0</v>
          </cell>
          <cell r="J1280" t="str">
            <v>X</v>
          </cell>
          <cell r="K1280">
            <v>1172110.0800000026</v>
          </cell>
          <cell r="L1280">
            <v>1172110.0800000026</v>
          </cell>
          <cell r="M1280" t="e">
            <v>#N/A</v>
          </cell>
        </row>
        <row r="1281">
          <cell r="C1281" t="e">
            <v>#N/A</v>
          </cell>
          <cell r="E1281" t="e">
            <v>#N/A</v>
          </cell>
          <cell r="F1281" t="e">
            <v>#N/A</v>
          </cell>
          <cell r="G1281" t="e">
            <v>#N/A</v>
          </cell>
          <cell r="H1281">
            <v>0</v>
          </cell>
          <cell r="I1281">
            <v>0</v>
          </cell>
          <cell r="J1281" t="str">
            <v>X</v>
          </cell>
          <cell r="K1281">
            <v>1172110.0800000026</v>
          </cell>
          <cell r="L1281">
            <v>1172110.0800000026</v>
          </cell>
          <cell r="M1281" t="e">
            <v>#N/A</v>
          </cell>
        </row>
        <row r="1282">
          <cell r="C1282" t="e">
            <v>#N/A</v>
          </cell>
          <cell r="E1282" t="e">
            <v>#N/A</v>
          </cell>
          <cell r="F1282" t="e">
            <v>#N/A</v>
          </cell>
          <cell r="G1282" t="e">
            <v>#N/A</v>
          </cell>
          <cell r="H1282">
            <v>0</v>
          </cell>
          <cell r="I1282">
            <v>0</v>
          </cell>
          <cell r="J1282" t="str">
            <v>X</v>
          </cell>
          <cell r="K1282">
            <v>1172110.0800000026</v>
          </cell>
          <cell r="L1282">
            <v>1172110.0800000026</v>
          </cell>
          <cell r="M1282" t="e">
            <v>#N/A</v>
          </cell>
        </row>
        <row r="1283">
          <cell r="C1283" t="e">
            <v>#N/A</v>
          </cell>
          <cell r="E1283" t="e">
            <v>#N/A</v>
          </cell>
          <cell r="F1283" t="e">
            <v>#N/A</v>
          </cell>
          <cell r="G1283" t="e">
            <v>#N/A</v>
          </cell>
          <cell r="H1283">
            <v>0</v>
          </cell>
          <cell r="I1283">
            <v>0</v>
          </cell>
          <cell r="J1283" t="str">
            <v>X</v>
          </cell>
          <cell r="K1283">
            <v>1172110.0800000026</v>
          </cell>
          <cell r="L1283">
            <v>1172110.0800000026</v>
          </cell>
          <cell r="M1283" t="e">
            <v>#N/A</v>
          </cell>
        </row>
        <row r="1284">
          <cell r="C1284" t="e">
            <v>#N/A</v>
          </cell>
          <cell r="E1284" t="e">
            <v>#N/A</v>
          </cell>
          <cell r="F1284" t="e">
            <v>#N/A</v>
          </cell>
          <cell r="G1284" t="e">
            <v>#N/A</v>
          </cell>
          <cell r="H1284">
            <v>0</v>
          </cell>
          <cell r="I1284">
            <v>0</v>
          </cell>
          <cell r="J1284" t="str">
            <v>X</v>
          </cell>
          <cell r="K1284">
            <v>1172110.0800000026</v>
          </cell>
          <cell r="L1284">
            <v>1172110.0800000026</v>
          </cell>
          <cell r="M1284" t="e">
            <v>#N/A</v>
          </cell>
        </row>
        <row r="1285">
          <cell r="C1285" t="e">
            <v>#N/A</v>
          </cell>
          <cell r="E1285" t="e">
            <v>#N/A</v>
          </cell>
          <cell r="F1285" t="e">
            <v>#N/A</v>
          </cell>
          <cell r="G1285" t="e">
            <v>#N/A</v>
          </cell>
          <cell r="H1285">
            <v>0</v>
          </cell>
          <cell r="I1285">
            <v>0</v>
          </cell>
          <cell r="J1285" t="str">
            <v>X</v>
          </cell>
          <cell r="K1285">
            <v>1172110.0800000026</v>
          </cell>
          <cell r="L1285">
            <v>1172110.0800000026</v>
          </cell>
          <cell r="M1285" t="e">
            <v>#N/A</v>
          </cell>
        </row>
        <row r="1286">
          <cell r="C1286" t="e">
            <v>#N/A</v>
          </cell>
          <cell r="E1286" t="e">
            <v>#N/A</v>
          </cell>
          <cell r="F1286" t="e">
            <v>#N/A</v>
          </cell>
          <cell r="G1286" t="e">
            <v>#N/A</v>
          </cell>
          <cell r="H1286">
            <v>0</v>
          </cell>
          <cell r="I1286">
            <v>0</v>
          </cell>
          <cell r="J1286" t="str">
            <v>X</v>
          </cell>
          <cell r="K1286">
            <v>1172110.0800000026</v>
          </cell>
          <cell r="L1286">
            <v>1172110.0800000026</v>
          </cell>
          <cell r="M1286" t="e">
            <v>#N/A</v>
          </cell>
        </row>
        <row r="1287">
          <cell r="C1287" t="e">
            <v>#N/A</v>
          </cell>
          <cell r="E1287" t="e">
            <v>#N/A</v>
          </cell>
          <cell r="F1287" t="e">
            <v>#N/A</v>
          </cell>
          <cell r="G1287" t="e">
            <v>#N/A</v>
          </cell>
          <cell r="H1287">
            <v>0</v>
          </cell>
          <cell r="I1287">
            <v>0</v>
          </cell>
          <cell r="J1287" t="str">
            <v>X</v>
          </cell>
          <cell r="K1287">
            <v>1172110.0800000026</v>
          </cell>
          <cell r="L1287">
            <v>1172110.0800000026</v>
          </cell>
          <cell r="M1287" t="e">
            <v>#N/A</v>
          </cell>
        </row>
        <row r="1288">
          <cell r="C1288" t="e">
            <v>#N/A</v>
          </cell>
          <cell r="E1288" t="e">
            <v>#N/A</v>
          </cell>
          <cell r="F1288" t="e">
            <v>#N/A</v>
          </cell>
          <cell r="G1288" t="e">
            <v>#N/A</v>
          </cell>
          <cell r="H1288">
            <v>0</v>
          </cell>
          <cell r="I1288">
            <v>0</v>
          </cell>
          <cell r="J1288" t="str">
            <v>X</v>
          </cell>
          <cell r="K1288">
            <v>1172110.0800000026</v>
          </cell>
          <cell r="L1288">
            <v>1172110.0800000026</v>
          </cell>
          <cell r="M1288" t="e">
            <v>#N/A</v>
          </cell>
        </row>
        <row r="1289">
          <cell r="C1289" t="e">
            <v>#N/A</v>
          </cell>
          <cell r="E1289" t="e">
            <v>#N/A</v>
          </cell>
          <cell r="F1289" t="e">
            <v>#N/A</v>
          </cell>
          <cell r="G1289" t="e">
            <v>#N/A</v>
          </cell>
          <cell r="H1289">
            <v>0</v>
          </cell>
          <cell r="I1289">
            <v>0</v>
          </cell>
          <cell r="J1289" t="str">
            <v>X</v>
          </cell>
          <cell r="K1289">
            <v>1172110.0800000026</v>
          </cell>
          <cell r="L1289">
            <v>1172110.0800000026</v>
          </cell>
          <cell r="M1289" t="e">
            <v>#N/A</v>
          </cell>
        </row>
        <row r="1290">
          <cell r="C1290" t="e">
            <v>#N/A</v>
          </cell>
          <cell r="E1290" t="e">
            <v>#N/A</v>
          </cell>
          <cell r="F1290" t="e">
            <v>#N/A</v>
          </cell>
          <cell r="G1290" t="e">
            <v>#N/A</v>
          </cell>
          <cell r="H1290">
            <v>0</v>
          </cell>
          <cell r="I1290">
            <v>0</v>
          </cell>
          <cell r="J1290" t="str">
            <v>X</v>
          </cell>
          <cell r="K1290">
            <v>1172110.0800000026</v>
          </cell>
          <cell r="L1290">
            <v>1172110.0800000026</v>
          </cell>
          <cell r="M1290" t="e">
            <v>#N/A</v>
          </cell>
        </row>
        <row r="1291">
          <cell r="C1291" t="e">
            <v>#N/A</v>
          </cell>
          <cell r="E1291" t="e">
            <v>#N/A</v>
          </cell>
          <cell r="F1291" t="e">
            <v>#N/A</v>
          </cell>
          <cell r="G1291" t="e">
            <v>#N/A</v>
          </cell>
          <cell r="H1291">
            <v>0</v>
          </cell>
          <cell r="I1291">
            <v>0</v>
          </cell>
          <cell r="J1291" t="str">
            <v>X</v>
          </cell>
          <cell r="K1291">
            <v>1172110.0800000026</v>
          </cell>
          <cell r="L1291">
            <v>1172110.0800000026</v>
          </cell>
          <cell r="M1291" t="e">
            <v>#N/A</v>
          </cell>
        </row>
        <row r="1292">
          <cell r="C1292" t="e">
            <v>#N/A</v>
          </cell>
          <cell r="E1292" t="e">
            <v>#N/A</v>
          </cell>
          <cell r="F1292" t="e">
            <v>#N/A</v>
          </cell>
          <cell r="G1292" t="e">
            <v>#N/A</v>
          </cell>
          <cell r="H1292">
            <v>0</v>
          </cell>
          <cell r="I1292">
            <v>0</v>
          </cell>
          <cell r="J1292" t="str">
            <v>X</v>
          </cell>
          <cell r="K1292">
            <v>1172110.0800000026</v>
          </cell>
          <cell r="L1292">
            <v>1172110.0800000026</v>
          </cell>
          <cell r="M1292" t="e">
            <v>#N/A</v>
          </cell>
        </row>
        <row r="1293">
          <cell r="C1293" t="e">
            <v>#N/A</v>
          </cell>
          <cell r="E1293" t="e">
            <v>#N/A</v>
          </cell>
          <cell r="F1293" t="e">
            <v>#N/A</v>
          </cell>
          <cell r="G1293" t="e">
            <v>#N/A</v>
          </cell>
          <cell r="H1293">
            <v>0</v>
          </cell>
          <cell r="I1293">
            <v>0</v>
          </cell>
          <cell r="J1293" t="str">
            <v>X</v>
          </cell>
          <cell r="K1293">
            <v>1172110.0800000026</v>
          </cell>
          <cell r="L1293">
            <v>1172110.0800000026</v>
          </cell>
          <cell r="M1293" t="e">
            <v>#N/A</v>
          </cell>
        </row>
        <row r="1294">
          <cell r="C1294" t="e">
            <v>#N/A</v>
          </cell>
          <cell r="E1294" t="e">
            <v>#N/A</v>
          </cell>
          <cell r="F1294" t="e">
            <v>#N/A</v>
          </cell>
          <cell r="G1294" t="e">
            <v>#N/A</v>
          </cell>
          <cell r="H1294">
            <v>0</v>
          </cell>
          <cell r="I1294">
            <v>0</v>
          </cell>
          <cell r="J1294" t="str">
            <v>X</v>
          </cell>
          <cell r="K1294">
            <v>1172110.0800000026</v>
          </cell>
          <cell r="L1294">
            <v>1172110.0800000026</v>
          </cell>
          <cell r="M1294" t="e">
            <v>#N/A</v>
          </cell>
        </row>
        <row r="1295">
          <cell r="C1295" t="e">
            <v>#N/A</v>
          </cell>
          <cell r="E1295" t="e">
            <v>#N/A</v>
          </cell>
          <cell r="F1295" t="e">
            <v>#N/A</v>
          </cell>
          <cell r="G1295" t="e">
            <v>#N/A</v>
          </cell>
          <cell r="H1295">
            <v>0</v>
          </cell>
          <cell r="I1295">
            <v>0</v>
          </cell>
          <cell r="J1295" t="str">
            <v>X</v>
          </cell>
          <cell r="K1295">
            <v>1172110.0800000026</v>
          </cell>
          <cell r="L1295">
            <v>1172110.0800000026</v>
          </cell>
          <cell r="M1295" t="e">
            <v>#N/A</v>
          </cell>
        </row>
        <row r="1296">
          <cell r="C1296" t="e">
            <v>#N/A</v>
          </cell>
          <cell r="E1296" t="e">
            <v>#N/A</v>
          </cell>
          <cell r="F1296" t="e">
            <v>#N/A</v>
          </cell>
          <cell r="G1296" t="e">
            <v>#N/A</v>
          </cell>
          <cell r="H1296">
            <v>0</v>
          </cell>
          <cell r="I1296">
            <v>0</v>
          </cell>
          <cell r="J1296" t="str">
            <v>X</v>
          </cell>
          <cell r="K1296">
            <v>1172110.0800000026</v>
          </cell>
          <cell r="L1296">
            <v>1172110.0800000026</v>
          </cell>
          <cell r="M1296" t="e">
            <v>#N/A</v>
          </cell>
        </row>
        <row r="1297">
          <cell r="C1297" t="e">
            <v>#N/A</v>
          </cell>
          <cell r="E1297" t="e">
            <v>#N/A</v>
          </cell>
          <cell r="F1297" t="e">
            <v>#N/A</v>
          </cell>
          <cell r="G1297" t="e">
            <v>#N/A</v>
          </cell>
          <cell r="H1297">
            <v>0</v>
          </cell>
          <cell r="I1297">
            <v>0</v>
          </cell>
          <cell r="J1297" t="str">
            <v>X</v>
          </cell>
          <cell r="K1297">
            <v>1172110.0800000026</v>
          </cell>
          <cell r="L1297">
            <v>1172110.0800000026</v>
          </cell>
          <cell r="M1297" t="e">
            <v>#N/A</v>
          </cell>
        </row>
        <row r="1298">
          <cell r="C1298" t="e">
            <v>#N/A</v>
          </cell>
          <cell r="E1298" t="e">
            <v>#N/A</v>
          </cell>
          <cell r="F1298" t="e">
            <v>#N/A</v>
          </cell>
          <cell r="G1298" t="e">
            <v>#N/A</v>
          </cell>
          <cell r="H1298">
            <v>0</v>
          </cell>
          <cell r="I1298">
            <v>0</v>
          </cell>
          <cell r="J1298" t="str">
            <v>X</v>
          </cell>
          <cell r="K1298">
            <v>1172110.0800000026</v>
          </cell>
          <cell r="L1298">
            <v>1172110.0800000026</v>
          </cell>
          <cell r="M1298" t="e">
            <v>#N/A</v>
          </cell>
        </row>
        <row r="1299">
          <cell r="C1299" t="e">
            <v>#N/A</v>
          </cell>
          <cell r="E1299" t="e">
            <v>#N/A</v>
          </cell>
          <cell r="F1299" t="e">
            <v>#N/A</v>
          </cell>
          <cell r="G1299" t="e">
            <v>#N/A</v>
          </cell>
          <cell r="H1299">
            <v>0</v>
          </cell>
          <cell r="I1299">
            <v>0</v>
          </cell>
          <cell r="J1299" t="str">
            <v>X</v>
          </cell>
          <cell r="K1299">
            <v>1172110.0800000026</v>
          </cell>
          <cell r="L1299">
            <v>1172110.0800000026</v>
          </cell>
          <cell r="M1299" t="e">
            <v>#N/A</v>
          </cell>
        </row>
        <row r="1300">
          <cell r="C1300" t="e">
            <v>#N/A</v>
          </cell>
          <cell r="E1300" t="e">
            <v>#N/A</v>
          </cell>
          <cell r="F1300" t="e">
            <v>#N/A</v>
          </cell>
          <cell r="G1300" t="e">
            <v>#N/A</v>
          </cell>
          <cell r="H1300">
            <v>0</v>
          </cell>
          <cell r="I1300">
            <v>0</v>
          </cell>
          <cell r="J1300" t="str">
            <v>X</v>
          </cell>
          <cell r="K1300">
            <v>1172110.0800000026</v>
          </cell>
          <cell r="L1300">
            <v>1172110.0800000026</v>
          </cell>
          <cell r="M1300" t="e">
            <v>#N/A</v>
          </cell>
        </row>
        <row r="1301">
          <cell r="C1301" t="e">
            <v>#N/A</v>
          </cell>
          <cell r="E1301" t="e">
            <v>#N/A</v>
          </cell>
          <cell r="F1301" t="e">
            <v>#N/A</v>
          </cell>
          <cell r="G1301" t="e">
            <v>#N/A</v>
          </cell>
          <cell r="H1301">
            <v>0</v>
          </cell>
          <cell r="I1301">
            <v>0</v>
          </cell>
          <cell r="J1301" t="str">
            <v>X</v>
          </cell>
          <cell r="K1301">
            <v>1172110.0800000026</v>
          </cell>
          <cell r="L1301">
            <v>1172110.0800000026</v>
          </cell>
          <cell r="M1301" t="e">
            <v>#N/A</v>
          </cell>
        </row>
        <row r="1302">
          <cell r="C1302" t="e">
            <v>#N/A</v>
          </cell>
          <cell r="E1302" t="e">
            <v>#N/A</v>
          </cell>
          <cell r="F1302" t="e">
            <v>#N/A</v>
          </cell>
          <cell r="G1302" t="e">
            <v>#N/A</v>
          </cell>
          <cell r="H1302">
            <v>0</v>
          </cell>
          <cell r="I1302">
            <v>0</v>
          </cell>
          <cell r="J1302" t="str">
            <v>X</v>
          </cell>
          <cell r="K1302">
            <v>1172110.0800000026</v>
          </cell>
          <cell r="L1302">
            <v>1172110.0800000026</v>
          </cell>
          <cell r="M1302" t="e">
            <v>#N/A</v>
          </cell>
        </row>
        <row r="1303">
          <cell r="C1303" t="e">
            <v>#N/A</v>
          </cell>
          <cell r="E1303" t="e">
            <v>#N/A</v>
          </cell>
          <cell r="F1303" t="e">
            <v>#N/A</v>
          </cell>
          <cell r="G1303" t="e">
            <v>#N/A</v>
          </cell>
          <cell r="H1303">
            <v>0</v>
          </cell>
          <cell r="I1303">
            <v>0</v>
          </cell>
          <cell r="J1303" t="str">
            <v>X</v>
          </cell>
          <cell r="K1303">
            <v>1172110.0800000026</v>
          </cell>
          <cell r="L1303">
            <v>1172110.0800000026</v>
          </cell>
          <cell r="M1303" t="e">
            <v>#N/A</v>
          </cell>
        </row>
        <row r="1304">
          <cell r="C1304" t="e">
            <v>#N/A</v>
          </cell>
          <cell r="E1304" t="e">
            <v>#N/A</v>
          </cell>
          <cell r="F1304" t="e">
            <v>#N/A</v>
          </cell>
          <cell r="G1304" t="e">
            <v>#N/A</v>
          </cell>
          <cell r="H1304">
            <v>0</v>
          </cell>
          <cell r="I1304">
            <v>0</v>
          </cell>
          <cell r="J1304" t="str">
            <v>X</v>
          </cell>
          <cell r="K1304">
            <v>1172110.0800000026</v>
          </cell>
          <cell r="L1304">
            <v>1172110.0800000026</v>
          </cell>
          <cell r="M1304" t="e">
            <v>#N/A</v>
          </cell>
        </row>
        <row r="1305">
          <cell r="C1305" t="e">
            <v>#N/A</v>
          </cell>
          <cell r="E1305" t="e">
            <v>#N/A</v>
          </cell>
          <cell r="F1305" t="e">
            <v>#N/A</v>
          </cell>
          <cell r="G1305" t="e">
            <v>#N/A</v>
          </cell>
          <cell r="H1305">
            <v>0</v>
          </cell>
          <cell r="I1305">
            <v>0</v>
          </cell>
          <cell r="J1305" t="str">
            <v>X</v>
          </cell>
          <cell r="K1305">
            <v>1172110.0800000026</v>
          </cell>
          <cell r="L1305">
            <v>1172110.0800000026</v>
          </cell>
          <cell r="M1305" t="e">
            <v>#N/A</v>
          </cell>
        </row>
        <row r="1306">
          <cell r="C1306" t="e">
            <v>#N/A</v>
          </cell>
          <cell r="E1306" t="e">
            <v>#N/A</v>
          </cell>
          <cell r="F1306" t="e">
            <v>#N/A</v>
          </cell>
          <cell r="G1306" t="e">
            <v>#N/A</v>
          </cell>
          <cell r="H1306">
            <v>0</v>
          </cell>
          <cell r="I1306">
            <v>0</v>
          </cell>
          <cell r="J1306" t="str">
            <v>X</v>
          </cell>
          <cell r="K1306">
            <v>1172110.0800000026</v>
          </cell>
          <cell r="L1306">
            <v>1172110.0800000026</v>
          </cell>
          <cell r="M1306" t="e">
            <v>#N/A</v>
          </cell>
        </row>
        <row r="1307">
          <cell r="C1307" t="e">
            <v>#N/A</v>
          </cell>
          <cell r="E1307" t="e">
            <v>#N/A</v>
          </cell>
          <cell r="F1307" t="e">
            <v>#N/A</v>
          </cell>
          <cell r="G1307" t="e">
            <v>#N/A</v>
          </cell>
          <cell r="H1307">
            <v>0</v>
          </cell>
          <cell r="I1307">
            <v>0</v>
          </cell>
          <cell r="J1307" t="str">
            <v>X</v>
          </cell>
          <cell r="K1307">
            <v>1172110.0800000026</v>
          </cell>
          <cell r="L1307">
            <v>1172110.0800000026</v>
          </cell>
          <cell r="M1307" t="e">
            <v>#N/A</v>
          </cell>
        </row>
        <row r="1308">
          <cell r="C1308" t="e">
            <v>#N/A</v>
          </cell>
          <cell r="E1308" t="e">
            <v>#N/A</v>
          </cell>
          <cell r="F1308" t="e">
            <v>#N/A</v>
          </cell>
          <cell r="G1308" t="e">
            <v>#N/A</v>
          </cell>
          <cell r="H1308">
            <v>0</v>
          </cell>
          <cell r="I1308">
            <v>0</v>
          </cell>
          <cell r="J1308" t="str">
            <v>X</v>
          </cell>
          <cell r="K1308">
            <v>1172110.0800000026</v>
          </cell>
          <cell r="L1308">
            <v>1172110.0800000026</v>
          </cell>
          <cell r="M1308" t="e">
            <v>#N/A</v>
          </cell>
        </row>
        <row r="1309">
          <cell r="C1309" t="e">
            <v>#N/A</v>
          </cell>
          <cell r="E1309" t="e">
            <v>#N/A</v>
          </cell>
          <cell r="F1309" t="e">
            <v>#N/A</v>
          </cell>
          <cell r="G1309" t="e">
            <v>#N/A</v>
          </cell>
          <cell r="H1309">
            <v>0</v>
          </cell>
          <cell r="I1309">
            <v>0</v>
          </cell>
          <cell r="J1309" t="str">
            <v>X</v>
          </cell>
          <cell r="K1309">
            <v>1172110.0800000026</v>
          </cell>
          <cell r="L1309">
            <v>1172110.0800000026</v>
          </cell>
          <cell r="M1309" t="e">
            <v>#N/A</v>
          </cell>
        </row>
        <row r="1310">
          <cell r="C1310" t="e">
            <v>#N/A</v>
          </cell>
          <cell r="E1310" t="e">
            <v>#N/A</v>
          </cell>
          <cell r="F1310" t="e">
            <v>#N/A</v>
          </cell>
          <cell r="G1310" t="e">
            <v>#N/A</v>
          </cell>
          <cell r="H1310">
            <v>0</v>
          </cell>
          <cell r="I1310">
            <v>0</v>
          </cell>
          <cell r="J1310" t="str">
            <v>X</v>
          </cell>
          <cell r="K1310">
            <v>1172110.0800000026</v>
          </cell>
          <cell r="L1310">
            <v>1172110.0800000026</v>
          </cell>
          <cell r="M1310" t="e">
            <v>#N/A</v>
          </cell>
        </row>
        <row r="1311">
          <cell r="C1311" t="e">
            <v>#N/A</v>
          </cell>
          <cell r="E1311" t="e">
            <v>#N/A</v>
          </cell>
          <cell r="F1311" t="e">
            <v>#N/A</v>
          </cell>
          <cell r="G1311" t="e">
            <v>#N/A</v>
          </cell>
          <cell r="H1311">
            <v>0</v>
          </cell>
          <cell r="I1311">
            <v>0</v>
          </cell>
          <cell r="J1311" t="str">
            <v>X</v>
          </cell>
          <cell r="K1311">
            <v>1172110.0800000026</v>
          </cell>
          <cell r="L1311">
            <v>1172110.0800000026</v>
          </cell>
          <cell r="M1311" t="e">
            <v>#N/A</v>
          </cell>
        </row>
        <row r="1312">
          <cell r="C1312" t="e">
            <v>#N/A</v>
          </cell>
          <cell r="E1312" t="e">
            <v>#N/A</v>
          </cell>
          <cell r="F1312" t="e">
            <v>#N/A</v>
          </cell>
          <cell r="G1312" t="e">
            <v>#N/A</v>
          </cell>
          <cell r="H1312">
            <v>0</v>
          </cell>
          <cell r="I1312">
            <v>0</v>
          </cell>
          <cell r="J1312" t="str">
            <v>X</v>
          </cell>
          <cell r="K1312">
            <v>1172110.0800000026</v>
          </cell>
          <cell r="L1312">
            <v>1172110.0800000026</v>
          </cell>
          <cell r="M1312" t="e">
            <v>#N/A</v>
          </cell>
        </row>
        <row r="1313">
          <cell r="C1313" t="e">
            <v>#N/A</v>
          </cell>
          <cell r="E1313" t="e">
            <v>#N/A</v>
          </cell>
          <cell r="F1313" t="e">
            <v>#N/A</v>
          </cell>
          <cell r="G1313" t="e">
            <v>#N/A</v>
          </cell>
          <cell r="H1313">
            <v>0</v>
          </cell>
          <cell r="I1313">
            <v>0</v>
          </cell>
          <cell r="J1313" t="str">
            <v>X</v>
          </cell>
          <cell r="K1313">
            <v>1172110.0800000026</v>
          </cell>
          <cell r="L1313">
            <v>1172110.0800000026</v>
          </cell>
          <cell r="M1313" t="e">
            <v>#N/A</v>
          </cell>
        </row>
        <row r="1314">
          <cell r="C1314" t="e">
            <v>#N/A</v>
          </cell>
          <cell r="E1314" t="e">
            <v>#N/A</v>
          </cell>
          <cell r="F1314" t="e">
            <v>#N/A</v>
          </cell>
          <cell r="G1314" t="e">
            <v>#N/A</v>
          </cell>
          <cell r="H1314">
            <v>0</v>
          </cell>
          <cell r="I1314">
            <v>0</v>
          </cell>
          <cell r="J1314" t="str">
            <v>X</v>
          </cell>
          <cell r="K1314">
            <v>1172110.0800000026</v>
          </cell>
          <cell r="L1314">
            <v>1172110.0800000026</v>
          </cell>
          <cell r="M1314" t="e">
            <v>#N/A</v>
          </cell>
        </row>
        <row r="1315">
          <cell r="C1315" t="e">
            <v>#N/A</v>
          </cell>
          <cell r="E1315" t="e">
            <v>#N/A</v>
          </cell>
          <cell r="F1315" t="e">
            <v>#N/A</v>
          </cell>
          <cell r="G1315" t="e">
            <v>#N/A</v>
          </cell>
          <cell r="H1315">
            <v>0</v>
          </cell>
          <cell r="I1315">
            <v>0</v>
          </cell>
          <cell r="J1315" t="str">
            <v>X</v>
          </cell>
          <cell r="K1315">
            <v>1172110.0800000026</v>
          </cell>
          <cell r="L1315">
            <v>1172110.0800000026</v>
          </cell>
          <cell r="M1315" t="e">
            <v>#N/A</v>
          </cell>
        </row>
        <row r="1316">
          <cell r="C1316" t="e">
            <v>#N/A</v>
          </cell>
          <cell r="E1316" t="e">
            <v>#N/A</v>
          </cell>
          <cell r="F1316" t="e">
            <v>#N/A</v>
          </cell>
          <cell r="G1316" t="e">
            <v>#N/A</v>
          </cell>
          <cell r="H1316">
            <v>0</v>
          </cell>
          <cell r="I1316">
            <v>0</v>
          </cell>
          <cell r="J1316" t="str">
            <v>X</v>
          </cell>
          <cell r="K1316">
            <v>1172110.0800000026</v>
          </cell>
          <cell r="L1316">
            <v>1172110.0800000026</v>
          </cell>
          <cell r="M1316" t="e">
            <v>#N/A</v>
          </cell>
        </row>
        <row r="1317">
          <cell r="C1317" t="e">
            <v>#N/A</v>
          </cell>
          <cell r="E1317" t="e">
            <v>#N/A</v>
          </cell>
          <cell r="F1317" t="e">
            <v>#N/A</v>
          </cell>
          <cell r="G1317" t="e">
            <v>#N/A</v>
          </cell>
          <cell r="H1317">
            <v>0</v>
          </cell>
          <cell r="I1317">
            <v>0</v>
          </cell>
          <cell r="J1317" t="str">
            <v>X</v>
          </cell>
          <cell r="K1317">
            <v>1172110.0800000026</v>
          </cell>
          <cell r="L1317">
            <v>1172110.0800000026</v>
          </cell>
          <cell r="M1317" t="e">
            <v>#N/A</v>
          </cell>
        </row>
        <row r="1318">
          <cell r="C1318" t="e">
            <v>#N/A</v>
          </cell>
          <cell r="E1318" t="e">
            <v>#N/A</v>
          </cell>
          <cell r="F1318" t="e">
            <v>#N/A</v>
          </cell>
          <cell r="G1318" t="e">
            <v>#N/A</v>
          </cell>
          <cell r="H1318">
            <v>0</v>
          </cell>
          <cell r="I1318">
            <v>0</v>
          </cell>
          <cell r="J1318" t="str">
            <v>X</v>
          </cell>
          <cell r="K1318">
            <v>1172110.0800000026</v>
          </cell>
          <cell r="L1318">
            <v>1172110.0800000026</v>
          </cell>
          <cell r="M1318" t="e">
            <v>#N/A</v>
          </cell>
        </row>
        <row r="1319">
          <cell r="C1319" t="e">
            <v>#N/A</v>
          </cell>
          <cell r="E1319" t="e">
            <v>#N/A</v>
          </cell>
          <cell r="F1319" t="e">
            <v>#N/A</v>
          </cell>
          <cell r="G1319" t="e">
            <v>#N/A</v>
          </cell>
          <cell r="H1319">
            <v>0</v>
          </cell>
          <cell r="I1319">
            <v>0</v>
          </cell>
          <cell r="J1319" t="str">
            <v>X</v>
          </cell>
          <cell r="K1319">
            <v>1172110.0800000026</v>
          </cell>
          <cell r="L1319">
            <v>1172110.0800000026</v>
          </cell>
          <cell r="M1319" t="e">
            <v>#N/A</v>
          </cell>
        </row>
        <row r="1320">
          <cell r="C1320" t="e">
            <v>#N/A</v>
          </cell>
          <cell r="E1320" t="e">
            <v>#N/A</v>
          </cell>
          <cell r="F1320" t="e">
            <v>#N/A</v>
          </cell>
          <cell r="G1320" t="e">
            <v>#N/A</v>
          </cell>
          <cell r="H1320">
            <v>0</v>
          </cell>
          <cell r="I1320">
            <v>0</v>
          </cell>
          <cell r="J1320" t="str">
            <v>X</v>
          </cell>
          <cell r="K1320">
            <v>1172110.0800000026</v>
          </cell>
          <cell r="L1320">
            <v>1172110.0800000026</v>
          </cell>
          <cell r="M1320" t="e">
            <v>#N/A</v>
          </cell>
        </row>
        <row r="1321">
          <cell r="C1321" t="e">
            <v>#N/A</v>
          </cell>
          <cell r="E1321" t="e">
            <v>#N/A</v>
          </cell>
          <cell r="F1321" t="e">
            <v>#N/A</v>
          </cell>
          <cell r="G1321" t="e">
            <v>#N/A</v>
          </cell>
          <cell r="H1321">
            <v>0</v>
          </cell>
          <cell r="I1321">
            <v>0</v>
          </cell>
          <cell r="J1321" t="str">
            <v>X</v>
          </cell>
          <cell r="K1321">
            <v>1172110.0800000026</v>
          </cell>
          <cell r="L1321">
            <v>1172110.0800000026</v>
          </cell>
          <cell r="M1321" t="e">
            <v>#N/A</v>
          </cell>
        </row>
        <row r="1322">
          <cell r="C1322" t="e">
            <v>#N/A</v>
          </cell>
          <cell r="E1322" t="e">
            <v>#N/A</v>
          </cell>
          <cell r="F1322" t="e">
            <v>#N/A</v>
          </cell>
          <cell r="G1322" t="e">
            <v>#N/A</v>
          </cell>
          <cell r="H1322">
            <v>0</v>
          </cell>
          <cell r="I1322">
            <v>0</v>
          </cell>
          <cell r="J1322" t="str">
            <v>X</v>
          </cell>
          <cell r="K1322">
            <v>1172110.0800000026</v>
          </cell>
          <cell r="L1322">
            <v>1172110.0800000026</v>
          </cell>
          <cell r="M1322" t="e">
            <v>#N/A</v>
          </cell>
        </row>
        <row r="1323">
          <cell r="C1323" t="e">
            <v>#N/A</v>
          </cell>
          <cell r="E1323" t="e">
            <v>#N/A</v>
          </cell>
          <cell r="F1323" t="e">
            <v>#N/A</v>
          </cell>
          <cell r="G1323" t="e">
            <v>#N/A</v>
          </cell>
          <cell r="H1323">
            <v>0</v>
          </cell>
          <cell r="I1323">
            <v>0</v>
          </cell>
          <cell r="J1323" t="str">
            <v>X</v>
          </cell>
          <cell r="K1323">
            <v>1172110.0800000026</v>
          </cell>
          <cell r="L1323">
            <v>1172110.0800000026</v>
          </cell>
          <cell r="M1323" t="e">
            <v>#N/A</v>
          </cell>
        </row>
        <row r="1324">
          <cell r="C1324" t="e">
            <v>#N/A</v>
          </cell>
          <cell r="E1324" t="e">
            <v>#N/A</v>
          </cell>
          <cell r="F1324" t="e">
            <v>#N/A</v>
          </cell>
          <cell r="G1324" t="e">
            <v>#N/A</v>
          </cell>
          <cell r="H1324">
            <v>0</v>
          </cell>
          <cell r="I1324">
            <v>0</v>
          </cell>
          <cell r="J1324" t="str">
            <v>X</v>
          </cell>
          <cell r="K1324">
            <v>1172110.0800000026</v>
          </cell>
          <cell r="L1324">
            <v>1172110.0800000026</v>
          </cell>
          <cell r="M1324" t="e">
            <v>#N/A</v>
          </cell>
        </row>
        <row r="1325">
          <cell r="C1325" t="e">
            <v>#N/A</v>
          </cell>
          <cell r="E1325" t="e">
            <v>#N/A</v>
          </cell>
          <cell r="F1325" t="e">
            <v>#N/A</v>
          </cell>
          <cell r="G1325" t="e">
            <v>#N/A</v>
          </cell>
          <cell r="H1325">
            <v>0</v>
          </cell>
          <cell r="I1325">
            <v>0</v>
          </cell>
          <cell r="J1325" t="str">
            <v>X</v>
          </cell>
          <cell r="K1325">
            <v>1172110.0800000026</v>
          </cell>
          <cell r="L1325">
            <v>1172110.0800000026</v>
          </cell>
          <cell r="M1325" t="e">
            <v>#N/A</v>
          </cell>
        </row>
        <row r="1326">
          <cell r="C1326" t="e">
            <v>#N/A</v>
          </cell>
          <cell r="E1326" t="e">
            <v>#N/A</v>
          </cell>
          <cell r="F1326" t="e">
            <v>#N/A</v>
          </cell>
          <cell r="G1326" t="e">
            <v>#N/A</v>
          </cell>
          <cell r="H1326">
            <v>0</v>
          </cell>
          <cell r="I1326">
            <v>0</v>
          </cell>
          <cell r="J1326" t="str">
            <v>X</v>
          </cell>
          <cell r="K1326">
            <v>1172110.0800000026</v>
          </cell>
          <cell r="L1326">
            <v>1172110.0800000026</v>
          </cell>
          <cell r="M1326" t="e">
            <v>#N/A</v>
          </cell>
        </row>
        <row r="1327">
          <cell r="C1327" t="e">
            <v>#N/A</v>
          </cell>
          <cell r="E1327" t="e">
            <v>#N/A</v>
          </cell>
          <cell r="F1327" t="e">
            <v>#N/A</v>
          </cell>
          <cell r="G1327" t="e">
            <v>#N/A</v>
          </cell>
          <cell r="H1327">
            <v>0</v>
          </cell>
          <cell r="I1327">
            <v>0</v>
          </cell>
          <cell r="J1327" t="str">
            <v>X</v>
          </cell>
          <cell r="K1327">
            <v>1172110.0800000026</v>
          </cell>
          <cell r="L1327">
            <v>1172110.0800000026</v>
          </cell>
          <cell r="M1327" t="e">
            <v>#N/A</v>
          </cell>
        </row>
        <row r="1328">
          <cell r="C1328" t="e">
            <v>#N/A</v>
          </cell>
          <cell r="E1328" t="e">
            <v>#N/A</v>
          </cell>
          <cell r="F1328" t="e">
            <v>#N/A</v>
          </cell>
          <cell r="G1328" t="e">
            <v>#N/A</v>
          </cell>
          <cell r="H1328">
            <v>0</v>
          </cell>
          <cell r="I1328">
            <v>0</v>
          </cell>
          <cell r="J1328" t="str">
            <v>X</v>
          </cell>
          <cell r="K1328">
            <v>1172110.0800000026</v>
          </cell>
          <cell r="L1328">
            <v>1172110.0800000026</v>
          </cell>
          <cell r="M1328" t="e">
            <v>#N/A</v>
          </cell>
        </row>
        <row r="1329">
          <cell r="C1329" t="e">
            <v>#N/A</v>
          </cell>
          <cell r="E1329" t="e">
            <v>#N/A</v>
          </cell>
          <cell r="F1329" t="e">
            <v>#N/A</v>
          </cell>
          <cell r="G1329" t="e">
            <v>#N/A</v>
          </cell>
          <cell r="H1329">
            <v>0</v>
          </cell>
          <cell r="I1329">
            <v>0</v>
          </cell>
          <cell r="J1329" t="str">
            <v>X</v>
          </cell>
          <cell r="K1329">
            <v>1172110.0800000026</v>
          </cell>
          <cell r="L1329">
            <v>1172110.0800000026</v>
          </cell>
          <cell r="M1329" t="e">
            <v>#N/A</v>
          </cell>
        </row>
        <row r="1330">
          <cell r="C1330" t="e">
            <v>#N/A</v>
          </cell>
          <cell r="E1330" t="e">
            <v>#N/A</v>
          </cell>
          <cell r="F1330" t="e">
            <v>#N/A</v>
          </cell>
          <cell r="G1330" t="e">
            <v>#N/A</v>
          </cell>
          <cell r="H1330">
            <v>0</v>
          </cell>
          <cell r="I1330">
            <v>0</v>
          </cell>
          <cell r="J1330" t="str">
            <v>X</v>
          </cell>
          <cell r="K1330">
            <v>1172110.0800000026</v>
          </cell>
          <cell r="L1330">
            <v>1172110.0800000026</v>
          </cell>
          <cell r="M1330" t="e">
            <v>#N/A</v>
          </cell>
        </row>
        <row r="1331">
          <cell r="C1331" t="e">
            <v>#N/A</v>
          </cell>
          <cell r="E1331" t="e">
            <v>#N/A</v>
          </cell>
          <cell r="F1331" t="e">
            <v>#N/A</v>
          </cell>
          <cell r="G1331" t="e">
            <v>#N/A</v>
          </cell>
          <cell r="H1331">
            <v>0</v>
          </cell>
          <cell r="I1331">
            <v>0</v>
          </cell>
          <cell r="J1331" t="str">
            <v>X</v>
          </cell>
          <cell r="K1331">
            <v>1172110.0800000026</v>
          </cell>
          <cell r="L1331">
            <v>1172110.0800000026</v>
          </cell>
          <cell r="M1331" t="e">
            <v>#N/A</v>
          </cell>
        </row>
        <row r="1332">
          <cell r="C1332" t="e">
            <v>#N/A</v>
          </cell>
          <cell r="E1332" t="e">
            <v>#N/A</v>
          </cell>
          <cell r="F1332" t="e">
            <v>#N/A</v>
          </cell>
          <cell r="G1332" t="e">
            <v>#N/A</v>
          </cell>
          <cell r="H1332">
            <v>0</v>
          </cell>
          <cell r="I1332">
            <v>0</v>
          </cell>
          <cell r="J1332" t="str">
            <v>X</v>
          </cell>
          <cell r="K1332">
            <v>1172110.0800000026</v>
          </cell>
          <cell r="L1332">
            <v>1172110.0800000026</v>
          </cell>
          <cell r="M1332" t="e">
            <v>#N/A</v>
          </cell>
        </row>
        <row r="1333">
          <cell r="C1333" t="e">
            <v>#N/A</v>
          </cell>
          <cell r="E1333" t="e">
            <v>#N/A</v>
          </cell>
          <cell r="F1333" t="e">
            <v>#N/A</v>
          </cell>
          <cell r="G1333" t="e">
            <v>#N/A</v>
          </cell>
          <cell r="H1333">
            <v>0</v>
          </cell>
          <cell r="I1333">
            <v>0</v>
          </cell>
          <cell r="J1333" t="str">
            <v>X</v>
          </cell>
          <cell r="K1333">
            <v>1172110.0800000026</v>
          </cell>
          <cell r="L1333">
            <v>1172110.0800000026</v>
          </cell>
          <cell r="M1333" t="e">
            <v>#N/A</v>
          </cell>
        </row>
        <row r="1334">
          <cell r="C1334" t="e">
            <v>#N/A</v>
          </cell>
          <cell r="E1334" t="e">
            <v>#N/A</v>
          </cell>
          <cell r="F1334" t="e">
            <v>#N/A</v>
          </cell>
          <cell r="G1334" t="e">
            <v>#N/A</v>
          </cell>
          <cell r="H1334">
            <v>0</v>
          </cell>
          <cell r="I1334">
            <v>0</v>
          </cell>
          <cell r="J1334" t="str">
            <v>X</v>
          </cell>
          <cell r="K1334">
            <v>1172110.0800000026</v>
          </cell>
          <cell r="L1334">
            <v>1172110.0800000026</v>
          </cell>
          <cell r="M1334" t="e">
            <v>#N/A</v>
          </cell>
        </row>
        <row r="1335">
          <cell r="C1335" t="e">
            <v>#N/A</v>
          </cell>
          <cell r="E1335" t="e">
            <v>#N/A</v>
          </cell>
          <cell r="F1335" t="e">
            <v>#N/A</v>
          </cell>
          <cell r="G1335" t="e">
            <v>#N/A</v>
          </cell>
          <cell r="H1335">
            <v>0</v>
          </cell>
          <cell r="I1335">
            <v>0</v>
          </cell>
          <cell r="J1335" t="str">
            <v>X</v>
          </cell>
          <cell r="K1335">
            <v>1172110.0800000026</v>
          </cell>
          <cell r="L1335">
            <v>1172110.0800000026</v>
          </cell>
          <cell r="M1335" t="e">
            <v>#N/A</v>
          </cell>
        </row>
        <row r="1336">
          <cell r="C1336" t="e">
            <v>#N/A</v>
          </cell>
          <cell r="E1336" t="e">
            <v>#N/A</v>
          </cell>
          <cell r="F1336" t="e">
            <v>#N/A</v>
          </cell>
          <cell r="G1336" t="e">
            <v>#N/A</v>
          </cell>
          <cell r="H1336">
            <v>0</v>
          </cell>
          <cell r="I1336">
            <v>0</v>
          </cell>
          <cell r="J1336" t="str">
            <v>X</v>
          </cell>
          <cell r="K1336">
            <v>1172110.0800000026</v>
          </cell>
          <cell r="L1336">
            <v>1172110.0800000026</v>
          </cell>
          <cell r="M1336" t="e">
            <v>#N/A</v>
          </cell>
        </row>
        <row r="1337">
          <cell r="C1337" t="e">
            <v>#N/A</v>
          </cell>
          <cell r="E1337" t="e">
            <v>#N/A</v>
          </cell>
          <cell r="F1337" t="e">
            <v>#N/A</v>
          </cell>
          <cell r="G1337" t="e">
            <v>#N/A</v>
          </cell>
          <cell r="H1337">
            <v>0</v>
          </cell>
          <cell r="I1337">
            <v>0</v>
          </cell>
          <cell r="J1337" t="str">
            <v>X</v>
          </cell>
          <cell r="K1337">
            <v>1172110.0800000026</v>
          </cell>
          <cell r="L1337">
            <v>1172110.0800000026</v>
          </cell>
          <cell r="M1337" t="e">
            <v>#N/A</v>
          </cell>
        </row>
        <row r="1338">
          <cell r="C1338" t="e">
            <v>#N/A</v>
          </cell>
          <cell r="E1338" t="e">
            <v>#N/A</v>
          </cell>
          <cell r="F1338" t="e">
            <v>#N/A</v>
          </cell>
          <cell r="G1338" t="e">
            <v>#N/A</v>
          </cell>
          <cell r="H1338">
            <v>0</v>
          </cell>
          <cell r="I1338">
            <v>0</v>
          </cell>
          <cell r="J1338" t="str">
            <v>X</v>
          </cell>
          <cell r="K1338">
            <v>1172110.0800000026</v>
          </cell>
          <cell r="L1338">
            <v>1172110.0800000026</v>
          </cell>
          <cell r="M1338" t="e">
            <v>#N/A</v>
          </cell>
        </row>
        <row r="1339">
          <cell r="C1339" t="e">
            <v>#N/A</v>
          </cell>
          <cell r="E1339" t="e">
            <v>#N/A</v>
          </cell>
          <cell r="F1339" t="e">
            <v>#N/A</v>
          </cell>
          <cell r="G1339" t="e">
            <v>#N/A</v>
          </cell>
          <cell r="H1339">
            <v>0</v>
          </cell>
          <cell r="I1339">
            <v>0</v>
          </cell>
          <cell r="J1339" t="str">
            <v>X</v>
          </cell>
          <cell r="K1339">
            <v>1172110.0800000026</v>
          </cell>
          <cell r="L1339">
            <v>1172110.0800000026</v>
          </cell>
          <cell r="M1339" t="e">
            <v>#N/A</v>
          </cell>
        </row>
        <row r="1340">
          <cell r="C1340" t="e">
            <v>#N/A</v>
          </cell>
          <cell r="E1340" t="e">
            <v>#N/A</v>
          </cell>
          <cell r="F1340" t="e">
            <v>#N/A</v>
          </cell>
          <cell r="G1340" t="e">
            <v>#N/A</v>
          </cell>
          <cell r="H1340">
            <v>0</v>
          </cell>
          <cell r="I1340">
            <v>0</v>
          </cell>
          <cell r="J1340" t="str">
            <v>X</v>
          </cell>
          <cell r="K1340">
            <v>1172110.0800000026</v>
          </cell>
          <cell r="L1340">
            <v>1172110.0800000026</v>
          </cell>
          <cell r="M1340" t="e">
            <v>#N/A</v>
          </cell>
        </row>
        <row r="1341">
          <cell r="C1341" t="e">
            <v>#N/A</v>
          </cell>
          <cell r="E1341" t="e">
            <v>#N/A</v>
          </cell>
          <cell r="F1341" t="e">
            <v>#N/A</v>
          </cell>
          <cell r="G1341" t="e">
            <v>#N/A</v>
          </cell>
          <cell r="H1341">
            <v>0</v>
          </cell>
          <cell r="I1341">
            <v>0</v>
          </cell>
          <cell r="J1341" t="str">
            <v>X</v>
          </cell>
          <cell r="K1341">
            <v>1172110.0800000026</v>
          </cell>
          <cell r="L1341">
            <v>1172110.0800000026</v>
          </cell>
          <cell r="M1341" t="e">
            <v>#N/A</v>
          </cell>
        </row>
        <row r="1342">
          <cell r="C1342" t="e">
            <v>#N/A</v>
          </cell>
          <cell r="E1342" t="e">
            <v>#N/A</v>
          </cell>
          <cell r="F1342" t="e">
            <v>#N/A</v>
          </cell>
          <cell r="G1342" t="e">
            <v>#N/A</v>
          </cell>
          <cell r="H1342">
            <v>0</v>
          </cell>
          <cell r="I1342">
            <v>0</v>
          </cell>
          <cell r="J1342" t="str">
            <v>X</v>
          </cell>
          <cell r="K1342">
            <v>1172110.0800000026</v>
          </cell>
          <cell r="L1342">
            <v>1172110.0800000026</v>
          </cell>
          <cell r="M1342" t="e">
            <v>#N/A</v>
          </cell>
        </row>
        <row r="1343">
          <cell r="C1343" t="e">
            <v>#N/A</v>
          </cell>
          <cell r="E1343" t="e">
            <v>#N/A</v>
          </cell>
          <cell r="F1343" t="e">
            <v>#N/A</v>
          </cell>
          <cell r="G1343" t="e">
            <v>#N/A</v>
          </cell>
          <cell r="H1343">
            <v>0</v>
          </cell>
          <cell r="I1343">
            <v>0</v>
          </cell>
          <cell r="J1343" t="str">
            <v>X</v>
          </cell>
          <cell r="K1343">
            <v>1172110.0800000026</v>
          </cell>
          <cell r="L1343">
            <v>1172110.0800000026</v>
          </cell>
          <cell r="M1343" t="e">
            <v>#N/A</v>
          </cell>
        </row>
        <row r="1344">
          <cell r="C1344" t="e">
            <v>#N/A</v>
          </cell>
          <cell r="E1344" t="e">
            <v>#N/A</v>
          </cell>
          <cell r="F1344" t="e">
            <v>#N/A</v>
          </cell>
          <cell r="G1344" t="e">
            <v>#N/A</v>
          </cell>
          <cell r="H1344">
            <v>0</v>
          </cell>
          <cell r="I1344">
            <v>0</v>
          </cell>
          <cell r="J1344" t="str">
            <v>X</v>
          </cell>
          <cell r="K1344">
            <v>1172110.0800000026</v>
          </cell>
          <cell r="L1344">
            <v>1172110.0800000026</v>
          </cell>
          <cell r="M1344" t="e">
            <v>#N/A</v>
          </cell>
        </row>
        <row r="1345">
          <cell r="C1345" t="e">
            <v>#N/A</v>
          </cell>
          <cell r="E1345" t="e">
            <v>#N/A</v>
          </cell>
          <cell r="F1345" t="e">
            <v>#N/A</v>
          </cell>
          <cell r="G1345" t="e">
            <v>#N/A</v>
          </cell>
          <cell r="H1345">
            <v>0</v>
          </cell>
          <cell r="I1345">
            <v>0</v>
          </cell>
          <cell r="J1345" t="str">
            <v>X</v>
          </cell>
          <cell r="K1345">
            <v>1172110.0800000026</v>
          </cell>
          <cell r="L1345">
            <v>1172110.0800000026</v>
          </cell>
          <cell r="M1345" t="e">
            <v>#N/A</v>
          </cell>
        </row>
        <row r="1346">
          <cell r="C1346" t="e">
            <v>#N/A</v>
          </cell>
          <cell r="E1346" t="e">
            <v>#N/A</v>
          </cell>
          <cell r="F1346" t="e">
            <v>#N/A</v>
          </cell>
          <cell r="G1346" t="e">
            <v>#N/A</v>
          </cell>
          <cell r="H1346">
            <v>0</v>
          </cell>
          <cell r="I1346">
            <v>0</v>
          </cell>
          <cell r="J1346" t="str">
            <v>X</v>
          </cell>
          <cell r="K1346">
            <v>1172110.0800000026</v>
          </cell>
          <cell r="L1346">
            <v>1172110.0800000026</v>
          </cell>
          <cell r="M1346" t="e">
            <v>#N/A</v>
          </cell>
        </row>
        <row r="1347">
          <cell r="C1347" t="e">
            <v>#N/A</v>
          </cell>
          <cell r="E1347" t="e">
            <v>#N/A</v>
          </cell>
          <cell r="F1347" t="e">
            <v>#N/A</v>
          </cell>
          <cell r="G1347" t="e">
            <v>#N/A</v>
          </cell>
          <cell r="H1347">
            <v>0</v>
          </cell>
          <cell r="I1347">
            <v>0</v>
          </cell>
          <cell r="J1347" t="str">
            <v>X</v>
          </cell>
          <cell r="K1347">
            <v>1172110.0800000026</v>
          </cell>
          <cell r="L1347">
            <v>1172110.0800000026</v>
          </cell>
          <cell r="M1347" t="e">
            <v>#N/A</v>
          </cell>
        </row>
        <row r="1348">
          <cell r="C1348" t="e">
            <v>#N/A</v>
          </cell>
          <cell r="E1348" t="e">
            <v>#N/A</v>
          </cell>
          <cell r="F1348" t="e">
            <v>#N/A</v>
          </cell>
          <cell r="G1348" t="e">
            <v>#N/A</v>
          </cell>
          <cell r="H1348">
            <v>0</v>
          </cell>
          <cell r="I1348">
            <v>0</v>
          </cell>
          <cell r="J1348" t="str">
            <v>X</v>
          </cell>
          <cell r="K1348">
            <v>1172110.0800000026</v>
          </cell>
          <cell r="L1348">
            <v>1172110.0800000026</v>
          </cell>
          <cell r="M1348" t="e">
            <v>#N/A</v>
          </cell>
        </row>
        <row r="1349">
          <cell r="C1349" t="e">
            <v>#N/A</v>
          </cell>
          <cell r="E1349" t="e">
            <v>#N/A</v>
          </cell>
          <cell r="F1349" t="e">
            <v>#N/A</v>
          </cell>
          <cell r="G1349" t="e">
            <v>#N/A</v>
          </cell>
          <cell r="H1349">
            <v>0</v>
          </cell>
          <cell r="I1349">
            <v>0</v>
          </cell>
          <cell r="J1349" t="str">
            <v>X</v>
          </cell>
          <cell r="K1349">
            <v>1172110.0800000026</v>
          </cell>
          <cell r="L1349">
            <v>1172110.0800000026</v>
          </cell>
          <cell r="M1349" t="e">
            <v>#N/A</v>
          </cell>
        </row>
        <row r="1350">
          <cell r="C1350" t="e">
            <v>#N/A</v>
          </cell>
          <cell r="E1350" t="e">
            <v>#N/A</v>
          </cell>
          <cell r="F1350" t="e">
            <v>#N/A</v>
          </cell>
          <cell r="G1350" t="e">
            <v>#N/A</v>
          </cell>
          <cell r="H1350">
            <v>0</v>
          </cell>
          <cell r="I1350">
            <v>0</v>
          </cell>
          <cell r="J1350" t="str">
            <v>X</v>
          </cell>
          <cell r="K1350">
            <v>1172110.0800000026</v>
          </cell>
          <cell r="L1350">
            <v>1172110.0800000026</v>
          </cell>
          <cell r="M1350" t="e">
            <v>#N/A</v>
          </cell>
        </row>
        <row r="1351">
          <cell r="C1351" t="e">
            <v>#N/A</v>
          </cell>
          <cell r="E1351" t="e">
            <v>#N/A</v>
          </cell>
          <cell r="F1351" t="e">
            <v>#N/A</v>
          </cell>
          <cell r="G1351" t="e">
            <v>#N/A</v>
          </cell>
          <cell r="H1351">
            <v>0</v>
          </cell>
          <cell r="I1351">
            <v>0</v>
          </cell>
          <cell r="J1351" t="str">
            <v>X</v>
          </cell>
          <cell r="K1351">
            <v>1172110.0800000026</v>
          </cell>
          <cell r="L1351">
            <v>1172110.0800000026</v>
          </cell>
          <cell r="M1351" t="e">
            <v>#N/A</v>
          </cell>
        </row>
        <row r="1352">
          <cell r="C1352" t="e">
            <v>#N/A</v>
          </cell>
          <cell r="E1352" t="e">
            <v>#N/A</v>
          </cell>
          <cell r="F1352" t="e">
            <v>#N/A</v>
          </cell>
          <cell r="G1352" t="e">
            <v>#N/A</v>
          </cell>
          <cell r="H1352">
            <v>0</v>
          </cell>
          <cell r="I1352">
            <v>0</v>
          </cell>
          <cell r="J1352" t="str">
            <v>X</v>
          </cell>
          <cell r="K1352">
            <v>1172110.0800000026</v>
          </cell>
          <cell r="L1352">
            <v>1172110.0800000026</v>
          </cell>
          <cell r="M1352" t="e">
            <v>#N/A</v>
          </cell>
        </row>
        <row r="1353">
          <cell r="C1353" t="e">
            <v>#N/A</v>
          </cell>
          <cell r="E1353" t="e">
            <v>#N/A</v>
          </cell>
          <cell r="F1353" t="e">
            <v>#N/A</v>
          </cell>
          <cell r="G1353" t="e">
            <v>#N/A</v>
          </cell>
          <cell r="H1353">
            <v>0</v>
          </cell>
          <cell r="I1353">
            <v>0</v>
          </cell>
          <cell r="J1353" t="str">
            <v>X</v>
          </cell>
          <cell r="K1353">
            <v>1172110.0800000026</v>
          </cell>
          <cell r="L1353">
            <v>1172110.0800000026</v>
          </cell>
          <cell r="M1353" t="e">
            <v>#N/A</v>
          </cell>
        </row>
        <row r="1354">
          <cell r="C1354" t="e">
            <v>#N/A</v>
          </cell>
          <cell r="E1354" t="e">
            <v>#N/A</v>
          </cell>
          <cell r="F1354" t="e">
            <v>#N/A</v>
          </cell>
          <cell r="G1354" t="e">
            <v>#N/A</v>
          </cell>
          <cell r="H1354">
            <v>0</v>
          </cell>
          <cell r="I1354">
            <v>0</v>
          </cell>
          <cell r="J1354" t="str">
            <v>X</v>
          </cell>
          <cell r="K1354">
            <v>1172110.0800000026</v>
          </cell>
          <cell r="L1354">
            <v>1172110.0800000026</v>
          </cell>
          <cell r="M1354" t="e">
            <v>#N/A</v>
          </cell>
        </row>
        <row r="1355">
          <cell r="C1355" t="e">
            <v>#N/A</v>
          </cell>
          <cell r="E1355" t="e">
            <v>#N/A</v>
          </cell>
          <cell r="F1355" t="e">
            <v>#N/A</v>
          </cell>
          <cell r="G1355" t="e">
            <v>#N/A</v>
          </cell>
          <cell r="H1355">
            <v>0</v>
          </cell>
          <cell r="I1355">
            <v>0</v>
          </cell>
          <cell r="J1355" t="str">
            <v>X</v>
          </cell>
          <cell r="K1355">
            <v>1172110.0800000026</v>
          </cell>
          <cell r="L1355">
            <v>1172110.0800000026</v>
          </cell>
          <cell r="M1355" t="e">
            <v>#N/A</v>
          </cell>
        </row>
        <row r="1356">
          <cell r="C1356" t="e">
            <v>#N/A</v>
          </cell>
          <cell r="E1356" t="e">
            <v>#N/A</v>
          </cell>
          <cell r="F1356" t="e">
            <v>#N/A</v>
          </cell>
          <cell r="G1356" t="e">
            <v>#N/A</v>
          </cell>
          <cell r="H1356">
            <v>0</v>
          </cell>
          <cell r="I1356">
            <v>0</v>
          </cell>
          <cell r="J1356" t="str">
            <v>X</v>
          </cell>
          <cell r="K1356">
            <v>1172110.0800000026</v>
          </cell>
          <cell r="L1356">
            <v>1172110.0800000026</v>
          </cell>
          <cell r="M1356" t="e">
            <v>#N/A</v>
          </cell>
        </row>
        <row r="1357">
          <cell r="C1357" t="e">
            <v>#N/A</v>
          </cell>
          <cell r="E1357" t="e">
            <v>#N/A</v>
          </cell>
          <cell r="F1357" t="e">
            <v>#N/A</v>
          </cell>
          <cell r="G1357" t="e">
            <v>#N/A</v>
          </cell>
          <cell r="H1357">
            <v>0</v>
          </cell>
          <cell r="I1357">
            <v>0</v>
          </cell>
          <cell r="J1357" t="str">
            <v>X</v>
          </cell>
          <cell r="K1357">
            <v>1172110.0800000026</v>
          </cell>
          <cell r="L1357">
            <v>1172110.0800000026</v>
          </cell>
          <cell r="M1357" t="e">
            <v>#N/A</v>
          </cell>
        </row>
        <row r="1358">
          <cell r="C1358" t="e">
            <v>#N/A</v>
          </cell>
          <cell r="E1358" t="e">
            <v>#N/A</v>
          </cell>
          <cell r="F1358" t="e">
            <v>#N/A</v>
          </cell>
          <cell r="G1358" t="e">
            <v>#N/A</v>
          </cell>
          <cell r="H1358">
            <v>0</v>
          </cell>
          <cell r="I1358">
            <v>0</v>
          </cell>
          <cell r="J1358" t="str">
            <v>X</v>
          </cell>
          <cell r="K1358">
            <v>1172110.0800000026</v>
          </cell>
          <cell r="L1358">
            <v>1172110.0800000026</v>
          </cell>
          <cell r="M1358" t="e">
            <v>#N/A</v>
          </cell>
        </row>
        <row r="1359">
          <cell r="C1359" t="e">
            <v>#N/A</v>
          </cell>
          <cell r="E1359" t="e">
            <v>#N/A</v>
          </cell>
          <cell r="F1359" t="e">
            <v>#N/A</v>
          </cell>
          <cell r="G1359" t="e">
            <v>#N/A</v>
          </cell>
          <cell r="H1359">
            <v>0</v>
          </cell>
          <cell r="I1359">
            <v>0</v>
          </cell>
          <cell r="J1359" t="str">
            <v>X</v>
          </cell>
          <cell r="K1359">
            <v>1172110.0800000026</v>
          </cell>
          <cell r="L1359">
            <v>1172110.0800000026</v>
          </cell>
          <cell r="M1359" t="e">
            <v>#N/A</v>
          </cell>
        </row>
        <row r="1360">
          <cell r="C1360" t="e">
            <v>#N/A</v>
          </cell>
          <cell r="E1360" t="e">
            <v>#N/A</v>
          </cell>
          <cell r="F1360" t="e">
            <v>#N/A</v>
          </cell>
          <cell r="G1360" t="e">
            <v>#N/A</v>
          </cell>
          <cell r="H1360">
            <v>0</v>
          </cell>
          <cell r="I1360">
            <v>0</v>
          </cell>
          <cell r="J1360" t="str">
            <v>X</v>
          </cell>
          <cell r="K1360">
            <v>1172110.0800000026</v>
          </cell>
          <cell r="L1360">
            <v>1172110.0800000026</v>
          </cell>
          <cell r="M1360" t="e">
            <v>#N/A</v>
          </cell>
        </row>
        <row r="1361">
          <cell r="C1361" t="e">
            <v>#N/A</v>
          </cell>
          <cell r="E1361" t="e">
            <v>#N/A</v>
          </cell>
          <cell r="F1361" t="e">
            <v>#N/A</v>
          </cell>
          <cell r="G1361" t="e">
            <v>#N/A</v>
          </cell>
          <cell r="H1361">
            <v>0</v>
          </cell>
          <cell r="I1361">
            <v>0</v>
          </cell>
          <cell r="J1361" t="str">
            <v>X</v>
          </cell>
          <cell r="K1361">
            <v>1172110.0800000026</v>
          </cell>
          <cell r="L1361">
            <v>1172110.0800000026</v>
          </cell>
          <cell r="M1361" t="e">
            <v>#N/A</v>
          </cell>
        </row>
        <row r="1362">
          <cell r="C1362" t="e">
            <v>#N/A</v>
          </cell>
          <cell r="E1362" t="e">
            <v>#N/A</v>
          </cell>
          <cell r="F1362" t="e">
            <v>#N/A</v>
          </cell>
          <cell r="G1362" t="e">
            <v>#N/A</v>
          </cell>
          <cell r="H1362">
            <v>0</v>
          </cell>
          <cell r="I1362">
            <v>0</v>
          </cell>
          <cell r="J1362" t="str">
            <v>X</v>
          </cell>
          <cell r="K1362">
            <v>1172110.0800000026</v>
          </cell>
          <cell r="L1362">
            <v>1172110.0800000026</v>
          </cell>
          <cell r="M1362" t="e">
            <v>#N/A</v>
          </cell>
        </row>
        <row r="1363">
          <cell r="C1363" t="e">
            <v>#N/A</v>
          </cell>
          <cell r="E1363" t="e">
            <v>#N/A</v>
          </cell>
          <cell r="F1363" t="e">
            <v>#N/A</v>
          </cell>
          <cell r="G1363" t="e">
            <v>#N/A</v>
          </cell>
          <cell r="H1363">
            <v>0</v>
          </cell>
          <cell r="I1363">
            <v>0</v>
          </cell>
          <cell r="J1363" t="str">
            <v>X</v>
          </cell>
          <cell r="K1363">
            <v>1172110.0800000026</v>
          </cell>
          <cell r="L1363">
            <v>1172110.0800000026</v>
          </cell>
          <cell r="M1363" t="e">
            <v>#N/A</v>
          </cell>
        </row>
        <row r="1364">
          <cell r="C1364" t="e">
            <v>#N/A</v>
          </cell>
          <cell r="E1364" t="e">
            <v>#N/A</v>
          </cell>
          <cell r="F1364" t="e">
            <v>#N/A</v>
          </cell>
          <cell r="G1364" t="e">
            <v>#N/A</v>
          </cell>
          <cell r="H1364">
            <v>0</v>
          </cell>
          <cell r="I1364">
            <v>0</v>
          </cell>
          <cell r="J1364" t="str">
            <v>X</v>
          </cell>
          <cell r="K1364">
            <v>1172110.0800000026</v>
          </cell>
          <cell r="L1364">
            <v>1172110.0800000026</v>
          </cell>
          <cell r="M1364" t="e">
            <v>#N/A</v>
          </cell>
        </row>
        <row r="1365">
          <cell r="C1365" t="e">
            <v>#N/A</v>
          </cell>
          <cell r="E1365" t="e">
            <v>#N/A</v>
          </cell>
          <cell r="F1365" t="e">
            <v>#N/A</v>
          </cell>
          <cell r="G1365" t="e">
            <v>#N/A</v>
          </cell>
          <cell r="H1365">
            <v>0</v>
          </cell>
          <cell r="I1365">
            <v>0</v>
          </cell>
          <cell r="J1365" t="str">
            <v>X</v>
          </cell>
          <cell r="K1365">
            <v>1172110.0800000026</v>
          </cell>
          <cell r="L1365">
            <v>1172110.0800000026</v>
          </cell>
          <cell r="M1365" t="e">
            <v>#N/A</v>
          </cell>
        </row>
        <row r="1366">
          <cell r="C1366" t="e">
            <v>#N/A</v>
          </cell>
          <cell r="E1366" t="e">
            <v>#N/A</v>
          </cell>
          <cell r="F1366" t="e">
            <v>#N/A</v>
          </cell>
          <cell r="G1366" t="e">
            <v>#N/A</v>
          </cell>
          <cell r="H1366">
            <v>0</v>
          </cell>
          <cell r="I1366">
            <v>0</v>
          </cell>
          <cell r="J1366" t="str">
            <v>X</v>
          </cell>
          <cell r="K1366">
            <v>1172110.0800000026</v>
          </cell>
          <cell r="L1366">
            <v>1172110.0800000026</v>
          </cell>
          <cell r="M1366" t="e">
            <v>#N/A</v>
          </cell>
        </row>
        <row r="1367">
          <cell r="C1367" t="e">
            <v>#N/A</v>
          </cell>
          <cell r="E1367" t="e">
            <v>#N/A</v>
          </cell>
          <cell r="F1367" t="e">
            <v>#N/A</v>
          </cell>
          <cell r="G1367" t="e">
            <v>#N/A</v>
          </cell>
          <cell r="H1367">
            <v>0</v>
          </cell>
          <cell r="I1367">
            <v>0</v>
          </cell>
          <cell r="J1367" t="str">
            <v>X</v>
          </cell>
          <cell r="K1367">
            <v>1172110.0800000026</v>
          </cell>
          <cell r="L1367">
            <v>1172110.0800000026</v>
          </cell>
          <cell r="M1367" t="e">
            <v>#N/A</v>
          </cell>
        </row>
        <row r="1368">
          <cell r="C1368" t="e">
            <v>#N/A</v>
          </cell>
          <cell r="E1368" t="e">
            <v>#N/A</v>
          </cell>
          <cell r="F1368" t="e">
            <v>#N/A</v>
          </cell>
          <cell r="G1368" t="e">
            <v>#N/A</v>
          </cell>
          <cell r="H1368">
            <v>0</v>
          </cell>
          <cell r="I1368">
            <v>0</v>
          </cell>
          <cell r="J1368" t="str">
            <v>X</v>
          </cell>
          <cell r="K1368">
            <v>1172110.0800000026</v>
          </cell>
          <cell r="L1368">
            <v>1172110.0800000026</v>
          </cell>
          <cell r="M1368" t="e">
            <v>#N/A</v>
          </cell>
        </row>
        <row r="1369">
          <cell r="C1369" t="e">
            <v>#N/A</v>
          </cell>
          <cell r="E1369" t="e">
            <v>#N/A</v>
          </cell>
          <cell r="F1369" t="e">
            <v>#N/A</v>
          </cell>
          <cell r="G1369" t="e">
            <v>#N/A</v>
          </cell>
          <cell r="H1369">
            <v>0</v>
          </cell>
          <cell r="I1369">
            <v>0</v>
          </cell>
          <cell r="J1369" t="str">
            <v>X</v>
          </cell>
          <cell r="K1369">
            <v>1172110.0800000026</v>
          </cell>
          <cell r="L1369">
            <v>1172110.0800000026</v>
          </cell>
          <cell r="M1369" t="e">
            <v>#N/A</v>
          </cell>
        </row>
        <row r="1370">
          <cell r="C1370" t="e">
            <v>#N/A</v>
          </cell>
          <cell r="E1370" t="e">
            <v>#N/A</v>
          </cell>
          <cell r="F1370" t="e">
            <v>#N/A</v>
          </cell>
          <cell r="G1370" t="e">
            <v>#N/A</v>
          </cell>
          <cell r="H1370">
            <v>0</v>
          </cell>
          <cell r="I1370">
            <v>0</v>
          </cell>
          <cell r="J1370" t="str">
            <v>X</v>
          </cell>
          <cell r="K1370">
            <v>1172110.0800000026</v>
          </cell>
          <cell r="L1370">
            <v>1172110.0800000026</v>
          </cell>
          <cell r="M1370" t="e">
            <v>#N/A</v>
          </cell>
        </row>
        <row r="1371">
          <cell r="C1371" t="e">
            <v>#N/A</v>
          </cell>
          <cell r="E1371" t="e">
            <v>#N/A</v>
          </cell>
          <cell r="F1371" t="e">
            <v>#N/A</v>
          </cell>
          <cell r="G1371" t="e">
            <v>#N/A</v>
          </cell>
          <cell r="H1371">
            <v>0</v>
          </cell>
          <cell r="I1371">
            <v>0</v>
          </cell>
          <cell r="J1371" t="str">
            <v>X</v>
          </cell>
          <cell r="K1371">
            <v>1172110.0800000026</v>
          </cell>
          <cell r="L1371">
            <v>1172110.0800000026</v>
          </cell>
          <cell r="M1371" t="e">
            <v>#N/A</v>
          </cell>
        </row>
        <row r="1372">
          <cell r="C1372" t="e">
            <v>#N/A</v>
          </cell>
          <cell r="E1372" t="e">
            <v>#N/A</v>
          </cell>
          <cell r="F1372" t="e">
            <v>#N/A</v>
          </cell>
          <cell r="G1372" t="e">
            <v>#N/A</v>
          </cell>
          <cell r="H1372">
            <v>0</v>
          </cell>
          <cell r="I1372">
            <v>0</v>
          </cell>
          <cell r="J1372" t="str">
            <v>X</v>
          </cell>
          <cell r="K1372">
            <v>1172110.0800000026</v>
          </cell>
          <cell r="L1372">
            <v>1172110.0800000026</v>
          </cell>
          <cell r="M1372" t="e">
            <v>#N/A</v>
          </cell>
        </row>
        <row r="1373">
          <cell r="C1373" t="e">
            <v>#N/A</v>
          </cell>
          <cell r="E1373" t="e">
            <v>#N/A</v>
          </cell>
          <cell r="F1373" t="e">
            <v>#N/A</v>
          </cell>
          <cell r="G1373" t="e">
            <v>#N/A</v>
          </cell>
          <cell r="H1373">
            <v>0</v>
          </cell>
          <cell r="I1373">
            <v>0</v>
          </cell>
          <cell r="J1373" t="str">
            <v>X</v>
          </cell>
          <cell r="K1373">
            <v>1172110.0800000026</v>
          </cell>
          <cell r="L1373">
            <v>1172110.0800000026</v>
          </cell>
          <cell r="M1373" t="e">
            <v>#N/A</v>
          </cell>
        </row>
        <row r="1374">
          <cell r="C1374" t="e">
            <v>#N/A</v>
          </cell>
          <cell r="E1374" t="e">
            <v>#N/A</v>
          </cell>
          <cell r="F1374" t="e">
            <v>#N/A</v>
          </cell>
          <cell r="G1374" t="e">
            <v>#N/A</v>
          </cell>
          <cell r="H1374">
            <v>0</v>
          </cell>
          <cell r="I1374">
            <v>0</v>
          </cell>
          <cell r="J1374" t="str">
            <v>X</v>
          </cell>
          <cell r="K1374">
            <v>1172110.0800000026</v>
          </cell>
          <cell r="L1374">
            <v>1172110.0800000026</v>
          </cell>
          <cell r="M1374" t="e">
            <v>#N/A</v>
          </cell>
        </row>
        <row r="1375">
          <cell r="C1375" t="e">
            <v>#N/A</v>
          </cell>
          <cell r="E1375" t="e">
            <v>#N/A</v>
          </cell>
          <cell r="F1375" t="e">
            <v>#N/A</v>
          </cell>
          <cell r="G1375" t="e">
            <v>#N/A</v>
          </cell>
          <cell r="H1375">
            <v>0</v>
          </cell>
          <cell r="I1375">
            <v>0</v>
          </cell>
          <cell r="J1375" t="str">
            <v>X</v>
          </cell>
          <cell r="K1375">
            <v>1172110.0800000026</v>
          </cell>
          <cell r="L1375">
            <v>1172110.0800000026</v>
          </cell>
          <cell r="M1375" t="e">
            <v>#N/A</v>
          </cell>
        </row>
        <row r="1376">
          <cell r="C1376" t="e">
            <v>#N/A</v>
          </cell>
          <cell r="E1376" t="e">
            <v>#N/A</v>
          </cell>
          <cell r="F1376" t="e">
            <v>#N/A</v>
          </cell>
          <cell r="G1376" t="e">
            <v>#N/A</v>
          </cell>
          <cell r="H1376">
            <v>0</v>
          </cell>
          <cell r="I1376">
            <v>0</v>
          </cell>
          <cell r="J1376" t="str">
            <v>X</v>
          </cell>
          <cell r="K1376">
            <v>1172110.0800000026</v>
          </cell>
          <cell r="L1376">
            <v>1172110.0800000026</v>
          </cell>
          <cell r="M1376" t="e">
            <v>#N/A</v>
          </cell>
        </row>
        <row r="1377">
          <cell r="C1377" t="e">
            <v>#N/A</v>
          </cell>
          <cell r="E1377" t="e">
            <v>#N/A</v>
          </cell>
          <cell r="F1377" t="e">
            <v>#N/A</v>
          </cell>
          <cell r="G1377" t="e">
            <v>#N/A</v>
          </cell>
          <cell r="H1377">
            <v>0</v>
          </cell>
          <cell r="I1377">
            <v>0</v>
          </cell>
          <cell r="J1377" t="str">
            <v>X</v>
          </cell>
          <cell r="K1377">
            <v>1172110.0800000026</v>
          </cell>
          <cell r="L1377">
            <v>1172110.0800000026</v>
          </cell>
          <cell r="M1377" t="e">
            <v>#N/A</v>
          </cell>
        </row>
        <row r="1378">
          <cell r="C1378" t="e">
            <v>#N/A</v>
          </cell>
          <cell r="E1378" t="e">
            <v>#N/A</v>
          </cell>
          <cell r="F1378" t="e">
            <v>#N/A</v>
          </cell>
          <cell r="G1378" t="e">
            <v>#N/A</v>
          </cell>
          <cell r="H1378">
            <v>0</v>
          </cell>
          <cell r="I1378">
            <v>0</v>
          </cell>
          <cell r="J1378" t="str">
            <v>X</v>
          </cell>
          <cell r="K1378">
            <v>1172110.0800000026</v>
          </cell>
          <cell r="L1378">
            <v>1172110.0800000026</v>
          </cell>
          <cell r="M1378" t="e">
            <v>#N/A</v>
          </cell>
        </row>
        <row r="1379">
          <cell r="C1379" t="e">
            <v>#N/A</v>
          </cell>
          <cell r="E1379" t="e">
            <v>#N/A</v>
          </cell>
          <cell r="F1379" t="e">
            <v>#N/A</v>
          </cell>
          <cell r="G1379" t="e">
            <v>#N/A</v>
          </cell>
          <cell r="H1379">
            <v>0</v>
          </cell>
          <cell r="I1379">
            <v>0</v>
          </cell>
          <cell r="J1379" t="str">
            <v>X</v>
          </cell>
          <cell r="K1379">
            <v>1172110.0800000026</v>
          </cell>
          <cell r="L1379">
            <v>1172110.0800000026</v>
          </cell>
          <cell r="M1379" t="e">
            <v>#N/A</v>
          </cell>
        </row>
        <row r="1380">
          <cell r="C1380" t="e">
            <v>#N/A</v>
          </cell>
          <cell r="E1380" t="e">
            <v>#N/A</v>
          </cell>
          <cell r="F1380" t="e">
            <v>#N/A</v>
          </cell>
          <cell r="G1380" t="e">
            <v>#N/A</v>
          </cell>
          <cell r="H1380">
            <v>0</v>
          </cell>
          <cell r="I1380">
            <v>0</v>
          </cell>
          <cell r="J1380" t="str">
            <v>X</v>
          </cell>
          <cell r="K1380">
            <v>1172110.0800000026</v>
          </cell>
          <cell r="L1380">
            <v>1172110.0800000026</v>
          </cell>
          <cell r="M1380" t="e">
            <v>#N/A</v>
          </cell>
        </row>
        <row r="1381">
          <cell r="C1381" t="e">
            <v>#N/A</v>
          </cell>
          <cell r="E1381" t="e">
            <v>#N/A</v>
          </cell>
          <cell r="F1381" t="e">
            <v>#N/A</v>
          </cell>
          <cell r="G1381" t="e">
            <v>#N/A</v>
          </cell>
          <cell r="H1381">
            <v>0</v>
          </cell>
          <cell r="I1381">
            <v>0</v>
          </cell>
          <cell r="J1381" t="str">
            <v>X</v>
          </cell>
          <cell r="K1381">
            <v>1172110.0800000026</v>
          </cell>
          <cell r="L1381">
            <v>1172110.0800000026</v>
          </cell>
          <cell r="M1381" t="e">
            <v>#N/A</v>
          </cell>
        </row>
        <row r="1382">
          <cell r="C1382" t="e">
            <v>#N/A</v>
          </cell>
          <cell r="E1382" t="e">
            <v>#N/A</v>
          </cell>
          <cell r="F1382" t="e">
            <v>#N/A</v>
          </cell>
          <cell r="G1382" t="e">
            <v>#N/A</v>
          </cell>
          <cell r="H1382">
            <v>0</v>
          </cell>
          <cell r="I1382">
            <v>0</v>
          </cell>
          <cell r="J1382" t="str">
            <v>X</v>
          </cell>
          <cell r="K1382">
            <v>1172110.0800000026</v>
          </cell>
          <cell r="L1382">
            <v>1172110.0800000026</v>
          </cell>
          <cell r="M1382" t="e">
            <v>#N/A</v>
          </cell>
        </row>
        <row r="1383">
          <cell r="C1383" t="e">
            <v>#N/A</v>
          </cell>
          <cell r="E1383" t="e">
            <v>#N/A</v>
          </cell>
          <cell r="F1383" t="e">
            <v>#N/A</v>
          </cell>
          <cell r="G1383" t="e">
            <v>#N/A</v>
          </cell>
          <cell r="H1383">
            <v>0</v>
          </cell>
          <cell r="I1383">
            <v>0</v>
          </cell>
          <cell r="J1383" t="str">
            <v>X</v>
          </cell>
          <cell r="K1383">
            <v>1172110.0800000026</v>
          </cell>
          <cell r="L1383">
            <v>1172110.0800000026</v>
          </cell>
          <cell r="M1383" t="e">
            <v>#N/A</v>
          </cell>
        </row>
        <row r="1384">
          <cell r="C1384" t="e">
            <v>#N/A</v>
          </cell>
          <cell r="E1384" t="e">
            <v>#N/A</v>
          </cell>
          <cell r="F1384" t="e">
            <v>#N/A</v>
          </cell>
          <cell r="G1384" t="e">
            <v>#N/A</v>
          </cell>
          <cell r="H1384">
            <v>0</v>
          </cell>
          <cell r="I1384">
            <v>0</v>
          </cell>
          <cell r="J1384" t="str">
            <v>X</v>
          </cell>
          <cell r="K1384">
            <v>1172110.0800000026</v>
          </cell>
          <cell r="L1384">
            <v>1172110.0800000026</v>
          </cell>
          <cell r="M1384" t="e">
            <v>#N/A</v>
          </cell>
        </row>
        <row r="1385">
          <cell r="C1385" t="e">
            <v>#N/A</v>
          </cell>
          <cell r="E1385" t="e">
            <v>#N/A</v>
          </cell>
          <cell r="F1385" t="e">
            <v>#N/A</v>
          </cell>
          <cell r="G1385" t="e">
            <v>#N/A</v>
          </cell>
          <cell r="H1385">
            <v>0</v>
          </cell>
          <cell r="I1385">
            <v>0</v>
          </cell>
          <cell r="J1385" t="str">
            <v>X</v>
          </cell>
          <cell r="K1385">
            <v>1172110.0800000026</v>
          </cell>
          <cell r="L1385">
            <v>1172110.0800000026</v>
          </cell>
          <cell r="M1385" t="e">
            <v>#N/A</v>
          </cell>
        </row>
        <row r="1386">
          <cell r="C1386" t="e">
            <v>#N/A</v>
          </cell>
          <cell r="E1386" t="e">
            <v>#N/A</v>
          </cell>
          <cell r="F1386" t="e">
            <v>#N/A</v>
          </cell>
          <cell r="G1386" t="e">
            <v>#N/A</v>
          </cell>
          <cell r="H1386">
            <v>0</v>
          </cell>
          <cell r="I1386">
            <v>0</v>
          </cell>
          <cell r="J1386" t="str">
            <v>X</v>
          </cell>
          <cell r="K1386">
            <v>1172110.0800000026</v>
          </cell>
          <cell r="L1386">
            <v>1172110.0800000026</v>
          </cell>
          <cell r="M1386" t="e">
            <v>#N/A</v>
          </cell>
        </row>
        <row r="1387">
          <cell r="C1387" t="e">
            <v>#N/A</v>
          </cell>
          <cell r="E1387" t="e">
            <v>#N/A</v>
          </cell>
          <cell r="F1387" t="e">
            <v>#N/A</v>
          </cell>
          <cell r="G1387" t="e">
            <v>#N/A</v>
          </cell>
          <cell r="H1387">
            <v>0</v>
          </cell>
          <cell r="I1387">
            <v>0</v>
          </cell>
          <cell r="J1387" t="str">
            <v>X</v>
          </cell>
          <cell r="K1387">
            <v>1172110.0800000026</v>
          </cell>
          <cell r="L1387">
            <v>1172110.0800000026</v>
          </cell>
          <cell r="M1387" t="e">
            <v>#N/A</v>
          </cell>
        </row>
        <row r="1388">
          <cell r="C1388" t="e">
            <v>#N/A</v>
          </cell>
          <cell r="E1388" t="e">
            <v>#N/A</v>
          </cell>
          <cell r="F1388" t="e">
            <v>#N/A</v>
          </cell>
          <cell r="G1388" t="e">
            <v>#N/A</v>
          </cell>
          <cell r="H1388">
            <v>0</v>
          </cell>
          <cell r="I1388">
            <v>0</v>
          </cell>
          <cell r="J1388" t="str">
            <v>X</v>
          </cell>
          <cell r="K1388">
            <v>1172110.0800000026</v>
          </cell>
          <cell r="L1388">
            <v>1172110.0800000026</v>
          </cell>
          <cell r="M1388" t="e">
            <v>#N/A</v>
          </cell>
        </row>
        <row r="1389">
          <cell r="C1389" t="e">
            <v>#N/A</v>
          </cell>
          <cell r="E1389" t="e">
            <v>#N/A</v>
          </cell>
          <cell r="F1389" t="e">
            <v>#N/A</v>
          </cell>
          <cell r="G1389" t="e">
            <v>#N/A</v>
          </cell>
          <cell r="H1389">
            <v>0</v>
          </cell>
          <cell r="I1389">
            <v>0</v>
          </cell>
          <cell r="J1389" t="str">
            <v>X</v>
          </cell>
          <cell r="K1389">
            <v>1172110.0800000026</v>
          </cell>
          <cell r="L1389">
            <v>1172110.0800000026</v>
          </cell>
          <cell r="M1389" t="e">
            <v>#N/A</v>
          </cell>
        </row>
        <row r="1390">
          <cell r="C1390" t="e">
            <v>#N/A</v>
          </cell>
          <cell r="E1390" t="e">
            <v>#N/A</v>
          </cell>
          <cell r="F1390" t="e">
            <v>#N/A</v>
          </cell>
          <cell r="G1390" t="e">
            <v>#N/A</v>
          </cell>
          <cell r="H1390">
            <v>0</v>
          </cell>
          <cell r="I1390">
            <v>0</v>
          </cell>
          <cell r="J1390" t="str">
            <v>X</v>
          </cell>
          <cell r="K1390">
            <v>1172110.0800000026</v>
          </cell>
          <cell r="L1390">
            <v>1172110.0800000026</v>
          </cell>
          <cell r="M1390" t="e">
            <v>#N/A</v>
          </cell>
        </row>
        <row r="1391">
          <cell r="C1391" t="e">
            <v>#N/A</v>
          </cell>
          <cell r="E1391" t="e">
            <v>#N/A</v>
          </cell>
          <cell r="F1391" t="e">
            <v>#N/A</v>
          </cell>
          <cell r="G1391" t="e">
            <v>#N/A</v>
          </cell>
          <cell r="H1391">
            <v>0</v>
          </cell>
          <cell r="I1391">
            <v>0</v>
          </cell>
          <cell r="J1391" t="str">
            <v>X</v>
          </cell>
          <cell r="K1391">
            <v>1172110.0800000026</v>
          </cell>
          <cell r="L1391">
            <v>1172110.0800000026</v>
          </cell>
          <cell r="M1391" t="e">
            <v>#N/A</v>
          </cell>
        </row>
        <row r="1392">
          <cell r="C1392" t="e">
            <v>#N/A</v>
          </cell>
          <cell r="E1392" t="e">
            <v>#N/A</v>
          </cell>
          <cell r="F1392" t="e">
            <v>#N/A</v>
          </cell>
          <cell r="G1392" t="e">
            <v>#N/A</v>
          </cell>
          <cell r="H1392">
            <v>0</v>
          </cell>
          <cell r="I1392">
            <v>0</v>
          </cell>
          <cell r="J1392" t="str">
            <v>X</v>
          </cell>
          <cell r="K1392">
            <v>1172110.0800000026</v>
          </cell>
          <cell r="L1392">
            <v>1172110.0800000026</v>
          </cell>
          <cell r="M1392" t="e">
            <v>#N/A</v>
          </cell>
        </row>
        <row r="1393">
          <cell r="C1393" t="e">
            <v>#N/A</v>
          </cell>
          <cell r="E1393" t="e">
            <v>#N/A</v>
          </cell>
          <cell r="F1393" t="e">
            <v>#N/A</v>
          </cell>
          <cell r="G1393" t="e">
            <v>#N/A</v>
          </cell>
          <cell r="H1393">
            <v>0</v>
          </cell>
          <cell r="I1393">
            <v>0</v>
          </cell>
          <cell r="J1393" t="str">
            <v>X</v>
          </cell>
          <cell r="K1393">
            <v>1172110.0800000026</v>
          </cell>
          <cell r="L1393">
            <v>1172110.0800000026</v>
          </cell>
          <cell r="M1393" t="e">
            <v>#N/A</v>
          </cell>
        </row>
        <row r="1394">
          <cell r="C1394" t="e">
            <v>#N/A</v>
          </cell>
          <cell r="E1394" t="e">
            <v>#N/A</v>
          </cell>
          <cell r="F1394" t="e">
            <v>#N/A</v>
          </cell>
          <cell r="G1394" t="e">
            <v>#N/A</v>
          </cell>
          <cell r="H1394">
            <v>0</v>
          </cell>
          <cell r="I1394">
            <v>0</v>
          </cell>
          <cell r="J1394" t="str">
            <v>X</v>
          </cell>
          <cell r="K1394">
            <v>1172110.0800000026</v>
          </cell>
          <cell r="L1394">
            <v>1172110.0800000026</v>
          </cell>
          <cell r="M1394" t="e">
            <v>#N/A</v>
          </cell>
        </row>
        <row r="1395">
          <cell r="C1395" t="e">
            <v>#N/A</v>
          </cell>
          <cell r="E1395" t="e">
            <v>#N/A</v>
          </cell>
          <cell r="F1395" t="e">
            <v>#N/A</v>
          </cell>
          <cell r="G1395" t="e">
            <v>#N/A</v>
          </cell>
          <cell r="H1395">
            <v>0</v>
          </cell>
          <cell r="I1395">
            <v>0</v>
          </cell>
          <cell r="J1395" t="str">
            <v>X</v>
          </cell>
          <cell r="K1395">
            <v>1172110.0800000026</v>
          </cell>
          <cell r="L1395">
            <v>1172110.0800000026</v>
          </cell>
          <cell r="M1395" t="e">
            <v>#N/A</v>
          </cell>
        </row>
        <row r="1396">
          <cell r="C1396" t="e">
            <v>#N/A</v>
          </cell>
          <cell r="E1396" t="e">
            <v>#N/A</v>
          </cell>
          <cell r="F1396" t="e">
            <v>#N/A</v>
          </cell>
          <cell r="G1396" t="e">
            <v>#N/A</v>
          </cell>
          <cell r="H1396">
            <v>0</v>
          </cell>
          <cell r="I1396">
            <v>0</v>
          </cell>
          <cell r="J1396" t="str">
            <v>X</v>
          </cell>
          <cell r="K1396">
            <v>1172110.0800000026</v>
          </cell>
          <cell r="L1396">
            <v>1172110.0800000026</v>
          </cell>
          <cell r="M1396" t="e">
            <v>#N/A</v>
          </cell>
        </row>
        <row r="1397">
          <cell r="C1397" t="e">
            <v>#N/A</v>
          </cell>
          <cell r="E1397" t="e">
            <v>#N/A</v>
          </cell>
          <cell r="F1397" t="e">
            <v>#N/A</v>
          </cell>
          <cell r="G1397" t="e">
            <v>#N/A</v>
          </cell>
          <cell r="H1397">
            <v>0</v>
          </cell>
          <cell r="I1397">
            <v>0</v>
          </cell>
          <cell r="J1397" t="str">
            <v>X</v>
          </cell>
          <cell r="K1397">
            <v>1172110.0800000026</v>
          </cell>
          <cell r="L1397">
            <v>1172110.0800000026</v>
          </cell>
          <cell r="M1397" t="e">
            <v>#N/A</v>
          </cell>
        </row>
        <row r="1398">
          <cell r="C1398" t="e">
            <v>#N/A</v>
          </cell>
          <cell r="E1398" t="e">
            <v>#N/A</v>
          </cell>
          <cell r="F1398" t="e">
            <v>#N/A</v>
          </cell>
          <cell r="G1398" t="e">
            <v>#N/A</v>
          </cell>
          <cell r="H1398">
            <v>0</v>
          </cell>
          <cell r="I1398">
            <v>0</v>
          </cell>
          <cell r="J1398" t="str">
            <v>X</v>
          </cell>
          <cell r="K1398">
            <v>1172110.0800000026</v>
          </cell>
          <cell r="L1398">
            <v>1172110.0800000026</v>
          </cell>
          <cell r="M1398" t="e">
            <v>#N/A</v>
          </cell>
        </row>
        <row r="1399">
          <cell r="C1399" t="e">
            <v>#N/A</v>
          </cell>
          <cell r="E1399" t="e">
            <v>#N/A</v>
          </cell>
          <cell r="F1399" t="e">
            <v>#N/A</v>
          </cell>
          <cell r="G1399" t="e">
            <v>#N/A</v>
          </cell>
          <cell r="H1399">
            <v>0</v>
          </cell>
          <cell r="I1399">
            <v>0</v>
          </cell>
          <cell r="J1399" t="str">
            <v>X</v>
          </cell>
          <cell r="K1399">
            <v>1172110.0800000026</v>
          </cell>
          <cell r="L1399">
            <v>1172110.0800000026</v>
          </cell>
          <cell r="M1399" t="e">
            <v>#N/A</v>
          </cell>
        </row>
        <row r="1400">
          <cell r="C1400" t="e">
            <v>#N/A</v>
          </cell>
          <cell r="E1400" t="e">
            <v>#N/A</v>
          </cell>
          <cell r="F1400" t="e">
            <v>#N/A</v>
          </cell>
          <cell r="G1400" t="e">
            <v>#N/A</v>
          </cell>
          <cell r="H1400">
            <v>0</v>
          </cell>
          <cell r="I1400">
            <v>0</v>
          </cell>
          <cell r="J1400" t="str">
            <v>X</v>
          </cell>
          <cell r="K1400">
            <v>1172110.0800000026</v>
          </cell>
          <cell r="L1400">
            <v>1172110.0800000026</v>
          </cell>
          <cell r="M1400" t="e">
            <v>#N/A</v>
          </cell>
        </row>
        <row r="1401">
          <cell r="C1401" t="e">
            <v>#N/A</v>
          </cell>
          <cell r="E1401" t="e">
            <v>#N/A</v>
          </cell>
          <cell r="F1401" t="e">
            <v>#N/A</v>
          </cell>
          <cell r="G1401" t="e">
            <v>#N/A</v>
          </cell>
          <cell r="H1401">
            <v>0</v>
          </cell>
          <cell r="I1401">
            <v>0</v>
          </cell>
          <cell r="J1401" t="str">
            <v>X</v>
          </cell>
          <cell r="K1401">
            <v>1172110.0800000026</v>
          </cell>
          <cell r="L1401">
            <v>1172110.0800000026</v>
          </cell>
          <cell r="M1401" t="e">
            <v>#N/A</v>
          </cell>
        </row>
        <row r="1402">
          <cell r="C1402" t="e">
            <v>#N/A</v>
          </cell>
          <cell r="E1402" t="e">
            <v>#N/A</v>
          </cell>
          <cell r="F1402" t="e">
            <v>#N/A</v>
          </cell>
          <cell r="G1402" t="e">
            <v>#N/A</v>
          </cell>
          <cell r="H1402">
            <v>0</v>
          </cell>
          <cell r="I1402">
            <v>0</v>
          </cell>
          <cell r="J1402" t="str">
            <v>X</v>
          </cell>
          <cell r="K1402">
            <v>1172110.0800000026</v>
          </cell>
          <cell r="L1402">
            <v>1172110.0800000026</v>
          </cell>
          <cell r="M1402" t="e">
            <v>#N/A</v>
          </cell>
        </row>
        <row r="1403">
          <cell r="C1403" t="e">
            <v>#N/A</v>
          </cell>
          <cell r="E1403" t="e">
            <v>#N/A</v>
          </cell>
          <cell r="F1403" t="e">
            <v>#N/A</v>
          </cell>
          <cell r="G1403" t="e">
            <v>#N/A</v>
          </cell>
          <cell r="H1403">
            <v>0</v>
          </cell>
          <cell r="I1403">
            <v>0</v>
          </cell>
          <cell r="J1403" t="str">
            <v>X</v>
          </cell>
          <cell r="K1403">
            <v>1172110.0800000026</v>
          </cell>
          <cell r="L1403">
            <v>1172110.0800000026</v>
          </cell>
          <cell r="M1403" t="e">
            <v>#N/A</v>
          </cell>
        </row>
        <row r="1404">
          <cell r="C1404" t="e">
            <v>#N/A</v>
          </cell>
          <cell r="E1404" t="e">
            <v>#N/A</v>
          </cell>
          <cell r="F1404" t="e">
            <v>#N/A</v>
          </cell>
          <cell r="G1404" t="e">
            <v>#N/A</v>
          </cell>
          <cell r="H1404">
            <v>0</v>
          </cell>
          <cell r="I1404">
            <v>0</v>
          </cell>
          <cell r="J1404" t="str">
            <v>X</v>
          </cell>
          <cell r="K1404">
            <v>1172110.0800000026</v>
          </cell>
          <cell r="L1404">
            <v>1172110.0800000026</v>
          </cell>
          <cell r="M1404" t="e">
            <v>#N/A</v>
          </cell>
        </row>
        <row r="1405">
          <cell r="C1405" t="e">
            <v>#N/A</v>
          </cell>
          <cell r="E1405" t="e">
            <v>#N/A</v>
          </cell>
          <cell r="F1405" t="e">
            <v>#N/A</v>
          </cell>
          <cell r="G1405" t="e">
            <v>#N/A</v>
          </cell>
          <cell r="H1405">
            <v>0</v>
          </cell>
          <cell r="I1405">
            <v>0</v>
          </cell>
          <cell r="J1405" t="str">
            <v>X</v>
          </cell>
          <cell r="K1405">
            <v>1172110.0800000026</v>
          </cell>
          <cell r="L1405">
            <v>1172110.0800000026</v>
          </cell>
          <cell r="M1405" t="e">
            <v>#N/A</v>
          </cell>
        </row>
        <row r="1406">
          <cell r="C1406" t="e">
            <v>#N/A</v>
          </cell>
          <cell r="E1406" t="e">
            <v>#N/A</v>
          </cell>
          <cell r="F1406" t="e">
            <v>#N/A</v>
          </cell>
          <cell r="G1406" t="e">
            <v>#N/A</v>
          </cell>
          <cell r="H1406">
            <v>0</v>
          </cell>
          <cell r="I1406">
            <v>0</v>
          </cell>
          <cell r="J1406" t="str">
            <v>X</v>
          </cell>
          <cell r="K1406">
            <v>1172110.0800000026</v>
          </cell>
          <cell r="L1406">
            <v>1172110.0800000026</v>
          </cell>
          <cell r="M1406" t="e">
            <v>#N/A</v>
          </cell>
        </row>
        <row r="1407">
          <cell r="C1407" t="e">
            <v>#N/A</v>
          </cell>
          <cell r="E1407" t="e">
            <v>#N/A</v>
          </cell>
          <cell r="F1407" t="e">
            <v>#N/A</v>
          </cell>
          <cell r="G1407" t="e">
            <v>#N/A</v>
          </cell>
          <cell r="H1407">
            <v>0</v>
          </cell>
          <cell r="I1407">
            <v>0</v>
          </cell>
          <cell r="J1407" t="str">
            <v>X</v>
          </cell>
          <cell r="K1407">
            <v>1172110.0800000026</v>
          </cell>
          <cell r="L1407">
            <v>1172110.0800000026</v>
          </cell>
          <cell r="M1407" t="e">
            <v>#N/A</v>
          </cell>
        </row>
        <row r="1408">
          <cell r="C1408" t="e">
            <v>#N/A</v>
          </cell>
          <cell r="E1408" t="e">
            <v>#N/A</v>
          </cell>
          <cell r="F1408" t="e">
            <v>#N/A</v>
          </cell>
          <cell r="G1408" t="e">
            <v>#N/A</v>
          </cell>
          <cell r="H1408">
            <v>0</v>
          </cell>
          <cell r="I1408">
            <v>0</v>
          </cell>
          <cell r="J1408" t="str">
            <v>X</v>
          </cell>
          <cell r="K1408">
            <v>1172110.0800000026</v>
          </cell>
          <cell r="L1408">
            <v>1172110.0800000026</v>
          </cell>
          <cell r="M1408" t="e">
            <v>#N/A</v>
          </cell>
        </row>
        <row r="1409">
          <cell r="C1409" t="e">
            <v>#N/A</v>
          </cell>
          <cell r="E1409" t="e">
            <v>#N/A</v>
          </cell>
          <cell r="F1409" t="e">
            <v>#N/A</v>
          </cell>
          <cell r="G1409" t="e">
            <v>#N/A</v>
          </cell>
          <cell r="H1409">
            <v>0</v>
          </cell>
          <cell r="I1409">
            <v>0</v>
          </cell>
          <cell r="J1409" t="str">
            <v>X</v>
          </cell>
          <cell r="K1409">
            <v>1172110.0800000026</v>
          </cell>
          <cell r="L1409">
            <v>1172110.0800000026</v>
          </cell>
          <cell r="M1409" t="e">
            <v>#N/A</v>
          </cell>
        </row>
        <row r="1410">
          <cell r="C1410" t="e">
            <v>#N/A</v>
          </cell>
          <cell r="E1410" t="e">
            <v>#N/A</v>
          </cell>
          <cell r="F1410" t="e">
            <v>#N/A</v>
          </cell>
          <cell r="G1410" t="e">
            <v>#N/A</v>
          </cell>
          <cell r="H1410">
            <v>0</v>
          </cell>
          <cell r="I1410">
            <v>0</v>
          </cell>
          <cell r="J1410" t="str">
            <v>X</v>
          </cell>
          <cell r="K1410">
            <v>1172110.0800000026</v>
          </cell>
          <cell r="L1410">
            <v>1172110.0800000026</v>
          </cell>
          <cell r="M1410" t="e">
            <v>#N/A</v>
          </cell>
        </row>
        <row r="1411">
          <cell r="C1411" t="e">
            <v>#N/A</v>
          </cell>
          <cell r="E1411" t="e">
            <v>#N/A</v>
          </cell>
          <cell r="F1411" t="e">
            <v>#N/A</v>
          </cell>
          <cell r="G1411" t="e">
            <v>#N/A</v>
          </cell>
          <cell r="H1411">
            <v>0</v>
          </cell>
          <cell r="I1411">
            <v>0</v>
          </cell>
          <cell r="J1411" t="str">
            <v>X</v>
          </cell>
          <cell r="K1411">
            <v>1172110.0800000026</v>
          </cell>
          <cell r="L1411">
            <v>1172110.0800000026</v>
          </cell>
          <cell r="M1411" t="e">
            <v>#N/A</v>
          </cell>
        </row>
        <row r="1412">
          <cell r="C1412" t="e">
            <v>#N/A</v>
          </cell>
          <cell r="E1412" t="e">
            <v>#N/A</v>
          </cell>
          <cell r="F1412" t="e">
            <v>#N/A</v>
          </cell>
          <cell r="G1412" t="e">
            <v>#N/A</v>
          </cell>
          <cell r="H1412">
            <v>0</v>
          </cell>
          <cell r="I1412">
            <v>0</v>
          </cell>
          <cell r="J1412" t="str">
            <v>X</v>
          </cell>
          <cell r="K1412">
            <v>1172110.0800000026</v>
          </cell>
          <cell r="L1412">
            <v>1172110.0800000026</v>
          </cell>
          <cell r="M1412" t="e">
            <v>#N/A</v>
          </cell>
        </row>
        <row r="1413">
          <cell r="C1413" t="e">
            <v>#N/A</v>
          </cell>
          <cell r="E1413" t="e">
            <v>#N/A</v>
          </cell>
          <cell r="F1413" t="e">
            <v>#N/A</v>
          </cell>
          <cell r="G1413" t="e">
            <v>#N/A</v>
          </cell>
          <cell r="H1413">
            <v>0</v>
          </cell>
          <cell r="I1413">
            <v>0</v>
          </cell>
          <cell r="J1413" t="str">
            <v>X</v>
          </cell>
          <cell r="K1413">
            <v>1172110.0800000026</v>
          </cell>
          <cell r="L1413">
            <v>1172110.0800000026</v>
          </cell>
          <cell r="M1413" t="e">
            <v>#N/A</v>
          </cell>
        </row>
        <row r="1414">
          <cell r="C1414" t="e">
            <v>#N/A</v>
          </cell>
          <cell r="E1414" t="e">
            <v>#N/A</v>
          </cell>
          <cell r="F1414" t="e">
            <v>#N/A</v>
          </cell>
          <cell r="G1414" t="e">
            <v>#N/A</v>
          </cell>
          <cell r="H1414">
            <v>0</v>
          </cell>
          <cell r="I1414">
            <v>0</v>
          </cell>
          <cell r="J1414" t="str">
            <v>X</v>
          </cell>
          <cell r="K1414">
            <v>1172110.0800000026</v>
          </cell>
          <cell r="L1414">
            <v>1172110.0800000026</v>
          </cell>
          <cell r="M1414" t="e">
            <v>#N/A</v>
          </cell>
        </row>
        <row r="1415">
          <cell r="C1415" t="e">
            <v>#N/A</v>
          </cell>
          <cell r="E1415" t="e">
            <v>#N/A</v>
          </cell>
          <cell r="F1415" t="e">
            <v>#N/A</v>
          </cell>
          <cell r="G1415" t="e">
            <v>#N/A</v>
          </cell>
          <cell r="H1415">
            <v>0</v>
          </cell>
          <cell r="I1415">
            <v>0</v>
          </cell>
          <cell r="J1415" t="str">
            <v>X</v>
          </cell>
          <cell r="K1415">
            <v>1172110.0800000026</v>
          </cell>
          <cell r="L1415">
            <v>1172110.0800000026</v>
          </cell>
          <cell r="M1415" t="e">
            <v>#N/A</v>
          </cell>
        </row>
        <row r="1416">
          <cell r="C1416" t="e">
            <v>#N/A</v>
          </cell>
          <cell r="E1416" t="e">
            <v>#N/A</v>
          </cell>
          <cell r="F1416" t="e">
            <v>#N/A</v>
          </cell>
          <cell r="G1416" t="e">
            <v>#N/A</v>
          </cell>
          <cell r="H1416">
            <v>0</v>
          </cell>
          <cell r="I1416">
            <v>0</v>
          </cell>
          <cell r="J1416" t="str">
            <v>X</v>
          </cell>
          <cell r="K1416">
            <v>1172110.0800000026</v>
          </cell>
          <cell r="L1416">
            <v>1172110.0800000026</v>
          </cell>
          <cell r="M1416" t="e">
            <v>#N/A</v>
          </cell>
        </row>
        <row r="1417">
          <cell r="C1417" t="e">
            <v>#N/A</v>
          </cell>
          <cell r="E1417" t="e">
            <v>#N/A</v>
          </cell>
          <cell r="F1417" t="e">
            <v>#N/A</v>
          </cell>
          <cell r="G1417" t="e">
            <v>#N/A</v>
          </cell>
          <cell r="H1417">
            <v>0</v>
          </cell>
          <cell r="I1417">
            <v>0</v>
          </cell>
          <cell r="J1417" t="str">
            <v>X</v>
          </cell>
          <cell r="K1417">
            <v>1172110.0800000026</v>
          </cell>
          <cell r="L1417">
            <v>1172110.0800000026</v>
          </cell>
          <cell r="M1417" t="e">
            <v>#N/A</v>
          </cell>
        </row>
        <row r="1418">
          <cell r="C1418" t="e">
            <v>#N/A</v>
          </cell>
          <cell r="E1418" t="e">
            <v>#N/A</v>
          </cell>
          <cell r="F1418" t="e">
            <v>#N/A</v>
          </cell>
          <cell r="G1418" t="e">
            <v>#N/A</v>
          </cell>
          <cell r="H1418">
            <v>0</v>
          </cell>
          <cell r="I1418">
            <v>0</v>
          </cell>
          <cell r="J1418" t="str">
            <v>X</v>
          </cell>
          <cell r="K1418">
            <v>1172110.0800000026</v>
          </cell>
          <cell r="L1418">
            <v>1172110.0800000026</v>
          </cell>
          <cell r="M1418" t="e">
            <v>#N/A</v>
          </cell>
        </row>
        <row r="1419">
          <cell r="C1419" t="e">
            <v>#N/A</v>
          </cell>
          <cell r="E1419" t="e">
            <v>#N/A</v>
          </cell>
          <cell r="F1419" t="e">
            <v>#N/A</v>
          </cell>
          <cell r="G1419" t="e">
            <v>#N/A</v>
          </cell>
          <cell r="H1419">
            <v>0</v>
          </cell>
          <cell r="I1419">
            <v>0</v>
          </cell>
          <cell r="J1419" t="str">
            <v>X</v>
          </cell>
          <cell r="K1419">
            <v>1172110.0800000026</v>
          </cell>
          <cell r="L1419">
            <v>1172110.0800000026</v>
          </cell>
          <cell r="M1419" t="e">
            <v>#N/A</v>
          </cell>
        </row>
        <row r="1420">
          <cell r="C1420" t="e">
            <v>#N/A</v>
          </cell>
          <cell r="E1420" t="e">
            <v>#N/A</v>
          </cell>
          <cell r="F1420" t="e">
            <v>#N/A</v>
          </cell>
          <cell r="G1420" t="e">
            <v>#N/A</v>
          </cell>
          <cell r="H1420">
            <v>0</v>
          </cell>
          <cell r="I1420">
            <v>0</v>
          </cell>
          <cell r="J1420" t="str">
            <v>X</v>
          </cell>
          <cell r="K1420">
            <v>1172110.0800000026</v>
          </cell>
          <cell r="L1420">
            <v>1172110.0800000026</v>
          </cell>
          <cell r="M1420" t="e">
            <v>#N/A</v>
          </cell>
        </row>
        <row r="1421">
          <cell r="C1421" t="e">
            <v>#N/A</v>
          </cell>
          <cell r="E1421" t="e">
            <v>#N/A</v>
          </cell>
          <cell r="F1421" t="e">
            <v>#N/A</v>
          </cell>
          <cell r="G1421" t="e">
            <v>#N/A</v>
          </cell>
          <cell r="H1421">
            <v>0</v>
          </cell>
          <cell r="I1421">
            <v>0</v>
          </cell>
          <cell r="J1421" t="str">
            <v>X</v>
          </cell>
          <cell r="K1421">
            <v>1172110.0800000026</v>
          </cell>
          <cell r="L1421">
            <v>1172110.0800000026</v>
          </cell>
          <cell r="M1421" t="e">
            <v>#N/A</v>
          </cell>
        </row>
        <row r="1422">
          <cell r="C1422" t="e">
            <v>#N/A</v>
          </cell>
          <cell r="E1422" t="e">
            <v>#N/A</v>
          </cell>
          <cell r="F1422" t="e">
            <v>#N/A</v>
          </cell>
          <cell r="G1422" t="e">
            <v>#N/A</v>
          </cell>
          <cell r="H1422">
            <v>0</v>
          </cell>
          <cell r="I1422">
            <v>0</v>
          </cell>
          <cell r="J1422" t="str">
            <v>X</v>
          </cell>
          <cell r="K1422">
            <v>1172110.0800000026</v>
          </cell>
          <cell r="L1422">
            <v>1172110.0800000026</v>
          </cell>
          <cell r="M1422" t="e">
            <v>#N/A</v>
          </cell>
        </row>
        <row r="1423">
          <cell r="C1423" t="e">
            <v>#N/A</v>
          </cell>
          <cell r="E1423" t="e">
            <v>#N/A</v>
          </cell>
          <cell r="F1423" t="e">
            <v>#N/A</v>
          </cell>
          <cell r="G1423" t="e">
            <v>#N/A</v>
          </cell>
          <cell r="H1423">
            <v>0</v>
          </cell>
          <cell r="I1423">
            <v>0</v>
          </cell>
          <cell r="J1423" t="str">
            <v>X</v>
          </cell>
          <cell r="K1423">
            <v>1172110.0800000026</v>
          </cell>
          <cell r="L1423">
            <v>1172110.0800000026</v>
          </cell>
          <cell r="M1423" t="e">
            <v>#N/A</v>
          </cell>
        </row>
        <row r="1424">
          <cell r="C1424" t="e">
            <v>#N/A</v>
          </cell>
          <cell r="E1424" t="e">
            <v>#N/A</v>
          </cell>
          <cell r="F1424" t="e">
            <v>#N/A</v>
          </cell>
          <cell r="G1424" t="e">
            <v>#N/A</v>
          </cell>
          <cell r="H1424">
            <v>0</v>
          </cell>
          <cell r="I1424">
            <v>0</v>
          </cell>
          <cell r="J1424" t="str">
            <v>X</v>
          </cell>
          <cell r="K1424">
            <v>1172110.0800000026</v>
          </cell>
          <cell r="L1424">
            <v>1172110.0800000026</v>
          </cell>
          <cell r="M1424" t="e">
            <v>#N/A</v>
          </cell>
        </row>
        <row r="1425">
          <cell r="C1425" t="e">
            <v>#N/A</v>
          </cell>
          <cell r="E1425" t="e">
            <v>#N/A</v>
          </cell>
          <cell r="F1425" t="e">
            <v>#N/A</v>
          </cell>
          <cell r="G1425" t="e">
            <v>#N/A</v>
          </cell>
          <cell r="H1425">
            <v>0</v>
          </cell>
          <cell r="I1425">
            <v>0</v>
          </cell>
          <cell r="J1425" t="str">
            <v>X</v>
          </cell>
          <cell r="K1425">
            <v>1172110.0800000026</v>
          </cell>
          <cell r="L1425">
            <v>1172110.0800000026</v>
          </cell>
          <cell r="M1425" t="e">
            <v>#N/A</v>
          </cell>
        </row>
        <row r="1426">
          <cell r="C1426" t="e">
            <v>#N/A</v>
          </cell>
          <cell r="E1426" t="e">
            <v>#N/A</v>
          </cell>
          <cell r="F1426" t="e">
            <v>#N/A</v>
          </cell>
          <cell r="G1426" t="e">
            <v>#N/A</v>
          </cell>
          <cell r="H1426">
            <v>0</v>
          </cell>
          <cell r="I1426">
            <v>0</v>
          </cell>
          <cell r="J1426" t="str">
            <v>X</v>
          </cell>
          <cell r="K1426">
            <v>1172110.0800000026</v>
          </cell>
          <cell r="L1426">
            <v>1172110.0800000026</v>
          </cell>
          <cell r="M1426" t="e">
            <v>#N/A</v>
          </cell>
        </row>
        <row r="1427">
          <cell r="C1427" t="e">
            <v>#N/A</v>
          </cell>
          <cell r="E1427" t="e">
            <v>#N/A</v>
          </cell>
          <cell r="F1427" t="e">
            <v>#N/A</v>
          </cell>
          <cell r="G1427" t="e">
            <v>#N/A</v>
          </cell>
          <cell r="H1427">
            <v>0</v>
          </cell>
          <cell r="I1427">
            <v>0</v>
          </cell>
          <cell r="J1427" t="str">
            <v>X</v>
          </cell>
          <cell r="K1427">
            <v>1172110.0800000026</v>
          </cell>
          <cell r="L1427">
            <v>1172110.0800000026</v>
          </cell>
          <cell r="M1427" t="e">
            <v>#N/A</v>
          </cell>
        </row>
        <row r="1428">
          <cell r="C1428" t="e">
            <v>#N/A</v>
          </cell>
          <cell r="E1428" t="e">
            <v>#N/A</v>
          </cell>
          <cell r="F1428" t="e">
            <v>#N/A</v>
          </cell>
          <cell r="G1428" t="e">
            <v>#N/A</v>
          </cell>
          <cell r="H1428">
            <v>0</v>
          </cell>
          <cell r="I1428">
            <v>0</v>
          </cell>
          <cell r="J1428" t="str">
            <v>X</v>
          </cell>
          <cell r="K1428">
            <v>1172110.0800000026</v>
          </cell>
          <cell r="L1428">
            <v>1172110.0800000026</v>
          </cell>
          <cell r="M1428" t="e">
            <v>#N/A</v>
          </cell>
        </row>
        <row r="1429">
          <cell r="C1429" t="e">
            <v>#N/A</v>
          </cell>
          <cell r="E1429" t="e">
            <v>#N/A</v>
          </cell>
          <cell r="F1429" t="e">
            <v>#N/A</v>
          </cell>
          <cell r="G1429" t="e">
            <v>#N/A</v>
          </cell>
          <cell r="H1429">
            <v>0</v>
          </cell>
          <cell r="I1429">
            <v>0</v>
          </cell>
          <cell r="J1429" t="str">
            <v>X</v>
          </cell>
          <cell r="K1429">
            <v>1172110.0800000026</v>
          </cell>
          <cell r="L1429">
            <v>1172110.0800000026</v>
          </cell>
          <cell r="M1429" t="e">
            <v>#N/A</v>
          </cell>
        </row>
        <row r="1430">
          <cell r="C1430" t="e">
            <v>#N/A</v>
          </cell>
          <cell r="E1430" t="e">
            <v>#N/A</v>
          </cell>
          <cell r="F1430" t="e">
            <v>#N/A</v>
          </cell>
          <cell r="G1430" t="e">
            <v>#N/A</v>
          </cell>
          <cell r="H1430">
            <v>0</v>
          </cell>
          <cell r="I1430">
            <v>0</v>
          </cell>
          <cell r="J1430" t="str">
            <v>X</v>
          </cell>
          <cell r="K1430">
            <v>1172110.0800000026</v>
          </cell>
          <cell r="L1430">
            <v>1172110.0800000026</v>
          </cell>
          <cell r="M1430" t="e">
            <v>#N/A</v>
          </cell>
        </row>
        <row r="1431">
          <cell r="C1431" t="e">
            <v>#N/A</v>
          </cell>
          <cell r="E1431" t="e">
            <v>#N/A</v>
          </cell>
          <cell r="F1431" t="e">
            <v>#N/A</v>
          </cell>
          <cell r="G1431" t="e">
            <v>#N/A</v>
          </cell>
          <cell r="H1431">
            <v>0</v>
          </cell>
          <cell r="I1431">
            <v>0</v>
          </cell>
          <cell r="J1431" t="str">
            <v>X</v>
          </cell>
          <cell r="K1431">
            <v>1172110.0800000026</v>
          </cell>
          <cell r="L1431">
            <v>1172110.0800000026</v>
          </cell>
          <cell r="M1431" t="e">
            <v>#N/A</v>
          </cell>
        </row>
        <row r="1432">
          <cell r="C1432" t="e">
            <v>#N/A</v>
          </cell>
          <cell r="E1432" t="e">
            <v>#N/A</v>
          </cell>
          <cell r="F1432" t="e">
            <v>#N/A</v>
          </cell>
          <cell r="G1432" t="e">
            <v>#N/A</v>
          </cell>
          <cell r="H1432">
            <v>0</v>
          </cell>
          <cell r="I1432">
            <v>0</v>
          </cell>
          <cell r="J1432" t="str">
            <v>X</v>
          </cell>
          <cell r="K1432">
            <v>1172110.0800000026</v>
          </cell>
          <cell r="L1432">
            <v>1172110.0800000026</v>
          </cell>
          <cell r="M1432" t="e">
            <v>#N/A</v>
          </cell>
        </row>
        <row r="1433">
          <cell r="C1433" t="e">
            <v>#N/A</v>
          </cell>
          <cell r="E1433" t="e">
            <v>#N/A</v>
          </cell>
          <cell r="F1433" t="e">
            <v>#N/A</v>
          </cell>
          <cell r="G1433" t="e">
            <v>#N/A</v>
          </cell>
          <cell r="H1433">
            <v>0</v>
          </cell>
          <cell r="I1433">
            <v>0</v>
          </cell>
          <cell r="J1433" t="str">
            <v>X</v>
          </cell>
          <cell r="K1433">
            <v>1172110.0800000026</v>
          </cell>
          <cell r="L1433">
            <v>1172110.0800000026</v>
          </cell>
          <cell r="M1433" t="e">
            <v>#N/A</v>
          </cell>
        </row>
        <row r="1434">
          <cell r="C1434" t="e">
            <v>#N/A</v>
          </cell>
          <cell r="E1434" t="e">
            <v>#N/A</v>
          </cell>
          <cell r="F1434" t="e">
            <v>#N/A</v>
          </cell>
          <cell r="G1434" t="e">
            <v>#N/A</v>
          </cell>
          <cell r="H1434">
            <v>0</v>
          </cell>
          <cell r="I1434">
            <v>0</v>
          </cell>
          <cell r="J1434" t="str">
            <v>X</v>
          </cell>
          <cell r="K1434">
            <v>1172110.0800000026</v>
          </cell>
          <cell r="L1434">
            <v>1172110.0800000026</v>
          </cell>
          <cell r="M1434" t="e">
            <v>#N/A</v>
          </cell>
        </row>
        <row r="1435">
          <cell r="C1435" t="e">
            <v>#N/A</v>
          </cell>
          <cell r="E1435" t="e">
            <v>#N/A</v>
          </cell>
          <cell r="F1435" t="e">
            <v>#N/A</v>
          </cell>
          <cell r="G1435" t="e">
            <v>#N/A</v>
          </cell>
          <cell r="H1435">
            <v>0</v>
          </cell>
          <cell r="I1435">
            <v>0</v>
          </cell>
          <cell r="J1435" t="str">
            <v>X</v>
          </cell>
          <cell r="K1435">
            <v>1172110.0800000026</v>
          </cell>
          <cell r="L1435">
            <v>1172110.0800000026</v>
          </cell>
          <cell r="M1435" t="e">
            <v>#N/A</v>
          </cell>
        </row>
        <row r="1436">
          <cell r="C1436" t="e">
            <v>#N/A</v>
          </cell>
          <cell r="E1436" t="e">
            <v>#N/A</v>
          </cell>
          <cell r="F1436" t="e">
            <v>#N/A</v>
          </cell>
          <cell r="G1436" t="e">
            <v>#N/A</v>
          </cell>
          <cell r="H1436">
            <v>0</v>
          </cell>
          <cell r="I1436">
            <v>0</v>
          </cell>
          <cell r="J1436" t="str">
            <v>X</v>
          </cell>
          <cell r="K1436">
            <v>1172110.0800000026</v>
          </cell>
          <cell r="L1436">
            <v>1172110.0800000026</v>
          </cell>
          <cell r="M1436" t="e">
            <v>#N/A</v>
          </cell>
        </row>
        <row r="1437">
          <cell r="C1437" t="e">
            <v>#N/A</v>
          </cell>
          <cell r="E1437" t="e">
            <v>#N/A</v>
          </cell>
          <cell r="F1437" t="e">
            <v>#N/A</v>
          </cell>
          <cell r="G1437" t="e">
            <v>#N/A</v>
          </cell>
          <cell r="H1437">
            <v>0</v>
          </cell>
          <cell r="I1437">
            <v>0</v>
          </cell>
          <cell r="J1437" t="str">
            <v>X</v>
          </cell>
          <cell r="K1437">
            <v>1172110.0800000026</v>
          </cell>
          <cell r="L1437">
            <v>1172110.0800000026</v>
          </cell>
          <cell r="M1437" t="e">
            <v>#N/A</v>
          </cell>
        </row>
        <row r="1438">
          <cell r="C1438" t="e">
            <v>#N/A</v>
          </cell>
          <cell r="E1438" t="e">
            <v>#N/A</v>
          </cell>
          <cell r="F1438" t="e">
            <v>#N/A</v>
          </cell>
          <cell r="G1438" t="e">
            <v>#N/A</v>
          </cell>
          <cell r="H1438">
            <v>0</v>
          </cell>
          <cell r="I1438">
            <v>0</v>
          </cell>
          <cell r="J1438" t="str">
            <v>X</v>
          </cell>
          <cell r="K1438">
            <v>1172110.0800000026</v>
          </cell>
          <cell r="L1438">
            <v>1172110.0800000026</v>
          </cell>
          <cell r="M1438" t="e">
            <v>#N/A</v>
          </cell>
        </row>
        <row r="1439">
          <cell r="C1439" t="e">
            <v>#N/A</v>
          </cell>
          <cell r="E1439" t="e">
            <v>#N/A</v>
          </cell>
          <cell r="F1439" t="e">
            <v>#N/A</v>
          </cell>
          <cell r="G1439" t="e">
            <v>#N/A</v>
          </cell>
          <cell r="H1439">
            <v>0</v>
          </cell>
          <cell r="I1439">
            <v>0</v>
          </cell>
          <cell r="J1439" t="str">
            <v>X</v>
          </cell>
          <cell r="K1439">
            <v>1172110.0800000026</v>
          </cell>
          <cell r="L1439">
            <v>1172110.0800000026</v>
          </cell>
          <cell r="M1439" t="e">
            <v>#N/A</v>
          </cell>
        </row>
        <row r="1440">
          <cell r="C1440" t="e">
            <v>#N/A</v>
          </cell>
          <cell r="E1440" t="e">
            <v>#N/A</v>
          </cell>
          <cell r="F1440" t="e">
            <v>#N/A</v>
          </cell>
          <cell r="G1440" t="e">
            <v>#N/A</v>
          </cell>
          <cell r="H1440">
            <v>0</v>
          </cell>
          <cell r="I1440">
            <v>0</v>
          </cell>
          <cell r="J1440" t="str">
            <v>X</v>
          </cell>
          <cell r="K1440">
            <v>1172110.0800000026</v>
          </cell>
          <cell r="L1440">
            <v>1172110.0800000026</v>
          </cell>
          <cell r="M1440" t="e">
            <v>#N/A</v>
          </cell>
        </row>
        <row r="1441">
          <cell r="C1441" t="e">
            <v>#N/A</v>
          </cell>
          <cell r="E1441" t="e">
            <v>#N/A</v>
          </cell>
          <cell r="F1441" t="e">
            <v>#N/A</v>
          </cell>
          <cell r="G1441" t="e">
            <v>#N/A</v>
          </cell>
          <cell r="H1441">
            <v>0</v>
          </cell>
          <cell r="I1441">
            <v>0</v>
          </cell>
          <cell r="J1441" t="str">
            <v>X</v>
          </cell>
          <cell r="K1441">
            <v>1172110.0800000026</v>
          </cell>
          <cell r="L1441">
            <v>1172110.0800000026</v>
          </cell>
          <cell r="M1441" t="e">
            <v>#N/A</v>
          </cell>
        </row>
        <row r="1442">
          <cell r="C1442" t="e">
            <v>#N/A</v>
          </cell>
          <cell r="E1442" t="e">
            <v>#N/A</v>
          </cell>
          <cell r="F1442" t="e">
            <v>#N/A</v>
          </cell>
          <cell r="G1442" t="e">
            <v>#N/A</v>
          </cell>
          <cell r="H1442">
            <v>0</v>
          </cell>
          <cell r="I1442">
            <v>0</v>
          </cell>
          <cell r="J1442" t="str">
            <v>X</v>
          </cell>
          <cell r="K1442">
            <v>1172110.0800000026</v>
          </cell>
          <cell r="L1442">
            <v>1172110.0800000026</v>
          </cell>
          <cell r="M1442" t="e">
            <v>#N/A</v>
          </cell>
        </row>
        <row r="1443">
          <cell r="C1443" t="e">
            <v>#N/A</v>
          </cell>
          <cell r="E1443" t="e">
            <v>#N/A</v>
          </cell>
          <cell r="F1443" t="e">
            <v>#N/A</v>
          </cell>
          <cell r="G1443" t="e">
            <v>#N/A</v>
          </cell>
          <cell r="H1443">
            <v>0</v>
          </cell>
          <cell r="I1443">
            <v>0</v>
          </cell>
          <cell r="J1443" t="str">
            <v>X</v>
          </cell>
          <cell r="K1443">
            <v>1172110.0800000026</v>
          </cell>
          <cell r="L1443">
            <v>1172110.0800000026</v>
          </cell>
          <cell r="M1443" t="e">
            <v>#N/A</v>
          </cell>
        </row>
        <row r="1444">
          <cell r="C1444" t="e">
            <v>#N/A</v>
          </cell>
          <cell r="E1444" t="e">
            <v>#N/A</v>
          </cell>
          <cell r="F1444" t="e">
            <v>#N/A</v>
          </cell>
          <cell r="G1444" t="e">
            <v>#N/A</v>
          </cell>
          <cell r="H1444">
            <v>0</v>
          </cell>
          <cell r="I1444">
            <v>0</v>
          </cell>
          <cell r="J1444" t="str">
            <v>X</v>
          </cell>
          <cell r="K1444">
            <v>1172110.0800000026</v>
          </cell>
          <cell r="L1444">
            <v>1172110.0800000026</v>
          </cell>
          <cell r="M1444" t="e">
            <v>#N/A</v>
          </cell>
        </row>
        <row r="1445">
          <cell r="C1445" t="e">
            <v>#N/A</v>
          </cell>
          <cell r="E1445" t="e">
            <v>#N/A</v>
          </cell>
          <cell r="F1445" t="e">
            <v>#N/A</v>
          </cell>
          <cell r="G1445" t="e">
            <v>#N/A</v>
          </cell>
          <cell r="H1445">
            <v>0</v>
          </cell>
          <cell r="I1445">
            <v>0</v>
          </cell>
          <cell r="J1445" t="str">
            <v>X</v>
          </cell>
          <cell r="K1445">
            <v>1172110.0800000026</v>
          </cell>
          <cell r="L1445">
            <v>1172110.0800000026</v>
          </cell>
          <cell r="M1445" t="e">
            <v>#N/A</v>
          </cell>
        </row>
        <row r="1446">
          <cell r="C1446" t="e">
            <v>#N/A</v>
          </cell>
          <cell r="E1446" t="e">
            <v>#N/A</v>
          </cell>
          <cell r="F1446" t="e">
            <v>#N/A</v>
          </cell>
          <cell r="G1446" t="e">
            <v>#N/A</v>
          </cell>
          <cell r="H1446">
            <v>0</v>
          </cell>
          <cell r="I1446">
            <v>0</v>
          </cell>
          <cell r="J1446" t="str">
            <v>X</v>
          </cell>
          <cell r="K1446">
            <v>1172110.0800000026</v>
          </cell>
          <cell r="L1446">
            <v>1172110.0800000026</v>
          </cell>
          <cell r="M1446" t="e">
            <v>#N/A</v>
          </cell>
        </row>
        <row r="1447">
          <cell r="C1447" t="e">
            <v>#N/A</v>
          </cell>
          <cell r="E1447" t="e">
            <v>#N/A</v>
          </cell>
          <cell r="F1447" t="e">
            <v>#N/A</v>
          </cell>
          <cell r="G1447" t="e">
            <v>#N/A</v>
          </cell>
          <cell r="H1447">
            <v>0</v>
          </cell>
          <cell r="I1447">
            <v>0</v>
          </cell>
          <cell r="J1447" t="str">
            <v>X</v>
          </cell>
          <cell r="K1447">
            <v>1172110.0800000026</v>
          </cell>
          <cell r="L1447">
            <v>1172110.0800000026</v>
          </cell>
          <cell r="M1447" t="e">
            <v>#N/A</v>
          </cell>
        </row>
        <row r="1448">
          <cell r="C1448" t="e">
            <v>#N/A</v>
          </cell>
          <cell r="E1448" t="e">
            <v>#N/A</v>
          </cell>
          <cell r="F1448" t="e">
            <v>#N/A</v>
          </cell>
          <cell r="G1448" t="e">
            <v>#N/A</v>
          </cell>
          <cell r="H1448">
            <v>0</v>
          </cell>
          <cell r="I1448">
            <v>0</v>
          </cell>
          <cell r="J1448" t="str">
            <v>X</v>
          </cell>
          <cell r="K1448">
            <v>1172110.0800000026</v>
          </cell>
          <cell r="L1448">
            <v>1172110.0800000026</v>
          </cell>
          <cell r="M1448" t="e">
            <v>#N/A</v>
          </cell>
        </row>
        <row r="1449">
          <cell r="C1449" t="e">
            <v>#N/A</v>
          </cell>
          <cell r="E1449" t="e">
            <v>#N/A</v>
          </cell>
          <cell r="F1449" t="e">
            <v>#N/A</v>
          </cell>
          <cell r="G1449" t="e">
            <v>#N/A</v>
          </cell>
          <cell r="H1449">
            <v>0</v>
          </cell>
          <cell r="I1449">
            <v>0</v>
          </cell>
          <cell r="J1449" t="str">
            <v>X</v>
          </cell>
          <cell r="K1449">
            <v>1172110.0800000026</v>
          </cell>
          <cell r="L1449">
            <v>1172110.0800000026</v>
          </cell>
          <cell r="M1449" t="e">
            <v>#N/A</v>
          </cell>
        </row>
        <row r="1450">
          <cell r="C1450" t="e">
            <v>#N/A</v>
          </cell>
          <cell r="E1450" t="e">
            <v>#N/A</v>
          </cell>
          <cell r="F1450" t="e">
            <v>#N/A</v>
          </cell>
          <cell r="G1450" t="e">
            <v>#N/A</v>
          </cell>
          <cell r="H1450">
            <v>0</v>
          </cell>
          <cell r="I1450">
            <v>0</v>
          </cell>
          <cell r="J1450" t="str">
            <v>X</v>
          </cell>
          <cell r="K1450">
            <v>1172110.0800000026</v>
          </cell>
          <cell r="L1450">
            <v>1172110.0800000026</v>
          </cell>
          <cell r="M1450" t="e">
            <v>#N/A</v>
          </cell>
        </row>
        <row r="1451">
          <cell r="C1451" t="e">
            <v>#N/A</v>
          </cell>
          <cell r="E1451" t="e">
            <v>#N/A</v>
          </cell>
          <cell r="F1451" t="e">
            <v>#N/A</v>
          </cell>
          <cell r="G1451" t="e">
            <v>#N/A</v>
          </cell>
          <cell r="H1451">
            <v>0</v>
          </cell>
          <cell r="I1451">
            <v>0</v>
          </cell>
          <cell r="J1451" t="str">
            <v>X</v>
          </cell>
          <cell r="K1451">
            <v>1172110.0800000026</v>
          </cell>
          <cell r="L1451">
            <v>1172110.0800000026</v>
          </cell>
          <cell r="M1451" t="e">
            <v>#N/A</v>
          </cell>
        </row>
        <row r="1452">
          <cell r="C1452" t="e">
            <v>#N/A</v>
          </cell>
          <cell r="E1452" t="e">
            <v>#N/A</v>
          </cell>
          <cell r="F1452" t="e">
            <v>#N/A</v>
          </cell>
          <cell r="G1452" t="e">
            <v>#N/A</v>
          </cell>
          <cell r="H1452">
            <v>0</v>
          </cell>
          <cell r="I1452">
            <v>0</v>
          </cell>
          <cell r="J1452" t="str">
            <v>X</v>
          </cell>
          <cell r="K1452">
            <v>1172110.0800000026</v>
          </cell>
          <cell r="L1452">
            <v>1172110.0800000026</v>
          </cell>
          <cell r="M1452" t="e">
            <v>#N/A</v>
          </cell>
        </row>
        <row r="1453">
          <cell r="C1453" t="e">
            <v>#N/A</v>
          </cell>
          <cell r="E1453" t="e">
            <v>#N/A</v>
          </cell>
          <cell r="F1453" t="e">
            <v>#N/A</v>
          </cell>
          <cell r="G1453" t="e">
            <v>#N/A</v>
          </cell>
          <cell r="H1453">
            <v>0</v>
          </cell>
          <cell r="I1453">
            <v>0</v>
          </cell>
          <cell r="J1453" t="str">
            <v>X</v>
          </cell>
          <cell r="K1453">
            <v>1172110.0800000026</v>
          </cell>
          <cell r="L1453">
            <v>1172110.0800000026</v>
          </cell>
          <cell r="M1453" t="e">
            <v>#N/A</v>
          </cell>
        </row>
        <row r="1454">
          <cell r="C1454" t="e">
            <v>#N/A</v>
          </cell>
          <cell r="E1454" t="e">
            <v>#N/A</v>
          </cell>
          <cell r="F1454" t="e">
            <v>#N/A</v>
          </cell>
          <cell r="G1454" t="e">
            <v>#N/A</v>
          </cell>
          <cell r="H1454">
            <v>0</v>
          </cell>
          <cell r="I1454">
            <v>0</v>
          </cell>
          <cell r="J1454" t="str">
            <v>X</v>
          </cell>
          <cell r="K1454">
            <v>1172110.0800000026</v>
          </cell>
          <cell r="L1454">
            <v>1172110.0800000026</v>
          </cell>
          <cell r="M1454" t="e">
            <v>#N/A</v>
          </cell>
        </row>
        <row r="1455">
          <cell r="C1455" t="e">
            <v>#N/A</v>
          </cell>
          <cell r="E1455" t="e">
            <v>#N/A</v>
          </cell>
          <cell r="F1455" t="e">
            <v>#N/A</v>
          </cell>
          <cell r="G1455" t="e">
            <v>#N/A</v>
          </cell>
          <cell r="H1455">
            <v>0</v>
          </cell>
          <cell r="I1455">
            <v>0</v>
          </cell>
          <cell r="J1455" t="str">
            <v>X</v>
          </cell>
          <cell r="K1455">
            <v>1172110.0800000026</v>
          </cell>
          <cell r="L1455">
            <v>1172110.0800000026</v>
          </cell>
          <cell r="M1455" t="e">
            <v>#N/A</v>
          </cell>
        </row>
        <row r="1456">
          <cell r="C1456" t="e">
            <v>#N/A</v>
          </cell>
          <cell r="E1456" t="e">
            <v>#N/A</v>
          </cell>
          <cell r="F1456" t="e">
            <v>#N/A</v>
          </cell>
          <cell r="G1456" t="e">
            <v>#N/A</v>
          </cell>
          <cell r="H1456">
            <v>0</v>
          </cell>
          <cell r="I1456">
            <v>0</v>
          </cell>
          <cell r="J1456" t="str">
            <v>X</v>
          </cell>
          <cell r="K1456">
            <v>1172110.0800000026</v>
          </cell>
          <cell r="L1456">
            <v>1172110.0800000026</v>
          </cell>
          <cell r="M1456" t="e">
            <v>#N/A</v>
          </cell>
        </row>
        <row r="1457">
          <cell r="C1457" t="e">
            <v>#N/A</v>
          </cell>
          <cell r="E1457" t="e">
            <v>#N/A</v>
          </cell>
          <cell r="F1457" t="e">
            <v>#N/A</v>
          </cell>
          <cell r="G1457" t="e">
            <v>#N/A</v>
          </cell>
          <cell r="H1457">
            <v>0</v>
          </cell>
          <cell r="I1457">
            <v>0</v>
          </cell>
          <cell r="J1457" t="str">
            <v>X</v>
          </cell>
          <cell r="K1457">
            <v>1172110.0800000026</v>
          </cell>
          <cell r="L1457">
            <v>1172110.0800000026</v>
          </cell>
          <cell r="M1457" t="e">
            <v>#N/A</v>
          </cell>
        </row>
        <row r="1458">
          <cell r="C1458" t="e">
            <v>#N/A</v>
          </cell>
          <cell r="E1458" t="e">
            <v>#N/A</v>
          </cell>
          <cell r="F1458" t="e">
            <v>#N/A</v>
          </cell>
          <cell r="G1458" t="e">
            <v>#N/A</v>
          </cell>
          <cell r="H1458">
            <v>0</v>
          </cell>
          <cell r="I1458">
            <v>0</v>
          </cell>
          <cell r="J1458" t="str">
            <v>X</v>
          </cell>
          <cell r="K1458">
            <v>1172110.0800000026</v>
          </cell>
          <cell r="L1458">
            <v>1172110.0800000026</v>
          </cell>
          <cell r="M1458" t="e">
            <v>#N/A</v>
          </cell>
        </row>
        <row r="1459">
          <cell r="C1459" t="e">
            <v>#N/A</v>
          </cell>
          <cell r="E1459" t="e">
            <v>#N/A</v>
          </cell>
          <cell r="F1459" t="e">
            <v>#N/A</v>
          </cell>
          <cell r="G1459" t="e">
            <v>#N/A</v>
          </cell>
          <cell r="H1459">
            <v>0</v>
          </cell>
          <cell r="I1459">
            <v>0</v>
          </cell>
          <cell r="J1459" t="str">
            <v>X</v>
          </cell>
          <cell r="K1459">
            <v>1172110.0800000026</v>
          </cell>
          <cell r="L1459">
            <v>1172110.0800000026</v>
          </cell>
          <cell r="M1459" t="e">
            <v>#N/A</v>
          </cell>
        </row>
        <row r="1460">
          <cell r="C1460" t="e">
            <v>#N/A</v>
          </cell>
          <cell r="E1460" t="e">
            <v>#N/A</v>
          </cell>
          <cell r="F1460" t="e">
            <v>#N/A</v>
          </cell>
          <cell r="G1460" t="e">
            <v>#N/A</v>
          </cell>
          <cell r="H1460">
            <v>0</v>
          </cell>
          <cell r="I1460">
            <v>0</v>
          </cell>
          <cell r="J1460" t="str">
            <v>X</v>
          </cell>
          <cell r="K1460">
            <v>1172110.0800000026</v>
          </cell>
          <cell r="L1460">
            <v>1172110.0800000026</v>
          </cell>
          <cell r="M1460" t="e">
            <v>#N/A</v>
          </cell>
        </row>
        <row r="1461">
          <cell r="C1461" t="e">
            <v>#N/A</v>
          </cell>
          <cell r="E1461" t="e">
            <v>#N/A</v>
          </cell>
          <cell r="F1461" t="e">
            <v>#N/A</v>
          </cell>
          <cell r="G1461" t="e">
            <v>#N/A</v>
          </cell>
          <cell r="H1461">
            <v>0</v>
          </cell>
          <cell r="I1461">
            <v>0</v>
          </cell>
          <cell r="J1461" t="str">
            <v>X</v>
          </cell>
          <cell r="K1461">
            <v>1172110.0800000026</v>
          </cell>
          <cell r="L1461">
            <v>1172110.0800000026</v>
          </cell>
          <cell r="M1461" t="e">
            <v>#N/A</v>
          </cell>
        </row>
        <row r="1462">
          <cell r="C1462" t="e">
            <v>#N/A</v>
          </cell>
          <cell r="E1462" t="e">
            <v>#N/A</v>
          </cell>
          <cell r="F1462" t="e">
            <v>#N/A</v>
          </cell>
          <cell r="G1462" t="e">
            <v>#N/A</v>
          </cell>
          <cell r="H1462">
            <v>0</v>
          </cell>
          <cell r="I1462">
            <v>0</v>
          </cell>
          <cell r="J1462" t="str">
            <v>X</v>
          </cell>
          <cell r="K1462">
            <v>1172110.0800000026</v>
          </cell>
          <cell r="L1462">
            <v>1172110.0800000026</v>
          </cell>
          <cell r="M1462" t="e">
            <v>#N/A</v>
          </cell>
        </row>
        <row r="1463">
          <cell r="C1463" t="e">
            <v>#N/A</v>
          </cell>
          <cell r="E1463" t="e">
            <v>#N/A</v>
          </cell>
          <cell r="F1463" t="e">
            <v>#N/A</v>
          </cell>
          <cell r="G1463" t="e">
            <v>#N/A</v>
          </cell>
          <cell r="H1463">
            <v>0</v>
          </cell>
          <cell r="I1463">
            <v>0</v>
          </cell>
          <cell r="J1463" t="str">
            <v>X</v>
          </cell>
          <cell r="K1463">
            <v>1172110.0800000026</v>
          </cell>
          <cell r="L1463">
            <v>1172110.0800000026</v>
          </cell>
          <cell r="M1463" t="e">
            <v>#N/A</v>
          </cell>
        </row>
        <row r="1464">
          <cell r="C1464" t="e">
            <v>#N/A</v>
          </cell>
          <cell r="E1464" t="e">
            <v>#N/A</v>
          </cell>
          <cell r="F1464" t="e">
            <v>#N/A</v>
          </cell>
          <cell r="G1464" t="e">
            <v>#N/A</v>
          </cell>
          <cell r="H1464">
            <v>0</v>
          </cell>
          <cell r="I1464">
            <v>0</v>
          </cell>
          <cell r="J1464" t="str">
            <v>X</v>
          </cell>
          <cell r="K1464">
            <v>1172110.0800000026</v>
          </cell>
          <cell r="L1464">
            <v>1172110.0800000026</v>
          </cell>
          <cell r="M1464" t="e">
            <v>#N/A</v>
          </cell>
        </row>
        <row r="1465">
          <cell r="C1465" t="e">
            <v>#N/A</v>
          </cell>
          <cell r="E1465" t="e">
            <v>#N/A</v>
          </cell>
          <cell r="F1465" t="e">
            <v>#N/A</v>
          </cell>
          <cell r="G1465" t="e">
            <v>#N/A</v>
          </cell>
          <cell r="H1465">
            <v>0</v>
          </cell>
          <cell r="I1465">
            <v>0</v>
          </cell>
          <cell r="J1465" t="str">
            <v>X</v>
          </cell>
          <cell r="K1465">
            <v>1172110.0800000026</v>
          </cell>
          <cell r="L1465">
            <v>1172110.0800000026</v>
          </cell>
          <cell r="M1465" t="e">
            <v>#N/A</v>
          </cell>
        </row>
        <row r="1466">
          <cell r="C1466" t="e">
            <v>#N/A</v>
          </cell>
          <cell r="E1466" t="e">
            <v>#N/A</v>
          </cell>
          <cell r="F1466" t="e">
            <v>#N/A</v>
          </cell>
          <cell r="G1466" t="e">
            <v>#N/A</v>
          </cell>
          <cell r="H1466">
            <v>0</v>
          </cell>
          <cell r="I1466">
            <v>0</v>
          </cell>
          <cell r="J1466" t="str">
            <v>X</v>
          </cell>
          <cell r="K1466">
            <v>1172110.0800000026</v>
          </cell>
          <cell r="L1466">
            <v>1172110.0800000026</v>
          </cell>
          <cell r="M1466" t="e">
            <v>#N/A</v>
          </cell>
        </row>
        <row r="1467">
          <cell r="C1467" t="e">
            <v>#N/A</v>
          </cell>
          <cell r="E1467" t="e">
            <v>#N/A</v>
          </cell>
          <cell r="F1467" t="e">
            <v>#N/A</v>
          </cell>
          <cell r="G1467" t="e">
            <v>#N/A</v>
          </cell>
          <cell r="H1467">
            <v>0</v>
          </cell>
          <cell r="I1467">
            <v>0</v>
          </cell>
          <cell r="J1467" t="str">
            <v>X</v>
          </cell>
          <cell r="K1467">
            <v>1172110.0800000026</v>
          </cell>
          <cell r="L1467">
            <v>1172110.0800000026</v>
          </cell>
          <cell r="M1467" t="e">
            <v>#N/A</v>
          </cell>
        </row>
        <row r="1468">
          <cell r="C1468" t="e">
            <v>#N/A</v>
          </cell>
          <cell r="E1468" t="e">
            <v>#N/A</v>
          </cell>
          <cell r="F1468" t="e">
            <v>#N/A</v>
          </cell>
          <cell r="G1468" t="e">
            <v>#N/A</v>
          </cell>
          <cell r="H1468">
            <v>0</v>
          </cell>
          <cell r="I1468">
            <v>0</v>
          </cell>
          <cell r="J1468" t="str">
            <v>X</v>
          </cell>
          <cell r="K1468">
            <v>1172110.0800000026</v>
          </cell>
          <cell r="L1468">
            <v>1172110.0800000026</v>
          </cell>
          <cell r="M1468" t="e">
            <v>#N/A</v>
          </cell>
        </row>
        <row r="1469">
          <cell r="C1469" t="e">
            <v>#N/A</v>
          </cell>
          <cell r="E1469" t="e">
            <v>#N/A</v>
          </cell>
          <cell r="F1469" t="e">
            <v>#N/A</v>
          </cell>
          <cell r="G1469" t="e">
            <v>#N/A</v>
          </cell>
          <cell r="H1469">
            <v>0</v>
          </cell>
          <cell r="I1469">
            <v>0</v>
          </cell>
          <cell r="J1469" t="str">
            <v>X</v>
          </cell>
          <cell r="K1469">
            <v>1172110.0800000026</v>
          </cell>
          <cell r="L1469">
            <v>1172110.0800000026</v>
          </cell>
          <cell r="M1469" t="e">
            <v>#N/A</v>
          </cell>
        </row>
        <row r="1470">
          <cell r="C1470" t="e">
            <v>#N/A</v>
          </cell>
          <cell r="E1470" t="e">
            <v>#N/A</v>
          </cell>
          <cell r="F1470" t="e">
            <v>#N/A</v>
          </cell>
          <cell r="G1470" t="e">
            <v>#N/A</v>
          </cell>
          <cell r="H1470">
            <v>0</v>
          </cell>
          <cell r="I1470">
            <v>0</v>
          </cell>
          <cell r="J1470" t="str">
            <v>X</v>
          </cell>
          <cell r="K1470">
            <v>1172110.0800000026</v>
          </cell>
          <cell r="L1470">
            <v>1172110.0800000026</v>
          </cell>
          <cell r="M1470" t="e">
            <v>#N/A</v>
          </cell>
        </row>
        <row r="1471">
          <cell r="C1471" t="e">
            <v>#N/A</v>
          </cell>
          <cell r="E1471" t="e">
            <v>#N/A</v>
          </cell>
          <cell r="F1471" t="e">
            <v>#N/A</v>
          </cell>
          <cell r="G1471" t="e">
            <v>#N/A</v>
          </cell>
          <cell r="H1471">
            <v>0</v>
          </cell>
          <cell r="I1471">
            <v>0</v>
          </cell>
          <cell r="J1471" t="str">
            <v>X</v>
          </cell>
          <cell r="K1471">
            <v>1172110.0800000026</v>
          </cell>
          <cell r="L1471">
            <v>1172110.0800000026</v>
          </cell>
          <cell r="M1471" t="e">
            <v>#N/A</v>
          </cell>
        </row>
        <row r="1472">
          <cell r="C1472" t="e">
            <v>#N/A</v>
          </cell>
          <cell r="E1472" t="e">
            <v>#N/A</v>
          </cell>
          <cell r="F1472" t="e">
            <v>#N/A</v>
          </cell>
          <cell r="G1472" t="e">
            <v>#N/A</v>
          </cell>
          <cell r="H1472">
            <v>0</v>
          </cell>
          <cell r="I1472">
            <v>0</v>
          </cell>
          <cell r="J1472" t="str">
            <v>X</v>
          </cell>
          <cell r="K1472">
            <v>1172110.0800000026</v>
          </cell>
          <cell r="L1472">
            <v>1172110.0800000026</v>
          </cell>
          <cell r="M1472" t="e">
            <v>#N/A</v>
          </cell>
        </row>
        <row r="1473">
          <cell r="C1473" t="e">
            <v>#N/A</v>
          </cell>
          <cell r="E1473" t="e">
            <v>#N/A</v>
          </cell>
          <cell r="F1473" t="e">
            <v>#N/A</v>
          </cell>
          <cell r="G1473" t="e">
            <v>#N/A</v>
          </cell>
          <cell r="H1473">
            <v>0</v>
          </cell>
          <cell r="I1473">
            <v>0</v>
          </cell>
          <cell r="J1473" t="str">
            <v>X</v>
          </cell>
          <cell r="K1473">
            <v>1172110.0800000026</v>
          </cell>
          <cell r="L1473">
            <v>1172110.0800000026</v>
          </cell>
          <cell r="M1473" t="e">
            <v>#N/A</v>
          </cell>
        </row>
        <row r="1474">
          <cell r="C1474" t="e">
            <v>#N/A</v>
          </cell>
          <cell r="E1474" t="e">
            <v>#N/A</v>
          </cell>
          <cell r="F1474" t="e">
            <v>#N/A</v>
          </cell>
          <cell r="G1474" t="e">
            <v>#N/A</v>
          </cell>
          <cell r="H1474">
            <v>0</v>
          </cell>
          <cell r="I1474">
            <v>0</v>
          </cell>
          <cell r="J1474" t="str">
            <v>X</v>
          </cell>
          <cell r="K1474">
            <v>1172110.0800000026</v>
          </cell>
          <cell r="L1474">
            <v>1172110.0800000026</v>
          </cell>
          <cell r="M1474" t="e">
            <v>#N/A</v>
          </cell>
        </row>
        <row r="1475">
          <cell r="C1475" t="e">
            <v>#N/A</v>
          </cell>
          <cell r="E1475" t="e">
            <v>#N/A</v>
          </cell>
          <cell r="F1475" t="e">
            <v>#N/A</v>
          </cell>
          <cell r="G1475" t="e">
            <v>#N/A</v>
          </cell>
          <cell r="H1475">
            <v>0</v>
          </cell>
          <cell r="I1475">
            <v>0</v>
          </cell>
          <cell r="J1475" t="str">
            <v>X</v>
          </cell>
          <cell r="K1475">
            <v>1172110.0800000026</v>
          </cell>
          <cell r="L1475">
            <v>1172110.0800000026</v>
          </cell>
          <cell r="M1475" t="e">
            <v>#N/A</v>
          </cell>
        </row>
        <row r="1476">
          <cell r="C1476" t="e">
            <v>#N/A</v>
          </cell>
          <cell r="E1476" t="e">
            <v>#N/A</v>
          </cell>
          <cell r="F1476" t="e">
            <v>#N/A</v>
          </cell>
          <cell r="G1476" t="e">
            <v>#N/A</v>
          </cell>
          <cell r="H1476">
            <v>0</v>
          </cell>
          <cell r="I1476">
            <v>0</v>
          </cell>
          <cell r="J1476" t="str">
            <v>X</v>
          </cell>
          <cell r="K1476">
            <v>1172110.0800000026</v>
          </cell>
          <cell r="L1476">
            <v>1172110.0800000026</v>
          </cell>
          <cell r="M1476" t="e">
            <v>#N/A</v>
          </cell>
        </row>
        <row r="1477">
          <cell r="C1477" t="e">
            <v>#N/A</v>
          </cell>
          <cell r="E1477" t="e">
            <v>#N/A</v>
          </cell>
          <cell r="F1477" t="e">
            <v>#N/A</v>
          </cell>
          <cell r="G1477" t="e">
            <v>#N/A</v>
          </cell>
          <cell r="H1477">
            <v>0</v>
          </cell>
          <cell r="I1477">
            <v>0</v>
          </cell>
          <cell r="J1477" t="str">
            <v>X</v>
          </cell>
          <cell r="K1477">
            <v>1172110.0800000026</v>
          </cell>
          <cell r="L1477">
            <v>1172110.0800000026</v>
          </cell>
          <cell r="M1477" t="e">
            <v>#N/A</v>
          </cell>
        </row>
        <row r="1478">
          <cell r="C1478" t="e">
            <v>#N/A</v>
          </cell>
          <cell r="E1478" t="e">
            <v>#N/A</v>
          </cell>
          <cell r="F1478" t="e">
            <v>#N/A</v>
          </cell>
          <cell r="G1478" t="e">
            <v>#N/A</v>
          </cell>
          <cell r="H1478">
            <v>0</v>
          </cell>
          <cell r="I1478">
            <v>0</v>
          </cell>
          <cell r="J1478" t="str">
            <v>X</v>
          </cell>
          <cell r="K1478">
            <v>1172110.0800000026</v>
          </cell>
          <cell r="L1478">
            <v>1172110.0800000026</v>
          </cell>
          <cell r="M1478" t="e">
            <v>#N/A</v>
          </cell>
        </row>
        <row r="1479">
          <cell r="C1479" t="e">
            <v>#N/A</v>
          </cell>
          <cell r="E1479" t="e">
            <v>#N/A</v>
          </cell>
          <cell r="F1479" t="e">
            <v>#N/A</v>
          </cell>
          <cell r="G1479" t="e">
            <v>#N/A</v>
          </cell>
          <cell r="H1479">
            <v>0</v>
          </cell>
          <cell r="I1479">
            <v>0</v>
          </cell>
          <cell r="J1479" t="str">
            <v>X</v>
          </cell>
          <cell r="K1479">
            <v>1172110.0800000026</v>
          </cell>
          <cell r="L1479">
            <v>1172110.0800000026</v>
          </cell>
          <cell r="M1479" t="e">
            <v>#N/A</v>
          </cell>
        </row>
        <row r="1480">
          <cell r="C1480" t="e">
            <v>#N/A</v>
          </cell>
          <cell r="E1480" t="e">
            <v>#N/A</v>
          </cell>
          <cell r="F1480" t="e">
            <v>#N/A</v>
          </cell>
          <cell r="G1480" t="e">
            <v>#N/A</v>
          </cell>
          <cell r="H1480">
            <v>0</v>
          </cell>
          <cell r="I1480">
            <v>0</v>
          </cell>
          <cell r="J1480" t="str">
            <v>X</v>
          </cell>
          <cell r="K1480">
            <v>1172110.0800000026</v>
          </cell>
          <cell r="L1480">
            <v>1172110.0800000026</v>
          </cell>
          <cell r="M1480" t="e">
            <v>#N/A</v>
          </cell>
        </row>
        <row r="1481">
          <cell r="C1481" t="e">
            <v>#N/A</v>
          </cell>
          <cell r="E1481" t="e">
            <v>#N/A</v>
          </cell>
          <cell r="F1481" t="e">
            <v>#N/A</v>
          </cell>
          <cell r="G1481" t="e">
            <v>#N/A</v>
          </cell>
          <cell r="H1481">
            <v>0</v>
          </cell>
          <cell r="I1481">
            <v>0</v>
          </cell>
          <cell r="J1481" t="str">
            <v>X</v>
          </cell>
          <cell r="K1481">
            <v>1172110.0800000026</v>
          </cell>
          <cell r="L1481">
            <v>1172110.0800000026</v>
          </cell>
          <cell r="M1481" t="e">
            <v>#N/A</v>
          </cell>
        </row>
        <row r="1482">
          <cell r="C1482" t="e">
            <v>#N/A</v>
          </cell>
          <cell r="E1482" t="e">
            <v>#N/A</v>
          </cell>
          <cell r="F1482" t="e">
            <v>#N/A</v>
          </cell>
          <cell r="G1482" t="e">
            <v>#N/A</v>
          </cell>
          <cell r="H1482">
            <v>0</v>
          </cell>
          <cell r="I1482">
            <v>0</v>
          </cell>
          <cell r="J1482" t="str">
            <v>X</v>
          </cell>
          <cell r="K1482">
            <v>1172110.0800000026</v>
          </cell>
          <cell r="L1482">
            <v>1172110.0800000026</v>
          </cell>
          <cell r="M1482" t="e">
            <v>#N/A</v>
          </cell>
        </row>
        <row r="1483">
          <cell r="C1483" t="e">
            <v>#N/A</v>
          </cell>
          <cell r="E1483" t="e">
            <v>#N/A</v>
          </cell>
          <cell r="F1483" t="e">
            <v>#N/A</v>
          </cell>
          <cell r="G1483" t="e">
            <v>#N/A</v>
          </cell>
          <cell r="H1483">
            <v>0</v>
          </cell>
          <cell r="I1483">
            <v>0</v>
          </cell>
          <cell r="J1483" t="str">
            <v>X</v>
          </cell>
          <cell r="K1483">
            <v>1172110.0800000026</v>
          </cell>
          <cell r="L1483">
            <v>1172110.0800000026</v>
          </cell>
          <cell r="M1483" t="e">
            <v>#N/A</v>
          </cell>
        </row>
        <row r="1484">
          <cell r="C1484" t="e">
            <v>#N/A</v>
          </cell>
          <cell r="E1484" t="e">
            <v>#N/A</v>
          </cell>
          <cell r="F1484" t="e">
            <v>#N/A</v>
          </cell>
          <cell r="G1484" t="e">
            <v>#N/A</v>
          </cell>
          <cell r="H1484">
            <v>0</v>
          </cell>
          <cell r="I1484">
            <v>0</v>
          </cell>
          <cell r="J1484" t="str">
            <v>X</v>
          </cell>
          <cell r="K1484">
            <v>1172110.0800000026</v>
          </cell>
          <cell r="L1484">
            <v>1172110.0800000026</v>
          </cell>
          <cell r="M1484" t="e">
            <v>#N/A</v>
          </cell>
        </row>
        <row r="1485">
          <cell r="C1485" t="e">
            <v>#N/A</v>
          </cell>
          <cell r="E1485" t="e">
            <v>#N/A</v>
          </cell>
          <cell r="F1485" t="e">
            <v>#N/A</v>
          </cell>
          <cell r="G1485" t="e">
            <v>#N/A</v>
          </cell>
          <cell r="H1485">
            <v>0</v>
          </cell>
          <cell r="I1485">
            <v>0</v>
          </cell>
          <cell r="J1485" t="str">
            <v>X</v>
          </cell>
          <cell r="K1485">
            <v>1172110.0800000026</v>
          </cell>
          <cell r="L1485">
            <v>1172110.0800000026</v>
          </cell>
          <cell r="M1485" t="e">
            <v>#N/A</v>
          </cell>
        </row>
        <row r="1486">
          <cell r="C1486" t="e">
            <v>#N/A</v>
          </cell>
          <cell r="E1486" t="e">
            <v>#N/A</v>
          </cell>
          <cell r="F1486" t="e">
            <v>#N/A</v>
          </cell>
          <cell r="G1486" t="e">
            <v>#N/A</v>
          </cell>
          <cell r="H1486">
            <v>0</v>
          </cell>
          <cell r="I1486">
            <v>0</v>
          </cell>
          <cell r="J1486" t="str">
            <v>X</v>
          </cell>
          <cell r="K1486">
            <v>1172110.0800000026</v>
          </cell>
          <cell r="L1486">
            <v>1172110.0800000026</v>
          </cell>
          <cell r="M1486" t="e">
            <v>#N/A</v>
          </cell>
        </row>
        <row r="1487">
          <cell r="C1487" t="e">
            <v>#N/A</v>
          </cell>
          <cell r="E1487" t="e">
            <v>#N/A</v>
          </cell>
          <cell r="F1487" t="e">
            <v>#N/A</v>
          </cell>
          <cell r="G1487" t="e">
            <v>#N/A</v>
          </cell>
          <cell r="H1487">
            <v>0</v>
          </cell>
          <cell r="I1487">
            <v>0</v>
          </cell>
          <cell r="J1487" t="str">
            <v>X</v>
          </cell>
          <cell r="K1487">
            <v>1172110.0800000026</v>
          </cell>
          <cell r="L1487">
            <v>1172110.0800000026</v>
          </cell>
          <cell r="M1487" t="e">
            <v>#N/A</v>
          </cell>
        </row>
        <row r="1488">
          <cell r="C1488" t="e">
            <v>#N/A</v>
          </cell>
          <cell r="E1488" t="e">
            <v>#N/A</v>
          </cell>
          <cell r="F1488" t="e">
            <v>#N/A</v>
          </cell>
          <cell r="G1488" t="e">
            <v>#N/A</v>
          </cell>
          <cell r="H1488">
            <v>0</v>
          </cell>
          <cell r="I1488">
            <v>0</v>
          </cell>
          <cell r="J1488" t="str">
            <v>X</v>
          </cell>
          <cell r="K1488">
            <v>1172110.0800000026</v>
          </cell>
          <cell r="L1488">
            <v>1172110.0800000026</v>
          </cell>
          <cell r="M1488" t="e">
            <v>#N/A</v>
          </cell>
        </row>
        <row r="1489">
          <cell r="C1489" t="e">
            <v>#N/A</v>
          </cell>
          <cell r="E1489" t="e">
            <v>#N/A</v>
          </cell>
          <cell r="F1489" t="e">
            <v>#N/A</v>
          </cell>
          <cell r="G1489" t="e">
            <v>#N/A</v>
          </cell>
          <cell r="H1489">
            <v>0</v>
          </cell>
          <cell r="I1489">
            <v>0</v>
          </cell>
          <cell r="J1489" t="str">
            <v>X</v>
          </cell>
          <cell r="K1489">
            <v>1172110.0800000026</v>
          </cell>
          <cell r="L1489">
            <v>1172110.0800000026</v>
          </cell>
          <cell r="M1489" t="e">
            <v>#N/A</v>
          </cell>
        </row>
        <row r="1490">
          <cell r="C1490" t="e">
            <v>#N/A</v>
          </cell>
          <cell r="E1490" t="e">
            <v>#N/A</v>
          </cell>
          <cell r="F1490" t="e">
            <v>#N/A</v>
          </cell>
          <cell r="G1490" t="e">
            <v>#N/A</v>
          </cell>
          <cell r="H1490">
            <v>0</v>
          </cell>
          <cell r="I1490">
            <v>0</v>
          </cell>
          <cell r="J1490" t="str">
            <v>X</v>
          </cell>
          <cell r="K1490">
            <v>1172110.0800000026</v>
          </cell>
          <cell r="L1490">
            <v>1172110.0800000026</v>
          </cell>
          <cell r="M1490" t="e">
            <v>#N/A</v>
          </cell>
        </row>
        <row r="1491">
          <cell r="C1491" t="e">
            <v>#N/A</v>
          </cell>
          <cell r="E1491" t="e">
            <v>#N/A</v>
          </cell>
          <cell r="F1491" t="e">
            <v>#N/A</v>
          </cell>
          <cell r="G1491" t="e">
            <v>#N/A</v>
          </cell>
          <cell r="H1491">
            <v>0</v>
          </cell>
          <cell r="I1491">
            <v>0</v>
          </cell>
          <cell r="J1491" t="str">
            <v>X</v>
          </cell>
          <cell r="K1491">
            <v>1172110.0800000026</v>
          </cell>
          <cell r="L1491">
            <v>1172110.0800000026</v>
          </cell>
          <cell r="M1491" t="e">
            <v>#N/A</v>
          </cell>
        </row>
        <row r="1492">
          <cell r="C1492" t="e">
            <v>#N/A</v>
          </cell>
          <cell r="E1492" t="e">
            <v>#N/A</v>
          </cell>
          <cell r="F1492" t="e">
            <v>#N/A</v>
          </cell>
          <cell r="G1492" t="e">
            <v>#N/A</v>
          </cell>
          <cell r="H1492">
            <v>0</v>
          </cell>
          <cell r="I1492">
            <v>0</v>
          </cell>
          <cell r="J1492" t="str">
            <v>X</v>
          </cell>
          <cell r="K1492">
            <v>1172110.0800000026</v>
          </cell>
          <cell r="L1492">
            <v>1172110.0800000026</v>
          </cell>
          <cell r="M1492" t="e">
            <v>#N/A</v>
          </cell>
        </row>
        <row r="1493">
          <cell r="C1493" t="e">
            <v>#N/A</v>
          </cell>
          <cell r="E1493" t="e">
            <v>#N/A</v>
          </cell>
          <cell r="F1493" t="e">
            <v>#N/A</v>
          </cell>
          <cell r="G1493" t="e">
            <v>#N/A</v>
          </cell>
          <cell r="H1493">
            <v>0</v>
          </cell>
          <cell r="I1493">
            <v>0</v>
          </cell>
          <cell r="J1493" t="str">
            <v>X</v>
          </cell>
          <cell r="K1493">
            <v>1172110.0800000026</v>
          </cell>
          <cell r="L1493">
            <v>1172110.0800000026</v>
          </cell>
          <cell r="M1493" t="e">
            <v>#N/A</v>
          </cell>
        </row>
        <row r="1494">
          <cell r="C1494" t="e">
            <v>#N/A</v>
          </cell>
          <cell r="E1494" t="e">
            <v>#N/A</v>
          </cell>
          <cell r="F1494" t="e">
            <v>#N/A</v>
          </cell>
          <cell r="G1494" t="e">
            <v>#N/A</v>
          </cell>
          <cell r="H1494">
            <v>0</v>
          </cell>
          <cell r="I1494">
            <v>0</v>
          </cell>
          <cell r="J1494" t="str">
            <v>X</v>
          </cell>
          <cell r="K1494">
            <v>1172110.0800000026</v>
          </cell>
          <cell r="L1494">
            <v>1172110.0800000026</v>
          </cell>
          <cell r="M1494" t="e">
            <v>#N/A</v>
          </cell>
        </row>
        <row r="1495">
          <cell r="C1495" t="e">
            <v>#N/A</v>
          </cell>
          <cell r="E1495" t="e">
            <v>#N/A</v>
          </cell>
          <cell r="F1495" t="e">
            <v>#N/A</v>
          </cell>
          <cell r="G1495" t="e">
            <v>#N/A</v>
          </cell>
          <cell r="H1495">
            <v>0</v>
          </cell>
          <cell r="I1495">
            <v>0</v>
          </cell>
          <cell r="J1495" t="str">
            <v>X</v>
          </cell>
          <cell r="K1495">
            <v>1172110.0800000026</v>
          </cell>
          <cell r="L1495">
            <v>1172110.0800000026</v>
          </cell>
          <cell r="M1495" t="e">
            <v>#N/A</v>
          </cell>
        </row>
        <row r="1496">
          <cell r="C1496" t="e">
            <v>#N/A</v>
          </cell>
          <cell r="E1496" t="e">
            <v>#N/A</v>
          </cell>
          <cell r="F1496" t="e">
            <v>#N/A</v>
          </cell>
          <cell r="G1496" t="e">
            <v>#N/A</v>
          </cell>
          <cell r="H1496">
            <v>0</v>
          </cell>
          <cell r="I1496">
            <v>0</v>
          </cell>
          <cell r="J1496" t="str">
            <v>X</v>
          </cell>
          <cell r="K1496">
            <v>1172110.0800000026</v>
          </cell>
          <cell r="L1496">
            <v>1172110.0800000026</v>
          </cell>
          <cell r="M1496" t="e">
            <v>#N/A</v>
          </cell>
        </row>
        <row r="1497">
          <cell r="C1497" t="e">
            <v>#N/A</v>
          </cell>
          <cell r="E1497" t="e">
            <v>#N/A</v>
          </cell>
          <cell r="F1497" t="e">
            <v>#N/A</v>
          </cell>
          <cell r="G1497" t="e">
            <v>#N/A</v>
          </cell>
          <cell r="H1497">
            <v>0</v>
          </cell>
          <cell r="I1497">
            <v>0</v>
          </cell>
          <cell r="J1497" t="str">
            <v>X</v>
          </cell>
          <cell r="K1497">
            <v>1172110.0800000026</v>
          </cell>
          <cell r="L1497">
            <v>1172110.0800000026</v>
          </cell>
          <cell r="M1497" t="e">
            <v>#N/A</v>
          </cell>
        </row>
        <row r="1498">
          <cell r="C1498" t="e">
            <v>#N/A</v>
          </cell>
          <cell r="E1498" t="e">
            <v>#N/A</v>
          </cell>
          <cell r="F1498" t="e">
            <v>#N/A</v>
          </cell>
          <cell r="G1498" t="e">
            <v>#N/A</v>
          </cell>
          <cell r="H1498">
            <v>0</v>
          </cell>
          <cell r="I1498">
            <v>0</v>
          </cell>
          <cell r="J1498" t="str">
            <v>X</v>
          </cell>
          <cell r="K1498">
            <v>1172110.0800000026</v>
          </cell>
          <cell r="L1498">
            <v>1172110.0800000026</v>
          </cell>
          <cell r="M1498" t="e">
            <v>#N/A</v>
          </cell>
        </row>
        <row r="1499">
          <cell r="C1499" t="e">
            <v>#N/A</v>
          </cell>
          <cell r="E1499" t="e">
            <v>#N/A</v>
          </cell>
          <cell r="F1499" t="e">
            <v>#N/A</v>
          </cell>
          <cell r="G1499" t="e">
            <v>#N/A</v>
          </cell>
          <cell r="H1499">
            <v>0</v>
          </cell>
          <cell r="I1499">
            <v>0</v>
          </cell>
          <cell r="J1499" t="str">
            <v>X</v>
          </cell>
          <cell r="K1499">
            <v>1172110.0800000026</v>
          </cell>
          <cell r="L1499">
            <v>1172110.0800000026</v>
          </cell>
          <cell r="M1499" t="e">
            <v>#N/A</v>
          </cell>
        </row>
        <row r="1500">
          <cell r="C1500" t="e">
            <v>#N/A</v>
          </cell>
          <cell r="E1500" t="e">
            <v>#N/A</v>
          </cell>
          <cell r="F1500" t="e">
            <v>#N/A</v>
          </cell>
          <cell r="G1500" t="e">
            <v>#N/A</v>
          </cell>
          <cell r="H1500">
            <v>0</v>
          </cell>
          <cell r="I1500">
            <v>0</v>
          </cell>
          <cell r="J1500" t="str">
            <v>X</v>
          </cell>
          <cell r="K1500">
            <v>1172110.0800000026</v>
          </cell>
          <cell r="L1500">
            <v>1172110.0800000026</v>
          </cell>
          <cell r="M1500" t="e">
            <v>#N/A</v>
          </cell>
        </row>
        <row r="1501">
          <cell r="C1501" t="e">
            <v>#N/A</v>
          </cell>
          <cell r="E1501" t="e">
            <v>#N/A</v>
          </cell>
          <cell r="F1501" t="e">
            <v>#N/A</v>
          </cell>
          <cell r="G1501" t="e">
            <v>#N/A</v>
          </cell>
          <cell r="H1501">
            <v>0</v>
          </cell>
          <cell r="I1501">
            <v>0</v>
          </cell>
          <cell r="J1501" t="str">
            <v>X</v>
          </cell>
          <cell r="K1501">
            <v>1172110.0800000026</v>
          </cell>
          <cell r="L1501">
            <v>1172110.0800000026</v>
          </cell>
          <cell r="M1501" t="e">
            <v>#N/A</v>
          </cell>
        </row>
        <row r="1502">
          <cell r="C1502" t="e">
            <v>#N/A</v>
          </cell>
          <cell r="E1502" t="e">
            <v>#N/A</v>
          </cell>
          <cell r="F1502" t="e">
            <v>#N/A</v>
          </cell>
          <cell r="G1502" t="e">
            <v>#N/A</v>
          </cell>
          <cell r="H1502">
            <v>0</v>
          </cell>
          <cell r="I1502">
            <v>0</v>
          </cell>
          <cell r="J1502" t="str">
            <v>X</v>
          </cell>
          <cell r="K1502">
            <v>1172110.0800000026</v>
          </cell>
          <cell r="L1502">
            <v>1172110.0800000026</v>
          </cell>
          <cell r="M1502" t="e">
            <v>#N/A</v>
          </cell>
        </row>
        <row r="1503">
          <cell r="C1503" t="e">
            <v>#N/A</v>
          </cell>
          <cell r="E1503" t="e">
            <v>#N/A</v>
          </cell>
          <cell r="F1503" t="e">
            <v>#N/A</v>
          </cell>
          <cell r="G1503" t="e">
            <v>#N/A</v>
          </cell>
          <cell r="H1503">
            <v>0</v>
          </cell>
          <cell r="I1503">
            <v>0</v>
          </cell>
          <cell r="J1503" t="str">
            <v>X</v>
          </cell>
          <cell r="K1503">
            <v>1172110.0800000026</v>
          </cell>
          <cell r="L1503">
            <v>1172110.0800000026</v>
          </cell>
          <cell r="M1503" t="e">
            <v>#N/A</v>
          </cell>
        </row>
        <row r="1504">
          <cell r="C1504" t="e">
            <v>#N/A</v>
          </cell>
          <cell r="E1504" t="e">
            <v>#N/A</v>
          </cell>
          <cell r="F1504" t="e">
            <v>#N/A</v>
          </cell>
          <cell r="G1504" t="e">
            <v>#N/A</v>
          </cell>
          <cell r="H1504">
            <v>0</v>
          </cell>
          <cell r="I1504">
            <v>0</v>
          </cell>
          <cell r="J1504" t="str">
            <v>X</v>
          </cell>
          <cell r="K1504">
            <v>1172110.0800000026</v>
          </cell>
          <cell r="L1504">
            <v>1172110.0800000026</v>
          </cell>
          <cell r="M1504" t="e">
            <v>#N/A</v>
          </cell>
        </row>
        <row r="1505">
          <cell r="C1505" t="e">
            <v>#N/A</v>
          </cell>
          <cell r="E1505" t="e">
            <v>#N/A</v>
          </cell>
          <cell r="F1505" t="e">
            <v>#N/A</v>
          </cell>
          <cell r="G1505" t="e">
            <v>#N/A</v>
          </cell>
          <cell r="H1505">
            <v>0</v>
          </cell>
          <cell r="I1505">
            <v>0</v>
          </cell>
          <cell r="J1505" t="str">
            <v>X</v>
          </cell>
          <cell r="K1505">
            <v>1172110.0800000026</v>
          </cell>
          <cell r="L1505">
            <v>1172110.0800000026</v>
          </cell>
          <cell r="M1505" t="e">
            <v>#N/A</v>
          </cell>
        </row>
        <row r="1506">
          <cell r="C1506" t="e">
            <v>#N/A</v>
          </cell>
          <cell r="E1506" t="e">
            <v>#N/A</v>
          </cell>
          <cell r="F1506" t="e">
            <v>#N/A</v>
          </cell>
          <cell r="G1506" t="e">
            <v>#N/A</v>
          </cell>
          <cell r="H1506">
            <v>0</v>
          </cell>
          <cell r="I1506">
            <v>0</v>
          </cell>
          <cell r="J1506" t="str">
            <v>X</v>
          </cell>
          <cell r="K1506">
            <v>1172110.0800000026</v>
          </cell>
          <cell r="L1506">
            <v>1172110.0800000026</v>
          </cell>
          <cell r="M1506" t="e">
            <v>#N/A</v>
          </cell>
        </row>
        <row r="1507">
          <cell r="C1507" t="e">
            <v>#N/A</v>
          </cell>
          <cell r="E1507" t="e">
            <v>#N/A</v>
          </cell>
          <cell r="F1507" t="e">
            <v>#N/A</v>
          </cell>
          <cell r="G1507" t="e">
            <v>#N/A</v>
          </cell>
          <cell r="H1507">
            <v>0</v>
          </cell>
          <cell r="I1507">
            <v>0</v>
          </cell>
          <cell r="J1507" t="str">
            <v>X</v>
          </cell>
          <cell r="K1507">
            <v>1172110.0800000026</v>
          </cell>
          <cell r="L1507">
            <v>1172110.0800000026</v>
          </cell>
          <cell r="M1507" t="e">
            <v>#N/A</v>
          </cell>
        </row>
        <row r="1508">
          <cell r="C1508" t="e">
            <v>#N/A</v>
          </cell>
          <cell r="E1508" t="e">
            <v>#N/A</v>
          </cell>
          <cell r="F1508" t="e">
            <v>#N/A</v>
          </cell>
          <cell r="G1508" t="e">
            <v>#N/A</v>
          </cell>
          <cell r="H1508">
            <v>0</v>
          </cell>
          <cell r="I1508">
            <v>0</v>
          </cell>
          <cell r="J1508" t="str">
            <v>X</v>
          </cell>
          <cell r="K1508">
            <v>1172110.0800000026</v>
          </cell>
          <cell r="L1508">
            <v>1172110.0800000026</v>
          </cell>
          <cell r="M1508" t="e">
            <v>#N/A</v>
          </cell>
        </row>
        <row r="1509">
          <cell r="C1509" t="e">
            <v>#N/A</v>
          </cell>
          <cell r="E1509" t="e">
            <v>#N/A</v>
          </cell>
          <cell r="F1509" t="e">
            <v>#N/A</v>
          </cell>
          <cell r="G1509" t="e">
            <v>#N/A</v>
          </cell>
          <cell r="H1509">
            <v>0</v>
          </cell>
          <cell r="I1509">
            <v>0</v>
          </cell>
          <cell r="J1509" t="str">
            <v>X</v>
          </cell>
          <cell r="K1509">
            <v>1172110.0800000026</v>
          </cell>
          <cell r="L1509">
            <v>1172110.0800000026</v>
          </cell>
          <cell r="M1509" t="e">
            <v>#N/A</v>
          </cell>
        </row>
        <row r="1510">
          <cell r="C1510" t="e">
            <v>#N/A</v>
          </cell>
          <cell r="E1510" t="e">
            <v>#N/A</v>
          </cell>
          <cell r="F1510" t="e">
            <v>#N/A</v>
          </cell>
          <cell r="G1510" t="e">
            <v>#N/A</v>
          </cell>
          <cell r="H1510">
            <v>0</v>
          </cell>
          <cell r="I1510">
            <v>0</v>
          </cell>
          <cell r="J1510" t="str">
            <v>X</v>
          </cell>
          <cell r="K1510">
            <v>1172110.0800000026</v>
          </cell>
          <cell r="L1510">
            <v>1172110.0800000026</v>
          </cell>
          <cell r="M1510" t="e">
            <v>#N/A</v>
          </cell>
        </row>
        <row r="1511">
          <cell r="C1511" t="e">
            <v>#N/A</v>
          </cell>
          <cell r="E1511" t="e">
            <v>#N/A</v>
          </cell>
          <cell r="F1511" t="e">
            <v>#N/A</v>
          </cell>
          <cell r="G1511" t="e">
            <v>#N/A</v>
          </cell>
          <cell r="H1511">
            <v>0</v>
          </cell>
          <cell r="I1511">
            <v>0</v>
          </cell>
          <cell r="J1511" t="str">
            <v>X</v>
          </cell>
          <cell r="K1511">
            <v>1172110.0800000026</v>
          </cell>
          <cell r="L1511">
            <v>1172110.0800000026</v>
          </cell>
          <cell r="M1511" t="e">
            <v>#N/A</v>
          </cell>
        </row>
        <row r="1512">
          <cell r="C1512" t="e">
            <v>#N/A</v>
          </cell>
          <cell r="E1512" t="e">
            <v>#N/A</v>
          </cell>
          <cell r="F1512" t="e">
            <v>#N/A</v>
          </cell>
          <cell r="G1512" t="e">
            <v>#N/A</v>
          </cell>
          <cell r="H1512">
            <v>0</v>
          </cell>
          <cell r="I1512">
            <v>0</v>
          </cell>
          <cell r="J1512" t="str">
            <v>X</v>
          </cell>
          <cell r="K1512">
            <v>1172110.0800000026</v>
          </cell>
          <cell r="L1512">
            <v>1172110.0800000026</v>
          </cell>
          <cell r="M1512" t="e">
            <v>#N/A</v>
          </cell>
        </row>
        <row r="1513">
          <cell r="C1513" t="e">
            <v>#N/A</v>
          </cell>
          <cell r="E1513" t="e">
            <v>#N/A</v>
          </cell>
          <cell r="F1513" t="e">
            <v>#N/A</v>
          </cell>
          <cell r="G1513" t="e">
            <v>#N/A</v>
          </cell>
          <cell r="H1513">
            <v>0</v>
          </cell>
          <cell r="I1513">
            <v>0</v>
          </cell>
          <cell r="J1513" t="str">
            <v>X</v>
          </cell>
          <cell r="K1513">
            <v>1172110.0800000026</v>
          </cell>
          <cell r="L1513">
            <v>1172110.0800000026</v>
          </cell>
          <cell r="M1513" t="e">
            <v>#N/A</v>
          </cell>
        </row>
        <row r="1514">
          <cell r="C1514" t="e">
            <v>#N/A</v>
          </cell>
          <cell r="E1514" t="e">
            <v>#N/A</v>
          </cell>
          <cell r="F1514" t="e">
            <v>#N/A</v>
          </cell>
          <cell r="G1514" t="e">
            <v>#N/A</v>
          </cell>
          <cell r="H1514">
            <v>0</v>
          </cell>
          <cell r="I1514">
            <v>0</v>
          </cell>
          <cell r="J1514" t="str">
            <v>X</v>
          </cell>
          <cell r="K1514">
            <v>1172110.0800000026</v>
          </cell>
          <cell r="L1514">
            <v>1172110.0800000026</v>
          </cell>
          <cell r="M1514" t="e">
            <v>#N/A</v>
          </cell>
        </row>
        <row r="1515">
          <cell r="C1515" t="e">
            <v>#N/A</v>
          </cell>
          <cell r="E1515" t="e">
            <v>#N/A</v>
          </cell>
          <cell r="F1515" t="e">
            <v>#N/A</v>
          </cell>
          <cell r="G1515" t="e">
            <v>#N/A</v>
          </cell>
          <cell r="H1515">
            <v>0</v>
          </cell>
          <cell r="I1515">
            <v>0</v>
          </cell>
          <cell r="J1515" t="str">
            <v>X</v>
          </cell>
          <cell r="K1515">
            <v>1172110.0800000026</v>
          </cell>
          <cell r="L1515">
            <v>1172110.0800000026</v>
          </cell>
          <cell r="M1515" t="e">
            <v>#N/A</v>
          </cell>
        </row>
        <row r="1516">
          <cell r="C1516" t="e">
            <v>#N/A</v>
          </cell>
          <cell r="E1516" t="e">
            <v>#N/A</v>
          </cell>
          <cell r="F1516" t="e">
            <v>#N/A</v>
          </cell>
          <cell r="G1516" t="e">
            <v>#N/A</v>
          </cell>
          <cell r="H1516">
            <v>0</v>
          </cell>
          <cell r="I1516">
            <v>0</v>
          </cell>
          <cell r="J1516" t="str">
            <v>X</v>
          </cell>
          <cell r="K1516">
            <v>1172110.0800000026</v>
          </cell>
          <cell r="L1516">
            <v>1172110.0800000026</v>
          </cell>
          <cell r="M1516" t="e">
            <v>#N/A</v>
          </cell>
        </row>
        <row r="1517">
          <cell r="C1517" t="e">
            <v>#N/A</v>
          </cell>
          <cell r="E1517" t="e">
            <v>#N/A</v>
          </cell>
          <cell r="F1517" t="e">
            <v>#N/A</v>
          </cell>
          <cell r="G1517" t="e">
            <v>#N/A</v>
          </cell>
          <cell r="H1517">
            <v>0</v>
          </cell>
          <cell r="I1517">
            <v>0</v>
          </cell>
          <cell r="J1517" t="str">
            <v>X</v>
          </cell>
          <cell r="K1517">
            <v>1172110.0800000026</v>
          </cell>
          <cell r="L1517">
            <v>1172110.0800000026</v>
          </cell>
          <cell r="M1517" t="e">
            <v>#N/A</v>
          </cell>
        </row>
        <row r="1518">
          <cell r="C1518" t="e">
            <v>#N/A</v>
          </cell>
          <cell r="E1518" t="e">
            <v>#N/A</v>
          </cell>
          <cell r="F1518" t="e">
            <v>#N/A</v>
          </cell>
          <cell r="G1518" t="e">
            <v>#N/A</v>
          </cell>
          <cell r="H1518">
            <v>0</v>
          </cell>
          <cell r="I1518">
            <v>0</v>
          </cell>
          <cell r="J1518" t="str">
            <v>X</v>
          </cell>
          <cell r="K1518">
            <v>1172110.0800000026</v>
          </cell>
          <cell r="L1518">
            <v>1172110.0800000026</v>
          </cell>
          <cell r="M1518" t="e">
            <v>#N/A</v>
          </cell>
        </row>
        <row r="1519">
          <cell r="C1519" t="e">
            <v>#N/A</v>
          </cell>
          <cell r="E1519" t="e">
            <v>#N/A</v>
          </cell>
          <cell r="F1519" t="e">
            <v>#N/A</v>
          </cell>
          <cell r="G1519" t="e">
            <v>#N/A</v>
          </cell>
          <cell r="H1519">
            <v>0</v>
          </cell>
          <cell r="I1519">
            <v>0</v>
          </cell>
          <cell r="J1519" t="str">
            <v>X</v>
          </cell>
          <cell r="K1519">
            <v>1172110.0800000026</v>
          </cell>
          <cell r="L1519">
            <v>1172110.0800000026</v>
          </cell>
          <cell r="M1519" t="e">
            <v>#N/A</v>
          </cell>
        </row>
        <row r="1520">
          <cell r="C1520" t="e">
            <v>#N/A</v>
          </cell>
          <cell r="E1520" t="e">
            <v>#N/A</v>
          </cell>
          <cell r="F1520" t="e">
            <v>#N/A</v>
          </cell>
          <cell r="G1520" t="e">
            <v>#N/A</v>
          </cell>
          <cell r="H1520">
            <v>0</v>
          </cell>
          <cell r="I1520">
            <v>0</v>
          </cell>
          <cell r="J1520" t="str">
            <v>X</v>
          </cell>
          <cell r="K1520">
            <v>1172110.0800000026</v>
          </cell>
          <cell r="L1520">
            <v>1172110.0800000026</v>
          </cell>
          <cell r="M1520" t="e">
            <v>#N/A</v>
          </cell>
        </row>
        <row r="1521">
          <cell r="C1521" t="e">
            <v>#N/A</v>
          </cell>
          <cell r="E1521" t="e">
            <v>#N/A</v>
          </cell>
          <cell r="F1521" t="e">
            <v>#N/A</v>
          </cell>
          <cell r="G1521" t="e">
            <v>#N/A</v>
          </cell>
          <cell r="H1521">
            <v>0</v>
          </cell>
          <cell r="I1521">
            <v>0</v>
          </cell>
          <cell r="J1521" t="str">
            <v>X</v>
          </cell>
          <cell r="K1521">
            <v>1172110.0800000026</v>
          </cell>
          <cell r="L1521">
            <v>1172110.0800000026</v>
          </cell>
          <cell r="M1521" t="e">
            <v>#N/A</v>
          </cell>
        </row>
        <row r="1522">
          <cell r="C1522" t="e">
            <v>#N/A</v>
          </cell>
          <cell r="E1522" t="e">
            <v>#N/A</v>
          </cell>
          <cell r="F1522" t="e">
            <v>#N/A</v>
          </cell>
          <cell r="G1522" t="e">
            <v>#N/A</v>
          </cell>
          <cell r="H1522">
            <v>0</v>
          </cell>
          <cell r="I1522">
            <v>0</v>
          </cell>
          <cell r="J1522" t="str">
            <v>X</v>
          </cell>
          <cell r="K1522">
            <v>1172110.0800000026</v>
          </cell>
          <cell r="L1522">
            <v>1172110.0800000026</v>
          </cell>
          <cell r="M1522" t="e">
            <v>#N/A</v>
          </cell>
        </row>
        <row r="1523">
          <cell r="C1523" t="e">
            <v>#N/A</v>
          </cell>
          <cell r="E1523" t="e">
            <v>#N/A</v>
          </cell>
          <cell r="F1523" t="e">
            <v>#N/A</v>
          </cell>
          <cell r="G1523" t="e">
            <v>#N/A</v>
          </cell>
          <cell r="H1523">
            <v>0</v>
          </cell>
          <cell r="I1523">
            <v>0</v>
          </cell>
          <cell r="J1523" t="str">
            <v>X</v>
          </cell>
          <cell r="K1523">
            <v>1172110.0800000026</v>
          </cell>
          <cell r="L1523">
            <v>1172110.0800000026</v>
          </cell>
          <cell r="M1523" t="e">
            <v>#N/A</v>
          </cell>
        </row>
        <row r="1524">
          <cell r="C1524" t="e">
            <v>#N/A</v>
          </cell>
          <cell r="E1524" t="e">
            <v>#N/A</v>
          </cell>
          <cell r="F1524" t="e">
            <v>#N/A</v>
          </cell>
          <cell r="G1524" t="e">
            <v>#N/A</v>
          </cell>
          <cell r="H1524">
            <v>0</v>
          </cell>
          <cell r="I1524">
            <v>0</v>
          </cell>
          <cell r="J1524" t="str">
            <v>X</v>
          </cell>
          <cell r="K1524">
            <v>1172110.0800000026</v>
          </cell>
          <cell r="L1524">
            <v>1172110.0800000026</v>
          </cell>
          <cell r="M1524" t="e">
            <v>#N/A</v>
          </cell>
        </row>
        <row r="1525">
          <cell r="C1525" t="e">
            <v>#N/A</v>
          </cell>
          <cell r="E1525" t="e">
            <v>#N/A</v>
          </cell>
          <cell r="F1525" t="e">
            <v>#N/A</v>
          </cell>
          <cell r="G1525" t="e">
            <v>#N/A</v>
          </cell>
          <cell r="H1525">
            <v>0</v>
          </cell>
          <cell r="I1525">
            <v>0</v>
          </cell>
          <cell r="J1525" t="str">
            <v>X</v>
          </cell>
          <cell r="K1525">
            <v>1172110.0800000026</v>
          </cell>
          <cell r="L1525">
            <v>1172110.0800000026</v>
          </cell>
          <cell r="M1525" t="e">
            <v>#N/A</v>
          </cell>
        </row>
        <row r="1526">
          <cell r="C1526" t="e">
            <v>#N/A</v>
          </cell>
          <cell r="E1526" t="e">
            <v>#N/A</v>
          </cell>
          <cell r="F1526" t="e">
            <v>#N/A</v>
          </cell>
          <cell r="G1526" t="e">
            <v>#N/A</v>
          </cell>
          <cell r="H1526">
            <v>0</v>
          </cell>
          <cell r="I1526">
            <v>0</v>
          </cell>
          <cell r="J1526" t="str">
            <v>X</v>
          </cell>
          <cell r="K1526">
            <v>1172110.0800000026</v>
          </cell>
          <cell r="L1526">
            <v>1172110.0800000026</v>
          </cell>
          <cell r="M1526" t="e">
            <v>#N/A</v>
          </cell>
        </row>
        <row r="1527">
          <cell r="C1527" t="e">
            <v>#N/A</v>
          </cell>
          <cell r="E1527" t="e">
            <v>#N/A</v>
          </cell>
          <cell r="F1527" t="e">
            <v>#N/A</v>
          </cell>
          <cell r="G1527" t="e">
            <v>#N/A</v>
          </cell>
          <cell r="H1527">
            <v>0</v>
          </cell>
          <cell r="I1527">
            <v>0</v>
          </cell>
          <cell r="J1527" t="str">
            <v>X</v>
          </cell>
          <cell r="K1527">
            <v>1172110.0800000026</v>
          </cell>
          <cell r="L1527">
            <v>1172110.0800000026</v>
          </cell>
          <cell r="M1527" t="e">
            <v>#N/A</v>
          </cell>
        </row>
        <row r="1528">
          <cell r="C1528" t="e">
            <v>#N/A</v>
          </cell>
          <cell r="E1528" t="e">
            <v>#N/A</v>
          </cell>
          <cell r="F1528" t="e">
            <v>#N/A</v>
          </cell>
          <cell r="G1528" t="e">
            <v>#N/A</v>
          </cell>
          <cell r="H1528">
            <v>0</v>
          </cell>
          <cell r="I1528">
            <v>0</v>
          </cell>
          <cell r="J1528" t="str">
            <v>X</v>
          </cell>
          <cell r="K1528">
            <v>1172110.0800000026</v>
          </cell>
          <cell r="L1528">
            <v>1172110.0800000026</v>
          </cell>
          <cell r="M1528" t="e">
            <v>#N/A</v>
          </cell>
        </row>
        <row r="1529">
          <cell r="C1529" t="e">
            <v>#N/A</v>
          </cell>
          <cell r="E1529" t="e">
            <v>#N/A</v>
          </cell>
          <cell r="F1529" t="e">
            <v>#N/A</v>
          </cell>
          <cell r="G1529" t="e">
            <v>#N/A</v>
          </cell>
          <cell r="H1529">
            <v>0</v>
          </cell>
          <cell r="I1529">
            <v>0</v>
          </cell>
          <cell r="J1529" t="str">
            <v>X</v>
          </cell>
          <cell r="K1529">
            <v>1172110.0800000026</v>
          </cell>
          <cell r="L1529">
            <v>1172110.0800000026</v>
          </cell>
          <cell r="M1529" t="e">
            <v>#N/A</v>
          </cell>
        </row>
        <row r="1530">
          <cell r="C1530" t="e">
            <v>#N/A</v>
          </cell>
          <cell r="E1530" t="e">
            <v>#N/A</v>
          </cell>
          <cell r="F1530" t="e">
            <v>#N/A</v>
          </cell>
          <cell r="G1530" t="e">
            <v>#N/A</v>
          </cell>
          <cell r="H1530">
            <v>0</v>
          </cell>
          <cell r="I1530">
            <v>0</v>
          </cell>
          <cell r="J1530" t="str">
            <v>X</v>
          </cell>
          <cell r="K1530">
            <v>1172110.0800000026</v>
          </cell>
          <cell r="L1530">
            <v>1172110.0800000026</v>
          </cell>
          <cell r="M1530" t="e">
            <v>#N/A</v>
          </cell>
        </row>
        <row r="1531">
          <cell r="C1531" t="e">
            <v>#N/A</v>
          </cell>
          <cell r="E1531" t="e">
            <v>#N/A</v>
          </cell>
          <cell r="F1531" t="e">
            <v>#N/A</v>
          </cell>
          <cell r="G1531" t="e">
            <v>#N/A</v>
          </cell>
          <cell r="H1531">
            <v>0</v>
          </cell>
          <cell r="I1531">
            <v>0</v>
          </cell>
          <cell r="J1531" t="str">
            <v>X</v>
          </cell>
          <cell r="K1531">
            <v>1172110.0800000026</v>
          </cell>
          <cell r="L1531">
            <v>1172110.0800000026</v>
          </cell>
          <cell r="M1531" t="e">
            <v>#N/A</v>
          </cell>
        </row>
        <row r="1532">
          <cell r="C1532" t="e">
            <v>#N/A</v>
          </cell>
          <cell r="E1532" t="e">
            <v>#N/A</v>
          </cell>
          <cell r="F1532" t="e">
            <v>#N/A</v>
          </cell>
          <cell r="G1532" t="e">
            <v>#N/A</v>
          </cell>
          <cell r="H1532">
            <v>0</v>
          </cell>
          <cell r="I1532">
            <v>0</v>
          </cell>
          <cell r="J1532" t="str">
            <v>X</v>
          </cell>
          <cell r="K1532">
            <v>1172110.0800000026</v>
          </cell>
          <cell r="L1532">
            <v>1172110.0800000026</v>
          </cell>
          <cell r="M1532" t="e">
            <v>#N/A</v>
          </cell>
        </row>
        <row r="1533">
          <cell r="C1533" t="e">
            <v>#N/A</v>
          </cell>
          <cell r="E1533" t="e">
            <v>#N/A</v>
          </cell>
          <cell r="F1533" t="e">
            <v>#N/A</v>
          </cell>
          <cell r="G1533" t="e">
            <v>#N/A</v>
          </cell>
          <cell r="H1533">
            <v>0</v>
          </cell>
          <cell r="I1533">
            <v>0</v>
          </cell>
          <cell r="J1533" t="str">
            <v>X</v>
          </cell>
          <cell r="K1533">
            <v>1172110.0800000026</v>
          </cell>
          <cell r="L1533">
            <v>1172110.0800000026</v>
          </cell>
          <cell r="M1533" t="e">
            <v>#N/A</v>
          </cell>
        </row>
        <row r="1534">
          <cell r="C1534" t="e">
            <v>#N/A</v>
          </cell>
          <cell r="E1534" t="e">
            <v>#N/A</v>
          </cell>
          <cell r="F1534" t="e">
            <v>#N/A</v>
          </cell>
          <cell r="G1534" t="e">
            <v>#N/A</v>
          </cell>
          <cell r="H1534">
            <v>0</v>
          </cell>
          <cell r="I1534">
            <v>0</v>
          </cell>
          <cell r="J1534" t="str">
            <v>X</v>
          </cell>
          <cell r="K1534">
            <v>1172110.0800000026</v>
          </cell>
          <cell r="L1534">
            <v>1172110.0800000026</v>
          </cell>
          <cell r="M1534" t="e">
            <v>#N/A</v>
          </cell>
        </row>
        <row r="1535">
          <cell r="C1535" t="e">
            <v>#N/A</v>
          </cell>
          <cell r="E1535" t="e">
            <v>#N/A</v>
          </cell>
          <cell r="F1535" t="e">
            <v>#N/A</v>
          </cell>
          <cell r="G1535" t="e">
            <v>#N/A</v>
          </cell>
          <cell r="H1535">
            <v>0</v>
          </cell>
          <cell r="I1535">
            <v>0</v>
          </cell>
          <cell r="J1535" t="str">
            <v>X</v>
          </cell>
          <cell r="K1535">
            <v>1172110.0800000026</v>
          </cell>
          <cell r="L1535">
            <v>1172110.0800000026</v>
          </cell>
          <cell r="M1535" t="e">
            <v>#N/A</v>
          </cell>
        </row>
        <row r="1536">
          <cell r="C1536" t="e">
            <v>#N/A</v>
          </cell>
          <cell r="E1536" t="e">
            <v>#N/A</v>
          </cell>
          <cell r="F1536" t="e">
            <v>#N/A</v>
          </cell>
          <cell r="G1536" t="e">
            <v>#N/A</v>
          </cell>
          <cell r="H1536">
            <v>0</v>
          </cell>
          <cell r="I1536">
            <v>0</v>
          </cell>
          <cell r="J1536" t="str">
            <v>X</v>
          </cell>
          <cell r="K1536">
            <v>1172110.0800000026</v>
          </cell>
          <cell r="L1536">
            <v>1172110.0800000026</v>
          </cell>
          <cell r="M1536" t="e">
            <v>#N/A</v>
          </cell>
        </row>
        <row r="1537">
          <cell r="C1537" t="e">
            <v>#N/A</v>
          </cell>
          <cell r="E1537" t="e">
            <v>#N/A</v>
          </cell>
          <cell r="F1537" t="e">
            <v>#N/A</v>
          </cell>
          <cell r="G1537" t="e">
            <v>#N/A</v>
          </cell>
          <cell r="H1537">
            <v>0</v>
          </cell>
          <cell r="I1537">
            <v>0</v>
          </cell>
          <cell r="J1537" t="str">
            <v>X</v>
          </cell>
          <cell r="K1537">
            <v>1172110.0800000026</v>
          </cell>
          <cell r="L1537">
            <v>1172110.0800000026</v>
          </cell>
          <cell r="M1537" t="e">
            <v>#N/A</v>
          </cell>
        </row>
        <row r="1538">
          <cell r="C1538" t="e">
            <v>#N/A</v>
          </cell>
          <cell r="E1538" t="e">
            <v>#N/A</v>
          </cell>
          <cell r="F1538" t="e">
            <v>#N/A</v>
          </cell>
          <cell r="G1538" t="e">
            <v>#N/A</v>
          </cell>
          <cell r="H1538">
            <v>0</v>
          </cell>
          <cell r="I1538">
            <v>0</v>
          </cell>
          <cell r="J1538" t="str">
            <v>X</v>
          </cell>
          <cell r="K1538">
            <v>1172110.0800000026</v>
          </cell>
          <cell r="L1538">
            <v>1172110.0800000026</v>
          </cell>
          <cell r="M1538" t="e">
            <v>#N/A</v>
          </cell>
        </row>
        <row r="1539">
          <cell r="C1539" t="e">
            <v>#N/A</v>
          </cell>
          <cell r="E1539" t="e">
            <v>#N/A</v>
          </cell>
          <cell r="F1539" t="e">
            <v>#N/A</v>
          </cell>
          <cell r="G1539" t="e">
            <v>#N/A</v>
          </cell>
          <cell r="H1539">
            <v>0</v>
          </cell>
          <cell r="I1539">
            <v>0</v>
          </cell>
          <cell r="J1539" t="str">
            <v>X</v>
          </cell>
          <cell r="K1539">
            <v>1172110.0800000026</v>
          </cell>
          <cell r="L1539">
            <v>1172110.0800000026</v>
          </cell>
          <cell r="M1539" t="e">
            <v>#N/A</v>
          </cell>
        </row>
        <row r="1540">
          <cell r="C1540" t="e">
            <v>#N/A</v>
          </cell>
          <cell r="E1540" t="e">
            <v>#N/A</v>
          </cell>
          <cell r="F1540" t="e">
            <v>#N/A</v>
          </cell>
          <cell r="G1540" t="e">
            <v>#N/A</v>
          </cell>
          <cell r="H1540">
            <v>0</v>
          </cell>
          <cell r="I1540">
            <v>0</v>
          </cell>
          <cell r="J1540" t="str">
            <v>X</v>
          </cell>
          <cell r="K1540">
            <v>1172110.0800000026</v>
          </cell>
          <cell r="L1540">
            <v>1172110.0800000026</v>
          </cell>
          <cell r="M1540" t="e">
            <v>#N/A</v>
          </cell>
        </row>
        <row r="1541">
          <cell r="C1541" t="e">
            <v>#N/A</v>
          </cell>
          <cell r="E1541" t="e">
            <v>#N/A</v>
          </cell>
          <cell r="F1541" t="e">
            <v>#N/A</v>
          </cell>
          <cell r="G1541" t="e">
            <v>#N/A</v>
          </cell>
          <cell r="H1541">
            <v>0</v>
          </cell>
          <cell r="I1541">
            <v>0</v>
          </cell>
          <cell r="J1541" t="str">
            <v>X</v>
          </cell>
          <cell r="K1541">
            <v>1172110.0800000026</v>
          </cell>
          <cell r="L1541">
            <v>1172110.0800000026</v>
          </cell>
          <cell r="M1541" t="e">
            <v>#N/A</v>
          </cell>
        </row>
        <row r="1542">
          <cell r="C1542" t="e">
            <v>#N/A</v>
          </cell>
          <cell r="E1542" t="e">
            <v>#N/A</v>
          </cell>
          <cell r="F1542" t="e">
            <v>#N/A</v>
          </cell>
          <cell r="G1542" t="e">
            <v>#N/A</v>
          </cell>
          <cell r="H1542">
            <v>0</v>
          </cell>
          <cell r="I1542">
            <v>0</v>
          </cell>
          <cell r="J1542" t="str">
            <v>X</v>
          </cell>
          <cell r="K1542">
            <v>1172110.0800000026</v>
          </cell>
          <cell r="L1542">
            <v>1172110.0800000026</v>
          </cell>
          <cell r="M1542" t="e">
            <v>#N/A</v>
          </cell>
        </row>
        <row r="1543">
          <cell r="C1543" t="e">
            <v>#N/A</v>
          </cell>
          <cell r="E1543" t="e">
            <v>#N/A</v>
          </cell>
          <cell r="F1543" t="e">
            <v>#N/A</v>
          </cell>
          <cell r="G1543" t="e">
            <v>#N/A</v>
          </cell>
          <cell r="H1543">
            <v>0</v>
          </cell>
          <cell r="I1543">
            <v>0</v>
          </cell>
          <cell r="J1543" t="str">
            <v>X</v>
          </cell>
          <cell r="K1543">
            <v>1172110.0800000026</v>
          </cell>
          <cell r="L1543">
            <v>1172110.0800000026</v>
          </cell>
          <cell r="M1543" t="e">
            <v>#N/A</v>
          </cell>
        </row>
        <row r="1544">
          <cell r="C1544" t="e">
            <v>#N/A</v>
          </cell>
          <cell r="E1544" t="e">
            <v>#N/A</v>
          </cell>
          <cell r="F1544" t="e">
            <v>#N/A</v>
          </cell>
          <cell r="G1544" t="e">
            <v>#N/A</v>
          </cell>
          <cell r="H1544">
            <v>0</v>
          </cell>
          <cell r="I1544">
            <v>0</v>
          </cell>
          <cell r="J1544" t="str">
            <v>X</v>
          </cell>
          <cell r="K1544">
            <v>1172110.0800000026</v>
          </cell>
          <cell r="L1544">
            <v>1172110.0800000026</v>
          </cell>
          <cell r="M1544" t="e">
            <v>#N/A</v>
          </cell>
        </row>
        <row r="1545">
          <cell r="C1545" t="e">
            <v>#N/A</v>
          </cell>
          <cell r="E1545" t="e">
            <v>#N/A</v>
          </cell>
          <cell r="F1545" t="e">
            <v>#N/A</v>
          </cell>
          <cell r="G1545" t="e">
            <v>#N/A</v>
          </cell>
          <cell r="H1545">
            <v>0</v>
          </cell>
          <cell r="I1545">
            <v>0</v>
          </cell>
          <cell r="J1545" t="str">
            <v>X</v>
          </cell>
          <cell r="K1545">
            <v>1172110.0800000026</v>
          </cell>
          <cell r="L1545">
            <v>1172110.0800000026</v>
          </cell>
          <cell r="M1545" t="e">
            <v>#N/A</v>
          </cell>
        </row>
        <row r="1546">
          <cell r="C1546" t="e">
            <v>#N/A</v>
          </cell>
          <cell r="E1546" t="e">
            <v>#N/A</v>
          </cell>
          <cell r="F1546" t="e">
            <v>#N/A</v>
          </cell>
          <cell r="G1546" t="e">
            <v>#N/A</v>
          </cell>
          <cell r="H1546">
            <v>0</v>
          </cell>
          <cell r="I1546">
            <v>0</v>
          </cell>
          <cell r="J1546" t="str">
            <v>X</v>
          </cell>
          <cell r="K1546">
            <v>1172110.0800000026</v>
          </cell>
          <cell r="L1546">
            <v>1172110.0800000026</v>
          </cell>
          <cell r="M1546" t="e">
            <v>#N/A</v>
          </cell>
        </row>
        <row r="1547">
          <cell r="C1547" t="e">
            <v>#N/A</v>
          </cell>
          <cell r="E1547" t="e">
            <v>#N/A</v>
          </cell>
          <cell r="F1547" t="e">
            <v>#N/A</v>
          </cell>
          <cell r="G1547" t="e">
            <v>#N/A</v>
          </cell>
          <cell r="H1547">
            <v>0</v>
          </cell>
          <cell r="I1547">
            <v>0</v>
          </cell>
          <cell r="J1547" t="str">
            <v>X</v>
          </cell>
          <cell r="K1547">
            <v>1172110.0800000026</v>
          </cell>
          <cell r="L1547">
            <v>1172110.0800000026</v>
          </cell>
          <cell r="M1547" t="e">
            <v>#N/A</v>
          </cell>
        </row>
        <row r="1548">
          <cell r="C1548" t="e">
            <v>#N/A</v>
          </cell>
          <cell r="E1548" t="e">
            <v>#N/A</v>
          </cell>
          <cell r="F1548" t="e">
            <v>#N/A</v>
          </cell>
          <cell r="G1548" t="e">
            <v>#N/A</v>
          </cell>
          <cell r="H1548">
            <v>0</v>
          </cell>
          <cell r="I1548">
            <v>0</v>
          </cell>
          <cell r="J1548" t="str">
            <v>X</v>
          </cell>
          <cell r="K1548">
            <v>1172110.0800000026</v>
          </cell>
          <cell r="L1548">
            <v>1172110.0800000026</v>
          </cell>
          <cell r="M1548" t="e">
            <v>#N/A</v>
          </cell>
        </row>
        <row r="1549">
          <cell r="C1549" t="e">
            <v>#N/A</v>
          </cell>
          <cell r="E1549" t="e">
            <v>#N/A</v>
          </cell>
          <cell r="F1549" t="e">
            <v>#N/A</v>
          </cell>
          <cell r="G1549" t="e">
            <v>#N/A</v>
          </cell>
          <cell r="H1549">
            <v>0</v>
          </cell>
          <cell r="I1549">
            <v>0</v>
          </cell>
          <cell r="J1549" t="str">
            <v>X</v>
          </cell>
          <cell r="K1549">
            <v>1172110.0800000026</v>
          </cell>
          <cell r="L1549">
            <v>1172110.0800000026</v>
          </cell>
          <cell r="M1549" t="e">
            <v>#N/A</v>
          </cell>
        </row>
        <row r="1550">
          <cell r="C1550" t="e">
            <v>#N/A</v>
          </cell>
          <cell r="E1550" t="e">
            <v>#N/A</v>
          </cell>
          <cell r="F1550" t="e">
            <v>#N/A</v>
          </cell>
          <cell r="G1550" t="e">
            <v>#N/A</v>
          </cell>
          <cell r="H1550">
            <v>0</v>
          </cell>
          <cell r="I1550">
            <v>0</v>
          </cell>
          <cell r="J1550" t="str">
            <v>X</v>
          </cell>
          <cell r="K1550">
            <v>1172110.0800000026</v>
          </cell>
          <cell r="L1550">
            <v>1172110.0800000026</v>
          </cell>
          <cell r="M1550" t="e">
            <v>#N/A</v>
          </cell>
        </row>
        <row r="1551">
          <cell r="C1551" t="e">
            <v>#N/A</v>
          </cell>
          <cell r="E1551" t="e">
            <v>#N/A</v>
          </cell>
          <cell r="F1551" t="e">
            <v>#N/A</v>
          </cell>
          <cell r="G1551" t="e">
            <v>#N/A</v>
          </cell>
          <cell r="H1551">
            <v>0</v>
          </cell>
          <cell r="I1551">
            <v>0</v>
          </cell>
          <cell r="J1551" t="str">
            <v>X</v>
          </cell>
          <cell r="K1551">
            <v>1172110.0800000026</v>
          </cell>
          <cell r="L1551">
            <v>1172110.0800000026</v>
          </cell>
          <cell r="M1551" t="e">
            <v>#N/A</v>
          </cell>
        </row>
        <row r="1552">
          <cell r="C1552" t="e">
            <v>#N/A</v>
          </cell>
          <cell r="E1552" t="e">
            <v>#N/A</v>
          </cell>
          <cell r="F1552" t="e">
            <v>#N/A</v>
          </cell>
          <cell r="G1552" t="e">
            <v>#N/A</v>
          </cell>
          <cell r="H1552">
            <v>0</v>
          </cell>
          <cell r="I1552">
            <v>0</v>
          </cell>
          <cell r="J1552" t="str">
            <v>X</v>
          </cell>
          <cell r="K1552">
            <v>1172110.0800000026</v>
          </cell>
          <cell r="L1552">
            <v>1172110.0800000026</v>
          </cell>
          <cell r="M1552" t="e">
            <v>#N/A</v>
          </cell>
        </row>
        <row r="1553">
          <cell r="C1553" t="e">
            <v>#N/A</v>
          </cell>
          <cell r="E1553" t="e">
            <v>#N/A</v>
          </cell>
          <cell r="F1553" t="e">
            <v>#N/A</v>
          </cell>
          <cell r="G1553" t="e">
            <v>#N/A</v>
          </cell>
          <cell r="H1553">
            <v>0</v>
          </cell>
          <cell r="I1553">
            <v>0</v>
          </cell>
          <cell r="J1553" t="str">
            <v>X</v>
          </cell>
          <cell r="K1553">
            <v>1172110.0800000026</v>
          </cell>
          <cell r="L1553">
            <v>1172110.0800000026</v>
          </cell>
          <cell r="M1553" t="e">
            <v>#N/A</v>
          </cell>
        </row>
        <row r="1554">
          <cell r="C1554" t="e">
            <v>#N/A</v>
          </cell>
          <cell r="E1554" t="e">
            <v>#N/A</v>
          </cell>
          <cell r="F1554" t="e">
            <v>#N/A</v>
          </cell>
          <cell r="G1554" t="e">
            <v>#N/A</v>
          </cell>
          <cell r="H1554">
            <v>0</v>
          </cell>
          <cell r="I1554">
            <v>0</v>
          </cell>
          <cell r="J1554" t="str">
            <v>X</v>
          </cell>
          <cell r="K1554">
            <v>1172110.0800000026</v>
          </cell>
          <cell r="L1554">
            <v>1172110.0800000026</v>
          </cell>
          <cell r="M1554" t="e">
            <v>#N/A</v>
          </cell>
        </row>
        <row r="1555">
          <cell r="C1555" t="e">
            <v>#N/A</v>
          </cell>
          <cell r="E1555" t="e">
            <v>#N/A</v>
          </cell>
          <cell r="F1555" t="e">
            <v>#N/A</v>
          </cell>
          <cell r="G1555" t="e">
            <v>#N/A</v>
          </cell>
          <cell r="H1555">
            <v>0</v>
          </cell>
          <cell r="I1555">
            <v>0</v>
          </cell>
          <cell r="J1555" t="str">
            <v>X</v>
          </cell>
          <cell r="K1555">
            <v>1172110.0800000026</v>
          </cell>
          <cell r="L1555">
            <v>1172110.0800000026</v>
          </cell>
          <cell r="M1555" t="e">
            <v>#N/A</v>
          </cell>
        </row>
        <row r="1556">
          <cell r="C1556" t="e">
            <v>#N/A</v>
          </cell>
          <cell r="E1556" t="e">
            <v>#N/A</v>
          </cell>
          <cell r="F1556" t="e">
            <v>#N/A</v>
          </cell>
          <cell r="G1556" t="e">
            <v>#N/A</v>
          </cell>
          <cell r="H1556">
            <v>0</v>
          </cell>
          <cell r="I1556">
            <v>0</v>
          </cell>
          <cell r="J1556" t="str">
            <v>X</v>
          </cell>
          <cell r="K1556">
            <v>1172110.0800000026</v>
          </cell>
          <cell r="L1556">
            <v>1172110.0800000026</v>
          </cell>
          <cell r="M1556" t="e">
            <v>#N/A</v>
          </cell>
        </row>
        <row r="1557">
          <cell r="C1557" t="e">
            <v>#N/A</v>
          </cell>
          <cell r="E1557" t="e">
            <v>#N/A</v>
          </cell>
          <cell r="F1557" t="e">
            <v>#N/A</v>
          </cell>
          <cell r="G1557" t="e">
            <v>#N/A</v>
          </cell>
          <cell r="H1557">
            <v>0</v>
          </cell>
          <cell r="I1557">
            <v>0</v>
          </cell>
          <cell r="J1557" t="str">
            <v>X</v>
          </cell>
          <cell r="K1557">
            <v>1172110.0800000026</v>
          </cell>
          <cell r="L1557">
            <v>1172110.0800000026</v>
          </cell>
          <cell r="M1557" t="e">
            <v>#N/A</v>
          </cell>
        </row>
        <row r="1558">
          <cell r="C1558" t="e">
            <v>#N/A</v>
          </cell>
          <cell r="E1558" t="e">
            <v>#N/A</v>
          </cell>
          <cell r="F1558" t="e">
            <v>#N/A</v>
          </cell>
          <cell r="G1558" t="e">
            <v>#N/A</v>
          </cell>
          <cell r="H1558">
            <v>0</v>
          </cell>
          <cell r="I1558">
            <v>0</v>
          </cell>
          <cell r="J1558" t="str">
            <v>X</v>
          </cell>
          <cell r="K1558">
            <v>1172110.0800000026</v>
          </cell>
          <cell r="L1558">
            <v>1172110.0800000026</v>
          </cell>
          <cell r="M1558" t="e">
            <v>#N/A</v>
          </cell>
        </row>
        <row r="1559">
          <cell r="C1559" t="e">
            <v>#N/A</v>
          </cell>
          <cell r="E1559" t="e">
            <v>#N/A</v>
          </cell>
          <cell r="F1559" t="e">
            <v>#N/A</v>
          </cell>
          <cell r="G1559" t="e">
            <v>#N/A</v>
          </cell>
          <cell r="H1559">
            <v>0</v>
          </cell>
          <cell r="I1559">
            <v>0</v>
          </cell>
          <cell r="J1559" t="str">
            <v>X</v>
          </cell>
          <cell r="K1559">
            <v>1172110.0800000026</v>
          </cell>
          <cell r="L1559">
            <v>1172110.0800000026</v>
          </cell>
          <cell r="M1559" t="e">
            <v>#N/A</v>
          </cell>
        </row>
        <row r="1560">
          <cell r="C1560" t="e">
            <v>#N/A</v>
          </cell>
          <cell r="E1560" t="e">
            <v>#N/A</v>
          </cell>
          <cell r="F1560" t="e">
            <v>#N/A</v>
          </cell>
          <cell r="G1560" t="e">
            <v>#N/A</v>
          </cell>
          <cell r="H1560">
            <v>0</v>
          </cell>
          <cell r="I1560">
            <v>0</v>
          </cell>
          <cell r="J1560" t="str">
            <v>X</v>
          </cell>
          <cell r="K1560">
            <v>1172110.0800000026</v>
          </cell>
          <cell r="L1560">
            <v>1172110.0800000026</v>
          </cell>
          <cell r="M1560" t="e">
            <v>#N/A</v>
          </cell>
        </row>
        <row r="1561">
          <cell r="C1561" t="e">
            <v>#N/A</v>
          </cell>
          <cell r="E1561" t="e">
            <v>#N/A</v>
          </cell>
          <cell r="F1561" t="e">
            <v>#N/A</v>
          </cell>
          <cell r="G1561" t="e">
            <v>#N/A</v>
          </cell>
          <cell r="H1561">
            <v>0</v>
          </cell>
          <cell r="I1561">
            <v>0</v>
          </cell>
          <cell r="J1561" t="str">
            <v>X</v>
          </cell>
          <cell r="K1561">
            <v>1172110.0800000026</v>
          </cell>
          <cell r="L1561">
            <v>1172110.0800000026</v>
          </cell>
          <cell r="M1561" t="e">
            <v>#N/A</v>
          </cell>
        </row>
        <row r="1562">
          <cell r="C1562" t="e">
            <v>#N/A</v>
          </cell>
          <cell r="E1562" t="e">
            <v>#N/A</v>
          </cell>
          <cell r="F1562" t="e">
            <v>#N/A</v>
          </cell>
          <cell r="G1562" t="e">
            <v>#N/A</v>
          </cell>
          <cell r="H1562">
            <v>0</v>
          </cell>
          <cell r="I1562">
            <v>0</v>
          </cell>
          <cell r="J1562" t="str">
            <v>X</v>
          </cell>
          <cell r="K1562">
            <v>1172110.0800000026</v>
          </cell>
          <cell r="L1562">
            <v>1172110.0800000026</v>
          </cell>
          <cell r="M1562" t="e">
            <v>#N/A</v>
          </cell>
        </row>
        <row r="1563">
          <cell r="C1563" t="e">
            <v>#N/A</v>
          </cell>
          <cell r="E1563" t="e">
            <v>#N/A</v>
          </cell>
          <cell r="F1563" t="e">
            <v>#N/A</v>
          </cell>
          <cell r="G1563" t="e">
            <v>#N/A</v>
          </cell>
          <cell r="H1563">
            <v>0</v>
          </cell>
          <cell r="I1563">
            <v>0</v>
          </cell>
          <cell r="J1563" t="str">
            <v>X</v>
          </cell>
          <cell r="K1563">
            <v>1172110.0800000026</v>
          </cell>
          <cell r="L1563">
            <v>1172110.0800000026</v>
          </cell>
          <cell r="M1563" t="e">
            <v>#N/A</v>
          </cell>
        </row>
        <row r="1564">
          <cell r="C1564" t="e">
            <v>#N/A</v>
          </cell>
          <cell r="E1564" t="e">
            <v>#N/A</v>
          </cell>
          <cell r="F1564" t="e">
            <v>#N/A</v>
          </cell>
          <cell r="G1564" t="e">
            <v>#N/A</v>
          </cell>
          <cell r="H1564">
            <v>0</v>
          </cell>
          <cell r="I1564">
            <v>0</v>
          </cell>
          <cell r="J1564" t="str">
            <v>X</v>
          </cell>
          <cell r="K1564">
            <v>1172110.0800000026</v>
          </cell>
          <cell r="L1564">
            <v>1172110.0800000026</v>
          </cell>
          <cell r="M1564" t="e">
            <v>#N/A</v>
          </cell>
        </row>
        <row r="1565">
          <cell r="C1565" t="e">
            <v>#N/A</v>
          </cell>
          <cell r="E1565" t="e">
            <v>#N/A</v>
          </cell>
          <cell r="F1565" t="e">
            <v>#N/A</v>
          </cell>
          <cell r="G1565" t="e">
            <v>#N/A</v>
          </cell>
          <cell r="H1565">
            <v>0</v>
          </cell>
          <cell r="I1565">
            <v>0</v>
          </cell>
          <cell r="J1565" t="str">
            <v>X</v>
          </cell>
          <cell r="K1565">
            <v>1172110.0800000026</v>
          </cell>
          <cell r="L1565">
            <v>1172110.0800000026</v>
          </cell>
          <cell r="M1565" t="e">
            <v>#N/A</v>
          </cell>
        </row>
        <row r="1566">
          <cell r="C1566" t="e">
            <v>#N/A</v>
          </cell>
          <cell r="E1566" t="e">
            <v>#N/A</v>
          </cell>
          <cell r="F1566" t="e">
            <v>#N/A</v>
          </cell>
          <cell r="G1566" t="e">
            <v>#N/A</v>
          </cell>
          <cell r="H1566">
            <v>0</v>
          </cell>
          <cell r="I1566">
            <v>0</v>
          </cell>
          <cell r="J1566" t="str">
            <v>X</v>
          </cell>
          <cell r="K1566">
            <v>1172110.0800000026</v>
          </cell>
          <cell r="L1566">
            <v>1172110.0800000026</v>
          </cell>
          <cell r="M1566" t="e">
            <v>#N/A</v>
          </cell>
        </row>
        <row r="1567">
          <cell r="C1567" t="e">
            <v>#N/A</v>
          </cell>
          <cell r="E1567" t="e">
            <v>#N/A</v>
          </cell>
          <cell r="F1567" t="e">
            <v>#N/A</v>
          </cell>
          <cell r="G1567" t="e">
            <v>#N/A</v>
          </cell>
          <cell r="H1567">
            <v>0</v>
          </cell>
          <cell r="I1567">
            <v>0</v>
          </cell>
          <cell r="J1567" t="str">
            <v>X</v>
          </cell>
          <cell r="K1567">
            <v>1172110.0800000026</v>
          </cell>
          <cell r="L1567">
            <v>1172110.0800000026</v>
          </cell>
          <cell r="M1567" t="e">
            <v>#N/A</v>
          </cell>
        </row>
        <row r="1568">
          <cell r="C1568" t="e">
            <v>#N/A</v>
          </cell>
          <cell r="E1568" t="e">
            <v>#N/A</v>
          </cell>
          <cell r="F1568" t="e">
            <v>#N/A</v>
          </cell>
          <cell r="G1568" t="e">
            <v>#N/A</v>
          </cell>
          <cell r="H1568">
            <v>0</v>
          </cell>
          <cell r="I1568">
            <v>0</v>
          </cell>
          <cell r="J1568" t="str">
            <v>X</v>
          </cell>
          <cell r="K1568">
            <v>1172110.0800000026</v>
          </cell>
          <cell r="L1568">
            <v>1172110.0800000026</v>
          </cell>
          <cell r="M1568" t="e">
            <v>#N/A</v>
          </cell>
        </row>
        <row r="1569">
          <cell r="C1569" t="e">
            <v>#N/A</v>
          </cell>
          <cell r="E1569" t="e">
            <v>#N/A</v>
          </cell>
          <cell r="F1569" t="e">
            <v>#N/A</v>
          </cell>
          <cell r="G1569" t="e">
            <v>#N/A</v>
          </cell>
          <cell r="H1569">
            <v>0</v>
          </cell>
          <cell r="I1569">
            <v>0</v>
          </cell>
          <cell r="J1569" t="str">
            <v>X</v>
          </cell>
          <cell r="K1569">
            <v>1172110.0800000026</v>
          </cell>
          <cell r="L1569">
            <v>1172110.0800000026</v>
          </cell>
          <cell r="M1569" t="e">
            <v>#N/A</v>
          </cell>
        </row>
        <row r="1570">
          <cell r="C1570" t="e">
            <v>#N/A</v>
          </cell>
          <cell r="E1570" t="e">
            <v>#N/A</v>
          </cell>
          <cell r="F1570" t="e">
            <v>#N/A</v>
          </cell>
          <cell r="G1570" t="e">
            <v>#N/A</v>
          </cell>
          <cell r="H1570">
            <v>0</v>
          </cell>
          <cell r="I1570">
            <v>0</v>
          </cell>
          <cell r="J1570" t="str">
            <v>X</v>
          </cell>
          <cell r="K1570">
            <v>1172110.0800000026</v>
          </cell>
          <cell r="L1570">
            <v>1172110.0800000026</v>
          </cell>
          <cell r="M1570" t="e">
            <v>#N/A</v>
          </cell>
        </row>
        <row r="1571">
          <cell r="C1571" t="e">
            <v>#N/A</v>
          </cell>
          <cell r="E1571" t="e">
            <v>#N/A</v>
          </cell>
          <cell r="F1571" t="e">
            <v>#N/A</v>
          </cell>
          <cell r="G1571" t="e">
            <v>#N/A</v>
          </cell>
          <cell r="H1571">
            <v>0</v>
          </cell>
          <cell r="I1571">
            <v>0</v>
          </cell>
          <cell r="J1571" t="str">
            <v>X</v>
          </cell>
          <cell r="K1571">
            <v>1172110.0800000026</v>
          </cell>
          <cell r="L1571">
            <v>1172110.0800000026</v>
          </cell>
          <cell r="M1571" t="e">
            <v>#N/A</v>
          </cell>
        </row>
        <row r="1572">
          <cell r="C1572" t="e">
            <v>#N/A</v>
          </cell>
          <cell r="E1572" t="e">
            <v>#N/A</v>
          </cell>
          <cell r="F1572" t="e">
            <v>#N/A</v>
          </cell>
          <cell r="G1572" t="e">
            <v>#N/A</v>
          </cell>
          <cell r="H1572">
            <v>0</v>
          </cell>
          <cell r="I1572">
            <v>0</v>
          </cell>
          <cell r="J1572" t="str">
            <v>X</v>
          </cell>
          <cell r="K1572">
            <v>1172110.0800000026</v>
          </cell>
          <cell r="L1572">
            <v>1172110.0800000026</v>
          </cell>
          <cell r="M1572" t="e">
            <v>#N/A</v>
          </cell>
        </row>
        <row r="1573">
          <cell r="C1573" t="e">
            <v>#N/A</v>
          </cell>
          <cell r="E1573" t="e">
            <v>#N/A</v>
          </cell>
          <cell r="F1573" t="e">
            <v>#N/A</v>
          </cell>
          <cell r="G1573" t="e">
            <v>#N/A</v>
          </cell>
          <cell r="H1573">
            <v>0</v>
          </cell>
          <cell r="I1573">
            <v>0</v>
          </cell>
          <cell r="J1573" t="str">
            <v>X</v>
          </cell>
          <cell r="K1573">
            <v>1172110.0800000026</v>
          </cell>
          <cell r="L1573">
            <v>1172110.0800000026</v>
          </cell>
          <cell r="M1573" t="e">
            <v>#N/A</v>
          </cell>
        </row>
        <row r="1574">
          <cell r="C1574" t="e">
            <v>#N/A</v>
          </cell>
          <cell r="E1574" t="e">
            <v>#N/A</v>
          </cell>
          <cell r="F1574" t="e">
            <v>#N/A</v>
          </cell>
          <cell r="G1574" t="e">
            <v>#N/A</v>
          </cell>
          <cell r="H1574">
            <v>0</v>
          </cell>
          <cell r="I1574">
            <v>0</v>
          </cell>
          <cell r="J1574" t="str">
            <v>X</v>
          </cell>
          <cell r="K1574">
            <v>1172110.0800000026</v>
          </cell>
          <cell r="L1574">
            <v>1172110.0800000026</v>
          </cell>
          <cell r="M1574" t="e">
            <v>#N/A</v>
          </cell>
        </row>
        <row r="1575">
          <cell r="C1575" t="e">
            <v>#N/A</v>
          </cell>
          <cell r="E1575" t="e">
            <v>#N/A</v>
          </cell>
          <cell r="F1575" t="e">
            <v>#N/A</v>
          </cell>
          <cell r="G1575" t="e">
            <v>#N/A</v>
          </cell>
          <cell r="H1575">
            <v>0</v>
          </cell>
          <cell r="I1575">
            <v>0</v>
          </cell>
          <cell r="J1575" t="str">
            <v>X</v>
          </cell>
          <cell r="K1575">
            <v>1172110.0800000026</v>
          </cell>
          <cell r="L1575">
            <v>1172110.0800000026</v>
          </cell>
          <cell r="M1575" t="e">
            <v>#N/A</v>
          </cell>
        </row>
        <row r="1576">
          <cell r="C1576" t="e">
            <v>#N/A</v>
          </cell>
          <cell r="E1576" t="e">
            <v>#N/A</v>
          </cell>
          <cell r="F1576" t="e">
            <v>#N/A</v>
          </cell>
          <cell r="G1576" t="e">
            <v>#N/A</v>
          </cell>
          <cell r="H1576">
            <v>0</v>
          </cell>
          <cell r="I1576">
            <v>0</v>
          </cell>
          <cell r="J1576" t="str">
            <v>X</v>
          </cell>
          <cell r="K1576">
            <v>1172110.0800000026</v>
          </cell>
          <cell r="L1576">
            <v>1172110.0800000026</v>
          </cell>
          <cell r="M1576" t="e">
            <v>#N/A</v>
          </cell>
        </row>
        <row r="1577">
          <cell r="C1577" t="e">
            <v>#N/A</v>
          </cell>
          <cell r="E1577" t="e">
            <v>#N/A</v>
          </cell>
          <cell r="F1577" t="e">
            <v>#N/A</v>
          </cell>
          <cell r="G1577" t="e">
            <v>#N/A</v>
          </cell>
          <cell r="H1577">
            <v>0</v>
          </cell>
          <cell r="I1577">
            <v>0</v>
          </cell>
          <cell r="J1577" t="str">
            <v>X</v>
          </cell>
          <cell r="K1577">
            <v>1172110.0800000026</v>
          </cell>
          <cell r="L1577">
            <v>1172110.0800000026</v>
          </cell>
          <cell r="M1577" t="e">
            <v>#N/A</v>
          </cell>
        </row>
        <row r="1578">
          <cell r="C1578" t="e">
            <v>#N/A</v>
          </cell>
          <cell r="E1578" t="e">
            <v>#N/A</v>
          </cell>
          <cell r="F1578" t="e">
            <v>#N/A</v>
          </cell>
          <cell r="G1578" t="e">
            <v>#N/A</v>
          </cell>
          <cell r="H1578">
            <v>0</v>
          </cell>
          <cell r="I1578">
            <v>0</v>
          </cell>
          <cell r="J1578" t="str">
            <v>X</v>
          </cell>
          <cell r="K1578">
            <v>1172110.0800000026</v>
          </cell>
          <cell r="L1578">
            <v>1172110.0800000026</v>
          </cell>
          <cell r="M1578" t="e">
            <v>#N/A</v>
          </cell>
        </row>
        <row r="1579">
          <cell r="C1579" t="e">
            <v>#N/A</v>
          </cell>
          <cell r="E1579" t="e">
            <v>#N/A</v>
          </cell>
          <cell r="F1579" t="e">
            <v>#N/A</v>
          </cell>
          <cell r="G1579" t="e">
            <v>#N/A</v>
          </cell>
          <cell r="H1579">
            <v>0</v>
          </cell>
          <cell r="I1579">
            <v>0</v>
          </cell>
          <cell r="J1579" t="str">
            <v>X</v>
          </cell>
          <cell r="K1579">
            <v>1172110.0800000026</v>
          </cell>
          <cell r="L1579">
            <v>1172110.0800000026</v>
          </cell>
          <cell r="M1579" t="e">
            <v>#N/A</v>
          </cell>
        </row>
        <row r="1580">
          <cell r="C1580" t="e">
            <v>#N/A</v>
          </cell>
          <cell r="E1580" t="e">
            <v>#N/A</v>
          </cell>
          <cell r="F1580" t="e">
            <v>#N/A</v>
          </cell>
          <cell r="G1580" t="e">
            <v>#N/A</v>
          </cell>
          <cell r="H1580">
            <v>0</v>
          </cell>
          <cell r="I1580">
            <v>0</v>
          </cell>
          <cell r="J1580" t="str">
            <v>X</v>
          </cell>
          <cell r="K1580">
            <v>1172110.0800000026</v>
          </cell>
          <cell r="L1580">
            <v>1172110.0800000026</v>
          </cell>
          <cell r="M1580" t="e">
            <v>#N/A</v>
          </cell>
        </row>
        <row r="1581">
          <cell r="C1581" t="e">
            <v>#N/A</v>
          </cell>
          <cell r="E1581" t="e">
            <v>#N/A</v>
          </cell>
          <cell r="F1581" t="e">
            <v>#N/A</v>
          </cell>
          <cell r="G1581" t="e">
            <v>#N/A</v>
          </cell>
          <cell r="H1581">
            <v>0</v>
          </cell>
          <cell r="I1581">
            <v>0</v>
          </cell>
          <cell r="J1581" t="str">
            <v>X</v>
          </cell>
          <cell r="K1581">
            <v>1172110.0800000026</v>
          </cell>
          <cell r="L1581">
            <v>1172110.0800000026</v>
          </cell>
          <cell r="M1581" t="e">
            <v>#N/A</v>
          </cell>
        </row>
        <row r="1582">
          <cell r="C1582" t="e">
            <v>#N/A</v>
          </cell>
          <cell r="E1582" t="e">
            <v>#N/A</v>
          </cell>
          <cell r="F1582" t="e">
            <v>#N/A</v>
          </cell>
          <cell r="G1582" t="e">
            <v>#N/A</v>
          </cell>
          <cell r="H1582">
            <v>0</v>
          </cell>
          <cell r="I1582">
            <v>0</v>
          </cell>
          <cell r="J1582" t="str">
            <v>X</v>
          </cell>
          <cell r="K1582">
            <v>1172110.0800000026</v>
          </cell>
          <cell r="L1582">
            <v>1172110.0800000026</v>
          </cell>
          <cell r="M1582" t="e">
            <v>#N/A</v>
          </cell>
        </row>
        <row r="1583">
          <cell r="C1583" t="e">
            <v>#N/A</v>
          </cell>
          <cell r="E1583" t="e">
            <v>#N/A</v>
          </cell>
          <cell r="F1583" t="e">
            <v>#N/A</v>
          </cell>
          <cell r="G1583" t="e">
            <v>#N/A</v>
          </cell>
          <cell r="H1583">
            <v>0</v>
          </cell>
          <cell r="I1583">
            <v>0</v>
          </cell>
          <cell r="J1583" t="str">
            <v>X</v>
          </cell>
          <cell r="K1583">
            <v>1172110.0800000026</v>
          </cell>
          <cell r="L1583">
            <v>1172110.0800000026</v>
          </cell>
          <cell r="M1583" t="e">
            <v>#N/A</v>
          </cell>
        </row>
        <row r="1584">
          <cell r="C1584" t="e">
            <v>#N/A</v>
          </cell>
          <cell r="E1584" t="e">
            <v>#N/A</v>
          </cell>
          <cell r="F1584" t="e">
            <v>#N/A</v>
          </cell>
          <cell r="G1584" t="e">
            <v>#N/A</v>
          </cell>
          <cell r="H1584">
            <v>0</v>
          </cell>
          <cell r="I1584">
            <v>0</v>
          </cell>
          <cell r="J1584" t="str">
            <v>X</v>
          </cell>
          <cell r="K1584">
            <v>1172110.0800000026</v>
          </cell>
          <cell r="L1584">
            <v>1172110.0800000026</v>
          </cell>
          <cell r="M1584" t="e">
            <v>#N/A</v>
          </cell>
        </row>
        <row r="1585">
          <cell r="C1585" t="e">
            <v>#N/A</v>
          </cell>
          <cell r="E1585" t="e">
            <v>#N/A</v>
          </cell>
          <cell r="F1585" t="e">
            <v>#N/A</v>
          </cell>
          <cell r="G1585" t="e">
            <v>#N/A</v>
          </cell>
          <cell r="H1585">
            <v>0</v>
          </cell>
          <cell r="I1585">
            <v>0</v>
          </cell>
          <cell r="J1585" t="str">
            <v>X</v>
          </cell>
          <cell r="K1585">
            <v>1172110.0800000026</v>
          </cell>
          <cell r="L1585">
            <v>1172110.0800000026</v>
          </cell>
          <cell r="M1585" t="e">
            <v>#N/A</v>
          </cell>
        </row>
        <row r="1586">
          <cell r="C1586" t="e">
            <v>#N/A</v>
          </cell>
          <cell r="E1586" t="e">
            <v>#N/A</v>
          </cell>
          <cell r="F1586" t="e">
            <v>#N/A</v>
          </cell>
          <cell r="G1586" t="e">
            <v>#N/A</v>
          </cell>
          <cell r="H1586">
            <v>0</v>
          </cell>
          <cell r="I1586">
            <v>0</v>
          </cell>
          <cell r="J1586" t="str">
            <v>X</v>
          </cell>
          <cell r="K1586">
            <v>1172110.0800000026</v>
          </cell>
          <cell r="L1586">
            <v>1172110.0800000026</v>
          </cell>
          <cell r="M1586" t="e">
            <v>#N/A</v>
          </cell>
        </row>
        <row r="1587">
          <cell r="C1587" t="e">
            <v>#N/A</v>
          </cell>
          <cell r="E1587" t="e">
            <v>#N/A</v>
          </cell>
          <cell r="F1587" t="e">
            <v>#N/A</v>
          </cell>
          <cell r="G1587" t="e">
            <v>#N/A</v>
          </cell>
          <cell r="H1587">
            <v>0</v>
          </cell>
          <cell r="I1587">
            <v>0</v>
          </cell>
          <cell r="J1587" t="str">
            <v>X</v>
          </cell>
          <cell r="K1587">
            <v>1172110.0800000026</v>
          </cell>
          <cell r="L1587">
            <v>1172110.0800000026</v>
          </cell>
          <cell r="M1587" t="e">
            <v>#N/A</v>
          </cell>
        </row>
        <row r="1588">
          <cell r="C1588" t="e">
            <v>#N/A</v>
          </cell>
          <cell r="E1588" t="e">
            <v>#N/A</v>
          </cell>
          <cell r="F1588" t="e">
            <v>#N/A</v>
          </cell>
          <cell r="G1588" t="e">
            <v>#N/A</v>
          </cell>
          <cell r="H1588">
            <v>0</v>
          </cell>
          <cell r="I1588">
            <v>0</v>
          </cell>
          <cell r="J1588" t="str">
            <v>X</v>
          </cell>
          <cell r="K1588">
            <v>1172110.0800000026</v>
          </cell>
          <cell r="L1588">
            <v>1172110.0800000026</v>
          </cell>
          <cell r="M1588" t="e">
            <v>#N/A</v>
          </cell>
        </row>
        <row r="1589">
          <cell r="C1589" t="e">
            <v>#N/A</v>
          </cell>
          <cell r="E1589" t="e">
            <v>#N/A</v>
          </cell>
          <cell r="F1589" t="e">
            <v>#N/A</v>
          </cell>
          <cell r="G1589" t="e">
            <v>#N/A</v>
          </cell>
          <cell r="H1589">
            <v>0</v>
          </cell>
          <cell r="I1589">
            <v>0</v>
          </cell>
          <cell r="J1589" t="str">
            <v>X</v>
          </cell>
          <cell r="K1589">
            <v>1172110.0800000026</v>
          </cell>
          <cell r="L1589">
            <v>1172110.0800000026</v>
          </cell>
          <cell r="M1589" t="e">
            <v>#N/A</v>
          </cell>
        </row>
        <row r="1590">
          <cell r="C1590" t="e">
            <v>#N/A</v>
          </cell>
          <cell r="E1590" t="e">
            <v>#N/A</v>
          </cell>
          <cell r="F1590" t="e">
            <v>#N/A</v>
          </cell>
          <cell r="G1590" t="e">
            <v>#N/A</v>
          </cell>
          <cell r="H1590">
            <v>0</v>
          </cell>
          <cell r="I1590">
            <v>0</v>
          </cell>
          <cell r="J1590" t="str">
            <v>X</v>
          </cell>
          <cell r="K1590">
            <v>1172110.0800000026</v>
          </cell>
          <cell r="L1590">
            <v>1172110.0800000026</v>
          </cell>
          <cell r="M1590" t="e">
            <v>#N/A</v>
          </cell>
        </row>
        <row r="1591">
          <cell r="C1591" t="e">
            <v>#N/A</v>
          </cell>
          <cell r="E1591" t="e">
            <v>#N/A</v>
          </cell>
          <cell r="F1591" t="e">
            <v>#N/A</v>
          </cell>
          <cell r="G1591" t="e">
            <v>#N/A</v>
          </cell>
          <cell r="H1591">
            <v>0</v>
          </cell>
          <cell r="I1591">
            <v>0</v>
          </cell>
          <cell r="J1591" t="str">
            <v>X</v>
          </cell>
          <cell r="K1591">
            <v>1172110.0800000026</v>
          </cell>
          <cell r="L1591">
            <v>1172110.0800000026</v>
          </cell>
          <cell r="M1591" t="e">
            <v>#N/A</v>
          </cell>
        </row>
        <row r="1592">
          <cell r="C1592" t="e">
            <v>#N/A</v>
          </cell>
          <cell r="E1592" t="e">
            <v>#N/A</v>
          </cell>
          <cell r="F1592" t="e">
            <v>#N/A</v>
          </cell>
          <cell r="G1592" t="e">
            <v>#N/A</v>
          </cell>
          <cell r="H1592">
            <v>0</v>
          </cell>
          <cell r="I1592">
            <v>0</v>
          </cell>
          <cell r="J1592" t="str">
            <v>X</v>
          </cell>
          <cell r="K1592">
            <v>1172110.0800000026</v>
          </cell>
          <cell r="L1592">
            <v>1172110.0800000026</v>
          </cell>
          <cell r="M1592" t="e">
            <v>#N/A</v>
          </cell>
        </row>
        <row r="1593">
          <cell r="C1593" t="e">
            <v>#N/A</v>
          </cell>
          <cell r="E1593" t="e">
            <v>#N/A</v>
          </cell>
          <cell r="F1593" t="e">
            <v>#N/A</v>
          </cell>
          <cell r="G1593" t="e">
            <v>#N/A</v>
          </cell>
          <cell r="H1593">
            <v>0</v>
          </cell>
          <cell r="I1593">
            <v>0</v>
          </cell>
          <cell r="J1593" t="str">
            <v>X</v>
          </cell>
          <cell r="K1593">
            <v>1172110.0800000026</v>
          </cell>
          <cell r="L1593">
            <v>1172110.0800000026</v>
          </cell>
          <cell r="M1593" t="e">
            <v>#N/A</v>
          </cell>
        </row>
        <row r="1594">
          <cell r="C1594" t="e">
            <v>#N/A</v>
          </cell>
          <cell r="E1594" t="e">
            <v>#N/A</v>
          </cell>
          <cell r="F1594" t="e">
            <v>#N/A</v>
          </cell>
          <cell r="G1594" t="e">
            <v>#N/A</v>
          </cell>
          <cell r="H1594">
            <v>0</v>
          </cell>
          <cell r="I1594">
            <v>0</v>
          </cell>
          <cell r="J1594" t="str">
            <v>X</v>
          </cell>
          <cell r="K1594">
            <v>1172110.0800000026</v>
          </cell>
          <cell r="L1594">
            <v>1172110.0800000026</v>
          </cell>
          <cell r="M1594" t="e">
            <v>#N/A</v>
          </cell>
        </row>
        <row r="1595">
          <cell r="C1595" t="e">
            <v>#N/A</v>
          </cell>
          <cell r="E1595" t="e">
            <v>#N/A</v>
          </cell>
          <cell r="F1595" t="e">
            <v>#N/A</v>
          </cell>
          <cell r="G1595" t="e">
            <v>#N/A</v>
          </cell>
          <cell r="H1595">
            <v>0</v>
          </cell>
          <cell r="I1595">
            <v>0</v>
          </cell>
          <cell r="J1595" t="str">
            <v>X</v>
          </cell>
          <cell r="K1595">
            <v>1172110.0800000026</v>
          </cell>
          <cell r="L1595">
            <v>1172110.0800000026</v>
          </cell>
          <cell r="M1595" t="e">
            <v>#N/A</v>
          </cell>
        </row>
        <row r="1596">
          <cell r="C1596" t="e">
            <v>#N/A</v>
          </cell>
          <cell r="E1596" t="e">
            <v>#N/A</v>
          </cell>
          <cell r="F1596" t="e">
            <v>#N/A</v>
          </cell>
          <cell r="G1596" t="e">
            <v>#N/A</v>
          </cell>
          <cell r="H1596">
            <v>0</v>
          </cell>
          <cell r="I1596">
            <v>0</v>
          </cell>
          <cell r="J1596" t="str">
            <v>X</v>
          </cell>
          <cell r="K1596">
            <v>1172110.0800000026</v>
          </cell>
          <cell r="L1596">
            <v>1172110.0800000026</v>
          </cell>
          <cell r="M1596" t="e">
            <v>#N/A</v>
          </cell>
        </row>
        <row r="1597">
          <cell r="C1597" t="e">
            <v>#N/A</v>
          </cell>
          <cell r="E1597" t="e">
            <v>#N/A</v>
          </cell>
          <cell r="F1597" t="e">
            <v>#N/A</v>
          </cell>
          <cell r="G1597" t="e">
            <v>#N/A</v>
          </cell>
          <cell r="H1597">
            <v>0</v>
          </cell>
          <cell r="I1597">
            <v>0</v>
          </cell>
          <cell r="J1597" t="str">
            <v>X</v>
          </cell>
          <cell r="K1597">
            <v>1172110.0800000026</v>
          </cell>
          <cell r="L1597">
            <v>1172110.0800000026</v>
          </cell>
          <cell r="M1597" t="e">
            <v>#N/A</v>
          </cell>
        </row>
        <row r="1598">
          <cell r="C1598" t="e">
            <v>#N/A</v>
          </cell>
          <cell r="E1598" t="e">
            <v>#N/A</v>
          </cell>
          <cell r="F1598" t="e">
            <v>#N/A</v>
          </cell>
          <cell r="G1598" t="e">
            <v>#N/A</v>
          </cell>
          <cell r="H1598">
            <v>0</v>
          </cell>
          <cell r="I1598">
            <v>0</v>
          </cell>
          <cell r="J1598" t="str">
            <v>X</v>
          </cell>
          <cell r="K1598">
            <v>1172110.0800000026</v>
          </cell>
          <cell r="L1598">
            <v>1172110.0800000026</v>
          </cell>
          <cell r="M1598" t="e">
            <v>#N/A</v>
          </cell>
        </row>
        <row r="1599">
          <cell r="C1599" t="e">
            <v>#N/A</v>
          </cell>
          <cell r="E1599" t="e">
            <v>#N/A</v>
          </cell>
          <cell r="F1599" t="e">
            <v>#N/A</v>
          </cell>
          <cell r="G1599" t="e">
            <v>#N/A</v>
          </cell>
          <cell r="H1599">
            <v>0</v>
          </cell>
          <cell r="I1599">
            <v>0</v>
          </cell>
          <cell r="J1599" t="str">
            <v>X</v>
          </cell>
          <cell r="K1599">
            <v>1172110.0800000026</v>
          </cell>
          <cell r="L1599">
            <v>1172110.0800000026</v>
          </cell>
          <cell r="M1599" t="e">
            <v>#N/A</v>
          </cell>
        </row>
        <row r="1600">
          <cell r="C1600" t="e">
            <v>#N/A</v>
          </cell>
          <cell r="E1600" t="e">
            <v>#N/A</v>
          </cell>
          <cell r="F1600" t="e">
            <v>#N/A</v>
          </cell>
          <cell r="G1600" t="e">
            <v>#N/A</v>
          </cell>
          <cell r="H1600">
            <v>0</v>
          </cell>
          <cell r="I1600">
            <v>0</v>
          </cell>
          <cell r="J1600" t="str">
            <v>X</v>
          </cell>
          <cell r="K1600">
            <v>1172110.0800000026</v>
          </cell>
          <cell r="L1600">
            <v>1172110.0800000026</v>
          </cell>
          <cell r="M1600" t="e">
            <v>#N/A</v>
          </cell>
        </row>
        <row r="1601">
          <cell r="C1601" t="e">
            <v>#N/A</v>
          </cell>
          <cell r="E1601" t="e">
            <v>#N/A</v>
          </cell>
          <cell r="F1601" t="e">
            <v>#N/A</v>
          </cell>
          <cell r="G1601" t="e">
            <v>#N/A</v>
          </cell>
          <cell r="H1601">
            <v>0</v>
          </cell>
          <cell r="I1601">
            <v>0</v>
          </cell>
          <cell r="J1601" t="str">
            <v>X</v>
          </cell>
          <cell r="K1601">
            <v>1172110.0800000026</v>
          </cell>
          <cell r="L1601">
            <v>1172110.0800000026</v>
          </cell>
          <cell r="M1601" t="e">
            <v>#N/A</v>
          </cell>
        </row>
        <row r="1602">
          <cell r="C1602" t="e">
            <v>#N/A</v>
          </cell>
          <cell r="E1602" t="e">
            <v>#N/A</v>
          </cell>
          <cell r="F1602" t="e">
            <v>#N/A</v>
          </cell>
          <cell r="G1602" t="e">
            <v>#N/A</v>
          </cell>
          <cell r="H1602">
            <v>0</v>
          </cell>
          <cell r="I1602">
            <v>0</v>
          </cell>
          <cell r="J1602" t="str">
            <v>X</v>
          </cell>
          <cell r="K1602">
            <v>1172110.0800000026</v>
          </cell>
          <cell r="L1602">
            <v>1172110.0800000026</v>
          </cell>
          <cell r="M1602" t="e">
            <v>#N/A</v>
          </cell>
        </row>
        <row r="1603">
          <cell r="C1603" t="e">
            <v>#N/A</v>
          </cell>
          <cell r="E1603" t="e">
            <v>#N/A</v>
          </cell>
          <cell r="F1603" t="e">
            <v>#N/A</v>
          </cell>
          <cell r="G1603" t="e">
            <v>#N/A</v>
          </cell>
          <cell r="H1603">
            <v>0</v>
          </cell>
          <cell r="I1603">
            <v>0</v>
          </cell>
          <cell r="J1603" t="str">
            <v>X</v>
          </cell>
          <cell r="K1603">
            <v>1172110.0800000026</v>
          </cell>
          <cell r="L1603">
            <v>1172110.0800000026</v>
          </cell>
          <cell r="M1603" t="e">
            <v>#N/A</v>
          </cell>
        </row>
        <row r="1604">
          <cell r="C1604" t="e">
            <v>#N/A</v>
          </cell>
          <cell r="E1604" t="e">
            <v>#N/A</v>
          </cell>
          <cell r="F1604" t="e">
            <v>#N/A</v>
          </cell>
          <cell r="G1604" t="e">
            <v>#N/A</v>
          </cell>
          <cell r="H1604">
            <v>0</v>
          </cell>
          <cell r="I1604">
            <v>0</v>
          </cell>
          <cell r="J1604" t="str">
            <v>X</v>
          </cell>
          <cell r="K1604">
            <v>1172110.0800000026</v>
          </cell>
          <cell r="L1604">
            <v>1172110.0800000026</v>
          </cell>
          <cell r="M1604" t="e">
            <v>#N/A</v>
          </cell>
        </row>
        <row r="1605">
          <cell r="C1605" t="e">
            <v>#N/A</v>
          </cell>
          <cell r="E1605" t="e">
            <v>#N/A</v>
          </cell>
          <cell r="F1605" t="e">
            <v>#N/A</v>
          </cell>
          <cell r="G1605" t="e">
            <v>#N/A</v>
          </cell>
          <cell r="H1605">
            <v>0</v>
          </cell>
          <cell r="I1605">
            <v>0</v>
          </cell>
          <cell r="J1605" t="str">
            <v>X</v>
          </cell>
          <cell r="K1605">
            <v>1172110.0800000026</v>
          </cell>
          <cell r="L1605">
            <v>1172110.0800000026</v>
          </cell>
          <cell r="M1605" t="e">
            <v>#N/A</v>
          </cell>
        </row>
        <row r="1606">
          <cell r="C1606" t="e">
            <v>#N/A</v>
          </cell>
          <cell r="E1606" t="e">
            <v>#N/A</v>
          </cell>
          <cell r="F1606" t="e">
            <v>#N/A</v>
          </cell>
          <cell r="G1606" t="e">
            <v>#N/A</v>
          </cell>
          <cell r="H1606">
            <v>0</v>
          </cell>
          <cell r="I1606">
            <v>0</v>
          </cell>
          <cell r="J1606" t="str">
            <v>X</v>
          </cell>
          <cell r="K1606">
            <v>1172110.0800000026</v>
          </cell>
          <cell r="L1606">
            <v>1172110.0800000026</v>
          </cell>
          <cell r="M1606" t="e">
            <v>#N/A</v>
          </cell>
        </row>
        <row r="1607">
          <cell r="C1607" t="e">
            <v>#N/A</v>
          </cell>
          <cell r="E1607" t="e">
            <v>#N/A</v>
          </cell>
          <cell r="F1607" t="e">
            <v>#N/A</v>
          </cell>
          <cell r="G1607" t="e">
            <v>#N/A</v>
          </cell>
          <cell r="H1607">
            <v>0</v>
          </cell>
          <cell r="I1607">
            <v>0</v>
          </cell>
          <cell r="J1607" t="str">
            <v>X</v>
          </cell>
          <cell r="K1607">
            <v>1172110.0800000026</v>
          </cell>
          <cell r="L1607">
            <v>1172110.0800000026</v>
          </cell>
          <cell r="M1607" t="e">
            <v>#N/A</v>
          </cell>
        </row>
        <row r="1608">
          <cell r="C1608" t="e">
            <v>#N/A</v>
          </cell>
          <cell r="E1608" t="e">
            <v>#N/A</v>
          </cell>
          <cell r="F1608" t="e">
            <v>#N/A</v>
          </cell>
          <cell r="G1608" t="e">
            <v>#N/A</v>
          </cell>
          <cell r="H1608">
            <v>0</v>
          </cell>
          <cell r="I1608">
            <v>0</v>
          </cell>
          <cell r="J1608" t="str">
            <v>X</v>
          </cell>
          <cell r="K1608">
            <v>1172110.0800000026</v>
          </cell>
          <cell r="L1608">
            <v>1172110.0800000026</v>
          </cell>
          <cell r="M1608" t="e">
            <v>#N/A</v>
          </cell>
        </row>
        <row r="1609">
          <cell r="C1609" t="e">
            <v>#N/A</v>
          </cell>
          <cell r="E1609" t="e">
            <v>#N/A</v>
          </cell>
          <cell r="F1609" t="e">
            <v>#N/A</v>
          </cell>
          <cell r="G1609" t="e">
            <v>#N/A</v>
          </cell>
          <cell r="H1609">
            <v>0</v>
          </cell>
          <cell r="I1609">
            <v>0</v>
          </cell>
          <cell r="J1609" t="str">
            <v>X</v>
          </cell>
          <cell r="K1609">
            <v>1172110.0800000026</v>
          </cell>
          <cell r="L1609">
            <v>1172110.0800000026</v>
          </cell>
          <cell r="M1609" t="e">
            <v>#N/A</v>
          </cell>
        </row>
        <row r="1610">
          <cell r="C1610" t="e">
            <v>#N/A</v>
          </cell>
          <cell r="E1610" t="e">
            <v>#N/A</v>
          </cell>
          <cell r="F1610" t="e">
            <v>#N/A</v>
          </cell>
          <cell r="G1610" t="e">
            <v>#N/A</v>
          </cell>
          <cell r="H1610">
            <v>0</v>
          </cell>
          <cell r="I1610">
            <v>0</v>
          </cell>
          <cell r="J1610" t="str">
            <v>X</v>
          </cell>
          <cell r="K1610">
            <v>1172110.0800000026</v>
          </cell>
          <cell r="L1610">
            <v>1172110.0800000026</v>
          </cell>
          <cell r="M1610" t="e">
            <v>#N/A</v>
          </cell>
        </row>
        <row r="1611">
          <cell r="C1611" t="e">
            <v>#N/A</v>
          </cell>
          <cell r="E1611" t="e">
            <v>#N/A</v>
          </cell>
          <cell r="F1611" t="e">
            <v>#N/A</v>
          </cell>
          <cell r="G1611" t="e">
            <v>#N/A</v>
          </cell>
          <cell r="H1611">
            <v>0</v>
          </cell>
          <cell r="I1611">
            <v>0</v>
          </cell>
          <cell r="J1611" t="str">
            <v>X</v>
          </cell>
          <cell r="K1611">
            <v>1172110.0800000026</v>
          </cell>
          <cell r="L1611">
            <v>1172110.0800000026</v>
          </cell>
          <cell r="M1611" t="e">
            <v>#N/A</v>
          </cell>
        </row>
        <row r="1612">
          <cell r="C1612" t="e">
            <v>#N/A</v>
          </cell>
          <cell r="E1612" t="e">
            <v>#N/A</v>
          </cell>
          <cell r="F1612" t="e">
            <v>#N/A</v>
          </cell>
          <cell r="G1612" t="e">
            <v>#N/A</v>
          </cell>
          <cell r="H1612">
            <v>0</v>
          </cell>
          <cell r="I1612">
            <v>0</v>
          </cell>
          <cell r="J1612" t="str">
            <v>X</v>
          </cell>
          <cell r="K1612">
            <v>1172110.0800000026</v>
          </cell>
          <cell r="L1612">
            <v>1172110.0800000026</v>
          </cell>
          <cell r="M1612" t="e">
            <v>#N/A</v>
          </cell>
        </row>
        <row r="1613">
          <cell r="C1613" t="e">
            <v>#N/A</v>
          </cell>
          <cell r="E1613" t="e">
            <v>#N/A</v>
          </cell>
          <cell r="F1613" t="e">
            <v>#N/A</v>
          </cell>
          <cell r="G1613" t="e">
            <v>#N/A</v>
          </cell>
          <cell r="H1613">
            <v>0</v>
          </cell>
          <cell r="I1613">
            <v>0</v>
          </cell>
          <cell r="J1613" t="str">
            <v>X</v>
          </cell>
          <cell r="K1613">
            <v>1172110.0800000026</v>
          </cell>
          <cell r="L1613">
            <v>1172110.0800000026</v>
          </cell>
          <cell r="M1613" t="e">
            <v>#N/A</v>
          </cell>
        </row>
        <row r="1614">
          <cell r="C1614" t="e">
            <v>#N/A</v>
          </cell>
          <cell r="E1614" t="e">
            <v>#N/A</v>
          </cell>
          <cell r="F1614" t="e">
            <v>#N/A</v>
          </cell>
          <cell r="G1614" t="e">
            <v>#N/A</v>
          </cell>
          <cell r="H1614">
            <v>0</v>
          </cell>
          <cell r="I1614">
            <v>0</v>
          </cell>
          <cell r="J1614" t="str">
            <v>X</v>
          </cell>
          <cell r="K1614">
            <v>1172110.0800000026</v>
          </cell>
          <cell r="L1614">
            <v>1172110.0800000026</v>
          </cell>
          <cell r="M1614" t="e">
            <v>#N/A</v>
          </cell>
        </row>
        <row r="1615">
          <cell r="C1615" t="e">
            <v>#N/A</v>
          </cell>
          <cell r="E1615" t="e">
            <v>#N/A</v>
          </cell>
          <cell r="F1615" t="e">
            <v>#N/A</v>
          </cell>
          <cell r="G1615" t="e">
            <v>#N/A</v>
          </cell>
          <cell r="H1615">
            <v>0</v>
          </cell>
          <cell r="I1615">
            <v>0</v>
          </cell>
          <cell r="J1615" t="str">
            <v>X</v>
          </cell>
          <cell r="K1615">
            <v>1172110.0800000026</v>
          </cell>
          <cell r="L1615">
            <v>1172110.0800000026</v>
          </cell>
          <cell r="M1615" t="e">
            <v>#N/A</v>
          </cell>
        </row>
        <row r="1616">
          <cell r="C1616" t="e">
            <v>#N/A</v>
          </cell>
          <cell r="E1616" t="e">
            <v>#N/A</v>
          </cell>
          <cell r="F1616" t="e">
            <v>#N/A</v>
          </cell>
          <cell r="G1616" t="e">
            <v>#N/A</v>
          </cell>
          <cell r="H1616">
            <v>0</v>
          </cell>
          <cell r="I1616">
            <v>0</v>
          </cell>
          <cell r="J1616" t="str">
            <v>X</v>
          </cell>
          <cell r="K1616">
            <v>1172110.0800000026</v>
          </cell>
          <cell r="L1616">
            <v>1172110.0800000026</v>
          </cell>
          <cell r="M1616" t="e">
            <v>#N/A</v>
          </cell>
        </row>
        <row r="1617">
          <cell r="C1617" t="e">
            <v>#N/A</v>
          </cell>
          <cell r="E1617" t="e">
            <v>#N/A</v>
          </cell>
          <cell r="F1617" t="e">
            <v>#N/A</v>
          </cell>
          <cell r="G1617" t="e">
            <v>#N/A</v>
          </cell>
          <cell r="H1617">
            <v>0</v>
          </cell>
          <cell r="I1617">
            <v>0</v>
          </cell>
          <cell r="J1617" t="str">
            <v>X</v>
          </cell>
          <cell r="K1617">
            <v>1172110.0800000026</v>
          </cell>
          <cell r="L1617">
            <v>1172110.0800000026</v>
          </cell>
          <cell r="M1617" t="e">
            <v>#N/A</v>
          </cell>
        </row>
        <row r="1618">
          <cell r="C1618" t="e">
            <v>#N/A</v>
          </cell>
          <cell r="E1618" t="e">
            <v>#N/A</v>
          </cell>
          <cell r="F1618" t="e">
            <v>#N/A</v>
          </cell>
          <cell r="G1618" t="e">
            <v>#N/A</v>
          </cell>
          <cell r="H1618">
            <v>0</v>
          </cell>
          <cell r="I1618">
            <v>0</v>
          </cell>
          <cell r="J1618" t="str">
            <v>X</v>
          </cell>
          <cell r="K1618">
            <v>1172110.0800000026</v>
          </cell>
          <cell r="L1618">
            <v>1172110.0800000026</v>
          </cell>
          <cell r="M1618" t="e">
            <v>#N/A</v>
          </cell>
        </row>
        <row r="1619">
          <cell r="C1619" t="e">
            <v>#N/A</v>
          </cell>
          <cell r="E1619" t="e">
            <v>#N/A</v>
          </cell>
          <cell r="F1619" t="e">
            <v>#N/A</v>
          </cell>
          <cell r="G1619" t="e">
            <v>#N/A</v>
          </cell>
          <cell r="H1619">
            <v>0</v>
          </cell>
          <cell r="I1619">
            <v>0</v>
          </cell>
          <cell r="J1619" t="str">
            <v>X</v>
          </cell>
          <cell r="K1619">
            <v>1172110.0800000026</v>
          </cell>
          <cell r="L1619">
            <v>1172110.0800000026</v>
          </cell>
          <cell r="M1619" t="e">
            <v>#N/A</v>
          </cell>
        </row>
        <row r="1620">
          <cell r="C1620" t="e">
            <v>#N/A</v>
          </cell>
          <cell r="E1620" t="e">
            <v>#N/A</v>
          </cell>
          <cell r="F1620" t="e">
            <v>#N/A</v>
          </cell>
          <cell r="G1620" t="e">
            <v>#N/A</v>
          </cell>
          <cell r="H1620">
            <v>0</v>
          </cell>
          <cell r="I1620">
            <v>0</v>
          </cell>
          <cell r="J1620" t="str">
            <v>X</v>
          </cell>
          <cell r="K1620">
            <v>1172110.0800000026</v>
          </cell>
          <cell r="L1620">
            <v>1172110.0800000026</v>
          </cell>
          <cell r="M1620" t="e">
            <v>#N/A</v>
          </cell>
        </row>
        <row r="1621">
          <cell r="C1621" t="e">
            <v>#N/A</v>
          </cell>
          <cell r="E1621" t="e">
            <v>#N/A</v>
          </cell>
          <cell r="F1621" t="e">
            <v>#N/A</v>
          </cell>
          <cell r="G1621" t="e">
            <v>#N/A</v>
          </cell>
          <cell r="H1621">
            <v>0</v>
          </cell>
          <cell r="I1621">
            <v>0</v>
          </cell>
          <cell r="J1621" t="str">
            <v>X</v>
          </cell>
          <cell r="K1621">
            <v>1172110.0800000026</v>
          </cell>
          <cell r="L1621">
            <v>1172110.0800000026</v>
          </cell>
          <cell r="M1621" t="e">
            <v>#N/A</v>
          </cell>
        </row>
        <row r="1622">
          <cell r="C1622" t="e">
            <v>#N/A</v>
          </cell>
          <cell r="E1622" t="e">
            <v>#N/A</v>
          </cell>
          <cell r="F1622" t="e">
            <v>#N/A</v>
          </cell>
          <cell r="G1622" t="e">
            <v>#N/A</v>
          </cell>
          <cell r="H1622">
            <v>0</v>
          </cell>
          <cell r="I1622">
            <v>0</v>
          </cell>
          <cell r="J1622" t="str">
            <v>X</v>
          </cell>
          <cell r="K1622">
            <v>1172110.0800000026</v>
          </cell>
          <cell r="L1622">
            <v>1172110.0800000026</v>
          </cell>
          <cell r="M1622" t="e">
            <v>#N/A</v>
          </cell>
        </row>
        <row r="1623">
          <cell r="C1623" t="e">
            <v>#N/A</v>
          </cell>
          <cell r="E1623" t="e">
            <v>#N/A</v>
          </cell>
          <cell r="F1623" t="e">
            <v>#N/A</v>
          </cell>
          <cell r="G1623" t="e">
            <v>#N/A</v>
          </cell>
          <cell r="H1623">
            <v>0</v>
          </cell>
          <cell r="I1623">
            <v>0</v>
          </cell>
          <cell r="J1623" t="str">
            <v>X</v>
          </cell>
          <cell r="K1623">
            <v>1172110.0800000026</v>
          </cell>
          <cell r="L1623">
            <v>1172110.0800000026</v>
          </cell>
          <cell r="M1623" t="e">
            <v>#N/A</v>
          </cell>
        </row>
        <row r="1624">
          <cell r="C1624" t="e">
            <v>#N/A</v>
          </cell>
          <cell r="E1624" t="e">
            <v>#N/A</v>
          </cell>
          <cell r="F1624" t="e">
            <v>#N/A</v>
          </cell>
          <cell r="G1624" t="e">
            <v>#N/A</v>
          </cell>
          <cell r="H1624">
            <v>0</v>
          </cell>
          <cell r="I1624">
            <v>0</v>
          </cell>
          <cell r="J1624" t="str">
            <v>X</v>
          </cell>
          <cell r="K1624">
            <v>1172110.0800000026</v>
          </cell>
          <cell r="L1624">
            <v>1172110.0800000026</v>
          </cell>
          <cell r="M1624" t="e">
            <v>#N/A</v>
          </cell>
        </row>
        <row r="1625">
          <cell r="C1625" t="e">
            <v>#N/A</v>
          </cell>
          <cell r="E1625" t="e">
            <v>#N/A</v>
          </cell>
          <cell r="F1625" t="e">
            <v>#N/A</v>
          </cell>
          <cell r="G1625" t="e">
            <v>#N/A</v>
          </cell>
          <cell r="H1625">
            <v>0</v>
          </cell>
          <cell r="I1625">
            <v>0</v>
          </cell>
          <cell r="J1625" t="str">
            <v>X</v>
          </cell>
          <cell r="K1625">
            <v>1172110.0800000026</v>
          </cell>
          <cell r="L1625">
            <v>1172110.0800000026</v>
          </cell>
          <cell r="M1625" t="e">
            <v>#N/A</v>
          </cell>
        </row>
        <row r="1626">
          <cell r="C1626" t="e">
            <v>#N/A</v>
          </cell>
          <cell r="E1626" t="e">
            <v>#N/A</v>
          </cell>
          <cell r="F1626" t="e">
            <v>#N/A</v>
          </cell>
          <cell r="G1626" t="e">
            <v>#N/A</v>
          </cell>
          <cell r="H1626">
            <v>0</v>
          </cell>
          <cell r="I1626">
            <v>0</v>
          </cell>
          <cell r="J1626" t="str">
            <v>X</v>
          </cell>
          <cell r="K1626">
            <v>1172110.0800000026</v>
          </cell>
          <cell r="L1626">
            <v>1172110.0800000026</v>
          </cell>
          <cell r="M1626" t="e">
            <v>#N/A</v>
          </cell>
        </row>
        <row r="1627">
          <cell r="C1627" t="e">
            <v>#N/A</v>
          </cell>
          <cell r="E1627" t="e">
            <v>#N/A</v>
          </cell>
          <cell r="F1627" t="e">
            <v>#N/A</v>
          </cell>
          <cell r="G1627" t="e">
            <v>#N/A</v>
          </cell>
          <cell r="H1627">
            <v>0</v>
          </cell>
          <cell r="I1627">
            <v>0</v>
          </cell>
          <cell r="J1627" t="str">
            <v>X</v>
          </cell>
          <cell r="K1627">
            <v>1172110.0800000026</v>
          </cell>
          <cell r="L1627">
            <v>1172110.0800000026</v>
          </cell>
          <cell r="M1627" t="e">
            <v>#N/A</v>
          </cell>
        </row>
        <row r="1628">
          <cell r="C1628" t="e">
            <v>#N/A</v>
          </cell>
          <cell r="E1628" t="e">
            <v>#N/A</v>
          </cell>
          <cell r="F1628" t="e">
            <v>#N/A</v>
          </cell>
          <cell r="G1628" t="e">
            <v>#N/A</v>
          </cell>
          <cell r="H1628">
            <v>0</v>
          </cell>
          <cell r="I1628">
            <v>0</v>
          </cell>
          <cell r="J1628" t="str">
            <v>X</v>
          </cell>
          <cell r="K1628">
            <v>1172110.0800000026</v>
          </cell>
          <cell r="L1628">
            <v>1172110.0800000026</v>
          </cell>
          <cell r="M1628" t="e">
            <v>#N/A</v>
          </cell>
        </row>
        <row r="1629">
          <cell r="C1629" t="e">
            <v>#N/A</v>
          </cell>
          <cell r="E1629" t="e">
            <v>#N/A</v>
          </cell>
          <cell r="F1629" t="e">
            <v>#N/A</v>
          </cell>
          <cell r="G1629" t="e">
            <v>#N/A</v>
          </cell>
          <cell r="H1629">
            <v>0</v>
          </cell>
          <cell r="I1629">
            <v>0</v>
          </cell>
          <cell r="J1629" t="str">
            <v>X</v>
          </cell>
          <cell r="K1629">
            <v>1172110.0800000026</v>
          </cell>
          <cell r="L1629">
            <v>1172110.0800000026</v>
          </cell>
          <cell r="M1629" t="e">
            <v>#N/A</v>
          </cell>
        </row>
        <row r="1630">
          <cell r="C1630" t="e">
            <v>#N/A</v>
          </cell>
          <cell r="E1630" t="e">
            <v>#N/A</v>
          </cell>
          <cell r="F1630" t="e">
            <v>#N/A</v>
          </cell>
          <cell r="G1630" t="e">
            <v>#N/A</v>
          </cell>
          <cell r="H1630">
            <v>0</v>
          </cell>
          <cell r="I1630">
            <v>0</v>
          </cell>
          <cell r="J1630" t="str">
            <v>X</v>
          </cell>
          <cell r="K1630">
            <v>1172110.0800000026</v>
          </cell>
          <cell r="L1630">
            <v>1172110.0800000026</v>
          </cell>
          <cell r="M1630" t="e">
            <v>#N/A</v>
          </cell>
        </row>
        <row r="1631">
          <cell r="C1631" t="e">
            <v>#N/A</v>
          </cell>
          <cell r="E1631" t="e">
            <v>#N/A</v>
          </cell>
          <cell r="F1631" t="e">
            <v>#N/A</v>
          </cell>
          <cell r="G1631" t="e">
            <v>#N/A</v>
          </cell>
          <cell r="H1631">
            <v>0</v>
          </cell>
          <cell r="I1631">
            <v>0</v>
          </cell>
          <cell r="J1631" t="str">
            <v>X</v>
          </cell>
          <cell r="K1631">
            <v>1172110.0800000026</v>
          </cell>
          <cell r="L1631">
            <v>1172110.0800000026</v>
          </cell>
          <cell r="M1631" t="e">
            <v>#N/A</v>
          </cell>
        </row>
        <row r="1632">
          <cell r="C1632" t="e">
            <v>#N/A</v>
          </cell>
          <cell r="E1632" t="e">
            <v>#N/A</v>
          </cell>
          <cell r="F1632" t="e">
            <v>#N/A</v>
          </cell>
          <cell r="G1632" t="e">
            <v>#N/A</v>
          </cell>
          <cell r="H1632">
            <v>0</v>
          </cell>
          <cell r="I1632">
            <v>0</v>
          </cell>
          <cell r="J1632" t="str">
            <v>X</v>
          </cell>
          <cell r="K1632">
            <v>1172110.0800000026</v>
          </cell>
          <cell r="L1632">
            <v>1172110.0800000026</v>
          </cell>
          <cell r="M1632" t="e">
            <v>#N/A</v>
          </cell>
        </row>
        <row r="1633">
          <cell r="C1633" t="e">
            <v>#N/A</v>
          </cell>
          <cell r="E1633" t="e">
            <v>#N/A</v>
          </cell>
          <cell r="F1633" t="e">
            <v>#N/A</v>
          </cell>
          <cell r="G1633" t="e">
            <v>#N/A</v>
          </cell>
          <cell r="H1633">
            <v>0</v>
          </cell>
          <cell r="I1633">
            <v>0</v>
          </cell>
          <cell r="J1633" t="str">
            <v>X</v>
          </cell>
          <cell r="K1633">
            <v>1172110.0800000026</v>
          </cell>
          <cell r="L1633">
            <v>1172110.0800000026</v>
          </cell>
          <cell r="M1633" t="e">
            <v>#N/A</v>
          </cell>
        </row>
        <row r="1634">
          <cell r="C1634" t="e">
            <v>#N/A</v>
          </cell>
          <cell r="E1634" t="e">
            <v>#N/A</v>
          </cell>
          <cell r="F1634" t="e">
            <v>#N/A</v>
          </cell>
          <cell r="G1634" t="e">
            <v>#N/A</v>
          </cell>
          <cell r="H1634">
            <v>0</v>
          </cell>
          <cell r="I1634">
            <v>0</v>
          </cell>
          <cell r="J1634" t="str">
            <v>X</v>
          </cell>
          <cell r="K1634">
            <v>1172110.0800000026</v>
          </cell>
          <cell r="L1634">
            <v>1172110.0800000026</v>
          </cell>
          <cell r="M1634" t="e">
            <v>#N/A</v>
          </cell>
        </row>
        <row r="1635">
          <cell r="C1635" t="e">
            <v>#N/A</v>
          </cell>
          <cell r="E1635" t="e">
            <v>#N/A</v>
          </cell>
          <cell r="F1635" t="e">
            <v>#N/A</v>
          </cell>
          <cell r="G1635" t="e">
            <v>#N/A</v>
          </cell>
          <cell r="H1635">
            <v>0</v>
          </cell>
          <cell r="I1635">
            <v>0</v>
          </cell>
          <cell r="J1635" t="str">
            <v>X</v>
          </cell>
          <cell r="K1635">
            <v>1172110.0800000026</v>
          </cell>
          <cell r="L1635">
            <v>1172110.0800000026</v>
          </cell>
          <cell r="M1635" t="e">
            <v>#N/A</v>
          </cell>
        </row>
        <row r="1636">
          <cell r="C1636" t="e">
            <v>#N/A</v>
          </cell>
          <cell r="E1636" t="e">
            <v>#N/A</v>
          </cell>
          <cell r="F1636" t="e">
            <v>#N/A</v>
          </cell>
          <cell r="G1636" t="e">
            <v>#N/A</v>
          </cell>
          <cell r="H1636">
            <v>0</v>
          </cell>
          <cell r="I1636">
            <v>0</v>
          </cell>
          <cell r="J1636" t="str">
            <v>X</v>
          </cell>
          <cell r="K1636">
            <v>1172110.0800000026</v>
          </cell>
          <cell r="L1636">
            <v>1172110.0800000026</v>
          </cell>
          <cell r="M1636" t="e">
            <v>#N/A</v>
          </cell>
        </row>
        <row r="1637">
          <cell r="C1637" t="e">
            <v>#N/A</v>
          </cell>
          <cell r="E1637" t="e">
            <v>#N/A</v>
          </cell>
          <cell r="F1637" t="e">
            <v>#N/A</v>
          </cell>
          <cell r="G1637" t="e">
            <v>#N/A</v>
          </cell>
          <cell r="H1637">
            <v>0</v>
          </cell>
          <cell r="I1637">
            <v>0</v>
          </cell>
          <cell r="J1637" t="str">
            <v>X</v>
          </cell>
          <cell r="K1637">
            <v>1172110.0800000026</v>
          </cell>
          <cell r="L1637">
            <v>1172110.0800000026</v>
          </cell>
          <cell r="M1637" t="e">
            <v>#N/A</v>
          </cell>
        </row>
        <row r="1638">
          <cell r="C1638" t="e">
            <v>#N/A</v>
          </cell>
          <cell r="E1638" t="e">
            <v>#N/A</v>
          </cell>
          <cell r="F1638" t="e">
            <v>#N/A</v>
          </cell>
          <cell r="G1638" t="e">
            <v>#N/A</v>
          </cell>
          <cell r="H1638">
            <v>0</v>
          </cell>
          <cell r="I1638">
            <v>0</v>
          </cell>
          <cell r="J1638" t="str">
            <v>X</v>
          </cell>
          <cell r="K1638">
            <v>1172110.0800000026</v>
          </cell>
          <cell r="L1638">
            <v>1172110.0800000026</v>
          </cell>
          <cell r="M1638" t="e">
            <v>#N/A</v>
          </cell>
        </row>
        <row r="1639">
          <cell r="C1639" t="e">
            <v>#N/A</v>
          </cell>
          <cell r="E1639" t="e">
            <v>#N/A</v>
          </cell>
          <cell r="F1639" t="e">
            <v>#N/A</v>
          </cell>
          <cell r="G1639" t="e">
            <v>#N/A</v>
          </cell>
          <cell r="H1639">
            <v>0</v>
          </cell>
          <cell r="I1639">
            <v>0</v>
          </cell>
          <cell r="J1639" t="str">
            <v>X</v>
          </cell>
          <cell r="K1639">
            <v>1172110.0800000026</v>
          </cell>
          <cell r="L1639">
            <v>1172110.0800000026</v>
          </cell>
          <cell r="M1639" t="e">
            <v>#N/A</v>
          </cell>
        </row>
        <row r="1640">
          <cell r="C1640" t="e">
            <v>#N/A</v>
          </cell>
          <cell r="E1640" t="e">
            <v>#N/A</v>
          </cell>
          <cell r="F1640" t="e">
            <v>#N/A</v>
          </cell>
          <cell r="G1640" t="e">
            <v>#N/A</v>
          </cell>
          <cell r="H1640">
            <v>0</v>
          </cell>
          <cell r="I1640">
            <v>0</v>
          </cell>
          <cell r="J1640" t="str">
            <v>X</v>
          </cell>
          <cell r="K1640">
            <v>1172110.0800000026</v>
          </cell>
          <cell r="L1640">
            <v>1172110.0800000026</v>
          </cell>
          <cell r="M1640" t="e">
            <v>#N/A</v>
          </cell>
        </row>
        <row r="1641">
          <cell r="C1641" t="e">
            <v>#N/A</v>
          </cell>
          <cell r="E1641" t="e">
            <v>#N/A</v>
          </cell>
          <cell r="F1641" t="e">
            <v>#N/A</v>
          </cell>
          <cell r="G1641" t="e">
            <v>#N/A</v>
          </cell>
          <cell r="H1641">
            <v>0</v>
          </cell>
          <cell r="I1641">
            <v>0</v>
          </cell>
          <cell r="J1641" t="str">
            <v>X</v>
          </cell>
          <cell r="K1641">
            <v>1172110.0800000026</v>
          </cell>
          <cell r="L1641">
            <v>1172110.0800000026</v>
          </cell>
          <cell r="M1641" t="e">
            <v>#N/A</v>
          </cell>
        </row>
        <row r="1642">
          <cell r="C1642" t="e">
            <v>#N/A</v>
          </cell>
          <cell r="E1642" t="e">
            <v>#N/A</v>
          </cell>
          <cell r="F1642" t="e">
            <v>#N/A</v>
          </cell>
          <cell r="G1642" t="e">
            <v>#N/A</v>
          </cell>
          <cell r="H1642">
            <v>0</v>
          </cell>
          <cell r="I1642">
            <v>0</v>
          </cell>
          <cell r="J1642" t="str">
            <v>X</v>
          </cell>
          <cell r="K1642">
            <v>1172110.0800000026</v>
          </cell>
          <cell r="L1642">
            <v>1172110.0800000026</v>
          </cell>
          <cell r="M1642" t="e">
            <v>#N/A</v>
          </cell>
        </row>
        <row r="1643">
          <cell r="C1643" t="e">
            <v>#N/A</v>
          </cell>
          <cell r="E1643" t="e">
            <v>#N/A</v>
          </cell>
          <cell r="F1643" t="e">
            <v>#N/A</v>
          </cell>
          <cell r="G1643" t="e">
            <v>#N/A</v>
          </cell>
          <cell r="H1643">
            <v>0</v>
          </cell>
          <cell r="I1643">
            <v>0</v>
          </cell>
          <cell r="J1643" t="str">
            <v>X</v>
          </cell>
          <cell r="K1643">
            <v>1172110.0800000026</v>
          </cell>
          <cell r="L1643">
            <v>1172110.0800000026</v>
          </cell>
          <cell r="M1643" t="e">
            <v>#N/A</v>
          </cell>
        </row>
        <row r="1644">
          <cell r="C1644" t="e">
            <v>#N/A</v>
          </cell>
          <cell r="E1644" t="e">
            <v>#N/A</v>
          </cell>
          <cell r="F1644" t="e">
            <v>#N/A</v>
          </cell>
          <cell r="G1644" t="e">
            <v>#N/A</v>
          </cell>
          <cell r="H1644">
            <v>0</v>
          </cell>
          <cell r="I1644">
            <v>0</v>
          </cell>
          <cell r="J1644" t="str">
            <v>X</v>
          </cell>
          <cell r="K1644">
            <v>1172110.0800000026</v>
          </cell>
          <cell r="L1644">
            <v>1172110.0800000026</v>
          </cell>
          <cell r="M1644" t="e">
            <v>#N/A</v>
          </cell>
        </row>
        <row r="1645">
          <cell r="C1645" t="e">
            <v>#N/A</v>
          </cell>
          <cell r="E1645" t="e">
            <v>#N/A</v>
          </cell>
          <cell r="F1645" t="e">
            <v>#N/A</v>
          </cell>
          <cell r="G1645" t="e">
            <v>#N/A</v>
          </cell>
          <cell r="H1645">
            <v>0</v>
          </cell>
          <cell r="I1645">
            <v>0</v>
          </cell>
          <cell r="J1645" t="str">
            <v>X</v>
          </cell>
          <cell r="K1645">
            <v>1172110.0800000026</v>
          </cell>
          <cell r="L1645">
            <v>1172110.0800000026</v>
          </cell>
          <cell r="M1645" t="e">
            <v>#N/A</v>
          </cell>
        </row>
        <row r="1646">
          <cell r="C1646" t="e">
            <v>#N/A</v>
          </cell>
          <cell r="E1646" t="e">
            <v>#N/A</v>
          </cell>
          <cell r="F1646" t="e">
            <v>#N/A</v>
          </cell>
          <cell r="G1646" t="e">
            <v>#N/A</v>
          </cell>
          <cell r="H1646">
            <v>0</v>
          </cell>
          <cell r="I1646">
            <v>0</v>
          </cell>
          <cell r="J1646" t="str">
            <v>X</v>
          </cell>
          <cell r="K1646">
            <v>1172110.0800000026</v>
          </cell>
          <cell r="L1646">
            <v>1172110.0800000026</v>
          </cell>
          <cell r="M1646" t="e">
            <v>#N/A</v>
          </cell>
        </row>
        <row r="1647">
          <cell r="C1647" t="e">
            <v>#N/A</v>
          </cell>
          <cell r="E1647" t="e">
            <v>#N/A</v>
          </cell>
          <cell r="F1647" t="e">
            <v>#N/A</v>
          </cell>
          <cell r="G1647" t="e">
            <v>#N/A</v>
          </cell>
          <cell r="H1647">
            <v>0</v>
          </cell>
          <cell r="I1647">
            <v>0</v>
          </cell>
          <cell r="J1647" t="str">
            <v>X</v>
          </cell>
          <cell r="K1647">
            <v>1172110.0800000026</v>
          </cell>
          <cell r="L1647">
            <v>1172110.0800000026</v>
          </cell>
          <cell r="M1647" t="e">
            <v>#N/A</v>
          </cell>
        </row>
        <row r="1648">
          <cell r="C1648" t="e">
            <v>#N/A</v>
          </cell>
          <cell r="E1648" t="e">
            <v>#N/A</v>
          </cell>
          <cell r="F1648" t="e">
            <v>#N/A</v>
          </cell>
          <cell r="G1648" t="e">
            <v>#N/A</v>
          </cell>
          <cell r="H1648">
            <v>0</v>
          </cell>
          <cell r="I1648">
            <v>0</v>
          </cell>
          <cell r="J1648" t="str">
            <v>X</v>
          </cell>
          <cell r="K1648">
            <v>1172110.0800000026</v>
          </cell>
          <cell r="L1648">
            <v>1172110.0800000026</v>
          </cell>
          <cell r="M1648" t="e">
            <v>#N/A</v>
          </cell>
        </row>
        <row r="1649">
          <cell r="C1649" t="e">
            <v>#N/A</v>
          </cell>
          <cell r="E1649" t="e">
            <v>#N/A</v>
          </cell>
          <cell r="F1649" t="e">
            <v>#N/A</v>
          </cell>
          <cell r="G1649" t="e">
            <v>#N/A</v>
          </cell>
          <cell r="H1649">
            <v>0</v>
          </cell>
          <cell r="I1649">
            <v>0</v>
          </cell>
          <cell r="J1649" t="str">
            <v>X</v>
          </cell>
          <cell r="K1649">
            <v>1172110.0800000026</v>
          </cell>
          <cell r="L1649">
            <v>1172110.0800000026</v>
          </cell>
          <cell r="M1649" t="e">
            <v>#N/A</v>
          </cell>
        </row>
        <row r="1650">
          <cell r="C1650" t="e">
            <v>#N/A</v>
          </cell>
          <cell r="E1650" t="e">
            <v>#N/A</v>
          </cell>
          <cell r="F1650" t="e">
            <v>#N/A</v>
          </cell>
          <cell r="G1650" t="e">
            <v>#N/A</v>
          </cell>
          <cell r="H1650">
            <v>0</v>
          </cell>
          <cell r="I1650">
            <v>0</v>
          </cell>
          <cell r="J1650" t="str">
            <v>X</v>
          </cell>
          <cell r="K1650">
            <v>1172110.0800000026</v>
          </cell>
          <cell r="L1650">
            <v>1172110.0800000026</v>
          </cell>
          <cell r="M1650" t="e">
            <v>#N/A</v>
          </cell>
        </row>
        <row r="1651">
          <cell r="C1651" t="e">
            <v>#N/A</v>
          </cell>
          <cell r="E1651" t="e">
            <v>#N/A</v>
          </cell>
          <cell r="F1651" t="e">
            <v>#N/A</v>
          </cell>
          <cell r="G1651" t="e">
            <v>#N/A</v>
          </cell>
          <cell r="H1651">
            <v>0</v>
          </cell>
          <cell r="I1651">
            <v>0</v>
          </cell>
          <cell r="J1651" t="str">
            <v>X</v>
          </cell>
          <cell r="K1651">
            <v>1172110.0800000026</v>
          </cell>
          <cell r="L1651">
            <v>1172110.0800000026</v>
          </cell>
          <cell r="M1651" t="e">
            <v>#N/A</v>
          </cell>
        </row>
        <row r="1652">
          <cell r="C1652" t="e">
            <v>#N/A</v>
          </cell>
          <cell r="E1652" t="e">
            <v>#N/A</v>
          </cell>
          <cell r="F1652" t="e">
            <v>#N/A</v>
          </cell>
          <cell r="G1652" t="e">
            <v>#N/A</v>
          </cell>
          <cell r="H1652">
            <v>0</v>
          </cell>
          <cell r="I1652">
            <v>0</v>
          </cell>
          <cell r="J1652" t="str">
            <v>X</v>
          </cell>
          <cell r="K1652">
            <v>1172110.0800000026</v>
          </cell>
          <cell r="L1652">
            <v>1172110.0800000026</v>
          </cell>
          <cell r="M1652" t="e">
            <v>#N/A</v>
          </cell>
        </row>
        <row r="1653">
          <cell r="C1653" t="e">
            <v>#N/A</v>
          </cell>
          <cell r="E1653" t="e">
            <v>#N/A</v>
          </cell>
          <cell r="F1653" t="e">
            <v>#N/A</v>
          </cell>
          <cell r="G1653" t="e">
            <v>#N/A</v>
          </cell>
          <cell r="H1653">
            <v>0</v>
          </cell>
          <cell r="I1653">
            <v>0</v>
          </cell>
          <cell r="J1653" t="str">
            <v>X</v>
          </cell>
          <cell r="K1653">
            <v>1172110.0800000026</v>
          </cell>
          <cell r="L1653">
            <v>1172110.0800000026</v>
          </cell>
          <cell r="M1653" t="e">
            <v>#N/A</v>
          </cell>
        </row>
        <row r="1654">
          <cell r="C1654" t="e">
            <v>#N/A</v>
          </cell>
          <cell r="E1654" t="e">
            <v>#N/A</v>
          </cell>
          <cell r="F1654" t="e">
            <v>#N/A</v>
          </cell>
          <cell r="G1654" t="e">
            <v>#N/A</v>
          </cell>
          <cell r="H1654">
            <v>0</v>
          </cell>
          <cell r="I1654">
            <v>0</v>
          </cell>
          <cell r="J1654" t="str">
            <v>X</v>
          </cell>
          <cell r="K1654">
            <v>1172110.0800000026</v>
          </cell>
          <cell r="L1654">
            <v>1172110.0800000026</v>
          </cell>
          <cell r="M1654" t="e">
            <v>#N/A</v>
          </cell>
        </row>
        <row r="1655">
          <cell r="C1655" t="e">
            <v>#N/A</v>
          </cell>
          <cell r="E1655" t="e">
            <v>#N/A</v>
          </cell>
          <cell r="F1655" t="e">
            <v>#N/A</v>
          </cell>
          <cell r="G1655" t="e">
            <v>#N/A</v>
          </cell>
          <cell r="H1655">
            <v>0</v>
          </cell>
          <cell r="I1655">
            <v>0</v>
          </cell>
          <cell r="J1655" t="str">
            <v>X</v>
          </cell>
          <cell r="K1655">
            <v>1172110.0800000026</v>
          </cell>
          <cell r="L1655">
            <v>1172110.0800000026</v>
          </cell>
          <cell r="M1655" t="e">
            <v>#N/A</v>
          </cell>
        </row>
        <row r="1656">
          <cell r="C1656" t="e">
            <v>#N/A</v>
          </cell>
          <cell r="E1656" t="e">
            <v>#N/A</v>
          </cell>
          <cell r="F1656" t="e">
            <v>#N/A</v>
          </cell>
          <cell r="G1656" t="e">
            <v>#N/A</v>
          </cell>
          <cell r="H1656">
            <v>0</v>
          </cell>
          <cell r="I1656">
            <v>0</v>
          </cell>
          <cell r="J1656" t="str">
            <v>X</v>
          </cell>
          <cell r="K1656">
            <v>1172110.0800000026</v>
          </cell>
          <cell r="L1656">
            <v>1172110.0800000026</v>
          </cell>
          <cell r="M1656" t="e">
            <v>#N/A</v>
          </cell>
        </row>
        <row r="1657">
          <cell r="C1657" t="e">
            <v>#N/A</v>
          </cell>
          <cell r="E1657" t="e">
            <v>#N/A</v>
          </cell>
          <cell r="F1657" t="e">
            <v>#N/A</v>
          </cell>
          <cell r="G1657" t="e">
            <v>#N/A</v>
          </cell>
          <cell r="H1657">
            <v>0</v>
          </cell>
          <cell r="I1657">
            <v>0</v>
          </cell>
          <cell r="J1657" t="str">
            <v>X</v>
          </cell>
          <cell r="K1657">
            <v>1172110.0800000026</v>
          </cell>
          <cell r="L1657">
            <v>1172110.0800000026</v>
          </cell>
          <cell r="M1657" t="e">
            <v>#N/A</v>
          </cell>
        </row>
        <row r="1658">
          <cell r="C1658" t="e">
            <v>#N/A</v>
          </cell>
          <cell r="E1658" t="e">
            <v>#N/A</v>
          </cell>
          <cell r="F1658" t="e">
            <v>#N/A</v>
          </cell>
          <cell r="G1658" t="e">
            <v>#N/A</v>
          </cell>
          <cell r="H1658">
            <v>0</v>
          </cell>
          <cell r="I1658">
            <v>0</v>
          </cell>
          <cell r="J1658" t="str">
            <v>X</v>
          </cell>
          <cell r="K1658">
            <v>1172110.0800000026</v>
          </cell>
          <cell r="L1658">
            <v>1172110.0800000026</v>
          </cell>
          <cell r="M1658" t="e">
            <v>#N/A</v>
          </cell>
        </row>
        <row r="1659">
          <cell r="C1659" t="e">
            <v>#N/A</v>
          </cell>
          <cell r="E1659" t="e">
            <v>#N/A</v>
          </cell>
          <cell r="F1659" t="e">
            <v>#N/A</v>
          </cell>
          <cell r="G1659" t="e">
            <v>#N/A</v>
          </cell>
          <cell r="H1659">
            <v>0</v>
          </cell>
          <cell r="I1659">
            <v>0</v>
          </cell>
          <cell r="J1659" t="str">
            <v>X</v>
          </cell>
          <cell r="K1659">
            <v>1172110.0800000026</v>
          </cell>
          <cell r="L1659">
            <v>1172110.0800000026</v>
          </cell>
          <cell r="M1659" t="e">
            <v>#N/A</v>
          </cell>
        </row>
        <row r="1660">
          <cell r="C1660" t="e">
            <v>#N/A</v>
          </cell>
          <cell r="E1660" t="e">
            <v>#N/A</v>
          </cell>
          <cell r="F1660" t="e">
            <v>#N/A</v>
          </cell>
          <cell r="G1660" t="e">
            <v>#N/A</v>
          </cell>
          <cell r="H1660">
            <v>0</v>
          </cell>
          <cell r="I1660">
            <v>0</v>
          </cell>
          <cell r="J1660" t="str">
            <v>X</v>
          </cell>
          <cell r="K1660">
            <v>1172110.0800000026</v>
          </cell>
          <cell r="L1660">
            <v>1172110.0800000026</v>
          </cell>
          <cell r="M1660" t="e">
            <v>#N/A</v>
          </cell>
        </row>
        <row r="1661">
          <cell r="C1661" t="e">
            <v>#N/A</v>
          </cell>
          <cell r="E1661" t="e">
            <v>#N/A</v>
          </cell>
          <cell r="F1661" t="e">
            <v>#N/A</v>
          </cell>
          <cell r="G1661" t="e">
            <v>#N/A</v>
          </cell>
          <cell r="H1661">
            <v>0</v>
          </cell>
          <cell r="I1661">
            <v>0</v>
          </cell>
          <cell r="J1661" t="str">
            <v>X</v>
          </cell>
          <cell r="K1661">
            <v>1172110.0800000026</v>
          </cell>
          <cell r="L1661">
            <v>1172110.0800000026</v>
          </cell>
          <cell r="M1661" t="e">
            <v>#N/A</v>
          </cell>
        </row>
        <row r="1662">
          <cell r="C1662" t="e">
            <v>#N/A</v>
          </cell>
          <cell r="E1662" t="e">
            <v>#N/A</v>
          </cell>
          <cell r="F1662" t="e">
            <v>#N/A</v>
          </cell>
          <cell r="G1662" t="e">
            <v>#N/A</v>
          </cell>
          <cell r="H1662">
            <v>0</v>
          </cell>
          <cell r="I1662">
            <v>0</v>
          </cell>
          <cell r="J1662" t="str">
            <v>X</v>
          </cell>
          <cell r="K1662">
            <v>1172110.0800000026</v>
          </cell>
          <cell r="L1662">
            <v>1172110.0800000026</v>
          </cell>
          <cell r="M1662" t="e">
            <v>#N/A</v>
          </cell>
        </row>
        <row r="1663">
          <cell r="C1663" t="e">
            <v>#N/A</v>
          </cell>
          <cell r="E1663" t="e">
            <v>#N/A</v>
          </cell>
          <cell r="F1663" t="e">
            <v>#N/A</v>
          </cell>
          <cell r="G1663" t="e">
            <v>#N/A</v>
          </cell>
          <cell r="H1663">
            <v>0</v>
          </cell>
          <cell r="I1663">
            <v>0</v>
          </cell>
          <cell r="J1663" t="str">
            <v>X</v>
          </cell>
          <cell r="K1663">
            <v>1172110.0800000026</v>
          </cell>
          <cell r="L1663">
            <v>1172110.0800000026</v>
          </cell>
          <cell r="M1663" t="e">
            <v>#N/A</v>
          </cell>
        </row>
        <row r="1664">
          <cell r="C1664" t="e">
            <v>#N/A</v>
          </cell>
          <cell r="E1664" t="e">
            <v>#N/A</v>
          </cell>
          <cell r="F1664" t="e">
            <v>#N/A</v>
          </cell>
          <cell r="G1664" t="e">
            <v>#N/A</v>
          </cell>
          <cell r="H1664">
            <v>0</v>
          </cell>
          <cell r="I1664">
            <v>0</v>
          </cell>
          <cell r="J1664" t="str">
            <v>X</v>
          </cell>
          <cell r="K1664">
            <v>1172110.0800000026</v>
          </cell>
          <cell r="L1664">
            <v>1172110.0800000026</v>
          </cell>
          <cell r="M1664" t="e">
            <v>#N/A</v>
          </cell>
        </row>
        <row r="1665">
          <cell r="C1665" t="e">
            <v>#N/A</v>
          </cell>
          <cell r="E1665" t="e">
            <v>#N/A</v>
          </cell>
          <cell r="F1665" t="e">
            <v>#N/A</v>
          </cell>
          <cell r="G1665" t="e">
            <v>#N/A</v>
          </cell>
          <cell r="H1665">
            <v>0</v>
          </cell>
          <cell r="I1665">
            <v>0</v>
          </cell>
          <cell r="J1665" t="str">
            <v>X</v>
          </cell>
          <cell r="K1665">
            <v>1172110.0800000026</v>
          </cell>
          <cell r="L1665">
            <v>1172110.0800000026</v>
          </cell>
          <cell r="M1665" t="e">
            <v>#N/A</v>
          </cell>
        </row>
        <row r="1666">
          <cell r="C1666" t="e">
            <v>#N/A</v>
          </cell>
          <cell r="E1666" t="e">
            <v>#N/A</v>
          </cell>
          <cell r="F1666" t="e">
            <v>#N/A</v>
          </cell>
          <cell r="G1666" t="e">
            <v>#N/A</v>
          </cell>
          <cell r="H1666">
            <v>0</v>
          </cell>
          <cell r="I1666">
            <v>0</v>
          </cell>
          <cell r="J1666" t="str">
            <v>X</v>
          </cell>
          <cell r="K1666">
            <v>1172110.0800000026</v>
          </cell>
          <cell r="L1666">
            <v>1172110.0800000026</v>
          </cell>
          <cell r="M1666" t="e">
            <v>#N/A</v>
          </cell>
        </row>
        <row r="1667">
          <cell r="C1667" t="e">
            <v>#N/A</v>
          </cell>
          <cell r="E1667" t="e">
            <v>#N/A</v>
          </cell>
          <cell r="F1667" t="e">
            <v>#N/A</v>
          </cell>
          <cell r="G1667" t="e">
            <v>#N/A</v>
          </cell>
          <cell r="H1667">
            <v>0</v>
          </cell>
          <cell r="I1667">
            <v>0</v>
          </cell>
          <cell r="J1667" t="str">
            <v>X</v>
          </cell>
          <cell r="K1667">
            <v>1172110.0800000026</v>
          </cell>
          <cell r="L1667">
            <v>1172110.0800000026</v>
          </cell>
          <cell r="M1667" t="e">
            <v>#N/A</v>
          </cell>
        </row>
        <row r="1668">
          <cell r="C1668" t="e">
            <v>#N/A</v>
          </cell>
          <cell r="E1668" t="e">
            <v>#N/A</v>
          </cell>
          <cell r="F1668" t="e">
            <v>#N/A</v>
          </cell>
          <cell r="G1668" t="e">
            <v>#N/A</v>
          </cell>
          <cell r="H1668">
            <v>0</v>
          </cell>
          <cell r="I1668">
            <v>0</v>
          </cell>
          <cell r="J1668" t="str">
            <v>X</v>
          </cell>
          <cell r="K1668">
            <v>1172110.0800000026</v>
          </cell>
          <cell r="L1668">
            <v>1172110.0800000026</v>
          </cell>
          <cell r="M1668" t="e">
            <v>#N/A</v>
          </cell>
        </row>
        <row r="1669">
          <cell r="C1669" t="e">
            <v>#N/A</v>
          </cell>
          <cell r="E1669" t="e">
            <v>#N/A</v>
          </cell>
          <cell r="F1669" t="e">
            <v>#N/A</v>
          </cell>
          <cell r="G1669" t="e">
            <v>#N/A</v>
          </cell>
          <cell r="H1669">
            <v>0</v>
          </cell>
          <cell r="I1669">
            <v>0</v>
          </cell>
          <cell r="J1669" t="str">
            <v>X</v>
          </cell>
          <cell r="K1669">
            <v>1172110.0800000026</v>
          </cell>
          <cell r="L1669">
            <v>1172110.0800000026</v>
          </cell>
          <cell r="M1669" t="e">
            <v>#N/A</v>
          </cell>
        </row>
        <row r="1670">
          <cell r="C1670" t="e">
            <v>#N/A</v>
          </cell>
          <cell r="E1670" t="e">
            <v>#N/A</v>
          </cell>
          <cell r="F1670" t="e">
            <v>#N/A</v>
          </cell>
          <cell r="G1670" t="e">
            <v>#N/A</v>
          </cell>
          <cell r="H1670">
            <v>0</v>
          </cell>
          <cell r="I1670">
            <v>0</v>
          </cell>
          <cell r="J1670" t="str">
            <v>X</v>
          </cell>
          <cell r="K1670">
            <v>1172110.0800000026</v>
          </cell>
          <cell r="L1670">
            <v>1172110.0800000026</v>
          </cell>
          <cell r="M1670" t="e">
            <v>#N/A</v>
          </cell>
        </row>
        <row r="1671">
          <cell r="C1671" t="e">
            <v>#N/A</v>
          </cell>
          <cell r="E1671" t="e">
            <v>#N/A</v>
          </cell>
          <cell r="F1671" t="e">
            <v>#N/A</v>
          </cell>
          <cell r="G1671" t="e">
            <v>#N/A</v>
          </cell>
          <cell r="H1671">
            <v>0</v>
          </cell>
          <cell r="I1671">
            <v>0</v>
          </cell>
          <cell r="J1671" t="str">
            <v>X</v>
          </cell>
          <cell r="K1671">
            <v>1172110.0800000026</v>
          </cell>
          <cell r="L1671">
            <v>1172110.0800000026</v>
          </cell>
          <cell r="M1671" t="e">
            <v>#N/A</v>
          </cell>
        </row>
        <row r="1672">
          <cell r="C1672" t="e">
            <v>#N/A</v>
          </cell>
          <cell r="E1672" t="e">
            <v>#N/A</v>
          </cell>
          <cell r="F1672" t="e">
            <v>#N/A</v>
          </cell>
          <cell r="G1672" t="e">
            <v>#N/A</v>
          </cell>
          <cell r="H1672">
            <v>0</v>
          </cell>
          <cell r="I1672">
            <v>0</v>
          </cell>
          <cell r="J1672" t="str">
            <v>X</v>
          </cell>
          <cell r="K1672">
            <v>1172110.0800000026</v>
          </cell>
          <cell r="L1672">
            <v>1172110.0800000026</v>
          </cell>
          <cell r="M1672" t="e">
            <v>#N/A</v>
          </cell>
        </row>
        <row r="1673">
          <cell r="C1673" t="e">
            <v>#N/A</v>
          </cell>
          <cell r="E1673" t="e">
            <v>#N/A</v>
          </cell>
          <cell r="F1673" t="e">
            <v>#N/A</v>
          </cell>
          <cell r="G1673" t="e">
            <v>#N/A</v>
          </cell>
          <cell r="H1673">
            <v>0</v>
          </cell>
          <cell r="I1673">
            <v>0</v>
          </cell>
          <cell r="J1673" t="str">
            <v>X</v>
          </cell>
          <cell r="K1673">
            <v>1172110.0800000026</v>
          </cell>
          <cell r="L1673">
            <v>1172110.0800000026</v>
          </cell>
          <cell r="M1673" t="e">
            <v>#N/A</v>
          </cell>
        </row>
        <row r="1674">
          <cell r="C1674" t="e">
            <v>#N/A</v>
          </cell>
          <cell r="E1674" t="e">
            <v>#N/A</v>
          </cell>
          <cell r="F1674" t="e">
            <v>#N/A</v>
          </cell>
          <cell r="G1674" t="e">
            <v>#N/A</v>
          </cell>
          <cell r="H1674">
            <v>0</v>
          </cell>
          <cell r="I1674">
            <v>0</v>
          </cell>
          <cell r="J1674" t="str">
            <v>X</v>
          </cell>
          <cell r="K1674">
            <v>1172110.0800000026</v>
          </cell>
          <cell r="L1674">
            <v>1172110.0800000026</v>
          </cell>
          <cell r="M1674" t="e">
            <v>#N/A</v>
          </cell>
        </row>
        <row r="1675">
          <cell r="C1675" t="e">
            <v>#N/A</v>
          </cell>
          <cell r="E1675" t="e">
            <v>#N/A</v>
          </cell>
          <cell r="F1675" t="e">
            <v>#N/A</v>
          </cell>
          <cell r="G1675" t="e">
            <v>#N/A</v>
          </cell>
          <cell r="H1675">
            <v>0</v>
          </cell>
          <cell r="I1675">
            <v>0</v>
          </cell>
          <cell r="J1675" t="str">
            <v>X</v>
          </cell>
          <cell r="K1675">
            <v>1172110.0800000026</v>
          </cell>
          <cell r="L1675">
            <v>1172110.0800000026</v>
          </cell>
          <cell r="M1675" t="e">
            <v>#N/A</v>
          </cell>
        </row>
        <row r="1676">
          <cell r="C1676" t="e">
            <v>#N/A</v>
          </cell>
          <cell r="E1676" t="e">
            <v>#N/A</v>
          </cell>
          <cell r="F1676" t="e">
            <v>#N/A</v>
          </cell>
          <cell r="G1676" t="e">
            <v>#N/A</v>
          </cell>
          <cell r="H1676">
            <v>0</v>
          </cell>
          <cell r="I1676">
            <v>0</v>
          </cell>
          <cell r="J1676" t="str">
            <v>X</v>
          </cell>
          <cell r="K1676">
            <v>1172110.0800000026</v>
          </cell>
          <cell r="L1676">
            <v>1172110.0800000026</v>
          </cell>
          <cell r="M1676" t="e">
            <v>#N/A</v>
          </cell>
        </row>
        <row r="1677">
          <cell r="C1677" t="e">
            <v>#N/A</v>
          </cell>
          <cell r="E1677" t="e">
            <v>#N/A</v>
          </cell>
          <cell r="F1677" t="e">
            <v>#N/A</v>
          </cell>
          <cell r="G1677" t="e">
            <v>#N/A</v>
          </cell>
          <cell r="H1677">
            <v>0</v>
          </cell>
          <cell r="I1677">
            <v>0</v>
          </cell>
          <cell r="J1677" t="str">
            <v>X</v>
          </cell>
          <cell r="K1677">
            <v>1172110.0800000026</v>
          </cell>
          <cell r="L1677">
            <v>1172110.0800000026</v>
          </cell>
          <cell r="M1677" t="e">
            <v>#N/A</v>
          </cell>
        </row>
        <row r="1678">
          <cell r="C1678" t="e">
            <v>#N/A</v>
          </cell>
          <cell r="E1678" t="e">
            <v>#N/A</v>
          </cell>
          <cell r="F1678" t="e">
            <v>#N/A</v>
          </cell>
          <cell r="G1678" t="e">
            <v>#N/A</v>
          </cell>
          <cell r="H1678">
            <v>0</v>
          </cell>
          <cell r="I1678">
            <v>0</v>
          </cell>
          <cell r="J1678" t="str">
            <v>X</v>
          </cell>
          <cell r="K1678">
            <v>1172110.0800000026</v>
          </cell>
          <cell r="L1678">
            <v>1172110.0800000026</v>
          </cell>
          <cell r="M1678" t="e">
            <v>#N/A</v>
          </cell>
        </row>
        <row r="1679">
          <cell r="C1679" t="e">
            <v>#N/A</v>
          </cell>
          <cell r="E1679" t="e">
            <v>#N/A</v>
          </cell>
          <cell r="F1679" t="e">
            <v>#N/A</v>
          </cell>
          <cell r="G1679" t="e">
            <v>#N/A</v>
          </cell>
          <cell r="H1679">
            <v>0</v>
          </cell>
          <cell r="I1679">
            <v>0</v>
          </cell>
          <cell r="J1679" t="str">
            <v>X</v>
          </cell>
          <cell r="K1679">
            <v>1172110.0800000026</v>
          </cell>
          <cell r="L1679">
            <v>1172110.0800000026</v>
          </cell>
          <cell r="M1679" t="e">
            <v>#N/A</v>
          </cell>
        </row>
        <row r="1680">
          <cell r="C1680" t="e">
            <v>#N/A</v>
          </cell>
          <cell r="E1680" t="e">
            <v>#N/A</v>
          </cell>
          <cell r="F1680" t="e">
            <v>#N/A</v>
          </cell>
          <cell r="G1680" t="e">
            <v>#N/A</v>
          </cell>
          <cell r="H1680">
            <v>0</v>
          </cell>
          <cell r="I1680">
            <v>0</v>
          </cell>
          <cell r="J1680" t="str">
            <v>X</v>
          </cell>
          <cell r="K1680">
            <v>1172110.0800000026</v>
          </cell>
          <cell r="L1680">
            <v>1172110.0800000026</v>
          </cell>
          <cell r="M1680" t="e">
            <v>#N/A</v>
          </cell>
        </row>
        <row r="1681">
          <cell r="C1681" t="e">
            <v>#N/A</v>
          </cell>
          <cell r="E1681" t="e">
            <v>#N/A</v>
          </cell>
          <cell r="F1681" t="e">
            <v>#N/A</v>
          </cell>
          <cell r="G1681" t="e">
            <v>#N/A</v>
          </cell>
          <cell r="H1681">
            <v>0</v>
          </cell>
          <cell r="I1681">
            <v>0</v>
          </cell>
          <cell r="J1681" t="str">
            <v>X</v>
          </cell>
          <cell r="K1681">
            <v>1172110.0800000026</v>
          </cell>
          <cell r="L1681">
            <v>1172110.0800000026</v>
          </cell>
          <cell r="M1681" t="e">
            <v>#N/A</v>
          </cell>
        </row>
        <row r="1682">
          <cell r="C1682" t="e">
            <v>#N/A</v>
          </cell>
          <cell r="E1682" t="e">
            <v>#N/A</v>
          </cell>
          <cell r="F1682" t="e">
            <v>#N/A</v>
          </cell>
          <cell r="G1682" t="e">
            <v>#N/A</v>
          </cell>
          <cell r="H1682">
            <v>0</v>
          </cell>
          <cell r="I1682">
            <v>0</v>
          </cell>
          <cell r="J1682" t="str">
            <v>X</v>
          </cell>
          <cell r="K1682">
            <v>1172110.0800000026</v>
          </cell>
          <cell r="L1682">
            <v>1172110.0800000026</v>
          </cell>
          <cell r="M1682" t="e">
            <v>#N/A</v>
          </cell>
        </row>
        <row r="1683">
          <cell r="C1683" t="e">
            <v>#N/A</v>
          </cell>
          <cell r="E1683" t="e">
            <v>#N/A</v>
          </cell>
          <cell r="F1683" t="e">
            <v>#N/A</v>
          </cell>
          <cell r="G1683" t="e">
            <v>#N/A</v>
          </cell>
          <cell r="H1683">
            <v>0</v>
          </cell>
          <cell r="I1683">
            <v>0</v>
          </cell>
          <cell r="J1683" t="str">
            <v>X</v>
          </cell>
          <cell r="K1683">
            <v>1172110.0800000026</v>
          </cell>
          <cell r="L1683">
            <v>1172110.0800000026</v>
          </cell>
          <cell r="M1683" t="e">
            <v>#N/A</v>
          </cell>
        </row>
        <row r="1684">
          <cell r="C1684" t="e">
            <v>#N/A</v>
          </cell>
          <cell r="E1684" t="e">
            <v>#N/A</v>
          </cell>
          <cell r="F1684" t="e">
            <v>#N/A</v>
          </cell>
          <cell r="G1684" t="e">
            <v>#N/A</v>
          </cell>
          <cell r="H1684">
            <v>0</v>
          </cell>
          <cell r="I1684">
            <v>0</v>
          </cell>
          <cell r="J1684" t="str">
            <v>X</v>
          </cell>
          <cell r="K1684">
            <v>1172110.0800000026</v>
          </cell>
          <cell r="L1684">
            <v>1172110.0800000026</v>
          </cell>
          <cell r="M1684" t="e">
            <v>#N/A</v>
          </cell>
        </row>
        <row r="1685">
          <cell r="C1685" t="e">
            <v>#N/A</v>
          </cell>
          <cell r="E1685" t="e">
            <v>#N/A</v>
          </cell>
          <cell r="F1685" t="e">
            <v>#N/A</v>
          </cell>
          <cell r="G1685" t="e">
            <v>#N/A</v>
          </cell>
          <cell r="H1685">
            <v>0</v>
          </cell>
          <cell r="I1685">
            <v>0</v>
          </cell>
          <cell r="J1685" t="str">
            <v>X</v>
          </cell>
          <cell r="K1685">
            <v>1172110.0800000026</v>
          </cell>
          <cell r="L1685">
            <v>1172110.0800000026</v>
          </cell>
          <cell r="M1685" t="e">
            <v>#N/A</v>
          </cell>
        </row>
        <row r="1686">
          <cell r="C1686" t="e">
            <v>#N/A</v>
          </cell>
          <cell r="E1686" t="e">
            <v>#N/A</v>
          </cell>
          <cell r="F1686" t="e">
            <v>#N/A</v>
          </cell>
          <cell r="G1686" t="e">
            <v>#N/A</v>
          </cell>
          <cell r="H1686">
            <v>0</v>
          </cell>
          <cell r="I1686">
            <v>0</v>
          </cell>
          <cell r="J1686" t="str">
            <v>X</v>
          </cell>
          <cell r="K1686">
            <v>1172110.0800000026</v>
          </cell>
          <cell r="L1686">
            <v>1172110.0800000026</v>
          </cell>
          <cell r="M1686" t="e">
            <v>#N/A</v>
          </cell>
        </row>
        <row r="1687">
          <cell r="C1687" t="e">
            <v>#N/A</v>
          </cell>
          <cell r="E1687" t="e">
            <v>#N/A</v>
          </cell>
          <cell r="F1687" t="e">
            <v>#N/A</v>
          </cell>
          <cell r="G1687" t="e">
            <v>#N/A</v>
          </cell>
          <cell r="H1687">
            <v>0</v>
          </cell>
          <cell r="I1687">
            <v>0</v>
          </cell>
          <cell r="J1687" t="str">
            <v>X</v>
          </cell>
          <cell r="K1687">
            <v>1172110.0800000026</v>
          </cell>
          <cell r="L1687">
            <v>1172110.0800000026</v>
          </cell>
          <cell r="M1687" t="e">
            <v>#N/A</v>
          </cell>
        </row>
        <row r="1688">
          <cell r="C1688" t="e">
            <v>#N/A</v>
          </cell>
          <cell r="E1688" t="e">
            <v>#N/A</v>
          </cell>
          <cell r="F1688" t="e">
            <v>#N/A</v>
          </cell>
          <cell r="G1688" t="e">
            <v>#N/A</v>
          </cell>
          <cell r="H1688">
            <v>0</v>
          </cell>
          <cell r="I1688">
            <v>0</v>
          </cell>
          <cell r="J1688" t="str">
            <v>X</v>
          </cell>
          <cell r="K1688">
            <v>1172110.0800000026</v>
          </cell>
          <cell r="L1688">
            <v>1172110.0800000026</v>
          </cell>
          <cell r="M1688" t="e">
            <v>#N/A</v>
          </cell>
        </row>
        <row r="1689">
          <cell r="C1689" t="e">
            <v>#N/A</v>
          </cell>
          <cell r="E1689" t="e">
            <v>#N/A</v>
          </cell>
          <cell r="F1689" t="e">
            <v>#N/A</v>
          </cell>
          <cell r="G1689" t="e">
            <v>#N/A</v>
          </cell>
          <cell r="H1689">
            <v>0</v>
          </cell>
          <cell r="I1689">
            <v>0</v>
          </cell>
          <cell r="J1689" t="str">
            <v>X</v>
          </cell>
          <cell r="K1689">
            <v>1172110.0800000026</v>
          </cell>
          <cell r="L1689">
            <v>1172110.0800000026</v>
          </cell>
          <cell r="M1689" t="e">
            <v>#N/A</v>
          </cell>
        </row>
        <row r="1690">
          <cell r="C1690" t="e">
            <v>#N/A</v>
          </cell>
          <cell r="E1690" t="e">
            <v>#N/A</v>
          </cell>
          <cell r="F1690" t="e">
            <v>#N/A</v>
          </cell>
          <cell r="G1690" t="e">
            <v>#N/A</v>
          </cell>
          <cell r="H1690">
            <v>0</v>
          </cell>
          <cell r="I1690">
            <v>0</v>
          </cell>
          <cell r="J1690" t="str">
            <v>X</v>
          </cell>
          <cell r="K1690">
            <v>1172110.0800000026</v>
          </cell>
          <cell r="L1690">
            <v>1172110.0800000026</v>
          </cell>
          <cell r="M1690" t="e">
            <v>#N/A</v>
          </cell>
        </row>
        <row r="1691">
          <cell r="C1691" t="e">
            <v>#N/A</v>
          </cell>
          <cell r="E1691" t="e">
            <v>#N/A</v>
          </cell>
          <cell r="F1691" t="e">
            <v>#N/A</v>
          </cell>
          <cell r="G1691" t="e">
            <v>#N/A</v>
          </cell>
          <cell r="H1691">
            <v>0</v>
          </cell>
          <cell r="I1691">
            <v>0</v>
          </cell>
          <cell r="J1691" t="str">
            <v>X</v>
          </cell>
          <cell r="K1691">
            <v>1172110.0800000026</v>
          </cell>
          <cell r="L1691">
            <v>1172110.0800000026</v>
          </cell>
          <cell r="M1691" t="e">
            <v>#N/A</v>
          </cell>
        </row>
        <row r="1692">
          <cell r="C1692" t="e">
            <v>#N/A</v>
          </cell>
          <cell r="E1692" t="e">
            <v>#N/A</v>
          </cell>
          <cell r="F1692" t="e">
            <v>#N/A</v>
          </cell>
          <cell r="G1692" t="e">
            <v>#N/A</v>
          </cell>
          <cell r="H1692">
            <v>0</v>
          </cell>
          <cell r="I1692">
            <v>0</v>
          </cell>
          <cell r="J1692" t="str">
            <v>X</v>
          </cell>
          <cell r="K1692">
            <v>1172110.0800000026</v>
          </cell>
          <cell r="L1692">
            <v>1172110.0800000026</v>
          </cell>
          <cell r="M1692" t="e">
            <v>#N/A</v>
          </cell>
        </row>
        <row r="1693">
          <cell r="C1693" t="e">
            <v>#N/A</v>
          </cell>
          <cell r="E1693" t="e">
            <v>#N/A</v>
          </cell>
          <cell r="F1693" t="e">
            <v>#N/A</v>
          </cell>
          <cell r="G1693" t="e">
            <v>#N/A</v>
          </cell>
          <cell r="H1693">
            <v>0</v>
          </cell>
          <cell r="I1693">
            <v>0</v>
          </cell>
          <cell r="J1693" t="str">
            <v>X</v>
          </cell>
          <cell r="K1693">
            <v>1172110.0800000026</v>
          </cell>
          <cell r="L1693">
            <v>1172110.0800000026</v>
          </cell>
          <cell r="M1693" t="e">
            <v>#N/A</v>
          </cell>
        </row>
        <row r="1694">
          <cell r="C1694" t="e">
            <v>#N/A</v>
          </cell>
          <cell r="E1694" t="e">
            <v>#N/A</v>
          </cell>
          <cell r="F1694" t="e">
            <v>#N/A</v>
          </cell>
          <cell r="G1694" t="e">
            <v>#N/A</v>
          </cell>
          <cell r="H1694">
            <v>0</v>
          </cell>
          <cell r="I1694">
            <v>0</v>
          </cell>
          <cell r="J1694" t="str">
            <v>X</v>
          </cell>
          <cell r="K1694">
            <v>1172110.0800000026</v>
          </cell>
          <cell r="L1694">
            <v>1172110.0800000026</v>
          </cell>
          <cell r="M1694" t="e">
            <v>#N/A</v>
          </cell>
        </row>
        <row r="1695">
          <cell r="C1695" t="e">
            <v>#N/A</v>
          </cell>
          <cell r="E1695" t="e">
            <v>#N/A</v>
          </cell>
          <cell r="F1695" t="e">
            <v>#N/A</v>
          </cell>
          <cell r="G1695" t="e">
            <v>#N/A</v>
          </cell>
          <cell r="H1695">
            <v>0</v>
          </cell>
          <cell r="I1695">
            <v>0</v>
          </cell>
          <cell r="J1695" t="str">
            <v>X</v>
          </cell>
          <cell r="K1695">
            <v>1172110.0800000026</v>
          </cell>
          <cell r="L1695">
            <v>1172110.0800000026</v>
          </cell>
          <cell r="M1695" t="e">
            <v>#N/A</v>
          </cell>
        </row>
        <row r="1696">
          <cell r="C1696" t="e">
            <v>#N/A</v>
          </cell>
          <cell r="E1696" t="e">
            <v>#N/A</v>
          </cell>
          <cell r="F1696" t="e">
            <v>#N/A</v>
          </cell>
          <cell r="G1696" t="e">
            <v>#N/A</v>
          </cell>
          <cell r="H1696">
            <v>0</v>
          </cell>
          <cell r="I1696">
            <v>0</v>
          </cell>
          <cell r="J1696" t="str">
            <v>X</v>
          </cell>
          <cell r="K1696">
            <v>1172110.0800000026</v>
          </cell>
          <cell r="L1696">
            <v>1172110.0800000026</v>
          </cell>
          <cell r="M1696" t="e">
            <v>#N/A</v>
          </cell>
        </row>
        <row r="1697">
          <cell r="C1697" t="e">
            <v>#N/A</v>
          </cell>
          <cell r="E1697" t="e">
            <v>#N/A</v>
          </cell>
          <cell r="F1697" t="e">
            <v>#N/A</v>
          </cell>
          <cell r="G1697" t="e">
            <v>#N/A</v>
          </cell>
          <cell r="H1697">
            <v>0</v>
          </cell>
          <cell r="I1697">
            <v>0</v>
          </cell>
          <cell r="J1697" t="str">
            <v>X</v>
          </cell>
          <cell r="K1697">
            <v>1172110.0800000026</v>
          </cell>
          <cell r="L1697">
            <v>1172110.0800000026</v>
          </cell>
          <cell r="M1697" t="e">
            <v>#N/A</v>
          </cell>
        </row>
        <row r="1698">
          <cell r="C1698" t="e">
            <v>#N/A</v>
          </cell>
          <cell r="E1698" t="e">
            <v>#N/A</v>
          </cell>
          <cell r="F1698" t="e">
            <v>#N/A</v>
          </cell>
          <cell r="G1698" t="e">
            <v>#N/A</v>
          </cell>
          <cell r="H1698">
            <v>0</v>
          </cell>
          <cell r="I1698">
            <v>0</v>
          </cell>
          <cell r="J1698" t="str">
            <v>X</v>
          </cell>
          <cell r="K1698">
            <v>1172110.0800000026</v>
          </cell>
          <cell r="L1698">
            <v>1172110.0800000026</v>
          </cell>
          <cell r="M1698" t="e">
            <v>#N/A</v>
          </cell>
        </row>
        <row r="1699">
          <cell r="C1699" t="e">
            <v>#N/A</v>
          </cell>
          <cell r="E1699" t="e">
            <v>#N/A</v>
          </cell>
          <cell r="F1699" t="e">
            <v>#N/A</v>
          </cell>
          <cell r="G1699" t="e">
            <v>#N/A</v>
          </cell>
          <cell r="H1699">
            <v>0</v>
          </cell>
          <cell r="I1699">
            <v>0</v>
          </cell>
          <cell r="J1699" t="str">
            <v>X</v>
          </cell>
          <cell r="K1699">
            <v>1172110.0800000026</v>
          </cell>
          <cell r="L1699">
            <v>1172110.0800000026</v>
          </cell>
          <cell r="M1699" t="e">
            <v>#N/A</v>
          </cell>
        </row>
        <row r="1700">
          <cell r="C1700" t="e">
            <v>#N/A</v>
          </cell>
          <cell r="E1700" t="e">
            <v>#N/A</v>
          </cell>
          <cell r="F1700" t="e">
            <v>#N/A</v>
          </cell>
          <cell r="G1700" t="e">
            <v>#N/A</v>
          </cell>
          <cell r="H1700">
            <v>0</v>
          </cell>
          <cell r="I1700">
            <v>0</v>
          </cell>
          <cell r="J1700" t="str">
            <v>X</v>
          </cell>
          <cell r="K1700">
            <v>1172110.0800000026</v>
          </cell>
          <cell r="L1700">
            <v>1172110.0800000026</v>
          </cell>
          <cell r="M1700" t="e">
            <v>#N/A</v>
          </cell>
        </row>
        <row r="1701">
          <cell r="C1701" t="e">
            <v>#N/A</v>
          </cell>
          <cell r="E1701" t="e">
            <v>#N/A</v>
          </cell>
          <cell r="F1701" t="e">
            <v>#N/A</v>
          </cell>
          <cell r="G1701" t="e">
            <v>#N/A</v>
          </cell>
          <cell r="H1701">
            <v>0</v>
          </cell>
          <cell r="I1701">
            <v>0</v>
          </cell>
          <cell r="J1701" t="str">
            <v>X</v>
          </cell>
          <cell r="K1701">
            <v>1172110.0800000026</v>
          </cell>
          <cell r="L1701">
            <v>1172110.0800000026</v>
          </cell>
          <cell r="M1701" t="e">
            <v>#N/A</v>
          </cell>
        </row>
        <row r="1702">
          <cell r="C1702" t="e">
            <v>#N/A</v>
          </cell>
          <cell r="E1702" t="e">
            <v>#N/A</v>
          </cell>
          <cell r="F1702" t="e">
            <v>#N/A</v>
          </cell>
          <cell r="G1702" t="e">
            <v>#N/A</v>
          </cell>
          <cell r="H1702">
            <v>0</v>
          </cell>
          <cell r="I1702">
            <v>0</v>
          </cell>
          <cell r="J1702" t="str">
            <v>X</v>
          </cell>
          <cell r="K1702">
            <v>1172110.0800000026</v>
          </cell>
          <cell r="L1702">
            <v>1172110.0800000026</v>
          </cell>
          <cell r="M1702" t="e">
            <v>#N/A</v>
          </cell>
        </row>
        <row r="1703">
          <cell r="C1703" t="e">
            <v>#N/A</v>
          </cell>
          <cell r="E1703" t="e">
            <v>#N/A</v>
          </cell>
          <cell r="F1703" t="e">
            <v>#N/A</v>
          </cell>
          <cell r="G1703" t="e">
            <v>#N/A</v>
          </cell>
          <cell r="H1703">
            <v>0</v>
          </cell>
          <cell r="I1703">
            <v>0</v>
          </cell>
          <cell r="J1703" t="str">
            <v>X</v>
          </cell>
          <cell r="K1703">
            <v>1172110.0800000026</v>
          </cell>
          <cell r="L1703">
            <v>1172110.0800000026</v>
          </cell>
          <cell r="M1703" t="e">
            <v>#N/A</v>
          </cell>
        </row>
        <row r="1704">
          <cell r="C1704" t="e">
            <v>#N/A</v>
          </cell>
          <cell r="E1704" t="e">
            <v>#N/A</v>
          </cell>
          <cell r="F1704" t="e">
            <v>#N/A</v>
          </cell>
          <cell r="G1704" t="e">
            <v>#N/A</v>
          </cell>
          <cell r="H1704">
            <v>0</v>
          </cell>
          <cell r="I1704">
            <v>0</v>
          </cell>
          <cell r="J1704" t="str">
            <v>X</v>
          </cell>
          <cell r="K1704">
            <v>1172110.0800000026</v>
          </cell>
          <cell r="L1704">
            <v>1172110.0800000026</v>
          </cell>
          <cell r="M1704" t="e">
            <v>#N/A</v>
          </cell>
        </row>
        <row r="1705">
          <cell r="C1705" t="e">
            <v>#N/A</v>
          </cell>
          <cell r="E1705" t="e">
            <v>#N/A</v>
          </cell>
          <cell r="F1705" t="e">
            <v>#N/A</v>
          </cell>
          <cell r="G1705" t="e">
            <v>#N/A</v>
          </cell>
          <cell r="H1705">
            <v>0</v>
          </cell>
          <cell r="I1705">
            <v>0</v>
          </cell>
          <cell r="J1705" t="str">
            <v>X</v>
          </cell>
          <cell r="K1705">
            <v>1172110.0800000026</v>
          </cell>
          <cell r="L1705">
            <v>1172110.0800000026</v>
          </cell>
          <cell r="M1705" t="e">
            <v>#N/A</v>
          </cell>
        </row>
        <row r="1706">
          <cell r="C1706" t="e">
            <v>#N/A</v>
          </cell>
          <cell r="E1706" t="e">
            <v>#N/A</v>
          </cell>
          <cell r="F1706" t="e">
            <v>#N/A</v>
          </cell>
          <cell r="G1706" t="e">
            <v>#N/A</v>
          </cell>
          <cell r="H1706">
            <v>0</v>
          </cell>
          <cell r="I1706">
            <v>0</v>
          </cell>
          <cell r="J1706" t="str">
            <v>X</v>
          </cell>
          <cell r="K1706">
            <v>1172110.0800000026</v>
          </cell>
          <cell r="L1706">
            <v>1172110.0800000026</v>
          </cell>
          <cell r="M1706" t="e">
            <v>#N/A</v>
          </cell>
        </row>
        <row r="1707">
          <cell r="C1707" t="e">
            <v>#N/A</v>
          </cell>
          <cell r="E1707" t="e">
            <v>#N/A</v>
          </cell>
          <cell r="F1707" t="e">
            <v>#N/A</v>
          </cell>
          <cell r="G1707" t="e">
            <v>#N/A</v>
          </cell>
          <cell r="H1707">
            <v>0</v>
          </cell>
          <cell r="I1707">
            <v>0</v>
          </cell>
          <cell r="J1707" t="str">
            <v>X</v>
          </cell>
          <cell r="K1707">
            <v>1172110.0800000026</v>
          </cell>
          <cell r="L1707">
            <v>1172110.0800000026</v>
          </cell>
          <cell r="M1707" t="e">
            <v>#N/A</v>
          </cell>
        </row>
        <row r="1708">
          <cell r="C1708" t="e">
            <v>#N/A</v>
          </cell>
          <cell r="E1708" t="e">
            <v>#N/A</v>
          </cell>
          <cell r="F1708" t="e">
            <v>#N/A</v>
          </cell>
          <cell r="G1708" t="e">
            <v>#N/A</v>
          </cell>
          <cell r="H1708">
            <v>0</v>
          </cell>
          <cell r="I1708">
            <v>0</v>
          </cell>
          <cell r="J1708" t="str">
            <v>X</v>
          </cell>
          <cell r="K1708">
            <v>1172110.0800000026</v>
          </cell>
          <cell r="L1708">
            <v>1172110.0800000026</v>
          </cell>
          <cell r="M1708" t="e">
            <v>#N/A</v>
          </cell>
        </row>
        <row r="1709">
          <cell r="C1709" t="e">
            <v>#N/A</v>
          </cell>
          <cell r="E1709" t="e">
            <v>#N/A</v>
          </cell>
          <cell r="F1709" t="e">
            <v>#N/A</v>
          </cell>
          <cell r="G1709" t="e">
            <v>#N/A</v>
          </cell>
          <cell r="H1709">
            <v>0</v>
          </cell>
          <cell r="I1709">
            <v>0</v>
          </cell>
          <cell r="J1709" t="str">
            <v>X</v>
          </cell>
          <cell r="K1709">
            <v>1172110.0800000026</v>
          </cell>
          <cell r="L1709">
            <v>1172110.0800000026</v>
          </cell>
          <cell r="M1709" t="e">
            <v>#N/A</v>
          </cell>
        </row>
        <row r="1710">
          <cell r="C1710" t="e">
            <v>#N/A</v>
          </cell>
          <cell r="E1710" t="e">
            <v>#N/A</v>
          </cell>
          <cell r="F1710" t="e">
            <v>#N/A</v>
          </cell>
          <cell r="G1710" t="e">
            <v>#N/A</v>
          </cell>
          <cell r="H1710">
            <v>0</v>
          </cell>
          <cell r="I1710">
            <v>0</v>
          </cell>
          <cell r="J1710" t="str">
            <v>X</v>
          </cell>
          <cell r="K1710">
            <v>1172110.0800000026</v>
          </cell>
          <cell r="L1710">
            <v>1172110.0800000026</v>
          </cell>
          <cell r="M1710" t="e">
            <v>#N/A</v>
          </cell>
        </row>
        <row r="1711">
          <cell r="C1711" t="e">
            <v>#N/A</v>
          </cell>
          <cell r="E1711" t="e">
            <v>#N/A</v>
          </cell>
          <cell r="F1711" t="e">
            <v>#N/A</v>
          </cell>
          <cell r="G1711" t="e">
            <v>#N/A</v>
          </cell>
          <cell r="H1711">
            <v>0</v>
          </cell>
          <cell r="I1711">
            <v>0</v>
          </cell>
          <cell r="J1711" t="str">
            <v>X</v>
          </cell>
          <cell r="K1711">
            <v>1172110.0800000026</v>
          </cell>
          <cell r="L1711">
            <v>1172110.0800000026</v>
          </cell>
          <cell r="M1711" t="e">
            <v>#N/A</v>
          </cell>
        </row>
        <row r="1712">
          <cell r="C1712" t="e">
            <v>#N/A</v>
          </cell>
          <cell r="E1712" t="e">
            <v>#N/A</v>
          </cell>
          <cell r="F1712" t="e">
            <v>#N/A</v>
          </cell>
          <cell r="G1712" t="e">
            <v>#N/A</v>
          </cell>
          <cell r="H1712">
            <v>0</v>
          </cell>
          <cell r="I1712">
            <v>0</v>
          </cell>
          <cell r="J1712" t="str">
            <v>X</v>
          </cell>
          <cell r="K1712">
            <v>1172110.0800000026</v>
          </cell>
          <cell r="L1712">
            <v>1172110.0800000026</v>
          </cell>
          <cell r="M1712" t="e">
            <v>#N/A</v>
          </cell>
        </row>
        <row r="1713">
          <cell r="C1713" t="e">
            <v>#N/A</v>
          </cell>
          <cell r="E1713" t="e">
            <v>#N/A</v>
          </cell>
          <cell r="F1713" t="e">
            <v>#N/A</v>
          </cell>
          <cell r="G1713" t="e">
            <v>#N/A</v>
          </cell>
          <cell r="H1713">
            <v>0</v>
          </cell>
          <cell r="I1713">
            <v>0</v>
          </cell>
          <cell r="J1713" t="str">
            <v>X</v>
          </cell>
          <cell r="K1713">
            <v>1172110.0800000026</v>
          </cell>
          <cell r="L1713">
            <v>1172110.0800000026</v>
          </cell>
          <cell r="M1713" t="e">
            <v>#N/A</v>
          </cell>
        </row>
        <row r="1714">
          <cell r="C1714" t="e">
            <v>#N/A</v>
          </cell>
          <cell r="E1714" t="e">
            <v>#N/A</v>
          </cell>
          <cell r="F1714" t="e">
            <v>#N/A</v>
          </cell>
          <cell r="G1714" t="e">
            <v>#N/A</v>
          </cell>
          <cell r="H1714">
            <v>0</v>
          </cell>
          <cell r="I1714">
            <v>0</v>
          </cell>
          <cell r="J1714" t="str">
            <v>X</v>
          </cell>
          <cell r="K1714">
            <v>1172110.0800000026</v>
          </cell>
          <cell r="L1714">
            <v>1172110.0800000026</v>
          </cell>
          <cell r="M1714" t="e">
            <v>#N/A</v>
          </cell>
        </row>
        <row r="1715">
          <cell r="C1715" t="e">
            <v>#N/A</v>
          </cell>
          <cell r="E1715" t="e">
            <v>#N/A</v>
          </cell>
          <cell r="F1715" t="e">
            <v>#N/A</v>
          </cell>
          <cell r="G1715" t="e">
            <v>#N/A</v>
          </cell>
          <cell r="H1715">
            <v>0</v>
          </cell>
          <cell r="I1715">
            <v>0</v>
          </cell>
          <cell r="J1715" t="str">
            <v>X</v>
          </cell>
          <cell r="K1715">
            <v>1172110.0800000026</v>
          </cell>
          <cell r="L1715">
            <v>1172110.0800000026</v>
          </cell>
          <cell r="M1715" t="e">
            <v>#N/A</v>
          </cell>
        </row>
        <row r="1716">
          <cell r="C1716" t="e">
            <v>#N/A</v>
          </cell>
          <cell r="E1716" t="e">
            <v>#N/A</v>
          </cell>
          <cell r="F1716" t="e">
            <v>#N/A</v>
          </cell>
          <cell r="G1716" t="e">
            <v>#N/A</v>
          </cell>
          <cell r="H1716">
            <v>0</v>
          </cell>
          <cell r="I1716">
            <v>0</v>
          </cell>
          <cell r="J1716" t="str">
            <v>X</v>
          </cell>
          <cell r="K1716">
            <v>1172110.0800000026</v>
          </cell>
          <cell r="L1716">
            <v>1172110.0800000026</v>
          </cell>
          <cell r="M1716" t="e">
            <v>#N/A</v>
          </cell>
        </row>
        <row r="1717">
          <cell r="C1717" t="e">
            <v>#N/A</v>
          </cell>
          <cell r="E1717" t="e">
            <v>#N/A</v>
          </cell>
          <cell r="F1717" t="e">
            <v>#N/A</v>
          </cell>
          <cell r="G1717" t="e">
            <v>#N/A</v>
          </cell>
          <cell r="H1717">
            <v>0</v>
          </cell>
          <cell r="I1717">
            <v>0</v>
          </cell>
          <cell r="J1717" t="str">
            <v>X</v>
          </cell>
          <cell r="K1717">
            <v>1172110.0800000026</v>
          </cell>
          <cell r="L1717">
            <v>1172110.0800000026</v>
          </cell>
          <cell r="M1717" t="e">
            <v>#N/A</v>
          </cell>
        </row>
        <row r="1718">
          <cell r="C1718" t="e">
            <v>#N/A</v>
          </cell>
          <cell r="E1718" t="e">
            <v>#N/A</v>
          </cell>
          <cell r="F1718" t="e">
            <v>#N/A</v>
          </cell>
          <cell r="G1718" t="e">
            <v>#N/A</v>
          </cell>
          <cell r="H1718">
            <v>0</v>
          </cell>
          <cell r="I1718">
            <v>0</v>
          </cell>
          <cell r="J1718" t="str">
            <v>X</v>
          </cell>
          <cell r="K1718">
            <v>1172110.0800000026</v>
          </cell>
          <cell r="L1718">
            <v>1172110.0800000026</v>
          </cell>
          <cell r="M1718" t="e">
            <v>#N/A</v>
          </cell>
        </row>
        <row r="1719">
          <cell r="C1719" t="e">
            <v>#N/A</v>
          </cell>
          <cell r="E1719" t="e">
            <v>#N/A</v>
          </cell>
          <cell r="F1719" t="e">
            <v>#N/A</v>
          </cell>
          <cell r="G1719" t="e">
            <v>#N/A</v>
          </cell>
          <cell r="H1719">
            <v>0</v>
          </cell>
          <cell r="I1719">
            <v>0</v>
          </cell>
          <cell r="J1719" t="str">
            <v>X</v>
          </cell>
          <cell r="K1719">
            <v>1172110.0800000026</v>
          </cell>
          <cell r="L1719">
            <v>1172110.0800000026</v>
          </cell>
          <cell r="M1719" t="e">
            <v>#N/A</v>
          </cell>
        </row>
        <row r="1720">
          <cell r="C1720" t="e">
            <v>#N/A</v>
          </cell>
          <cell r="E1720" t="e">
            <v>#N/A</v>
          </cell>
          <cell r="F1720" t="e">
            <v>#N/A</v>
          </cell>
          <cell r="G1720" t="e">
            <v>#N/A</v>
          </cell>
          <cell r="H1720">
            <v>0</v>
          </cell>
          <cell r="I1720">
            <v>0</v>
          </cell>
          <cell r="J1720" t="str">
            <v>X</v>
          </cell>
          <cell r="K1720">
            <v>1172110.0800000026</v>
          </cell>
          <cell r="L1720">
            <v>1172110.0800000026</v>
          </cell>
          <cell r="M1720" t="e">
            <v>#N/A</v>
          </cell>
        </row>
        <row r="1721">
          <cell r="C1721" t="e">
            <v>#N/A</v>
          </cell>
          <cell r="E1721" t="e">
            <v>#N/A</v>
          </cell>
          <cell r="F1721" t="e">
            <v>#N/A</v>
          </cell>
          <cell r="G1721" t="e">
            <v>#N/A</v>
          </cell>
          <cell r="H1721">
            <v>0</v>
          </cell>
          <cell r="I1721">
            <v>0</v>
          </cell>
          <cell r="J1721" t="str">
            <v>X</v>
          </cell>
          <cell r="K1721">
            <v>1172110.0800000026</v>
          </cell>
          <cell r="L1721">
            <v>1172110.0800000026</v>
          </cell>
          <cell r="M1721" t="e">
            <v>#N/A</v>
          </cell>
        </row>
        <row r="1722">
          <cell r="C1722" t="e">
            <v>#N/A</v>
          </cell>
          <cell r="E1722" t="e">
            <v>#N/A</v>
          </cell>
          <cell r="F1722" t="e">
            <v>#N/A</v>
          </cell>
          <cell r="G1722" t="e">
            <v>#N/A</v>
          </cell>
          <cell r="H1722">
            <v>0</v>
          </cell>
          <cell r="I1722">
            <v>0</v>
          </cell>
          <cell r="J1722" t="str">
            <v>X</v>
          </cell>
          <cell r="K1722">
            <v>1172110.0800000026</v>
          </cell>
          <cell r="L1722">
            <v>1172110.0800000026</v>
          </cell>
          <cell r="M1722" t="e">
            <v>#N/A</v>
          </cell>
        </row>
        <row r="1723">
          <cell r="C1723" t="e">
            <v>#N/A</v>
          </cell>
          <cell r="E1723" t="e">
            <v>#N/A</v>
          </cell>
          <cell r="F1723" t="e">
            <v>#N/A</v>
          </cell>
          <cell r="G1723" t="e">
            <v>#N/A</v>
          </cell>
          <cell r="H1723">
            <v>0</v>
          </cell>
          <cell r="I1723">
            <v>0</v>
          </cell>
          <cell r="J1723" t="str">
            <v>X</v>
          </cell>
          <cell r="K1723">
            <v>1172110.0800000026</v>
          </cell>
          <cell r="L1723">
            <v>1172110.0800000026</v>
          </cell>
          <cell r="M1723" t="e">
            <v>#N/A</v>
          </cell>
        </row>
        <row r="1724">
          <cell r="C1724" t="e">
            <v>#N/A</v>
          </cell>
          <cell r="E1724" t="e">
            <v>#N/A</v>
          </cell>
          <cell r="F1724" t="e">
            <v>#N/A</v>
          </cell>
          <cell r="G1724" t="e">
            <v>#N/A</v>
          </cell>
          <cell r="H1724">
            <v>0</v>
          </cell>
          <cell r="I1724">
            <v>0</v>
          </cell>
          <cell r="J1724" t="str">
            <v>X</v>
          </cell>
          <cell r="K1724">
            <v>1172110.0800000026</v>
          </cell>
          <cell r="L1724">
            <v>1172110.0800000026</v>
          </cell>
          <cell r="M1724" t="e">
            <v>#N/A</v>
          </cell>
        </row>
        <row r="1725">
          <cell r="C1725" t="e">
            <v>#N/A</v>
          </cell>
          <cell r="E1725" t="e">
            <v>#N/A</v>
          </cell>
          <cell r="F1725" t="e">
            <v>#N/A</v>
          </cell>
          <cell r="G1725" t="e">
            <v>#N/A</v>
          </cell>
          <cell r="H1725">
            <v>0</v>
          </cell>
          <cell r="I1725">
            <v>0</v>
          </cell>
          <cell r="J1725" t="str">
            <v>X</v>
          </cell>
          <cell r="K1725">
            <v>1172110.0800000026</v>
          </cell>
          <cell r="L1725">
            <v>1172110.0800000026</v>
          </cell>
          <cell r="M1725" t="e">
            <v>#N/A</v>
          </cell>
        </row>
        <row r="1726">
          <cell r="C1726" t="e">
            <v>#N/A</v>
          </cell>
          <cell r="E1726" t="e">
            <v>#N/A</v>
          </cell>
          <cell r="F1726" t="e">
            <v>#N/A</v>
          </cell>
          <cell r="G1726" t="e">
            <v>#N/A</v>
          </cell>
          <cell r="H1726">
            <v>0</v>
          </cell>
          <cell r="I1726">
            <v>0</v>
          </cell>
          <cell r="J1726" t="str">
            <v>X</v>
          </cell>
          <cell r="K1726">
            <v>1172110.0800000026</v>
          </cell>
          <cell r="L1726">
            <v>1172110.0800000026</v>
          </cell>
          <cell r="M1726" t="e">
            <v>#N/A</v>
          </cell>
        </row>
        <row r="1727">
          <cell r="C1727" t="e">
            <v>#N/A</v>
          </cell>
          <cell r="E1727" t="e">
            <v>#N/A</v>
          </cell>
          <cell r="F1727" t="e">
            <v>#N/A</v>
          </cell>
          <cell r="G1727" t="e">
            <v>#N/A</v>
          </cell>
          <cell r="H1727">
            <v>0</v>
          </cell>
          <cell r="I1727">
            <v>0</v>
          </cell>
          <cell r="J1727" t="str">
            <v>X</v>
          </cell>
          <cell r="K1727">
            <v>1172110.0800000026</v>
          </cell>
          <cell r="L1727">
            <v>1172110.0800000026</v>
          </cell>
          <cell r="M1727" t="e">
            <v>#N/A</v>
          </cell>
        </row>
        <row r="1728">
          <cell r="C1728" t="e">
            <v>#N/A</v>
          </cell>
          <cell r="E1728" t="e">
            <v>#N/A</v>
          </cell>
          <cell r="F1728" t="e">
            <v>#N/A</v>
          </cell>
          <cell r="G1728" t="e">
            <v>#N/A</v>
          </cell>
          <cell r="H1728">
            <v>0</v>
          </cell>
          <cell r="I1728">
            <v>0</v>
          </cell>
          <cell r="J1728" t="str">
            <v>X</v>
          </cell>
          <cell r="K1728">
            <v>1172110.0800000026</v>
          </cell>
          <cell r="L1728">
            <v>1172110.0800000026</v>
          </cell>
          <cell r="M1728" t="e">
            <v>#N/A</v>
          </cell>
        </row>
        <row r="1729">
          <cell r="C1729" t="e">
            <v>#N/A</v>
          </cell>
          <cell r="E1729" t="e">
            <v>#N/A</v>
          </cell>
          <cell r="F1729" t="e">
            <v>#N/A</v>
          </cell>
          <cell r="G1729" t="e">
            <v>#N/A</v>
          </cell>
          <cell r="H1729">
            <v>0</v>
          </cell>
          <cell r="I1729">
            <v>0</v>
          </cell>
          <cell r="J1729" t="str">
            <v>X</v>
          </cell>
          <cell r="K1729">
            <v>1172110.0800000026</v>
          </cell>
          <cell r="L1729">
            <v>1172110.0800000026</v>
          </cell>
          <cell r="M1729" t="e">
            <v>#N/A</v>
          </cell>
        </row>
        <row r="1730">
          <cell r="C1730" t="e">
            <v>#N/A</v>
          </cell>
          <cell r="E1730" t="e">
            <v>#N/A</v>
          </cell>
          <cell r="F1730" t="e">
            <v>#N/A</v>
          </cell>
          <cell r="G1730" t="e">
            <v>#N/A</v>
          </cell>
          <cell r="H1730">
            <v>0</v>
          </cell>
          <cell r="I1730">
            <v>0</v>
          </cell>
          <cell r="J1730" t="str">
            <v>X</v>
          </cell>
          <cell r="K1730">
            <v>1172110.0800000026</v>
          </cell>
          <cell r="L1730">
            <v>1172110.0800000026</v>
          </cell>
          <cell r="M1730" t="e">
            <v>#N/A</v>
          </cell>
        </row>
        <row r="1731">
          <cell r="C1731" t="e">
            <v>#N/A</v>
          </cell>
          <cell r="E1731" t="e">
            <v>#N/A</v>
          </cell>
          <cell r="F1731" t="e">
            <v>#N/A</v>
          </cell>
          <cell r="G1731" t="e">
            <v>#N/A</v>
          </cell>
          <cell r="H1731">
            <v>0</v>
          </cell>
          <cell r="I1731">
            <v>0</v>
          </cell>
          <cell r="J1731" t="str">
            <v>X</v>
          </cell>
          <cell r="K1731">
            <v>1172110.0800000026</v>
          </cell>
          <cell r="L1731">
            <v>1172110.0800000026</v>
          </cell>
          <cell r="M1731" t="e">
            <v>#N/A</v>
          </cell>
        </row>
        <row r="1732">
          <cell r="C1732" t="e">
            <v>#N/A</v>
          </cell>
          <cell r="E1732" t="e">
            <v>#N/A</v>
          </cell>
          <cell r="F1732" t="e">
            <v>#N/A</v>
          </cell>
          <cell r="G1732" t="e">
            <v>#N/A</v>
          </cell>
          <cell r="H1732">
            <v>0</v>
          </cell>
          <cell r="I1732">
            <v>0</v>
          </cell>
          <cell r="J1732" t="str">
            <v>X</v>
          </cell>
          <cell r="K1732">
            <v>1172110.0800000026</v>
          </cell>
          <cell r="L1732">
            <v>1172110.0800000026</v>
          </cell>
          <cell r="M1732" t="e">
            <v>#N/A</v>
          </cell>
        </row>
        <row r="1733">
          <cell r="C1733" t="e">
            <v>#N/A</v>
          </cell>
          <cell r="E1733" t="e">
            <v>#N/A</v>
          </cell>
          <cell r="F1733" t="e">
            <v>#N/A</v>
          </cell>
          <cell r="G1733" t="e">
            <v>#N/A</v>
          </cell>
          <cell r="H1733">
            <v>0</v>
          </cell>
          <cell r="I1733">
            <v>0</v>
          </cell>
          <cell r="J1733" t="str">
            <v>X</v>
          </cell>
          <cell r="K1733">
            <v>1172110.0800000026</v>
          </cell>
          <cell r="L1733">
            <v>1172110.0800000026</v>
          </cell>
          <cell r="M1733" t="e">
            <v>#N/A</v>
          </cell>
        </row>
        <row r="1734">
          <cell r="C1734" t="e">
            <v>#N/A</v>
          </cell>
          <cell r="E1734" t="e">
            <v>#N/A</v>
          </cell>
          <cell r="F1734" t="e">
            <v>#N/A</v>
          </cell>
          <cell r="G1734" t="e">
            <v>#N/A</v>
          </cell>
          <cell r="H1734">
            <v>0</v>
          </cell>
          <cell r="I1734">
            <v>0</v>
          </cell>
          <cell r="J1734" t="str">
            <v>X</v>
          </cell>
          <cell r="K1734">
            <v>1172110.0800000026</v>
          </cell>
          <cell r="L1734">
            <v>1172110.0800000026</v>
          </cell>
          <cell r="M1734" t="e">
            <v>#N/A</v>
          </cell>
        </row>
        <row r="1735">
          <cell r="C1735" t="e">
            <v>#N/A</v>
          </cell>
          <cell r="E1735" t="e">
            <v>#N/A</v>
          </cell>
          <cell r="F1735" t="e">
            <v>#N/A</v>
          </cell>
          <cell r="G1735" t="e">
            <v>#N/A</v>
          </cell>
          <cell r="H1735">
            <v>0</v>
          </cell>
          <cell r="I1735">
            <v>0</v>
          </cell>
          <cell r="J1735" t="str">
            <v>X</v>
          </cell>
          <cell r="K1735">
            <v>1172110.0800000026</v>
          </cell>
          <cell r="L1735">
            <v>1172110.0800000026</v>
          </cell>
          <cell r="M1735" t="e">
            <v>#N/A</v>
          </cell>
        </row>
        <row r="1736">
          <cell r="C1736" t="e">
            <v>#N/A</v>
          </cell>
          <cell r="E1736" t="e">
            <v>#N/A</v>
          </cell>
          <cell r="F1736" t="e">
            <v>#N/A</v>
          </cell>
          <cell r="G1736" t="e">
            <v>#N/A</v>
          </cell>
          <cell r="H1736">
            <v>0</v>
          </cell>
          <cell r="I1736">
            <v>0</v>
          </cell>
          <cell r="J1736" t="str">
            <v>X</v>
          </cell>
          <cell r="K1736">
            <v>1172110.0800000026</v>
          </cell>
          <cell r="L1736">
            <v>1172110.0800000026</v>
          </cell>
          <cell r="M1736" t="e">
            <v>#N/A</v>
          </cell>
        </row>
        <row r="1737">
          <cell r="C1737" t="e">
            <v>#N/A</v>
          </cell>
          <cell r="E1737" t="e">
            <v>#N/A</v>
          </cell>
          <cell r="F1737" t="e">
            <v>#N/A</v>
          </cell>
          <cell r="G1737" t="e">
            <v>#N/A</v>
          </cell>
          <cell r="H1737">
            <v>0</v>
          </cell>
          <cell r="I1737">
            <v>0</v>
          </cell>
          <cell r="J1737" t="str">
            <v>X</v>
          </cell>
          <cell r="K1737">
            <v>1172110.0800000026</v>
          </cell>
          <cell r="L1737">
            <v>1172110.0800000026</v>
          </cell>
          <cell r="M1737" t="e">
            <v>#N/A</v>
          </cell>
        </row>
        <row r="1738">
          <cell r="C1738" t="e">
            <v>#N/A</v>
          </cell>
          <cell r="E1738" t="e">
            <v>#N/A</v>
          </cell>
          <cell r="F1738" t="e">
            <v>#N/A</v>
          </cell>
          <cell r="G1738" t="e">
            <v>#N/A</v>
          </cell>
          <cell r="H1738">
            <v>0</v>
          </cell>
          <cell r="I1738">
            <v>0</v>
          </cell>
          <cell r="J1738" t="str">
            <v>X</v>
          </cell>
          <cell r="K1738">
            <v>1172110.0800000026</v>
          </cell>
          <cell r="L1738">
            <v>1172110.0800000026</v>
          </cell>
          <cell r="M1738" t="e">
            <v>#N/A</v>
          </cell>
        </row>
        <row r="1739">
          <cell r="C1739" t="e">
            <v>#N/A</v>
          </cell>
          <cell r="E1739" t="e">
            <v>#N/A</v>
          </cell>
          <cell r="F1739" t="e">
            <v>#N/A</v>
          </cell>
          <cell r="G1739" t="e">
            <v>#N/A</v>
          </cell>
          <cell r="H1739">
            <v>0</v>
          </cell>
          <cell r="I1739">
            <v>0</v>
          </cell>
          <cell r="J1739" t="str">
            <v>X</v>
          </cell>
          <cell r="K1739">
            <v>1172110.0800000026</v>
          </cell>
          <cell r="L1739">
            <v>1172110.0800000026</v>
          </cell>
          <cell r="M1739" t="e">
            <v>#N/A</v>
          </cell>
        </row>
        <row r="1740">
          <cell r="C1740" t="e">
            <v>#N/A</v>
          </cell>
          <cell r="E1740" t="e">
            <v>#N/A</v>
          </cell>
          <cell r="F1740" t="e">
            <v>#N/A</v>
          </cell>
          <cell r="G1740" t="e">
            <v>#N/A</v>
          </cell>
          <cell r="H1740">
            <v>0</v>
          </cell>
          <cell r="I1740">
            <v>0</v>
          </cell>
          <cell r="J1740" t="str">
            <v>X</v>
          </cell>
          <cell r="K1740">
            <v>1172110.0800000026</v>
          </cell>
          <cell r="L1740">
            <v>1172110.0800000026</v>
          </cell>
          <cell r="M1740" t="e">
            <v>#N/A</v>
          </cell>
        </row>
        <row r="1741">
          <cell r="C1741" t="e">
            <v>#N/A</v>
          </cell>
          <cell r="E1741" t="e">
            <v>#N/A</v>
          </cell>
          <cell r="F1741" t="e">
            <v>#N/A</v>
          </cell>
          <cell r="G1741" t="e">
            <v>#N/A</v>
          </cell>
          <cell r="H1741">
            <v>0</v>
          </cell>
          <cell r="I1741">
            <v>0</v>
          </cell>
          <cell r="J1741" t="str">
            <v>X</v>
          </cell>
          <cell r="K1741">
            <v>1172110.0800000026</v>
          </cell>
          <cell r="L1741">
            <v>1172110.0800000026</v>
          </cell>
          <cell r="M1741" t="e">
            <v>#N/A</v>
          </cell>
        </row>
        <row r="1742">
          <cell r="C1742" t="e">
            <v>#N/A</v>
          </cell>
          <cell r="E1742" t="e">
            <v>#N/A</v>
          </cell>
          <cell r="F1742" t="e">
            <v>#N/A</v>
          </cell>
          <cell r="G1742" t="e">
            <v>#N/A</v>
          </cell>
          <cell r="H1742">
            <v>0</v>
          </cell>
          <cell r="I1742">
            <v>0</v>
          </cell>
          <cell r="J1742" t="str">
            <v>X</v>
          </cell>
          <cell r="K1742">
            <v>1172110.0800000026</v>
          </cell>
          <cell r="L1742">
            <v>1172110.0800000026</v>
          </cell>
          <cell r="M1742" t="e">
            <v>#N/A</v>
          </cell>
        </row>
        <row r="1743">
          <cell r="C1743" t="e">
            <v>#N/A</v>
          </cell>
          <cell r="E1743" t="e">
            <v>#N/A</v>
          </cell>
          <cell r="F1743" t="e">
            <v>#N/A</v>
          </cell>
          <cell r="G1743" t="e">
            <v>#N/A</v>
          </cell>
          <cell r="H1743">
            <v>0</v>
          </cell>
          <cell r="I1743">
            <v>0</v>
          </cell>
          <cell r="J1743" t="str">
            <v>X</v>
          </cell>
          <cell r="K1743">
            <v>1172110.0800000026</v>
          </cell>
          <cell r="L1743">
            <v>1172110.0800000026</v>
          </cell>
          <cell r="M1743" t="e">
            <v>#N/A</v>
          </cell>
        </row>
        <row r="1744">
          <cell r="C1744" t="e">
            <v>#N/A</v>
          </cell>
          <cell r="E1744" t="e">
            <v>#N/A</v>
          </cell>
          <cell r="F1744" t="e">
            <v>#N/A</v>
          </cell>
          <cell r="G1744" t="e">
            <v>#N/A</v>
          </cell>
          <cell r="H1744">
            <v>0</v>
          </cell>
          <cell r="I1744">
            <v>0</v>
          </cell>
          <cell r="J1744" t="str">
            <v>X</v>
          </cell>
          <cell r="K1744">
            <v>1172110.0800000026</v>
          </cell>
          <cell r="L1744">
            <v>1172110.0800000026</v>
          </cell>
          <cell r="M1744" t="e">
            <v>#N/A</v>
          </cell>
        </row>
        <row r="1745">
          <cell r="C1745" t="e">
            <v>#N/A</v>
          </cell>
          <cell r="E1745" t="e">
            <v>#N/A</v>
          </cell>
          <cell r="F1745" t="e">
            <v>#N/A</v>
          </cell>
          <cell r="G1745" t="e">
            <v>#N/A</v>
          </cell>
          <cell r="H1745">
            <v>0</v>
          </cell>
          <cell r="I1745">
            <v>0</v>
          </cell>
          <cell r="J1745" t="str">
            <v>X</v>
          </cell>
          <cell r="K1745">
            <v>1172110.0800000026</v>
          </cell>
          <cell r="L1745">
            <v>1172110.0800000026</v>
          </cell>
          <cell r="M1745" t="e">
            <v>#N/A</v>
          </cell>
        </row>
        <row r="1746">
          <cell r="C1746" t="e">
            <v>#N/A</v>
          </cell>
          <cell r="E1746" t="e">
            <v>#N/A</v>
          </cell>
          <cell r="F1746" t="e">
            <v>#N/A</v>
          </cell>
          <cell r="G1746" t="e">
            <v>#N/A</v>
          </cell>
          <cell r="H1746">
            <v>0</v>
          </cell>
          <cell r="I1746">
            <v>0</v>
          </cell>
          <cell r="J1746" t="str">
            <v>X</v>
          </cell>
          <cell r="K1746">
            <v>1172110.0800000026</v>
          </cell>
          <cell r="L1746">
            <v>1172110.0800000026</v>
          </cell>
          <cell r="M1746" t="e">
            <v>#N/A</v>
          </cell>
        </row>
        <row r="1747">
          <cell r="C1747" t="e">
            <v>#N/A</v>
          </cell>
          <cell r="E1747" t="e">
            <v>#N/A</v>
          </cell>
          <cell r="F1747" t="e">
            <v>#N/A</v>
          </cell>
          <cell r="G1747" t="e">
            <v>#N/A</v>
          </cell>
          <cell r="H1747">
            <v>0</v>
          </cell>
          <cell r="I1747">
            <v>0</v>
          </cell>
          <cell r="J1747" t="str">
            <v>X</v>
          </cell>
          <cell r="K1747">
            <v>1172110.0800000026</v>
          </cell>
          <cell r="L1747">
            <v>1172110.0800000026</v>
          </cell>
          <cell r="M1747" t="e">
            <v>#N/A</v>
          </cell>
        </row>
        <row r="1748">
          <cell r="C1748" t="e">
            <v>#N/A</v>
          </cell>
          <cell r="E1748" t="e">
            <v>#N/A</v>
          </cell>
          <cell r="F1748" t="e">
            <v>#N/A</v>
          </cell>
          <cell r="G1748" t="e">
            <v>#N/A</v>
          </cell>
          <cell r="H1748">
            <v>0</v>
          </cell>
          <cell r="I1748">
            <v>0</v>
          </cell>
          <cell r="J1748" t="str">
            <v>X</v>
          </cell>
          <cell r="K1748">
            <v>1172110.0800000026</v>
          </cell>
          <cell r="L1748">
            <v>1172110.0800000026</v>
          </cell>
          <cell r="M1748" t="e">
            <v>#N/A</v>
          </cell>
        </row>
        <row r="1749">
          <cell r="C1749" t="e">
            <v>#N/A</v>
          </cell>
          <cell r="E1749" t="e">
            <v>#N/A</v>
          </cell>
          <cell r="F1749" t="e">
            <v>#N/A</v>
          </cell>
          <cell r="G1749" t="e">
            <v>#N/A</v>
          </cell>
          <cell r="H1749">
            <v>0</v>
          </cell>
          <cell r="I1749">
            <v>0</v>
          </cell>
          <cell r="J1749" t="str">
            <v>X</v>
          </cell>
          <cell r="K1749">
            <v>1172110.0800000026</v>
          </cell>
          <cell r="L1749">
            <v>1172110.0800000026</v>
          </cell>
          <cell r="M1749" t="e">
            <v>#N/A</v>
          </cell>
        </row>
        <row r="1750">
          <cell r="C1750" t="e">
            <v>#N/A</v>
          </cell>
          <cell r="E1750" t="e">
            <v>#N/A</v>
          </cell>
          <cell r="F1750" t="e">
            <v>#N/A</v>
          </cell>
          <cell r="G1750" t="e">
            <v>#N/A</v>
          </cell>
          <cell r="H1750">
            <v>0</v>
          </cell>
          <cell r="I1750">
            <v>0</v>
          </cell>
          <cell r="J1750" t="str">
            <v>X</v>
          </cell>
          <cell r="K1750">
            <v>1172110.0800000026</v>
          </cell>
          <cell r="L1750">
            <v>1172110.0800000026</v>
          </cell>
          <cell r="M1750" t="e">
            <v>#N/A</v>
          </cell>
        </row>
        <row r="1751">
          <cell r="C1751" t="e">
            <v>#N/A</v>
          </cell>
          <cell r="E1751" t="e">
            <v>#N/A</v>
          </cell>
          <cell r="F1751" t="e">
            <v>#N/A</v>
          </cell>
          <cell r="G1751" t="e">
            <v>#N/A</v>
          </cell>
          <cell r="H1751">
            <v>0</v>
          </cell>
          <cell r="I1751">
            <v>0</v>
          </cell>
          <cell r="J1751" t="str">
            <v>X</v>
          </cell>
          <cell r="K1751">
            <v>1172110.0800000026</v>
          </cell>
          <cell r="L1751">
            <v>1172110.0800000026</v>
          </cell>
          <cell r="M1751" t="e">
            <v>#N/A</v>
          </cell>
        </row>
        <row r="1752">
          <cell r="C1752" t="e">
            <v>#N/A</v>
          </cell>
          <cell r="E1752" t="e">
            <v>#N/A</v>
          </cell>
          <cell r="F1752" t="e">
            <v>#N/A</v>
          </cell>
          <cell r="G1752" t="e">
            <v>#N/A</v>
          </cell>
          <cell r="H1752">
            <v>0</v>
          </cell>
          <cell r="I1752">
            <v>0</v>
          </cell>
          <cell r="J1752" t="str">
            <v>X</v>
          </cell>
          <cell r="K1752">
            <v>1172110.0800000026</v>
          </cell>
          <cell r="L1752">
            <v>1172110.0800000026</v>
          </cell>
          <cell r="M1752" t="e">
            <v>#N/A</v>
          </cell>
        </row>
        <row r="1753">
          <cell r="C1753" t="e">
            <v>#N/A</v>
          </cell>
          <cell r="E1753" t="e">
            <v>#N/A</v>
          </cell>
          <cell r="F1753" t="e">
            <v>#N/A</v>
          </cell>
          <cell r="G1753" t="e">
            <v>#N/A</v>
          </cell>
          <cell r="H1753">
            <v>0</v>
          </cell>
          <cell r="I1753">
            <v>0</v>
          </cell>
          <cell r="J1753" t="str">
            <v>X</v>
          </cell>
          <cell r="K1753">
            <v>1172110.0800000026</v>
          </cell>
          <cell r="L1753">
            <v>1172110.0800000026</v>
          </cell>
          <cell r="M1753" t="e">
            <v>#N/A</v>
          </cell>
        </row>
        <row r="1754">
          <cell r="C1754" t="e">
            <v>#N/A</v>
          </cell>
          <cell r="E1754" t="e">
            <v>#N/A</v>
          </cell>
          <cell r="F1754" t="e">
            <v>#N/A</v>
          </cell>
          <cell r="G1754" t="e">
            <v>#N/A</v>
          </cell>
          <cell r="H1754">
            <v>0</v>
          </cell>
          <cell r="I1754">
            <v>0</v>
          </cell>
          <cell r="J1754" t="str">
            <v>X</v>
          </cell>
          <cell r="K1754">
            <v>1172110.0800000026</v>
          </cell>
          <cell r="L1754">
            <v>1172110.0800000026</v>
          </cell>
          <cell r="M1754" t="e">
            <v>#N/A</v>
          </cell>
        </row>
        <row r="1755">
          <cell r="C1755" t="e">
            <v>#N/A</v>
          </cell>
          <cell r="E1755" t="e">
            <v>#N/A</v>
          </cell>
          <cell r="F1755" t="e">
            <v>#N/A</v>
          </cell>
          <cell r="G1755" t="e">
            <v>#N/A</v>
          </cell>
          <cell r="H1755">
            <v>0</v>
          </cell>
          <cell r="I1755">
            <v>0</v>
          </cell>
          <cell r="J1755" t="str">
            <v>X</v>
          </cell>
          <cell r="K1755">
            <v>1172110.0800000026</v>
          </cell>
          <cell r="L1755">
            <v>1172110.0800000026</v>
          </cell>
          <cell r="M1755" t="e">
            <v>#N/A</v>
          </cell>
        </row>
        <row r="1756">
          <cell r="C1756" t="e">
            <v>#N/A</v>
          </cell>
          <cell r="E1756" t="e">
            <v>#N/A</v>
          </cell>
          <cell r="F1756" t="e">
            <v>#N/A</v>
          </cell>
          <cell r="G1756" t="e">
            <v>#N/A</v>
          </cell>
          <cell r="H1756">
            <v>0</v>
          </cell>
          <cell r="I1756">
            <v>0</v>
          </cell>
          <cell r="J1756" t="str">
            <v>X</v>
          </cell>
          <cell r="K1756">
            <v>1172110.0800000026</v>
          </cell>
          <cell r="L1756">
            <v>1172110.0800000026</v>
          </cell>
          <cell r="M1756" t="e">
            <v>#N/A</v>
          </cell>
        </row>
        <row r="1757">
          <cell r="C1757" t="e">
            <v>#N/A</v>
          </cell>
          <cell r="E1757" t="e">
            <v>#N/A</v>
          </cell>
          <cell r="F1757" t="e">
            <v>#N/A</v>
          </cell>
          <cell r="G1757" t="e">
            <v>#N/A</v>
          </cell>
          <cell r="H1757">
            <v>0</v>
          </cell>
          <cell r="I1757">
            <v>0</v>
          </cell>
          <cell r="J1757" t="str">
            <v>X</v>
          </cell>
          <cell r="K1757">
            <v>1172110.0800000026</v>
          </cell>
          <cell r="L1757">
            <v>1172110.0800000026</v>
          </cell>
          <cell r="M1757" t="e">
            <v>#N/A</v>
          </cell>
        </row>
        <row r="1758">
          <cell r="C1758" t="e">
            <v>#N/A</v>
          </cell>
          <cell r="E1758" t="e">
            <v>#N/A</v>
          </cell>
          <cell r="F1758" t="e">
            <v>#N/A</v>
          </cell>
          <cell r="G1758" t="e">
            <v>#N/A</v>
          </cell>
          <cell r="H1758">
            <v>0</v>
          </cell>
          <cell r="I1758">
            <v>0</v>
          </cell>
          <cell r="J1758" t="str">
            <v>X</v>
          </cell>
          <cell r="K1758">
            <v>1172110.0800000026</v>
          </cell>
          <cell r="L1758">
            <v>1172110.0800000026</v>
          </cell>
          <cell r="M1758" t="e">
            <v>#N/A</v>
          </cell>
        </row>
        <row r="1759">
          <cell r="C1759" t="e">
            <v>#N/A</v>
          </cell>
          <cell r="E1759" t="e">
            <v>#N/A</v>
          </cell>
          <cell r="F1759" t="e">
            <v>#N/A</v>
          </cell>
          <cell r="G1759" t="e">
            <v>#N/A</v>
          </cell>
          <cell r="H1759">
            <v>0</v>
          </cell>
          <cell r="I1759">
            <v>0</v>
          </cell>
          <cell r="J1759" t="str">
            <v>X</v>
          </cell>
          <cell r="K1759">
            <v>1172110.0800000026</v>
          </cell>
          <cell r="L1759">
            <v>1172110.0800000026</v>
          </cell>
          <cell r="M1759" t="e">
            <v>#N/A</v>
          </cell>
        </row>
        <row r="1760">
          <cell r="C1760" t="e">
            <v>#N/A</v>
          </cell>
          <cell r="E1760" t="e">
            <v>#N/A</v>
          </cell>
          <cell r="F1760" t="e">
            <v>#N/A</v>
          </cell>
          <cell r="G1760" t="e">
            <v>#N/A</v>
          </cell>
          <cell r="H1760">
            <v>0</v>
          </cell>
          <cell r="I1760">
            <v>0</v>
          </cell>
          <cell r="J1760" t="str">
            <v>X</v>
          </cell>
          <cell r="K1760">
            <v>1172110.0800000026</v>
          </cell>
          <cell r="L1760">
            <v>1172110.0800000026</v>
          </cell>
          <cell r="M1760" t="e">
            <v>#N/A</v>
          </cell>
        </row>
        <row r="1761">
          <cell r="C1761" t="e">
            <v>#N/A</v>
          </cell>
          <cell r="E1761" t="e">
            <v>#N/A</v>
          </cell>
          <cell r="F1761" t="e">
            <v>#N/A</v>
          </cell>
          <cell r="G1761" t="e">
            <v>#N/A</v>
          </cell>
          <cell r="H1761">
            <v>0</v>
          </cell>
          <cell r="I1761">
            <v>0</v>
          </cell>
          <cell r="J1761" t="str">
            <v>X</v>
          </cell>
          <cell r="K1761">
            <v>1172110.0800000026</v>
          </cell>
          <cell r="L1761">
            <v>1172110.0800000026</v>
          </cell>
          <cell r="M1761" t="e">
            <v>#N/A</v>
          </cell>
        </row>
        <row r="1762">
          <cell r="C1762" t="e">
            <v>#N/A</v>
          </cell>
          <cell r="E1762" t="e">
            <v>#N/A</v>
          </cell>
          <cell r="F1762" t="e">
            <v>#N/A</v>
          </cell>
          <cell r="G1762" t="e">
            <v>#N/A</v>
          </cell>
          <cell r="H1762">
            <v>0</v>
          </cell>
          <cell r="I1762">
            <v>0</v>
          </cell>
          <cell r="J1762" t="str">
            <v>X</v>
          </cell>
          <cell r="K1762">
            <v>1172110.0800000026</v>
          </cell>
          <cell r="L1762">
            <v>1172110.0800000026</v>
          </cell>
          <cell r="M1762" t="e">
            <v>#N/A</v>
          </cell>
        </row>
        <row r="1763">
          <cell r="C1763" t="e">
            <v>#N/A</v>
          </cell>
          <cell r="E1763" t="e">
            <v>#N/A</v>
          </cell>
          <cell r="F1763" t="e">
            <v>#N/A</v>
          </cell>
          <cell r="G1763" t="e">
            <v>#N/A</v>
          </cell>
          <cell r="H1763">
            <v>0</v>
          </cell>
          <cell r="I1763">
            <v>0</v>
          </cell>
          <cell r="J1763" t="str">
            <v>X</v>
          </cell>
          <cell r="K1763">
            <v>1172110.0800000026</v>
          </cell>
          <cell r="L1763">
            <v>1172110.0800000026</v>
          </cell>
          <cell r="M1763" t="e">
            <v>#N/A</v>
          </cell>
        </row>
        <row r="1764">
          <cell r="C1764" t="e">
            <v>#N/A</v>
          </cell>
          <cell r="E1764" t="e">
            <v>#N/A</v>
          </cell>
          <cell r="F1764" t="e">
            <v>#N/A</v>
          </cell>
          <cell r="G1764" t="e">
            <v>#N/A</v>
          </cell>
          <cell r="H1764">
            <v>0</v>
          </cell>
          <cell r="I1764">
            <v>0</v>
          </cell>
          <cell r="J1764" t="str">
            <v>X</v>
          </cell>
          <cell r="K1764">
            <v>1172110.0800000026</v>
          </cell>
          <cell r="L1764">
            <v>1172110.0800000026</v>
          </cell>
          <cell r="M1764" t="e">
            <v>#N/A</v>
          </cell>
        </row>
        <row r="1765">
          <cell r="C1765" t="e">
            <v>#N/A</v>
          </cell>
          <cell r="E1765" t="e">
            <v>#N/A</v>
          </cell>
          <cell r="F1765" t="e">
            <v>#N/A</v>
          </cell>
          <cell r="G1765" t="e">
            <v>#N/A</v>
          </cell>
          <cell r="H1765">
            <v>0</v>
          </cell>
          <cell r="I1765">
            <v>0</v>
          </cell>
          <cell r="J1765" t="str">
            <v>X</v>
          </cell>
          <cell r="K1765">
            <v>1172110.0800000026</v>
          </cell>
          <cell r="L1765">
            <v>1172110.0800000026</v>
          </cell>
          <cell r="M1765" t="e">
            <v>#N/A</v>
          </cell>
        </row>
        <row r="1766">
          <cell r="C1766" t="e">
            <v>#N/A</v>
          </cell>
          <cell r="E1766" t="e">
            <v>#N/A</v>
          </cell>
          <cell r="F1766" t="e">
            <v>#N/A</v>
          </cell>
          <cell r="G1766" t="e">
            <v>#N/A</v>
          </cell>
          <cell r="H1766">
            <v>0</v>
          </cell>
          <cell r="I1766">
            <v>0</v>
          </cell>
          <cell r="J1766" t="str">
            <v>X</v>
          </cell>
          <cell r="K1766">
            <v>1172110.0800000026</v>
          </cell>
          <cell r="L1766">
            <v>1172110.0800000026</v>
          </cell>
          <cell r="M1766" t="e">
            <v>#N/A</v>
          </cell>
        </row>
        <row r="1767">
          <cell r="C1767" t="e">
            <v>#N/A</v>
          </cell>
          <cell r="E1767" t="e">
            <v>#N/A</v>
          </cell>
          <cell r="F1767" t="e">
            <v>#N/A</v>
          </cell>
          <cell r="G1767" t="e">
            <v>#N/A</v>
          </cell>
          <cell r="H1767">
            <v>0</v>
          </cell>
          <cell r="I1767">
            <v>0</v>
          </cell>
          <cell r="J1767" t="str">
            <v>X</v>
          </cell>
          <cell r="K1767">
            <v>1172110.0800000026</v>
          </cell>
          <cell r="L1767">
            <v>1172110.0800000026</v>
          </cell>
          <cell r="M1767" t="e">
            <v>#N/A</v>
          </cell>
        </row>
        <row r="1768">
          <cell r="C1768" t="e">
            <v>#N/A</v>
          </cell>
          <cell r="E1768" t="e">
            <v>#N/A</v>
          </cell>
          <cell r="F1768" t="e">
            <v>#N/A</v>
          </cell>
          <cell r="G1768" t="e">
            <v>#N/A</v>
          </cell>
          <cell r="H1768">
            <v>0</v>
          </cell>
          <cell r="I1768">
            <v>0</v>
          </cell>
          <cell r="J1768" t="str">
            <v>X</v>
          </cell>
          <cell r="K1768">
            <v>1172110.0800000026</v>
          </cell>
          <cell r="L1768">
            <v>1172110.0800000026</v>
          </cell>
          <cell r="M1768" t="e">
            <v>#N/A</v>
          </cell>
        </row>
        <row r="1769">
          <cell r="C1769" t="e">
            <v>#N/A</v>
          </cell>
          <cell r="E1769" t="e">
            <v>#N/A</v>
          </cell>
          <cell r="F1769" t="e">
            <v>#N/A</v>
          </cell>
          <cell r="G1769" t="e">
            <v>#N/A</v>
          </cell>
          <cell r="H1769">
            <v>0</v>
          </cell>
          <cell r="I1769">
            <v>0</v>
          </cell>
          <cell r="J1769" t="str">
            <v>X</v>
          </cell>
          <cell r="K1769">
            <v>1172110.0800000026</v>
          </cell>
          <cell r="L1769">
            <v>1172110.0800000026</v>
          </cell>
          <cell r="M1769" t="e">
            <v>#N/A</v>
          </cell>
        </row>
        <row r="1770">
          <cell r="C1770" t="e">
            <v>#N/A</v>
          </cell>
          <cell r="E1770" t="e">
            <v>#N/A</v>
          </cell>
          <cell r="F1770" t="e">
            <v>#N/A</v>
          </cell>
          <cell r="G1770" t="e">
            <v>#N/A</v>
          </cell>
          <cell r="H1770">
            <v>0</v>
          </cell>
          <cell r="I1770">
            <v>0</v>
          </cell>
          <cell r="J1770" t="str">
            <v>X</v>
          </cell>
          <cell r="K1770">
            <v>1172110.0800000026</v>
          </cell>
          <cell r="L1770">
            <v>1172110.0800000026</v>
          </cell>
          <cell r="M1770" t="e">
            <v>#N/A</v>
          </cell>
        </row>
        <row r="1771">
          <cell r="C1771" t="e">
            <v>#N/A</v>
          </cell>
          <cell r="E1771" t="e">
            <v>#N/A</v>
          </cell>
          <cell r="F1771" t="e">
            <v>#N/A</v>
          </cell>
          <cell r="G1771" t="e">
            <v>#N/A</v>
          </cell>
          <cell r="H1771">
            <v>0</v>
          </cell>
          <cell r="I1771">
            <v>0</v>
          </cell>
          <cell r="J1771" t="str">
            <v>X</v>
          </cell>
          <cell r="K1771">
            <v>1172110.0800000026</v>
          </cell>
          <cell r="L1771">
            <v>1172110.0800000026</v>
          </cell>
          <cell r="M1771" t="e">
            <v>#N/A</v>
          </cell>
        </row>
        <row r="1772">
          <cell r="C1772" t="e">
            <v>#N/A</v>
          </cell>
          <cell r="E1772" t="e">
            <v>#N/A</v>
          </cell>
          <cell r="F1772" t="e">
            <v>#N/A</v>
          </cell>
          <cell r="G1772" t="e">
            <v>#N/A</v>
          </cell>
          <cell r="H1772">
            <v>0</v>
          </cell>
          <cell r="I1772">
            <v>0</v>
          </cell>
          <cell r="J1772" t="str">
            <v>X</v>
          </cell>
          <cell r="K1772">
            <v>1172110.0800000026</v>
          </cell>
          <cell r="L1772">
            <v>1172110.0800000026</v>
          </cell>
          <cell r="M1772" t="e">
            <v>#N/A</v>
          </cell>
        </row>
        <row r="1773">
          <cell r="C1773" t="e">
            <v>#N/A</v>
          </cell>
          <cell r="E1773" t="e">
            <v>#N/A</v>
          </cell>
          <cell r="F1773" t="e">
            <v>#N/A</v>
          </cell>
          <cell r="G1773" t="e">
            <v>#N/A</v>
          </cell>
          <cell r="H1773">
            <v>0</v>
          </cell>
          <cell r="I1773">
            <v>0</v>
          </cell>
          <cell r="J1773" t="str">
            <v>X</v>
          </cell>
          <cell r="K1773">
            <v>1172110.0800000026</v>
          </cell>
          <cell r="L1773">
            <v>1172110.0800000026</v>
          </cell>
          <cell r="M1773" t="e">
            <v>#N/A</v>
          </cell>
        </row>
        <row r="1774">
          <cell r="C1774" t="e">
            <v>#N/A</v>
          </cell>
          <cell r="E1774" t="e">
            <v>#N/A</v>
          </cell>
          <cell r="F1774" t="e">
            <v>#N/A</v>
          </cell>
          <cell r="G1774" t="e">
            <v>#N/A</v>
          </cell>
          <cell r="H1774">
            <v>0</v>
          </cell>
          <cell r="I1774">
            <v>0</v>
          </cell>
          <cell r="J1774" t="str">
            <v>X</v>
          </cell>
          <cell r="K1774">
            <v>1172110.0800000026</v>
          </cell>
          <cell r="L1774">
            <v>1172110.0800000026</v>
          </cell>
          <cell r="M1774" t="e">
            <v>#N/A</v>
          </cell>
        </row>
        <row r="1775">
          <cell r="C1775" t="e">
            <v>#N/A</v>
          </cell>
          <cell r="E1775" t="e">
            <v>#N/A</v>
          </cell>
          <cell r="F1775" t="e">
            <v>#N/A</v>
          </cell>
          <cell r="G1775" t="e">
            <v>#N/A</v>
          </cell>
          <cell r="H1775">
            <v>0</v>
          </cell>
          <cell r="I1775">
            <v>0</v>
          </cell>
          <cell r="J1775" t="str">
            <v>X</v>
          </cell>
          <cell r="K1775">
            <v>1172110.0800000026</v>
          </cell>
          <cell r="L1775">
            <v>1172110.0800000026</v>
          </cell>
          <cell r="M1775" t="e">
            <v>#N/A</v>
          </cell>
        </row>
        <row r="1776">
          <cell r="C1776" t="e">
            <v>#N/A</v>
          </cell>
          <cell r="E1776" t="e">
            <v>#N/A</v>
          </cell>
          <cell r="F1776" t="e">
            <v>#N/A</v>
          </cell>
          <cell r="G1776" t="e">
            <v>#N/A</v>
          </cell>
          <cell r="H1776">
            <v>0</v>
          </cell>
          <cell r="I1776">
            <v>0</v>
          </cell>
          <cell r="J1776" t="str">
            <v>X</v>
          </cell>
          <cell r="K1776">
            <v>1172110.0800000026</v>
          </cell>
          <cell r="L1776">
            <v>1172110.0800000026</v>
          </cell>
          <cell r="M1776" t="e">
            <v>#N/A</v>
          </cell>
        </row>
        <row r="1777">
          <cell r="C1777" t="e">
            <v>#N/A</v>
          </cell>
          <cell r="E1777" t="e">
            <v>#N/A</v>
          </cell>
          <cell r="F1777" t="e">
            <v>#N/A</v>
          </cell>
          <cell r="G1777" t="e">
            <v>#N/A</v>
          </cell>
          <cell r="H1777">
            <v>0</v>
          </cell>
          <cell r="I1777">
            <v>0</v>
          </cell>
          <cell r="J1777" t="str">
            <v>X</v>
          </cell>
          <cell r="K1777">
            <v>1172110.0800000026</v>
          </cell>
          <cell r="L1777">
            <v>1172110.0800000026</v>
          </cell>
          <cell r="M1777" t="e">
            <v>#N/A</v>
          </cell>
        </row>
        <row r="1778">
          <cell r="C1778" t="e">
            <v>#N/A</v>
          </cell>
          <cell r="E1778" t="e">
            <v>#N/A</v>
          </cell>
          <cell r="F1778" t="e">
            <v>#N/A</v>
          </cell>
          <cell r="G1778" t="e">
            <v>#N/A</v>
          </cell>
          <cell r="H1778">
            <v>0</v>
          </cell>
          <cell r="I1778">
            <v>0</v>
          </cell>
          <cell r="J1778" t="str">
            <v>X</v>
          </cell>
          <cell r="K1778">
            <v>1172110.0800000026</v>
          </cell>
          <cell r="L1778">
            <v>1172110.0800000026</v>
          </cell>
          <cell r="M1778" t="e">
            <v>#N/A</v>
          </cell>
        </row>
        <row r="1779">
          <cell r="C1779" t="e">
            <v>#N/A</v>
          </cell>
          <cell r="E1779" t="e">
            <v>#N/A</v>
          </cell>
          <cell r="F1779" t="e">
            <v>#N/A</v>
          </cell>
          <cell r="G1779" t="e">
            <v>#N/A</v>
          </cell>
          <cell r="H1779">
            <v>0</v>
          </cell>
          <cell r="I1779">
            <v>0</v>
          </cell>
          <cell r="J1779" t="str">
            <v>X</v>
          </cell>
          <cell r="K1779">
            <v>1172110.0800000026</v>
          </cell>
          <cell r="L1779">
            <v>1172110.0800000026</v>
          </cell>
          <cell r="M1779" t="e">
            <v>#N/A</v>
          </cell>
        </row>
        <row r="1780">
          <cell r="C1780" t="e">
            <v>#N/A</v>
          </cell>
          <cell r="E1780" t="e">
            <v>#N/A</v>
          </cell>
          <cell r="F1780" t="e">
            <v>#N/A</v>
          </cell>
          <cell r="G1780" t="e">
            <v>#N/A</v>
          </cell>
          <cell r="H1780">
            <v>0</v>
          </cell>
          <cell r="I1780">
            <v>0</v>
          </cell>
          <cell r="J1780" t="str">
            <v>X</v>
          </cell>
          <cell r="K1780">
            <v>1172110.0800000026</v>
          </cell>
          <cell r="L1780">
            <v>1172110.0800000026</v>
          </cell>
          <cell r="M1780" t="e">
            <v>#N/A</v>
          </cell>
        </row>
        <row r="1781">
          <cell r="C1781" t="e">
            <v>#N/A</v>
          </cell>
          <cell r="E1781" t="e">
            <v>#N/A</v>
          </cell>
          <cell r="F1781" t="e">
            <v>#N/A</v>
          </cell>
          <cell r="G1781" t="e">
            <v>#N/A</v>
          </cell>
          <cell r="H1781">
            <v>0</v>
          </cell>
          <cell r="I1781">
            <v>0</v>
          </cell>
          <cell r="J1781" t="str">
            <v>X</v>
          </cell>
          <cell r="K1781">
            <v>1172110.0800000026</v>
          </cell>
          <cell r="L1781">
            <v>1172110.0800000026</v>
          </cell>
          <cell r="M1781" t="e">
            <v>#N/A</v>
          </cell>
        </row>
        <row r="1782">
          <cell r="C1782" t="e">
            <v>#N/A</v>
          </cell>
          <cell r="E1782" t="e">
            <v>#N/A</v>
          </cell>
          <cell r="F1782" t="e">
            <v>#N/A</v>
          </cell>
          <cell r="G1782" t="e">
            <v>#N/A</v>
          </cell>
          <cell r="H1782">
            <v>0</v>
          </cell>
          <cell r="I1782">
            <v>0</v>
          </cell>
          <cell r="J1782" t="str">
            <v>X</v>
          </cell>
          <cell r="K1782">
            <v>1172110.0800000026</v>
          </cell>
          <cell r="L1782">
            <v>1172110.0800000026</v>
          </cell>
          <cell r="M1782" t="e">
            <v>#N/A</v>
          </cell>
        </row>
        <row r="1783">
          <cell r="C1783" t="e">
            <v>#N/A</v>
          </cell>
          <cell r="E1783" t="e">
            <v>#N/A</v>
          </cell>
          <cell r="F1783" t="e">
            <v>#N/A</v>
          </cell>
          <cell r="G1783" t="e">
            <v>#N/A</v>
          </cell>
          <cell r="H1783">
            <v>0</v>
          </cell>
          <cell r="I1783">
            <v>0</v>
          </cell>
          <cell r="J1783" t="str">
            <v>X</v>
          </cell>
          <cell r="K1783">
            <v>1172110.0800000026</v>
          </cell>
          <cell r="L1783">
            <v>1172110.0800000026</v>
          </cell>
          <cell r="M1783" t="e">
            <v>#N/A</v>
          </cell>
        </row>
        <row r="1784">
          <cell r="C1784" t="e">
            <v>#N/A</v>
          </cell>
          <cell r="E1784" t="e">
            <v>#N/A</v>
          </cell>
          <cell r="F1784" t="e">
            <v>#N/A</v>
          </cell>
          <cell r="G1784" t="e">
            <v>#N/A</v>
          </cell>
          <cell r="H1784">
            <v>0</v>
          </cell>
          <cell r="I1784">
            <v>0</v>
          </cell>
          <cell r="J1784" t="str">
            <v>X</v>
          </cell>
          <cell r="K1784">
            <v>1172110.0800000026</v>
          </cell>
          <cell r="L1784">
            <v>1172110.0800000026</v>
          </cell>
          <cell r="M1784" t="e">
            <v>#N/A</v>
          </cell>
        </row>
        <row r="1785">
          <cell r="C1785" t="e">
            <v>#N/A</v>
          </cell>
          <cell r="E1785" t="e">
            <v>#N/A</v>
          </cell>
          <cell r="F1785" t="e">
            <v>#N/A</v>
          </cell>
          <cell r="G1785" t="e">
            <v>#N/A</v>
          </cell>
          <cell r="H1785">
            <v>0</v>
          </cell>
          <cell r="I1785">
            <v>0</v>
          </cell>
          <cell r="J1785" t="str">
            <v>X</v>
          </cell>
          <cell r="K1785">
            <v>1172110.0800000026</v>
          </cell>
          <cell r="L1785">
            <v>1172110.0800000026</v>
          </cell>
          <cell r="M1785" t="e">
            <v>#N/A</v>
          </cell>
        </row>
        <row r="1786">
          <cell r="C1786" t="e">
            <v>#N/A</v>
          </cell>
          <cell r="E1786" t="e">
            <v>#N/A</v>
          </cell>
          <cell r="F1786" t="e">
            <v>#N/A</v>
          </cell>
          <cell r="G1786" t="e">
            <v>#N/A</v>
          </cell>
          <cell r="H1786">
            <v>0</v>
          </cell>
          <cell r="I1786">
            <v>0</v>
          </cell>
          <cell r="J1786" t="str">
            <v>X</v>
          </cell>
          <cell r="K1786">
            <v>1172110.0800000026</v>
          </cell>
          <cell r="L1786">
            <v>1172110.0800000026</v>
          </cell>
          <cell r="M1786" t="e">
            <v>#N/A</v>
          </cell>
        </row>
        <row r="1787">
          <cell r="C1787" t="e">
            <v>#N/A</v>
          </cell>
          <cell r="E1787" t="e">
            <v>#N/A</v>
          </cell>
          <cell r="F1787" t="e">
            <v>#N/A</v>
          </cell>
          <cell r="G1787" t="e">
            <v>#N/A</v>
          </cell>
          <cell r="H1787">
            <v>0</v>
          </cell>
          <cell r="I1787">
            <v>0</v>
          </cell>
          <cell r="J1787" t="str">
            <v>X</v>
          </cell>
          <cell r="K1787">
            <v>1172110.0800000026</v>
          </cell>
          <cell r="L1787">
            <v>1172110.0800000026</v>
          </cell>
          <cell r="M1787" t="e">
            <v>#N/A</v>
          </cell>
        </row>
        <row r="1788">
          <cell r="C1788" t="e">
            <v>#N/A</v>
          </cell>
          <cell r="E1788" t="e">
            <v>#N/A</v>
          </cell>
          <cell r="F1788" t="e">
            <v>#N/A</v>
          </cell>
          <cell r="G1788" t="e">
            <v>#N/A</v>
          </cell>
          <cell r="H1788">
            <v>0</v>
          </cell>
          <cell r="I1788">
            <v>0</v>
          </cell>
          <cell r="J1788" t="str">
            <v>X</v>
          </cell>
          <cell r="K1788">
            <v>1172110.0800000026</v>
          </cell>
          <cell r="L1788">
            <v>1172110.0800000026</v>
          </cell>
          <cell r="M1788" t="e">
            <v>#N/A</v>
          </cell>
        </row>
        <row r="1789">
          <cell r="C1789" t="e">
            <v>#N/A</v>
          </cell>
          <cell r="E1789" t="e">
            <v>#N/A</v>
          </cell>
          <cell r="F1789" t="e">
            <v>#N/A</v>
          </cell>
          <cell r="G1789" t="e">
            <v>#N/A</v>
          </cell>
          <cell r="H1789">
            <v>0</v>
          </cell>
          <cell r="I1789">
            <v>0</v>
          </cell>
          <cell r="J1789" t="str">
            <v>X</v>
          </cell>
          <cell r="K1789">
            <v>1172110.0800000026</v>
          </cell>
          <cell r="L1789">
            <v>1172110.0800000026</v>
          </cell>
          <cell r="M1789" t="e">
            <v>#N/A</v>
          </cell>
        </row>
        <row r="1790">
          <cell r="C1790" t="e">
            <v>#N/A</v>
          </cell>
          <cell r="E1790" t="e">
            <v>#N/A</v>
          </cell>
          <cell r="F1790" t="e">
            <v>#N/A</v>
          </cell>
          <cell r="G1790" t="e">
            <v>#N/A</v>
          </cell>
          <cell r="H1790">
            <v>0</v>
          </cell>
          <cell r="I1790">
            <v>0</v>
          </cell>
          <cell r="J1790" t="str">
            <v>X</v>
          </cell>
          <cell r="K1790">
            <v>1172110.0800000026</v>
          </cell>
          <cell r="L1790">
            <v>1172110.0800000026</v>
          </cell>
          <cell r="M1790" t="e">
            <v>#N/A</v>
          </cell>
        </row>
        <row r="1791">
          <cell r="C1791" t="e">
            <v>#N/A</v>
          </cell>
          <cell r="E1791" t="e">
            <v>#N/A</v>
          </cell>
          <cell r="F1791" t="e">
            <v>#N/A</v>
          </cell>
          <cell r="G1791" t="e">
            <v>#N/A</v>
          </cell>
          <cell r="H1791">
            <v>0</v>
          </cell>
          <cell r="I1791">
            <v>0</v>
          </cell>
          <cell r="J1791" t="str">
            <v>X</v>
          </cell>
          <cell r="K1791">
            <v>1172110.0800000026</v>
          </cell>
          <cell r="L1791">
            <v>1172110.0800000026</v>
          </cell>
          <cell r="M1791" t="e">
            <v>#N/A</v>
          </cell>
        </row>
        <row r="1792">
          <cell r="C1792" t="e">
            <v>#N/A</v>
          </cell>
          <cell r="E1792" t="e">
            <v>#N/A</v>
          </cell>
          <cell r="F1792" t="e">
            <v>#N/A</v>
          </cell>
          <cell r="G1792" t="e">
            <v>#N/A</v>
          </cell>
          <cell r="H1792">
            <v>0</v>
          </cell>
          <cell r="I1792">
            <v>0</v>
          </cell>
          <cell r="J1792" t="str">
            <v>X</v>
          </cell>
          <cell r="K1792">
            <v>1172110.0800000026</v>
          </cell>
          <cell r="L1792">
            <v>1172110.0800000026</v>
          </cell>
          <cell r="M1792" t="e">
            <v>#N/A</v>
          </cell>
        </row>
        <row r="1793">
          <cell r="C1793" t="e">
            <v>#N/A</v>
          </cell>
          <cell r="E1793" t="e">
            <v>#N/A</v>
          </cell>
          <cell r="F1793" t="e">
            <v>#N/A</v>
          </cell>
          <cell r="G1793" t="e">
            <v>#N/A</v>
          </cell>
          <cell r="H1793">
            <v>0</v>
          </cell>
          <cell r="I1793">
            <v>0</v>
          </cell>
          <cell r="J1793" t="str">
            <v>X</v>
          </cell>
          <cell r="K1793">
            <v>1172110.0800000026</v>
          </cell>
          <cell r="L1793">
            <v>1172110.0800000026</v>
          </cell>
          <cell r="M1793" t="e">
            <v>#N/A</v>
          </cell>
        </row>
        <row r="1794">
          <cell r="C1794" t="e">
            <v>#N/A</v>
          </cell>
          <cell r="E1794" t="e">
            <v>#N/A</v>
          </cell>
          <cell r="F1794" t="e">
            <v>#N/A</v>
          </cell>
          <cell r="G1794" t="e">
            <v>#N/A</v>
          </cell>
          <cell r="H1794">
            <v>0</v>
          </cell>
          <cell r="I1794">
            <v>0</v>
          </cell>
          <cell r="J1794" t="str">
            <v>X</v>
          </cell>
          <cell r="K1794">
            <v>1172110.0800000026</v>
          </cell>
          <cell r="L1794">
            <v>1172110.0800000026</v>
          </cell>
          <cell r="M1794" t="e">
            <v>#N/A</v>
          </cell>
        </row>
        <row r="1795">
          <cell r="C1795" t="e">
            <v>#N/A</v>
          </cell>
          <cell r="E1795" t="e">
            <v>#N/A</v>
          </cell>
          <cell r="F1795" t="e">
            <v>#N/A</v>
          </cell>
          <cell r="G1795" t="e">
            <v>#N/A</v>
          </cell>
          <cell r="H1795">
            <v>0</v>
          </cell>
          <cell r="I1795">
            <v>0</v>
          </cell>
          <cell r="J1795" t="str">
            <v>X</v>
          </cell>
          <cell r="K1795">
            <v>1172110.0800000026</v>
          </cell>
          <cell r="L1795">
            <v>1172110.0800000026</v>
          </cell>
          <cell r="M1795" t="e">
            <v>#N/A</v>
          </cell>
        </row>
        <row r="1796">
          <cell r="C1796" t="e">
            <v>#N/A</v>
          </cell>
          <cell r="E1796" t="e">
            <v>#N/A</v>
          </cell>
          <cell r="F1796" t="e">
            <v>#N/A</v>
          </cell>
          <cell r="G1796" t="e">
            <v>#N/A</v>
          </cell>
          <cell r="H1796">
            <v>0</v>
          </cell>
          <cell r="I1796">
            <v>0</v>
          </cell>
          <cell r="J1796" t="str">
            <v>X</v>
          </cell>
          <cell r="K1796">
            <v>1172110.0800000026</v>
          </cell>
          <cell r="L1796">
            <v>1172110.0800000026</v>
          </cell>
          <cell r="M1796" t="e">
            <v>#N/A</v>
          </cell>
        </row>
        <row r="1797">
          <cell r="C1797" t="e">
            <v>#N/A</v>
          </cell>
          <cell r="E1797" t="e">
            <v>#N/A</v>
          </cell>
          <cell r="F1797" t="e">
            <v>#N/A</v>
          </cell>
          <cell r="G1797" t="e">
            <v>#N/A</v>
          </cell>
          <cell r="H1797">
            <v>0</v>
          </cell>
          <cell r="I1797">
            <v>0</v>
          </cell>
          <cell r="J1797" t="str">
            <v>X</v>
          </cell>
          <cell r="K1797">
            <v>1172110.0800000026</v>
          </cell>
          <cell r="L1797">
            <v>1172110.0800000026</v>
          </cell>
          <cell r="M1797" t="e">
            <v>#N/A</v>
          </cell>
        </row>
        <row r="1798">
          <cell r="C1798" t="e">
            <v>#N/A</v>
          </cell>
          <cell r="E1798" t="e">
            <v>#N/A</v>
          </cell>
          <cell r="F1798" t="e">
            <v>#N/A</v>
          </cell>
          <cell r="G1798" t="e">
            <v>#N/A</v>
          </cell>
          <cell r="H1798">
            <v>0</v>
          </cell>
          <cell r="I1798">
            <v>0</v>
          </cell>
          <cell r="J1798" t="str">
            <v>X</v>
          </cell>
          <cell r="K1798">
            <v>1172110.0800000026</v>
          </cell>
          <cell r="L1798">
            <v>1172110.0800000026</v>
          </cell>
          <cell r="M1798" t="e">
            <v>#N/A</v>
          </cell>
        </row>
        <row r="1799">
          <cell r="C1799" t="e">
            <v>#N/A</v>
          </cell>
          <cell r="E1799" t="e">
            <v>#N/A</v>
          </cell>
          <cell r="F1799" t="e">
            <v>#N/A</v>
          </cell>
          <cell r="G1799" t="e">
            <v>#N/A</v>
          </cell>
          <cell r="H1799">
            <v>0</v>
          </cell>
          <cell r="I1799">
            <v>0</v>
          </cell>
          <cell r="J1799" t="str">
            <v>X</v>
          </cell>
          <cell r="K1799">
            <v>1172110.0800000026</v>
          </cell>
          <cell r="L1799">
            <v>1172110.0800000026</v>
          </cell>
          <cell r="M1799" t="e">
            <v>#N/A</v>
          </cell>
        </row>
        <row r="1800">
          <cell r="C1800" t="e">
            <v>#N/A</v>
          </cell>
          <cell r="E1800" t="e">
            <v>#N/A</v>
          </cell>
          <cell r="F1800" t="e">
            <v>#N/A</v>
          </cell>
          <cell r="G1800" t="e">
            <v>#N/A</v>
          </cell>
          <cell r="H1800">
            <v>0</v>
          </cell>
          <cell r="I1800">
            <v>0</v>
          </cell>
          <cell r="J1800" t="str">
            <v>X</v>
          </cell>
          <cell r="K1800">
            <v>1172110.0800000026</v>
          </cell>
          <cell r="L1800">
            <v>1172110.0800000026</v>
          </cell>
          <cell r="M1800" t="e">
            <v>#N/A</v>
          </cell>
        </row>
        <row r="1801">
          <cell r="C1801" t="e">
            <v>#N/A</v>
          </cell>
          <cell r="E1801" t="e">
            <v>#N/A</v>
          </cell>
          <cell r="F1801" t="e">
            <v>#N/A</v>
          </cell>
          <cell r="G1801" t="e">
            <v>#N/A</v>
          </cell>
          <cell r="H1801">
            <v>0</v>
          </cell>
          <cell r="I1801">
            <v>0</v>
          </cell>
          <cell r="J1801" t="str">
            <v>X</v>
          </cell>
          <cell r="K1801">
            <v>1172110.0800000026</v>
          </cell>
          <cell r="L1801">
            <v>1172110.0800000026</v>
          </cell>
          <cell r="M1801" t="e">
            <v>#N/A</v>
          </cell>
        </row>
        <row r="1802">
          <cell r="C1802" t="e">
            <v>#N/A</v>
          </cell>
          <cell r="E1802" t="e">
            <v>#N/A</v>
          </cell>
          <cell r="F1802" t="e">
            <v>#N/A</v>
          </cell>
          <cell r="G1802" t="e">
            <v>#N/A</v>
          </cell>
          <cell r="H1802">
            <v>0</v>
          </cell>
          <cell r="I1802">
            <v>0</v>
          </cell>
          <cell r="J1802" t="str">
            <v>X</v>
          </cell>
          <cell r="K1802">
            <v>1172110.0800000026</v>
          </cell>
          <cell r="L1802">
            <v>1172110.0800000026</v>
          </cell>
          <cell r="M1802" t="e">
            <v>#N/A</v>
          </cell>
        </row>
        <row r="1803">
          <cell r="C1803" t="e">
            <v>#N/A</v>
          </cell>
          <cell r="E1803" t="e">
            <v>#N/A</v>
          </cell>
          <cell r="F1803" t="e">
            <v>#N/A</v>
          </cell>
          <cell r="G1803" t="e">
            <v>#N/A</v>
          </cell>
          <cell r="H1803">
            <v>0</v>
          </cell>
          <cell r="I1803">
            <v>0</v>
          </cell>
          <cell r="J1803" t="str">
            <v>X</v>
          </cell>
          <cell r="K1803">
            <v>1172110.0800000026</v>
          </cell>
          <cell r="L1803">
            <v>1172110.0800000026</v>
          </cell>
          <cell r="M1803" t="e">
            <v>#N/A</v>
          </cell>
        </row>
        <row r="1804">
          <cell r="C1804" t="e">
            <v>#N/A</v>
          </cell>
          <cell r="E1804" t="e">
            <v>#N/A</v>
          </cell>
          <cell r="F1804" t="e">
            <v>#N/A</v>
          </cell>
          <cell r="G1804" t="e">
            <v>#N/A</v>
          </cell>
          <cell r="H1804">
            <v>0</v>
          </cell>
          <cell r="I1804">
            <v>0</v>
          </cell>
          <cell r="J1804" t="str">
            <v>X</v>
          </cell>
          <cell r="K1804">
            <v>1172110.0800000026</v>
          </cell>
          <cell r="L1804">
            <v>1172110.0800000026</v>
          </cell>
          <cell r="M1804" t="e">
            <v>#N/A</v>
          </cell>
        </row>
        <row r="1805">
          <cell r="C1805" t="e">
            <v>#N/A</v>
          </cell>
          <cell r="E1805" t="e">
            <v>#N/A</v>
          </cell>
          <cell r="F1805" t="e">
            <v>#N/A</v>
          </cell>
          <cell r="G1805" t="e">
            <v>#N/A</v>
          </cell>
          <cell r="H1805">
            <v>0</v>
          </cell>
          <cell r="I1805">
            <v>0</v>
          </cell>
          <cell r="J1805" t="str">
            <v>X</v>
          </cell>
          <cell r="K1805">
            <v>1172110.0800000026</v>
          </cell>
          <cell r="L1805">
            <v>1172110.0800000026</v>
          </cell>
          <cell r="M1805" t="e">
            <v>#N/A</v>
          </cell>
        </row>
        <row r="1806">
          <cell r="C1806" t="e">
            <v>#N/A</v>
          </cell>
          <cell r="E1806" t="e">
            <v>#N/A</v>
          </cell>
          <cell r="F1806" t="e">
            <v>#N/A</v>
          </cell>
          <cell r="G1806" t="e">
            <v>#N/A</v>
          </cell>
          <cell r="H1806">
            <v>0</v>
          </cell>
          <cell r="I1806">
            <v>0</v>
          </cell>
          <cell r="J1806" t="str">
            <v>X</v>
          </cell>
          <cell r="K1806">
            <v>1172110.0800000026</v>
          </cell>
          <cell r="L1806">
            <v>1172110.0800000026</v>
          </cell>
          <cell r="M1806" t="e">
            <v>#N/A</v>
          </cell>
        </row>
        <row r="1807">
          <cell r="C1807" t="e">
            <v>#N/A</v>
          </cell>
          <cell r="E1807" t="e">
            <v>#N/A</v>
          </cell>
          <cell r="F1807" t="e">
            <v>#N/A</v>
          </cell>
          <cell r="G1807" t="e">
            <v>#N/A</v>
          </cell>
          <cell r="H1807">
            <v>0</v>
          </cell>
          <cell r="I1807">
            <v>0</v>
          </cell>
          <cell r="J1807" t="str">
            <v>X</v>
          </cell>
          <cell r="K1807">
            <v>1172110.0800000026</v>
          </cell>
          <cell r="L1807">
            <v>1172110.0800000026</v>
          </cell>
          <cell r="M1807" t="e">
            <v>#N/A</v>
          </cell>
        </row>
        <row r="1808">
          <cell r="C1808" t="e">
            <v>#N/A</v>
          </cell>
          <cell r="E1808" t="e">
            <v>#N/A</v>
          </cell>
          <cell r="F1808" t="e">
            <v>#N/A</v>
          </cell>
          <cell r="G1808" t="e">
            <v>#N/A</v>
          </cell>
          <cell r="H1808">
            <v>0</v>
          </cell>
          <cell r="I1808">
            <v>0</v>
          </cell>
          <cell r="J1808" t="str">
            <v>X</v>
          </cell>
          <cell r="K1808">
            <v>1172110.0800000026</v>
          </cell>
          <cell r="L1808">
            <v>1172110.0800000026</v>
          </cell>
          <cell r="M1808" t="e">
            <v>#N/A</v>
          </cell>
        </row>
        <row r="1809">
          <cell r="C1809" t="e">
            <v>#N/A</v>
          </cell>
          <cell r="E1809" t="e">
            <v>#N/A</v>
          </cell>
          <cell r="F1809" t="e">
            <v>#N/A</v>
          </cell>
          <cell r="G1809" t="e">
            <v>#N/A</v>
          </cell>
          <cell r="H1809">
            <v>0</v>
          </cell>
          <cell r="I1809">
            <v>0</v>
          </cell>
          <cell r="J1809" t="str">
            <v>X</v>
          </cell>
          <cell r="K1809">
            <v>1172110.0800000026</v>
          </cell>
          <cell r="L1809">
            <v>1172110.0800000026</v>
          </cell>
          <cell r="M1809" t="e">
            <v>#N/A</v>
          </cell>
        </row>
        <row r="1810">
          <cell r="C1810" t="e">
            <v>#N/A</v>
          </cell>
          <cell r="E1810" t="e">
            <v>#N/A</v>
          </cell>
          <cell r="F1810" t="e">
            <v>#N/A</v>
          </cell>
          <cell r="G1810" t="e">
            <v>#N/A</v>
          </cell>
          <cell r="H1810">
            <v>0</v>
          </cell>
          <cell r="I1810">
            <v>0</v>
          </cell>
          <cell r="J1810" t="str">
            <v>X</v>
          </cell>
          <cell r="K1810">
            <v>1172110.0800000026</v>
          </cell>
          <cell r="L1810">
            <v>1172110.0800000026</v>
          </cell>
          <cell r="M1810" t="e">
            <v>#N/A</v>
          </cell>
        </row>
        <row r="1811">
          <cell r="C1811" t="e">
            <v>#N/A</v>
          </cell>
          <cell r="E1811" t="e">
            <v>#N/A</v>
          </cell>
          <cell r="F1811" t="e">
            <v>#N/A</v>
          </cell>
          <cell r="G1811" t="e">
            <v>#N/A</v>
          </cell>
          <cell r="H1811">
            <v>0</v>
          </cell>
          <cell r="I1811">
            <v>0</v>
          </cell>
          <cell r="J1811" t="str">
            <v>X</v>
          </cell>
          <cell r="K1811">
            <v>1172110.0800000026</v>
          </cell>
          <cell r="L1811">
            <v>1172110.0800000026</v>
          </cell>
          <cell r="M1811" t="e">
            <v>#N/A</v>
          </cell>
        </row>
        <row r="1812">
          <cell r="C1812" t="e">
            <v>#N/A</v>
          </cell>
          <cell r="E1812" t="e">
            <v>#N/A</v>
          </cell>
          <cell r="F1812" t="e">
            <v>#N/A</v>
          </cell>
          <cell r="G1812" t="e">
            <v>#N/A</v>
          </cell>
          <cell r="H1812">
            <v>0</v>
          </cell>
          <cell r="I1812">
            <v>0</v>
          </cell>
          <cell r="J1812" t="str">
            <v>X</v>
          </cell>
          <cell r="K1812">
            <v>1172110.0800000026</v>
          </cell>
          <cell r="L1812">
            <v>1172110.0800000026</v>
          </cell>
          <cell r="M1812" t="e">
            <v>#N/A</v>
          </cell>
        </row>
        <row r="1813">
          <cell r="C1813" t="e">
            <v>#N/A</v>
          </cell>
          <cell r="E1813" t="e">
            <v>#N/A</v>
          </cell>
          <cell r="F1813" t="e">
            <v>#N/A</v>
          </cell>
          <cell r="G1813" t="e">
            <v>#N/A</v>
          </cell>
          <cell r="H1813">
            <v>0</v>
          </cell>
          <cell r="I1813">
            <v>0</v>
          </cell>
          <cell r="J1813" t="str">
            <v>X</v>
          </cell>
          <cell r="K1813">
            <v>1172110.0800000026</v>
          </cell>
          <cell r="L1813">
            <v>1172110.0800000026</v>
          </cell>
          <cell r="M1813" t="e">
            <v>#N/A</v>
          </cell>
        </row>
        <row r="1814">
          <cell r="C1814" t="e">
            <v>#N/A</v>
          </cell>
          <cell r="E1814" t="e">
            <v>#N/A</v>
          </cell>
          <cell r="F1814" t="e">
            <v>#N/A</v>
          </cell>
          <cell r="G1814" t="e">
            <v>#N/A</v>
          </cell>
          <cell r="H1814">
            <v>0</v>
          </cell>
          <cell r="I1814">
            <v>0</v>
          </cell>
          <cell r="J1814" t="str">
            <v>X</v>
          </cell>
          <cell r="K1814">
            <v>1172110.0800000026</v>
          </cell>
          <cell r="L1814">
            <v>1172110.0800000026</v>
          </cell>
          <cell r="M1814" t="e">
            <v>#N/A</v>
          </cell>
        </row>
        <row r="1815">
          <cell r="C1815" t="e">
            <v>#N/A</v>
          </cell>
          <cell r="E1815" t="e">
            <v>#N/A</v>
          </cell>
          <cell r="F1815" t="e">
            <v>#N/A</v>
          </cell>
          <cell r="G1815" t="e">
            <v>#N/A</v>
          </cell>
          <cell r="H1815">
            <v>0</v>
          </cell>
          <cell r="I1815">
            <v>0</v>
          </cell>
          <cell r="J1815" t="str">
            <v>X</v>
          </cell>
          <cell r="K1815">
            <v>1172110.0800000026</v>
          </cell>
          <cell r="L1815">
            <v>1172110.0800000026</v>
          </cell>
          <cell r="M1815" t="e">
            <v>#N/A</v>
          </cell>
        </row>
        <row r="1816">
          <cell r="C1816" t="e">
            <v>#N/A</v>
          </cell>
          <cell r="E1816" t="e">
            <v>#N/A</v>
          </cell>
          <cell r="F1816" t="e">
            <v>#N/A</v>
          </cell>
          <cell r="G1816" t="e">
            <v>#N/A</v>
          </cell>
          <cell r="H1816">
            <v>0</v>
          </cell>
          <cell r="I1816">
            <v>0</v>
          </cell>
          <cell r="J1816" t="str">
            <v>X</v>
          </cell>
          <cell r="K1816">
            <v>1172110.0800000026</v>
          </cell>
          <cell r="L1816">
            <v>1172110.0800000026</v>
          </cell>
          <cell r="M1816" t="e">
            <v>#N/A</v>
          </cell>
        </row>
        <row r="1817">
          <cell r="C1817" t="e">
            <v>#N/A</v>
          </cell>
          <cell r="E1817" t="e">
            <v>#N/A</v>
          </cell>
          <cell r="F1817" t="e">
            <v>#N/A</v>
          </cell>
          <cell r="G1817" t="e">
            <v>#N/A</v>
          </cell>
          <cell r="H1817">
            <v>0</v>
          </cell>
          <cell r="I1817">
            <v>0</v>
          </cell>
          <cell r="J1817" t="str">
            <v>X</v>
          </cell>
          <cell r="K1817">
            <v>1172110.0800000026</v>
          </cell>
          <cell r="L1817">
            <v>1172110.0800000026</v>
          </cell>
          <cell r="M1817" t="e">
            <v>#N/A</v>
          </cell>
        </row>
        <row r="1818">
          <cell r="C1818" t="e">
            <v>#N/A</v>
          </cell>
          <cell r="E1818" t="e">
            <v>#N/A</v>
          </cell>
          <cell r="F1818" t="e">
            <v>#N/A</v>
          </cell>
          <cell r="G1818" t="e">
            <v>#N/A</v>
          </cell>
          <cell r="H1818">
            <v>0</v>
          </cell>
          <cell r="I1818">
            <v>0</v>
          </cell>
          <cell r="J1818" t="str">
            <v>X</v>
          </cell>
          <cell r="K1818">
            <v>1172110.0800000026</v>
          </cell>
          <cell r="L1818">
            <v>1172110.0800000026</v>
          </cell>
          <cell r="M1818" t="e">
            <v>#N/A</v>
          </cell>
        </row>
        <row r="1819">
          <cell r="C1819" t="e">
            <v>#N/A</v>
          </cell>
          <cell r="E1819" t="e">
            <v>#N/A</v>
          </cell>
          <cell r="F1819" t="e">
            <v>#N/A</v>
          </cell>
          <cell r="G1819" t="e">
            <v>#N/A</v>
          </cell>
          <cell r="H1819">
            <v>0</v>
          </cell>
          <cell r="I1819">
            <v>0</v>
          </cell>
          <cell r="J1819" t="str">
            <v>X</v>
          </cell>
          <cell r="K1819">
            <v>1172110.0800000026</v>
          </cell>
          <cell r="L1819">
            <v>1172110.0800000026</v>
          </cell>
          <cell r="M1819" t="e">
            <v>#N/A</v>
          </cell>
        </row>
        <row r="1820">
          <cell r="C1820" t="e">
            <v>#N/A</v>
          </cell>
          <cell r="E1820" t="e">
            <v>#N/A</v>
          </cell>
          <cell r="F1820" t="e">
            <v>#N/A</v>
          </cell>
          <cell r="G1820" t="e">
            <v>#N/A</v>
          </cell>
          <cell r="H1820">
            <v>0</v>
          </cell>
          <cell r="I1820">
            <v>0</v>
          </cell>
          <cell r="J1820" t="str">
            <v>X</v>
          </cell>
          <cell r="K1820">
            <v>1172110.0800000026</v>
          </cell>
          <cell r="L1820">
            <v>1172110.0800000026</v>
          </cell>
          <cell r="M1820" t="e">
            <v>#N/A</v>
          </cell>
        </row>
        <row r="1821">
          <cell r="C1821" t="e">
            <v>#N/A</v>
          </cell>
          <cell r="E1821" t="e">
            <v>#N/A</v>
          </cell>
          <cell r="F1821" t="e">
            <v>#N/A</v>
          </cell>
          <cell r="G1821" t="e">
            <v>#N/A</v>
          </cell>
          <cell r="H1821">
            <v>0</v>
          </cell>
          <cell r="I1821">
            <v>0</v>
          </cell>
          <cell r="J1821" t="str">
            <v>X</v>
          </cell>
          <cell r="K1821">
            <v>1172110.0800000026</v>
          </cell>
          <cell r="L1821">
            <v>1172110.0800000026</v>
          </cell>
          <cell r="M1821" t="e">
            <v>#N/A</v>
          </cell>
        </row>
        <row r="1822">
          <cell r="C1822" t="e">
            <v>#N/A</v>
          </cell>
          <cell r="E1822" t="e">
            <v>#N/A</v>
          </cell>
          <cell r="F1822" t="e">
            <v>#N/A</v>
          </cell>
          <cell r="G1822" t="e">
            <v>#N/A</v>
          </cell>
          <cell r="H1822">
            <v>0</v>
          </cell>
          <cell r="I1822">
            <v>0</v>
          </cell>
          <cell r="J1822" t="str">
            <v>X</v>
          </cell>
          <cell r="K1822">
            <v>1172110.0800000026</v>
          </cell>
          <cell r="L1822">
            <v>1172110.0800000026</v>
          </cell>
          <cell r="M1822" t="e">
            <v>#N/A</v>
          </cell>
        </row>
        <row r="1823">
          <cell r="C1823" t="e">
            <v>#N/A</v>
          </cell>
          <cell r="E1823" t="e">
            <v>#N/A</v>
          </cell>
          <cell r="F1823" t="e">
            <v>#N/A</v>
          </cell>
          <cell r="G1823" t="e">
            <v>#N/A</v>
          </cell>
          <cell r="H1823">
            <v>0</v>
          </cell>
          <cell r="I1823">
            <v>0</v>
          </cell>
          <cell r="J1823" t="str">
            <v>X</v>
          </cell>
          <cell r="K1823">
            <v>1172110.0800000026</v>
          </cell>
          <cell r="L1823">
            <v>1172110.0800000026</v>
          </cell>
          <cell r="M1823" t="e">
            <v>#N/A</v>
          </cell>
        </row>
        <row r="1824">
          <cell r="C1824" t="e">
            <v>#N/A</v>
          </cell>
          <cell r="E1824" t="e">
            <v>#N/A</v>
          </cell>
          <cell r="F1824" t="e">
            <v>#N/A</v>
          </cell>
          <cell r="G1824" t="e">
            <v>#N/A</v>
          </cell>
          <cell r="H1824">
            <v>0</v>
          </cell>
          <cell r="I1824">
            <v>0</v>
          </cell>
          <cell r="J1824" t="str">
            <v>X</v>
          </cell>
          <cell r="K1824">
            <v>1172110.0800000026</v>
          </cell>
          <cell r="L1824">
            <v>1172110.0800000026</v>
          </cell>
          <cell r="M1824" t="e">
            <v>#N/A</v>
          </cell>
        </row>
        <row r="1825">
          <cell r="C1825" t="e">
            <v>#N/A</v>
          </cell>
          <cell r="E1825" t="e">
            <v>#N/A</v>
          </cell>
          <cell r="F1825" t="e">
            <v>#N/A</v>
          </cell>
          <cell r="G1825" t="e">
            <v>#N/A</v>
          </cell>
          <cell r="H1825">
            <v>0</v>
          </cell>
          <cell r="I1825">
            <v>0</v>
          </cell>
          <cell r="J1825" t="str">
            <v>X</v>
          </cell>
          <cell r="K1825">
            <v>1172110.0800000026</v>
          </cell>
          <cell r="L1825">
            <v>1172110.0800000026</v>
          </cell>
          <cell r="M1825" t="e">
            <v>#N/A</v>
          </cell>
        </row>
        <row r="1826">
          <cell r="C1826" t="e">
            <v>#N/A</v>
          </cell>
          <cell r="E1826" t="e">
            <v>#N/A</v>
          </cell>
          <cell r="F1826" t="e">
            <v>#N/A</v>
          </cell>
          <cell r="G1826" t="e">
            <v>#N/A</v>
          </cell>
          <cell r="H1826">
            <v>0</v>
          </cell>
          <cell r="I1826">
            <v>0</v>
          </cell>
          <cell r="J1826" t="str">
            <v>X</v>
          </cell>
          <cell r="K1826">
            <v>1172110.0800000026</v>
          </cell>
          <cell r="L1826">
            <v>1172110.0800000026</v>
          </cell>
          <cell r="M1826" t="e">
            <v>#N/A</v>
          </cell>
        </row>
        <row r="1827">
          <cell r="C1827" t="e">
            <v>#N/A</v>
          </cell>
          <cell r="E1827" t="e">
            <v>#N/A</v>
          </cell>
          <cell r="F1827" t="e">
            <v>#N/A</v>
          </cell>
          <cell r="G1827" t="e">
            <v>#N/A</v>
          </cell>
          <cell r="H1827">
            <v>0</v>
          </cell>
          <cell r="I1827">
            <v>0</v>
          </cell>
          <cell r="J1827" t="str">
            <v>X</v>
          </cell>
          <cell r="K1827">
            <v>1172110.0800000026</v>
          </cell>
          <cell r="L1827">
            <v>1172110.0800000026</v>
          </cell>
          <cell r="M1827" t="e">
            <v>#N/A</v>
          </cell>
        </row>
        <row r="1828">
          <cell r="C1828" t="e">
            <v>#N/A</v>
          </cell>
          <cell r="E1828" t="e">
            <v>#N/A</v>
          </cell>
          <cell r="F1828" t="e">
            <v>#N/A</v>
          </cell>
          <cell r="G1828" t="e">
            <v>#N/A</v>
          </cell>
          <cell r="H1828">
            <v>0</v>
          </cell>
          <cell r="I1828">
            <v>0</v>
          </cell>
          <cell r="J1828" t="str">
            <v>X</v>
          </cell>
          <cell r="K1828">
            <v>1172110.0800000026</v>
          </cell>
          <cell r="L1828">
            <v>1172110.0800000026</v>
          </cell>
          <cell r="M1828" t="e">
            <v>#N/A</v>
          </cell>
        </row>
        <row r="1829">
          <cell r="C1829" t="e">
            <v>#N/A</v>
          </cell>
          <cell r="E1829" t="e">
            <v>#N/A</v>
          </cell>
          <cell r="F1829" t="e">
            <v>#N/A</v>
          </cell>
          <cell r="G1829" t="e">
            <v>#N/A</v>
          </cell>
          <cell r="H1829">
            <v>0</v>
          </cell>
          <cell r="I1829">
            <v>0</v>
          </cell>
          <cell r="J1829" t="str">
            <v>X</v>
          </cell>
          <cell r="K1829">
            <v>1172110.0800000026</v>
          </cell>
          <cell r="L1829">
            <v>1172110.0800000026</v>
          </cell>
          <cell r="M1829" t="e">
            <v>#N/A</v>
          </cell>
        </row>
        <row r="1830">
          <cell r="C1830" t="e">
            <v>#N/A</v>
          </cell>
          <cell r="E1830" t="e">
            <v>#N/A</v>
          </cell>
          <cell r="F1830" t="e">
            <v>#N/A</v>
          </cell>
          <cell r="G1830" t="e">
            <v>#N/A</v>
          </cell>
          <cell r="H1830">
            <v>0</v>
          </cell>
          <cell r="I1830">
            <v>0</v>
          </cell>
          <cell r="J1830" t="str">
            <v>X</v>
          </cell>
          <cell r="K1830">
            <v>1172110.0800000026</v>
          </cell>
          <cell r="L1830">
            <v>1172110.0800000026</v>
          </cell>
          <cell r="M1830" t="e">
            <v>#N/A</v>
          </cell>
        </row>
        <row r="1831">
          <cell r="C1831" t="e">
            <v>#N/A</v>
          </cell>
          <cell r="E1831" t="e">
            <v>#N/A</v>
          </cell>
          <cell r="F1831" t="e">
            <v>#N/A</v>
          </cell>
          <cell r="G1831" t="e">
            <v>#N/A</v>
          </cell>
          <cell r="H1831">
            <v>0</v>
          </cell>
          <cell r="I1831">
            <v>0</v>
          </cell>
          <cell r="J1831" t="str">
            <v>X</v>
          </cell>
          <cell r="K1831">
            <v>1172110.0800000026</v>
          </cell>
          <cell r="L1831">
            <v>1172110.0800000026</v>
          </cell>
          <cell r="M1831" t="e">
            <v>#N/A</v>
          </cell>
        </row>
        <row r="1832">
          <cell r="C1832" t="e">
            <v>#N/A</v>
          </cell>
          <cell r="E1832" t="e">
            <v>#N/A</v>
          </cell>
          <cell r="F1832" t="e">
            <v>#N/A</v>
          </cell>
          <cell r="G1832" t="e">
            <v>#N/A</v>
          </cell>
          <cell r="H1832">
            <v>0</v>
          </cell>
          <cell r="I1832">
            <v>0</v>
          </cell>
          <cell r="J1832" t="str">
            <v>X</v>
          </cell>
          <cell r="K1832">
            <v>1172110.0800000026</v>
          </cell>
          <cell r="L1832">
            <v>1172110.0800000026</v>
          </cell>
          <cell r="M1832" t="e">
            <v>#N/A</v>
          </cell>
        </row>
        <row r="1833">
          <cell r="C1833" t="e">
            <v>#N/A</v>
          </cell>
          <cell r="E1833" t="e">
            <v>#N/A</v>
          </cell>
          <cell r="F1833" t="e">
            <v>#N/A</v>
          </cell>
          <cell r="G1833" t="e">
            <v>#N/A</v>
          </cell>
          <cell r="H1833">
            <v>0</v>
          </cell>
          <cell r="I1833">
            <v>0</v>
          </cell>
          <cell r="J1833" t="str">
            <v>X</v>
          </cell>
          <cell r="K1833">
            <v>1172110.0800000026</v>
          </cell>
          <cell r="L1833">
            <v>1172110.0800000026</v>
          </cell>
          <cell r="M1833" t="e">
            <v>#N/A</v>
          </cell>
        </row>
        <row r="1834">
          <cell r="C1834" t="e">
            <v>#N/A</v>
          </cell>
          <cell r="E1834" t="e">
            <v>#N/A</v>
          </cell>
          <cell r="F1834" t="e">
            <v>#N/A</v>
          </cell>
          <cell r="G1834" t="e">
            <v>#N/A</v>
          </cell>
          <cell r="H1834">
            <v>0</v>
          </cell>
          <cell r="I1834">
            <v>0</v>
          </cell>
          <cell r="J1834" t="str">
            <v>X</v>
          </cell>
          <cell r="K1834">
            <v>1172110.0800000026</v>
          </cell>
          <cell r="L1834">
            <v>1172110.0800000026</v>
          </cell>
          <cell r="M1834" t="e">
            <v>#N/A</v>
          </cell>
        </row>
        <row r="1835">
          <cell r="C1835" t="e">
            <v>#N/A</v>
          </cell>
          <cell r="E1835" t="e">
            <v>#N/A</v>
          </cell>
          <cell r="F1835" t="e">
            <v>#N/A</v>
          </cell>
          <cell r="G1835" t="e">
            <v>#N/A</v>
          </cell>
          <cell r="H1835">
            <v>0</v>
          </cell>
          <cell r="I1835">
            <v>0</v>
          </cell>
          <cell r="J1835" t="str">
            <v>X</v>
          </cell>
          <cell r="K1835">
            <v>1172110.0800000026</v>
          </cell>
          <cell r="L1835">
            <v>1172110.0800000026</v>
          </cell>
          <cell r="M1835" t="e">
            <v>#N/A</v>
          </cell>
        </row>
        <row r="1836">
          <cell r="C1836" t="e">
            <v>#N/A</v>
          </cell>
          <cell r="E1836" t="e">
            <v>#N/A</v>
          </cell>
          <cell r="F1836" t="e">
            <v>#N/A</v>
          </cell>
          <cell r="G1836" t="e">
            <v>#N/A</v>
          </cell>
          <cell r="H1836">
            <v>0</v>
          </cell>
          <cell r="I1836">
            <v>0</v>
          </cell>
          <cell r="J1836" t="str">
            <v>X</v>
          </cell>
          <cell r="K1836">
            <v>1172110.0800000026</v>
          </cell>
          <cell r="L1836">
            <v>1172110.0800000026</v>
          </cell>
          <cell r="M1836" t="e">
            <v>#N/A</v>
          </cell>
        </row>
        <row r="1837">
          <cell r="C1837" t="e">
            <v>#N/A</v>
          </cell>
          <cell r="E1837" t="e">
            <v>#N/A</v>
          </cell>
          <cell r="F1837" t="e">
            <v>#N/A</v>
          </cell>
          <cell r="G1837" t="e">
            <v>#N/A</v>
          </cell>
          <cell r="H1837">
            <v>0</v>
          </cell>
          <cell r="I1837">
            <v>0</v>
          </cell>
          <cell r="J1837" t="str">
            <v>X</v>
          </cell>
          <cell r="K1837">
            <v>1172110.0800000026</v>
          </cell>
          <cell r="L1837">
            <v>1172110.0800000026</v>
          </cell>
          <cell r="M1837" t="e">
            <v>#N/A</v>
          </cell>
        </row>
        <row r="1838">
          <cell r="C1838" t="e">
            <v>#N/A</v>
          </cell>
          <cell r="E1838" t="e">
            <v>#N/A</v>
          </cell>
          <cell r="F1838" t="e">
            <v>#N/A</v>
          </cell>
          <cell r="G1838" t="e">
            <v>#N/A</v>
          </cell>
          <cell r="H1838">
            <v>0</v>
          </cell>
          <cell r="I1838">
            <v>0</v>
          </cell>
          <cell r="J1838" t="str">
            <v>X</v>
          </cell>
          <cell r="K1838">
            <v>1172110.0800000026</v>
          </cell>
          <cell r="L1838">
            <v>1172110.0800000026</v>
          </cell>
          <cell r="M1838" t="e">
            <v>#N/A</v>
          </cell>
        </row>
        <row r="1839">
          <cell r="C1839" t="e">
            <v>#N/A</v>
          </cell>
          <cell r="E1839" t="e">
            <v>#N/A</v>
          </cell>
          <cell r="F1839" t="e">
            <v>#N/A</v>
          </cell>
          <cell r="G1839" t="e">
            <v>#N/A</v>
          </cell>
          <cell r="H1839">
            <v>0</v>
          </cell>
          <cell r="I1839">
            <v>0</v>
          </cell>
          <cell r="J1839" t="str">
            <v>X</v>
          </cell>
          <cell r="K1839">
            <v>1172110.0800000026</v>
          </cell>
          <cell r="L1839">
            <v>1172110.0800000026</v>
          </cell>
          <cell r="M1839" t="e">
            <v>#N/A</v>
          </cell>
        </row>
        <row r="1840">
          <cell r="C1840" t="e">
            <v>#N/A</v>
          </cell>
          <cell r="E1840" t="e">
            <v>#N/A</v>
          </cell>
          <cell r="F1840" t="e">
            <v>#N/A</v>
          </cell>
          <cell r="G1840" t="e">
            <v>#N/A</v>
          </cell>
          <cell r="H1840">
            <v>0</v>
          </cell>
          <cell r="I1840">
            <v>0</v>
          </cell>
          <cell r="J1840" t="str">
            <v>X</v>
          </cell>
          <cell r="K1840">
            <v>1172110.0800000026</v>
          </cell>
          <cell r="L1840">
            <v>1172110.0800000026</v>
          </cell>
          <cell r="M1840" t="e">
            <v>#N/A</v>
          </cell>
        </row>
        <row r="1841">
          <cell r="C1841" t="e">
            <v>#N/A</v>
          </cell>
          <cell r="E1841" t="e">
            <v>#N/A</v>
          </cell>
          <cell r="F1841" t="e">
            <v>#N/A</v>
          </cell>
          <cell r="G1841" t="e">
            <v>#N/A</v>
          </cell>
          <cell r="H1841">
            <v>0</v>
          </cell>
          <cell r="I1841">
            <v>0</v>
          </cell>
          <cell r="J1841" t="str">
            <v>X</v>
          </cell>
          <cell r="K1841">
            <v>1172110.0800000026</v>
          </cell>
          <cell r="L1841">
            <v>1172110.0800000026</v>
          </cell>
          <cell r="M1841" t="e">
            <v>#N/A</v>
          </cell>
        </row>
        <row r="1842">
          <cell r="C1842" t="e">
            <v>#N/A</v>
          </cell>
          <cell r="E1842" t="e">
            <v>#N/A</v>
          </cell>
          <cell r="F1842" t="e">
            <v>#N/A</v>
          </cell>
          <cell r="G1842" t="e">
            <v>#N/A</v>
          </cell>
          <cell r="H1842">
            <v>0</v>
          </cell>
          <cell r="I1842">
            <v>0</v>
          </cell>
          <cell r="J1842" t="str">
            <v>X</v>
          </cell>
          <cell r="K1842">
            <v>1172110.0800000026</v>
          </cell>
          <cell r="L1842">
            <v>1172110.0800000026</v>
          </cell>
          <cell r="M1842" t="e">
            <v>#N/A</v>
          </cell>
        </row>
        <row r="1843">
          <cell r="C1843" t="e">
            <v>#N/A</v>
          </cell>
          <cell r="E1843" t="e">
            <v>#N/A</v>
          </cell>
          <cell r="F1843" t="e">
            <v>#N/A</v>
          </cell>
          <cell r="G1843" t="e">
            <v>#N/A</v>
          </cell>
          <cell r="H1843">
            <v>0</v>
          </cell>
          <cell r="I1843">
            <v>0</v>
          </cell>
          <cell r="J1843" t="str">
            <v>X</v>
          </cell>
          <cell r="K1843">
            <v>1172110.0800000026</v>
          </cell>
          <cell r="L1843">
            <v>1172110.0800000026</v>
          </cell>
          <cell r="M1843" t="e">
            <v>#N/A</v>
          </cell>
        </row>
        <row r="1844">
          <cell r="C1844" t="e">
            <v>#N/A</v>
          </cell>
          <cell r="E1844" t="e">
            <v>#N/A</v>
          </cell>
          <cell r="F1844" t="e">
            <v>#N/A</v>
          </cell>
          <cell r="G1844" t="e">
            <v>#N/A</v>
          </cell>
          <cell r="H1844">
            <v>0</v>
          </cell>
          <cell r="I1844">
            <v>0</v>
          </cell>
          <cell r="J1844" t="str">
            <v>X</v>
          </cell>
          <cell r="K1844">
            <v>1172110.0800000026</v>
          </cell>
          <cell r="L1844">
            <v>1172110.0800000026</v>
          </cell>
          <cell r="M1844" t="e">
            <v>#N/A</v>
          </cell>
        </row>
        <row r="1845">
          <cell r="C1845" t="e">
            <v>#N/A</v>
          </cell>
          <cell r="E1845" t="e">
            <v>#N/A</v>
          </cell>
          <cell r="F1845" t="e">
            <v>#N/A</v>
          </cell>
          <cell r="G1845" t="e">
            <v>#N/A</v>
          </cell>
          <cell r="H1845">
            <v>0</v>
          </cell>
          <cell r="I1845">
            <v>0</v>
          </cell>
          <cell r="J1845" t="str">
            <v>X</v>
          </cell>
          <cell r="K1845">
            <v>1172110.0800000026</v>
          </cell>
          <cell r="L1845">
            <v>1172110.0800000026</v>
          </cell>
          <cell r="M1845" t="e">
            <v>#N/A</v>
          </cell>
        </row>
        <row r="1846">
          <cell r="C1846" t="e">
            <v>#N/A</v>
          </cell>
          <cell r="E1846" t="e">
            <v>#N/A</v>
          </cell>
          <cell r="F1846" t="e">
            <v>#N/A</v>
          </cell>
          <cell r="G1846" t="e">
            <v>#N/A</v>
          </cell>
          <cell r="H1846">
            <v>0</v>
          </cell>
          <cell r="I1846">
            <v>0</v>
          </cell>
          <cell r="J1846" t="str">
            <v>X</v>
          </cell>
          <cell r="K1846">
            <v>1172110.0800000026</v>
          </cell>
          <cell r="L1846">
            <v>1172110.0800000026</v>
          </cell>
          <cell r="M1846" t="e">
            <v>#N/A</v>
          </cell>
        </row>
        <row r="1847">
          <cell r="C1847" t="e">
            <v>#N/A</v>
          </cell>
          <cell r="E1847" t="e">
            <v>#N/A</v>
          </cell>
          <cell r="F1847" t="e">
            <v>#N/A</v>
          </cell>
          <cell r="G1847" t="e">
            <v>#N/A</v>
          </cell>
          <cell r="H1847">
            <v>0</v>
          </cell>
          <cell r="I1847">
            <v>0</v>
          </cell>
          <cell r="J1847" t="str">
            <v>X</v>
          </cell>
          <cell r="K1847">
            <v>1172110.0800000026</v>
          </cell>
          <cell r="L1847">
            <v>1172110.0800000026</v>
          </cell>
          <cell r="M1847" t="e">
            <v>#N/A</v>
          </cell>
        </row>
        <row r="1848">
          <cell r="C1848" t="e">
            <v>#N/A</v>
          </cell>
          <cell r="E1848" t="e">
            <v>#N/A</v>
          </cell>
          <cell r="F1848" t="e">
            <v>#N/A</v>
          </cell>
          <cell r="G1848" t="e">
            <v>#N/A</v>
          </cell>
          <cell r="H1848">
            <v>0</v>
          </cell>
          <cell r="I1848">
            <v>0</v>
          </cell>
          <cell r="J1848" t="str">
            <v>X</v>
          </cell>
          <cell r="K1848">
            <v>1172110.0800000026</v>
          </cell>
          <cell r="L1848">
            <v>1172110.0800000026</v>
          </cell>
          <cell r="M1848" t="e">
            <v>#N/A</v>
          </cell>
        </row>
        <row r="1849">
          <cell r="C1849" t="e">
            <v>#N/A</v>
          </cell>
          <cell r="E1849" t="e">
            <v>#N/A</v>
          </cell>
          <cell r="F1849" t="e">
            <v>#N/A</v>
          </cell>
          <cell r="G1849" t="e">
            <v>#N/A</v>
          </cell>
          <cell r="H1849">
            <v>0</v>
          </cell>
          <cell r="I1849">
            <v>0</v>
          </cell>
          <cell r="J1849" t="str">
            <v>X</v>
          </cell>
          <cell r="K1849">
            <v>1172110.0800000026</v>
          </cell>
          <cell r="L1849">
            <v>1172110.0800000026</v>
          </cell>
          <cell r="M1849" t="e">
            <v>#N/A</v>
          </cell>
        </row>
        <row r="1850">
          <cell r="C1850" t="e">
            <v>#N/A</v>
          </cell>
          <cell r="E1850" t="e">
            <v>#N/A</v>
          </cell>
          <cell r="F1850" t="e">
            <v>#N/A</v>
          </cell>
          <cell r="G1850" t="e">
            <v>#N/A</v>
          </cell>
          <cell r="H1850">
            <v>0</v>
          </cell>
          <cell r="I1850">
            <v>0</v>
          </cell>
          <cell r="J1850" t="str">
            <v>X</v>
          </cell>
          <cell r="K1850">
            <v>1172110.0800000026</v>
          </cell>
          <cell r="L1850">
            <v>1172110.0800000026</v>
          </cell>
          <cell r="M1850" t="e">
            <v>#N/A</v>
          </cell>
        </row>
        <row r="1851">
          <cell r="C1851" t="e">
            <v>#N/A</v>
          </cell>
          <cell r="E1851" t="e">
            <v>#N/A</v>
          </cell>
          <cell r="F1851" t="e">
            <v>#N/A</v>
          </cell>
          <cell r="G1851" t="e">
            <v>#N/A</v>
          </cell>
          <cell r="H1851">
            <v>0</v>
          </cell>
          <cell r="I1851">
            <v>0</v>
          </cell>
          <cell r="J1851" t="str">
            <v>X</v>
          </cell>
          <cell r="K1851">
            <v>1172110.0800000026</v>
          </cell>
          <cell r="L1851">
            <v>1172110.0800000026</v>
          </cell>
          <cell r="M1851" t="e">
            <v>#N/A</v>
          </cell>
        </row>
        <row r="1852">
          <cell r="C1852" t="e">
            <v>#N/A</v>
          </cell>
          <cell r="E1852" t="e">
            <v>#N/A</v>
          </cell>
          <cell r="F1852" t="e">
            <v>#N/A</v>
          </cell>
          <cell r="G1852" t="e">
            <v>#N/A</v>
          </cell>
          <cell r="H1852">
            <v>0</v>
          </cell>
          <cell r="I1852">
            <v>0</v>
          </cell>
          <cell r="J1852" t="str">
            <v>X</v>
          </cell>
          <cell r="K1852">
            <v>1172110.0800000026</v>
          </cell>
          <cell r="L1852">
            <v>1172110.0800000026</v>
          </cell>
          <cell r="M1852" t="e">
            <v>#N/A</v>
          </cell>
        </row>
        <row r="1853">
          <cell r="C1853" t="e">
            <v>#N/A</v>
          </cell>
          <cell r="E1853" t="e">
            <v>#N/A</v>
          </cell>
          <cell r="F1853" t="e">
            <v>#N/A</v>
          </cell>
          <cell r="G1853" t="e">
            <v>#N/A</v>
          </cell>
          <cell r="H1853">
            <v>0</v>
          </cell>
          <cell r="I1853">
            <v>0</v>
          </cell>
          <cell r="J1853" t="str">
            <v>X</v>
          </cell>
          <cell r="K1853">
            <v>1172110.0800000026</v>
          </cell>
          <cell r="L1853">
            <v>1172110.0800000026</v>
          </cell>
          <cell r="M1853" t="e">
            <v>#N/A</v>
          </cell>
        </row>
        <row r="1854">
          <cell r="C1854" t="e">
            <v>#N/A</v>
          </cell>
          <cell r="E1854" t="e">
            <v>#N/A</v>
          </cell>
          <cell r="F1854" t="e">
            <v>#N/A</v>
          </cell>
          <cell r="G1854" t="e">
            <v>#N/A</v>
          </cell>
          <cell r="H1854">
            <v>0</v>
          </cell>
          <cell r="I1854">
            <v>0</v>
          </cell>
          <cell r="J1854" t="str">
            <v>X</v>
          </cell>
          <cell r="K1854">
            <v>1172110.0800000026</v>
          </cell>
          <cell r="L1854">
            <v>1172110.0800000026</v>
          </cell>
          <cell r="M1854" t="e">
            <v>#N/A</v>
          </cell>
        </row>
        <row r="1855">
          <cell r="C1855" t="e">
            <v>#N/A</v>
          </cell>
          <cell r="E1855" t="e">
            <v>#N/A</v>
          </cell>
          <cell r="F1855" t="e">
            <v>#N/A</v>
          </cell>
          <cell r="G1855" t="e">
            <v>#N/A</v>
          </cell>
          <cell r="H1855">
            <v>0</v>
          </cell>
          <cell r="I1855">
            <v>0</v>
          </cell>
          <cell r="J1855" t="str">
            <v>X</v>
          </cell>
          <cell r="K1855">
            <v>1172110.0800000026</v>
          </cell>
          <cell r="L1855">
            <v>1172110.0800000026</v>
          </cell>
          <cell r="M1855" t="e">
            <v>#N/A</v>
          </cell>
        </row>
        <row r="1856">
          <cell r="C1856" t="e">
            <v>#N/A</v>
          </cell>
          <cell r="E1856" t="e">
            <v>#N/A</v>
          </cell>
          <cell r="F1856" t="e">
            <v>#N/A</v>
          </cell>
          <cell r="G1856" t="e">
            <v>#N/A</v>
          </cell>
          <cell r="H1856">
            <v>0</v>
          </cell>
          <cell r="I1856">
            <v>0</v>
          </cell>
          <cell r="J1856" t="str">
            <v>X</v>
          </cell>
          <cell r="K1856">
            <v>1172110.0800000026</v>
          </cell>
          <cell r="L1856">
            <v>1172110.0800000026</v>
          </cell>
          <cell r="M1856" t="e">
            <v>#N/A</v>
          </cell>
        </row>
        <row r="1857">
          <cell r="C1857" t="e">
            <v>#N/A</v>
          </cell>
          <cell r="E1857" t="e">
            <v>#N/A</v>
          </cell>
          <cell r="F1857" t="e">
            <v>#N/A</v>
          </cell>
          <cell r="G1857" t="e">
            <v>#N/A</v>
          </cell>
          <cell r="H1857">
            <v>0</v>
          </cell>
          <cell r="I1857">
            <v>0</v>
          </cell>
          <cell r="J1857" t="str">
            <v>X</v>
          </cell>
          <cell r="K1857">
            <v>1172110.0800000026</v>
          </cell>
          <cell r="L1857">
            <v>1172110.0800000026</v>
          </cell>
          <cell r="M1857" t="e">
            <v>#N/A</v>
          </cell>
        </row>
        <row r="1858">
          <cell r="C1858" t="e">
            <v>#N/A</v>
          </cell>
          <cell r="E1858" t="e">
            <v>#N/A</v>
          </cell>
          <cell r="F1858" t="e">
            <v>#N/A</v>
          </cell>
          <cell r="G1858" t="e">
            <v>#N/A</v>
          </cell>
          <cell r="H1858">
            <v>0</v>
          </cell>
          <cell r="I1858">
            <v>0</v>
          </cell>
          <cell r="J1858" t="str">
            <v>X</v>
          </cell>
          <cell r="K1858">
            <v>1172110.0800000026</v>
          </cell>
          <cell r="L1858">
            <v>1172110.0800000026</v>
          </cell>
          <cell r="M1858" t="e">
            <v>#N/A</v>
          </cell>
        </row>
        <row r="1859">
          <cell r="C1859" t="e">
            <v>#N/A</v>
          </cell>
          <cell r="E1859" t="e">
            <v>#N/A</v>
          </cell>
          <cell r="F1859" t="e">
            <v>#N/A</v>
          </cell>
          <cell r="G1859" t="e">
            <v>#N/A</v>
          </cell>
          <cell r="H1859">
            <v>0</v>
          </cell>
          <cell r="I1859">
            <v>0</v>
          </cell>
          <cell r="J1859" t="str">
            <v>X</v>
          </cell>
          <cell r="K1859">
            <v>1172110.0800000026</v>
          </cell>
          <cell r="L1859">
            <v>1172110.0800000026</v>
          </cell>
          <cell r="M1859" t="e">
            <v>#N/A</v>
          </cell>
        </row>
        <row r="1860">
          <cell r="C1860" t="e">
            <v>#N/A</v>
          </cell>
          <cell r="E1860" t="e">
            <v>#N/A</v>
          </cell>
          <cell r="F1860" t="e">
            <v>#N/A</v>
          </cell>
          <cell r="G1860" t="e">
            <v>#N/A</v>
          </cell>
          <cell r="H1860">
            <v>0</v>
          </cell>
          <cell r="I1860">
            <v>0</v>
          </cell>
          <cell r="J1860" t="str">
            <v>X</v>
          </cell>
          <cell r="K1860">
            <v>1172110.0800000026</v>
          </cell>
          <cell r="L1860">
            <v>1172110.0800000026</v>
          </cell>
          <cell r="M1860" t="e">
            <v>#N/A</v>
          </cell>
        </row>
        <row r="1861">
          <cell r="C1861" t="e">
            <v>#N/A</v>
          </cell>
          <cell r="E1861" t="e">
            <v>#N/A</v>
          </cell>
          <cell r="F1861" t="e">
            <v>#N/A</v>
          </cell>
          <cell r="G1861" t="e">
            <v>#N/A</v>
          </cell>
          <cell r="H1861">
            <v>0</v>
          </cell>
          <cell r="I1861">
            <v>0</v>
          </cell>
          <cell r="J1861" t="str">
            <v>X</v>
          </cell>
          <cell r="K1861">
            <v>1172110.0800000026</v>
          </cell>
          <cell r="L1861">
            <v>1172110.0800000026</v>
          </cell>
          <cell r="M1861" t="e">
            <v>#N/A</v>
          </cell>
        </row>
        <row r="1862">
          <cell r="C1862" t="e">
            <v>#N/A</v>
          </cell>
          <cell r="E1862" t="e">
            <v>#N/A</v>
          </cell>
          <cell r="F1862" t="e">
            <v>#N/A</v>
          </cell>
          <cell r="G1862" t="e">
            <v>#N/A</v>
          </cell>
          <cell r="H1862">
            <v>0</v>
          </cell>
          <cell r="I1862">
            <v>0</v>
          </cell>
          <cell r="J1862" t="str">
            <v>X</v>
          </cell>
          <cell r="K1862">
            <v>1172110.0800000026</v>
          </cell>
          <cell r="L1862">
            <v>1172110.0800000026</v>
          </cell>
          <cell r="M1862" t="e">
            <v>#N/A</v>
          </cell>
        </row>
        <row r="1863">
          <cell r="C1863" t="e">
            <v>#N/A</v>
          </cell>
          <cell r="E1863" t="e">
            <v>#N/A</v>
          </cell>
          <cell r="F1863" t="e">
            <v>#N/A</v>
          </cell>
          <cell r="G1863" t="e">
            <v>#N/A</v>
          </cell>
          <cell r="H1863">
            <v>0</v>
          </cell>
          <cell r="I1863">
            <v>0</v>
          </cell>
          <cell r="J1863" t="str">
            <v>X</v>
          </cell>
          <cell r="K1863">
            <v>1172110.0800000026</v>
          </cell>
          <cell r="L1863">
            <v>1172110.0800000026</v>
          </cell>
          <cell r="M1863" t="e">
            <v>#N/A</v>
          </cell>
        </row>
        <row r="1864">
          <cell r="C1864" t="e">
            <v>#N/A</v>
          </cell>
          <cell r="E1864" t="e">
            <v>#N/A</v>
          </cell>
          <cell r="F1864" t="e">
            <v>#N/A</v>
          </cell>
          <cell r="G1864" t="e">
            <v>#N/A</v>
          </cell>
          <cell r="H1864">
            <v>0</v>
          </cell>
          <cell r="I1864">
            <v>0</v>
          </cell>
          <cell r="J1864" t="str">
            <v>X</v>
          </cell>
          <cell r="K1864">
            <v>1172110.0800000026</v>
          </cell>
          <cell r="L1864">
            <v>1172110.0800000026</v>
          </cell>
          <cell r="M1864" t="e">
            <v>#N/A</v>
          </cell>
        </row>
        <row r="1865">
          <cell r="C1865" t="e">
            <v>#N/A</v>
          </cell>
          <cell r="E1865" t="e">
            <v>#N/A</v>
          </cell>
          <cell r="F1865" t="e">
            <v>#N/A</v>
          </cell>
          <cell r="G1865" t="e">
            <v>#N/A</v>
          </cell>
          <cell r="H1865">
            <v>0</v>
          </cell>
          <cell r="I1865">
            <v>0</v>
          </cell>
          <cell r="J1865" t="str">
            <v>X</v>
          </cell>
          <cell r="K1865">
            <v>1172110.0800000026</v>
          </cell>
          <cell r="L1865">
            <v>1172110.0800000026</v>
          </cell>
          <cell r="M1865" t="e">
            <v>#N/A</v>
          </cell>
        </row>
        <row r="1866">
          <cell r="C1866" t="e">
            <v>#N/A</v>
          </cell>
          <cell r="E1866" t="e">
            <v>#N/A</v>
          </cell>
          <cell r="F1866" t="e">
            <v>#N/A</v>
          </cell>
          <cell r="G1866" t="e">
            <v>#N/A</v>
          </cell>
          <cell r="H1866">
            <v>0</v>
          </cell>
          <cell r="I1866">
            <v>0</v>
          </cell>
          <cell r="J1866" t="str">
            <v>X</v>
          </cell>
          <cell r="K1866">
            <v>1172110.0800000026</v>
          </cell>
          <cell r="L1866">
            <v>1172110.0800000026</v>
          </cell>
          <cell r="M1866" t="e">
            <v>#N/A</v>
          </cell>
        </row>
        <row r="1867">
          <cell r="C1867" t="e">
            <v>#N/A</v>
          </cell>
          <cell r="E1867" t="e">
            <v>#N/A</v>
          </cell>
          <cell r="F1867" t="e">
            <v>#N/A</v>
          </cell>
          <cell r="G1867" t="e">
            <v>#N/A</v>
          </cell>
          <cell r="H1867">
            <v>0</v>
          </cell>
          <cell r="I1867">
            <v>0</v>
          </cell>
          <cell r="J1867" t="str">
            <v>X</v>
          </cell>
          <cell r="K1867">
            <v>1172110.0800000026</v>
          </cell>
          <cell r="L1867">
            <v>1172110.0800000026</v>
          </cell>
          <cell r="M1867" t="e">
            <v>#N/A</v>
          </cell>
        </row>
        <row r="1868">
          <cell r="C1868" t="e">
            <v>#N/A</v>
          </cell>
          <cell r="E1868" t="e">
            <v>#N/A</v>
          </cell>
          <cell r="F1868" t="e">
            <v>#N/A</v>
          </cell>
          <cell r="G1868" t="e">
            <v>#N/A</v>
          </cell>
          <cell r="H1868">
            <v>0</v>
          </cell>
          <cell r="I1868">
            <v>0</v>
          </cell>
          <cell r="J1868" t="str">
            <v>X</v>
          </cell>
          <cell r="K1868">
            <v>1172110.0800000026</v>
          </cell>
          <cell r="L1868">
            <v>1172110.0800000026</v>
          </cell>
          <cell r="M1868" t="e">
            <v>#N/A</v>
          </cell>
        </row>
        <row r="1869">
          <cell r="C1869" t="e">
            <v>#N/A</v>
          </cell>
          <cell r="E1869" t="e">
            <v>#N/A</v>
          </cell>
          <cell r="F1869" t="e">
            <v>#N/A</v>
          </cell>
          <cell r="G1869" t="e">
            <v>#N/A</v>
          </cell>
          <cell r="H1869">
            <v>0</v>
          </cell>
          <cell r="I1869">
            <v>0</v>
          </cell>
          <cell r="J1869" t="str">
            <v>X</v>
          </cell>
          <cell r="K1869">
            <v>1172110.0800000026</v>
          </cell>
          <cell r="L1869">
            <v>1172110.0800000026</v>
          </cell>
          <cell r="M1869" t="e">
            <v>#N/A</v>
          </cell>
        </row>
        <row r="1870">
          <cell r="C1870" t="e">
            <v>#N/A</v>
          </cell>
          <cell r="E1870" t="e">
            <v>#N/A</v>
          </cell>
          <cell r="F1870" t="e">
            <v>#N/A</v>
          </cell>
          <cell r="G1870" t="e">
            <v>#N/A</v>
          </cell>
          <cell r="H1870">
            <v>0</v>
          </cell>
          <cell r="I1870">
            <v>0</v>
          </cell>
          <cell r="J1870" t="str">
            <v>X</v>
          </cell>
          <cell r="K1870">
            <v>1172110.0800000026</v>
          </cell>
          <cell r="L1870">
            <v>1172110.0800000026</v>
          </cell>
          <cell r="M1870" t="e">
            <v>#N/A</v>
          </cell>
        </row>
        <row r="1871">
          <cell r="C1871" t="e">
            <v>#N/A</v>
          </cell>
          <cell r="E1871" t="e">
            <v>#N/A</v>
          </cell>
          <cell r="F1871" t="e">
            <v>#N/A</v>
          </cell>
          <cell r="G1871" t="e">
            <v>#N/A</v>
          </cell>
          <cell r="H1871">
            <v>0</v>
          </cell>
          <cell r="I1871">
            <v>0</v>
          </cell>
          <cell r="J1871" t="str">
            <v>X</v>
          </cell>
          <cell r="K1871">
            <v>1172110.0800000026</v>
          </cell>
          <cell r="L1871">
            <v>1172110.0800000026</v>
          </cell>
          <cell r="M1871" t="e">
            <v>#N/A</v>
          </cell>
        </row>
        <row r="1872">
          <cell r="C1872" t="e">
            <v>#N/A</v>
          </cell>
          <cell r="E1872" t="e">
            <v>#N/A</v>
          </cell>
          <cell r="F1872" t="e">
            <v>#N/A</v>
          </cell>
          <cell r="G1872" t="e">
            <v>#N/A</v>
          </cell>
          <cell r="H1872">
            <v>0</v>
          </cell>
          <cell r="I1872">
            <v>0</v>
          </cell>
          <cell r="J1872" t="str">
            <v>X</v>
          </cell>
          <cell r="K1872">
            <v>1172110.0800000026</v>
          </cell>
          <cell r="L1872">
            <v>1172110.0800000026</v>
          </cell>
          <cell r="M1872" t="e">
            <v>#N/A</v>
          </cell>
        </row>
        <row r="1873">
          <cell r="C1873" t="e">
            <v>#N/A</v>
          </cell>
          <cell r="E1873" t="e">
            <v>#N/A</v>
          </cell>
          <cell r="F1873" t="e">
            <v>#N/A</v>
          </cell>
          <cell r="G1873" t="e">
            <v>#N/A</v>
          </cell>
          <cell r="H1873">
            <v>0</v>
          </cell>
          <cell r="I1873">
            <v>0</v>
          </cell>
          <cell r="J1873" t="str">
            <v>X</v>
          </cell>
          <cell r="K1873">
            <v>1172110.0800000026</v>
          </cell>
          <cell r="L1873">
            <v>1172110.0800000026</v>
          </cell>
          <cell r="M1873" t="e">
            <v>#N/A</v>
          </cell>
        </row>
        <row r="1874">
          <cell r="C1874" t="e">
            <v>#N/A</v>
          </cell>
          <cell r="E1874" t="e">
            <v>#N/A</v>
          </cell>
          <cell r="F1874" t="e">
            <v>#N/A</v>
          </cell>
          <cell r="G1874" t="e">
            <v>#N/A</v>
          </cell>
          <cell r="H1874">
            <v>0</v>
          </cell>
          <cell r="I1874">
            <v>0</v>
          </cell>
          <cell r="J1874" t="str">
            <v>X</v>
          </cell>
          <cell r="K1874">
            <v>1172110.0800000026</v>
          </cell>
          <cell r="L1874">
            <v>1172110.0800000026</v>
          </cell>
          <cell r="M1874" t="e">
            <v>#N/A</v>
          </cell>
        </row>
        <row r="1875">
          <cell r="C1875" t="e">
            <v>#N/A</v>
          </cell>
          <cell r="E1875" t="e">
            <v>#N/A</v>
          </cell>
          <cell r="F1875" t="e">
            <v>#N/A</v>
          </cell>
          <cell r="G1875" t="e">
            <v>#N/A</v>
          </cell>
          <cell r="H1875">
            <v>0</v>
          </cell>
          <cell r="I1875">
            <v>0</v>
          </cell>
          <cell r="J1875" t="str">
            <v>X</v>
          </cell>
          <cell r="K1875">
            <v>1172110.0800000026</v>
          </cell>
          <cell r="L1875">
            <v>1172110.0800000026</v>
          </cell>
          <cell r="M1875" t="e">
            <v>#N/A</v>
          </cell>
        </row>
        <row r="1876">
          <cell r="C1876" t="e">
            <v>#N/A</v>
          </cell>
          <cell r="E1876" t="e">
            <v>#N/A</v>
          </cell>
          <cell r="F1876" t="e">
            <v>#N/A</v>
          </cell>
          <cell r="G1876" t="e">
            <v>#N/A</v>
          </cell>
          <cell r="H1876">
            <v>0</v>
          </cell>
          <cell r="I1876">
            <v>0</v>
          </cell>
          <cell r="J1876" t="str">
            <v>X</v>
          </cell>
          <cell r="K1876">
            <v>1172110.0800000026</v>
          </cell>
          <cell r="L1876">
            <v>1172110.0800000026</v>
          </cell>
          <cell r="M1876" t="e">
            <v>#N/A</v>
          </cell>
        </row>
        <row r="1877">
          <cell r="C1877" t="e">
            <v>#N/A</v>
          </cell>
          <cell r="E1877" t="e">
            <v>#N/A</v>
          </cell>
          <cell r="F1877" t="e">
            <v>#N/A</v>
          </cell>
          <cell r="G1877" t="e">
            <v>#N/A</v>
          </cell>
          <cell r="H1877">
            <v>0</v>
          </cell>
          <cell r="I1877">
            <v>0</v>
          </cell>
          <cell r="J1877" t="str">
            <v>X</v>
          </cell>
          <cell r="K1877">
            <v>1172110.0800000026</v>
          </cell>
          <cell r="L1877">
            <v>1172110.0800000026</v>
          </cell>
          <cell r="M1877" t="e">
            <v>#N/A</v>
          </cell>
        </row>
        <row r="1878">
          <cell r="C1878" t="e">
            <v>#N/A</v>
          </cell>
          <cell r="E1878" t="e">
            <v>#N/A</v>
          </cell>
          <cell r="F1878" t="e">
            <v>#N/A</v>
          </cell>
          <cell r="G1878" t="e">
            <v>#N/A</v>
          </cell>
          <cell r="H1878">
            <v>0</v>
          </cell>
          <cell r="I1878">
            <v>0</v>
          </cell>
          <cell r="J1878" t="str">
            <v>X</v>
          </cell>
          <cell r="K1878">
            <v>1172110.0800000026</v>
          </cell>
          <cell r="L1878">
            <v>1172110.0800000026</v>
          </cell>
          <cell r="M1878" t="e">
            <v>#N/A</v>
          </cell>
        </row>
        <row r="1879">
          <cell r="C1879" t="e">
            <v>#N/A</v>
          </cell>
          <cell r="E1879" t="e">
            <v>#N/A</v>
          </cell>
          <cell r="F1879" t="e">
            <v>#N/A</v>
          </cell>
          <cell r="G1879" t="e">
            <v>#N/A</v>
          </cell>
          <cell r="H1879">
            <v>0</v>
          </cell>
          <cell r="I1879">
            <v>0</v>
          </cell>
          <cell r="J1879" t="str">
            <v>X</v>
          </cell>
          <cell r="K1879">
            <v>1172110.0800000026</v>
          </cell>
          <cell r="L1879">
            <v>1172110.0800000026</v>
          </cell>
          <cell r="M1879" t="e">
            <v>#N/A</v>
          </cell>
        </row>
        <row r="1880">
          <cell r="C1880" t="e">
            <v>#N/A</v>
          </cell>
          <cell r="E1880" t="e">
            <v>#N/A</v>
          </cell>
          <cell r="F1880" t="e">
            <v>#N/A</v>
          </cell>
          <cell r="G1880" t="e">
            <v>#N/A</v>
          </cell>
          <cell r="H1880">
            <v>0</v>
          </cell>
          <cell r="I1880">
            <v>0</v>
          </cell>
          <cell r="J1880" t="str">
            <v>X</v>
          </cell>
          <cell r="K1880">
            <v>1172110.0800000026</v>
          </cell>
          <cell r="L1880">
            <v>1172110.0800000026</v>
          </cell>
          <cell r="M1880" t="e">
            <v>#N/A</v>
          </cell>
        </row>
        <row r="1881">
          <cell r="C1881" t="e">
            <v>#N/A</v>
          </cell>
          <cell r="E1881" t="e">
            <v>#N/A</v>
          </cell>
          <cell r="F1881" t="e">
            <v>#N/A</v>
          </cell>
          <cell r="G1881" t="e">
            <v>#N/A</v>
          </cell>
          <cell r="H1881">
            <v>0</v>
          </cell>
          <cell r="I1881">
            <v>0</v>
          </cell>
          <cell r="J1881" t="str">
            <v>X</v>
          </cell>
          <cell r="K1881">
            <v>1172110.0800000026</v>
          </cell>
          <cell r="L1881">
            <v>1172110.0800000026</v>
          </cell>
          <cell r="M1881" t="e">
            <v>#N/A</v>
          </cell>
        </row>
        <row r="1882">
          <cell r="C1882" t="e">
            <v>#N/A</v>
          </cell>
          <cell r="E1882" t="e">
            <v>#N/A</v>
          </cell>
          <cell r="F1882" t="e">
            <v>#N/A</v>
          </cell>
          <cell r="G1882" t="e">
            <v>#N/A</v>
          </cell>
          <cell r="H1882">
            <v>0</v>
          </cell>
          <cell r="I1882">
            <v>0</v>
          </cell>
          <cell r="J1882" t="str">
            <v>X</v>
          </cell>
          <cell r="K1882">
            <v>1172110.0800000026</v>
          </cell>
          <cell r="L1882">
            <v>1172110.0800000026</v>
          </cell>
          <cell r="M1882" t="e">
            <v>#N/A</v>
          </cell>
        </row>
        <row r="1883">
          <cell r="C1883" t="e">
            <v>#N/A</v>
          </cell>
          <cell r="E1883" t="e">
            <v>#N/A</v>
          </cell>
          <cell r="F1883" t="e">
            <v>#N/A</v>
          </cell>
          <cell r="G1883" t="e">
            <v>#N/A</v>
          </cell>
          <cell r="H1883">
            <v>0</v>
          </cell>
          <cell r="I1883">
            <v>0</v>
          </cell>
          <cell r="J1883" t="str">
            <v>X</v>
          </cell>
          <cell r="K1883">
            <v>1172110.0800000026</v>
          </cell>
          <cell r="L1883">
            <v>1172110.0800000026</v>
          </cell>
          <cell r="M1883" t="e">
            <v>#N/A</v>
          </cell>
        </row>
        <row r="1884">
          <cell r="C1884" t="e">
            <v>#N/A</v>
          </cell>
          <cell r="E1884" t="e">
            <v>#N/A</v>
          </cell>
          <cell r="F1884" t="e">
            <v>#N/A</v>
          </cell>
          <cell r="G1884" t="e">
            <v>#N/A</v>
          </cell>
          <cell r="H1884">
            <v>0</v>
          </cell>
          <cell r="I1884">
            <v>0</v>
          </cell>
          <cell r="J1884" t="str">
            <v>X</v>
          </cell>
          <cell r="K1884">
            <v>1172110.0800000026</v>
          </cell>
          <cell r="L1884">
            <v>1172110.0800000026</v>
          </cell>
          <cell r="M1884" t="e">
            <v>#N/A</v>
          </cell>
        </row>
        <row r="1885">
          <cell r="C1885" t="e">
            <v>#N/A</v>
          </cell>
          <cell r="E1885" t="e">
            <v>#N/A</v>
          </cell>
          <cell r="F1885" t="e">
            <v>#N/A</v>
          </cell>
          <cell r="G1885" t="e">
            <v>#N/A</v>
          </cell>
          <cell r="H1885">
            <v>0</v>
          </cell>
          <cell r="I1885">
            <v>0</v>
          </cell>
          <cell r="J1885" t="str">
            <v>X</v>
          </cell>
          <cell r="K1885">
            <v>1172110.0800000026</v>
          </cell>
          <cell r="L1885">
            <v>1172110.0800000026</v>
          </cell>
          <cell r="M1885" t="e">
            <v>#N/A</v>
          </cell>
        </row>
        <row r="1886">
          <cell r="C1886" t="e">
            <v>#N/A</v>
          </cell>
          <cell r="E1886" t="e">
            <v>#N/A</v>
          </cell>
          <cell r="F1886" t="e">
            <v>#N/A</v>
          </cell>
          <cell r="G1886" t="e">
            <v>#N/A</v>
          </cell>
          <cell r="H1886">
            <v>0</v>
          </cell>
          <cell r="I1886">
            <v>0</v>
          </cell>
          <cell r="J1886" t="str">
            <v>X</v>
          </cell>
          <cell r="K1886">
            <v>1172110.0800000026</v>
          </cell>
          <cell r="L1886">
            <v>1172110.0800000026</v>
          </cell>
          <cell r="M1886" t="e">
            <v>#N/A</v>
          </cell>
        </row>
        <row r="1887">
          <cell r="C1887" t="e">
            <v>#N/A</v>
          </cell>
          <cell r="E1887" t="e">
            <v>#N/A</v>
          </cell>
          <cell r="F1887" t="e">
            <v>#N/A</v>
          </cell>
          <cell r="G1887" t="e">
            <v>#N/A</v>
          </cell>
          <cell r="H1887">
            <v>0</v>
          </cell>
          <cell r="I1887">
            <v>0</v>
          </cell>
          <cell r="J1887" t="str">
            <v>X</v>
          </cell>
          <cell r="K1887">
            <v>1172110.0800000026</v>
          </cell>
          <cell r="L1887">
            <v>1172110.0800000026</v>
          </cell>
          <cell r="M1887" t="e">
            <v>#N/A</v>
          </cell>
        </row>
        <row r="1888">
          <cell r="C1888" t="e">
            <v>#N/A</v>
          </cell>
          <cell r="E1888" t="e">
            <v>#N/A</v>
          </cell>
          <cell r="F1888" t="e">
            <v>#N/A</v>
          </cell>
          <cell r="G1888" t="e">
            <v>#N/A</v>
          </cell>
          <cell r="H1888">
            <v>0</v>
          </cell>
          <cell r="I1888">
            <v>0</v>
          </cell>
          <cell r="J1888" t="str">
            <v>X</v>
          </cell>
          <cell r="K1888">
            <v>1172110.0800000026</v>
          </cell>
          <cell r="L1888">
            <v>1172110.0800000026</v>
          </cell>
          <cell r="M1888" t="e">
            <v>#N/A</v>
          </cell>
        </row>
        <row r="1889">
          <cell r="C1889" t="e">
            <v>#N/A</v>
          </cell>
          <cell r="E1889" t="e">
            <v>#N/A</v>
          </cell>
          <cell r="F1889" t="e">
            <v>#N/A</v>
          </cell>
          <cell r="G1889" t="e">
            <v>#N/A</v>
          </cell>
          <cell r="H1889">
            <v>0</v>
          </cell>
          <cell r="I1889">
            <v>0</v>
          </cell>
          <cell r="J1889" t="str">
            <v>X</v>
          </cell>
          <cell r="K1889">
            <v>1172110.0800000026</v>
          </cell>
          <cell r="L1889">
            <v>1172110.0800000026</v>
          </cell>
          <cell r="M1889" t="e">
            <v>#N/A</v>
          </cell>
        </row>
        <row r="1890">
          <cell r="C1890" t="e">
            <v>#N/A</v>
          </cell>
          <cell r="E1890" t="e">
            <v>#N/A</v>
          </cell>
          <cell r="F1890" t="e">
            <v>#N/A</v>
          </cell>
          <cell r="G1890" t="e">
            <v>#N/A</v>
          </cell>
          <cell r="H1890">
            <v>0</v>
          </cell>
          <cell r="I1890">
            <v>0</v>
          </cell>
          <cell r="J1890" t="str">
            <v>X</v>
          </cell>
          <cell r="K1890">
            <v>1172110.0800000026</v>
          </cell>
          <cell r="L1890">
            <v>1172110.0800000026</v>
          </cell>
          <cell r="M1890" t="e">
            <v>#N/A</v>
          </cell>
        </row>
        <row r="1891">
          <cell r="C1891" t="e">
            <v>#N/A</v>
          </cell>
          <cell r="E1891" t="e">
            <v>#N/A</v>
          </cell>
          <cell r="F1891" t="e">
            <v>#N/A</v>
          </cell>
          <cell r="G1891" t="e">
            <v>#N/A</v>
          </cell>
          <cell r="H1891">
            <v>0</v>
          </cell>
          <cell r="I1891">
            <v>0</v>
          </cell>
          <cell r="J1891" t="str">
            <v>X</v>
          </cell>
          <cell r="K1891">
            <v>1172110.0800000026</v>
          </cell>
          <cell r="L1891">
            <v>1172110.0800000026</v>
          </cell>
          <cell r="M1891" t="e">
            <v>#N/A</v>
          </cell>
        </row>
        <row r="1892">
          <cell r="C1892" t="e">
            <v>#N/A</v>
          </cell>
          <cell r="E1892" t="e">
            <v>#N/A</v>
          </cell>
          <cell r="F1892" t="e">
            <v>#N/A</v>
          </cell>
          <cell r="G1892" t="e">
            <v>#N/A</v>
          </cell>
          <cell r="H1892">
            <v>0</v>
          </cell>
          <cell r="I1892">
            <v>0</v>
          </cell>
          <cell r="J1892" t="str">
            <v>X</v>
          </cell>
          <cell r="K1892">
            <v>1172110.0800000026</v>
          </cell>
          <cell r="L1892">
            <v>1172110.0800000026</v>
          </cell>
          <cell r="M1892" t="e">
            <v>#N/A</v>
          </cell>
        </row>
        <row r="1893">
          <cell r="C1893" t="e">
            <v>#N/A</v>
          </cell>
          <cell r="E1893" t="e">
            <v>#N/A</v>
          </cell>
          <cell r="F1893" t="e">
            <v>#N/A</v>
          </cell>
          <cell r="G1893" t="e">
            <v>#N/A</v>
          </cell>
          <cell r="H1893">
            <v>0</v>
          </cell>
          <cell r="I1893">
            <v>0</v>
          </cell>
          <cell r="J1893" t="str">
            <v>X</v>
          </cell>
          <cell r="K1893">
            <v>1172110.0800000026</v>
          </cell>
          <cell r="L1893">
            <v>1172110.0800000026</v>
          </cell>
          <cell r="M1893" t="e">
            <v>#N/A</v>
          </cell>
        </row>
        <row r="1894">
          <cell r="C1894" t="e">
            <v>#N/A</v>
          </cell>
          <cell r="E1894" t="e">
            <v>#N/A</v>
          </cell>
          <cell r="F1894" t="e">
            <v>#N/A</v>
          </cell>
          <cell r="G1894" t="e">
            <v>#N/A</v>
          </cell>
          <cell r="H1894">
            <v>0</v>
          </cell>
          <cell r="I1894">
            <v>0</v>
          </cell>
          <cell r="J1894" t="str">
            <v>X</v>
          </cell>
          <cell r="K1894">
            <v>1172110.0800000026</v>
          </cell>
          <cell r="L1894">
            <v>1172110.0800000026</v>
          </cell>
          <cell r="M1894" t="e">
            <v>#N/A</v>
          </cell>
        </row>
        <row r="1895">
          <cell r="C1895" t="e">
            <v>#N/A</v>
          </cell>
          <cell r="E1895" t="e">
            <v>#N/A</v>
          </cell>
          <cell r="F1895" t="e">
            <v>#N/A</v>
          </cell>
          <cell r="G1895" t="e">
            <v>#N/A</v>
          </cell>
          <cell r="H1895">
            <v>0</v>
          </cell>
          <cell r="I1895">
            <v>0</v>
          </cell>
          <cell r="J1895" t="str">
            <v>X</v>
          </cell>
          <cell r="K1895">
            <v>1172110.0800000026</v>
          </cell>
          <cell r="L1895">
            <v>1172110.0800000026</v>
          </cell>
          <cell r="M1895" t="e">
            <v>#N/A</v>
          </cell>
        </row>
        <row r="1896">
          <cell r="C1896" t="e">
            <v>#N/A</v>
          </cell>
          <cell r="E1896" t="e">
            <v>#N/A</v>
          </cell>
          <cell r="F1896" t="e">
            <v>#N/A</v>
          </cell>
          <cell r="G1896" t="e">
            <v>#N/A</v>
          </cell>
          <cell r="H1896">
            <v>0</v>
          </cell>
          <cell r="I1896">
            <v>0</v>
          </cell>
          <cell r="J1896" t="str">
            <v>X</v>
          </cell>
          <cell r="K1896">
            <v>1172110.0800000026</v>
          </cell>
          <cell r="L1896">
            <v>1172110.0800000026</v>
          </cell>
          <cell r="M1896" t="e">
            <v>#N/A</v>
          </cell>
        </row>
        <row r="1897">
          <cell r="C1897" t="e">
            <v>#N/A</v>
          </cell>
          <cell r="E1897" t="e">
            <v>#N/A</v>
          </cell>
          <cell r="F1897" t="e">
            <v>#N/A</v>
          </cell>
          <cell r="G1897" t="e">
            <v>#N/A</v>
          </cell>
          <cell r="H1897">
            <v>0</v>
          </cell>
          <cell r="I1897">
            <v>0</v>
          </cell>
          <cell r="J1897" t="str">
            <v>X</v>
          </cell>
          <cell r="K1897">
            <v>1172110.0800000026</v>
          </cell>
          <cell r="L1897">
            <v>1172110.0800000026</v>
          </cell>
          <cell r="M1897" t="e">
            <v>#N/A</v>
          </cell>
        </row>
        <row r="1898">
          <cell r="C1898" t="e">
            <v>#N/A</v>
          </cell>
          <cell r="E1898" t="e">
            <v>#N/A</v>
          </cell>
          <cell r="F1898" t="e">
            <v>#N/A</v>
          </cell>
          <cell r="G1898" t="e">
            <v>#N/A</v>
          </cell>
          <cell r="H1898">
            <v>0</v>
          </cell>
          <cell r="I1898">
            <v>0</v>
          </cell>
          <cell r="J1898" t="str">
            <v>X</v>
          </cell>
          <cell r="K1898">
            <v>1172110.0800000026</v>
          </cell>
          <cell r="L1898">
            <v>1172110.0800000026</v>
          </cell>
          <cell r="M1898" t="e">
            <v>#N/A</v>
          </cell>
        </row>
        <row r="1899">
          <cell r="C1899" t="e">
            <v>#N/A</v>
          </cell>
          <cell r="E1899" t="e">
            <v>#N/A</v>
          </cell>
          <cell r="F1899" t="e">
            <v>#N/A</v>
          </cell>
          <cell r="G1899" t="e">
            <v>#N/A</v>
          </cell>
          <cell r="H1899">
            <v>0</v>
          </cell>
          <cell r="I1899">
            <v>0</v>
          </cell>
          <cell r="J1899" t="str">
            <v>X</v>
          </cell>
          <cell r="K1899">
            <v>1172110.0800000026</v>
          </cell>
          <cell r="L1899">
            <v>1172110.0800000026</v>
          </cell>
          <cell r="M1899" t="e">
            <v>#N/A</v>
          </cell>
        </row>
        <row r="1900">
          <cell r="C1900" t="e">
            <v>#N/A</v>
          </cell>
          <cell r="E1900" t="e">
            <v>#N/A</v>
          </cell>
          <cell r="F1900" t="e">
            <v>#N/A</v>
          </cell>
          <cell r="G1900" t="e">
            <v>#N/A</v>
          </cell>
          <cell r="H1900">
            <v>0</v>
          </cell>
          <cell r="I1900">
            <v>0</v>
          </cell>
          <cell r="J1900" t="str">
            <v>X</v>
          </cell>
          <cell r="K1900">
            <v>1172110.0800000026</v>
          </cell>
          <cell r="L1900">
            <v>1172110.0800000026</v>
          </cell>
          <cell r="M1900" t="e">
            <v>#N/A</v>
          </cell>
        </row>
        <row r="1901">
          <cell r="C1901" t="e">
            <v>#N/A</v>
          </cell>
          <cell r="E1901" t="e">
            <v>#N/A</v>
          </cell>
          <cell r="F1901" t="e">
            <v>#N/A</v>
          </cell>
          <cell r="G1901" t="e">
            <v>#N/A</v>
          </cell>
          <cell r="H1901">
            <v>0</v>
          </cell>
          <cell r="I1901">
            <v>0</v>
          </cell>
          <cell r="J1901" t="str">
            <v>X</v>
          </cell>
          <cell r="K1901">
            <v>1172110.0800000026</v>
          </cell>
          <cell r="L1901">
            <v>1172110.0800000026</v>
          </cell>
          <cell r="M1901" t="e">
            <v>#N/A</v>
          </cell>
        </row>
        <row r="1902">
          <cell r="C1902" t="e">
            <v>#N/A</v>
          </cell>
          <cell r="E1902" t="e">
            <v>#N/A</v>
          </cell>
          <cell r="F1902" t="e">
            <v>#N/A</v>
          </cell>
          <cell r="G1902" t="e">
            <v>#N/A</v>
          </cell>
          <cell r="H1902">
            <v>0</v>
          </cell>
          <cell r="I1902">
            <v>0</v>
          </cell>
          <cell r="J1902" t="str">
            <v>X</v>
          </cell>
          <cell r="K1902">
            <v>1172110.0800000026</v>
          </cell>
          <cell r="L1902">
            <v>1172110.0800000026</v>
          </cell>
          <cell r="M1902" t="e">
            <v>#N/A</v>
          </cell>
        </row>
        <row r="1903">
          <cell r="C1903" t="e">
            <v>#N/A</v>
          </cell>
          <cell r="E1903" t="e">
            <v>#N/A</v>
          </cell>
          <cell r="F1903" t="e">
            <v>#N/A</v>
          </cell>
          <cell r="G1903" t="e">
            <v>#N/A</v>
          </cell>
          <cell r="H1903">
            <v>0</v>
          </cell>
          <cell r="I1903">
            <v>0</v>
          </cell>
          <cell r="J1903" t="str">
            <v>X</v>
          </cell>
          <cell r="K1903">
            <v>1172110.0800000026</v>
          </cell>
          <cell r="L1903">
            <v>1172110.0800000026</v>
          </cell>
          <cell r="M1903" t="e">
            <v>#N/A</v>
          </cell>
        </row>
        <row r="1904">
          <cell r="C1904" t="e">
            <v>#N/A</v>
          </cell>
          <cell r="E1904" t="e">
            <v>#N/A</v>
          </cell>
          <cell r="F1904" t="e">
            <v>#N/A</v>
          </cell>
          <cell r="G1904" t="e">
            <v>#N/A</v>
          </cell>
          <cell r="H1904">
            <v>0</v>
          </cell>
          <cell r="I1904">
            <v>0</v>
          </cell>
          <cell r="J1904" t="str">
            <v>X</v>
          </cell>
          <cell r="K1904">
            <v>1172110.0800000026</v>
          </cell>
          <cell r="L1904">
            <v>1172110.0800000026</v>
          </cell>
          <cell r="M1904" t="e">
            <v>#N/A</v>
          </cell>
        </row>
        <row r="1905">
          <cell r="C1905" t="e">
            <v>#N/A</v>
          </cell>
          <cell r="E1905" t="e">
            <v>#N/A</v>
          </cell>
          <cell r="F1905" t="e">
            <v>#N/A</v>
          </cell>
          <cell r="G1905" t="e">
            <v>#N/A</v>
          </cell>
          <cell r="H1905">
            <v>0</v>
          </cell>
          <cell r="I1905">
            <v>0</v>
          </cell>
          <cell r="J1905" t="str">
            <v>X</v>
          </cell>
          <cell r="K1905">
            <v>1172110.0800000026</v>
          </cell>
          <cell r="L1905">
            <v>1172110.0800000026</v>
          </cell>
          <cell r="M1905" t="e">
            <v>#N/A</v>
          </cell>
        </row>
        <row r="1906">
          <cell r="C1906" t="e">
            <v>#N/A</v>
          </cell>
          <cell r="E1906" t="e">
            <v>#N/A</v>
          </cell>
          <cell r="F1906" t="e">
            <v>#N/A</v>
          </cell>
          <cell r="G1906" t="e">
            <v>#N/A</v>
          </cell>
          <cell r="H1906">
            <v>0</v>
          </cell>
          <cell r="I1906">
            <v>0</v>
          </cell>
          <cell r="J1906" t="str">
            <v>X</v>
          </cell>
          <cell r="K1906">
            <v>1172110.0800000026</v>
          </cell>
          <cell r="L1906">
            <v>1172110.0800000026</v>
          </cell>
          <cell r="M1906" t="e">
            <v>#N/A</v>
          </cell>
        </row>
        <row r="1907">
          <cell r="C1907" t="e">
            <v>#N/A</v>
          </cell>
          <cell r="E1907" t="e">
            <v>#N/A</v>
          </cell>
          <cell r="F1907" t="e">
            <v>#N/A</v>
          </cell>
          <cell r="G1907" t="e">
            <v>#N/A</v>
          </cell>
          <cell r="H1907">
            <v>0</v>
          </cell>
          <cell r="I1907">
            <v>0</v>
          </cell>
          <cell r="J1907" t="str">
            <v>X</v>
          </cell>
          <cell r="K1907">
            <v>1172110.0800000026</v>
          </cell>
          <cell r="L1907">
            <v>1172110.0800000026</v>
          </cell>
          <cell r="M1907" t="e">
            <v>#N/A</v>
          </cell>
        </row>
        <row r="1908">
          <cell r="C1908" t="e">
            <v>#N/A</v>
          </cell>
          <cell r="E1908" t="e">
            <v>#N/A</v>
          </cell>
          <cell r="F1908" t="e">
            <v>#N/A</v>
          </cell>
          <cell r="G1908" t="e">
            <v>#N/A</v>
          </cell>
          <cell r="H1908">
            <v>0</v>
          </cell>
          <cell r="I1908">
            <v>0</v>
          </cell>
          <cell r="J1908" t="str">
            <v>X</v>
          </cell>
          <cell r="K1908">
            <v>1172110.0800000026</v>
          </cell>
          <cell r="L1908">
            <v>1172110.0800000026</v>
          </cell>
          <cell r="M1908" t="e">
            <v>#N/A</v>
          </cell>
        </row>
        <row r="1909">
          <cell r="C1909" t="e">
            <v>#N/A</v>
          </cell>
          <cell r="E1909" t="e">
            <v>#N/A</v>
          </cell>
          <cell r="F1909" t="e">
            <v>#N/A</v>
          </cell>
          <cell r="G1909" t="e">
            <v>#N/A</v>
          </cell>
          <cell r="H1909">
            <v>0</v>
          </cell>
          <cell r="I1909">
            <v>0</v>
          </cell>
          <cell r="J1909" t="str">
            <v>X</v>
          </cell>
          <cell r="K1909">
            <v>1172110.0800000026</v>
          </cell>
          <cell r="L1909">
            <v>1172110.0800000026</v>
          </cell>
          <cell r="M1909" t="e">
            <v>#N/A</v>
          </cell>
        </row>
        <row r="1910">
          <cell r="C1910" t="e">
            <v>#N/A</v>
          </cell>
          <cell r="E1910" t="e">
            <v>#N/A</v>
          </cell>
          <cell r="F1910" t="e">
            <v>#N/A</v>
          </cell>
          <cell r="G1910" t="e">
            <v>#N/A</v>
          </cell>
          <cell r="H1910">
            <v>0</v>
          </cell>
          <cell r="I1910">
            <v>0</v>
          </cell>
          <cell r="J1910" t="str">
            <v>X</v>
          </cell>
          <cell r="K1910">
            <v>1172110.0800000026</v>
          </cell>
          <cell r="L1910">
            <v>1172110.0800000026</v>
          </cell>
          <cell r="M1910" t="e">
            <v>#N/A</v>
          </cell>
        </row>
        <row r="1911">
          <cell r="C1911" t="e">
            <v>#N/A</v>
          </cell>
          <cell r="E1911" t="e">
            <v>#N/A</v>
          </cell>
          <cell r="F1911" t="e">
            <v>#N/A</v>
          </cell>
          <cell r="G1911" t="e">
            <v>#N/A</v>
          </cell>
          <cell r="H1911">
            <v>0</v>
          </cell>
          <cell r="I1911">
            <v>0</v>
          </cell>
          <cell r="J1911" t="str">
            <v>X</v>
          </cell>
          <cell r="K1911">
            <v>1172110.0800000026</v>
          </cell>
          <cell r="L1911">
            <v>1172110.0800000026</v>
          </cell>
          <cell r="M1911" t="e">
            <v>#N/A</v>
          </cell>
        </row>
        <row r="1912">
          <cell r="C1912" t="e">
            <v>#N/A</v>
          </cell>
          <cell r="E1912" t="e">
            <v>#N/A</v>
          </cell>
          <cell r="F1912" t="e">
            <v>#N/A</v>
          </cell>
          <cell r="G1912" t="e">
            <v>#N/A</v>
          </cell>
          <cell r="H1912">
            <v>0</v>
          </cell>
          <cell r="I1912">
            <v>0</v>
          </cell>
          <cell r="J1912" t="str">
            <v>X</v>
          </cell>
          <cell r="K1912">
            <v>1172110.0800000026</v>
          </cell>
          <cell r="L1912">
            <v>1172110.0800000026</v>
          </cell>
          <cell r="M1912" t="e">
            <v>#N/A</v>
          </cell>
        </row>
        <row r="1913">
          <cell r="C1913" t="e">
            <v>#N/A</v>
          </cell>
          <cell r="E1913" t="e">
            <v>#N/A</v>
          </cell>
          <cell r="F1913" t="e">
            <v>#N/A</v>
          </cell>
          <cell r="G1913" t="e">
            <v>#N/A</v>
          </cell>
          <cell r="H1913">
            <v>0</v>
          </cell>
          <cell r="I1913">
            <v>0</v>
          </cell>
          <cell r="J1913" t="str">
            <v>X</v>
          </cell>
          <cell r="K1913">
            <v>1172110.0800000026</v>
          </cell>
          <cell r="L1913">
            <v>1172110.0800000026</v>
          </cell>
          <cell r="M1913" t="e">
            <v>#N/A</v>
          </cell>
        </row>
        <row r="1914">
          <cell r="C1914" t="e">
            <v>#N/A</v>
          </cell>
          <cell r="E1914" t="e">
            <v>#N/A</v>
          </cell>
          <cell r="F1914" t="e">
            <v>#N/A</v>
          </cell>
          <cell r="G1914" t="e">
            <v>#N/A</v>
          </cell>
          <cell r="H1914">
            <v>0</v>
          </cell>
          <cell r="I1914">
            <v>0</v>
          </cell>
          <cell r="J1914" t="str">
            <v>X</v>
          </cell>
          <cell r="K1914">
            <v>1172110.0800000026</v>
          </cell>
          <cell r="L1914">
            <v>1172110.0800000026</v>
          </cell>
          <cell r="M1914" t="e">
            <v>#N/A</v>
          </cell>
        </row>
        <row r="1915">
          <cell r="C1915" t="e">
            <v>#N/A</v>
          </cell>
          <cell r="E1915" t="e">
            <v>#N/A</v>
          </cell>
          <cell r="F1915" t="e">
            <v>#N/A</v>
          </cell>
          <cell r="G1915" t="e">
            <v>#N/A</v>
          </cell>
          <cell r="H1915">
            <v>0</v>
          </cell>
          <cell r="I1915">
            <v>0</v>
          </cell>
          <cell r="J1915" t="str">
            <v>X</v>
          </cell>
          <cell r="K1915">
            <v>1172110.0800000026</v>
          </cell>
          <cell r="L1915">
            <v>1172110.0800000026</v>
          </cell>
          <cell r="M1915" t="e">
            <v>#N/A</v>
          </cell>
        </row>
        <row r="1916">
          <cell r="C1916" t="e">
            <v>#N/A</v>
          </cell>
          <cell r="E1916" t="e">
            <v>#N/A</v>
          </cell>
          <cell r="F1916" t="e">
            <v>#N/A</v>
          </cell>
          <cell r="G1916" t="e">
            <v>#N/A</v>
          </cell>
          <cell r="H1916">
            <v>0</v>
          </cell>
          <cell r="I1916">
            <v>0</v>
          </cell>
          <cell r="J1916" t="str">
            <v>X</v>
          </cell>
          <cell r="K1916">
            <v>1172110.0800000026</v>
          </cell>
          <cell r="L1916">
            <v>1172110.0800000026</v>
          </cell>
          <cell r="M1916" t="e">
            <v>#N/A</v>
          </cell>
        </row>
        <row r="1917">
          <cell r="C1917" t="e">
            <v>#N/A</v>
          </cell>
          <cell r="E1917" t="e">
            <v>#N/A</v>
          </cell>
          <cell r="F1917" t="e">
            <v>#N/A</v>
          </cell>
          <cell r="G1917" t="e">
            <v>#N/A</v>
          </cell>
          <cell r="H1917">
            <v>0</v>
          </cell>
          <cell r="I1917">
            <v>0</v>
          </cell>
          <cell r="J1917" t="str">
            <v>X</v>
          </cell>
          <cell r="K1917">
            <v>1172110.0800000026</v>
          </cell>
          <cell r="L1917">
            <v>1172110.0800000026</v>
          </cell>
          <cell r="M1917" t="e">
            <v>#N/A</v>
          </cell>
        </row>
        <row r="1918">
          <cell r="C1918" t="e">
            <v>#N/A</v>
          </cell>
          <cell r="E1918" t="e">
            <v>#N/A</v>
          </cell>
          <cell r="F1918" t="e">
            <v>#N/A</v>
          </cell>
          <cell r="G1918" t="e">
            <v>#N/A</v>
          </cell>
          <cell r="H1918">
            <v>0</v>
          </cell>
          <cell r="I1918">
            <v>0</v>
          </cell>
          <cell r="J1918" t="str">
            <v>X</v>
          </cell>
          <cell r="K1918">
            <v>1172110.0800000026</v>
          </cell>
          <cell r="L1918">
            <v>1172110.0800000026</v>
          </cell>
          <cell r="M1918" t="e">
            <v>#N/A</v>
          </cell>
        </row>
        <row r="1919">
          <cell r="C1919" t="e">
            <v>#N/A</v>
          </cell>
          <cell r="E1919" t="e">
            <v>#N/A</v>
          </cell>
          <cell r="F1919" t="e">
            <v>#N/A</v>
          </cell>
          <cell r="G1919" t="e">
            <v>#N/A</v>
          </cell>
          <cell r="H1919">
            <v>0</v>
          </cell>
          <cell r="I1919">
            <v>0</v>
          </cell>
          <cell r="J1919" t="str">
            <v>X</v>
          </cell>
          <cell r="K1919">
            <v>1172110.0800000026</v>
          </cell>
          <cell r="L1919">
            <v>1172110.0800000026</v>
          </cell>
          <cell r="M1919" t="e">
            <v>#N/A</v>
          </cell>
        </row>
        <row r="1920">
          <cell r="C1920" t="e">
            <v>#N/A</v>
          </cell>
          <cell r="E1920" t="e">
            <v>#N/A</v>
          </cell>
          <cell r="F1920" t="e">
            <v>#N/A</v>
          </cell>
          <cell r="G1920" t="e">
            <v>#N/A</v>
          </cell>
          <cell r="H1920">
            <v>0</v>
          </cell>
          <cell r="I1920">
            <v>0</v>
          </cell>
          <cell r="J1920" t="str">
            <v>X</v>
          </cell>
          <cell r="K1920">
            <v>1172110.0800000026</v>
          </cell>
          <cell r="L1920">
            <v>1172110.0800000026</v>
          </cell>
          <cell r="M1920" t="e">
            <v>#N/A</v>
          </cell>
        </row>
        <row r="1921">
          <cell r="C1921" t="e">
            <v>#N/A</v>
          </cell>
          <cell r="E1921" t="e">
            <v>#N/A</v>
          </cell>
          <cell r="F1921" t="e">
            <v>#N/A</v>
          </cell>
          <cell r="G1921" t="e">
            <v>#N/A</v>
          </cell>
          <cell r="H1921">
            <v>0</v>
          </cell>
          <cell r="I1921">
            <v>0</v>
          </cell>
          <cell r="J1921" t="str">
            <v>X</v>
          </cell>
          <cell r="K1921">
            <v>1172110.0800000026</v>
          </cell>
          <cell r="L1921">
            <v>1172110.0800000026</v>
          </cell>
          <cell r="M1921" t="e">
            <v>#N/A</v>
          </cell>
        </row>
        <row r="1922">
          <cell r="C1922" t="e">
            <v>#N/A</v>
          </cell>
          <cell r="E1922" t="e">
            <v>#N/A</v>
          </cell>
          <cell r="F1922" t="e">
            <v>#N/A</v>
          </cell>
          <cell r="G1922" t="e">
            <v>#N/A</v>
          </cell>
          <cell r="H1922">
            <v>0</v>
          </cell>
          <cell r="I1922">
            <v>0</v>
          </cell>
          <cell r="J1922" t="str">
            <v>X</v>
          </cell>
          <cell r="K1922">
            <v>1172110.0800000026</v>
          </cell>
          <cell r="L1922">
            <v>1172110.0800000026</v>
          </cell>
          <cell r="M1922" t="e">
            <v>#N/A</v>
          </cell>
        </row>
        <row r="1923">
          <cell r="C1923" t="e">
            <v>#N/A</v>
          </cell>
          <cell r="E1923" t="e">
            <v>#N/A</v>
          </cell>
          <cell r="F1923" t="e">
            <v>#N/A</v>
          </cell>
          <cell r="G1923" t="e">
            <v>#N/A</v>
          </cell>
          <cell r="H1923">
            <v>0</v>
          </cell>
          <cell r="I1923">
            <v>0</v>
          </cell>
          <cell r="J1923" t="str">
            <v>X</v>
          </cell>
          <cell r="K1923">
            <v>1172110.0800000026</v>
          </cell>
          <cell r="L1923">
            <v>1172110.0800000026</v>
          </cell>
          <cell r="M1923" t="e">
            <v>#N/A</v>
          </cell>
        </row>
        <row r="1924">
          <cell r="C1924" t="e">
            <v>#N/A</v>
          </cell>
          <cell r="E1924" t="e">
            <v>#N/A</v>
          </cell>
          <cell r="F1924" t="e">
            <v>#N/A</v>
          </cell>
          <cell r="G1924" t="e">
            <v>#N/A</v>
          </cell>
          <cell r="H1924">
            <v>0</v>
          </cell>
          <cell r="I1924">
            <v>0</v>
          </cell>
          <cell r="J1924" t="str">
            <v>X</v>
          </cell>
          <cell r="K1924">
            <v>1172110.0800000026</v>
          </cell>
          <cell r="L1924">
            <v>1172110.0800000026</v>
          </cell>
          <cell r="M1924" t="e">
            <v>#N/A</v>
          </cell>
        </row>
        <row r="1925">
          <cell r="C1925" t="e">
            <v>#N/A</v>
          </cell>
          <cell r="E1925" t="e">
            <v>#N/A</v>
          </cell>
          <cell r="F1925" t="e">
            <v>#N/A</v>
          </cell>
          <cell r="G1925" t="e">
            <v>#N/A</v>
          </cell>
          <cell r="H1925">
            <v>0</v>
          </cell>
          <cell r="I1925">
            <v>0</v>
          </cell>
          <cell r="J1925" t="str">
            <v>X</v>
          </cell>
          <cell r="K1925">
            <v>1172110.0800000026</v>
          </cell>
          <cell r="L1925">
            <v>1172110.0800000026</v>
          </cell>
          <cell r="M1925" t="e">
            <v>#N/A</v>
          </cell>
        </row>
        <row r="1926">
          <cell r="C1926" t="e">
            <v>#N/A</v>
          </cell>
          <cell r="E1926" t="e">
            <v>#N/A</v>
          </cell>
          <cell r="F1926" t="e">
            <v>#N/A</v>
          </cell>
          <cell r="G1926" t="e">
            <v>#N/A</v>
          </cell>
          <cell r="H1926">
            <v>0</v>
          </cell>
          <cell r="I1926">
            <v>0</v>
          </cell>
          <cell r="J1926" t="str">
            <v>X</v>
          </cell>
          <cell r="K1926">
            <v>1172110.0800000026</v>
          </cell>
          <cell r="L1926">
            <v>1172110.0800000026</v>
          </cell>
          <cell r="M1926" t="e">
            <v>#N/A</v>
          </cell>
        </row>
        <row r="1927">
          <cell r="C1927" t="e">
            <v>#N/A</v>
          </cell>
          <cell r="E1927" t="e">
            <v>#N/A</v>
          </cell>
          <cell r="F1927" t="e">
            <v>#N/A</v>
          </cell>
          <cell r="G1927" t="e">
            <v>#N/A</v>
          </cell>
          <cell r="H1927">
            <v>0</v>
          </cell>
          <cell r="I1927">
            <v>0</v>
          </cell>
          <cell r="J1927" t="str">
            <v>X</v>
          </cell>
          <cell r="K1927">
            <v>1172110.0800000026</v>
          </cell>
          <cell r="L1927">
            <v>1172110.0800000026</v>
          </cell>
          <cell r="M1927" t="e">
            <v>#N/A</v>
          </cell>
        </row>
        <row r="1928">
          <cell r="C1928" t="e">
            <v>#N/A</v>
          </cell>
          <cell r="E1928" t="e">
            <v>#N/A</v>
          </cell>
          <cell r="F1928" t="e">
            <v>#N/A</v>
          </cell>
          <cell r="G1928" t="e">
            <v>#N/A</v>
          </cell>
          <cell r="H1928">
            <v>0</v>
          </cell>
          <cell r="I1928">
            <v>0</v>
          </cell>
          <cell r="J1928" t="str">
            <v>X</v>
          </cell>
          <cell r="K1928">
            <v>1172110.0800000026</v>
          </cell>
          <cell r="L1928">
            <v>1172110.0800000026</v>
          </cell>
          <cell r="M1928" t="e">
            <v>#N/A</v>
          </cell>
        </row>
        <row r="1929">
          <cell r="C1929" t="e">
            <v>#N/A</v>
          </cell>
          <cell r="E1929" t="e">
            <v>#N/A</v>
          </cell>
          <cell r="F1929" t="e">
            <v>#N/A</v>
          </cell>
          <cell r="G1929" t="e">
            <v>#N/A</v>
          </cell>
          <cell r="H1929">
            <v>0</v>
          </cell>
          <cell r="I1929">
            <v>0</v>
          </cell>
          <cell r="J1929" t="str">
            <v>X</v>
          </cell>
          <cell r="K1929">
            <v>1172110.0800000026</v>
          </cell>
          <cell r="L1929">
            <v>1172110.0800000026</v>
          </cell>
          <cell r="M1929" t="e">
            <v>#N/A</v>
          </cell>
        </row>
        <row r="1930">
          <cell r="C1930" t="e">
            <v>#N/A</v>
          </cell>
          <cell r="E1930" t="e">
            <v>#N/A</v>
          </cell>
          <cell r="F1930" t="e">
            <v>#N/A</v>
          </cell>
          <cell r="G1930" t="e">
            <v>#N/A</v>
          </cell>
          <cell r="H1930">
            <v>0</v>
          </cell>
          <cell r="I1930">
            <v>0</v>
          </cell>
          <cell r="J1930" t="str">
            <v>X</v>
          </cell>
          <cell r="K1930">
            <v>1172110.0800000026</v>
          </cell>
          <cell r="L1930">
            <v>1172110.0800000026</v>
          </cell>
          <cell r="M1930" t="e">
            <v>#N/A</v>
          </cell>
        </row>
        <row r="1931">
          <cell r="C1931" t="e">
            <v>#N/A</v>
          </cell>
          <cell r="E1931" t="e">
            <v>#N/A</v>
          </cell>
          <cell r="F1931" t="e">
            <v>#N/A</v>
          </cell>
          <cell r="G1931" t="e">
            <v>#N/A</v>
          </cell>
          <cell r="H1931">
            <v>0</v>
          </cell>
          <cell r="I1931">
            <v>0</v>
          </cell>
          <cell r="J1931" t="str">
            <v>X</v>
          </cell>
          <cell r="K1931">
            <v>1172110.0800000026</v>
          </cell>
          <cell r="L1931">
            <v>1172110.0800000026</v>
          </cell>
          <cell r="M1931" t="e">
            <v>#N/A</v>
          </cell>
        </row>
        <row r="1932">
          <cell r="C1932" t="e">
            <v>#N/A</v>
          </cell>
          <cell r="E1932" t="e">
            <v>#N/A</v>
          </cell>
          <cell r="F1932" t="e">
            <v>#N/A</v>
          </cell>
          <cell r="G1932" t="e">
            <v>#N/A</v>
          </cell>
          <cell r="H1932">
            <v>0</v>
          </cell>
          <cell r="I1932">
            <v>0</v>
          </cell>
          <cell r="J1932" t="str">
            <v>X</v>
          </cell>
          <cell r="K1932">
            <v>1172110.0800000026</v>
          </cell>
          <cell r="L1932">
            <v>1172110.0800000026</v>
          </cell>
          <cell r="M1932" t="e">
            <v>#N/A</v>
          </cell>
        </row>
        <row r="1933">
          <cell r="C1933" t="e">
            <v>#N/A</v>
          </cell>
          <cell r="E1933" t="e">
            <v>#N/A</v>
          </cell>
          <cell r="F1933" t="e">
            <v>#N/A</v>
          </cell>
          <cell r="G1933" t="e">
            <v>#N/A</v>
          </cell>
          <cell r="H1933">
            <v>0</v>
          </cell>
          <cell r="I1933">
            <v>0</v>
          </cell>
          <cell r="J1933" t="str">
            <v>X</v>
          </cell>
          <cell r="K1933">
            <v>1172110.0800000026</v>
          </cell>
          <cell r="L1933">
            <v>1172110.0800000026</v>
          </cell>
          <cell r="M1933" t="e">
            <v>#N/A</v>
          </cell>
        </row>
        <row r="1934">
          <cell r="C1934" t="e">
            <v>#N/A</v>
          </cell>
          <cell r="E1934" t="e">
            <v>#N/A</v>
          </cell>
          <cell r="F1934" t="e">
            <v>#N/A</v>
          </cell>
          <cell r="G1934" t="e">
            <v>#N/A</v>
          </cell>
          <cell r="H1934">
            <v>0</v>
          </cell>
          <cell r="I1934">
            <v>0</v>
          </cell>
          <cell r="J1934" t="str">
            <v>X</v>
          </cell>
          <cell r="K1934">
            <v>1172110.0800000026</v>
          </cell>
          <cell r="L1934">
            <v>1172110.0800000026</v>
          </cell>
          <cell r="M1934" t="e">
            <v>#N/A</v>
          </cell>
        </row>
        <row r="1935">
          <cell r="C1935" t="e">
            <v>#N/A</v>
          </cell>
          <cell r="E1935" t="e">
            <v>#N/A</v>
          </cell>
          <cell r="F1935" t="e">
            <v>#N/A</v>
          </cell>
          <cell r="G1935" t="e">
            <v>#N/A</v>
          </cell>
          <cell r="H1935">
            <v>0</v>
          </cell>
          <cell r="I1935">
            <v>0</v>
          </cell>
          <cell r="J1935" t="str">
            <v>X</v>
          </cell>
          <cell r="K1935">
            <v>1172110.0800000026</v>
          </cell>
          <cell r="L1935">
            <v>1172110.0800000026</v>
          </cell>
          <cell r="M1935" t="e">
            <v>#N/A</v>
          </cell>
        </row>
        <row r="1936">
          <cell r="C1936" t="e">
            <v>#N/A</v>
          </cell>
          <cell r="E1936" t="e">
            <v>#N/A</v>
          </cell>
          <cell r="F1936" t="e">
            <v>#N/A</v>
          </cell>
          <cell r="G1936" t="e">
            <v>#N/A</v>
          </cell>
          <cell r="H1936">
            <v>0</v>
          </cell>
          <cell r="I1936">
            <v>0</v>
          </cell>
          <cell r="J1936" t="str">
            <v>X</v>
          </cell>
          <cell r="K1936">
            <v>1172110.0800000026</v>
          </cell>
          <cell r="L1936">
            <v>1172110.0800000026</v>
          </cell>
          <cell r="M1936" t="e">
            <v>#N/A</v>
          </cell>
        </row>
        <row r="1937">
          <cell r="C1937" t="e">
            <v>#N/A</v>
          </cell>
          <cell r="E1937" t="e">
            <v>#N/A</v>
          </cell>
          <cell r="F1937" t="e">
            <v>#N/A</v>
          </cell>
          <cell r="G1937" t="e">
            <v>#N/A</v>
          </cell>
          <cell r="H1937">
            <v>0</v>
          </cell>
          <cell r="I1937">
            <v>0</v>
          </cell>
          <cell r="J1937" t="str">
            <v>X</v>
          </cell>
          <cell r="K1937">
            <v>1172110.0800000026</v>
          </cell>
          <cell r="L1937">
            <v>1172110.0800000026</v>
          </cell>
          <cell r="M1937" t="e">
            <v>#N/A</v>
          </cell>
        </row>
        <row r="1938">
          <cell r="C1938" t="e">
            <v>#N/A</v>
          </cell>
          <cell r="E1938" t="e">
            <v>#N/A</v>
          </cell>
          <cell r="F1938" t="e">
            <v>#N/A</v>
          </cell>
          <cell r="G1938" t="e">
            <v>#N/A</v>
          </cell>
          <cell r="H1938">
            <v>0</v>
          </cell>
          <cell r="I1938">
            <v>0</v>
          </cell>
          <cell r="J1938" t="str">
            <v>X</v>
          </cell>
          <cell r="K1938">
            <v>1172110.0800000026</v>
          </cell>
          <cell r="L1938">
            <v>1172110.0800000026</v>
          </cell>
          <cell r="M1938" t="e">
            <v>#N/A</v>
          </cell>
        </row>
        <row r="1939">
          <cell r="C1939" t="e">
            <v>#N/A</v>
          </cell>
          <cell r="E1939" t="e">
            <v>#N/A</v>
          </cell>
          <cell r="F1939" t="e">
            <v>#N/A</v>
          </cell>
          <cell r="G1939" t="e">
            <v>#N/A</v>
          </cell>
          <cell r="H1939">
            <v>0</v>
          </cell>
          <cell r="I1939">
            <v>0</v>
          </cell>
          <cell r="J1939" t="str">
            <v>X</v>
          </cell>
          <cell r="K1939">
            <v>1172110.0800000026</v>
          </cell>
          <cell r="L1939">
            <v>1172110.0800000026</v>
          </cell>
          <cell r="M1939" t="e">
            <v>#N/A</v>
          </cell>
        </row>
        <row r="1940">
          <cell r="C1940" t="e">
            <v>#N/A</v>
          </cell>
          <cell r="E1940" t="e">
            <v>#N/A</v>
          </cell>
          <cell r="F1940" t="e">
            <v>#N/A</v>
          </cell>
          <cell r="G1940" t="e">
            <v>#N/A</v>
          </cell>
          <cell r="H1940">
            <v>0</v>
          </cell>
          <cell r="I1940">
            <v>0</v>
          </cell>
          <cell r="J1940" t="str">
            <v>X</v>
          </cell>
          <cell r="K1940">
            <v>1172110.0800000026</v>
          </cell>
          <cell r="L1940">
            <v>1172110.0800000026</v>
          </cell>
          <cell r="M1940" t="e">
            <v>#N/A</v>
          </cell>
        </row>
        <row r="1941">
          <cell r="C1941" t="e">
            <v>#N/A</v>
          </cell>
          <cell r="E1941" t="e">
            <v>#N/A</v>
          </cell>
          <cell r="F1941" t="e">
            <v>#N/A</v>
          </cell>
          <cell r="G1941" t="e">
            <v>#N/A</v>
          </cell>
          <cell r="H1941">
            <v>0</v>
          </cell>
          <cell r="I1941">
            <v>0</v>
          </cell>
          <cell r="J1941" t="str">
            <v>X</v>
          </cell>
          <cell r="K1941">
            <v>1172110.0800000026</v>
          </cell>
          <cell r="L1941">
            <v>1172110.0800000026</v>
          </cell>
          <cell r="M1941" t="e">
            <v>#N/A</v>
          </cell>
        </row>
        <row r="1942">
          <cell r="C1942" t="e">
            <v>#N/A</v>
          </cell>
          <cell r="E1942" t="e">
            <v>#N/A</v>
          </cell>
          <cell r="F1942" t="e">
            <v>#N/A</v>
          </cell>
          <cell r="G1942" t="e">
            <v>#N/A</v>
          </cell>
          <cell r="H1942">
            <v>0</v>
          </cell>
          <cell r="I1942">
            <v>0</v>
          </cell>
          <cell r="J1942" t="str">
            <v>X</v>
          </cell>
          <cell r="K1942">
            <v>1172110.0800000026</v>
          </cell>
          <cell r="L1942">
            <v>1172110.0800000026</v>
          </cell>
          <cell r="M1942" t="e">
            <v>#N/A</v>
          </cell>
        </row>
        <row r="1943">
          <cell r="C1943" t="e">
            <v>#N/A</v>
          </cell>
          <cell r="E1943" t="e">
            <v>#N/A</v>
          </cell>
          <cell r="F1943" t="e">
            <v>#N/A</v>
          </cell>
          <cell r="G1943" t="e">
            <v>#N/A</v>
          </cell>
          <cell r="H1943">
            <v>0</v>
          </cell>
          <cell r="I1943">
            <v>0</v>
          </cell>
          <cell r="J1943" t="str">
            <v>X</v>
          </cell>
          <cell r="K1943">
            <v>1172110.0800000026</v>
          </cell>
          <cell r="L1943">
            <v>1172110.0800000026</v>
          </cell>
          <cell r="M1943" t="e">
            <v>#N/A</v>
          </cell>
        </row>
        <row r="1944">
          <cell r="C1944" t="e">
            <v>#N/A</v>
          </cell>
          <cell r="E1944" t="e">
            <v>#N/A</v>
          </cell>
          <cell r="F1944" t="e">
            <v>#N/A</v>
          </cell>
          <cell r="G1944" t="e">
            <v>#N/A</v>
          </cell>
          <cell r="H1944">
            <v>0</v>
          </cell>
          <cell r="I1944">
            <v>0</v>
          </cell>
          <cell r="J1944" t="str">
            <v>X</v>
          </cell>
          <cell r="K1944">
            <v>1172110.0800000026</v>
          </cell>
          <cell r="L1944">
            <v>1172110.0800000026</v>
          </cell>
          <cell r="M1944" t="e">
            <v>#N/A</v>
          </cell>
        </row>
        <row r="1945">
          <cell r="C1945" t="e">
            <v>#N/A</v>
          </cell>
          <cell r="E1945" t="e">
            <v>#N/A</v>
          </cell>
          <cell r="F1945" t="e">
            <v>#N/A</v>
          </cell>
          <cell r="G1945" t="e">
            <v>#N/A</v>
          </cell>
          <cell r="H1945">
            <v>0</v>
          </cell>
          <cell r="I1945">
            <v>0</v>
          </cell>
          <cell r="J1945" t="str">
            <v>X</v>
          </cell>
          <cell r="K1945">
            <v>1172110.0800000026</v>
          </cell>
          <cell r="L1945">
            <v>1172110.0800000026</v>
          </cell>
          <cell r="M1945" t="e">
            <v>#N/A</v>
          </cell>
        </row>
        <row r="1946">
          <cell r="C1946" t="e">
            <v>#N/A</v>
          </cell>
          <cell r="E1946" t="e">
            <v>#N/A</v>
          </cell>
          <cell r="F1946" t="e">
            <v>#N/A</v>
          </cell>
          <cell r="G1946" t="e">
            <v>#N/A</v>
          </cell>
          <cell r="H1946">
            <v>0</v>
          </cell>
          <cell r="I1946">
            <v>0</v>
          </cell>
          <cell r="J1946" t="str">
            <v>X</v>
          </cell>
          <cell r="K1946">
            <v>1172110.0800000026</v>
          </cell>
          <cell r="L1946">
            <v>1172110.0800000026</v>
          </cell>
          <cell r="M1946" t="e">
            <v>#N/A</v>
          </cell>
        </row>
        <row r="1947">
          <cell r="C1947" t="e">
            <v>#N/A</v>
          </cell>
          <cell r="E1947" t="e">
            <v>#N/A</v>
          </cell>
          <cell r="F1947" t="e">
            <v>#N/A</v>
          </cell>
          <cell r="G1947" t="e">
            <v>#N/A</v>
          </cell>
          <cell r="H1947">
            <v>0</v>
          </cell>
          <cell r="I1947">
            <v>0</v>
          </cell>
          <cell r="J1947" t="str">
            <v>X</v>
          </cell>
          <cell r="K1947">
            <v>1172110.0800000026</v>
          </cell>
          <cell r="L1947">
            <v>1172110.0800000026</v>
          </cell>
          <cell r="M1947" t="e">
            <v>#N/A</v>
          </cell>
        </row>
        <row r="1948">
          <cell r="C1948" t="e">
            <v>#N/A</v>
          </cell>
          <cell r="E1948" t="e">
            <v>#N/A</v>
          </cell>
          <cell r="F1948" t="e">
            <v>#N/A</v>
          </cell>
          <cell r="G1948" t="e">
            <v>#N/A</v>
          </cell>
          <cell r="H1948">
            <v>0</v>
          </cell>
          <cell r="I1948">
            <v>0</v>
          </cell>
          <cell r="J1948" t="str">
            <v>X</v>
          </cell>
          <cell r="K1948">
            <v>1172110.0800000026</v>
          </cell>
          <cell r="L1948">
            <v>1172110.0800000026</v>
          </cell>
          <cell r="M1948" t="e">
            <v>#N/A</v>
          </cell>
        </row>
        <row r="1949">
          <cell r="C1949" t="e">
            <v>#N/A</v>
          </cell>
          <cell r="E1949" t="e">
            <v>#N/A</v>
          </cell>
          <cell r="F1949" t="e">
            <v>#N/A</v>
          </cell>
          <cell r="G1949" t="e">
            <v>#N/A</v>
          </cell>
          <cell r="H1949">
            <v>0</v>
          </cell>
          <cell r="I1949">
            <v>0</v>
          </cell>
          <cell r="J1949" t="str">
            <v>X</v>
          </cell>
          <cell r="K1949">
            <v>1172110.0800000026</v>
          </cell>
          <cell r="L1949">
            <v>1172110.0800000026</v>
          </cell>
          <cell r="M1949" t="e">
            <v>#N/A</v>
          </cell>
        </row>
        <row r="1950">
          <cell r="C1950" t="e">
            <v>#N/A</v>
          </cell>
          <cell r="E1950" t="e">
            <v>#N/A</v>
          </cell>
          <cell r="F1950" t="e">
            <v>#N/A</v>
          </cell>
          <cell r="G1950" t="e">
            <v>#N/A</v>
          </cell>
          <cell r="H1950">
            <v>0</v>
          </cell>
          <cell r="I1950">
            <v>0</v>
          </cell>
          <cell r="J1950" t="str">
            <v>X</v>
          </cell>
          <cell r="K1950">
            <v>1172110.0800000026</v>
          </cell>
          <cell r="L1950">
            <v>1172110.0800000026</v>
          </cell>
          <cell r="M1950" t="e">
            <v>#N/A</v>
          </cell>
        </row>
        <row r="1951">
          <cell r="C1951" t="e">
            <v>#N/A</v>
          </cell>
          <cell r="E1951" t="e">
            <v>#N/A</v>
          </cell>
          <cell r="F1951" t="e">
            <v>#N/A</v>
          </cell>
          <cell r="G1951" t="e">
            <v>#N/A</v>
          </cell>
          <cell r="H1951">
            <v>0</v>
          </cell>
          <cell r="I1951">
            <v>0</v>
          </cell>
          <cell r="J1951" t="str">
            <v>X</v>
          </cell>
          <cell r="K1951">
            <v>1172110.0800000026</v>
          </cell>
          <cell r="L1951">
            <v>1172110.0800000026</v>
          </cell>
          <cell r="M1951" t="e">
            <v>#N/A</v>
          </cell>
        </row>
        <row r="1952">
          <cell r="C1952" t="e">
            <v>#N/A</v>
          </cell>
          <cell r="E1952" t="e">
            <v>#N/A</v>
          </cell>
          <cell r="F1952" t="e">
            <v>#N/A</v>
          </cell>
          <cell r="G1952" t="e">
            <v>#N/A</v>
          </cell>
          <cell r="H1952">
            <v>0</v>
          </cell>
          <cell r="I1952">
            <v>0</v>
          </cell>
          <cell r="J1952" t="str">
            <v>X</v>
          </cell>
          <cell r="K1952">
            <v>1172110.0800000026</v>
          </cell>
          <cell r="L1952">
            <v>1172110.0800000026</v>
          </cell>
          <cell r="M1952" t="e">
            <v>#N/A</v>
          </cell>
        </row>
        <row r="1953">
          <cell r="C1953" t="e">
            <v>#N/A</v>
          </cell>
          <cell r="E1953" t="e">
            <v>#N/A</v>
          </cell>
          <cell r="F1953" t="e">
            <v>#N/A</v>
          </cell>
          <cell r="G1953" t="e">
            <v>#N/A</v>
          </cell>
          <cell r="H1953">
            <v>0</v>
          </cell>
          <cell r="I1953">
            <v>0</v>
          </cell>
          <cell r="J1953" t="str">
            <v>X</v>
          </cell>
          <cell r="K1953">
            <v>1172110.0800000026</v>
          </cell>
          <cell r="L1953">
            <v>1172110.0800000026</v>
          </cell>
          <cell r="M1953" t="e">
            <v>#N/A</v>
          </cell>
        </row>
        <row r="1954">
          <cell r="C1954" t="e">
            <v>#N/A</v>
          </cell>
          <cell r="E1954" t="e">
            <v>#N/A</v>
          </cell>
          <cell r="F1954" t="e">
            <v>#N/A</v>
          </cell>
          <cell r="G1954" t="e">
            <v>#N/A</v>
          </cell>
          <cell r="H1954">
            <v>0</v>
          </cell>
          <cell r="I1954">
            <v>0</v>
          </cell>
          <cell r="J1954" t="str">
            <v>X</v>
          </cell>
          <cell r="K1954">
            <v>1172110.0800000026</v>
          </cell>
          <cell r="L1954">
            <v>1172110.0800000026</v>
          </cell>
          <cell r="M1954" t="e">
            <v>#N/A</v>
          </cell>
        </row>
        <row r="1955">
          <cell r="C1955" t="e">
            <v>#N/A</v>
          </cell>
          <cell r="E1955" t="e">
            <v>#N/A</v>
          </cell>
          <cell r="F1955" t="e">
            <v>#N/A</v>
          </cell>
          <cell r="G1955" t="e">
            <v>#N/A</v>
          </cell>
          <cell r="H1955">
            <v>0</v>
          </cell>
          <cell r="I1955">
            <v>0</v>
          </cell>
          <cell r="J1955" t="str">
            <v>X</v>
          </cell>
          <cell r="K1955">
            <v>1172110.0800000026</v>
          </cell>
          <cell r="L1955">
            <v>1172110.0800000026</v>
          </cell>
          <cell r="M1955" t="e">
            <v>#N/A</v>
          </cell>
        </row>
        <row r="1956">
          <cell r="C1956" t="e">
            <v>#N/A</v>
          </cell>
          <cell r="E1956" t="e">
            <v>#N/A</v>
          </cell>
          <cell r="F1956" t="e">
            <v>#N/A</v>
          </cell>
          <cell r="G1956" t="e">
            <v>#N/A</v>
          </cell>
          <cell r="H1956">
            <v>0</v>
          </cell>
          <cell r="I1956">
            <v>0</v>
          </cell>
          <cell r="J1956" t="str">
            <v>X</v>
          </cell>
          <cell r="K1956">
            <v>1172110.0800000026</v>
          </cell>
          <cell r="L1956">
            <v>1172110.0800000026</v>
          </cell>
          <cell r="M1956" t="e">
            <v>#N/A</v>
          </cell>
        </row>
        <row r="1957">
          <cell r="C1957" t="e">
            <v>#N/A</v>
          </cell>
          <cell r="E1957" t="e">
            <v>#N/A</v>
          </cell>
          <cell r="F1957" t="e">
            <v>#N/A</v>
          </cell>
          <cell r="G1957" t="e">
            <v>#N/A</v>
          </cell>
          <cell r="H1957">
            <v>0</v>
          </cell>
          <cell r="I1957">
            <v>0</v>
          </cell>
          <cell r="J1957" t="str">
            <v>X</v>
          </cell>
          <cell r="K1957">
            <v>1172110.0800000026</v>
          </cell>
          <cell r="L1957">
            <v>1172110.0800000026</v>
          </cell>
          <cell r="M1957" t="e">
            <v>#N/A</v>
          </cell>
        </row>
        <row r="1958">
          <cell r="C1958" t="e">
            <v>#N/A</v>
          </cell>
          <cell r="E1958" t="e">
            <v>#N/A</v>
          </cell>
          <cell r="F1958" t="e">
            <v>#N/A</v>
          </cell>
          <cell r="G1958" t="e">
            <v>#N/A</v>
          </cell>
          <cell r="H1958">
            <v>0</v>
          </cell>
          <cell r="I1958">
            <v>0</v>
          </cell>
          <cell r="J1958" t="str">
            <v>X</v>
          </cell>
          <cell r="K1958">
            <v>1172110.0800000026</v>
          </cell>
          <cell r="L1958">
            <v>1172110.0800000026</v>
          </cell>
          <cell r="M1958" t="e">
            <v>#N/A</v>
          </cell>
        </row>
        <row r="1959">
          <cell r="C1959" t="e">
            <v>#N/A</v>
          </cell>
          <cell r="E1959" t="e">
            <v>#N/A</v>
          </cell>
          <cell r="F1959" t="e">
            <v>#N/A</v>
          </cell>
          <cell r="G1959" t="e">
            <v>#N/A</v>
          </cell>
          <cell r="H1959">
            <v>0</v>
          </cell>
          <cell r="I1959">
            <v>0</v>
          </cell>
          <cell r="J1959" t="str">
            <v>X</v>
          </cell>
          <cell r="K1959">
            <v>1172110.0800000026</v>
          </cell>
          <cell r="L1959">
            <v>1172110.0800000026</v>
          </cell>
          <cell r="M1959" t="e">
            <v>#N/A</v>
          </cell>
        </row>
        <row r="1960">
          <cell r="C1960" t="e">
            <v>#N/A</v>
          </cell>
          <cell r="E1960" t="e">
            <v>#N/A</v>
          </cell>
          <cell r="F1960" t="e">
            <v>#N/A</v>
          </cell>
          <cell r="G1960" t="e">
            <v>#N/A</v>
          </cell>
          <cell r="H1960">
            <v>0</v>
          </cell>
          <cell r="I1960">
            <v>0</v>
          </cell>
          <cell r="J1960" t="str">
            <v>X</v>
          </cell>
          <cell r="K1960">
            <v>1172110.0800000026</v>
          </cell>
          <cell r="L1960">
            <v>1172110.0800000026</v>
          </cell>
          <cell r="M1960" t="e">
            <v>#N/A</v>
          </cell>
        </row>
        <row r="1961">
          <cell r="C1961" t="e">
            <v>#N/A</v>
          </cell>
          <cell r="E1961" t="e">
            <v>#N/A</v>
          </cell>
          <cell r="F1961" t="e">
            <v>#N/A</v>
          </cell>
          <cell r="G1961" t="e">
            <v>#N/A</v>
          </cell>
          <cell r="H1961">
            <v>0</v>
          </cell>
          <cell r="I1961">
            <v>0</v>
          </cell>
          <cell r="J1961" t="str">
            <v>X</v>
          </cell>
          <cell r="K1961">
            <v>1172110.0800000026</v>
          </cell>
          <cell r="L1961">
            <v>1172110.0800000026</v>
          </cell>
          <cell r="M1961" t="e">
            <v>#N/A</v>
          </cell>
        </row>
        <row r="1962">
          <cell r="C1962" t="e">
            <v>#N/A</v>
          </cell>
          <cell r="E1962" t="e">
            <v>#N/A</v>
          </cell>
          <cell r="F1962" t="e">
            <v>#N/A</v>
          </cell>
          <cell r="G1962" t="e">
            <v>#N/A</v>
          </cell>
          <cell r="H1962">
            <v>0</v>
          </cell>
          <cell r="I1962">
            <v>0</v>
          </cell>
          <cell r="J1962" t="str">
            <v>X</v>
          </cell>
          <cell r="K1962">
            <v>1172110.0800000026</v>
          </cell>
          <cell r="L1962">
            <v>1172110.0800000026</v>
          </cell>
          <cell r="M1962" t="e">
            <v>#N/A</v>
          </cell>
        </row>
        <row r="1963">
          <cell r="C1963" t="e">
            <v>#N/A</v>
          </cell>
          <cell r="E1963" t="e">
            <v>#N/A</v>
          </cell>
          <cell r="F1963" t="e">
            <v>#N/A</v>
          </cell>
          <cell r="G1963" t="e">
            <v>#N/A</v>
          </cell>
          <cell r="H1963">
            <v>0</v>
          </cell>
          <cell r="I1963">
            <v>0</v>
          </cell>
          <cell r="J1963" t="str">
            <v>X</v>
          </cell>
          <cell r="K1963">
            <v>1172110.0800000026</v>
          </cell>
          <cell r="L1963">
            <v>1172110.0800000026</v>
          </cell>
          <cell r="M1963" t="e">
            <v>#N/A</v>
          </cell>
        </row>
        <row r="1964">
          <cell r="C1964" t="e">
            <v>#N/A</v>
          </cell>
          <cell r="E1964" t="e">
            <v>#N/A</v>
          </cell>
          <cell r="F1964" t="e">
            <v>#N/A</v>
          </cell>
          <cell r="G1964" t="e">
            <v>#N/A</v>
          </cell>
          <cell r="H1964">
            <v>0</v>
          </cell>
          <cell r="I1964">
            <v>0</v>
          </cell>
          <cell r="J1964" t="str">
            <v>X</v>
          </cell>
          <cell r="K1964">
            <v>1172110.0800000026</v>
          </cell>
          <cell r="L1964">
            <v>1172110.0800000026</v>
          </cell>
          <cell r="M1964" t="e">
            <v>#N/A</v>
          </cell>
        </row>
        <row r="1965">
          <cell r="C1965" t="e">
            <v>#N/A</v>
          </cell>
          <cell r="E1965" t="e">
            <v>#N/A</v>
          </cell>
          <cell r="F1965" t="e">
            <v>#N/A</v>
          </cell>
          <cell r="G1965" t="e">
            <v>#N/A</v>
          </cell>
          <cell r="H1965">
            <v>0</v>
          </cell>
          <cell r="I1965">
            <v>0</v>
          </cell>
          <cell r="J1965" t="str">
            <v>X</v>
          </cell>
          <cell r="K1965">
            <v>1172110.0800000026</v>
          </cell>
          <cell r="L1965">
            <v>1172110.0800000026</v>
          </cell>
          <cell r="M1965" t="e">
            <v>#N/A</v>
          </cell>
        </row>
        <row r="1966">
          <cell r="C1966" t="e">
            <v>#N/A</v>
          </cell>
          <cell r="E1966" t="e">
            <v>#N/A</v>
          </cell>
          <cell r="F1966" t="e">
            <v>#N/A</v>
          </cell>
          <cell r="G1966" t="e">
            <v>#N/A</v>
          </cell>
          <cell r="H1966">
            <v>0</v>
          </cell>
          <cell r="I1966">
            <v>0</v>
          </cell>
          <cell r="J1966" t="str">
            <v>X</v>
          </cell>
          <cell r="K1966">
            <v>1172110.0800000026</v>
          </cell>
          <cell r="L1966">
            <v>1172110.0800000026</v>
          </cell>
          <cell r="M1966" t="e">
            <v>#N/A</v>
          </cell>
        </row>
        <row r="1967">
          <cell r="C1967" t="e">
            <v>#N/A</v>
          </cell>
          <cell r="E1967" t="e">
            <v>#N/A</v>
          </cell>
          <cell r="F1967" t="e">
            <v>#N/A</v>
          </cell>
          <cell r="G1967" t="e">
            <v>#N/A</v>
          </cell>
          <cell r="H1967">
            <v>0</v>
          </cell>
          <cell r="I1967">
            <v>0</v>
          </cell>
          <cell r="J1967" t="str">
            <v>X</v>
          </cell>
          <cell r="K1967">
            <v>1172110.0800000026</v>
          </cell>
          <cell r="L1967">
            <v>1172110.0800000026</v>
          </cell>
          <cell r="M1967" t="e">
            <v>#N/A</v>
          </cell>
        </row>
        <row r="1968">
          <cell r="C1968" t="e">
            <v>#N/A</v>
          </cell>
          <cell r="E1968" t="e">
            <v>#N/A</v>
          </cell>
          <cell r="F1968" t="e">
            <v>#N/A</v>
          </cell>
          <cell r="G1968" t="e">
            <v>#N/A</v>
          </cell>
          <cell r="H1968">
            <v>0</v>
          </cell>
          <cell r="I1968">
            <v>0</v>
          </cell>
          <cell r="J1968" t="str">
            <v>X</v>
          </cell>
          <cell r="K1968">
            <v>1172110.0800000026</v>
          </cell>
          <cell r="L1968">
            <v>1172110.0800000026</v>
          </cell>
          <cell r="M1968" t="e">
            <v>#N/A</v>
          </cell>
        </row>
        <row r="1969">
          <cell r="C1969" t="e">
            <v>#N/A</v>
          </cell>
          <cell r="E1969" t="e">
            <v>#N/A</v>
          </cell>
          <cell r="F1969" t="e">
            <v>#N/A</v>
          </cell>
          <cell r="G1969" t="e">
            <v>#N/A</v>
          </cell>
          <cell r="H1969">
            <v>0</v>
          </cell>
          <cell r="I1969">
            <v>0</v>
          </cell>
          <cell r="J1969" t="str">
            <v>X</v>
          </cell>
          <cell r="K1969">
            <v>1172110.0800000026</v>
          </cell>
          <cell r="L1969">
            <v>1172110.0800000026</v>
          </cell>
          <cell r="M1969" t="e">
            <v>#N/A</v>
          </cell>
        </row>
        <row r="1970">
          <cell r="C1970" t="e">
            <v>#N/A</v>
          </cell>
          <cell r="E1970" t="e">
            <v>#N/A</v>
          </cell>
          <cell r="F1970" t="e">
            <v>#N/A</v>
          </cell>
          <cell r="G1970" t="e">
            <v>#N/A</v>
          </cell>
          <cell r="H1970">
            <v>0</v>
          </cell>
          <cell r="I1970">
            <v>0</v>
          </cell>
          <cell r="J1970" t="str">
            <v>X</v>
          </cell>
          <cell r="K1970">
            <v>1172110.0800000026</v>
          </cell>
          <cell r="L1970">
            <v>1172110.0800000026</v>
          </cell>
          <cell r="M1970" t="e">
            <v>#N/A</v>
          </cell>
        </row>
        <row r="1971">
          <cell r="C1971" t="e">
            <v>#N/A</v>
          </cell>
          <cell r="E1971" t="e">
            <v>#N/A</v>
          </cell>
          <cell r="F1971" t="e">
            <v>#N/A</v>
          </cell>
          <cell r="G1971" t="e">
            <v>#N/A</v>
          </cell>
          <cell r="H1971">
            <v>0</v>
          </cell>
          <cell r="I1971">
            <v>0</v>
          </cell>
          <cell r="J1971" t="str">
            <v>X</v>
          </cell>
          <cell r="K1971">
            <v>1172110.0800000026</v>
          </cell>
          <cell r="L1971">
            <v>1172110.0800000026</v>
          </cell>
          <cell r="M1971" t="e">
            <v>#N/A</v>
          </cell>
        </row>
        <row r="1972">
          <cell r="C1972" t="e">
            <v>#N/A</v>
          </cell>
          <cell r="E1972" t="e">
            <v>#N/A</v>
          </cell>
          <cell r="F1972" t="e">
            <v>#N/A</v>
          </cell>
          <cell r="G1972" t="e">
            <v>#N/A</v>
          </cell>
          <cell r="H1972">
            <v>0</v>
          </cell>
          <cell r="I1972">
            <v>0</v>
          </cell>
          <cell r="J1972" t="str">
            <v>X</v>
          </cell>
          <cell r="K1972">
            <v>1172110.0800000026</v>
          </cell>
          <cell r="L1972">
            <v>1172110.0800000026</v>
          </cell>
          <cell r="M1972" t="e">
            <v>#N/A</v>
          </cell>
        </row>
        <row r="1973">
          <cell r="C1973" t="e">
            <v>#N/A</v>
          </cell>
          <cell r="E1973" t="e">
            <v>#N/A</v>
          </cell>
          <cell r="F1973" t="e">
            <v>#N/A</v>
          </cell>
          <cell r="G1973" t="e">
            <v>#N/A</v>
          </cell>
          <cell r="H1973">
            <v>0</v>
          </cell>
          <cell r="I1973">
            <v>0</v>
          </cell>
          <cell r="J1973" t="str">
            <v>X</v>
          </cell>
          <cell r="K1973">
            <v>1172110.0800000026</v>
          </cell>
          <cell r="L1973">
            <v>1172110.0800000026</v>
          </cell>
          <cell r="M1973" t="e">
            <v>#N/A</v>
          </cell>
        </row>
        <row r="1974">
          <cell r="C1974" t="e">
            <v>#N/A</v>
          </cell>
          <cell r="E1974" t="e">
            <v>#N/A</v>
          </cell>
          <cell r="F1974" t="e">
            <v>#N/A</v>
          </cell>
          <cell r="G1974" t="e">
            <v>#N/A</v>
          </cell>
          <cell r="H1974">
            <v>0</v>
          </cell>
          <cell r="I1974">
            <v>0</v>
          </cell>
          <cell r="J1974" t="str">
            <v>X</v>
          </cell>
          <cell r="K1974">
            <v>1172110.0800000026</v>
          </cell>
          <cell r="L1974">
            <v>1172110.0800000026</v>
          </cell>
          <cell r="M1974" t="e">
            <v>#N/A</v>
          </cell>
        </row>
        <row r="1975">
          <cell r="C1975" t="e">
            <v>#N/A</v>
          </cell>
          <cell r="E1975" t="e">
            <v>#N/A</v>
          </cell>
          <cell r="F1975" t="e">
            <v>#N/A</v>
          </cell>
          <cell r="G1975" t="e">
            <v>#N/A</v>
          </cell>
          <cell r="H1975">
            <v>0</v>
          </cell>
          <cell r="I1975">
            <v>0</v>
          </cell>
          <cell r="J1975" t="str">
            <v>X</v>
          </cell>
          <cell r="K1975">
            <v>1172110.0800000026</v>
          </cell>
          <cell r="L1975">
            <v>1172110.0800000026</v>
          </cell>
          <cell r="M1975" t="e">
            <v>#N/A</v>
          </cell>
        </row>
        <row r="1976">
          <cell r="C1976" t="e">
            <v>#N/A</v>
          </cell>
          <cell r="E1976" t="e">
            <v>#N/A</v>
          </cell>
          <cell r="F1976" t="e">
            <v>#N/A</v>
          </cell>
          <cell r="G1976" t="e">
            <v>#N/A</v>
          </cell>
          <cell r="H1976">
            <v>0</v>
          </cell>
          <cell r="I1976">
            <v>0</v>
          </cell>
          <cell r="J1976" t="str">
            <v>X</v>
          </cell>
          <cell r="K1976">
            <v>1172110.0800000026</v>
          </cell>
          <cell r="L1976">
            <v>1172110.0800000026</v>
          </cell>
          <cell r="M1976" t="e">
            <v>#N/A</v>
          </cell>
        </row>
        <row r="1977">
          <cell r="C1977" t="e">
            <v>#N/A</v>
          </cell>
          <cell r="E1977" t="e">
            <v>#N/A</v>
          </cell>
          <cell r="F1977" t="e">
            <v>#N/A</v>
          </cell>
          <cell r="G1977" t="e">
            <v>#N/A</v>
          </cell>
          <cell r="H1977">
            <v>0</v>
          </cell>
          <cell r="I1977">
            <v>0</v>
          </cell>
          <cell r="J1977" t="str">
            <v>X</v>
          </cell>
          <cell r="K1977">
            <v>1172110.0800000026</v>
          </cell>
          <cell r="L1977">
            <v>1172110.0800000026</v>
          </cell>
          <cell r="M1977" t="e">
            <v>#N/A</v>
          </cell>
        </row>
        <row r="1978">
          <cell r="C1978" t="e">
            <v>#N/A</v>
          </cell>
          <cell r="E1978" t="e">
            <v>#N/A</v>
          </cell>
          <cell r="F1978" t="e">
            <v>#N/A</v>
          </cell>
          <cell r="G1978" t="e">
            <v>#N/A</v>
          </cell>
          <cell r="H1978">
            <v>0</v>
          </cell>
          <cell r="I1978">
            <v>0</v>
          </cell>
          <cell r="J1978" t="str">
            <v>X</v>
          </cell>
          <cell r="K1978">
            <v>1172110.0800000026</v>
          </cell>
          <cell r="L1978">
            <v>1172110.0800000026</v>
          </cell>
          <cell r="M1978" t="e">
            <v>#N/A</v>
          </cell>
        </row>
        <row r="1979">
          <cell r="C1979" t="e">
            <v>#N/A</v>
          </cell>
          <cell r="E1979" t="e">
            <v>#N/A</v>
          </cell>
          <cell r="F1979" t="e">
            <v>#N/A</v>
          </cell>
          <cell r="G1979" t="e">
            <v>#N/A</v>
          </cell>
          <cell r="H1979">
            <v>0</v>
          </cell>
          <cell r="I1979">
            <v>0</v>
          </cell>
          <cell r="J1979" t="str">
            <v>X</v>
          </cell>
          <cell r="K1979">
            <v>1172110.0800000026</v>
          </cell>
          <cell r="L1979">
            <v>1172110.0800000026</v>
          </cell>
          <cell r="M1979" t="e">
            <v>#N/A</v>
          </cell>
        </row>
        <row r="1980">
          <cell r="C1980" t="e">
            <v>#N/A</v>
          </cell>
          <cell r="E1980" t="e">
            <v>#N/A</v>
          </cell>
          <cell r="F1980" t="e">
            <v>#N/A</v>
          </cell>
          <cell r="G1980" t="e">
            <v>#N/A</v>
          </cell>
          <cell r="H1980">
            <v>0</v>
          </cell>
          <cell r="I1980">
            <v>0</v>
          </cell>
          <cell r="J1980" t="str">
            <v>X</v>
          </cell>
          <cell r="K1980">
            <v>1172110.0800000026</v>
          </cell>
          <cell r="L1980">
            <v>1172110.0800000026</v>
          </cell>
          <cell r="M1980" t="e">
            <v>#N/A</v>
          </cell>
        </row>
        <row r="1981">
          <cell r="C1981" t="e">
            <v>#N/A</v>
          </cell>
          <cell r="E1981" t="e">
            <v>#N/A</v>
          </cell>
          <cell r="F1981" t="e">
            <v>#N/A</v>
          </cell>
          <cell r="G1981" t="e">
            <v>#N/A</v>
          </cell>
          <cell r="H1981">
            <v>0</v>
          </cell>
          <cell r="I1981">
            <v>0</v>
          </cell>
          <cell r="J1981" t="str">
            <v>X</v>
          </cell>
          <cell r="K1981">
            <v>1172110.0800000026</v>
          </cell>
          <cell r="L1981">
            <v>1172110.0800000026</v>
          </cell>
          <cell r="M1981" t="e">
            <v>#N/A</v>
          </cell>
        </row>
        <row r="1982">
          <cell r="C1982" t="e">
            <v>#N/A</v>
          </cell>
          <cell r="E1982" t="e">
            <v>#N/A</v>
          </cell>
          <cell r="F1982" t="e">
            <v>#N/A</v>
          </cell>
          <cell r="G1982" t="e">
            <v>#N/A</v>
          </cell>
          <cell r="H1982">
            <v>0</v>
          </cell>
          <cell r="I1982">
            <v>0</v>
          </cell>
          <cell r="J1982" t="str">
            <v>X</v>
          </cell>
          <cell r="K1982">
            <v>1172110.0800000026</v>
          </cell>
          <cell r="L1982">
            <v>1172110.0800000026</v>
          </cell>
          <cell r="M1982" t="e">
            <v>#N/A</v>
          </cell>
        </row>
        <row r="1983">
          <cell r="C1983" t="e">
            <v>#N/A</v>
          </cell>
          <cell r="E1983" t="e">
            <v>#N/A</v>
          </cell>
          <cell r="F1983" t="e">
            <v>#N/A</v>
          </cell>
          <cell r="G1983" t="e">
            <v>#N/A</v>
          </cell>
          <cell r="H1983">
            <v>0</v>
          </cell>
          <cell r="I1983">
            <v>0</v>
          </cell>
          <cell r="J1983" t="str">
            <v>X</v>
          </cell>
          <cell r="K1983">
            <v>1172110.0800000026</v>
          </cell>
          <cell r="L1983">
            <v>1172110.0800000026</v>
          </cell>
          <cell r="M1983" t="e">
            <v>#N/A</v>
          </cell>
        </row>
        <row r="1984">
          <cell r="C1984" t="e">
            <v>#N/A</v>
          </cell>
          <cell r="E1984" t="e">
            <v>#N/A</v>
          </cell>
          <cell r="F1984" t="e">
            <v>#N/A</v>
          </cell>
          <cell r="G1984" t="e">
            <v>#N/A</v>
          </cell>
          <cell r="H1984">
            <v>0</v>
          </cell>
          <cell r="I1984">
            <v>0</v>
          </cell>
          <cell r="J1984" t="str">
            <v>X</v>
          </cell>
          <cell r="K1984">
            <v>1172110.0800000026</v>
          </cell>
          <cell r="L1984">
            <v>1172110.0800000026</v>
          </cell>
          <cell r="M1984" t="e">
            <v>#N/A</v>
          </cell>
        </row>
        <row r="1985">
          <cell r="C1985" t="e">
            <v>#N/A</v>
          </cell>
          <cell r="E1985" t="e">
            <v>#N/A</v>
          </cell>
          <cell r="F1985" t="e">
            <v>#N/A</v>
          </cell>
          <cell r="G1985" t="e">
            <v>#N/A</v>
          </cell>
          <cell r="H1985">
            <v>0</v>
          </cell>
          <cell r="I1985">
            <v>0</v>
          </cell>
          <cell r="J1985" t="str">
            <v>X</v>
          </cell>
          <cell r="K1985">
            <v>1172110.0800000026</v>
          </cell>
          <cell r="L1985">
            <v>1172110.0800000026</v>
          </cell>
          <cell r="M1985" t="e">
            <v>#N/A</v>
          </cell>
        </row>
        <row r="1986">
          <cell r="C1986" t="e">
            <v>#N/A</v>
          </cell>
          <cell r="E1986" t="e">
            <v>#N/A</v>
          </cell>
          <cell r="F1986" t="e">
            <v>#N/A</v>
          </cell>
          <cell r="G1986" t="e">
            <v>#N/A</v>
          </cell>
          <cell r="H1986">
            <v>0</v>
          </cell>
          <cell r="I1986">
            <v>0</v>
          </cell>
          <cell r="J1986" t="str">
            <v>X</v>
          </cell>
          <cell r="K1986">
            <v>1172110.0800000026</v>
          </cell>
          <cell r="L1986">
            <v>1172110.0800000026</v>
          </cell>
          <cell r="M1986" t="e">
            <v>#N/A</v>
          </cell>
        </row>
        <row r="1987">
          <cell r="C1987" t="e">
            <v>#N/A</v>
          </cell>
          <cell r="E1987" t="e">
            <v>#N/A</v>
          </cell>
          <cell r="F1987" t="e">
            <v>#N/A</v>
          </cell>
          <cell r="G1987" t="e">
            <v>#N/A</v>
          </cell>
          <cell r="H1987">
            <v>0</v>
          </cell>
          <cell r="I1987">
            <v>0</v>
          </cell>
          <cell r="J1987" t="str">
            <v>X</v>
          </cell>
          <cell r="K1987">
            <v>1172110.0800000026</v>
          </cell>
          <cell r="L1987">
            <v>1172110.0800000026</v>
          </cell>
          <cell r="M1987" t="e">
            <v>#N/A</v>
          </cell>
        </row>
        <row r="1988">
          <cell r="C1988" t="e">
            <v>#N/A</v>
          </cell>
          <cell r="E1988" t="e">
            <v>#N/A</v>
          </cell>
          <cell r="F1988" t="e">
            <v>#N/A</v>
          </cell>
          <cell r="G1988" t="e">
            <v>#N/A</v>
          </cell>
          <cell r="H1988">
            <v>0</v>
          </cell>
          <cell r="I1988">
            <v>0</v>
          </cell>
          <cell r="J1988" t="str">
            <v>X</v>
          </cell>
          <cell r="K1988">
            <v>1172110.0800000026</v>
          </cell>
          <cell r="L1988">
            <v>1172110.0800000026</v>
          </cell>
          <cell r="M1988" t="e">
            <v>#N/A</v>
          </cell>
        </row>
        <row r="1989">
          <cell r="C1989" t="e">
            <v>#N/A</v>
          </cell>
          <cell r="E1989" t="e">
            <v>#N/A</v>
          </cell>
          <cell r="F1989" t="e">
            <v>#N/A</v>
          </cell>
          <cell r="G1989" t="e">
            <v>#N/A</v>
          </cell>
          <cell r="H1989">
            <v>0</v>
          </cell>
          <cell r="I1989">
            <v>0</v>
          </cell>
          <cell r="J1989" t="str">
            <v>X</v>
          </cell>
          <cell r="K1989">
            <v>1172110.0800000026</v>
          </cell>
          <cell r="L1989">
            <v>1172110.0800000026</v>
          </cell>
          <cell r="M1989" t="e">
            <v>#N/A</v>
          </cell>
        </row>
        <row r="1990">
          <cell r="C1990" t="e">
            <v>#N/A</v>
          </cell>
          <cell r="E1990" t="e">
            <v>#N/A</v>
          </cell>
          <cell r="F1990" t="e">
            <v>#N/A</v>
          </cell>
          <cell r="G1990" t="e">
            <v>#N/A</v>
          </cell>
          <cell r="H1990">
            <v>0</v>
          </cell>
          <cell r="I1990">
            <v>0</v>
          </cell>
          <cell r="J1990" t="str">
            <v>X</v>
          </cell>
          <cell r="K1990">
            <v>1172110.0800000026</v>
          </cell>
          <cell r="L1990">
            <v>1172110.0800000026</v>
          </cell>
          <cell r="M1990" t="e">
            <v>#N/A</v>
          </cell>
        </row>
        <row r="1991">
          <cell r="C1991" t="e">
            <v>#N/A</v>
          </cell>
          <cell r="E1991" t="e">
            <v>#N/A</v>
          </cell>
          <cell r="F1991" t="e">
            <v>#N/A</v>
          </cell>
          <cell r="G1991" t="e">
            <v>#N/A</v>
          </cell>
          <cell r="H1991">
            <v>0</v>
          </cell>
          <cell r="I1991">
            <v>0</v>
          </cell>
          <cell r="J1991" t="str">
            <v>X</v>
          </cell>
          <cell r="K1991">
            <v>1172110.0800000026</v>
          </cell>
          <cell r="L1991">
            <v>1172110.0800000026</v>
          </cell>
          <cell r="M1991" t="e">
            <v>#N/A</v>
          </cell>
        </row>
        <row r="1992">
          <cell r="C1992" t="e">
            <v>#N/A</v>
          </cell>
          <cell r="E1992" t="e">
            <v>#N/A</v>
          </cell>
          <cell r="F1992" t="e">
            <v>#N/A</v>
          </cell>
          <cell r="G1992" t="e">
            <v>#N/A</v>
          </cell>
          <cell r="H1992">
            <v>0</v>
          </cell>
          <cell r="I1992">
            <v>0</v>
          </cell>
          <cell r="J1992" t="str">
            <v>X</v>
          </cell>
          <cell r="K1992">
            <v>1172110.0800000026</v>
          </cell>
          <cell r="L1992">
            <v>1172110.0800000026</v>
          </cell>
          <cell r="M1992" t="e">
            <v>#N/A</v>
          </cell>
        </row>
        <row r="1993">
          <cell r="C1993" t="e">
            <v>#N/A</v>
          </cell>
          <cell r="E1993" t="e">
            <v>#N/A</v>
          </cell>
          <cell r="F1993" t="e">
            <v>#N/A</v>
          </cell>
          <cell r="G1993" t="e">
            <v>#N/A</v>
          </cell>
          <cell r="H1993">
            <v>0</v>
          </cell>
          <cell r="I1993">
            <v>0</v>
          </cell>
          <cell r="J1993" t="str">
            <v>X</v>
          </cell>
          <cell r="K1993">
            <v>1172110.0800000026</v>
          </cell>
          <cell r="L1993">
            <v>1172110.0800000026</v>
          </cell>
          <cell r="M1993" t="e">
            <v>#N/A</v>
          </cell>
        </row>
        <row r="1994">
          <cell r="C1994" t="e">
            <v>#N/A</v>
          </cell>
          <cell r="E1994" t="e">
            <v>#N/A</v>
          </cell>
          <cell r="F1994" t="e">
            <v>#N/A</v>
          </cell>
          <cell r="G1994" t="e">
            <v>#N/A</v>
          </cell>
          <cell r="H1994">
            <v>0</v>
          </cell>
          <cell r="I1994">
            <v>0</v>
          </cell>
          <cell r="J1994" t="str">
            <v>X</v>
          </cell>
          <cell r="K1994">
            <v>1172110.0800000026</v>
          </cell>
          <cell r="L1994">
            <v>1172110.0800000026</v>
          </cell>
          <cell r="M1994" t="e">
            <v>#N/A</v>
          </cell>
        </row>
        <row r="1995">
          <cell r="C1995" t="e">
            <v>#N/A</v>
          </cell>
          <cell r="E1995" t="e">
            <v>#N/A</v>
          </cell>
          <cell r="F1995" t="e">
            <v>#N/A</v>
          </cell>
          <cell r="G1995" t="e">
            <v>#N/A</v>
          </cell>
          <cell r="H1995">
            <v>0</v>
          </cell>
          <cell r="I1995">
            <v>0</v>
          </cell>
          <cell r="J1995" t="str">
            <v>X</v>
          </cell>
          <cell r="K1995">
            <v>1172110.0800000026</v>
          </cell>
          <cell r="L1995">
            <v>1172110.0800000026</v>
          </cell>
          <cell r="M1995" t="e">
            <v>#N/A</v>
          </cell>
        </row>
        <row r="1996">
          <cell r="C1996" t="e">
            <v>#N/A</v>
          </cell>
          <cell r="E1996" t="e">
            <v>#N/A</v>
          </cell>
          <cell r="F1996" t="e">
            <v>#N/A</v>
          </cell>
          <cell r="G1996" t="e">
            <v>#N/A</v>
          </cell>
          <cell r="H1996">
            <v>0</v>
          </cell>
          <cell r="I1996">
            <v>0</v>
          </cell>
          <cell r="J1996" t="str">
            <v>X</v>
          </cell>
          <cell r="K1996">
            <v>1172110.0800000026</v>
          </cell>
          <cell r="L1996">
            <v>1172110.0800000026</v>
          </cell>
          <cell r="M1996" t="e">
            <v>#N/A</v>
          </cell>
        </row>
        <row r="1997">
          <cell r="C1997" t="e">
            <v>#N/A</v>
          </cell>
          <cell r="E1997" t="e">
            <v>#N/A</v>
          </cell>
          <cell r="F1997" t="e">
            <v>#N/A</v>
          </cell>
          <cell r="G1997" t="e">
            <v>#N/A</v>
          </cell>
          <cell r="H1997">
            <v>0</v>
          </cell>
          <cell r="I1997">
            <v>0</v>
          </cell>
          <cell r="J1997" t="str">
            <v>X</v>
          </cell>
          <cell r="K1997">
            <v>1172110.0800000026</v>
          </cell>
          <cell r="L1997">
            <v>1172110.0800000026</v>
          </cell>
          <cell r="M1997" t="e">
            <v>#N/A</v>
          </cell>
        </row>
        <row r="1998">
          <cell r="C1998" t="e">
            <v>#N/A</v>
          </cell>
          <cell r="E1998" t="e">
            <v>#N/A</v>
          </cell>
          <cell r="F1998" t="e">
            <v>#N/A</v>
          </cell>
          <cell r="G1998" t="e">
            <v>#N/A</v>
          </cell>
          <cell r="H1998">
            <v>0</v>
          </cell>
          <cell r="I1998">
            <v>0</v>
          </cell>
          <cell r="J1998" t="str">
            <v>X</v>
          </cell>
          <cell r="K1998">
            <v>1172110.0800000026</v>
          </cell>
          <cell r="L1998">
            <v>1172110.0800000026</v>
          </cell>
          <cell r="M1998" t="e">
            <v>#N/A</v>
          </cell>
        </row>
        <row r="1999">
          <cell r="C1999" t="e">
            <v>#N/A</v>
          </cell>
          <cell r="E1999" t="e">
            <v>#N/A</v>
          </cell>
          <cell r="F1999" t="e">
            <v>#N/A</v>
          </cell>
          <cell r="G1999" t="e">
            <v>#N/A</v>
          </cell>
          <cell r="H1999">
            <v>0</v>
          </cell>
          <cell r="I1999">
            <v>0</v>
          </cell>
          <cell r="J1999" t="str">
            <v>X</v>
          </cell>
          <cell r="K1999">
            <v>1172110.0800000026</v>
          </cell>
          <cell r="L1999">
            <v>1172110.0800000026</v>
          </cell>
          <cell r="M1999" t="e">
            <v>#N/A</v>
          </cell>
        </row>
        <row r="2000">
          <cell r="C2000" t="e">
            <v>#N/A</v>
          </cell>
          <cell r="E2000" t="e">
            <v>#N/A</v>
          </cell>
          <cell r="F2000" t="e">
            <v>#N/A</v>
          </cell>
          <cell r="G2000" t="e">
            <v>#N/A</v>
          </cell>
          <cell r="H2000">
            <v>0</v>
          </cell>
          <cell r="I2000">
            <v>0</v>
          </cell>
          <cell r="J2000" t="str">
            <v>X</v>
          </cell>
          <cell r="K2000">
            <v>1172110.0800000026</v>
          </cell>
          <cell r="L2000">
            <v>1172110.0800000026</v>
          </cell>
          <cell r="M2000" t="e">
            <v>#N/A</v>
          </cell>
        </row>
        <row r="2001">
          <cell r="C2001" t="e">
            <v>#N/A</v>
          </cell>
          <cell r="E2001" t="e">
            <v>#N/A</v>
          </cell>
          <cell r="F2001" t="e">
            <v>#N/A</v>
          </cell>
          <cell r="G2001" t="e">
            <v>#N/A</v>
          </cell>
          <cell r="H2001">
            <v>0</v>
          </cell>
          <cell r="I2001">
            <v>0</v>
          </cell>
          <cell r="J2001" t="str">
            <v>X</v>
          </cell>
          <cell r="K2001">
            <v>1172110.0800000026</v>
          </cell>
          <cell r="L2001">
            <v>1172110.0800000026</v>
          </cell>
          <cell r="M2001" t="e">
            <v>#N/A</v>
          </cell>
        </row>
        <row r="2002">
          <cell r="C2002" t="e">
            <v>#N/A</v>
          </cell>
          <cell r="E2002" t="e">
            <v>#N/A</v>
          </cell>
          <cell r="F2002" t="e">
            <v>#N/A</v>
          </cell>
          <cell r="G2002" t="e">
            <v>#N/A</v>
          </cell>
          <cell r="H2002">
            <v>0</v>
          </cell>
          <cell r="I2002">
            <v>0</v>
          </cell>
          <cell r="J2002" t="str">
            <v>X</v>
          </cell>
          <cell r="K2002">
            <v>1172110.0800000026</v>
          </cell>
          <cell r="L2002">
            <v>1172110.0800000026</v>
          </cell>
          <cell r="M2002" t="e">
            <v>#N/A</v>
          </cell>
        </row>
        <row r="2003">
          <cell r="C2003" t="e">
            <v>#N/A</v>
          </cell>
          <cell r="E2003" t="e">
            <v>#N/A</v>
          </cell>
          <cell r="F2003" t="e">
            <v>#N/A</v>
          </cell>
          <cell r="G2003" t="e">
            <v>#N/A</v>
          </cell>
          <cell r="H2003">
            <v>0</v>
          </cell>
          <cell r="I2003">
            <v>0</v>
          </cell>
          <cell r="J2003" t="str">
            <v>X</v>
          </cell>
          <cell r="K2003">
            <v>1172110.0800000026</v>
          </cell>
          <cell r="L2003">
            <v>1172110.0800000026</v>
          </cell>
          <cell r="M2003" t="e">
            <v>#N/A</v>
          </cell>
        </row>
        <row r="2004">
          <cell r="C2004" t="e">
            <v>#N/A</v>
          </cell>
          <cell r="E2004" t="e">
            <v>#N/A</v>
          </cell>
          <cell r="F2004" t="e">
            <v>#N/A</v>
          </cell>
          <cell r="G2004" t="e">
            <v>#N/A</v>
          </cell>
          <cell r="H2004">
            <v>0</v>
          </cell>
          <cell r="I2004">
            <v>0</v>
          </cell>
          <cell r="J2004" t="str">
            <v>X</v>
          </cell>
          <cell r="K2004">
            <v>1172110.0800000026</v>
          </cell>
          <cell r="L2004">
            <v>1172110.0800000026</v>
          </cell>
          <cell r="M2004" t="e">
            <v>#N/A</v>
          </cell>
        </row>
        <row r="2005">
          <cell r="C2005" t="e">
            <v>#N/A</v>
          </cell>
          <cell r="E2005" t="e">
            <v>#N/A</v>
          </cell>
          <cell r="F2005" t="e">
            <v>#N/A</v>
          </cell>
          <cell r="G2005" t="e">
            <v>#N/A</v>
          </cell>
          <cell r="H2005">
            <v>0</v>
          </cell>
          <cell r="I2005">
            <v>0</v>
          </cell>
          <cell r="J2005" t="str">
            <v>X</v>
          </cell>
          <cell r="K2005">
            <v>1172110.0800000026</v>
          </cell>
          <cell r="L2005">
            <v>1172110.0800000026</v>
          </cell>
          <cell r="M2005" t="e">
            <v>#N/A</v>
          </cell>
        </row>
        <row r="2006">
          <cell r="C2006" t="e">
            <v>#N/A</v>
          </cell>
          <cell r="E2006" t="e">
            <v>#N/A</v>
          </cell>
          <cell r="F2006" t="e">
            <v>#N/A</v>
          </cell>
          <cell r="G2006" t="e">
            <v>#N/A</v>
          </cell>
          <cell r="H2006">
            <v>0</v>
          </cell>
          <cell r="I2006">
            <v>0</v>
          </cell>
          <cell r="J2006" t="str">
            <v>X</v>
          </cell>
          <cell r="K2006">
            <v>1172110.0800000026</v>
          </cell>
          <cell r="L2006">
            <v>1172110.0800000026</v>
          </cell>
          <cell r="M2006" t="e">
            <v>#N/A</v>
          </cell>
        </row>
        <row r="2007">
          <cell r="C2007" t="e">
            <v>#N/A</v>
          </cell>
          <cell r="E2007" t="e">
            <v>#N/A</v>
          </cell>
          <cell r="F2007" t="e">
            <v>#N/A</v>
          </cell>
          <cell r="G2007" t="e">
            <v>#N/A</v>
          </cell>
          <cell r="H2007">
            <v>0</v>
          </cell>
          <cell r="I2007">
            <v>0</v>
          </cell>
          <cell r="J2007" t="str">
            <v>X</v>
          </cell>
          <cell r="K2007">
            <v>1172110.0800000026</v>
          </cell>
          <cell r="L2007">
            <v>1172110.0800000026</v>
          </cell>
          <cell r="M2007" t="e">
            <v>#N/A</v>
          </cell>
        </row>
        <row r="2008">
          <cell r="C2008" t="e">
            <v>#N/A</v>
          </cell>
          <cell r="E2008" t="e">
            <v>#N/A</v>
          </cell>
          <cell r="F2008" t="e">
            <v>#N/A</v>
          </cell>
          <cell r="G2008" t="e">
            <v>#N/A</v>
          </cell>
          <cell r="H2008">
            <v>0</v>
          </cell>
          <cell r="I2008">
            <v>0</v>
          </cell>
          <cell r="J2008" t="str">
            <v>X</v>
          </cell>
          <cell r="K2008">
            <v>1172110.0800000026</v>
          </cell>
          <cell r="L2008">
            <v>1172110.0800000026</v>
          </cell>
          <cell r="M2008" t="e">
            <v>#N/A</v>
          </cell>
        </row>
        <row r="2009">
          <cell r="C2009" t="e">
            <v>#N/A</v>
          </cell>
          <cell r="E2009" t="e">
            <v>#N/A</v>
          </cell>
          <cell r="F2009" t="e">
            <v>#N/A</v>
          </cell>
          <cell r="G2009" t="e">
            <v>#N/A</v>
          </cell>
          <cell r="H2009">
            <v>0</v>
          </cell>
          <cell r="I2009">
            <v>0</v>
          </cell>
          <cell r="J2009" t="str">
            <v>X</v>
          </cell>
          <cell r="K2009">
            <v>1172110.0800000026</v>
          </cell>
          <cell r="L2009">
            <v>1172110.0800000026</v>
          </cell>
          <cell r="M2009" t="e">
            <v>#N/A</v>
          </cell>
        </row>
        <row r="2010">
          <cell r="C2010" t="e">
            <v>#N/A</v>
          </cell>
          <cell r="E2010" t="e">
            <v>#N/A</v>
          </cell>
          <cell r="F2010" t="e">
            <v>#N/A</v>
          </cell>
          <cell r="G2010" t="e">
            <v>#N/A</v>
          </cell>
          <cell r="H2010">
            <v>0</v>
          </cell>
          <cell r="I2010">
            <v>0</v>
          </cell>
          <cell r="J2010" t="str">
            <v>X</v>
          </cell>
          <cell r="K2010">
            <v>1172110.0800000026</v>
          </cell>
          <cell r="L2010">
            <v>1172110.0800000026</v>
          </cell>
          <cell r="M2010" t="e">
            <v>#N/A</v>
          </cell>
        </row>
        <row r="2011">
          <cell r="C2011" t="e">
            <v>#N/A</v>
          </cell>
          <cell r="E2011" t="e">
            <v>#N/A</v>
          </cell>
          <cell r="F2011" t="e">
            <v>#N/A</v>
          </cell>
          <cell r="G2011" t="e">
            <v>#N/A</v>
          </cell>
          <cell r="H2011">
            <v>0</v>
          </cell>
          <cell r="I2011">
            <v>0</v>
          </cell>
          <cell r="J2011" t="str">
            <v>X</v>
          </cell>
          <cell r="K2011">
            <v>1172110.0800000026</v>
          </cell>
          <cell r="L2011">
            <v>1172110.0800000026</v>
          </cell>
          <cell r="M2011" t="e">
            <v>#N/A</v>
          </cell>
        </row>
        <row r="2012">
          <cell r="C2012" t="e">
            <v>#N/A</v>
          </cell>
          <cell r="E2012" t="e">
            <v>#N/A</v>
          </cell>
          <cell r="F2012" t="e">
            <v>#N/A</v>
          </cell>
          <cell r="G2012" t="e">
            <v>#N/A</v>
          </cell>
          <cell r="H2012">
            <v>0</v>
          </cell>
          <cell r="I2012">
            <v>0</v>
          </cell>
          <cell r="J2012" t="str">
            <v>X</v>
          </cell>
          <cell r="K2012">
            <v>1172110.0800000026</v>
          </cell>
          <cell r="L2012">
            <v>1172110.0800000026</v>
          </cell>
          <cell r="M2012" t="e">
            <v>#N/A</v>
          </cell>
        </row>
        <row r="2013">
          <cell r="C2013" t="e">
            <v>#N/A</v>
          </cell>
          <cell r="E2013" t="e">
            <v>#N/A</v>
          </cell>
          <cell r="F2013" t="e">
            <v>#N/A</v>
          </cell>
          <cell r="G2013" t="e">
            <v>#N/A</v>
          </cell>
          <cell r="H2013">
            <v>0</v>
          </cell>
          <cell r="I2013">
            <v>0</v>
          </cell>
          <cell r="J2013" t="str">
            <v>X</v>
          </cell>
          <cell r="K2013">
            <v>1172110.0800000026</v>
          </cell>
          <cell r="L2013">
            <v>1172110.0800000026</v>
          </cell>
          <cell r="M2013" t="e">
            <v>#N/A</v>
          </cell>
        </row>
        <row r="2014">
          <cell r="C2014" t="e">
            <v>#N/A</v>
          </cell>
          <cell r="E2014" t="e">
            <v>#N/A</v>
          </cell>
          <cell r="F2014" t="e">
            <v>#N/A</v>
          </cell>
          <cell r="G2014" t="e">
            <v>#N/A</v>
          </cell>
          <cell r="H2014">
            <v>0</v>
          </cell>
          <cell r="I2014">
            <v>0</v>
          </cell>
          <cell r="J2014" t="str">
            <v>X</v>
          </cell>
          <cell r="K2014">
            <v>1172110.0800000026</v>
          </cell>
          <cell r="L2014">
            <v>1172110.0800000026</v>
          </cell>
          <cell r="M2014" t="e">
            <v>#N/A</v>
          </cell>
        </row>
        <row r="2015">
          <cell r="C2015" t="e">
            <v>#N/A</v>
          </cell>
          <cell r="E2015" t="e">
            <v>#N/A</v>
          </cell>
          <cell r="F2015" t="e">
            <v>#N/A</v>
          </cell>
          <cell r="G2015" t="e">
            <v>#N/A</v>
          </cell>
          <cell r="H2015">
            <v>0</v>
          </cell>
          <cell r="I2015">
            <v>0</v>
          </cell>
          <cell r="J2015" t="str">
            <v>X</v>
          </cell>
          <cell r="K2015">
            <v>1172110.0800000026</v>
          </cell>
          <cell r="L2015">
            <v>1172110.0800000026</v>
          </cell>
          <cell r="M2015" t="e">
            <v>#N/A</v>
          </cell>
        </row>
        <row r="2016">
          <cell r="C2016" t="e">
            <v>#N/A</v>
          </cell>
          <cell r="E2016" t="e">
            <v>#N/A</v>
          </cell>
          <cell r="F2016" t="e">
            <v>#N/A</v>
          </cell>
          <cell r="G2016" t="e">
            <v>#N/A</v>
          </cell>
          <cell r="H2016">
            <v>0</v>
          </cell>
          <cell r="I2016">
            <v>0</v>
          </cell>
          <cell r="J2016" t="str">
            <v>X</v>
          </cell>
          <cell r="K2016">
            <v>1172110.0800000026</v>
          </cell>
          <cell r="L2016">
            <v>1172110.0800000026</v>
          </cell>
          <cell r="M2016" t="e">
            <v>#N/A</v>
          </cell>
        </row>
        <row r="2017">
          <cell r="C2017" t="e">
            <v>#N/A</v>
          </cell>
          <cell r="E2017" t="e">
            <v>#N/A</v>
          </cell>
          <cell r="F2017" t="e">
            <v>#N/A</v>
          </cell>
          <cell r="G2017" t="e">
            <v>#N/A</v>
          </cell>
          <cell r="H2017">
            <v>0</v>
          </cell>
          <cell r="I2017">
            <v>0</v>
          </cell>
          <cell r="J2017" t="str">
            <v>X</v>
          </cell>
          <cell r="K2017">
            <v>1172110.0800000026</v>
          </cell>
          <cell r="L2017">
            <v>1172110.0800000026</v>
          </cell>
          <cell r="M2017" t="e">
            <v>#N/A</v>
          </cell>
        </row>
        <row r="2018">
          <cell r="C2018" t="e">
            <v>#N/A</v>
          </cell>
          <cell r="E2018" t="e">
            <v>#N/A</v>
          </cell>
          <cell r="F2018" t="e">
            <v>#N/A</v>
          </cell>
          <cell r="G2018" t="e">
            <v>#N/A</v>
          </cell>
          <cell r="H2018">
            <v>0</v>
          </cell>
          <cell r="I2018">
            <v>0</v>
          </cell>
          <cell r="J2018" t="str">
            <v>X</v>
          </cell>
          <cell r="K2018">
            <v>1172110.0800000026</v>
          </cell>
          <cell r="L2018">
            <v>1172110.0800000026</v>
          </cell>
          <cell r="M2018" t="e">
            <v>#N/A</v>
          </cell>
        </row>
        <row r="2019">
          <cell r="C2019" t="e">
            <v>#N/A</v>
          </cell>
          <cell r="E2019" t="e">
            <v>#N/A</v>
          </cell>
          <cell r="F2019" t="e">
            <v>#N/A</v>
          </cell>
          <cell r="G2019" t="e">
            <v>#N/A</v>
          </cell>
          <cell r="H2019">
            <v>0</v>
          </cell>
          <cell r="I2019">
            <v>0</v>
          </cell>
          <cell r="J2019" t="str">
            <v>X</v>
          </cell>
          <cell r="K2019">
            <v>1172110.0800000026</v>
          </cell>
          <cell r="L2019">
            <v>1172110.0800000026</v>
          </cell>
          <cell r="M2019" t="e">
            <v>#N/A</v>
          </cell>
        </row>
        <row r="2020">
          <cell r="C2020" t="e">
            <v>#N/A</v>
          </cell>
          <cell r="E2020" t="e">
            <v>#N/A</v>
          </cell>
          <cell r="F2020" t="e">
            <v>#N/A</v>
          </cell>
          <cell r="G2020" t="e">
            <v>#N/A</v>
          </cell>
          <cell r="H2020">
            <v>0</v>
          </cell>
          <cell r="I2020">
            <v>0</v>
          </cell>
          <cell r="J2020" t="str">
            <v>X</v>
          </cell>
          <cell r="K2020">
            <v>1172110.0800000026</v>
          </cell>
          <cell r="L2020">
            <v>1172110.0800000026</v>
          </cell>
          <cell r="M2020" t="e">
            <v>#N/A</v>
          </cell>
        </row>
        <row r="2021">
          <cell r="C2021" t="e">
            <v>#N/A</v>
          </cell>
          <cell r="E2021" t="e">
            <v>#N/A</v>
          </cell>
          <cell r="F2021" t="e">
            <v>#N/A</v>
          </cell>
          <cell r="G2021" t="e">
            <v>#N/A</v>
          </cell>
          <cell r="H2021">
            <v>0</v>
          </cell>
          <cell r="I2021">
            <v>0</v>
          </cell>
          <cell r="J2021" t="str">
            <v>X</v>
          </cell>
          <cell r="K2021">
            <v>1172110.0800000026</v>
          </cell>
          <cell r="L2021">
            <v>1172110.0800000026</v>
          </cell>
          <cell r="M2021" t="e">
            <v>#N/A</v>
          </cell>
        </row>
        <row r="2022">
          <cell r="C2022" t="e">
            <v>#N/A</v>
          </cell>
          <cell r="E2022" t="e">
            <v>#N/A</v>
          </cell>
          <cell r="F2022" t="e">
            <v>#N/A</v>
          </cell>
          <cell r="G2022" t="e">
            <v>#N/A</v>
          </cell>
          <cell r="H2022">
            <v>0</v>
          </cell>
          <cell r="I2022">
            <v>0</v>
          </cell>
          <cell r="J2022" t="str">
            <v>X</v>
          </cell>
          <cell r="K2022">
            <v>1172110.0800000026</v>
          </cell>
          <cell r="L2022">
            <v>1172110.0800000026</v>
          </cell>
          <cell r="M2022" t="e">
            <v>#N/A</v>
          </cell>
        </row>
        <row r="2023">
          <cell r="C2023" t="e">
            <v>#N/A</v>
          </cell>
          <cell r="E2023" t="e">
            <v>#N/A</v>
          </cell>
          <cell r="F2023" t="e">
            <v>#N/A</v>
          </cell>
          <cell r="G2023" t="e">
            <v>#N/A</v>
          </cell>
          <cell r="H2023">
            <v>0</v>
          </cell>
          <cell r="I2023">
            <v>0</v>
          </cell>
          <cell r="J2023" t="str">
            <v>X</v>
          </cell>
          <cell r="K2023">
            <v>1172110.0800000026</v>
          </cell>
          <cell r="L2023">
            <v>1172110.0800000026</v>
          </cell>
          <cell r="M2023" t="e">
            <v>#N/A</v>
          </cell>
        </row>
        <row r="2024">
          <cell r="C2024" t="e">
            <v>#N/A</v>
          </cell>
          <cell r="E2024" t="e">
            <v>#N/A</v>
          </cell>
          <cell r="F2024" t="e">
            <v>#N/A</v>
          </cell>
          <cell r="G2024" t="e">
            <v>#N/A</v>
          </cell>
          <cell r="H2024">
            <v>0</v>
          </cell>
          <cell r="I2024">
            <v>0</v>
          </cell>
          <cell r="J2024" t="str">
            <v>X</v>
          </cell>
          <cell r="K2024">
            <v>1172110.0800000026</v>
          </cell>
          <cell r="L2024">
            <v>1172110.0800000026</v>
          </cell>
          <cell r="M2024" t="e">
            <v>#N/A</v>
          </cell>
        </row>
        <row r="2025">
          <cell r="C2025" t="e">
            <v>#N/A</v>
          </cell>
          <cell r="E2025" t="e">
            <v>#N/A</v>
          </cell>
          <cell r="F2025" t="e">
            <v>#N/A</v>
          </cell>
          <cell r="G2025" t="e">
            <v>#N/A</v>
          </cell>
          <cell r="H2025">
            <v>0</v>
          </cell>
          <cell r="I2025">
            <v>0</v>
          </cell>
          <cell r="J2025" t="str">
            <v>X</v>
          </cell>
          <cell r="K2025">
            <v>1172110.0800000026</v>
          </cell>
          <cell r="L2025">
            <v>1172110.0800000026</v>
          </cell>
          <cell r="M2025" t="e">
            <v>#N/A</v>
          </cell>
        </row>
        <row r="2026">
          <cell r="C2026" t="e">
            <v>#N/A</v>
          </cell>
          <cell r="E2026" t="e">
            <v>#N/A</v>
          </cell>
          <cell r="F2026" t="e">
            <v>#N/A</v>
          </cell>
          <cell r="G2026" t="e">
            <v>#N/A</v>
          </cell>
          <cell r="H2026">
            <v>0</v>
          </cell>
          <cell r="I2026">
            <v>0</v>
          </cell>
          <cell r="J2026" t="str">
            <v>X</v>
          </cell>
          <cell r="K2026">
            <v>1172110.0800000026</v>
          </cell>
          <cell r="L2026">
            <v>1172110.0800000026</v>
          </cell>
          <cell r="M2026" t="e">
            <v>#N/A</v>
          </cell>
        </row>
        <row r="2027">
          <cell r="C2027" t="e">
            <v>#N/A</v>
          </cell>
          <cell r="E2027" t="e">
            <v>#N/A</v>
          </cell>
          <cell r="F2027" t="e">
            <v>#N/A</v>
          </cell>
          <cell r="G2027" t="e">
            <v>#N/A</v>
          </cell>
          <cell r="H2027">
            <v>0</v>
          </cell>
          <cell r="I2027">
            <v>0</v>
          </cell>
          <cell r="J2027" t="str">
            <v>X</v>
          </cell>
          <cell r="K2027">
            <v>1172110.0800000026</v>
          </cell>
          <cell r="L2027">
            <v>1172110.0800000026</v>
          </cell>
          <cell r="M2027" t="e">
            <v>#N/A</v>
          </cell>
        </row>
        <row r="2028">
          <cell r="C2028" t="e">
            <v>#N/A</v>
          </cell>
          <cell r="E2028" t="e">
            <v>#N/A</v>
          </cell>
          <cell r="F2028" t="e">
            <v>#N/A</v>
          </cell>
          <cell r="G2028" t="e">
            <v>#N/A</v>
          </cell>
          <cell r="H2028">
            <v>0</v>
          </cell>
          <cell r="I2028">
            <v>0</v>
          </cell>
          <cell r="J2028" t="str">
            <v>X</v>
          </cell>
          <cell r="K2028">
            <v>1172110.0800000026</v>
          </cell>
          <cell r="L2028">
            <v>1172110.0800000026</v>
          </cell>
          <cell r="M2028" t="e">
            <v>#N/A</v>
          </cell>
        </row>
        <row r="2029">
          <cell r="C2029" t="e">
            <v>#N/A</v>
          </cell>
          <cell r="E2029" t="e">
            <v>#N/A</v>
          </cell>
          <cell r="F2029" t="e">
            <v>#N/A</v>
          </cell>
          <cell r="G2029" t="e">
            <v>#N/A</v>
          </cell>
          <cell r="H2029">
            <v>0</v>
          </cell>
          <cell r="I2029">
            <v>0</v>
          </cell>
          <cell r="J2029" t="str">
            <v>X</v>
          </cell>
          <cell r="K2029">
            <v>1172110.0800000026</v>
          </cell>
          <cell r="L2029">
            <v>1172110.0800000026</v>
          </cell>
          <cell r="M2029" t="e">
            <v>#N/A</v>
          </cell>
        </row>
        <row r="2030">
          <cell r="C2030" t="e">
            <v>#N/A</v>
          </cell>
          <cell r="E2030" t="e">
            <v>#N/A</v>
          </cell>
          <cell r="F2030" t="e">
            <v>#N/A</v>
          </cell>
          <cell r="G2030" t="e">
            <v>#N/A</v>
          </cell>
          <cell r="H2030">
            <v>0</v>
          </cell>
          <cell r="I2030">
            <v>0</v>
          </cell>
          <cell r="J2030" t="str">
            <v>X</v>
          </cell>
          <cell r="K2030">
            <v>1172110.0800000026</v>
          </cell>
          <cell r="L2030">
            <v>1172110.0800000026</v>
          </cell>
          <cell r="M2030" t="e">
            <v>#N/A</v>
          </cell>
        </row>
        <row r="2031">
          <cell r="C2031" t="e">
            <v>#N/A</v>
          </cell>
          <cell r="E2031" t="e">
            <v>#N/A</v>
          </cell>
          <cell r="F2031" t="e">
            <v>#N/A</v>
          </cell>
          <cell r="G2031" t="e">
            <v>#N/A</v>
          </cell>
          <cell r="H2031">
            <v>0</v>
          </cell>
          <cell r="I2031">
            <v>0</v>
          </cell>
          <cell r="J2031" t="str">
            <v>X</v>
          </cell>
          <cell r="K2031">
            <v>1172110.0800000026</v>
          </cell>
          <cell r="L2031">
            <v>1172110.0800000026</v>
          </cell>
          <cell r="M2031" t="e">
            <v>#N/A</v>
          </cell>
        </row>
        <row r="2032">
          <cell r="C2032" t="e">
            <v>#N/A</v>
          </cell>
          <cell r="E2032" t="e">
            <v>#N/A</v>
          </cell>
          <cell r="F2032" t="e">
            <v>#N/A</v>
          </cell>
          <cell r="G2032" t="e">
            <v>#N/A</v>
          </cell>
          <cell r="H2032">
            <v>0</v>
          </cell>
          <cell r="I2032">
            <v>0</v>
          </cell>
          <cell r="J2032" t="str">
            <v>X</v>
          </cell>
          <cell r="K2032">
            <v>1172110.0800000026</v>
          </cell>
          <cell r="L2032">
            <v>1172110.0800000026</v>
          </cell>
          <cell r="M2032" t="e">
            <v>#N/A</v>
          </cell>
        </row>
        <row r="2033">
          <cell r="C2033" t="e">
            <v>#N/A</v>
          </cell>
          <cell r="E2033" t="e">
            <v>#N/A</v>
          </cell>
          <cell r="F2033" t="e">
            <v>#N/A</v>
          </cell>
          <cell r="G2033" t="e">
            <v>#N/A</v>
          </cell>
          <cell r="H2033">
            <v>0</v>
          </cell>
          <cell r="I2033">
            <v>0</v>
          </cell>
          <cell r="J2033" t="str">
            <v>X</v>
          </cell>
          <cell r="K2033">
            <v>1172110.0800000026</v>
          </cell>
          <cell r="L2033">
            <v>1172110.0800000026</v>
          </cell>
          <cell r="M2033" t="e">
            <v>#N/A</v>
          </cell>
        </row>
        <row r="2034">
          <cell r="C2034" t="e">
            <v>#N/A</v>
          </cell>
          <cell r="E2034" t="e">
            <v>#N/A</v>
          </cell>
          <cell r="F2034" t="e">
            <v>#N/A</v>
          </cell>
          <cell r="G2034" t="e">
            <v>#N/A</v>
          </cell>
          <cell r="H2034">
            <v>0</v>
          </cell>
          <cell r="I2034">
            <v>0</v>
          </cell>
          <cell r="J2034" t="str">
            <v>X</v>
          </cell>
          <cell r="K2034">
            <v>1172110.0800000026</v>
          </cell>
          <cell r="L2034">
            <v>1172110.0800000026</v>
          </cell>
          <cell r="M2034" t="e">
            <v>#N/A</v>
          </cell>
        </row>
        <row r="2035">
          <cell r="C2035" t="e">
            <v>#N/A</v>
          </cell>
          <cell r="E2035" t="e">
            <v>#N/A</v>
          </cell>
          <cell r="F2035" t="e">
            <v>#N/A</v>
          </cell>
          <cell r="G2035" t="e">
            <v>#N/A</v>
          </cell>
          <cell r="H2035">
            <v>0</v>
          </cell>
          <cell r="I2035">
            <v>0</v>
          </cell>
          <cell r="J2035" t="str">
            <v>X</v>
          </cell>
          <cell r="K2035">
            <v>1172110.0800000026</v>
          </cell>
          <cell r="L2035">
            <v>1172110.0800000026</v>
          </cell>
          <cell r="M2035" t="e">
            <v>#N/A</v>
          </cell>
        </row>
        <row r="2036">
          <cell r="C2036" t="e">
            <v>#N/A</v>
          </cell>
          <cell r="E2036" t="e">
            <v>#N/A</v>
          </cell>
          <cell r="F2036" t="e">
            <v>#N/A</v>
          </cell>
          <cell r="G2036" t="e">
            <v>#N/A</v>
          </cell>
          <cell r="H2036">
            <v>0</v>
          </cell>
          <cell r="I2036">
            <v>0</v>
          </cell>
          <cell r="J2036" t="str">
            <v>X</v>
          </cell>
          <cell r="K2036">
            <v>1172110.0800000026</v>
          </cell>
          <cell r="L2036">
            <v>1172110.0800000026</v>
          </cell>
          <cell r="M2036" t="e">
            <v>#N/A</v>
          </cell>
        </row>
        <row r="2037">
          <cell r="C2037" t="e">
            <v>#N/A</v>
          </cell>
          <cell r="E2037" t="e">
            <v>#N/A</v>
          </cell>
          <cell r="F2037" t="e">
            <v>#N/A</v>
          </cell>
          <cell r="G2037" t="e">
            <v>#N/A</v>
          </cell>
          <cell r="H2037">
            <v>0</v>
          </cell>
          <cell r="I2037">
            <v>0</v>
          </cell>
          <cell r="J2037" t="str">
            <v>X</v>
          </cell>
          <cell r="K2037">
            <v>1172110.0800000026</v>
          </cell>
          <cell r="L2037">
            <v>1172110.0800000026</v>
          </cell>
          <cell r="M2037" t="e">
            <v>#N/A</v>
          </cell>
        </row>
        <row r="2038">
          <cell r="C2038" t="e">
            <v>#N/A</v>
          </cell>
          <cell r="E2038" t="e">
            <v>#N/A</v>
          </cell>
          <cell r="F2038" t="e">
            <v>#N/A</v>
          </cell>
          <cell r="G2038" t="e">
            <v>#N/A</v>
          </cell>
          <cell r="H2038">
            <v>0</v>
          </cell>
          <cell r="I2038">
            <v>0</v>
          </cell>
          <cell r="J2038" t="str">
            <v>X</v>
          </cell>
          <cell r="K2038">
            <v>1172110.0800000026</v>
          </cell>
          <cell r="L2038">
            <v>1172110.0800000026</v>
          </cell>
          <cell r="M2038" t="e">
            <v>#N/A</v>
          </cell>
        </row>
        <row r="2039">
          <cell r="C2039" t="e">
            <v>#N/A</v>
          </cell>
          <cell r="E2039" t="e">
            <v>#N/A</v>
          </cell>
          <cell r="F2039" t="e">
            <v>#N/A</v>
          </cell>
          <cell r="G2039" t="e">
            <v>#N/A</v>
          </cell>
          <cell r="H2039">
            <v>0</v>
          </cell>
          <cell r="I2039">
            <v>0</v>
          </cell>
          <cell r="J2039" t="str">
            <v>X</v>
          </cell>
          <cell r="K2039">
            <v>1172110.0800000026</v>
          </cell>
          <cell r="L2039">
            <v>1172110.0800000026</v>
          </cell>
          <cell r="M2039" t="e">
            <v>#N/A</v>
          </cell>
        </row>
        <row r="2040">
          <cell r="C2040" t="e">
            <v>#N/A</v>
          </cell>
          <cell r="E2040" t="e">
            <v>#N/A</v>
          </cell>
          <cell r="F2040" t="e">
            <v>#N/A</v>
          </cell>
          <cell r="G2040" t="e">
            <v>#N/A</v>
          </cell>
          <cell r="H2040">
            <v>0</v>
          </cell>
          <cell r="I2040">
            <v>0</v>
          </cell>
          <cell r="J2040" t="str">
            <v>X</v>
          </cell>
          <cell r="K2040">
            <v>1172110.0800000026</v>
          </cell>
          <cell r="L2040">
            <v>1172110.0800000026</v>
          </cell>
          <cell r="M2040" t="e">
            <v>#N/A</v>
          </cell>
        </row>
        <row r="2041">
          <cell r="C2041" t="e">
            <v>#N/A</v>
          </cell>
          <cell r="E2041" t="e">
            <v>#N/A</v>
          </cell>
          <cell r="F2041" t="e">
            <v>#N/A</v>
          </cell>
          <cell r="G2041" t="e">
            <v>#N/A</v>
          </cell>
          <cell r="H2041">
            <v>0</v>
          </cell>
          <cell r="I2041">
            <v>0</v>
          </cell>
          <cell r="J2041" t="str">
            <v>X</v>
          </cell>
          <cell r="K2041">
            <v>1172110.0800000026</v>
          </cell>
          <cell r="L2041">
            <v>1172110.0800000026</v>
          </cell>
          <cell r="M2041" t="e">
            <v>#N/A</v>
          </cell>
        </row>
        <row r="2042">
          <cell r="C2042" t="e">
            <v>#N/A</v>
          </cell>
          <cell r="E2042" t="e">
            <v>#N/A</v>
          </cell>
          <cell r="F2042" t="e">
            <v>#N/A</v>
          </cell>
          <cell r="G2042" t="e">
            <v>#N/A</v>
          </cell>
          <cell r="H2042">
            <v>0</v>
          </cell>
          <cell r="I2042">
            <v>0</v>
          </cell>
          <cell r="J2042" t="str">
            <v>X</v>
          </cell>
          <cell r="K2042">
            <v>1172110.0800000026</v>
          </cell>
          <cell r="L2042">
            <v>1172110.0800000026</v>
          </cell>
          <cell r="M2042" t="e">
            <v>#N/A</v>
          </cell>
        </row>
        <row r="2043">
          <cell r="C2043" t="e">
            <v>#N/A</v>
          </cell>
          <cell r="E2043" t="e">
            <v>#N/A</v>
          </cell>
          <cell r="F2043" t="e">
            <v>#N/A</v>
          </cell>
          <cell r="G2043" t="e">
            <v>#N/A</v>
          </cell>
          <cell r="H2043">
            <v>0</v>
          </cell>
          <cell r="I2043">
            <v>0</v>
          </cell>
          <cell r="J2043" t="str">
            <v>X</v>
          </cell>
          <cell r="K2043">
            <v>1172110.0800000026</v>
          </cell>
          <cell r="L2043">
            <v>1172110.0800000026</v>
          </cell>
          <cell r="M2043" t="e">
            <v>#N/A</v>
          </cell>
        </row>
        <row r="2044">
          <cell r="C2044" t="e">
            <v>#N/A</v>
          </cell>
          <cell r="E2044" t="e">
            <v>#N/A</v>
          </cell>
          <cell r="F2044" t="e">
            <v>#N/A</v>
          </cell>
          <cell r="G2044" t="e">
            <v>#N/A</v>
          </cell>
          <cell r="H2044">
            <v>0</v>
          </cell>
          <cell r="I2044">
            <v>0</v>
          </cell>
          <cell r="J2044" t="str">
            <v>X</v>
          </cell>
          <cell r="K2044">
            <v>1172110.0800000026</v>
          </cell>
          <cell r="L2044">
            <v>1172110.0800000026</v>
          </cell>
          <cell r="M2044" t="e">
            <v>#N/A</v>
          </cell>
        </row>
        <row r="2045">
          <cell r="C2045" t="e">
            <v>#N/A</v>
          </cell>
          <cell r="E2045" t="e">
            <v>#N/A</v>
          </cell>
          <cell r="F2045" t="e">
            <v>#N/A</v>
          </cell>
          <cell r="G2045" t="e">
            <v>#N/A</v>
          </cell>
          <cell r="H2045">
            <v>0</v>
          </cell>
          <cell r="I2045">
            <v>0</v>
          </cell>
          <cell r="J2045" t="str">
            <v>X</v>
          </cell>
          <cell r="K2045">
            <v>1172110.0800000026</v>
          </cell>
          <cell r="L2045">
            <v>1172110.0800000026</v>
          </cell>
          <cell r="M2045" t="e">
            <v>#N/A</v>
          </cell>
        </row>
        <row r="2046">
          <cell r="C2046" t="e">
            <v>#N/A</v>
          </cell>
          <cell r="E2046" t="e">
            <v>#N/A</v>
          </cell>
          <cell r="F2046" t="e">
            <v>#N/A</v>
          </cell>
          <cell r="G2046" t="e">
            <v>#N/A</v>
          </cell>
          <cell r="H2046">
            <v>0</v>
          </cell>
          <cell r="I2046">
            <v>0</v>
          </cell>
          <cell r="J2046" t="str">
            <v>X</v>
          </cell>
          <cell r="K2046">
            <v>1172110.0800000026</v>
          </cell>
          <cell r="L2046">
            <v>1172110.0800000026</v>
          </cell>
          <cell r="M2046" t="e">
            <v>#N/A</v>
          </cell>
        </row>
        <row r="2047">
          <cell r="C2047" t="e">
            <v>#N/A</v>
          </cell>
          <cell r="E2047" t="e">
            <v>#N/A</v>
          </cell>
          <cell r="F2047" t="e">
            <v>#N/A</v>
          </cell>
          <cell r="G2047" t="e">
            <v>#N/A</v>
          </cell>
          <cell r="H2047">
            <v>0</v>
          </cell>
          <cell r="I2047">
            <v>0</v>
          </cell>
          <cell r="J2047" t="str">
            <v>X</v>
          </cell>
          <cell r="K2047">
            <v>1172110.0800000026</v>
          </cell>
          <cell r="L2047">
            <v>1172110.0800000026</v>
          </cell>
          <cell r="M2047" t="e">
            <v>#N/A</v>
          </cell>
        </row>
        <row r="2048">
          <cell r="C2048" t="e">
            <v>#N/A</v>
          </cell>
          <cell r="E2048" t="e">
            <v>#N/A</v>
          </cell>
          <cell r="F2048" t="e">
            <v>#N/A</v>
          </cell>
          <cell r="G2048" t="e">
            <v>#N/A</v>
          </cell>
          <cell r="H2048">
            <v>0</v>
          </cell>
          <cell r="I2048">
            <v>0</v>
          </cell>
          <cell r="J2048" t="str">
            <v>X</v>
          </cell>
          <cell r="K2048">
            <v>1172110.0800000026</v>
          </cell>
          <cell r="L2048">
            <v>1172110.0800000026</v>
          </cell>
          <cell r="M2048" t="e">
            <v>#N/A</v>
          </cell>
        </row>
        <row r="2049">
          <cell r="C2049" t="e">
            <v>#N/A</v>
          </cell>
          <cell r="E2049" t="e">
            <v>#N/A</v>
          </cell>
          <cell r="F2049" t="e">
            <v>#N/A</v>
          </cell>
          <cell r="G2049" t="e">
            <v>#N/A</v>
          </cell>
          <cell r="H2049">
            <v>0</v>
          </cell>
          <cell r="I2049">
            <v>0</v>
          </cell>
          <cell r="J2049" t="str">
            <v>X</v>
          </cell>
          <cell r="K2049">
            <v>1172110.0800000026</v>
          </cell>
          <cell r="L2049">
            <v>1172110.0800000026</v>
          </cell>
          <cell r="M2049" t="e">
            <v>#N/A</v>
          </cell>
        </row>
        <row r="2050">
          <cell r="C2050" t="e">
            <v>#N/A</v>
          </cell>
          <cell r="E2050" t="e">
            <v>#N/A</v>
          </cell>
          <cell r="F2050" t="e">
            <v>#N/A</v>
          </cell>
          <cell r="G2050" t="e">
            <v>#N/A</v>
          </cell>
          <cell r="H2050">
            <v>0</v>
          </cell>
          <cell r="I2050">
            <v>0</v>
          </cell>
          <cell r="J2050" t="str">
            <v>X</v>
          </cell>
          <cell r="K2050">
            <v>1172110.0800000026</v>
          </cell>
          <cell r="L2050">
            <v>1172110.0800000026</v>
          </cell>
          <cell r="M2050" t="e">
            <v>#N/A</v>
          </cell>
        </row>
        <row r="2051">
          <cell r="C2051" t="e">
            <v>#N/A</v>
          </cell>
          <cell r="E2051" t="e">
            <v>#N/A</v>
          </cell>
          <cell r="F2051" t="e">
            <v>#N/A</v>
          </cell>
          <cell r="G2051" t="e">
            <v>#N/A</v>
          </cell>
          <cell r="H2051">
            <v>0</v>
          </cell>
          <cell r="I2051">
            <v>0</v>
          </cell>
          <cell r="J2051" t="str">
            <v>X</v>
          </cell>
          <cell r="K2051">
            <v>1172110.0800000026</v>
          </cell>
          <cell r="L2051">
            <v>1172110.0800000026</v>
          </cell>
          <cell r="M2051" t="e">
            <v>#N/A</v>
          </cell>
        </row>
        <row r="2052">
          <cell r="C2052" t="e">
            <v>#N/A</v>
          </cell>
          <cell r="E2052" t="e">
            <v>#N/A</v>
          </cell>
          <cell r="F2052" t="e">
            <v>#N/A</v>
          </cell>
          <cell r="G2052" t="e">
            <v>#N/A</v>
          </cell>
          <cell r="H2052">
            <v>0</v>
          </cell>
          <cell r="I2052">
            <v>0</v>
          </cell>
          <cell r="J2052" t="str">
            <v>X</v>
          </cell>
          <cell r="K2052">
            <v>1172110.0800000026</v>
          </cell>
          <cell r="L2052">
            <v>1172110.0800000026</v>
          </cell>
          <cell r="M2052" t="e">
            <v>#N/A</v>
          </cell>
        </row>
        <row r="2053">
          <cell r="C2053" t="e">
            <v>#N/A</v>
          </cell>
          <cell r="E2053" t="e">
            <v>#N/A</v>
          </cell>
          <cell r="F2053" t="e">
            <v>#N/A</v>
          </cell>
          <cell r="G2053" t="e">
            <v>#N/A</v>
          </cell>
          <cell r="H2053">
            <v>0</v>
          </cell>
          <cell r="I2053">
            <v>0</v>
          </cell>
          <cell r="J2053" t="str">
            <v>X</v>
          </cell>
          <cell r="K2053">
            <v>1172110.0800000026</v>
          </cell>
          <cell r="L2053">
            <v>1172110.0800000026</v>
          </cell>
          <cell r="M2053" t="e">
            <v>#N/A</v>
          </cell>
        </row>
        <row r="2054">
          <cell r="C2054" t="e">
            <v>#N/A</v>
          </cell>
          <cell r="E2054" t="e">
            <v>#N/A</v>
          </cell>
          <cell r="F2054" t="e">
            <v>#N/A</v>
          </cell>
          <cell r="G2054" t="e">
            <v>#N/A</v>
          </cell>
          <cell r="H2054">
            <v>0</v>
          </cell>
          <cell r="I2054">
            <v>0</v>
          </cell>
          <cell r="J2054" t="str">
            <v>X</v>
          </cell>
          <cell r="K2054">
            <v>1172110.0800000026</v>
          </cell>
          <cell r="L2054">
            <v>1172110.0800000026</v>
          </cell>
          <cell r="M2054" t="e">
            <v>#N/A</v>
          </cell>
        </row>
        <row r="2055">
          <cell r="C2055" t="e">
            <v>#N/A</v>
          </cell>
          <cell r="E2055" t="e">
            <v>#N/A</v>
          </cell>
          <cell r="F2055" t="e">
            <v>#N/A</v>
          </cell>
          <cell r="G2055" t="e">
            <v>#N/A</v>
          </cell>
          <cell r="H2055">
            <v>0</v>
          </cell>
          <cell r="I2055">
            <v>0</v>
          </cell>
          <cell r="J2055" t="str">
            <v>X</v>
          </cell>
          <cell r="K2055">
            <v>1172110.0800000026</v>
          </cell>
          <cell r="L2055">
            <v>1172110.0800000026</v>
          </cell>
          <cell r="M2055" t="e">
            <v>#N/A</v>
          </cell>
        </row>
        <row r="2056">
          <cell r="C2056" t="e">
            <v>#N/A</v>
          </cell>
          <cell r="E2056" t="e">
            <v>#N/A</v>
          </cell>
          <cell r="F2056" t="e">
            <v>#N/A</v>
          </cell>
          <cell r="G2056" t="e">
            <v>#N/A</v>
          </cell>
          <cell r="H2056">
            <v>0</v>
          </cell>
          <cell r="I2056">
            <v>0</v>
          </cell>
          <cell r="J2056" t="str">
            <v>X</v>
          </cell>
          <cell r="K2056">
            <v>1172110.0800000026</v>
          </cell>
          <cell r="L2056">
            <v>1172110.0800000026</v>
          </cell>
          <cell r="M2056" t="e">
            <v>#N/A</v>
          </cell>
        </row>
        <row r="2057">
          <cell r="C2057" t="e">
            <v>#N/A</v>
          </cell>
          <cell r="E2057" t="e">
            <v>#N/A</v>
          </cell>
          <cell r="F2057" t="e">
            <v>#N/A</v>
          </cell>
          <cell r="G2057" t="e">
            <v>#N/A</v>
          </cell>
          <cell r="H2057">
            <v>0</v>
          </cell>
          <cell r="I2057">
            <v>0</v>
          </cell>
          <cell r="J2057" t="str">
            <v>X</v>
          </cell>
          <cell r="K2057">
            <v>1172110.0800000026</v>
          </cell>
          <cell r="L2057">
            <v>1172110.0800000026</v>
          </cell>
          <cell r="M2057" t="e">
            <v>#N/A</v>
          </cell>
        </row>
        <row r="2058">
          <cell r="C2058" t="e">
            <v>#N/A</v>
          </cell>
          <cell r="E2058" t="e">
            <v>#N/A</v>
          </cell>
          <cell r="F2058" t="e">
            <v>#N/A</v>
          </cell>
          <cell r="G2058" t="e">
            <v>#N/A</v>
          </cell>
          <cell r="H2058">
            <v>0</v>
          </cell>
          <cell r="I2058">
            <v>0</v>
          </cell>
          <cell r="J2058" t="str">
            <v>X</v>
          </cell>
          <cell r="K2058">
            <v>1172110.0800000026</v>
          </cell>
          <cell r="L2058">
            <v>1172110.0800000026</v>
          </cell>
          <cell r="M2058" t="e">
            <v>#N/A</v>
          </cell>
        </row>
        <row r="2059">
          <cell r="C2059" t="e">
            <v>#N/A</v>
          </cell>
          <cell r="E2059" t="e">
            <v>#N/A</v>
          </cell>
          <cell r="F2059" t="e">
            <v>#N/A</v>
          </cell>
          <cell r="G2059" t="e">
            <v>#N/A</v>
          </cell>
          <cell r="H2059">
            <v>0</v>
          </cell>
          <cell r="I2059">
            <v>0</v>
          </cell>
          <cell r="J2059" t="str">
            <v>X</v>
          </cell>
          <cell r="K2059">
            <v>1172110.0800000026</v>
          </cell>
          <cell r="L2059">
            <v>1172110.0800000026</v>
          </cell>
          <cell r="M2059" t="e">
            <v>#N/A</v>
          </cell>
        </row>
        <row r="2060">
          <cell r="C2060" t="e">
            <v>#N/A</v>
          </cell>
          <cell r="E2060" t="e">
            <v>#N/A</v>
          </cell>
          <cell r="F2060" t="e">
            <v>#N/A</v>
          </cell>
          <cell r="G2060" t="e">
            <v>#N/A</v>
          </cell>
          <cell r="H2060">
            <v>0</v>
          </cell>
          <cell r="I2060">
            <v>0</v>
          </cell>
          <cell r="J2060" t="str">
            <v>X</v>
          </cell>
          <cell r="K2060">
            <v>1172110.0800000026</v>
          </cell>
          <cell r="L2060">
            <v>1172110.0800000026</v>
          </cell>
          <cell r="M2060" t="e">
            <v>#N/A</v>
          </cell>
        </row>
        <row r="2061">
          <cell r="C2061" t="e">
            <v>#N/A</v>
          </cell>
          <cell r="E2061" t="e">
            <v>#N/A</v>
          </cell>
          <cell r="F2061" t="e">
            <v>#N/A</v>
          </cell>
          <cell r="G2061" t="e">
            <v>#N/A</v>
          </cell>
          <cell r="H2061">
            <v>0</v>
          </cell>
          <cell r="I2061">
            <v>0</v>
          </cell>
          <cell r="J2061" t="str">
            <v>X</v>
          </cell>
          <cell r="K2061">
            <v>1172110.0800000026</v>
          </cell>
          <cell r="L2061">
            <v>1172110.0800000026</v>
          </cell>
          <cell r="M2061" t="e">
            <v>#N/A</v>
          </cell>
        </row>
        <row r="2062">
          <cell r="C2062" t="e">
            <v>#N/A</v>
          </cell>
          <cell r="E2062" t="e">
            <v>#N/A</v>
          </cell>
          <cell r="F2062" t="e">
            <v>#N/A</v>
          </cell>
          <cell r="G2062" t="e">
            <v>#N/A</v>
          </cell>
          <cell r="H2062">
            <v>0</v>
          </cell>
          <cell r="I2062">
            <v>0</v>
          </cell>
          <cell r="J2062" t="str">
            <v>X</v>
          </cell>
          <cell r="K2062">
            <v>1172110.0800000026</v>
          </cell>
          <cell r="L2062">
            <v>1172110.0800000026</v>
          </cell>
          <cell r="M2062" t="e">
            <v>#N/A</v>
          </cell>
        </row>
        <row r="2063">
          <cell r="C2063" t="e">
            <v>#N/A</v>
          </cell>
          <cell r="E2063" t="e">
            <v>#N/A</v>
          </cell>
          <cell r="F2063" t="e">
            <v>#N/A</v>
          </cell>
          <cell r="G2063" t="e">
            <v>#N/A</v>
          </cell>
          <cell r="H2063">
            <v>0</v>
          </cell>
          <cell r="I2063">
            <v>0</v>
          </cell>
          <cell r="J2063" t="str">
            <v>X</v>
          </cell>
          <cell r="K2063">
            <v>1172110.0800000026</v>
          </cell>
          <cell r="L2063">
            <v>1172110.0800000026</v>
          </cell>
          <cell r="M2063" t="e">
            <v>#N/A</v>
          </cell>
        </row>
        <row r="2064">
          <cell r="C2064" t="e">
            <v>#N/A</v>
          </cell>
          <cell r="E2064" t="e">
            <v>#N/A</v>
          </cell>
          <cell r="F2064" t="e">
            <v>#N/A</v>
          </cell>
          <cell r="G2064" t="e">
            <v>#N/A</v>
          </cell>
          <cell r="H2064">
            <v>0</v>
          </cell>
          <cell r="I2064">
            <v>0</v>
          </cell>
          <cell r="J2064" t="str">
            <v>X</v>
          </cell>
          <cell r="K2064">
            <v>1172110.0800000026</v>
          </cell>
          <cell r="L2064">
            <v>1172110.0800000026</v>
          </cell>
          <cell r="M2064" t="e">
            <v>#N/A</v>
          </cell>
        </row>
        <row r="2065">
          <cell r="C2065" t="e">
            <v>#N/A</v>
          </cell>
          <cell r="E2065" t="e">
            <v>#N/A</v>
          </cell>
          <cell r="F2065" t="e">
            <v>#N/A</v>
          </cell>
          <cell r="G2065" t="e">
            <v>#N/A</v>
          </cell>
          <cell r="H2065">
            <v>0</v>
          </cell>
          <cell r="I2065">
            <v>0</v>
          </cell>
          <cell r="J2065" t="str">
            <v>X</v>
          </cell>
          <cell r="K2065">
            <v>1172110.0800000026</v>
          </cell>
          <cell r="L2065">
            <v>1172110.0800000026</v>
          </cell>
          <cell r="M2065" t="e">
            <v>#N/A</v>
          </cell>
        </row>
        <row r="2066">
          <cell r="C2066" t="e">
            <v>#N/A</v>
          </cell>
          <cell r="E2066" t="e">
            <v>#N/A</v>
          </cell>
          <cell r="F2066" t="e">
            <v>#N/A</v>
          </cell>
          <cell r="G2066" t="e">
            <v>#N/A</v>
          </cell>
          <cell r="H2066">
            <v>0</v>
          </cell>
          <cell r="I2066">
            <v>0</v>
          </cell>
          <cell r="J2066" t="str">
            <v>X</v>
          </cell>
          <cell r="K2066">
            <v>1172110.0800000026</v>
          </cell>
          <cell r="L2066">
            <v>1172110.0800000026</v>
          </cell>
          <cell r="M2066" t="e">
            <v>#N/A</v>
          </cell>
        </row>
        <row r="2067">
          <cell r="C2067" t="e">
            <v>#N/A</v>
          </cell>
          <cell r="E2067" t="e">
            <v>#N/A</v>
          </cell>
          <cell r="F2067" t="e">
            <v>#N/A</v>
          </cell>
          <cell r="G2067" t="e">
            <v>#N/A</v>
          </cell>
          <cell r="H2067">
            <v>0</v>
          </cell>
          <cell r="I2067">
            <v>0</v>
          </cell>
          <cell r="J2067" t="str">
            <v>X</v>
          </cell>
          <cell r="K2067">
            <v>1172110.0800000026</v>
          </cell>
          <cell r="L2067">
            <v>1172110.0800000026</v>
          </cell>
          <cell r="M2067" t="e">
            <v>#N/A</v>
          </cell>
        </row>
        <row r="2068">
          <cell r="C2068" t="e">
            <v>#N/A</v>
          </cell>
          <cell r="E2068" t="e">
            <v>#N/A</v>
          </cell>
          <cell r="F2068" t="e">
            <v>#N/A</v>
          </cell>
          <cell r="G2068" t="e">
            <v>#N/A</v>
          </cell>
          <cell r="H2068">
            <v>0</v>
          </cell>
          <cell r="I2068">
            <v>0</v>
          </cell>
          <cell r="J2068" t="str">
            <v>X</v>
          </cell>
          <cell r="K2068">
            <v>1172110.0800000026</v>
          </cell>
          <cell r="L2068">
            <v>1172110.0800000026</v>
          </cell>
          <cell r="M2068" t="e">
            <v>#N/A</v>
          </cell>
        </row>
        <row r="2069">
          <cell r="C2069" t="e">
            <v>#N/A</v>
          </cell>
          <cell r="E2069" t="e">
            <v>#N/A</v>
          </cell>
          <cell r="F2069" t="e">
            <v>#N/A</v>
          </cell>
          <cell r="G2069" t="e">
            <v>#N/A</v>
          </cell>
          <cell r="H2069">
            <v>0</v>
          </cell>
          <cell r="I2069">
            <v>0</v>
          </cell>
          <cell r="J2069" t="str">
            <v>X</v>
          </cell>
          <cell r="K2069">
            <v>1172110.0800000026</v>
          </cell>
          <cell r="L2069">
            <v>1172110.0800000026</v>
          </cell>
          <cell r="M2069" t="e">
            <v>#N/A</v>
          </cell>
        </row>
        <row r="2070">
          <cell r="C2070" t="e">
            <v>#N/A</v>
          </cell>
          <cell r="E2070" t="e">
            <v>#N/A</v>
          </cell>
          <cell r="F2070" t="e">
            <v>#N/A</v>
          </cell>
          <cell r="G2070" t="e">
            <v>#N/A</v>
          </cell>
          <cell r="H2070">
            <v>0</v>
          </cell>
          <cell r="I2070">
            <v>0</v>
          </cell>
          <cell r="J2070" t="str">
            <v>X</v>
          </cell>
          <cell r="K2070">
            <v>1172110.0800000026</v>
          </cell>
          <cell r="L2070">
            <v>1172110.0800000026</v>
          </cell>
          <cell r="M2070" t="e">
            <v>#N/A</v>
          </cell>
        </row>
        <row r="2071">
          <cell r="C2071" t="e">
            <v>#N/A</v>
          </cell>
          <cell r="E2071" t="e">
            <v>#N/A</v>
          </cell>
          <cell r="F2071" t="e">
            <v>#N/A</v>
          </cell>
          <cell r="G2071" t="e">
            <v>#N/A</v>
          </cell>
          <cell r="H2071">
            <v>0</v>
          </cell>
          <cell r="I2071">
            <v>0</v>
          </cell>
          <cell r="J2071" t="str">
            <v>X</v>
          </cell>
          <cell r="K2071">
            <v>1172110.0800000026</v>
          </cell>
          <cell r="L2071">
            <v>1172110.0800000026</v>
          </cell>
          <cell r="M2071" t="e">
            <v>#N/A</v>
          </cell>
        </row>
        <row r="2072">
          <cell r="C2072" t="e">
            <v>#N/A</v>
          </cell>
          <cell r="E2072" t="e">
            <v>#N/A</v>
          </cell>
          <cell r="F2072" t="e">
            <v>#N/A</v>
          </cell>
          <cell r="G2072" t="e">
            <v>#N/A</v>
          </cell>
          <cell r="H2072">
            <v>0</v>
          </cell>
          <cell r="I2072">
            <v>0</v>
          </cell>
          <cell r="J2072" t="str">
            <v>X</v>
          </cell>
          <cell r="K2072">
            <v>1172110.0800000026</v>
          </cell>
          <cell r="L2072">
            <v>1172110.0800000026</v>
          </cell>
          <cell r="M2072" t="e">
            <v>#N/A</v>
          </cell>
        </row>
        <row r="2073">
          <cell r="C2073" t="e">
            <v>#N/A</v>
          </cell>
          <cell r="E2073" t="e">
            <v>#N/A</v>
          </cell>
          <cell r="F2073" t="e">
            <v>#N/A</v>
          </cell>
          <cell r="G2073" t="e">
            <v>#N/A</v>
          </cell>
          <cell r="H2073">
            <v>0</v>
          </cell>
          <cell r="I2073">
            <v>0</v>
          </cell>
          <cell r="J2073" t="str">
            <v>X</v>
          </cell>
          <cell r="K2073">
            <v>1172110.0800000026</v>
          </cell>
          <cell r="L2073">
            <v>1172110.0800000026</v>
          </cell>
          <cell r="M2073" t="e">
            <v>#N/A</v>
          </cell>
        </row>
        <row r="2074">
          <cell r="C2074" t="e">
            <v>#N/A</v>
          </cell>
          <cell r="E2074" t="e">
            <v>#N/A</v>
          </cell>
          <cell r="F2074" t="e">
            <v>#N/A</v>
          </cell>
          <cell r="G2074" t="e">
            <v>#N/A</v>
          </cell>
          <cell r="H2074">
            <v>0</v>
          </cell>
          <cell r="I2074">
            <v>0</v>
          </cell>
          <cell r="J2074" t="str">
            <v>X</v>
          </cell>
          <cell r="K2074">
            <v>1172110.0800000026</v>
          </cell>
          <cell r="L2074">
            <v>1172110.0800000026</v>
          </cell>
          <cell r="M2074" t="e">
            <v>#N/A</v>
          </cell>
        </row>
        <row r="2075">
          <cell r="C2075" t="e">
            <v>#N/A</v>
          </cell>
          <cell r="E2075" t="e">
            <v>#N/A</v>
          </cell>
          <cell r="F2075" t="e">
            <v>#N/A</v>
          </cell>
          <cell r="G2075" t="e">
            <v>#N/A</v>
          </cell>
          <cell r="H2075">
            <v>0</v>
          </cell>
          <cell r="I2075">
            <v>0</v>
          </cell>
          <cell r="J2075" t="str">
            <v>X</v>
          </cell>
          <cell r="K2075">
            <v>1172110.0800000026</v>
          </cell>
          <cell r="L2075">
            <v>1172110.0800000026</v>
          </cell>
          <cell r="M2075" t="e">
            <v>#N/A</v>
          </cell>
        </row>
        <row r="2076">
          <cell r="C2076" t="e">
            <v>#N/A</v>
          </cell>
          <cell r="E2076" t="e">
            <v>#N/A</v>
          </cell>
          <cell r="F2076" t="e">
            <v>#N/A</v>
          </cell>
          <cell r="G2076" t="e">
            <v>#N/A</v>
          </cell>
          <cell r="H2076">
            <v>0</v>
          </cell>
          <cell r="I2076">
            <v>0</v>
          </cell>
          <cell r="J2076" t="str">
            <v>X</v>
          </cell>
          <cell r="K2076">
            <v>1172110.0800000026</v>
          </cell>
          <cell r="L2076">
            <v>1172110.0800000026</v>
          </cell>
          <cell r="M2076" t="e">
            <v>#N/A</v>
          </cell>
        </row>
        <row r="2077">
          <cell r="C2077" t="e">
            <v>#N/A</v>
          </cell>
          <cell r="E2077" t="e">
            <v>#N/A</v>
          </cell>
          <cell r="F2077" t="e">
            <v>#N/A</v>
          </cell>
          <cell r="G2077" t="e">
            <v>#N/A</v>
          </cell>
          <cell r="H2077">
            <v>0</v>
          </cell>
          <cell r="I2077">
            <v>0</v>
          </cell>
          <cell r="J2077" t="str">
            <v>X</v>
          </cell>
          <cell r="K2077">
            <v>1172110.0800000026</v>
          </cell>
          <cell r="L2077">
            <v>1172110.0800000026</v>
          </cell>
          <cell r="M2077" t="e">
            <v>#N/A</v>
          </cell>
        </row>
        <row r="2078">
          <cell r="C2078" t="e">
            <v>#N/A</v>
          </cell>
          <cell r="E2078" t="e">
            <v>#N/A</v>
          </cell>
          <cell r="F2078" t="e">
            <v>#N/A</v>
          </cell>
          <cell r="G2078" t="e">
            <v>#N/A</v>
          </cell>
          <cell r="H2078">
            <v>0</v>
          </cell>
          <cell r="I2078">
            <v>0</v>
          </cell>
          <cell r="J2078" t="str">
            <v>X</v>
          </cell>
          <cell r="K2078">
            <v>1172110.0800000026</v>
          </cell>
          <cell r="L2078">
            <v>1172110.0800000026</v>
          </cell>
          <cell r="M2078" t="e">
            <v>#N/A</v>
          </cell>
        </row>
        <row r="2079">
          <cell r="C2079" t="e">
            <v>#N/A</v>
          </cell>
          <cell r="E2079" t="e">
            <v>#N/A</v>
          </cell>
          <cell r="F2079" t="e">
            <v>#N/A</v>
          </cell>
          <cell r="G2079" t="e">
            <v>#N/A</v>
          </cell>
          <cell r="H2079">
            <v>0</v>
          </cell>
          <cell r="I2079">
            <v>0</v>
          </cell>
          <cell r="J2079" t="str">
            <v>X</v>
          </cell>
          <cell r="K2079">
            <v>1172110.0800000026</v>
          </cell>
          <cell r="L2079">
            <v>1172110.0800000026</v>
          </cell>
          <cell r="M2079" t="e">
            <v>#N/A</v>
          </cell>
        </row>
        <row r="2080">
          <cell r="C2080" t="e">
            <v>#N/A</v>
          </cell>
          <cell r="E2080" t="e">
            <v>#N/A</v>
          </cell>
          <cell r="F2080" t="e">
            <v>#N/A</v>
          </cell>
          <cell r="G2080" t="e">
            <v>#N/A</v>
          </cell>
          <cell r="H2080">
            <v>0</v>
          </cell>
          <cell r="I2080">
            <v>0</v>
          </cell>
          <cell r="J2080" t="str">
            <v>X</v>
          </cell>
          <cell r="K2080">
            <v>1172110.0800000026</v>
          </cell>
          <cell r="L2080">
            <v>1172110.0800000026</v>
          </cell>
          <cell r="M2080" t="e">
            <v>#N/A</v>
          </cell>
        </row>
        <row r="2081">
          <cell r="C2081" t="e">
            <v>#N/A</v>
          </cell>
          <cell r="E2081" t="e">
            <v>#N/A</v>
          </cell>
          <cell r="F2081" t="e">
            <v>#N/A</v>
          </cell>
          <cell r="G2081" t="e">
            <v>#N/A</v>
          </cell>
          <cell r="H2081">
            <v>0</v>
          </cell>
          <cell r="I2081">
            <v>0</v>
          </cell>
          <cell r="J2081" t="str">
            <v>X</v>
          </cell>
          <cell r="K2081">
            <v>1172110.0800000026</v>
          </cell>
          <cell r="L2081">
            <v>1172110.0800000026</v>
          </cell>
          <cell r="M2081" t="e">
            <v>#N/A</v>
          </cell>
        </row>
        <row r="2082">
          <cell r="C2082" t="e">
            <v>#N/A</v>
          </cell>
          <cell r="E2082" t="e">
            <v>#N/A</v>
          </cell>
          <cell r="F2082" t="e">
            <v>#N/A</v>
          </cell>
          <cell r="G2082" t="e">
            <v>#N/A</v>
          </cell>
          <cell r="H2082">
            <v>0</v>
          </cell>
          <cell r="I2082">
            <v>0</v>
          </cell>
          <cell r="J2082" t="str">
            <v>X</v>
          </cell>
          <cell r="K2082">
            <v>1172110.0800000026</v>
          </cell>
          <cell r="L2082">
            <v>1172110.0800000026</v>
          </cell>
          <cell r="M2082" t="e">
            <v>#N/A</v>
          </cell>
        </row>
        <row r="2083">
          <cell r="C2083" t="e">
            <v>#N/A</v>
          </cell>
          <cell r="E2083" t="e">
            <v>#N/A</v>
          </cell>
          <cell r="F2083" t="e">
            <v>#N/A</v>
          </cell>
          <cell r="G2083" t="e">
            <v>#N/A</v>
          </cell>
          <cell r="H2083">
            <v>0</v>
          </cell>
          <cell r="I2083">
            <v>0</v>
          </cell>
          <cell r="J2083" t="str">
            <v>X</v>
          </cell>
          <cell r="K2083">
            <v>1172110.0800000026</v>
          </cell>
          <cell r="L2083">
            <v>1172110.0800000026</v>
          </cell>
          <cell r="M2083" t="e">
            <v>#N/A</v>
          </cell>
        </row>
        <row r="2084">
          <cell r="C2084" t="e">
            <v>#N/A</v>
          </cell>
          <cell r="E2084" t="e">
            <v>#N/A</v>
          </cell>
          <cell r="F2084" t="e">
            <v>#N/A</v>
          </cell>
          <cell r="G2084" t="e">
            <v>#N/A</v>
          </cell>
          <cell r="H2084">
            <v>0</v>
          </cell>
          <cell r="I2084">
            <v>0</v>
          </cell>
          <cell r="J2084" t="str">
            <v>X</v>
          </cell>
          <cell r="K2084">
            <v>1172110.0800000026</v>
          </cell>
          <cell r="L2084">
            <v>1172110.0800000026</v>
          </cell>
          <cell r="M2084" t="e">
            <v>#N/A</v>
          </cell>
        </row>
        <row r="2085">
          <cell r="C2085" t="e">
            <v>#N/A</v>
          </cell>
          <cell r="E2085" t="e">
            <v>#N/A</v>
          </cell>
          <cell r="F2085" t="e">
            <v>#N/A</v>
          </cell>
          <cell r="G2085" t="e">
            <v>#N/A</v>
          </cell>
          <cell r="H2085">
            <v>0</v>
          </cell>
          <cell r="I2085">
            <v>0</v>
          </cell>
          <cell r="J2085" t="str">
            <v>X</v>
          </cell>
          <cell r="K2085">
            <v>1172110.0800000026</v>
          </cell>
          <cell r="L2085">
            <v>1172110.0800000026</v>
          </cell>
          <cell r="M2085" t="e">
            <v>#N/A</v>
          </cell>
        </row>
        <row r="2086">
          <cell r="C2086" t="e">
            <v>#N/A</v>
          </cell>
          <cell r="E2086" t="e">
            <v>#N/A</v>
          </cell>
          <cell r="F2086" t="e">
            <v>#N/A</v>
          </cell>
          <cell r="G2086" t="e">
            <v>#N/A</v>
          </cell>
          <cell r="H2086">
            <v>0</v>
          </cell>
          <cell r="I2086">
            <v>0</v>
          </cell>
          <cell r="J2086" t="str">
            <v>X</v>
          </cell>
          <cell r="K2086">
            <v>1172110.0800000026</v>
          </cell>
          <cell r="L2086">
            <v>1172110.0800000026</v>
          </cell>
          <cell r="M2086" t="e">
            <v>#N/A</v>
          </cell>
        </row>
        <row r="2087">
          <cell r="C2087" t="e">
            <v>#N/A</v>
          </cell>
          <cell r="E2087" t="e">
            <v>#N/A</v>
          </cell>
          <cell r="F2087" t="e">
            <v>#N/A</v>
          </cell>
          <cell r="G2087" t="e">
            <v>#N/A</v>
          </cell>
          <cell r="H2087">
            <v>0</v>
          </cell>
          <cell r="I2087">
            <v>0</v>
          </cell>
          <cell r="J2087" t="str">
            <v>X</v>
          </cell>
          <cell r="K2087">
            <v>1172110.0800000026</v>
          </cell>
          <cell r="L2087">
            <v>1172110.0800000026</v>
          </cell>
          <cell r="M2087" t="e">
            <v>#N/A</v>
          </cell>
        </row>
        <row r="2088">
          <cell r="C2088" t="e">
            <v>#N/A</v>
          </cell>
          <cell r="E2088" t="e">
            <v>#N/A</v>
          </cell>
          <cell r="F2088" t="e">
            <v>#N/A</v>
          </cell>
          <cell r="G2088" t="e">
            <v>#N/A</v>
          </cell>
          <cell r="H2088">
            <v>0</v>
          </cell>
          <cell r="I2088">
            <v>0</v>
          </cell>
          <cell r="J2088" t="str">
            <v>X</v>
          </cell>
          <cell r="K2088">
            <v>1172110.0800000026</v>
          </cell>
          <cell r="L2088">
            <v>1172110.0800000026</v>
          </cell>
          <cell r="M2088" t="e">
            <v>#N/A</v>
          </cell>
        </row>
        <row r="2089">
          <cell r="C2089" t="e">
            <v>#N/A</v>
          </cell>
          <cell r="E2089" t="e">
            <v>#N/A</v>
          </cell>
          <cell r="F2089" t="e">
            <v>#N/A</v>
          </cell>
          <cell r="G2089" t="e">
            <v>#N/A</v>
          </cell>
          <cell r="H2089">
            <v>0</v>
          </cell>
          <cell r="I2089">
            <v>0</v>
          </cell>
          <cell r="J2089" t="str">
            <v>X</v>
          </cell>
          <cell r="K2089">
            <v>1172110.0800000026</v>
          </cell>
          <cell r="L2089">
            <v>1172110.0800000026</v>
          </cell>
          <cell r="M2089" t="e">
            <v>#N/A</v>
          </cell>
        </row>
        <row r="2090">
          <cell r="C2090" t="e">
            <v>#N/A</v>
          </cell>
          <cell r="E2090" t="e">
            <v>#N/A</v>
          </cell>
          <cell r="F2090" t="e">
            <v>#N/A</v>
          </cell>
          <cell r="G2090" t="e">
            <v>#N/A</v>
          </cell>
          <cell r="H2090">
            <v>0</v>
          </cell>
          <cell r="I2090">
            <v>0</v>
          </cell>
          <cell r="J2090" t="str">
            <v>X</v>
          </cell>
          <cell r="K2090">
            <v>1172110.0800000026</v>
          </cell>
          <cell r="L2090">
            <v>1172110.0800000026</v>
          </cell>
          <cell r="M2090" t="e">
            <v>#N/A</v>
          </cell>
        </row>
        <row r="2091">
          <cell r="C2091" t="e">
            <v>#N/A</v>
          </cell>
          <cell r="E2091" t="e">
            <v>#N/A</v>
          </cell>
          <cell r="F2091" t="e">
            <v>#N/A</v>
          </cell>
          <cell r="G2091" t="e">
            <v>#N/A</v>
          </cell>
          <cell r="H2091">
            <v>0</v>
          </cell>
          <cell r="I2091">
            <v>0</v>
          </cell>
          <cell r="J2091" t="str">
            <v>X</v>
          </cell>
          <cell r="K2091">
            <v>1172110.0800000026</v>
          </cell>
          <cell r="L2091">
            <v>1172110.0800000026</v>
          </cell>
          <cell r="M2091" t="e">
            <v>#N/A</v>
          </cell>
        </row>
        <row r="2092">
          <cell r="C2092" t="e">
            <v>#N/A</v>
          </cell>
          <cell r="E2092" t="e">
            <v>#N/A</v>
          </cell>
          <cell r="F2092" t="e">
            <v>#N/A</v>
          </cell>
          <cell r="G2092" t="e">
            <v>#N/A</v>
          </cell>
          <cell r="H2092">
            <v>0</v>
          </cell>
          <cell r="I2092">
            <v>0</v>
          </cell>
          <cell r="J2092" t="str">
            <v>X</v>
          </cell>
          <cell r="K2092">
            <v>1172110.0800000026</v>
          </cell>
          <cell r="L2092">
            <v>1172110.0800000026</v>
          </cell>
          <cell r="M2092" t="e">
            <v>#N/A</v>
          </cell>
        </row>
        <row r="2093">
          <cell r="C2093" t="e">
            <v>#N/A</v>
          </cell>
          <cell r="E2093" t="e">
            <v>#N/A</v>
          </cell>
          <cell r="F2093" t="e">
            <v>#N/A</v>
          </cell>
          <cell r="G2093" t="e">
            <v>#N/A</v>
          </cell>
          <cell r="H2093">
            <v>0</v>
          </cell>
          <cell r="I2093">
            <v>0</v>
          </cell>
          <cell r="J2093" t="str">
            <v>X</v>
          </cell>
          <cell r="K2093">
            <v>1172110.0800000026</v>
          </cell>
          <cell r="L2093">
            <v>1172110.0800000026</v>
          </cell>
          <cell r="M2093" t="e">
            <v>#N/A</v>
          </cell>
        </row>
        <row r="2094">
          <cell r="C2094" t="e">
            <v>#N/A</v>
          </cell>
          <cell r="E2094" t="e">
            <v>#N/A</v>
          </cell>
          <cell r="F2094" t="e">
            <v>#N/A</v>
          </cell>
          <cell r="G2094" t="e">
            <v>#N/A</v>
          </cell>
          <cell r="H2094">
            <v>0</v>
          </cell>
          <cell r="I2094">
            <v>0</v>
          </cell>
          <cell r="J2094" t="str">
            <v>X</v>
          </cell>
          <cell r="K2094">
            <v>1172110.0800000026</v>
          </cell>
          <cell r="L2094">
            <v>1172110.0800000026</v>
          </cell>
          <cell r="M2094" t="e">
            <v>#N/A</v>
          </cell>
        </row>
        <row r="2095">
          <cell r="C2095" t="e">
            <v>#N/A</v>
          </cell>
          <cell r="E2095" t="e">
            <v>#N/A</v>
          </cell>
          <cell r="F2095" t="e">
            <v>#N/A</v>
          </cell>
          <cell r="G2095" t="e">
            <v>#N/A</v>
          </cell>
          <cell r="H2095">
            <v>0</v>
          </cell>
          <cell r="I2095">
            <v>0</v>
          </cell>
          <cell r="J2095" t="str">
            <v>X</v>
          </cell>
          <cell r="K2095">
            <v>1172110.0800000026</v>
          </cell>
          <cell r="L2095">
            <v>1172110.0800000026</v>
          </cell>
          <cell r="M2095" t="e">
            <v>#N/A</v>
          </cell>
        </row>
        <row r="2096">
          <cell r="C2096" t="e">
            <v>#N/A</v>
          </cell>
          <cell r="E2096" t="e">
            <v>#N/A</v>
          </cell>
          <cell r="F2096" t="e">
            <v>#N/A</v>
          </cell>
          <cell r="G2096" t="e">
            <v>#N/A</v>
          </cell>
          <cell r="H2096">
            <v>0</v>
          </cell>
          <cell r="I2096">
            <v>0</v>
          </cell>
          <cell r="J2096" t="str">
            <v>X</v>
          </cell>
          <cell r="K2096">
            <v>1172110.0800000026</v>
          </cell>
          <cell r="L2096">
            <v>1172110.0800000026</v>
          </cell>
          <cell r="M2096" t="e">
            <v>#N/A</v>
          </cell>
        </row>
        <row r="2097">
          <cell r="C2097" t="e">
            <v>#N/A</v>
          </cell>
          <cell r="E2097" t="e">
            <v>#N/A</v>
          </cell>
          <cell r="F2097" t="e">
            <v>#N/A</v>
          </cell>
          <cell r="G2097" t="e">
            <v>#N/A</v>
          </cell>
          <cell r="H2097">
            <v>0</v>
          </cell>
          <cell r="I2097">
            <v>0</v>
          </cell>
          <cell r="J2097" t="str">
            <v>X</v>
          </cell>
          <cell r="K2097">
            <v>1172110.0800000026</v>
          </cell>
          <cell r="L2097">
            <v>1172110.0800000026</v>
          </cell>
          <cell r="M2097" t="e">
            <v>#N/A</v>
          </cell>
        </row>
        <row r="2098">
          <cell r="C2098" t="e">
            <v>#N/A</v>
          </cell>
          <cell r="E2098" t="e">
            <v>#N/A</v>
          </cell>
          <cell r="F2098" t="e">
            <v>#N/A</v>
          </cell>
          <cell r="G2098" t="e">
            <v>#N/A</v>
          </cell>
          <cell r="H2098">
            <v>0</v>
          </cell>
          <cell r="I2098">
            <v>0</v>
          </cell>
          <cell r="J2098" t="str">
            <v>X</v>
          </cell>
          <cell r="K2098">
            <v>1172110.0800000026</v>
          </cell>
          <cell r="L2098">
            <v>1172110.0800000026</v>
          </cell>
          <cell r="M2098" t="e">
            <v>#N/A</v>
          </cell>
        </row>
        <row r="2099">
          <cell r="C2099" t="e">
            <v>#N/A</v>
          </cell>
          <cell r="E2099" t="e">
            <v>#N/A</v>
          </cell>
          <cell r="F2099" t="e">
            <v>#N/A</v>
          </cell>
          <cell r="G2099" t="e">
            <v>#N/A</v>
          </cell>
          <cell r="H2099">
            <v>0</v>
          </cell>
          <cell r="I2099">
            <v>0</v>
          </cell>
          <cell r="J2099" t="str">
            <v>X</v>
          </cell>
          <cell r="K2099">
            <v>1172110.0800000026</v>
          </cell>
          <cell r="L2099">
            <v>1172110.0800000026</v>
          </cell>
          <cell r="M2099" t="e">
            <v>#N/A</v>
          </cell>
        </row>
        <row r="2100">
          <cell r="C2100" t="e">
            <v>#N/A</v>
          </cell>
          <cell r="E2100" t="e">
            <v>#N/A</v>
          </cell>
          <cell r="F2100" t="e">
            <v>#N/A</v>
          </cell>
          <cell r="G2100" t="e">
            <v>#N/A</v>
          </cell>
          <cell r="H2100">
            <v>0</v>
          </cell>
          <cell r="I2100">
            <v>0</v>
          </cell>
          <cell r="J2100" t="str">
            <v>X</v>
          </cell>
          <cell r="K2100">
            <v>1172110.0800000026</v>
          </cell>
          <cell r="L2100">
            <v>1172110.0800000026</v>
          </cell>
          <cell r="M2100" t="e">
            <v>#N/A</v>
          </cell>
        </row>
        <row r="2101">
          <cell r="C2101" t="e">
            <v>#N/A</v>
          </cell>
          <cell r="E2101" t="e">
            <v>#N/A</v>
          </cell>
          <cell r="F2101" t="e">
            <v>#N/A</v>
          </cell>
          <cell r="G2101" t="e">
            <v>#N/A</v>
          </cell>
          <cell r="H2101">
            <v>0</v>
          </cell>
          <cell r="I2101">
            <v>0</v>
          </cell>
          <cell r="J2101" t="str">
            <v>X</v>
          </cell>
          <cell r="K2101">
            <v>1172110.0800000026</v>
          </cell>
          <cell r="L2101">
            <v>1172110.0800000026</v>
          </cell>
          <cell r="M2101" t="e">
            <v>#N/A</v>
          </cell>
        </row>
        <row r="2102">
          <cell r="C2102" t="e">
            <v>#N/A</v>
          </cell>
          <cell r="E2102" t="e">
            <v>#N/A</v>
          </cell>
          <cell r="F2102" t="e">
            <v>#N/A</v>
          </cell>
          <cell r="G2102" t="e">
            <v>#N/A</v>
          </cell>
          <cell r="H2102">
            <v>0</v>
          </cell>
          <cell r="I2102">
            <v>0</v>
          </cell>
          <cell r="J2102" t="str">
            <v>X</v>
          </cell>
          <cell r="K2102">
            <v>1172110.0800000026</v>
          </cell>
          <cell r="L2102">
            <v>1172110.0800000026</v>
          </cell>
          <cell r="M2102" t="e">
            <v>#N/A</v>
          </cell>
        </row>
        <row r="2103">
          <cell r="C2103" t="e">
            <v>#N/A</v>
          </cell>
          <cell r="E2103" t="e">
            <v>#N/A</v>
          </cell>
          <cell r="F2103" t="e">
            <v>#N/A</v>
          </cell>
          <cell r="G2103" t="e">
            <v>#N/A</v>
          </cell>
          <cell r="H2103">
            <v>0</v>
          </cell>
          <cell r="I2103">
            <v>0</v>
          </cell>
          <cell r="J2103" t="str">
            <v>X</v>
          </cell>
          <cell r="K2103">
            <v>1172110.0800000026</v>
          </cell>
          <cell r="L2103">
            <v>1172110.0800000026</v>
          </cell>
          <cell r="M2103" t="e">
            <v>#N/A</v>
          </cell>
        </row>
        <row r="2104">
          <cell r="C2104" t="e">
            <v>#N/A</v>
          </cell>
          <cell r="E2104" t="e">
            <v>#N/A</v>
          </cell>
          <cell r="F2104" t="e">
            <v>#N/A</v>
          </cell>
          <cell r="G2104" t="e">
            <v>#N/A</v>
          </cell>
          <cell r="H2104">
            <v>0</v>
          </cell>
          <cell r="I2104">
            <v>0</v>
          </cell>
          <cell r="J2104" t="str">
            <v>X</v>
          </cell>
          <cell r="K2104">
            <v>1172110.0800000026</v>
          </cell>
          <cell r="L2104">
            <v>1172110.0800000026</v>
          </cell>
          <cell r="M2104" t="e">
            <v>#N/A</v>
          </cell>
        </row>
        <row r="2105">
          <cell r="C2105" t="e">
            <v>#N/A</v>
          </cell>
          <cell r="E2105" t="e">
            <v>#N/A</v>
          </cell>
          <cell r="F2105" t="e">
            <v>#N/A</v>
          </cell>
          <cell r="G2105" t="e">
            <v>#N/A</v>
          </cell>
          <cell r="H2105">
            <v>0</v>
          </cell>
          <cell r="I2105">
            <v>0</v>
          </cell>
          <cell r="J2105" t="str">
            <v>X</v>
          </cell>
          <cell r="K2105">
            <v>1172110.0800000026</v>
          </cell>
          <cell r="L2105">
            <v>1172110.0800000026</v>
          </cell>
          <cell r="M2105" t="e">
            <v>#N/A</v>
          </cell>
        </row>
        <row r="2106">
          <cell r="C2106" t="e">
            <v>#N/A</v>
          </cell>
          <cell r="E2106" t="e">
            <v>#N/A</v>
          </cell>
          <cell r="F2106" t="e">
            <v>#N/A</v>
          </cell>
          <cell r="G2106" t="e">
            <v>#N/A</v>
          </cell>
          <cell r="H2106">
            <v>0</v>
          </cell>
          <cell r="I2106">
            <v>0</v>
          </cell>
          <cell r="J2106" t="str">
            <v>X</v>
          </cell>
          <cell r="K2106">
            <v>1172110.0800000026</v>
          </cell>
          <cell r="L2106">
            <v>1172110.0800000026</v>
          </cell>
          <cell r="M2106" t="e">
            <v>#N/A</v>
          </cell>
        </row>
        <row r="2107">
          <cell r="C2107" t="e">
            <v>#N/A</v>
          </cell>
          <cell r="E2107" t="e">
            <v>#N/A</v>
          </cell>
          <cell r="F2107" t="e">
            <v>#N/A</v>
          </cell>
          <cell r="G2107" t="e">
            <v>#N/A</v>
          </cell>
          <cell r="H2107">
            <v>0</v>
          </cell>
          <cell r="I2107">
            <v>0</v>
          </cell>
          <cell r="J2107" t="str">
            <v>X</v>
          </cell>
          <cell r="K2107">
            <v>1172110.0800000026</v>
          </cell>
          <cell r="L2107">
            <v>1172110.0800000026</v>
          </cell>
          <cell r="M2107" t="e">
            <v>#N/A</v>
          </cell>
        </row>
        <row r="2108">
          <cell r="C2108" t="e">
            <v>#N/A</v>
          </cell>
          <cell r="E2108" t="e">
            <v>#N/A</v>
          </cell>
          <cell r="F2108" t="e">
            <v>#N/A</v>
          </cell>
          <cell r="G2108" t="e">
            <v>#N/A</v>
          </cell>
          <cell r="H2108">
            <v>0</v>
          </cell>
          <cell r="I2108">
            <v>0</v>
          </cell>
          <cell r="J2108" t="str">
            <v>X</v>
          </cell>
          <cell r="K2108">
            <v>1172110.0800000026</v>
          </cell>
          <cell r="L2108">
            <v>1172110.0800000026</v>
          </cell>
          <cell r="M2108" t="e">
            <v>#N/A</v>
          </cell>
        </row>
        <row r="2109">
          <cell r="C2109" t="e">
            <v>#N/A</v>
          </cell>
          <cell r="E2109" t="e">
            <v>#N/A</v>
          </cell>
          <cell r="F2109" t="e">
            <v>#N/A</v>
          </cell>
          <cell r="G2109" t="e">
            <v>#N/A</v>
          </cell>
          <cell r="H2109">
            <v>0</v>
          </cell>
          <cell r="I2109">
            <v>0</v>
          </cell>
          <cell r="J2109" t="str">
            <v>X</v>
          </cell>
          <cell r="K2109">
            <v>1172110.0800000026</v>
          </cell>
          <cell r="L2109">
            <v>1172110.0800000026</v>
          </cell>
          <cell r="M2109" t="e">
            <v>#N/A</v>
          </cell>
        </row>
        <row r="2110">
          <cell r="C2110" t="e">
            <v>#N/A</v>
          </cell>
          <cell r="E2110" t="e">
            <v>#N/A</v>
          </cell>
          <cell r="F2110" t="e">
            <v>#N/A</v>
          </cell>
          <cell r="G2110" t="e">
            <v>#N/A</v>
          </cell>
          <cell r="H2110">
            <v>0</v>
          </cell>
          <cell r="I2110">
            <v>0</v>
          </cell>
          <cell r="J2110" t="str">
            <v>X</v>
          </cell>
          <cell r="K2110">
            <v>1172110.0800000026</v>
          </cell>
          <cell r="L2110">
            <v>1172110.0800000026</v>
          </cell>
          <cell r="M2110" t="e">
            <v>#N/A</v>
          </cell>
        </row>
        <row r="2111">
          <cell r="C2111" t="e">
            <v>#N/A</v>
          </cell>
          <cell r="E2111" t="e">
            <v>#N/A</v>
          </cell>
          <cell r="F2111" t="e">
            <v>#N/A</v>
          </cell>
          <cell r="G2111" t="e">
            <v>#N/A</v>
          </cell>
          <cell r="H2111">
            <v>0</v>
          </cell>
          <cell r="I2111">
            <v>0</v>
          </cell>
          <cell r="J2111" t="str">
            <v>X</v>
          </cell>
          <cell r="K2111">
            <v>1172110.0800000026</v>
          </cell>
          <cell r="L2111">
            <v>1172110.0800000026</v>
          </cell>
          <cell r="M2111" t="e">
            <v>#N/A</v>
          </cell>
        </row>
        <row r="2112">
          <cell r="C2112" t="e">
            <v>#N/A</v>
          </cell>
          <cell r="E2112" t="e">
            <v>#N/A</v>
          </cell>
          <cell r="F2112" t="e">
            <v>#N/A</v>
          </cell>
          <cell r="G2112" t="e">
            <v>#N/A</v>
          </cell>
          <cell r="H2112">
            <v>0</v>
          </cell>
          <cell r="I2112">
            <v>0</v>
          </cell>
          <cell r="J2112" t="str">
            <v>X</v>
          </cell>
          <cell r="K2112">
            <v>1172110.0800000026</v>
          </cell>
          <cell r="L2112">
            <v>1172110.0800000026</v>
          </cell>
          <cell r="M2112" t="e">
            <v>#N/A</v>
          </cell>
        </row>
        <row r="2113">
          <cell r="C2113" t="e">
            <v>#N/A</v>
          </cell>
          <cell r="E2113" t="e">
            <v>#N/A</v>
          </cell>
          <cell r="F2113" t="e">
            <v>#N/A</v>
          </cell>
          <cell r="G2113" t="e">
            <v>#N/A</v>
          </cell>
          <cell r="H2113">
            <v>0</v>
          </cell>
          <cell r="I2113">
            <v>0</v>
          </cell>
          <cell r="J2113" t="str">
            <v>X</v>
          </cell>
          <cell r="K2113">
            <v>1172110.0800000026</v>
          </cell>
          <cell r="L2113">
            <v>1172110.0800000026</v>
          </cell>
          <cell r="M2113" t="e">
            <v>#N/A</v>
          </cell>
        </row>
        <row r="2114">
          <cell r="C2114" t="e">
            <v>#N/A</v>
          </cell>
          <cell r="E2114" t="e">
            <v>#N/A</v>
          </cell>
          <cell r="F2114" t="e">
            <v>#N/A</v>
          </cell>
          <cell r="G2114" t="e">
            <v>#N/A</v>
          </cell>
          <cell r="H2114">
            <v>0</v>
          </cell>
          <cell r="I2114">
            <v>0</v>
          </cell>
          <cell r="J2114" t="str">
            <v>X</v>
          </cell>
          <cell r="K2114">
            <v>1172110.0800000026</v>
          </cell>
          <cell r="L2114">
            <v>1172110.0800000026</v>
          </cell>
          <cell r="M2114" t="e">
            <v>#N/A</v>
          </cell>
        </row>
        <row r="2115">
          <cell r="C2115" t="e">
            <v>#N/A</v>
          </cell>
          <cell r="E2115" t="e">
            <v>#N/A</v>
          </cell>
          <cell r="F2115" t="e">
            <v>#N/A</v>
          </cell>
          <cell r="G2115" t="e">
            <v>#N/A</v>
          </cell>
          <cell r="H2115">
            <v>0</v>
          </cell>
          <cell r="I2115">
            <v>0</v>
          </cell>
          <cell r="J2115" t="str">
            <v>X</v>
          </cell>
          <cell r="K2115">
            <v>1172110.0800000026</v>
          </cell>
          <cell r="L2115">
            <v>1172110.0800000026</v>
          </cell>
          <cell r="M2115" t="e">
            <v>#N/A</v>
          </cell>
        </row>
        <row r="2116">
          <cell r="C2116" t="e">
            <v>#N/A</v>
          </cell>
          <cell r="E2116" t="e">
            <v>#N/A</v>
          </cell>
          <cell r="F2116" t="e">
            <v>#N/A</v>
          </cell>
          <cell r="G2116" t="e">
            <v>#N/A</v>
          </cell>
          <cell r="H2116">
            <v>0</v>
          </cell>
          <cell r="I2116">
            <v>0</v>
          </cell>
          <cell r="J2116" t="str">
            <v>X</v>
          </cell>
          <cell r="K2116">
            <v>1172110.0800000026</v>
          </cell>
          <cell r="L2116">
            <v>1172110.0800000026</v>
          </cell>
          <cell r="M2116" t="e">
            <v>#N/A</v>
          </cell>
        </row>
        <row r="2117">
          <cell r="C2117" t="e">
            <v>#N/A</v>
          </cell>
          <cell r="E2117" t="e">
            <v>#N/A</v>
          </cell>
          <cell r="F2117" t="e">
            <v>#N/A</v>
          </cell>
          <cell r="G2117" t="e">
            <v>#N/A</v>
          </cell>
          <cell r="H2117">
            <v>0</v>
          </cell>
          <cell r="I2117">
            <v>0</v>
          </cell>
          <cell r="J2117" t="str">
            <v>X</v>
          </cell>
          <cell r="K2117">
            <v>1172110.0800000026</v>
          </cell>
          <cell r="L2117">
            <v>1172110.0800000026</v>
          </cell>
          <cell r="M2117" t="e">
            <v>#N/A</v>
          </cell>
        </row>
        <row r="2118">
          <cell r="C2118" t="e">
            <v>#N/A</v>
          </cell>
          <cell r="E2118" t="e">
            <v>#N/A</v>
          </cell>
          <cell r="F2118" t="e">
            <v>#N/A</v>
          </cell>
          <cell r="G2118" t="e">
            <v>#N/A</v>
          </cell>
          <cell r="H2118">
            <v>0</v>
          </cell>
          <cell r="I2118">
            <v>0</v>
          </cell>
          <cell r="J2118" t="str">
            <v>X</v>
          </cell>
          <cell r="K2118">
            <v>1172110.0800000026</v>
          </cell>
          <cell r="L2118">
            <v>1172110.0800000026</v>
          </cell>
          <cell r="M2118" t="e">
            <v>#N/A</v>
          </cell>
        </row>
        <row r="2119">
          <cell r="C2119" t="e">
            <v>#N/A</v>
          </cell>
          <cell r="E2119" t="e">
            <v>#N/A</v>
          </cell>
          <cell r="F2119" t="e">
            <v>#N/A</v>
          </cell>
          <cell r="G2119" t="e">
            <v>#N/A</v>
          </cell>
          <cell r="H2119">
            <v>0</v>
          </cell>
          <cell r="I2119">
            <v>0</v>
          </cell>
          <cell r="J2119" t="str">
            <v>X</v>
          </cell>
          <cell r="K2119">
            <v>1172110.0800000026</v>
          </cell>
          <cell r="L2119">
            <v>1172110.0800000026</v>
          </cell>
          <cell r="M2119" t="e">
            <v>#N/A</v>
          </cell>
        </row>
        <row r="2120">
          <cell r="C2120" t="e">
            <v>#N/A</v>
          </cell>
          <cell r="E2120" t="e">
            <v>#N/A</v>
          </cell>
          <cell r="F2120" t="e">
            <v>#N/A</v>
          </cell>
          <cell r="G2120" t="e">
            <v>#N/A</v>
          </cell>
          <cell r="H2120">
            <v>0</v>
          </cell>
          <cell r="I2120">
            <v>0</v>
          </cell>
          <cell r="J2120" t="str">
            <v>X</v>
          </cell>
          <cell r="K2120">
            <v>1172110.0800000026</v>
          </cell>
          <cell r="L2120">
            <v>1172110.0800000026</v>
          </cell>
          <cell r="M2120" t="e">
            <v>#N/A</v>
          </cell>
        </row>
        <row r="2121">
          <cell r="C2121" t="e">
            <v>#N/A</v>
          </cell>
          <cell r="E2121" t="e">
            <v>#N/A</v>
          </cell>
          <cell r="F2121" t="e">
            <v>#N/A</v>
          </cell>
          <cell r="G2121" t="e">
            <v>#N/A</v>
          </cell>
          <cell r="H2121">
            <v>0</v>
          </cell>
          <cell r="I2121">
            <v>0</v>
          </cell>
          <cell r="J2121" t="str">
            <v>X</v>
          </cell>
          <cell r="K2121">
            <v>1172110.0800000026</v>
          </cell>
          <cell r="L2121">
            <v>1172110.0800000026</v>
          </cell>
          <cell r="M2121" t="e">
            <v>#N/A</v>
          </cell>
        </row>
        <row r="2122">
          <cell r="C2122" t="e">
            <v>#N/A</v>
          </cell>
          <cell r="E2122" t="e">
            <v>#N/A</v>
          </cell>
          <cell r="F2122" t="e">
            <v>#N/A</v>
          </cell>
          <cell r="G2122" t="e">
            <v>#N/A</v>
          </cell>
          <cell r="H2122">
            <v>0</v>
          </cell>
          <cell r="I2122">
            <v>0</v>
          </cell>
          <cell r="J2122" t="str">
            <v>X</v>
          </cell>
          <cell r="K2122">
            <v>1172110.0800000026</v>
          </cell>
          <cell r="L2122">
            <v>1172110.0800000026</v>
          </cell>
          <cell r="M2122" t="e">
            <v>#N/A</v>
          </cell>
        </row>
        <row r="2123">
          <cell r="C2123" t="e">
            <v>#N/A</v>
          </cell>
          <cell r="E2123" t="e">
            <v>#N/A</v>
          </cell>
          <cell r="F2123" t="e">
            <v>#N/A</v>
          </cell>
          <cell r="G2123" t="e">
            <v>#N/A</v>
          </cell>
          <cell r="H2123">
            <v>0</v>
          </cell>
          <cell r="I2123">
            <v>0</v>
          </cell>
          <cell r="J2123" t="str">
            <v>X</v>
          </cell>
          <cell r="K2123">
            <v>1172110.0800000026</v>
          </cell>
          <cell r="L2123">
            <v>1172110.0800000026</v>
          </cell>
          <cell r="M2123" t="e">
            <v>#N/A</v>
          </cell>
        </row>
        <row r="2124">
          <cell r="C2124" t="e">
            <v>#N/A</v>
          </cell>
          <cell r="E2124" t="e">
            <v>#N/A</v>
          </cell>
          <cell r="F2124" t="e">
            <v>#N/A</v>
          </cell>
          <cell r="G2124" t="e">
            <v>#N/A</v>
          </cell>
          <cell r="H2124">
            <v>0</v>
          </cell>
          <cell r="I2124">
            <v>0</v>
          </cell>
          <cell r="J2124" t="str">
            <v>X</v>
          </cell>
          <cell r="K2124">
            <v>1172110.0800000026</v>
          </cell>
          <cell r="L2124">
            <v>1172110.0800000026</v>
          </cell>
          <cell r="M2124" t="e">
            <v>#N/A</v>
          </cell>
        </row>
        <row r="2125">
          <cell r="C2125" t="e">
            <v>#N/A</v>
          </cell>
          <cell r="E2125" t="e">
            <v>#N/A</v>
          </cell>
          <cell r="F2125" t="e">
            <v>#N/A</v>
          </cell>
          <cell r="G2125" t="e">
            <v>#N/A</v>
          </cell>
          <cell r="H2125">
            <v>0</v>
          </cell>
          <cell r="I2125">
            <v>0</v>
          </cell>
          <cell r="J2125" t="str">
            <v>X</v>
          </cell>
          <cell r="K2125">
            <v>1172110.0800000026</v>
          </cell>
          <cell r="L2125">
            <v>1172110.0800000026</v>
          </cell>
          <cell r="M2125" t="e">
            <v>#N/A</v>
          </cell>
        </row>
        <row r="2126">
          <cell r="C2126" t="e">
            <v>#N/A</v>
          </cell>
          <cell r="E2126" t="e">
            <v>#N/A</v>
          </cell>
          <cell r="F2126" t="e">
            <v>#N/A</v>
          </cell>
          <cell r="G2126" t="e">
            <v>#N/A</v>
          </cell>
          <cell r="H2126">
            <v>0</v>
          </cell>
          <cell r="I2126">
            <v>0</v>
          </cell>
          <cell r="J2126" t="str">
            <v>X</v>
          </cell>
          <cell r="K2126">
            <v>1172110.0800000026</v>
          </cell>
          <cell r="L2126">
            <v>1172110.0800000026</v>
          </cell>
          <cell r="M2126" t="e">
            <v>#N/A</v>
          </cell>
        </row>
        <row r="2127">
          <cell r="C2127" t="e">
            <v>#N/A</v>
          </cell>
          <cell r="E2127" t="e">
            <v>#N/A</v>
          </cell>
          <cell r="F2127" t="e">
            <v>#N/A</v>
          </cell>
          <cell r="G2127" t="e">
            <v>#N/A</v>
          </cell>
          <cell r="H2127">
            <v>0</v>
          </cell>
          <cell r="I2127">
            <v>0</v>
          </cell>
          <cell r="J2127" t="str">
            <v>X</v>
          </cell>
          <cell r="K2127">
            <v>1172110.0800000026</v>
          </cell>
          <cell r="L2127">
            <v>1172110.0800000026</v>
          </cell>
          <cell r="M2127" t="e">
            <v>#N/A</v>
          </cell>
        </row>
        <row r="2128">
          <cell r="C2128" t="e">
            <v>#N/A</v>
          </cell>
          <cell r="E2128" t="e">
            <v>#N/A</v>
          </cell>
          <cell r="F2128" t="e">
            <v>#N/A</v>
          </cell>
          <cell r="G2128" t="e">
            <v>#N/A</v>
          </cell>
          <cell r="H2128">
            <v>0</v>
          </cell>
          <cell r="I2128">
            <v>0</v>
          </cell>
          <cell r="J2128" t="str">
            <v>X</v>
          </cell>
          <cell r="K2128">
            <v>1172110.0800000026</v>
          </cell>
          <cell r="L2128">
            <v>1172110.0800000026</v>
          </cell>
          <cell r="M2128" t="e">
            <v>#N/A</v>
          </cell>
        </row>
        <row r="2129">
          <cell r="C2129" t="e">
            <v>#N/A</v>
          </cell>
          <cell r="E2129" t="e">
            <v>#N/A</v>
          </cell>
          <cell r="F2129" t="e">
            <v>#N/A</v>
          </cell>
          <cell r="G2129" t="e">
            <v>#N/A</v>
          </cell>
          <cell r="H2129">
            <v>0</v>
          </cell>
          <cell r="I2129">
            <v>0</v>
          </cell>
          <cell r="J2129" t="str">
            <v>X</v>
          </cell>
          <cell r="K2129">
            <v>1172110.0800000026</v>
          </cell>
          <cell r="L2129">
            <v>1172110.0800000026</v>
          </cell>
          <cell r="M2129" t="e">
            <v>#N/A</v>
          </cell>
        </row>
        <row r="2130">
          <cell r="C2130" t="e">
            <v>#N/A</v>
          </cell>
          <cell r="E2130" t="e">
            <v>#N/A</v>
          </cell>
          <cell r="F2130" t="e">
            <v>#N/A</v>
          </cell>
          <cell r="G2130" t="e">
            <v>#N/A</v>
          </cell>
          <cell r="H2130">
            <v>0</v>
          </cell>
          <cell r="I2130">
            <v>0</v>
          </cell>
          <cell r="J2130" t="str">
            <v>X</v>
          </cell>
          <cell r="K2130">
            <v>1172110.0800000026</v>
          </cell>
          <cell r="L2130">
            <v>1172110.0800000026</v>
          </cell>
          <cell r="M2130" t="e">
            <v>#N/A</v>
          </cell>
        </row>
        <row r="2131">
          <cell r="C2131" t="e">
            <v>#N/A</v>
          </cell>
          <cell r="E2131" t="e">
            <v>#N/A</v>
          </cell>
          <cell r="F2131" t="e">
            <v>#N/A</v>
          </cell>
          <cell r="G2131" t="e">
            <v>#N/A</v>
          </cell>
          <cell r="H2131">
            <v>0</v>
          </cell>
          <cell r="I2131">
            <v>0</v>
          </cell>
          <cell r="J2131" t="str">
            <v>X</v>
          </cell>
          <cell r="K2131">
            <v>1172110.0800000026</v>
          </cell>
          <cell r="L2131">
            <v>1172110.0800000026</v>
          </cell>
          <cell r="M2131" t="e">
            <v>#N/A</v>
          </cell>
        </row>
        <row r="2132">
          <cell r="C2132" t="e">
            <v>#N/A</v>
          </cell>
          <cell r="E2132" t="e">
            <v>#N/A</v>
          </cell>
          <cell r="F2132" t="e">
            <v>#N/A</v>
          </cell>
          <cell r="G2132" t="e">
            <v>#N/A</v>
          </cell>
          <cell r="H2132">
            <v>0</v>
          </cell>
          <cell r="I2132">
            <v>0</v>
          </cell>
          <cell r="J2132" t="str">
            <v>X</v>
          </cell>
          <cell r="K2132">
            <v>1172110.0800000026</v>
          </cell>
          <cell r="L2132">
            <v>1172110.0800000026</v>
          </cell>
          <cell r="M2132" t="e">
            <v>#N/A</v>
          </cell>
        </row>
        <row r="2133">
          <cell r="C2133" t="e">
            <v>#N/A</v>
          </cell>
          <cell r="E2133" t="e">
            <v>#N/A</v>
          </cell>
          <cell r="F2133" t="e">
            <v>#N/A</v>
          </cell>
          <cell r="G2133" t="e">
            <v>#N/A</v>
          </cell>
          <cell r="H2133">
            <v>0</v>
          </cell>
          <cell r="I2133">
            <v>0</v>
          </cell>
          <cell r="J2133" t="str">
            <v>X</v>
          </cell>
          <cell r="K2133">
            <v>1172110.0800000026</v>
          </cell>
          <cell r="L2133">
            <v>1172110.0800000026</v>
          </cell>
          <cell r="M2133" t="e">
            <v>#N/A</v>
          </cell>
        </row>
        <row r="2134">
          <cell r="C2134" t="e">
            <v>#N/A</v>
          </cell>
          <cell r="E2134" t="e">
            <v>#N/A</v>
          </cell>
          <cell r="F2134" t="e">
            <v>#N/A</v>
          </cell>
          <cell r="G2134" t="e">
            <v>#N/A</v>
          </cell>
          <cell r="H2134">
            <v>0</v>
          </cell>
          <cell r="I2134">
            <v>0</v>
          </cell>
          <cell r="J2134" t="str">
            <v>X</v>
          </cell>
          <cell r="K2134">
            <v>1172110.0800000026</v>
          </cell>
          <cell r="L2134">
            <v>1172110.0800000026</v>
          </cell>
          <cell r="M2134" t="e">
            <v>#N/A</v>
          </cell>
        </row>
        <row r="2135">
          <cell r="C2135" t="e">
            <v>#N/A</v>
          </cell>
          <cell r="E2135" t="e">
            <v>#N/A</v>
          </cell>
          <cell r="F2135" t="e">
            <v>#N/A</v>
          </cell>
          <cell r="G2135" t="e">
            <v>#N/A</v>
          </cell>
          <cell r="H2135">
            <v>0</v>
          </cell>
          <cell r="I2135">
            <v>0</v>
          </cell>
          <cell r="J2135" t="str">
            <v>X</v>
          </cell>
          <cell r="K2135">
            <v>1172110.0800000026</v>
          </cell>
          <cell r="L2135">
            <v>1172110.0800000026</v>
          </cell>
          <cell r="M2135" t="e">
            <v>#N/A</v>
          </cell>
        </row>
        <row r="2136">
          <cell r="C2136" t="e">
            <v>#N/A</v>
          </cell>
          <cell r="E2136" t="e">
            <v>#N/A</v>
          </cell>
          <cell r="F2136" t="e">
            <v>#N/A</v>
          </cell>
          <cell r="G2136" t="e">
            <v>#N/A</v>
          </cell>
          <cell r="H2136">
            <v>0</v>
          </cell>
          <cell r="I2136">
            <v>0</v>
          </cell>
          <cell r="J2136" t="str">
            <v>X</v>
          </cell>
          <cell r="K2136">
            <v>1172110.0800000026</v>
          </cell>
          <cell r="L2136">
            <v>1172110.0800000026</v>
          </cell>
          <cell r="M2136" t="e">
            <v>#N/A</v>
          </cell>
        </row>
        <row r="2137">
          <cell r="C2137" t="e">
            <v>#N/A</v>
          </cell>
          <cell r="E2137" t="e">
            <v>#N/A</v>
          </cell>
          <cell r="F2137" t="e">
            <v>#N/A</v>
          </cell>
          <cell r="G2137" t="e">
            <v>#N/A</v>
          </cell>
          <cell r="H2137">
            <v>0</v>
          </cell>
          <cell r="I2137">
            <v>0</v>
          </cell>
          <cell r="J2137" t="str">
            <v>X</v>
          </cell>
          <cell r="K2137">
            <v>1172110.0800000026</v>
          </cell>
          <cell r="L2137">
            <v>1172110.0800000026</v>
          </cell>
          <cell r="M2137" t="e">
            <v>#N/A</v>
          </cell>
        </row>
        <row r="2138">
          <cell r="C2138" t="e">
            <v>#N/A</v>
          </cell>
          <cell r="E2138" t="e">
            <v>#N/A</v>
          </cell>
          <cell r="F2138" t="e">
            <v>#N/A</v>
          </cell>
          <cell r="G2138" t="e">
            <v>#N/A</v>
          </cell>
          <cell r="H2138">
            <v>0</v>
          </cell>
          <cell r="I2138">
            <v>0</v>
          </cell>
          <cell r="J2138" t="str">
            <v>X</v>
          </cell>
          <cell r="K2138">
            <v>1172110.0800000026</v>
          </cell>
          <cell r="L2138">
            <v>1172110.0800000026</v>
          </cell>
          <cell r="M2138" t="e">
            <v>#N/A</v>
          </cell>
        </row>
        <row r="2139">
          <cell r="C2139" t="e">
            <v>#N/A</v>
          </cell>
          <cell r="E2139" t="e">
            <v>#N/A</v>
          </cell>
          <cell r="F2139" t="e">
            <v>#N/A</v>
          </cell>
          <cell r="G2139" t="e">
            <v>#N/A</v>
          </cell>
          <cell r="H2139">
            <v>0</v>
          </cell>
          <cell r="I2139">
            <v>0</v>
          </cell>
          <cell r="J2139" t="str">
            <v>X</v>
          </cell>
          <cell r="K2139">
            <v>1172110.0800000026</v>
          </cell>
          <cell r="L2139">
            <v>1172110.0800000026</v>
          </cell>
          <cell r="M2139" t="e">
            <v>#N/A</v>
          </cell>
        </row>
        <row r="2140">
          <cell r="C2140" t="e">
            <v>#N/A</v>
          </cell>
          <cell r="E2140" t="e">
            <v>#N/A</v>
          </cell>
          <cell r="F2140" t="e">
            <v>#N/A</v>
          </cell>
          <cell r="G2140" t="e">
            <v>#N/A</v>
          </cell>
          <cell r="H2140">
            <v>0</v>
          </cell>
          <cell r="I2140">
            <v>0</v>
          </cell>
          <cell r="J2140" t="str">
            <v>X</v>
          </cell>
          <cell r="K2140">
            <v>1172110.0800000026</v>
          </cell>
          <cell r="L2140">
            <v>1172110.0800000026</v>
          </cell>
          <cell r="M2140" t="e">
            <v>#N/A</v>
          </cell>
        </row>
        <row r="2141">
          <cell r="C2141" t="e">
            <v>#N/A</v>
          </cell>
          <cell r="E2141" t="e">
            <v>#N/A</v>
          </cell>
          <cell r="F2141" t="e">
            <v>#N/A</v>
          </cell>
          <cell r="G2141" t="e">
            <v>#N/A</v>
          </cell>
          <cell r="H2141">
            <v>0</v>
          </cell>
          <cell r="I2141">
            <v>0</v>
          </cell>
          <cell r="J2141" t="str">
            <v>X</v>
          </cell>
          <cell r="K2141">
            <v>1172110.0800000026</v>
          </cell>
          <cell r="L2141">
            <v>1172110.0800000026</v>
          </cell>
          <cell r="M2141" t="e">
            <v>#N/A</v>
          </cell>
        </row>
        <row r="2142">
          <cell r="C2142" t="e">
            <v>#N/A</v>
          </cell>
          <cell r="E2142" t="e">
            <v>#N/A</v>
          </cell>
          <cell r="F2142" t="e">
            <v>#N/A</v>
          </cell>
          <cell r="G2142" t="e">
            <v>#N/A</v>
          </cell>
          <cell r="H2142">
            <v>0</v>
          </cell>
          <cell r="I2142">
            <v>0</v>
          </cell>
          <cell r="J2142" t="str">
            <v>X</v>
          </cell>
          <cell r="K2142">
            <v>1172110.0800000026</v>
          </cell>
          <cell r="L2142">
            <v>1172110.0800000026</v>
          </cell>
          <cell r="M2142" t="e">
            <v>#N/A</v>
          </cell>
        </row>
        <row r="2143">
          <cell r="C2143" t="e">
            <v>#N/A</v>
          </cell>
          <cell r="E2143" t="e">
            <v>#N/A</v>
          </cell>
          <cell r="F2143" t="e">
            <v>#N/A</v>
          </cell>
          <cell r="G2143" t="e">
            <v>#N/A</v>
          </cell>
          <cell r="H2143">
            <v>0</v>
          </cell>
          <cell r="I2143">
            <v>0</v>
          </cell>
          <cell r="J2143" t="str">
            <v>X</v>
          </cell>
          <cell r="K2143">
            <v>1172110.0800000026</v>
          </cell>
          <cell r="L2143">
            <v>1172110.0800000026</v>
          </cell>
          <cell r="M2143" t="e">
            <v>#N/A</v>
          </cell>
        </row>
        <row r="2144">
          <cell r="C2144" t="e">
            <v>#N/A</v>
          </cell>
          <cell r="E2144" t="e">
            <v>#N/A</v>
          </cell>
          <cell r="F2144" t="e">
            <v>#N/A</v>
          </cell>
          <cell r="G2144" t="e">
            <v>#N/A</v>
          </cell>
          <cell r="H2144">
            <v>0</v>
          </cell>
          <cell r="I2144">
            <v>0</v>
          </cell>
          <cell r="J2144" t="str">
            <v>X</v>
          </cell>
          <cell r="K2144">
            <v>1172110.0800000026</v>
          </cell>
          <cell r="L2144">
            <v>1172110.0800000026</v>
          </cell>
          <cell r="M2144" t="e">
            <v>#N/A</v>
          </cell>
        </row>
        <row r="2145">
          <cell r="C2145" t="e">
            <v>#N/A</v>
          </cell>
          <cell r="E2145" t="e">
            <v>#N/A</v>
          </cell>
          <cell r="F2145" t="e">
            <v>#N/A</v>
          </cell>
          <cell r="G2145" t="e">
            <v>#N/A</v>
          </cell>
          <cell r="H2145">
            <v>0</v>
          </cell>
          <cell r="I2145">
            <v>0</v>
          </cell>
          <cell r="J2145" t="str">
            <v>X</v>
          </cell>
          <cell r="K2145">
            <v>1172110.0800000026</v>
          </cell>
          <cell r="L2145">
            <v>1172110.0800000026</v>
          </cell>
          <cell r="M2145" t="e">
            <v>#N/A</v>
          </cell>
        </row>
        <row r="2146">
          <cell r="C2146" t="e">
            <v>#N/A</v>
          </cell>
          <cell r="E2146" t="e">
            <v>#N/A</v>
          </cell>
          <cell r="F2146" t="e">
            <v>#N/A</v>
          </cell>
          <cell r="G2146" t="e">
            <v>#N/A</v>
          </cell>
          <cell r="H2146">
            <v>0</v>
          </cell>
          <cell r="I2146">
            <v>0</v>
          </cell>
          <cell r="J2146" t="str">
            <v>X</v>
          </cell>
          <cell r="K2146">
            <v>1172110.0800000026</v>
          </cell>
          <cell r="L2146">
            <v>1172110.0800000026</v>
          </cell>
          <cell r="M2146" t="e">
            <v>#N/A</v>
          </cell>
        </row>
        <row r="2147">
          <cell r="C2147" t="e">
            <v>#N/A</v>
          </cell>
          <cell r="E2147" t="e">
            <v>#N/A</v>
          </cell>
          <cell r="F2147" t="e">
            <v>#N/A</v>
          </cell>
          <cell r="G2147" t="e">
            <v>#N/A</v>
          </cell>
          <cell r="H2147">
            <v>0</v>
          </cell>
          <cell r="I2147">
            <v>0</v>
          </cell>
          <cell r="J2147" t="str">
            <v>X</v>
          </cell>
          <cell r="K2147">
            <v>1172110.0800000026</v>
          </cell>
          <cell r="L2147">
            <v>1172110.0800000026</v>
          </cell>
          <cell r="M2147" t="e">
            <v>#N/A</v>
          </cell>
        </row>
        <row r="2148">
          <cell r="C2148" t="e">
            <v>#N/A</v>
          </cell>
          <cell r="E2148" t="e">
            <v>#N/A</v>
          </cell>
          <cell r="F2148" t="e">
            <v>#N/A</v>
          </cell>
          <cell r="G2148" t="e">
            <v>#N/A</v>
          </cell>
          <cell r="H2148">
            <v>0</v>
          </cell>
          <cell r="I2148">
            <v>0</v>
          </cell>
          <cell r="J2148" t="str">
            <v>X</v>
          </cell>
          <cell r="K2148">
            <v>1172110.0800000026</v>
          </cell>
          <cell r="L2148">
            <v>1172110.0800000026</v>
          </cell>
          <cell r="M2148" t="e">
            <v>#N/A</v>
          </cell>
        </row>
        <row r="2149">
          <cell r="C2149" t="e">
            <v>#N/A</v>
          </cell>
          <cell r="E2149" t="e">
            <v>#N/A</v>
          </cell>
          <cell r="F2149" t="e">
            <v>#N/A</v>
          </cell>
          <cell r="G2149" t="e">
            <v>#N/A</v>
          </cell>
          <cell r="H2149">
            <v>0</v>
          </cell>
          <cell r="I2149">
            <v>0</v>
          </cell>
          <cell r="J2149" t="str">
            <v>X</v>
          </cell>
          <cell r="K2149">
            <v>1172110.0800000026</v>
          </cell>
          <cell r="L2149">
            <v>1172110.0800000026</v>
          </cell>
          <cell r="M2149" t="e">
            <v>#N/A</v>
          </cell>
        </row>
        <row r="2150">
          <cell r="C2150" t="e">
            <v>#N/A</v>
          </cell>
          <cell r="E2150" t="e">
            <v>#N/A</v>
          </cell>
          <cell r="F2150" t="e">
            <v>#N/A</v>
          </cell>
          <cell r="G2150" t="e">
            <v>#N/A</v>
          </cell>
          <cell r="H2150">
            <v>0</v>
          </cell>
          <cell r="I2150">
            <v>0</v>
          </cell>
          <cell r="J2150" t="str">
            <v>X</v>
          </cell>
          <cell r="K2150">
            <v>1172110.0800000026</v>
          </cell>
          <cell r="L2150">
            <v>1172110.0800000026</v>
          </cell>
          <cell r="M2150" t="e">
            <v>#N/A</v>
          </cell>
        </row>
        <row r="2151">
          <cell r="C2151" t="e">
            <v>#N/A</v>
          </cell>
          <cell r="E2151" t="e">
            <v>#N/A</v>
          </cell>
          <cell r="F2151" t="e">
            <v>#N/A</v>
          </cell>
          <cell r="G2151" t="e">
            <v>#N/A</v>
          </cell>
          <cell r="H2151">
            <v>0</v>
          </cell>
          <cell r="I2151">
            <v>0</v>
          </cell>
          <cell r="J2151" t="str">
            <v>X</v>
          </cell>
          <cell r="K2151">
            <v>1172110.0800000026</v>
          </cell>
          <cell r="L2151">
            <v>1172110.0800000026</v>
          </cell>
          <cell r="M2151" t="e">
            <v>#N/A</v>
          </cell>
        </row>
        <row r="2152">
          <cell r="C2152" t="e">
            <v>#N/A</v>
          </cell>
          <cell r="E2152" t="e">
            <v>#N/A</v>
          </cell>
          <cell r="F2152" t="e">
            <v>#N/A</v>
          </cell>
          <cell r="G2152" t="e">
            <v>#N/A</v>
          </cell>
          <cell r="H2152">
            <v>0</v>
          </cell>
          <cell r="I2152">
            <v>0</v>
          </cell>
          <cell r="J2152" t="str">
            <v>X</v>
          </cell>
          <cell r="K2152">
            <v>1172110.0800000026</v>
          </cell>
          <cell r="L2152">
            <v>1172110.0800000026</v>
          </cell>
          <cell r="M2152" t="e">
            <v>#N/A</v>
          </cell>
        </row>
        <row r="2153">
          <cell r="C2153" t="e">
            <v>#N/A</v>
          </cell>
          <cell r="E2153" t="e">
            <v>#N/A</v>
          </cell>
          <cell r="F2153" t="e">
            <v>#N/A</v>
          </cell>
          <cell r="G2153" t="e">
            <v>#N/A</v>
          </cell>
          <cell r="H2153">
            <v>0</v>
          </cell>
          <cell r="I2153">
            <v>0</v>
          </cell>
          <cell r="J2153" t="str">
            <v>X</v>
          </cell>
          <cell r="K2153">
            <v>1172110.0800000026</v>
          </cell>
          <cell r="L2153">
            <v>1172110.0800000026</v>
          </cell>
          <cell r="M2153" t="e">
            <v>#N/A</v>
          </cell>
        </row>
        <row r="2154">
          <cell r="C2154" t="e">
            <v>#N/A</v>
          </cell>
          <cell r="E2154" t="e">
            <v>#N/A</v>
          </cell>
          <cell r="F2154" t="e">
            <v>#N/A</v>
          </cell>
          <cell r="G2154" t="e">
            <v>#N/A</v>
          </cell>
          <cell r="H2154">
            <v>0</v>
          </cell>
          <cell r="I2154">
            <v>0</v>
          </cell>
          <cell r="J2154" t="str">
            <v>X</v>
          </cell>
          <cell r="K2154">
            <v>1172110.0800000026</v>
          </cell>
          <cell r="L2154">
            <v>1172110.0800000026</v>
          </cell>
          <cell r="M2154" t="e">
            <v>#N/A</v>
          </cell>
        </row>
        <row r="2155">
          <cell r="C2155" t="e">
            <v>#N/A</v>
          </cell>
          <cell r="E2155" t="e">
            <v>#N/A</v>
          </cell>
          <cell r="F2155" t="e">
            <v>#N/A</v>
          </cell>
          <cell r="G2155" t="e">
            <v>#N/A</v>
          </cell>
          <cell r="H2155">
            <v>0</v>
          </cell>
          <cell r="I2155">
            <v>0</v>
          </cell>
          <cell r="J2155" t="str">
            <v>X</v>
          </cell>
          <cell r="K2155">
            <v>1172110.0800000026</v>
          </cell>
          <cell r="L2155">
            <v>1172110.0800000026</v>
          </cell>
          <cell r="M2155" t="e">
            <v>#N/A</v>
          </cell>
        </row>
        <row r="2156">
          <cell r="C2156" t="e">
            <v>#N/A</v>
          </cell>
          <cell r="E2156" t="e">
            <v>#N/A</v>
          </cell>
          <cell r="F2156" t="e">
            <v>#N/A</v>
          </cell>
          <cell r="G2156" t="e">
            <v>#N/A</v>
          </cell>
          <cell r="H2156">
            <v>0</v>
          </cell>
          <cell r="I2156">
            <v>0</v>
          </cell>
          <cell r="J2156" t="str">
            <v>X</v>
          </cell>
          <cell r="K2156">
            <v>1172110.0800000026</v>
          </cell>
          <cell r="L2156">
            <v>1172110.0800000026</v>
          </cell>
          <cell r="M2156" t="e">
            <v>#N/A</v>
          </cell>
        </row>
        <row r="2157">
          <cell r="C2157" t="e">
            <v>#N/A</v>
          </cell>
          <cell r="E2157" t="e">
            <v>#N/A</v>
          </cell>
          <cell r="F2157" t="e">
            <v>#N/A</v>
          </cell>
          <cell r="G2157" t="e">
            <v>#N/A</v>
          </cell>
          <cell r="H2157">
            <v>0</v>
          </cell>
          <cell r="I2157">
            <v>0</v>
          </cell>
          <cell r="J2157" t="str">
            <v>X</v>
          </cell>
          <cell r="K2157">
            <v>1172110.0800000026</v>
          </cell>
          <cell r="L2157">
            <v>1172110.0800000026</v>
          </cell>
          <cell r="M2157" t="e">
            <v>#N/A</v>
          </cell>
        </row>
        <row r="2158">
          <cell r="C2158" t="e">
            <v>#N/A</v>
          </cell>
          <cell r="E2158" t="e">
            <v>#N/A</v>
          </cell>
          <cell r="F2158" t="e">
            <v>#N/A</v>
          </cell>
          <cell r="G2158" t="e">
            <v>#N/A</v>
          </cell>
          <cell r="H2158">
            <v>0</v>
          </cell>
          <cell r="I2158">
            <v>0</v>
          </cell>
          <cell r="J2158" t="str">
            <v>X</v>
          </cell>
          <cell r="K2158">
            <v>1172110.0800000026</v>
          </cell>
          <cell r="L2158">
            <v>1172110.0800000026</v>
          </cell>
          <cell r="M2158" t="e">
            <v>#N/A</v>
          </cell>
        </row>
        <row r="2159">
          <cell r="C2159" t="e">
            <v>#N/A</v>
          </cell>
          <cell r="E2159" t="e">
            <v>#N/A</v>
          </cell>
          <cell r="F2159" t="e">
            <v>#N/A</v>
          </cell>
          <cell r="G2159" t="e">
            <v>#N/A</v>
          </cell>
          <cell r="H2159">
            <v>0</v>
          </cell>
          <cell r="I2159">
            <v>0</v>
          </cell>
          <cell r="J2159" t="str">
            <v>X</v>
          </cell>
          <cell r="K2159">
            <v>1172110.0800000026</v>
          </cell>
          <cell r="L2159">
            <v>1172110.0800000026</v>
          </cell>
          <cell r="M2159" t="e">
            <v>#N/A</v>
          </cell>
        </row>
        <row r="2160">
          <cell r="C2160" t="e">
            <v>#N/A</v>
          </cell>
          <cell r="E2160" t="e">
            <v>#N/A</v>
          </cell>
          <cell r="F2160" t="e">
            <v>#N/A</v>
          </cell>
          <cell r="G2160" t="e">
            <v>#N/A</v>
          </cell>
          <cell r="H2160">
            <v>0</v>
          </cell>
          <cell r="I2160">
            <v>0</v>
          </cell>
          <cell r="J2160" t="str">
            <v>X</v>
          </cell>
          <cell r="K2160">
            <v>1172110.0800000026</v>
          </cell>
          <cell r="L2160">
            <v>1172110.0800000026</v>
          </cell>
          <cell r="M2160" t="e">
            <v>#N/A</v>
          </cell>
        </row>
        <row r="2161">
          <cell r="C2161" t="e">
            <v>#N/A</v>
          </cell>
          <cell r="E2161" t="e">
            <v>#N/A</v>
          </cell>
          <cell r="F2161" t="e">
            <v>#N/A</v>
          </cell>
          <cell r="G2161" t="e">
            <v>#N/A</v>
          </cell>
          <cell r="H2161">
            <v>0</v>
          </cell>
          <cell r="I2161">
            <v>0</v>
          </cell>
          <cell r="J2161" t="str">
            <v>X</v>
          </cell>
          <cell r="K2161">
            <v>1172110.0800000026</v>
          </cell>
          <cell r="L2161">
            <v>1172110.0800000026</v>
          </cell>
          <cell r="M2161" t="e">
            <v>#N/A</v>
          </cell>
        </row>
        <row r="2162">
          <cell r="C2162" t="e">
            <v>#N/A</v>
          </cell>
          <cell r="E2162" t="e">
            <v>#N/A</v>
          </cell>
          <cell r="F2162" t="e">
            <v>#N/A</v>
          </cell>
          <cell r="G2162" t="e">
            <v>#N/A</v>
          </cell>
          <cell r="H2162">
            <v>0</v>
          </cell>
          <cell r="I2162">
            <v>0</v>
          </cell>
          <cell r="J2162" t="str">
            <v>X</v>
          </cell>
          <cell r="K2162">
            <v>1172110.0800000026</v>
          </cell>
          <cell r="L2162">
            <v>1172110.0800000026</v>
          </cell>
          <cell r="M2162" t="e">
            <v>#N/A</v>
          </cell>
        </row>
        <row r="2163">
          <cell r="C2163" t="e">
            <v>#N/A</v>
          </cell>
          <cell r="E2163" t="e">
            <v>#N/A</v>
          </cell>
          <cell r="F2163" t="e">
            <v>#N/A</v>
          </cell>
          <cell r="G2163" t="e">
            <v>#N/A</v>
          </cell>
          <cell r="H2163">
            <v>0</v>
          </cell>
          <cell r="I2163">
            <v>0</v>
          </cell>
          <cell r="J2163" t="str">
            <v>X</v>
          </cell>
          <cell r="K2163">
            <v>1172110.0800000026</v>
          </cell>
          <cell r="L2163">
            <v>1172110.0800000026</v>
          </cell>
          <cell r="M2163" t="e">
            <v>#N/A</v>
          </cell>
        </row>
        <row r="2164">
          <cell r="C2164" t="e">
            <v>#N/A</v>
          </cell>
          <cell r="E2164" t="e">
            <v>#N/A</v>
          </cell>
          <cell r="F2164" t="e">
            <v>#N/A</v>
          </cell>
          <cell r="G2164" t="e">
            <v>#N/A</v>
          </cell>
          <cell r="H2164">
            <v>0</v>
          </cell>
          <cell r="I2164">
            <v>0</v>
          </cell>
          <cell r="J2164" t="str">
            <v>X</v>
          </cell>
          <cell r="K2164">
            <v>1172110.0800000026</v>
          </cell>
          <cell r="L2164">
            <v>1172110.0800000026</v>
          </cell>
          <cell r="M2164" t="e">
            <v>#N/A</v>
          </cell>
        </row>
        <row r="2165">
          <cell r="C2165" t="e">
            <v>#N/A</v>
          </cell>
          <cell r="E2165" t="e">
            <v>#N/A</v>
          </cell>
          <cell r="F2165" t="e">
            <v>#N/A</v>
          </cell>
          <cell r="G2165" t="e">
            <v>#N/A</v>
          </cell>
          <cell r="H2165">
            <v>0</v>
          </cell>
          <cell r="I2165">
            <v>0</v>
          </cell>
          <cell r="J2165" t="str">
            <v>X</v>
          </cell>
          <cell r="K2165">
            <v>1172110.0800000026</v>
          </cell>
          <cell r="L2165">
            <v>1172110.0800000026</v>
          </cell>
          <cell r="M2165" t="e">
            <v>#N/A</v>
          </cell>
        </row>
        <row r="2166">
          <cell r="C2166" t="e">
            <v>#N/A</v>
          </cell>
          <cell r="E2166" t="e">
            <v>#N/A</v>
          </cell>
          <cell r="F2166" t="e">
            <v>#N/A</v>
          </cell>
          <cell r="G2166" t="e">
            <v>#N/A</v>
          </cell>
          <cell r="H2166">
            <v>0</v>
          </cell>
          <cell r="I2166">
            <v>0</v>
          </cell>
          <cell r="J2166" t="str">
            <v>X</v>
          </cell>
          <cell r="K2166">
            <v>1172110.0800000026</v>
          </cell>
          <cell r="L2166">
            <v>1172110.0800000026</v>
          </cell>
          <cell r="M2166" t="e">
            <v>#N/A</v>
          </cell>
        </row>
        <row r="2167">
          <cell r="C2167" t="e">
            <v>#N/A</v>
          </cell>
          <cell r="E2167" t="e">
            <v>#N/A</v>
          </cell>
          <cell r="F2167" t="e">
            <v>#N/A</v>
          </cell>
          <cell r="G2167" t="e">
            <v>#N/A</v>
          </cell>
          <cell r="H2167">
            <v>0</v>
          </cell>
          <cell r="I2167">
            <v>0</v>
          </cell>
          <cell r="J2167" t="str">
            <v>X</v>
          </cell>
          <cell r="K2167">
            <v>1172110.0800000026</v>
          </cell>
          <cell r="L2167">
            <v>1172110.0800000026</v>
          </cell>
          <cell r="M2167" t="e">
            <v>#N/A</v>
          </cell>
        </row>
        <row r="2168">
          <cell r="C2168" t="e">
            <v>#N/A</v>
          </cell>
          <cell r="E2168" t="e">
            <v>#N/A</v>
          </cell>
          <cell r="F2168" t="e">
            <v>#N/A</v>
          </cell>
          <cell r="G2168" t="e">
            <v>#N/A</v>
          </cell>
          <cell r="H2168">
            <v>0</v>
          </cell>
          <cell r="I2168">
            <v>0</v>
          </cell>
          <cell r="J2168" t="str">
            <v>X</v>
          </cell>
          <cell r="K2168">
            <v>1172110.0800000026</v>
          </cell>
          <cell r="L2168">
            <v>1172110.0800000026</v>
          </cell>
          <cell r="M2168" t="e">
            <v>#N/A</v>
          </cell>
        </row>
        <row r="2169">
          <cell r="C2169" t="e">
            <v>#N/A</v>
          </cell>
          <cell r="E2169" t="e">
            <v>#N/A</v>
          </cell>
          <cell r="F2169" t="e">
            <v>#N/A</v>
          </cell>
          <cell r="G2169" t="e">
            <v>#N/A</v>
          </cell>
          <cell r="H2169">
            <v>0</v>
          </cell>
          <cell r="I2169">
            <v>0</v>
          </cell>
          <cell r="J2169" t="str">
            <v>X</v>
          </cell>
          <cell r="K2169">
            <v>1172110.0800000026</v>
          </cell>
          <cell r="L2169">
            <v>1172110.0800000026</v>
          </cell>
          <cell r="M2169" t="e">
            <v>#N/A</v>
          </cell>
        </row>
        <row r="2170">
          <cell r="C2170" t="e">
            <v>#N/A</v>
          </cell>
          <cell r="E2170" t="e">
            <v>#N/A</v>
          </cell>
          <cell r="F2170" t="e">
            <v>#N/A</v>
          </cell>
          <cell r="G2170" t="e">
            <v>#N/A</v>
          </cell>
          <cell r="H2170">
            <v>0</v>
          </cell>
          <cell r="I2170">
            <v>0</v>
          </cell>
          <cell r="J2170" t="str">
            <v>X</v>
          </cell>
          <cell r="K2170">
            <v>1172110.0800000026</v>
          </cell>
          <cell r="L2170">
            <v>1172110.0800000026</v>
          </cell>
          <cell r="M2170" t="e">
            <v>#N/A</v>
          </cell>
        </row>
        <row r="2171">
          <cell r="C2171" t="e">
            <v>#N/A</v>
          </cell>
          <cell r="E2171" t="e">
            <v>#N/A</v>
          </cell>
          <cell r="F2171" t="e">
            <v>#N/A</v>
          </cell>
          <cell r="G2171" t="e">
            <v>#N/A</v>
          </cell>
          <cell r="H2171">
            <v>0</v>
          </cell>
          <cell r="I2171">
            <v>0</v>
          </cell>
          <cell r="J2171" t="str">
            <v>X</v>
          </cell>
          <cell r="K2171">
            <v>1172110.0800000026</v>
          </cell>
          <cell r="L2171">
            <v>1172110.0800000026</v>
          </cell>
          <cell r="M2171" t="e">
            <v>#N/A</v>
          </cell>
        </row>
        <row r="2172">
          <cell r="C2172" t="e">
            <v>#N/A</v>
          </cell>
          <cell r="E2172" t="e">
            <v>#N/A</v>
          </cell>
          <cell r="F2172" t="e">
            <v>#N/A</v>
          </cell>
          <cell r="G2172" t="e">
            <v>#N/A</v>
          </cell>
          <cell r="H2172">
            <v>0</v>
          </cell>
          <cell r="I2172">
            <v>0</v>
          </cell>
          <cell r="J2172" t="str">
            <v>X</v>
          </cell>
          <cell r="K2172">
            <v>1172110.0800000026</v>
          </cell>
          <cell r="L2172">
            <v>1172110.0800000026</v>
          </cell>
          <cell r="M2172" t="e">
            <v>#N/A</v>
          </cell>
        </row>
        <row r="2173">
          <cell r="C2173" t="e">
            <v>#N/A</v>
          </cell>
          <cell r="E2173" t="e">
            <v>#N/A</v>
          </cell>
          <cell r="F2173" t="e">
            <v>#N/A</v>
          </cell>
          <cell r="G2173" t="e">
            <v>#N/A</v>
          </cell>
          <cell r="H2173">
            <v>0</v>
          </cell>
          <cell r="I2173">
            <v>0</v>
          </cell>
          <cell r="J2173" t="str">
            <v>X</v>
          </cell>
          <cell r="K2173">
            <v>1172110.0800000026</v>
          </cell>
          <cell r="L2173">
            <v>1172110.0800000026</v>
          </cell>
          <cell r="M2173" t="e">
            <v>#N/A</v>
          </cell>
        </row>
        <row r="2174">
          <cell r="C2174" t="e">
            <v>#N/A</v>
          </cell>
          <cell r="E2174" t="e">
            <v>#N/A</v>
          </cell>
          <cell r="F2174" t="e">
            <v>#N/A</v>
          </cell>
          <cell r="G2174" t="e">
            <v>#N/A</v>
          </cell>
          <cell r="H2174">
            <v>0</v>
          </cell>
          <cell r="I2174">
            <v>0</v>
          </cell>
          <cell r="J2174" t="str">
            <v>X</v>
          </cell>
          <cell r="K2174">
            <v>1172110.0800000026</v>
          </cell>
          <cell r="L2174">
            <v>1172110.0800000026</v>
          </cell>
          <cell r="M2174" t="e">
            <v>#N/A</v>
          </cell>
        </row>
        <row r="2175">
          <cell r="C2175" t="e">
            <v>#N/A</v>
          </cell>
          <cell r="E2175" t="e">
            <v>#N/A</v>
          </cell>
          <cell r="F2175" t="e">
            <v>#N/A</v>
          </cell>
          <cell r="G2175" t="e">
            <v>#N/A</v>
          </cell>
          <cell r="H2175">
            <v>0</v>
          </cell>
          <cell r="I2175">
            <v>0</v>
          </cell>
          <cell r="J2175" t="str">
            <v>X</v>
          </cell>
          <cell r="K2175">
            <v>1172110.0800000026</v>
          </cell>
          <cell r="L2175">
            <v>1172110.0800000026</v>
          </cell>
          <cell r="M2175" t="e">
            <v>#N/A</v>
          </cell>
        </row>
        <row r="2176">
          <cell r="C2176" t="e">
            <v>#N/A</v>
          </cell>
          <cell r="E2176" t="e">
            <v>#N/A</v>
          </cell>
          <cell r="F2176" t="e">
            <v>#N/A</v>
          </cell>
          <cell r="G2176" t="e">
            <v>#N/A</v>
          </cell>
          <cell r="H2176">
            <v>0</v>
          </cell>
          <cell r="I2176">
            <v>0</v>
          </cell>
          <cell r="J2176" t="str">
            <v>X</v>
          </cell>
          <cell r="K2176">
            <v>1172110.0800000026</v>
          </cell>
          <cell r="L2176">
            <v>1172110.0800000026</v>
          </cell>
          <cell r="M2176" t="e">
            <v>#N/A</v>
          </cell>
        </row>
        <row r="2177">
          <cell r="C2177" t="e">
            <v>#N/A</v>
          </cell>
          <cell r="E2177" t="e">
            <v>#N/A</v>
          </cell>
          <cell r="F2177" t="e">
            <v>#N/A</v>
          </cell>
          <cell r="G2177" t="e">
            <v>#N/A</v>
          </cell>
          <cell r="H2177">
            <v>0</v>
          </cell>
          <cell r="I2177">
            <v>0</v>
          </cell>
          <cell r="J2177" t="str">
            <v>X</v>
          </cell>
          <cell r="K2177">
            <v>1172110.0800000026</v>
          </cell>
          <cell r="L2177">
            <v>1172110.0800000026</v>
          </cell>
          <cell r="M2177" t="e">
            <v>#N/A</v>
          </cell>
        </row>
        <row r="2178">
          <cell r="C2178" t="e">
            <v>#N/A</v>
          </cell>
          <cell r="E2178" t="e">
            <v>#N/A</v>
          </cell>
          <cell r="F2178" t="e">
            <v>#N/A</v>
          </cell>
          <cell r="G2178" t="e">
            <v>#N/A</v>
          </cell>
          <cell r="H2178">
            <v>0</v>
          </cell>
          <cell r="I2178">
            <v>0</v>
          </cell>
          <cell r="J2178" t="str">
            <v>X</v>
          </cell>
          <cell r="K2178">
            <v>1172110.0800000026</v>
          </cell>
          <cell r="L2178">
            <v>1172110.0800000026</v>
          </cell>
          <cell r="M2178" t="e">
            <v>#N/A</v>
          </cell>
        </row>
        <row r="2179">
          <cell r="C2179" t="e">
            <v>#N/A</v>
          </cell>
          <cell r="E2179" t="e">
            <v>#N/A</v>
          </cell>
          <cell r="F2179" t="e">
            <v>#N/A</v>
          </cell>
          <cell r="G2179" t="e">
            <v>#N/A</v>
          </cell>
          <cell r="H2179">
            <v>0</v>
          </cell>
          <cell r="I2179">
            <v>0</v>
          </cell>
          <cell r="J2179" t="str">
            <v>X</v>
          </cell>
          <cell r="K2179">
            <v>1172110.0800000026</v>
          </cell>
          <cell r="L2179">
            <v>1172110.0800000026</v>
          </cell>
          <cell r="M2179" t="e">
            <v>#N/A</v>
          </cell>
        </row>
        <row r="2180">
          <cell r="C2180" t="e">
            <v>#N/A</v>
          </cell>
          <cell r="E2180" t="e">
            <v>#N/A</v>
          </cell>
          <cell r="F2180" t="e">
            <v>#N/A</v>
          </cell>
          <cell r="G2180" t="e">
            <v>#N/A</v>
          </cell>
          <cell r="H2180">
            <v>0</v>
          </cell>
          <cell r="I2180">
            <v>0</v>
          </cell>
          <cell r="J2180" t="str">
            <v>X</v>
          </cell>
          <cell r="K2180">
            <v>1172110.0800000026</v>
          </cell>
          <cell r="L2180">
            <v>1172110.0800000026</v>
          </cell>
          <cell r="M2180" t="e">
            <v>#N/A</v>
          </cell>
        </row>
        <row r="2181">
          <cell r="C2181" t="e">
            <v>#N/A</v>
          </cell>
          <cell r="E2181" t="e">
            <v>#N/A</v>
          </cell>
          <cell r="F2181" t="e">
            <v>#N/A</v>
          </cell>
          <cell r="G2181" t="e">
            <v>#N/A</v>
          </cell>
          <cell r="H2181">
            <v>0</v>
          </cell>
          <cell r="I2181">
            <v>0</v>
          </cell>
          <cell r="J2181" t="str">
            <v>X</v>
          </cell>
          <cell r="K2181">
            <v>1172110.0800000026</v>
          </cell>
          <cell r="L2181">
            <v>1172110.0800000026</v>
          </cell>
          <cell r="M2181" t="e">
            <v>#N/A</v>
          </cell>
        </row>
        <row r="2182">
          <cell r="C2182" t="e">
            <v>#N/A</v>
          </cell>
          <cell r="E2182" t="e">
            <v>#N/A</v>
          </cell>
          <cell r="F2182" t="e">
            <v>#N/A</v>
          </cell>
          <cell r="G2182" t="e">
            <v>#N/A</v>
          </cell>
          <cell r="H2182">
            <v>0</v>
          </cell>
          <cell r="I2182">
            <v>0</v>
          </cell>
          <cell r="J2182" t="str">
            <v>X</v>
          </cell>
          <cell r="K2182">
            <v>1172110.0800000026</v>
          </cell>
          <cell r="L2182">
            <v>1172110.0800000026</v>
          </cell>
          <cell r="M2182" t="e">
            <v>#N/A</v>
          </cell>
        </row>
        <row r="2183">
          <cell r="C2183" t="e">
            <v>#N/A</v>
          </cell>
          <cell r="E2183" t="e">
            <v>#N/A</v>
          </cell>
          <cell r="F2183" t="e">
            <v>#N/A</v>
          </cell>
          <cell r="G2183" t="e">
            <v>#N/A</v>
          </cell>
          <cell r="H2183">
            <v>0</v>
          </cell>
          <cell r="I2183">
            <v>0</v>
          </cell>
          <cell r="J2183" t="str">
            <v>X</v>
          </cell>
          <cell r="K2183">
            <v>1172110.0800000026</v>
          </cell>
          <cell r="L2183">
            <v>1172110.0800000026</v>
          </cell>
          <cell r="M2183" t="e">
            <v>#N/A</v>
          </cell>
        </row>
        <row r="2184">
          <cell r="C2184" t="e">
            <v>#N/A</v>
          </cell>
          <cell r="E2184" t="e">
            <v>#N/A</v>
          </cell>
          <cell r="F2184" t="e">
            <v>#N/A</v>
          </cell>
          <cell r="G2184" t="e">
            <v>#N/A</v>
          </cell>
          <cell r="H2184">
            <v>0</v>
          </cell>
          <cell r="I2184">
            <v>0</v>
          </cell>
          <cell r="J2184" t="str">
            <v>X</v>
          </cell>
          <cell r="K2184">
            <v>1172110.0800000026</v>
          </cell>
          <cell r="L2184">
            <v>1172110.0800000026</v>
          </cell>
          <cell r="M2184" t="e">
            <v>#N/A</v>
          </cell>
        </row>
        <row r="2185">
          <cell r="C2185" t="e">
            <v>#N/A</v>
          </cell>
          <cell r="E2185" t="e">
            <v>#N/A</v>
          </cell>
          <cell r="F2185" t="e">
            <v>#N/A</v>
          </cell>
          <cell r="G2185" t="e">
            <v>#N/A</v>
          </cell>
          <cell r="H2185">
            <v>0</v>
          </cell>
          <cell r="I2185">
            <v>0</v>
          </cell>
          <cell r="J2185" t="str">
            <v>X</v>
          </cell>
          <cell r="K2185">
            <v>1172110.0800000026</v>
          </cell>
          <cell r="L2185">
            <v>1172110.0800000026</v>
          </cell>
          <cell r="M2185" t="e">
            <v>#N/A</v>
          </cell>
        </row>
        <row r="2186">
          <cell r="C2186" t="e">
            <v>#N/A</v>
          </cell>
          <cell r="E2186" t="e">
            <v>#N/A</v>
          </cell>
          <cell r="F2186" t="e">
            <v>#N/A</v>
          </cell>
          <cell r="G2186" t="e">
            <v>#N/A</v>
          </cell>
          <cell r="H2186">
            <v>0</v>
          </cell>
          <cell r="I2186">
            <v>0</v>
          </cell>
          <cell r="J2186" t="str">
            <v>X</v>
          </cell>
          <cell r="K2186">
            <v>1172110.0800000026</v>
          </cell>
          <cell r="L2186">
            <v>1172110.0800000026</v>
          </cell>
          <cell r="M2186" t="e">
            <v>#N/A</v>
          </cell>
        </row>
        <row r="2187">
          <cell r="C2187" t="e">
            <v>#N/A</v>
          </cell>
          <cell r="E2187" t="e">
            <v>#N/A</v>
          </cell>
          <cell r="F2187" t="e">
            <v>#N/A</v>
          </cell>
          <cell r="G2187" t="e">
            <v>#N/A</v>
          </cell>
          <cell r="H2187">
            <v>0</v>
          </cell>
          <cell r="I2187">
            <v>0</v>
          </cell>
          <cell r="J2187" t="str">
            <v>X</v>
          </cell>
          <cell r="K2187">
            <v>1172110.0800000026</v>
          </cell>
          <cell r="L2187">
            <v>1172110.0800000026</v>
          </cell>
          <cell r="M2187" t="e">
            <v>#N/A</v>
          </cell>
        </row>
        <row r="2188">
          <cell r="C2188" t="e">
            <v>#N/A</v>
          </cell>
          <cell r="E2188" t="e">
            <v>#N/A</v>
          </cell>
          <cell r="F2188" t="e">
            <v>#N/A</v>
          </cell>
          <cell r="G2188" t="e">
            <v>#N/A</v>
          </cell>
          <cell r="H2188">
            <v>0</v>
          </cell>
          <cell r="I2188">
            <v>0</v>
          </cell>
          <cell r="J2188" t="str">
            <v>X</v>
          </cell>
          <cell r="K2188">
            <v>1172110.0800000026</v>
          </cell>
          <cell r="L2188">
            <v>1172110.0800000026</v>
          </cell>
          <cell r="M2188" t="e">
            <v>#N/A</v>
          </cell>
        </row>
        <row r="2189">
          <cell r="C2189" t="e">
            <v>#N/A</v>
          </cell>
          <cell r="E2189" t="e">
            <v>#N/A</v>
          </cell>
          <cell r="F2189" t="e">
            <v>#N/A</v>
          </cell>
          <cell r="G2189" t="e">
            <v>#N/A</v>
          </cell>
          <cell r="H2189">
            <v>0</v>
          </cell>
          <cell r="I2189">
            <v>0</v>
          </cell>
          <cell r="J2189" t="str">
            <v>X</v>
          </cell>
          <cell r="K2189">
            <v>1172110.0800000026</v>
          </cell>
          <cell r="L2189">
            <v>1172110.0800000026</v>
          </cell>
          <cell r="M2189" t="e">
            <v>#N/A</v>
          </cell>
        </row>
        <row r="2190">
          <cell r="C2190" t="e">
            <v>#N/A</v>
          </cell>
          <cell r="E2190" t="e">
            <v>#N/A</v>
          </cell>
          <cell r="F2190" t="e">
            <v>#N/A</v>
          </cell>
          <cell r="G2190" t="e">
            <v>#N/A</v>
          </cell>
          <cell r="H2190">
            <v>0</v>
          </cell>
          <cell r="I2190">
            <v>0</v>
          </cell>
          <cell r="J2190" t="str">
            <v>X</v>
          </cell>
          <cell r="K2190">
            <v>1172110.0800000026</v>
          </cell>
          <cell r="L2190">
            <v>1172110.0800000026</v>
          </cell>
          <cell r="M2190" t="e">
            <v>#N/A</v>
          </cell>
        </row>
        <row r="2191">
          <cell r="C2191" t="e">
            <v>#N/A</v>
          </cell>
          <cell r="E2191" t="e">
            <v>#N/A</v>
          </cell>
          <cell r="F2191" t="e">
            <v>#N/A</v>
          </cell>
          <cell r="G2191" t="e">
            <v>#N/A</v>
          </cell>
          <cell r="H2191">
            <v>0</v>
          </cell>
          <cell r="I2191">
            <v>0</v>
          </cell>
          <cell r="J2191" t="str">
            <v>X</v>
          </cell>
          <cell r="K2191">
            <v>1172110.0800000026</v>
          </cell>
          <cell r="L2191">
            <v>1172110.0800000026</v>
          </cell>
          <cell r="M2191" t="e">
            <v>#N/A</v>
          </cell>
        </row>
        <row r="2192">
          <cell r="C2192" t="e">
            <v>#N/A</v>
          </cell>
          <cell r="E2192" t="e">
            <v>#N/A</v>
          </cell>
          <cell r="F2192" t="e">
            <v>#N/A</v>
          </cell>
          <cell r="G2192" t="e">
            <v>#N/A</v>
          </cell>
          <cell r="H2192">
            <v>0</v>
          </cell>
          <cell r="I2192">
            <v>0</v>
          </cell>
          <cell r="J2192" t="str">
            <v>X</v>
          </cell>
          <cell r="K2192">
            <v>1172110.0800000026</v>
          </cell>
          <cell r="L2192">
            <v>1172110.0800000026</v>
          </cell>
          <cell r="M2192" t="e">
            <v>#N/A</v>
          </cell>
        </row>
        <row r="2193">
          <cell r="C2193" t="e">
            <v>#N/A</v>
          </cell>
          <cell r="E2193" t="e">
            <v>#N/A</v>
          </cell>
          <cell r="F2193" t="e">
            <v>#N/A</v>
          </cell>
          <cell r="G2193" t="e">
            <v>#N/A</v>
          </cell>
          <cell r="H2193">
            <v>0</v>
          </cell>
          <cell r="I2193">
            <v>0</v>
          </cell>
          <cell r="J2193" t="str">
            <v>X</v>
          </cell>
          <cell r="K2193">
            <v>1172110.0800000026</v>
          </cell>
          <cell r="L2193">
            <v>1172110.0800000026</v>
          </cell>
          <cell r="M2193" t="e">
            <v>#N/A</v>
          </cell>
        </row>
        <row r="2194">
          <cell r="C2194" t="e">
            <v>#N/A</v>
          </cell>
          <cell r="E2194" t="e">
            <v>#N/A</v>
          </cell>
          <cell r="F2194" t="e">
            <v>#N/A</v>
          </cell>
          <cell r="G2194" t="e">
            <v>#N/A</v>
          </cell>
          <cell r="H2194">
            <v>0</v>
          </cell>
          <cell r="I2194">
            <v>0</v>
          </cell>
          <cell r="J2194" t="str">
            <v>X</v>
          </cell>
          <cell r="K2194">
            <v>1172110.0800000026</v>
          </cell>
          <cell r="L2194">
            <v>1172110.0800000026</v>
          </cell>
          <cell r="M2194" t="e">
            <v>#N/A</v>
          </cell>
        </row>
        <row r="2195">
          <cell r="C2195" t="e">
            <v>#N/A</v>
          </cell>
          <cell r="E2195" t="e">
            <v>#N/A</v>
          </cell>
          <cell r="F2195" t="e">
            <v>#N/A</v>
          </cell>
          <cell r="G2195" t="e">
            <v>#N/A</v>
          </cell>
          <cell r="H2195">
            <v>0</v>
          </cell>
          <cell r="I2195">
            <v>0</v>
          </cell>
          <cell r="J2195" t="str">
            <v>X</v>
          </cell>
          <cell r="K2195">
            <v>1172110.0800000026</v>
          </cell>
          <cell r="L2195">
            <v>1172110.0800000026</v>
          </cell>
          <cell r="M2195" t="e">
            <v>#N/A</v>
          </cell>
        </row>
        <row r="2196">
          <cell r="C2196" t="e">
            <v>#N/A</v>
          </cell>
          <cell r="E2196" t="e">
            <v>#N/A</v>
          </cell>
          <cell r="F2196" t="e">
            <v>#N/A</v>
          </cell>
          <cell r="G2196" t="e">
            <v>#N/A</v>
          </cell>
          <cell r="H2196">
            <v>0</v>
          </cell>
          <cell r="I2196">
            <v>0</v>
          </cell>
          <cell r="J2196" t="str">
            <v>X</v>
          </cell>
          <cell r="K2196">
            <v>1172110.0800000026</v>
          </cell>
          <cell r="L2196">
            <v>1172110.0800000026</v>
          </cell>
          <cell r="M2196" t="e">
            <v>#N/A</v>
          </cell>
        </row>
        <row r="2197">
          <cell r="C2197" t="e">
            <v>#N/A</v>
          </cell>
          <cell r="E2197" t="e">
            <v>#N/A</v>
          </cell>
          <cell r="F2197" t="e">
            <v>#N/A</v>
          </cell>
          <cell r="G2197" t="e">
            <v>#N/A</v>
          </cell>
          <cell r="H2197">
            <v>0</v>
          </cell>
          <cell r="I2197">
            <v>0</v>
          </cell>
          <cell r="J2197" t="str">
            <v>X</v>
          </cell>
          <cell r="K2197">
            <v>1172110.0800000026</v>
          </cell>
          <cell r="L2197">
            <v>1172110.0800000026</v>
          </cell>
          <cell r="M2197" t="e">
            <v>#N/A</v>
          </cell>
        </row>
        <row r="2198">
          <cell r="C2198" t="e">
            <v>#N/A</v>
          </cell>
          <cell r="E2198" t="e">
            <v>#N/A</v>
          </cell>
          <cell r="F2198" t="e">
            <v>#N/A</v>
          </cell>
          <cell r="G2198" t="e">
            <v>#N/A</v>
          </cell>
          <cell r="H2198">
            <v>0</v>
          </cell>
          <cell r="I2198">
            <v>0</v>
          </cell>
          <cell r="J2198" t="str">
            <v>X</v>
          </cell>
          <cell r="K2198">
            <v>1172110.0800000026</v>
          </cell>
          <cell r="L2198">
            <v>1172110.0800000026</v>
          </cell>
          <cell r="M2198" t="e">
            <v>#N/A</v>
          </cell>
        </row>
        <row r="2199">
          <cell r="C2199" t="e">
            <v>#N/A</v>
          </cell>
          <cell r="E2199" t="e">
            <v>#N/A</v>
          </cell>
          <cell r="F2199" t="e">
            <v>#N/A</v>
          </cell>
          <cell r="G2199" t="e">
            <v>#N/A</v>
          </cell>
          <cell r="H2199">
            <v>0</v>
          </cell>
          <cell r="I2199">
            <v>0</v>
          </cell>
          <cell r="J2199" t="str">
            <v>X</v>
          </cell>
          <cell r="K2199">
            <v>1172110.0800000026</v>
          </cell>
          <cell r="L2199">
            <v>1172110.0800000026</v>
          </cell>
          <cell r="M2199" t="e">
            <v>#N/A</v>
          </cell>
        </row>
        <row r="2200">
          <cell r="C2200" t="e">
            <v>#N/A</v>
          </cell>
          <cell r="E2200" t="e">
            <v>#N/A</v>
          </cell>
          <cell r="F2200" t="e">
            <v>#N/A</v>
          </cell>
          <cell r="G2200" t="e">
            <v>#N/A</v>
          </cell>
          <cell r="H2200">
            <v>0</v>
          </cell>
          <cell r="I2200">
            <v>0</v>
          </cell>
          <cell r="J2200" t="str">
            <v>X</v>
          </cell>
          <cell r="K2200">
            <v>1172110.0800000026</v>
          </cell>
          <cell r="L2200">
            <v>1172110.0800000026</v>
          </cell>
          <cell r="M2200" t="e">
            <v>#N/A</v>
          </cell>
        </row>
        <row r="2201">
          <cell r="C2201" t="e">
            <v>#N/A</v>
          </cell>
          <cell r="E2201" t="e">
            <v>#N/A</v>
          </cell>
          <cell r="F2201" t="e">
            <v>#N/A</v>
          </cell>
          <cell r="G2201" t="e">
            <v>#N/A</v>
          </cell>
          <cell r="H2201">
            <v>0</v>
          </cell>
          <cell r="I2201">
            <v>0</v>
          </cell>
          <cell r="J2201" t="str">
            <v>X</v>
          </cell>
          <cell r="K2201">
            <v>1172110.0800000026</v>
          </cell>
          <cell r="L2201">
            <v>1172110.0800000026</v>
          </cell>
          <cell r="M2201" t="e">
            <v>#N/A</v>
          </cell>
        </row>
        <row r="2202">
          <cell r="C2202" t="e">
            <v>#N/A</v>
          </cell>
          <cell r="E2202" t="e">
            <v>#N/A</v>
          </cell>
          <cell r="F2202" t="e">
            <v>#N/A</v>
          </cell>
          <cell r="G2202" t="e">
            <v>#N/A</v>
          </cell>
          <cell r="H2202">
            <v>0</v>
          </cell>
          <cell r="I2202">
            <v>0</v>
          </cell>
          <cell r="J2202" t="str">
            <v>X</v>
          </cell>
          <cell r="K2202">
            <v>1172110.0800000026</v>
          </cell>
          <cell r="L2202">
            <v>1172110.0800000026</v>
          </cell>
          <cell r="M2202" t="e">
            <v>#N/A</v>
          </cell>
        </row>
        <row r="2203">
          <cell r="C2203" t="e">
            <v>#N/A</v>
          </cell>
          <cell r="E2203" t="e">
            <v>#N/A</v>
          </cell>
          <cell r="F2203" t="e">
            <v>#N/A</v>
          </cell>
          <cell r="G2203" t="e">
            <v>#N/A</v>
          </cell>
          <cell r="H2203">
            <v>0</v>
          </cell>
          <cell r="I2203">
            <v>0</v>
          </cell>
          <cell r="J2203" t="str">
            <v>X</v>
          </cell>
          <cell r="K2203">
            <v>1172110.0800000026</v>
          </cell>
          <cell r="L2203">
            <v>1172110.0800000026</v>
          </cell>
          <cell r="M2203" t="e">
            <v>#N/A</v>
          </cell>
        </row>
        <row r="2204">
          <cell r="C2204" t="e">
            <v>#N/A</v>
          </cell>
          <cell r="E2204" t="e">
            <v>#N/A</v>
          </cell>
          <cell r="F2204" t="e">
            <v>#N/A</v>
          </cell>
          <cell r="G2204" t="e">
            <v>#N/A</v>
          </cell>
          <cell r="H2204">
            <v>0</v>
          </cell>
          <cell r="I2204">
            <v>0</v>
          </cell>
          <cell r="J2204" t="str">
            <v>X</v>
          </cell>
          <cell r="K2204">
            <v>1172110.0800000026</v>
          </cell>
          <cell r="L2204">
            <v>1172110.0800000026</v>
          </cell>
          <cell r="M2204" t="e">
            <v>#N/A</v>
          </cell>
        </row>
        <row r="2205">
          <cell r="C2205" t="e">
            <v>#N/A</v>
          </cell>
          <cell r="E2205" t="e">
            <v>#N/A</v>
          </cell>
          <cell r="F2205" t="e">
            <v>#N/A</v>
          </cell>
          <cell r="G2205" t="e">
            <v>#N/A</v>
          </cell>
          <cell r="H2205">
            <v>0</v>
          </cell>
          <cell r="I2205">
            <v>0</v>
          </cell>
          <cell r="J2205" t="str">
            <v>X</v>
          </cell>
          <cell r="K2205">
            <v>1172110.0800000026</v>
          </cell>
          <cell r="L2205">
            <v>1172110.0800000026</v>
          </cell>
          <cell r="M2205" t="e">
            <v>#N/A</v>
          </cell>
        </row>
        <row r="2206">
          <cell r="C2206" t="e">
            <v>#N/A</v>
          </cell>
          <cell r="E2206" t="e">
            <v>#N/A</v>
          </cell>
          <cell r="F2206" t="e">
            <v>#N/A</v>
          </cell>
          <cell r="G2206" t="e">
            <v>#N/A</v>
          </cell>
          <cell r="H2206">
            <v>0</v>
          </cell>
          <cell r="I2206">
            <v>0</v>
          </cell>
          <cell r="J2206" t="str">
            <v>X</v>
          </cell>
          <cell r="K2206">
            <v>1172110.0800000026</v>
          </cell>
          <cell r="L2206">
            <v>1172110.0800000026</v>
          </cell>
          <cell r="M2206" t="e">
            <v>#N/A</v>
          </cell>
        </row>
        <row r="2207">
          <cell r="C2207" t="e">
            <v>#N/A</v>
          </cell>
          <cell r="E2207" t="e">
            <v>#N/A</v>
          </cell>
          <cell r="F2207" t="e">
            <v>#N/A</v>
          </cell>
          <cell r="G2207" t="e">
            <v>#N/A</v>
          </cell>
          <cell r="H2207">
            <v>0</v>
          </cell>
          <cell r="I2207">
            <v>0</v>
          </cell>
          <cell r="J2207" t="str">
            <v>X</v>
          </cell>
          <cell r="K2207">
            <v>1172110.0800000026</v>
          </cell>
          <cell r="L2207">
            <v>1172110.0800000026</v>
          </cell>
          <cell r="M2207" t="e">
            <v>#N/A</v>
          </cell>
        </row>
        <row r="2208">
          <cell r="C2208" t="e">
            <v>#N/A</v>
          </cell>
          <cell r="E2208" t="e">
            <v>#N/A</v>
          </cell>
          <cell r="F2208" t="e">
            <v>#N/A</v>
          </cell>
          <cell r="G2208" t="e">
            <v>#N/A</v>
          </cell>
          <cell r="H2208">
            <v>0</v>
          </cell>
          <cell r="I2208">
            <v>0</v>
          </cell>
          <cell r="J2208" t="str">
            <v>X</v>
          </cell>
          <cell r="K2208">
            <v>1172110.0800000026</v>
          </cell>
          <cell r="L2208">
            <v>1172110.0800000026</v>
          </cell>
          <cell r="M2208" t="e">
            <v>#N/A</v>
          </cell>
        </row>
        <row r="2209">
          <cell r="C2209" t="e">
            <v>#N/A</v>
          </cell>
          <cell r="E2209" t="e">
            <v>#N/A</v>
          </cell>
          <cell r="F2209" t="e">
            <v>#N/A</v>
          </cell>
          <cell r="G2209" t="e">
            <v>#N/A</v>
          </cell>
          <cell r="H2209">
            <v>0</v>
          </cell>
          <cell r="I2209">
            <v>0</v>
          </cell>
          <cell r="J2209" t="str">
            <v>X</v>
          </cell>
          <cell r="K2209">
            <v>1172110.0800000026</v>
          </cell>
          <cell r="L2209">
            <v>1172110.0800000026</v>
          </cell>
          <cell r="M2209" t="e">
            <v>#N/A</v>
          </cell>
        </row>
        <row r="2210">
          <cell r="C2210" t="e">
            <v>#N/A</v>
          </cell>
          <cell r="E2210" t="e">
            <v>#N/A</v>
          </cell>
          <cell r="F2210" t="e">
            <v>#N/A</v>
          </cell>
          <cell r="G2210" t="e">
            <v>#N/A</v>
          </cell>
          <cell r="H2210">
            <v>0</v>
          </cell>
          <cell r="I2210">
            <v>0</v>
          </cell>
          <cell r="J2210" t="str">
            <v>X</v>
          </cell>
          <cell r="K2210">
            <v>1172110.0800000026</v>
          </cell>
          <cell r="L2210">
            <v>1172110.0800000026</v>
          </cell>
          <cell r="M2210" t="e">
            <v>#N/A</v>
          </cell>
        </row>
        <row r="2211">
          <cell r="C2211" t="e">
            <v>#N/A</v>
          </cell>
          <cell r="E2211" t="e">
            <v>#N/A</v>
          </cell>
          <cell r="F2211" t="e">
            <v>#N/A</v>
          </cell>
          <cell r="G2211" t="e">
            <v>#N/A</v>
          </cell>
          <cell r="H2211">
            <v>0</v>
          </cell>
          <cell r="I2211">
            <v>0</v>
          </cell>
          <cell r="J2211" t="str">
            <v>X</v>
          </cell>
          <cell r="K2211">
            <v>1172110.0800000026</v>
          </cell>
          <cell r="L2211">
            <v>1172110.0800000026</v>
          </cell>
          <cell r="M2211" t="e">
            <v>#N/A</v>
          </cell>
        </row>
        <row r="2212">
          <cell r="C2212" t="e">
            <v>#N/A</v>
          </cell>
          <cell r="E2212" t="e">
            <v>#N/A</v>
          </cell>
          <cell r="F2212" t="e">
            <v>#N/A</v>
          </cell>
          <cell r="G2212" t="e">
            <v>#N/A</v>
          </cell>
          <cell r="H2212">
            <v>0</v>
          </cell>
          <cell r="I2212">
            <v>0</v>
          </cell>
          <cell r="J2212" t="str">
            <v>X</v>
          </cell>
          <cell r="K2212">
            <v>1172110.0800000026</v>
          </cell>
          <cell r="L2212">
            <v>1172110.0800000026</v>
          </cell>
          <cell r="M2212" t="e">
            <v>#N/A</v>
          </cell>
        </row>
        <row r="2213">
          <cell r="C2213" t="e">
            <v>#N/A</v>
          </cell>
          <cell r="E2213" t="e">
            <v>#N/A</v>
          </cell>
          <cell r="F2213" t="e">
            <v>#N/A</v>
          </cell>
          <cell r="G2213" t="e">
            <v>#N/A</v>
          </cell>
          <cell r="H2213">
            <v>0</v>
          </cell>
          <cell r="I2213">
            <v>0</v>
          </cell>
          <cell r="J2213" t="str">
            <v>X</v>
          </cell>
          <cell r="K2213">
            <v>1172110.0800000026</v>
          </cell>
          <cell r="L2213">
            <v>1172110.0800000026</v>
          </cell>
          <cell r="M2213" t="e">
            <v>#N/A</v>
          </cell>
        </row>
        <row r="2214">
          <cell r="C2214" t="e">
            <v>#N/A</v>
          </cell>
          <cell r="E2214" t="e">
            <v>#N/A</v>
          </cell>
          <cell r="F2214" t="e">
            <v>#N/A</v>
          </cell>
          <cell r="G2214" t="e">
            <v>#N/A</v>
          </cell>
          <cell r="H2214">
            <v>0</v>
          </cell>
          <cell r="I2214">
            <v>0</v>
          </cell>
          <cell r="J2214" t="str">
            <v>X</v>
          </cell>
          <cell r="K2214">
            <v>1172110.0800000026</v>
          </cell>
          <cell r="L2214">
            <v>1172110.0800000026</v>
          </cell>
          <cell r="M2214" t="e">
            <v>#N/A</v>
          </cell>
        </row>
        <row r="2215">
          <cell r="C2215" t="e">
            <v>#N/A</v>
          </cell>
          <cell r="E2215" t="e">
            <v>#N/A</v>
          </cell>
          <cell r="F2215" t="e">
            <v>#N/A</v>
          </cell>
          <cell r="G2215" t="e">
            <v>#N/A</v>
          </cell>
          <cell r="H2215">
            <v>0</v>
          </cell>
          <cell r="I2215">
            <v>0</v>
          </cell>
          <cell r="J2215" t="str">
            <v>X</v>
          </cell>
          <cell r="K2215">
            <v>1172110.0800000026</v>
          </cell>
          <cell r="L2215">
            <v>1172110.0800000026</v>
          </cell>
          <cell r="M2215" t="e">
            <v>#N/A</v>
          </cell>
        </row>
        <row r="2216">
          <cell r="C2216" t="e">
            <v>#N/A</v>
          </cell>
          <cell r="E2216" t="e">
            <v>#N/A</v>
          </cell>
          <cell r="F2216" t="e">
            <v>#N/A</v>
          </cell>
          <cell r="G2216" t="e">
            <v>#N/A</v>
          </cell>
          <cell r="H2216">
            <v>0</v>
          </cell>
          <cell r="I2216">
            <v>0</v>
          </cell>
          <cell r="J2216" t="str">
            <v>X</v>
          </cell>
          <cell r="K2216">
            <v>1172110.0800000026</v>
          </cell>
          <cell r="L2216">
            <v>1172110.0800000026</v>
          </cell>
          <cell r="M2216" t="e">
            <v>#N/A</v>
          </cell>
        </row>
        <row r="2217">
          <cell r="C2217" t="e">
            <v>#N/A</v>
          </cell>
          <cell r="E2217" t="e">
            <v>#N/A</v>
          </cell>
          <cell r="F2217" t="e">
            <v>#N/A</v>
          </cell>
          <cell r="G2217" t="e">
            <v>#N/A</v>
          </cell>
          <cell r="H2217">
            <v>0</v>
          </cell>
          <cell r="I2217">
            <v>0</v>
          </cell>
          <cell r="J2217" t="str">
            <v>X</v>
          </cell>
          <cell r="K2217">
            <v>1172110.0800000026</v>
          </cell>
          <cell r="L2217">
            <v>1172110.0800000026</v>
          </cell>
          <cell r="M2217" t="e">
            <v>#N/A</v>
          </cell>
        </row>
        <row r="2218">
          <cell r="C2218" t="e">
            <v>#N/A</v>
          </cell>
          <cell r="E2218" t="e">
            <v>#N/A</v>
          </cell>
          <cell r="F2218" t="e">
            <v>#N/A</v>
          </cell>
          <cell r="G2218" t="e">
            <v>#N/A</v>
          </cell>
          <cell r="H2218">
            <v>0</v>
          </cell>
          <cell r="I2218">
            <v>0</v>
          </cell>
          <cell r="J2218" t="str">
            <v>X</v>
          </cell>
          <cell r="K2218">
            <v>1172110.0800000026</v>
          </cell>
          <cell r="L2218">
            <v>1172110.0800000026</v>
          </cell>
          <cell r="M2218" t="e">
            <v>#N/A</v>
          </cell>
        </row>
        <row r="2219">
          <cell r="C2219" t="e">
            <v>#N/A</v>
          </cell>
          <cell r="E2219" t="e">
            <v>#N/A</v>
          </cell>
          <cell r="F2219" t="e">
            <v>#N/A</v>
          </cell>
          <cell r="G2219" t="e">
            <v>#N/A</v>
          </cell>
          <cell r="H2219">
            <v>0</v>
          </cell>
          <cell r="I2219">
            <v>0</v>
          </cell>
          <cell r="J2219" t="str">
            <v>X</v>
          </cell>
          <cell r="K2219">
            <v>1172110.0800000026</v>
          </cell>
          <cell r="L2219">
            <v>1172110.0800000026</v>
          </cell>
          <cell r="M2219" t="e">
            <v>#N/A</v>
          </cell>
        </row>
        <row r="2220">
          <cell r="C2220" t="e">
            <v>#N/A</v>
          </cell>
          <cell r="E2220" t="e">
            <v>#N/A</v>
          </cell>
          <cell r="F2220" t="e">
            <v>#N/A</v>
          </cell>
          <cell r="G2220" t="e">
            <v>#N/A</v>
          </cell>
          <cell r="H2220">
            <v>0</v>
          </cell>
          <cell r="I2220">
            <v>0</v>
          </cell>
          <cell r="J2220" t="str">
            <v>X</v>
          </cell>
          <cell r="K2220">
            <v>1172110.0800000026</v>
          </cell>
          <cell r="L2220">
            <v>1172110.0800000026</v>
          </cell>
          <cell r="M2220" t="e">
            <v>#N/A</v>
          </cell>
        </row>
        <row r="2221">
          <cell r="C2221" t="e">
            <v>#N/A</v>
          </cell>
          <cell r="E2221" t="e">
            <v>#N/A</v>
          </cell>
          <cell r="F2221" t="e">
            <v>#N/A</v>
          </cell>
          <cell r="G2221" t="e">
            <v>#N/A</v>
          </cell>
          <cell r="H2221">
            <v>0</v>
          </cell>
          <cell r="I2221">
            <v>0</v>
          </cell>
          <cell r="J2221" t="str">
            <v>X</v>
          </cell>
          <cell r="K2221">
            <v>1172110.0800000026</v>
          </cell>
          <cell r="L2221">
            <v>1172110.0800000026</v>
          </cell>
          <cell r="M2221" t="e">
            <v>#N/A</v>
          </cell>
        </row>
        <row r="2222">
          <cell r="C2222" t="e">
            <v>#N/A</v>
          </cell>
          <cell r="E2222" t="e">
            <v>#N/A</v>
          </cell>
          <cell r="F2222" t="e">
            <v>#N/A</v>
          </cell>
          <cell r="G2222" t="e">
            <v>#N/A</v>
          </cell>
          <cell r="H2222">
            <v>0</v>
          </cell>
          <cell r="I2222">
            <v>0</v>
          </cell>
          <cell r="J2222" t="str">
            <v>X</v>
          </cell>
          <cell r="K2222">
            <v>1172110.0800000026</v>
          </cell>
          <cell r="L2222">
            <v>1172110.0800000026</v>
          </cell>
          <cell r="M2222" t="e">
            <v>#N/A</v>
          </cell>
        </row>
        <row r="2223">
          <cell r="C2223" t="e">
            <v>#N/A</v>
          </cell>
          <cell r="E2223" t="e">
            <v>#N/A</v>
          </cell>
          <cell r="F2223" t="e">
            <v>#N/A</v>
          </cell>
          <cell r="G2223" t="e">
            <v>#N/A</v>
          </cell>
          <cell r="H2223">
            <v>0</v>
          </cell>
          <cell r="I2223">
            <v>0</v>
          </cell>
          <cell r="J2223" t="str">
            <v>X</v>
          </cell>
          <cell r="K2223">
            <v>1172110.0800000026</v>
          </cell>
          <cell r="L2223">
            <v>1172110.0800000026</v>
          </cell>
          <cell r="M2223" t="e">
            <v>#N/A</v>
          </cell>
        </row>
        <row r="2224">
          <cell r="C2224" t="e">
            <v>#N/A</v>
          </cell>
          <cell r="E2224" t="e">
            <v>#N/A</v>
          </cell>
          <cell r="F2224" t="e">
            <v>#N/A</v>
          </cell>
          <cell r="G2224" t="e">
            <v>#N/A</v>
          </cell>
          <cell r="H2224">
            <v>0</v>
          </cell>
          <cell r="I2224">
            <v>0</v>
          </cell>
          <cell r="J2224" t="str">
            <v>X</v>
          </cell>
          <cell r="K2224">
            <v>1172110.0800000026</v>
          </cell>
          <cell r="L2224">
            <v>1172110.0800000026</v>
          </cell>
          <cell r="M2224" t="e">
            <v>#N/A</v>
          </cell>
        </row>
        <row r="2225">
          <cell r="C2225" t="e">
            <v>#N/A</v>
          </cell>
          <cell r="E2225" t="e">
            <v>#N/A</v>
          </cell>
          <cell r="F2225" t="e">
            <v>#N/A</v>
          </cell>
          <cell r="G2225" t="e">
            <v>#N/A</v>
          </cell>
          <cell r="H2225">
            <v>0</v>
          </cell>
          <cell r="I2225">
            <v>0</v>
          </cell>
          <cell r="J2225" t="str">
            <v>X</v>
          </cell>
          <cell r="K2225">
            <v>1172110.0800000026</v>
          </cell>
          <cell r="L2225">
            <v>1172110.0800000026</v>
          </cell>
          <cell r="M2225" t="e">
            <v>#N/A</v>
          </cell>
        </row>
        <row r="2226">
          <cell r="C2226" t="e">
            <v>#N/A</v>
          </cell>
          <cell r="E2226" t="e">
            <v>#N/A</v>
          </cell>
          <cell r="F2226" t="e">
            <v>#N/A</v>
          </cell>
          <cell r="G2226" t="e">
            <v>#N/A</v>
          </cell>
          <cell r="H2226">
            <v>0</v>
          </cell>
          <cell r="I2226">
            <v>0</v>
          </cell>
          <cell r="J2226" t="str">
            <v>X</v>
          </cell>
          <cell r="K2226">
            <v>1172110.0800000026</v>
          </cell>
          <cell r="L2226">
            <v>1172110.0800000026</v>
          </cell>
          <cell r="M2226" t="e">
            <v>#N/A</v>
          </cell>
        </row>
        <row r="2227">
          <cell r="C2227" t="e">
            <v>#N/A</v>
          </cell>
          <cell r="E2227" t="e">
            <v>#N/A</v>
          </cell>
          <cell r="F2227" t="e">
            <v>#N/A</v>
          </cell>
          <cell r="G2227" t="e">
            <v>#N/A</v>
          </cell>
          <cell r="H2227">
            <v>0</v>
          </cell>
          <cell r="I2227">
            <v>0</v>
          </cell>
          <cell r="J2227" t="str">
            <v>X</v>
          </cell>
          <cell r="K2227">
            <v>1172110.0800000026</v>
          </cell>
          <cell r="L2227">
            <v>1172110.0800000026</v>
          </cell>
          <cell r="M2227" t="e">
            <v>#N/A</v>
          </cell>
        </row>
        <row r="2228">
          <cell r="C2228" t="e">
            <v>#N/A</v>
          </cell>
          <cell r="E2228" t="e">
            <v>#N/A</v>
          </cell>
          <cell r="F2228" t="e">
            <v>#N/A</v>
          </cell>
          <cell r="G2228" t="e">
            <v>#N/A</v>
          </cell>
          <cell r="H2228">
            <v>0</v>
          </cell>
          <cell r="I2228">
            <v>0</v>
          </cell>
          <cell r="J2228" t="str">
            <v>X</v>
          </cell>
          <cell r="K2228">
            <v>1172110.0800000026</v>
          </cell>
          <cell r="L2228">
            <v>1172110.0800000026</v>
          </cell>
          <cell r="M2228" t="e">
            <v>#N/A</v>
          </cell>
        </row>
        <row r="2229">
          <cell r="C2229" t="e">
            <v>#N/A</v>
          </cell>
          <cell r="E2229" t="e">
            <v>#N/A</v>
          </cell>
          <cell r="F2229" t="e">
            <v>#N/A</v>
          </cell>
          <cell r="G2229" t="e">
            <v>#N/A</v>
          </cell>
          <cell r="H2229">
            <v>0</v>
          </cell>
          <cell r="I2229">
            <v>0</v>
          </cell>
          <cell r="J2229" t="str">
            <v>X</v>
          </cell>
          <cell r="K2229">
            <v>1172110.0800000026</v>
          </cell>
          <cell r="L2229">
            <v>1172110.0800000026</v>
          </cell>
          <cell r="M2229" t="e">
            <v>#N/A</v>
          </cell>
        </row>
        <row r="2230">
          <cell r="C2230" t="e">
            <v>#N/A</v>
          </cell>
          <cell r="E2230" t="e">
            <v>#N/A</v>
          </cell>
          <cell r="F2230" t="e">
            <v>#N/A</v>
          </cell>
          <cell r="G2230" t="e">
            <v>#N/A</v>
          </cell>
          <cell r="H2230">
            <v>0</v>
          </cell>
          <cell r="I2230">
            <v>0</v>
          </cell>
          <cell r="J2230" t="str">
            <v>X</v>
          </cell>
          <cell r="K2230">
            <v>1172110.0800000026</v>
          </cell>
          <cell r="L2230">
            <v>1172110.0800000026</v>
          </cell>
          <cell r="M2230" t="e">
            <v>#N/A</v>
          </cell>
        </row>
        <row r="2231">
          <cell r="C2231" t="e">
            <v>#N/A</v>
          </cell>
          <cell r="E2231" t="e">
            <v>#N/A</v>
          </cell>
          <cell r="F2231" t="e">
            <v>#N/A</v>
          </cell>
          <cell r="G2231" t="e">
            <v>#N/A</v>
          </cell>
          <cell r="H2231">
            <v>0</v>
          </cell>
          <cell r="I2231">
            <v>0</v>
          </cell>
          <cell r="J2231" t="str">
            <v>X</v>
          </cell>
          <cell r="K2231">
            <v>1172110.0800000026</v>
          </cell>
          <cell r="L2231">
            <v>1172110.0800000026</v>
          </cell>
          <cell r="M2231" t="e">
            <v>#N/A</v>
          </cell>
        </row>
        <row r="2232">
          <cell r="C2232" t="e">
            <v>#N/A</v>
          </cell>
          <cell r="E2232" t="e">
            <v>#N/A</v>
          </cell>
          <cell r="F2232" t="e">
            <v>#N/A</v>
          </cell>
          <cell r="G2232" t="e">
            <v>#N/A</v>
          </cell>
          <cell r="H2232">
            <v>0</v>
          </cell>
          <cell r="I2232">
            <v>0</v>
          </cell>
          <cell r="J2232" t="str">
            <v>X</v>
          </cell>
          <cell r="K2232">
            <v>1172110.0800000026</v>
          </cell>
          <cell r="L2232">
            <v>1172110.0800000026</v>
          </cell>
          <cell r="M2232" t="e">
            <v>#N/A</v>
          </cell>
        </row>
        <row r="2233">
          <cell r="C2233" t="e">
            <v>#N/A</v>
          </cell>
          <cell r="E2233" t="e">
            <v>#N/A</v>
          </cell>
          <cell r="F2233" t="e">
            <v>#N/A</v>
          </cell>
          <cell r="G2233" t="e">
            <v>#N/A</v>
          </cell>
          <cell r="H2233">
            <v>0</v>
          </cell>
          <cell r="I2233">
            <v>0</v>
          </cell>
          <cell r="J2233" t="str">
            <v>X</v>
          </cell>
          <cell r="K2233">
            <v>1172110.0800000026</v>
          </cell>
          <cell r="L2233">
            <v>1172110.0800000026</v>
          </cell>
          <cell r="M2233" t="e">
            <v>#N/A</v>
          </cell>
        </row>
        <row r="2234">
          <cell r="C2234" t="e">
            <v>#N/A</v>
          </cell>
          <cell r="E2234" t="e">
            <v>#N/A</v>
          </cell>
          <cell r="F2234" t="e">
            <v>#N/A</v>
          </cell>
          <cell r="G2234" t="e">
            <v>#N/A</v>
          </cell>
          <cell r="H2234">
            <v>0</v>
          </cell>
          <cell r="I2234">
            <v>0</v>
          </cell>
          <cell r="J2234" t="str">
            <v>X</v>
          </cell>
          <cell r="K2234">
            <v>1172110.0800000026</v>
          </cell>
          <cell r="L2234">
            <v>1172110.0800000026</v>
          </cell>
          <cell r="M2234" t="e">
            <v>#N/A</v>
          </cell>
        </row>
        <row r="2235">
          <cell r="C2235" t="e">
            <v>#N/A</v>
          </cell>
          <cell r="E2235" t="e">
            <v>#N/A</v>
          </cell>
          <cell r="F2235" t="e">
            <v>#N/A</v>
          </cell>
          <cell r="G2235" t="e">
            <v>#N/A</v>
          </cell>
          <cell r="H2235">
            <v>0</v>
          </cell>
          <cell r="I2235">
            <v>0</v>
          </cell>
          <cell r="J2235" t="str">
            <v>X</v>
          </cell>
          <cell r="K2235">
            <v>1172110.0800000026</v>
          </cell>
          <cell r="L2235">
            <v>1172110.0800000026</v>
          </cell>
          <cell r="M2235" t="e">
            <v>#N/A</v>
          </cell>
        </row>
        <row r="2236">
          <cell r="C2236" t="e">
            <v>#N/A</v>
          </cell>
          <cell r="E2236" t="e">
            <v>#N/A</v>
          </cell>
          <cell r="F2236" t="e">
            <v>#N/A</v>
          </cell>
          <cell r="G2236" t="e">
            <v>#N/A</v>
          </cell>
          <cell r="H2236">
            <v>0</v>
          </cell>
          <cell r="I2236">
            <v>0</v>
          </cell>
          <cell r="J2236" t="str">
            <v>X</v>
          </cell>
          <cell r="K2236">
            <v>1172110.0800000026</v>
          </cell>
          <cell r="L2236">
            <v>1172110.0800000026</v>
          </cell>
          <cell r="M2236" t="e">
            <v>#N/A</v>
          </cell>
        </row>
        <row r="2237">
          <cell r="C2237" t="e">
            <v>#N/A</v>
          </cell>
          <cell r="E2237" t="e">
            <v>#N/A</v>
          </cell>
          <cell r="F2237" t="e">
            <v>#N/A</v>
          </cell>
          <cell r="G2237" t="e">
            <v>#N/A</v>
          </cell>
          <cell r="H2237">
            <v>0</v>
          </cell>
          <cell r="I2237">
            <v>0</v>
          </cell>
          <cell r="J2237" t="str">
            <v>X</v>
          </cell>
          <cell r="K2237">
            <v>1172110.0800000026</v>
          </cell>
          <cell r="L2237">
            <v>1172110.0800000026</v>
          </cell>
          <cell r="M2237" t="e">
            <v>#N/A</v>
          </cell>
        </row>
        <row r="2238">
          <cell r="C2238" t="e">
            <v>#N/A</v>
          </cell>
          <cell r="E2238" t="e">
            <v>#N/A</v>
          </cell>
          <cell r="F2238" t="e">
            <v>#N/A</v>
          </cell>
          <cell r="G2238" t="e">
            <v>#N/A</v>
          </cell>
          <cell r="H2238">
            <v>0</v>
          </cell>
          <cell r="I2238">
            <v>0</v>
          </cell>
          <cell r="J2238" t="str">
            <v>X</v>
          </cell>
          <cell r="K2238">
            <v>1172110.0800000026</v>
          </cell>
          <cell r="L2238">
            <v>1172110.0800000026</v>
          </cell>
          <cell r="M2238" t="e">
            <v>#N/A</v>
          </cell>
        </row>
        <row r="2239">
          <cell r="C2239" t="e">
            <v>#N/A</v>
          </cell>
          <cell r="E2239" t="e">
            <v>#N/A</v>
          </cell>
          <cell r="F2239" t="e">
            <v>#N/A</v>
          </cell>
          <cell r="G2239" t="e">
            <v>#N/A</v>
          </cell>
          <cell r="H2239">
            <v>0</v>
          </cell>
          <cell r="I2239">
            <v>0</v>
          </cell>
          <cell r="J2239" t="str">
            <v>X</v>
          </cell>
          <cell r="K2239">
            <v>1172110.0800000026</v>
          </cell>
          <cell r="L2239">
            <v>1172110.0800000026</v>
          </cell>
          <cell r="M2239" t="e">
            <v>#N/A</v>
          </cell>
        </row>
        <row r="2240">
          <cell r="C2240" t="e">
            <v>#N/A</v>
          </cell>
          <cell r="E2240" t="e">
            <v>#N/A</v>
          </cell>
          <cell r="F2240" t="e">
            <v>#N/A</v>
          </cell>
          <cell r="G2240" t="e">
            <v>#N/A</v>
          </cell>
          <cell r="H2240">
            <v>0</v>
          </cell>
          <cell r="I2240">
            <v>0</v>
          </cell>
          <cell r="J2240" t="str">
            <v>X</v>
          </cell>
          <cell r="K2240">
            <v>1172110.0800000026</v>
          </cell>
          <cell r="L2240">
            <v>1172110.0800000026</v>
          </cell>
          <cell r="M2240" t="e">
            <v>#N/A</v>
          </cell>
        </row>
        <row r="2241">
          <cell r="C2241" t="e">
            <v>#N/A</v>
          </cell>
          <cell r="E2241" t="e">
            <v>#N/A</v>
          </cell>
          <cell r="F2241" t="e">
            <v>#N/A</v>
          </cell>
          <cell r="G2241" t="e">
            <v>#N/A</v>
          </cell>
          <cell r="H2241">
            <v>0</v>
          </cell>
          <cell r="I2241">
            <v>0</v>
          </cell>
          <cell r="J2241" t="str">
            <v>X</v>
          </cell>
          <cell r="K2241">
            <v>1172110.0800000026</v>
          </cell>
          <cell r="L2241">
            <v>1172110.0800000026</v>
          </cell>
          <cell r="M2241" t="e">
            <v>#N/A</v>
          </cell>
        </row>
        <row r="2242">
          <cell r="C2242" t="e">
            <v>#N/A</v>
          </cell>
          <cell r="E2242" t="e">
            <v>#N/A</v>
          </cell>
          <cell r="F2242" t="e">
            <v>#N/A</v>
          </cell>
          <cell r="G2242" t="e">
            <v>#N/A</v>
          </cell>
          <cell r="H2242">
            <v>0</v>
          </cell>
          <cell r="I2242">
            <v>0</v>
          </cell>
          <cell r="J2242" t="str">
            <v>X</v>
          </cell>
          <cell r="K2242">
            <v>1172110.0800000026</v>
          </cell>
          <cell r="L2242">
            <v>1172110.0800000026</v>
          </cell>
          <cell r="M2242" t="e">
            <v>#N/A</v>
          </cell>
        </row>
        <row r="2243">
          <cell r="C2243" t="e">
            <v>#N/A</v>
          </cell>
          <cell r="E2243" t="e">
            <v>#N/A</v>
          </cell>
          <cell r="F2243" t="e">
            <v>#N/A</v>
          </cell>
          <cell r="G2243" t="e">
            <v>#N/A</v>
          </cell>
          <cell r="H2243">
            <v>0</v>
          </cell>
          <cell r="I2243">
            <v>0</v>
          </cell>
          <cell r="J2243" t="str">
            <v>X</v>
          </cell>
          <cell r="K2243">
            <v>1172110.0800000026</v>
          </cell>
          <cell r="L2243">
            <v>1172110.0800000026</v>
          </cell>
          <cell r="M2243" t="e">
            <v>#N/A</v>
          </cell>
        </row>
        <row r="2244">
          <cell r="C2244" t="e">
            <v>#N/A</v>
          </cell>
          <cell r="E2244" t="e">
            <v>#N/A</v>
          </cell>
          <cell r="F2244" t="e">
            <v>#N/A</v>
          </cell>
          <cell r="G2244" t="e">
            <v>#N/A</v>
          </cell>
          <cell r="H2244">
            <v>0</v>
          </cell>
          <cell r="I2244">
            <v>0</v>
          </cell>
          <cell r="J2244" t="str">
            <v>X</v>
          </cell>
          <cell r="K2244">
            <v>1172110.0800000026</v>
          </cell>
          <cell r="L2244">
            <v>1172110.0800000026</v>
          </cell>
          <cell r="M2244" t="e">
            <v>#N/A</v>
          </cell>
        </row>
        <row r="2245">
          <cell r="C2245" t="e">
            <v>#N/A</v>
          </cell>
          <cell r="E2245" t="e">
            <v>#N/A</v>
          </cell>
          <cell r="F2245" t="e">
            <v>#N/A</v>
          </cell>
          <cell r="G2245" t="e">
            <v>#N/A</v>
          </cell>
          <cell r="H2245">
            <v>0</v>
          </cell>
          <cell r="I2245">
            <v>0</v>
          </cell>
          <cell r="J2245" t="str">
            <v>X</v>
          </cell>
          <cell r="K2245">
            <v>1172110.0800000026</v>
          </cell>
          <cell r="L2245">
            <v>1172110.0800000026</v>
          </cell>
          <cell r="M2245" t="e">
            <v>#N/A</v>
          </cell>
        </row>
        <row r="2246">
          <cell r="C2246" t="e">
            <v>#N/A</v>
          </cell>
          <cell r="E2246" t="e">
            <v>#N/A</v>
          </cell>
          <cell r="F2246" t="e">
            <v>#N/A</v>
          </cell>
          <cell r="G2246" t="e">
            <v>#N/A</v>
          </cell>
          <cell r="H2246">
            <v>0</v>
          </cell>
          <cell r="I2246">
            <v>0</v>
          </cell>
          <cell r="J2246" t="str">
            <v>X</v>
          </cell>
          <cell r="K2246">
            <v>1172110.0800000026</v>
          </cell>
          <cell r="L2246">
            <v>1172110.0800000026</v>
          </cell>
          <cell r="M2246" t="e">
            <v>#N/A</v>
          </cell>
        </row>
        <row r="2247">
          <cell r="C2247" t="e">
            <v>#N/A</v>
          </cell>
          <cell r="E2247" t="e">
            <v>#N/A</v>
          </cell>
          <cell r="F2247" t="e">
            <v>#N/A</v>
          </cell>
          <cell r="G2247" t="e">
            <v>#N/A</v>
          </cell>
          <cell r="H2247">
            <v>0</v>
          </cell>
          <cell r="I2247">
            <v>0</v>
          </cell>
          <cell r="J2247" t="str">
            <v>X</v>
          </cell>
          <cell r="K2247">
            <v>1172110.0800000026</v>
          </cell>
          <cell r="L2247">
            <v>1172110.0800000026</v>
          </cell>
          <cell r="M2247" t="e">
            <v>#N/A</v>
          </cell>
        </row>
        <row r="2248">
          <cell r="C2248" t="e">
            <v>#N/A</v>
          </cell>
          <cell r="E2248" t="e">
            <v>#N/A</v>
          </cell>
          <cell r="F2248" t="e">
            <v>#N/A</v>
          </cell>
          <cell r="G2248" t="e">
            <v>#N/A</v>
          </cell>
          <cell r="H2248">
            <v>0</v>
          </cell>
          <cell r="I2248">
            <v>0</v>
          </cell>
          <cell r="J2248" t="str">
            <v>X</v>
          </cell>
          <cell r="K2248">
            <v>1172110.0800000026</v>
          </cell>
          <cell r="L2248">
            <v>1172110.0800000026</v>
          </cell>
          <cell r="M2248" t="e">
            <v>#N/A</v>
          </cell>
        </row>
        <row r="2249">
          <cell r="C2249" t="e">
            <v>#N/A</v>
          </cell>
          <cell r="E2249" t="e">
            <v>#N/A</v>
          </cell>
          <cell r="F2249" t="e">
            <v>#N/A</v>
          </cell>
          <cell r="G2249" t="e">
            <v>#N/A</v>
          </cell>
          <cell r="H2249">
            <v>0</v>
          </cell>
          <cell r="I2249">
            <v>0</v>
          </cell>
          <cell r="J2249" t="str">
            <v>X</v>
          </cell>
          <cell r="K2249">
            <v>1172110.0800000026</v>
          </cell>
          <cell r="L2249">
            <v>1172110.0800000026</v>
          </cell>
          <cell r="M2249" t="e">
            <v>#N/A</v>
          </cell>
        </row>
        <row r="2250">
          <cell r="C2250" t="e">
            <v>#N/A</v>
          </cell>
          <cell r="E2250" t="e">
            <v>#N/A</v>
          </cell>
          <cell r="F2250" t="e">
            <v>#N/A</v>
          </cell>
          <cell r="G2250" t="e">
            <v>#N/A</v>
          </cell>
          <cell r="H2250">
            <v>0</v>
          </cell>
          <cell r="I2250">
            <v>0</v>
          </cell>
          <cell r="J2250" t="str">
            <v>X</v>
          </cell>
          <cell r="K2250">
            <v>1172110.0800000026</v>
          </cell>
          <cell r="L2250">
            <v>1172110.0800000026</v>
          </cell>
          <cell r="M2250" t="e">
            <v>#N/A</v>
          </cell>
        </row>
        <row r="2251">
          <cell r="C2251" t="e">
            <v>#N/A</v>
          </cell>
          <cell r="E2251" t="e">
            <v>#N/A</v>
          </cell>
          <cell r="F2251" t="e">
            <v>#N/A</v>
          </cell>
          <cell r="G2251" t="e">
            <v>#N/A</v>
          </cell>
          <cell r="H2251">
            <v>0</v>
          </cell>
          <cell r="I2251">
            <v>0</v>
          </cell>
          <cell r="J2251" t="str">
            <v>X</v>
          </cell>
          <cell r="K2251">
            <v>1172110.0800000026</v>
          </cell>
          <cell r="L2251">
            <v>1172110.0800000026</v>
          </cell>
          <cell r="M2251" t="e">
            <v>#N/A</v>
          </cell>
        </row>
        <row r="2252">
          <cell r="C2252" t="e">
            <v>#N/A</v>
          </cell>
          <cell r="E2252" t="e">
            <v>#N/A</v>
          </cell>
          <cell r="F2252" t="e">
            <v>#N/A</v>
          </cell>
          <cell r="G2252" t="e">
            <v>#N/A</v>
          </cell>
          <cell r="H2252">
            <v>0</v>
          </cell>
          <cell r="I2252">
            <v>0</v>
          </cell>
          <cell r="J2252" t="str">
            <v>X</v>
          </cell>
          <cell r="K2252">
            <v>1172110.0800000026</v>
          </cell>
          <cell r="L2252">
            <v>1172110.0800000026</v>
          </cell>
          <cell r="M2252" t="e">
            <v>#N/A</v>
          </cell>
        </row>
        <row r="2253">
          <cell r="C2253" t="e">
            <v>#N/A</v>
          </cell>
          <cell r="E2253" t="e">
            <v>#N/A</v>
          </cell>
          <cell r="F2253" t="e">
            <v>#N/A</v>
          </cell>
          <cell r="G2253" t="e">
            <v>#N/A</v>
          </cell>
          <cell r="H2253">
            <v>0</v>
          </cell>
          <cell r="I2253">
            <v>0</v>
          </cell>
          <cell r="J2253" t="str">
            <v>X</v>
          </cell>
          <cell r="K2253">
            <v>1172110.0800000026</v>
          </cell>
          <cell r="L2253">
            <v>1172110.0800000026</v>
          </cell>
          <cell r="M2253" t="e">
            <v>#N/A</v>
          </cell>
        </row>
        <row r="2254">
          <cell r="C2254" t="e">
            <v>#N/A</v>
          </cell>
          <cell r="E2254" t="e">
            <v>#N/A</v>
          </cell>
          <cell r="F2254" t="e">
            <v>#N/A</v>
          </cell>
          <cell r="G2254" t="e">
            <v>#N/A</v>
          </cell>
          <cell r="H2254">
            <v>0</v>
          </cell>
          <cell r="I2254">
            <v>0</v>
          </cell>
          <cell r="J2254" t="str">
            <v>X</v>
          </cell>
          <cell r="K2254">
            <v>1172110.0800000026</v>
          </cell>
          <cell r="L2254">
            <v>1172110.0800000026</v>
          </cell>
          <cell r="M2254" t="e">
            <v>#N/A</v>
          </cell>
        </row>
        <row r="2255">
          <cell r="C2255" t="e">
            <v>#N/A</v>
          </cell>
          <cell r="E2255" t="e">
            <v>#N/A</v>
          </cell>
          <cell r="F2255" t="e">
            <v>#N/A</v>
          </cell>
          <cell r="G2255" t="e">
            <v>#N/A</v>
          </cell>
          <cell r="H2255">
            <v>0</v>
          </cell>
          <cell r="I2255">
            <v>0</v>
          </cell>
          <cell r="J2255" t="str">
            <v>X</v>
          </cell>
          <cell r="K2255">
            <v>1172110.0800000026</v>
          </cell>
          <cell r="L2255">
            <v>1172110.0800000026</v>
          </cell>
          <cell r="M2255" t="e">
            <v>#N/A</v>
          </cell>
        </row>
        <row r="2256">
          <cell r="C2256" t="e">
            <v>#N/A</v>
          </cell>
          <cell r="E2256" t="e">
            <v>#N/A</v>
          </cell>
          <cell r="F2256" t="e">
            <v>#N/A</v>
          </cell>
          <cell r="G2256" t="e">
            <v>#N/A</v>
          </cell>
          <cell r="H2256">
            <v>0</v>
          </cell>
          <cell r="I2256">
            <v>0</v>
          </cell>
          <cell r="J2256" t="str">
            <v>X</v>
          </cell>
          <cell r="K2256">
            <v>1172110.0800000026</v>
          </cell>
          <cell r="L2256">
            <v>1172110.0800000026</v>
          </cell>
          <cell r="M2256" t="e">
            <v>#N/A</v>
          </cell>
        </row>
        <row r="2257">
          <cell r="C2257" t="e">
            <v>#N/A</v>
          </cell>
          <cell r="E2257" t="e">
            <v>#N/A</v>
          </cell>
          <cell r="F2257" t="e">
            <v>#N/A</v>
          </cell>
          <cell r="G2257" t="e">
            <v>#N/A</v>
          </cell>
          <cell r="H2257">
            <v>0</v>
          </cell>
          <cell r="I2257">
            <v>0</v>
          </cell>
          <cell r="J2257" t="str">
            <v>X</v>
          </cell>
          <cell r="K2257">
            <v>1172110.0800000026</v>
          </cell>
          <cell r="L2257">
            <v>1172110.0800000026</v>
          </cell>
          <cell r="M2257" t="e">
            <v>#N/A</v>
          </cell>
        </row>
        <row r="2258">
          <cell r="C2258" t="e">
            <v>#N/A</v>
          </cell>
          <cell r="E2258" t="e">
            <v>#N/A</v>
          </cell>
          <cell r="F2258" t="e">
            <v>#N/A</v>
          </cell>
          <cell r="G2258" t="e">
            <v>#N/A</v>
          </cell>
          <cell r="H2258">
            <v>0</v>
          </cell>
          <cell r="I2258">
            <v>0</v>
          </cell>
          <cell r="J2258" t="str">
            <v>X</v>
          </cell>
          <cell r="K2258">
            <v>1172110.0800000026</v>
          </cell>
          <cell r="L2258">
            <v>1172110.0800000026</v>
          </cell>
          <cell r="M2258" t="e">
            <v>#N/A</v>
          </cell>
        </row>
        <row r="2259">
          <cell r="C2259" t="e">
            <v>#N/A</v>
          </cell>
          <cell r="E2259" t="e">
            <v>#N/A</v>
          </cell>
          <cell r="F2259" t="e">
            <v>#N/A</v>
          </cell>
          <cell r="G2259" t="e">
            <v>#N/A</v>
          </cell>
          <cell r="H2259">
            <v>0</v>
          </cell>
          <cell r="I2259">
            <v>0</v>
          </cell>
          <cell r="J2259" t="str">
            <v>X</v>
          </cell>
          <cell r="K2259">
            <v>1172110.0800000026</v>
          </cell>
          <cell r="L2259">
            <v>1172110.0800000026</v>
          </cell>
          <cell r="M2259" t="e">
            <v>#N/A</v>
          </cell>
        </row>
        <row r="2260">
          <cell r="C2260" t="e">
            <v>#N/A</v>
          </cell>
          <cell r="E2260" t="e">
            <v>#N/A</v>
          </cell>
          <cell r="F2260" t="e">
            <v>#N/A</v>
          </cell>
          <cell r="G2260" t="e">
            <v>#N/A</v>
          </cell>
          <cell r="H2260">
            <v>0</v>
          </cell>
          <cell r="I2260">
            <v>0</v>
          </cell>
          <cell r="J2260" t="str">
            <v>X</v>
          </cell>
          <cell r="K2260">
            <v>1172110.0800000026</v>
          </cell>
          <cell r="L2260">
            <v>1172110.0800000026</v>
          </cell>
          <cell r="M2260" t="e">
            <v>#N/A</v>
          </cell>
        </row>
        <row r="2261">
          <cell r="C2261" t="e">
            <v>#N/A</v>
          </cell>
          <cell r="E2261" t="e">
            <v>#N/A</v>
          </cell>
          <cell r="F2261" t="e">
            <v>#N/A</v>
          </cell>
          <cell r="G2261" t="e">
            <v>#N/A</v>
          </cell>
          <cell r="H2261">
            <v>0</v>
          </cell>
          <cell r="I2261">
            <v>0</v>
          </cell>
          <cell r="J2261" t="str">
            <v>X</v>
          </cell>
          <cell r="K2261">
            <v>1172110.0800000026</v>
          </cell>
          <cell r="L2261">
            <v>1172110.0800000026</v>
          </cell>
          <cell r="M2261" t="e">
            <v>#N/A</v>
          </cell>
        </row>
        <row r="2262">
          <cell r="C2262" t="e">
            <v>#N/A</v>
          </cell>
          <cell r="E2262" t="e">
            <v>#N/A</v>
          </cell>
          <cell r="F2262" t="e">
            <v>#N/A</v>
          </cell>
          <cell r="G2262" t="e">
            <v>#N/A</v>
          </cell>
          <cell r="H2262">
            <v>0</v>
          </cell>
          <cell r="I2262">
            <v>0</v>
          </cell>
          <cell r="J2262" t="str">
            <v>X</v>
          </cell>
          <cell r="K2262">
            <v>1172110.0800000026</v>
          </cell>
          <cell r="L2262">
            <v>1172110.0800000026</v>
          </cell>
          <cell r="M2262" t="e">
            <v>#N/A</v>
          </cell>
        </row>
        <row r="2263">
          <cell r="C2263" t="e">
            <v>#N/A</v>
          </cell>
          <cell r="E2263" t="e">
            <v>#N/A</v>
          </cell>
          <cell r="F2263" t="e">
            <v>#N/A</v>
          </cell>
          <cell r="G2263" t="e">
            <v>#N/A</v>
          </cell>
          <cell r="H2263">
            <v>0</v>
          </cell>
          <cell r="I2263">
            <v>0</v>
          </cell>
          <cell r="J2263" t="str">
            <v>X</v>
          </cell>
          <cell r="K2263">
            <v>1172110.0800000026</v>
          </cell>
          <cell r="L2263">
            <v>1172110.0800000026</v>
          </cell>
          <cell r="M2263" t="e">
            <v>#N/A</v>
          </cell>
        </row>
        <row r="2264">
          <cell r="C2264" t="e">
            <v>#N/A</v>
          </cell>
          <cell r="E2264" t="e">
            <v>#N/A</v>
          </cell>
          <cell r="F2264" t="e">
            <v>#N/A</v>
          </cell>
          <cell r="G2264" t="e">
            <v>#N/A</v>
          </cell>
          <cell r="H2264">
            <v>0</v>
          </cell>
          <cell r="I2264">
            <v>0</v>
          </cell>
          <cell r="J2264" t="str">
            <v>X</v>
          </cell>
          <cell r="K2264">
            <v>1172110.0800000026</v>
          </cell>
          <cell r="L2264">
            <v>1172110.0800000026</v>
          </cell>
          <cell r="M2264" t="e">
            <v>#N/A</v>
          </cell>
        </row>
        <row r="2265">
          <cell r="C2265" t="e">
            <v>#N/A</v>
          </cell>
          <cell r="E2265" t="e">
            <v>#N/A</v>
          </cell>
          <cell r="F2265" t="e">
            <v>#N/A</v>
          </cell>
          <cell r="G2265" t="e">
            <v>#N/A</v>
          </cell>
          <cell r="H2265">
            <v>0</v>
          </cell>
          <cell r="I2265">
            <v>0</v>
          </cell>
          <cell r="J2265" t="str">
            <v>X</v>
          </cell>
          <cell r="K2265">
            <v>1172110.0800000026</v>
          </cell>
          <cell r="L2265">
            <v>1172110.0800000026</v>
          </cell>
          <cell r="M2265" t="e">
            <v>#N/A</v>
          </cell>
        </row>
        <row r="2266">
          <cell r="C2266" t="e">
            <v>#N/A</v>
          </cell>
          <cell r="E2266" t="e">
            <v>#N/A</v>
          </cell>
          <cell r="F2266" t="e">
            <v>#N/A</v>
          </cell>
          <cell r="G2266" t="e">
            <v>#N/A</v>
          </cell>
          <cell r="H2266">
            <v>0</v>
          </cell>
          <cell r="I2266">
            <v>0</v>
          </cell>
          <cell r="J2266" t="str">
            <v>X</v>
          </cell>
          <cell r="K2266">
            <v>1172110.0800000026</v>
          </cell>
          <cell r="L2266">
            <v>1172110.0800000026</v>
          </cell>
          <cell r="M2266" t="e">
            <v>#N/A</v>
          </cell>
        </row>
        <row r="2267">
          <cell r="C2267" t="e">
            <v>#N/A</v>
          </cell>
          <cell r="E2267" t="e">
            <v>#N/A</v>
          </cell>
          <cell r="F2267" t="e">
            <v>#N/A</v>
          </cell>
          <cell r="G2267" t="e">
            <v>#N/A</v>
          </cell>
          <cell r="H2267">
            <v>0</v>
          </cell>
          <cell r="I2267">
            <v>0</v>
          </cell>
          <cell r="J2267" t="str">
            <v>X</v>
          </cell>
          <cell r="K2267">
            <v>1172110.0800000026</v>
          </cell>
          <cell r="L2267">
            <v>1172110.0800000026</v>
          </cell>
          <cell r="M2267" t="e">
            <v>#N/A</v>
          </cell>
        </row>
        <row r="2268">
          <cell r="C2268" t="e">
            <v>#N/A</v>
          </cell>
          <cell r="E2268" t="e">
            <v>#N/A</v>
          </cell>
          <cell r="F2268" t="e">
            <v>#N/A</v>
          </cell>
          <cell r="G2268" t="e">
            <v>#N/A</v>
          </cell>
          <cell r="H2268">
            <v>0</v>
          </cell>
          <cell r="I2268">
            <v>0</v>
          </cell>
          <cell r="J2268" t="str">
            <v>X</v>
          </cell>
          <cell r="K2268">
            <v>1172110.0800000026</v>
          </cell>
          <cell r="L2268">
            <v>1172110.0800000026</v>
          </cell>
          <cell r="M2268" t="e">
            <v>#N/A</v>
          </cell>
        </row>
        <row r="2269">
          <cell r="C2269" t="e">
            <v>#N/A</v>
          </cell>
          <cell r="E2269" t="e">
            <v>#N/A</v>
          </cell>
          <cell r="F2269" t="e">
            <v>#N/A</v>
          </cell>
          <cell r="G2269" t="e">
            <v>#N/A</v>
          </cell>
          <cell r="H2269">
            <v>0</v>
          </cell>
          <cell r="I2269">
            <v>0</v>
          </cell>
          <cell r="J2269" t="str">
            <v>X</v>
          </cell>
          <cell r="K2269">
            <v>1172110.0800000026</v>
          </cell>
          <cell r="L2269">
            <v>1172110.0800000026</v>
          </cell>
          <cell r="M2269" t="e">
            <v>#N/A</v>
          </cell>
        </row>
        <row r="2270">
          <cell r="C2270" t="e">
            <v>#N/A</v>
          </cell>
          <cell r="E2270" t="e">
            <v>#N/A</v>
          </cell>
          <cell r="F2270" t="e">
            <v>#N/A</v>
          </cell>
          <cell r="G2270" t="e">
            <v>#N/A</v>
          </cell>
          <cell r="H2270">
            <v>0</v>
          </cell>
          <cell r="I2270">
            <v>0</v>
          </cell>
          <cell r="J2270" t="str">
            <v>X</v>
          </cell>
          <cell r="K2270">
            <v>1172110.0800000026</v>
          </cell>
          <cell r="L2270">
            <v>1172110.0800000026</v>
          </cell>
          <cell r="M2270" t="e">
            <v>#N/A</v>
          </cell>
        </row>
        <row r="2271">
          <cell r="C2271" t="e">
            <v>#N/A</v>
          </cell>
          <cell r="E2271" t="e">
            <v>#N/A</v>
          </cell>
          <cell r="F2271" t="e">
            <v>#N/A</v>
          </cell>
          <cell r="G2271" t="e">
            <v>#N/A</v>
          </cell>
          <cell r="H2271">
            <v>0</v>
          </cell>
          <cell r="I2271">
            <v>0</v>
          </cell>
          <cell r="J2271" t="str">
            <v>X</v>
          </cell>
          <cell r="K2271">
            <v>1172110.0800000026</v>
          </cell>
          <cell r="L2271">
            <v>1172110.0800000026</v>
          </cell>
          <cell r="M2271" t="e">
            <v>#N/A</v>
          </cell>
        </row>
        <row r="2272">
          <cell r="C2272" t="e">
            <v>#N/A</v>
          </cell>
          <cell r="E2272" t="e">
            <v>#N/A</v>
          </cell>
          <cell r="F2272" t="e">
            <v>#N/A</v>
          </cell>
          <cell r="G2272" t="e">
            <v>#N/A</v>
          </cell>
          <cell r="H2272">
            <v>0</v>
          </cell>
          <cell r="I2272">
            <v>0</v>
          </cell>
          <cell r="J2272" t="str">
            <v>X</v>
          </cell>
          <cell r="K2272">
            <v>1172110.0800000026</v>
          </cell>
          <cell r="L2272">
            <v>1172110.0800000026</v>
          </cell>
          <cell r="M2272" t="e">
            <v>#N/A</v>
          </cell>
        </row>
        <row r="2273">
          <cell r="C2273" t="e">
            <v>#N/A</v>
          </cell>
          <cell r="E2273" t="e">
            <v>#N/A</v>
          </cell>
          <cell r="F2273" t="e">
            <v>#N/A</v>
          </cell>
          <cell r="G2273" t="e">
            <v>#N/A</v>
          </cell>
          <cell r="H2273">
            <v>0</v>
          </cell>
          <cell r="I2273">
            <v>0</v>
          </cell>
          <cell r="J2273" t="str">
            <v>X</v>
          </cell>
          <cell r="K2273">
            <v>1172110.0800000026</v>
          </cell>
          <cell r="L2273">
            <v>1172110.0800000026</v>
          </cell>
          <cell r="M2273" t="e">
            <v>#N/A</v>
          </cell>
        </row>
        <row r="2274">
          <cell r="C2274" t="e">
            <v>#N/A</v>
          </cell>
          <cell r="E2274" t="e">
            <v>#N/A</v>
          </cell>
          <cell r="F2274" t="e">
            <v>#N/A</v>
          </cell>
          <cell r="G2274" t="e">
            <v>#N/A</v>
          </cell>
          <cell r="H2274">
            <v>0</v>
          </cell>
          <cell r="I2274">
            <v>0</v>
          </cell>
          <cell r="J2274" t="str">
            <v>X</v>
          </cell>
          <cell r="K2274">
            <v>1172110.0800000026</v>
          </cell>
          <cell r="L2274">
            <v>1172110.0800000026</v>
          </cell>
          <cell r="M2274" t="e">
            <v>#N/A</v>
          </cell>
        </row>
        <row r="2275">
          <cell r="C2275" t="e">
            <v>#N/A</v>
          </cell>
          <cell r="E2275" t="e">
            <v>#N/A</v>
          </cell>
          <cell r="F2275" t="e">
            <v>#N/A</v>
          </cell>
          <cell r="G2275" t="e">
            <v>#N/A</v>
          </cell>
          <cell r="H2275">
            <v>0</v>
          </cell>
          <cell r="I2275">
            <v>0</v>
          </cell>
          <cell r="J2275" t="str">
            <v>X</v>
          </cell>
          <cell r="K2275">
            <v>1172110.0800000026</v>
          </cell>
          <cell r="L2275">
            <v>1172110.0800000026</v>
          </cell>
          <cell r="M2275" t="e">
            <v>#N/A</v>
          </cell>
        </row>
        <row r="2276">
          <cell r="C2276" t="e">
            <v>#N/A</v>
          </cell>
          <cell r="E2276" t="e">
            <v>#N/A</v>
          </cell>
          <cell r="F2276" t="e">
            <v>#N/A</v>
          </cell>
          <cell r="G2276" t="e">
            <v>#N/A</v>
          </cell>
          <cell r="H2276">
            <v>0</v>
          </cell>
          <cell r="I2276">
            <v>0</v>
          </cell>
          <cell r="J2276" t="str">
            <v>X</v>
          </cell>
          <cell r="K2276">
            <v>1172110.0800000026</v>
          </cell>
          <cell r="L2276">
            <v>1172110.0800000026</v>
          </cell>
          <cell r="M2276" t="e">
            <v>#N/A</v>
          </cell>
        </row>
        <row r="2277">
          <cell r="C2277" t="e">
            <v>#N/A</v>
          </cell>
          <cell r="E2277" t="e">
            <v>#N/A</v>
          </cell>
          <cell r="F2277" t="e">
            <v>#N/A</v>
          </cell>
          <cell r="G2277" t="e">
            <v>#N/A</v>
          </cell>
          <cell r="H2277">
            <v>0</v>
          </cell>
          <cell r="I2277">
            <v>0</v>
          </cell>
          <cell r="J2277" t="str">
            <v>X</v>
          </cell>
          <cell r="K2277">
            <v>1172110.0800000026</v>
          </cell>
          <cell r="L2277">
            <v>1172110.0800000026</v>
          </cell>
          <cell r="M2277" t="e">
            <v>#N/A</v>
          </cell>
        </row>
        <row r="2278">
          <cell r="C2278" t="e">
            <v>#N/A</v>
          </cell>
          <cell r="E2278" t="e">
            <v>#N/A</v>
          </cell>
          <cell r="F2278" t="e">
            <v>#N/A</v>
          </cell>
          <cell r="G2278" t="e">
            <v>#N/A</v>
          </cell>
          <cell r="H2278">
            <v>0</v>
          </cell>
          <cell r="I2278">
            <v>0</v>
          </cell>
          <cell r="J2278" t="str">
            <v>X</v>
          </cell>
          <cell r="K2278">
            <v>1172110.0800000026</v>
          </cell>
          <cell r="L2278">
            <v>1172110.0800000026</v>
          </cell>
          <cell r="M2278" t="e">
            <v>#N/A</v>
          </cell>
        </row>
        <row r="2279">
          <cell r="C2279" t="e">
            <v>#N/A</v>
          </cell>
          <cell r="E2279" t="e">
            <v>#N/A</v>
          </cell>
          <cell r="F2279" t="e">
            <v>#N/A</v>
          </cell>
          <cell r="G2279" t="e">
            <v>#N/A</v>
          </cell>
          <cell r="H2279">
            <v>0</v>
          </cell>
          <cell r="I2279">
            <v>0</v>
          </cell>
          <cell r="J2279" t="str">
            <v>X</v>
          </cell>
          <cell r="K2279">
            <v>1172110.0800000026</v>
          </cell>
          <cell r="L2279">
            <v>1172110.0800000026</v>
          </cell>
          <cell r="M2279" t="e">
            <v>#N/A</v>
          </cell>
        </row>
        <row r="2280">
          <cell r="C2280" t="e">
            <v>#N/A</v>
          </cell>
          <cell r="E2280" t="e">
            <v>#N/A</v>
          </cell>
          <cell r="F2280" t="e">
            <v>#N/A</v>
          </cell>
          <cell r="G2280" t="e">
            <v>#N/A</v>
          </cell>
          <cell r="H2280">
            <v>0</v>
          </cell>
          <cell r="I2280">
            <v>0</v>
          </cell>
          <cell r="J2280" t="str">
            <v>X</v>
          </cell>
          <cell r="K2280">
            <v>1172110.0800000026</v>
          </cell>
          <cell r="L2280">
            <v>1172110.0800000026</v>
          </cell>
          <cell r="M2280" t="e">
            <v>#N/A</v>
          </cell>
        </row>
        <row r="2281">
          <cell r="C2281" t="e">
            <v>#N/A</v>
          </cell>
          <cell r="E2281" t="e">
            <v>#N/A</v>
          </cell>
          <cell r="F2281" t="e">
            <v>#N/A</v>
          </cell>
          <cell r="G2281" t="e">
            <v>#N/A</v>
          </cell>
          <cell r="H2281">
            <v>0</v>
          </cell>
          <cell r="I2281">
            <v>0</v>
          </cell>
          <cell r="J2281" t="str">
            <v>X</v>
          </cell>
          <cell r="K2281">
            <v>1172110.0800000026</v>
          </cell>
          <cell r="L2281">
            <v>1172110.0800000026</v>
          </cell>
          <cell r="M2281" t="e">
            <v>#N/A</v>
          </cell>
        </row>
        <row r="2282">
          <cell r="C2282" t="e">
            <v>#N/A</v>
          </cell>
          <cell r="E2282" t="e">
            <v>#N/A</v>
          </cell>
          <cell r="F2282" t="e">
            <v>#N/A</v>
          </cell>
          <cell r="G2282" t="e">
            <v>#N/A</v>
          </cell>
          <cell r="H2282">
            <v>0</v>
          </cell>
          <cell r="I2282">
            <v>0</v>
          </cell>
          <cell r="J2282" t="str">
            <v>X</v>
          </cell>
          <cell r="K2282">
            <v>1172110.0800000026</v>
          </cell>
          <cell r="L2282">
            <v>1172110.0800000026</v>
          </cell>
          <cell r="M2282" t="e">
            <v>#N/A</v>
          </cell>
        </row>
        <row r="2283">
          <cell r="C2283" t="e">
            <v>#N/A</v>
          </cell>
          <cell r="E2283" t="e">
            <v>#N/A</v>
          </cell>
          <cell r="F2283" t="e">
            <v>#N/A</v>
          </cell>
          <cell r="G2283" t="e">
            <v>#N/A</v>
          </cell>
          <cell r="H2283">
            <v>0</v>
          </cell>
          <cell r="I2283">
            <v>0</v>
          </cell>
          <cell r="J2283" t="str">
            <v>X</v>
          </cell>
          <cell r="K2283">
            <v>1172110.0800000026</v>
          </cell>
          <cell r="L2283">
            <v>1172110.0800000026</v>
          </cell>
          <cell r="M2283" t="e">
            <v>#N/A</v>
          </cell>
        </row>
        <row r="2284">
          <cell r="C2284" t="e">
            <v>#N/A</v>
          </cell>
          <cell r="E2284" t="e">
            <v>#N/A</v>
          </cell>
          <cell r="F2284" t="e">
            <v>#N/A</v>
          </cell>
          <cell r="G2284" t="e">
            <v>#N/A</v>
          </cell>
          <cell r="H2284">
            <v>0</v>
          </cell>
          <cell r="I2284">
            <v>0</v>
          </cell>
          <cell r="J2284" t="str">
            <v>X</v>
          </cell>
          <cell r="K2284">
            <v>1172110.0800000026</v>
          </cell>
          <cell r="L2284">
            <v>1172110.0800000026</v>
          </cell>
          <cell r="M2284" t="e">
            <v>#N/A</v>
          </cell>
        </row>
        <row r="2285">
          <cell r="C2285" t="e">
            <v>#N/A</v>
          </cell>
          <cell r="E2285" t="e">
            <v>#N/A</v>
          </cell>
          <cell r="F2285" t="e">
            <v>#N/A</v>
          </cell>
          <cell r="G2285" t="e">
            <v>#N/A</v>
          </cell>
          <cell r="H2285">
            <v>0</v>
          </cell>
          <cell r="I2285">
            <v>0</v>
          </cell>
          <cell r="J2285" t="str">
            <v>X</v>
          </cell>
          <cell r="K2285">
            <v>1172110.0800000026</v>
          </cell>
          <cell r="L2285">
            <v>1172110.0800000026</v>
          </cell>
          <cell r="M2285" t="e">
            <v>#N/A</v>
          </cell>
        </row>
        <row r="2286">
          <cell r="C2286" t="e">
            <v>#N/A</v>
          </cell>
          <cell r="E2286" t="e">
            <v>#N/A</v>
          </cell>
          <cell r="F2286" t="e">
            <v>#N/A</v>
          </cell>
          <cell r="G2286" t="e">
            <v>#N/A</v>
          </cell>
          <cell r="H2286">
            <v>0</v>
          </cell>
          <cell r="I2286">
            <v>0</v>
          </cell>
          <cell r="J2286" t="str">
            <v>X</v>
          </cell>
          <cell r="K2286">
            <v>1172110.0800000026</v>
          </cell>
          <cell r="L2286">
            <v>1172110.0800000026</v>
          </cell>
          <cell r="M2286" t="e">
            <v>#N/A</v>
          </cell>
        </row>
        <row r="2287">
          <cell r="C2287" t="e">
            <v>#N/A</v>
          </cell>
          <cell r="E2287" t="e">
            <v>#N/A</v>
          </cell>
          <cell r="F2287" t="e">
            <v>#N/A</v>
          </cell>
          <cell r="G2287" t="e">
            <v>#N/A</v>
          </cell>
          <cell r="H2287">
            <v>0</v>
          </cell>
          <cell r="I2287">
            <v>0</v>
          </cell>
          <cell r="J2287" t="str">
            <v>X</v>
          </cell>
          <cell r="K2287">
            <v>1172110.0800000026</v>
          </cell>
          <cell r="L2287">
            <v>1172110.0800000026</v>
          </cell>
          <cell r="M2287" t="e">
            <v>#N/A</v>
          </cell>
        </row>
        <row r="2288">
          <cell r="C2288" t="e">
            <v>#N/A</v>
          </cell>
          <cell r="E2288" t="e">
            <v>#N/A</v>
          </cell>
          <cell r="F2288" t="e">
            <v>#N/A</v>
          </cell>
          <cell r="G2288" t="e">
            <v>#N/A</v>
          </cell>
          <cell r="H2288">
            <v>0</v>
          </cell>
          <cell r="I2288">
            <v>0</v>
          </cell>
          <cell r="J2288" t="str">
            <v>X</v>
          </cell>
          <cell r="K2288">
            <v>1172110.0800000026</v>
          </cell>
          <cell r="L2288">
            <v>1172110.0800000026</v>
          </cell>
          <cell r="M2288" t="e">
            <v>#N/A</v>
          </cell>
        </row>
        <row r="2289">
          <cell r="C2289" t="e">
            <v>#N/A</v>
          </cell>
          <cell r="E2289" t="e">
            <v>#N/A</v>
          </cell>
          <cell r="F2289" t="e">
            <v>#N/A</v>
          </cell>
          <cell r="G2289" t="e">
            <v>#N/A</v>
          </cell>
          <cell r="H2289">
            <v>0</v>
          </cell>
          <cell r="I2289">
            <v>0</v>
          </cell>
          <cell r="J2289" t="str">
            <v>X</v>
          </cell>
          <cell r="K2289">
            <v>1172110.0800000026</v>
          </cell>
          <cell r="L2289">
            <v>1172110.0800000026</v>
          </cell>
          <cell r="M2289" t="e">
            <v>#N/A</v>
          </cell>
        </row>
        <row r="2290">
          <cell r="C2290" t="e">
            <v>#N/A</v>
          </cell>
          <cell r="E2290" t="e">
            <v>#N/A</v>
          </cell>
          <cell r="F2290" t="e">
            <v>#N/A</v>
          </cell>
          <cell r="G2290" t="e">
            <v>#N/A</v>
          </cell>
          <cell r="H2290">
            <v>0</v>
          </cell>
          <cell r="I2290">
            <v>0</v>
          </cell>
          <cell r="J2290" t="str">
            <v>X</v>
          </cell>
          <cell r="K2290">
            <v>1172110.0800000026</v>
          </cell>
          <cell r="L2290">
            <v>1172110.0800000026</v>
          </cell>
          <cell r="M2290" t="e">
            <v>#N/A</v>
          </cell>
        </row>
        <row r="2291">
          <cell r="C2291" t="e">
            <v>#N/A</v>
          </cell>
          <cell r="E2291" t="e">
            <v>#N/A</v>
          </cell>
          <cell r="F2291" t="e">
            <v>#N/A</v>
          </cell>
          <cell r="G2291" t="e">
            <v>#N/A</v>
          </cell>
          <cell r="H2291">
            <v>0</v>
          </cell>
          <cell r="I2291">
            <v>0</v>
          </cell>
          <cell r="J2291" t="str">
            <v>X</v>
          </cell>
          <cell r="K2291">
            <v>1172110.0800000026</v>
          </cell>
          <cell r="L2291">
            <v>1172110.0800000026</v>
          </cell>
          <cell r="M2291" t="e">
            <v>#N/A</v>
          </cell>
        </row>
        <row r="2292">
          <cell r="C2292" t="e">
            <v>#N/A</v>
          </cell>
          <cell r="E2292" t="e">
            <v>#N/A</v>
          </cell>
          <cell r="F2292" t="e">
            <v>#N/A</v>
          </cell>
          <cell r="G2292" t="e">
            <v>#N/A</v>
          </cell>
          <cell r="H2292">
            <v>0</v>
          </cell>
          <cell r="I2292">
            <v>0</v>
          </cell>
          <cell r="J2292" t="str">
            <v>X</v>
          </cell>
          <cell r="K2292">
            <v>1172110.0800000026</v>
          </cell>
          <cell r="L2292">
            <v>1172110.0800000026</v>
          </cell>
          <cell r="M2292" t="e">
            <v>#N/A</v>
          </cell>
        </row>
        <row r="2293">
          <cell r="C2293" t="e">
            <v>#N/A</v>
          </cell>
          <cell r="E2293" t="e">
            <v>#N/A</v>
          </cell>
          <cell r="F2293" t="e">
            <v>#N/A</v>
          </cell>
          <cell r="G2293" t="e">
            <v>#N/A</v>
          </cell>
          <cell r="H2293">
            <v>0</v>
          </cell>
          <cell r="I2293">
            <v>0</v>
          </cell>
          <cell r="J2293" t="str">
            <v>X</v>
          </cell>
          <cell r="K2293">
            <v>1172110.0800000026</v>
          </cell>
          <cell r="L2293">
            <v>1172110.0800000026</v>
          </cell>
          <cell r="M2293" t="e">
            <v>#N/A</v>
          </cell>
        </row>
        <row r="2294">
          <cell r="C2294" t="e">
            <v>#N/A</v>
          </cell>
          <cell r="E2294" t="e">
            <v>#N/A</v>
          </cell>
          <cell r="F2294" t="e">
            <v>#N/A</v>
          </cell>
          <cell r="G2294" t="e">
            <v>#N/A</v>
          </cell>
          <cell r="H2294">
            <v>0</v>
          </cell>
          <cell r="I2294">
            <v>0</v>
          </cell>
          <cell r="J2294" t="str">
            <v>X</v>
          </cell>
          <cell r="K2294">
            <v>1172110.0800000026</v>
          </cell>
          <cell r="L2294">
            <v>1172110.0800000026</v>
          </cell>
          <cell r="M2294" t="e">
            <v>#N/A</v>
          </cell>
        </row>
        <row r="2295">
          <cell r="C2295" t="e">
            <v>#N/A</v>
          </cell>
          <cell r="E2295" t="e">
            <v>#N/A</v>
          </cell>
          <cell r="F2295" t="e">
            <v>#N/A</v>
          </cell>
          <cell r="G2295" t="e">
            <v>#N/A</v>
          </cell>
          <cell r="H2295">
            <v>0</v>
          </cell>
          <cell r="I2295">
            <v>0</v>
          </cell>
          <cell r="J2295" t="str">
            <v>X</v>
          </cell>
          <cell r="K2295">
            <v>1172110.0800000026</v>
          </cell>
          <cell r="L2295">
            <v>1172110.0800000026</v>
          </cell>
          <cell r="M2295" t="e">
            <v>#N/A</v>
          </cell>
        </row>
        <row r="2296">
          <cell r="C2296" t="e">
            <v>#N/A</v>
          </cell>
          <cell r="E2296" t="e">
            <v>#N/A</v>
          </cell>
          <cell r="F2296" t="e">
            <v>#N/A</v>
          </cell>
          <cell r="G2296" t="e">
            <v>#N/A</v>
          </cell>
          <cell r="H2296">
            <v>0</v>
          </cell>
          <cell r="I2296">
            <v>0</v>
          </cell>
          <cell r="J2296" t="str">
            <v>X</v>
          </cell>
          <cell r="K2296">
            <v>1172110.0800000026</v>
          </cell>
          <cell r="L2296">
            <v>1172110.0800000026</v>
          </cell>
          <cell r="M2296" t="e">
            <v>#N/A</v>
          </cell>
        </row>
        <row r="2297">
          <cell r="C2297" t="e">
            <v>#N/A</v>
          </cell>
          <cell r="E2297" t="e">
            <v>#N/A</v>
          </cell>
          <cell r="F2297" t="e">
            <v>#N/A</v>
          </cell>
          <cell r="G2297" t="e">
            <v>#N/A</v>
          </cell>
          <cell r="H2297">
            <v>0</v>
          </cell>
          <cell r="I2297">
            <v>0</v>
          </cell>
          <cell r="J2297" t="str">
            <v>X</v>
          </cell>
          <cell r="K2297">
            <v>1172110.0800000026</v>
          </cell>
          <cell r="L2297">
            <v>1172110.0800000026</v>
          </cell>
          <cell r="M2297" t="e">
            <v>#N/A</v>
          </cell>
        </row>
        <row r="2298">
          <cell r="C2298" t="e">
            <v>#N/A</v>
          </cell>
          <cell r="E2298" t="e">
            <v>#N/A</v>
          </cell>
          <cell r="F2298" t="e">
            <v>#N/A</v>
          </cell>
          <cell r="G2298" t="e">
            <v>#N/A</v>
          </cell>
          <cell r="H2298">
            <v>0</v>
          </cell>
          <cell r="I2298">
            <v>0</v>
          </cell>
          <cell r="J2298" t="str">
            <v>X</v>
          </cell>
          <cell r="K2298">
            <v>1172110.0800000026</v>
          </cell>
          <cell r="L2298">
            <v>1172110.0800000026</v>
          </cell>
          <cell r="M2298" t="e">
            <v>#N/A</v>
          </cell>
        </row>
        <row r="2299">
          <cell r="C2299" t="e">
            <v>#N/A</v>
          </cell>
          <cell r="E2299" t="e">
            <v>#N/A</v>
          </cell>
          <cell r="F2299" t="e">
            <v>#N/A</v>
          </cell>
          <cell r="G2299" t="e">
            <v>#N/A</v>
          </cell>
          <cell r="H2299">
            <v>0</v>
          </cell>
          <cell r="I2299">
            <v>0</v>
          </cell>
          <cell r="J2299" t="str">
            <v>X</v>
          </cell>
          <cell r="K2299">
            <v>1172110.0800000026</v>
          </cell>
          <cell r="L2299">
            <v>1172110.0800000026</v>
          </cell>
          <cell r="M2299" t="e">
            <v>#N/A</v>
          </cell>
        </row>
        <row r="2300">
          <cell r="C2300" t="e">
            <v>#N/A</v>
          </cell>
          <cell r="E2300" t="e">
            <v>#N/A</v>
          </cell>
          <cell r="F2300" t="e">
            <v>#N/A</v>
          </cell>
          <cell r="G2300" t="e">
            <v>#N/A</v>
          </cell>
          <cell r="H2300">
            <v>0</v>
          </cell>
          <cell r="I2300">
            <v>0</v>
          </cell>
          <cell r="J2300" t="str">
            <v>X</v>
          </cell>
          <cell r="K2300">
            <v>1172110.0800000026</v>
          </cell>
          <cell r="L2300">
            <v>1172110.0800000026</v>
          </cell>
          <cell r="M2300" t="e">
            <v>#N/A</v>
          </cell>
        </row>
        <row r="2301">
          <cell r="C2301" t="e">
            <v>#N/A</v>
          </cell>
          <cell r="E2301" t="e">
            <v>#N/A</v>
          </cell>
          <cell r="F2301" t="e">
            <v>#N/A</v>
          </cell>
          <cell r="G2301" t="e">
            <v>#N/A</v>
          </cell>
          <cell r="H2301">
            <v>0</v>
          </cell>
          <cell r="I2301">
            <v>0</v>
          </cell>
          <cell r="J2301" t="str">
            <v>X</v>
          </cell>
          <cell r="K2301">
            <v>1172110.0800000026</v>
          </cell>
          <cell r="L2301">
            <v>1172110.0800000026</v>
          </cell>
          <cell r="M2301" t="e">
            <v>#N/A</v>
          </cell>
        </row>
        <row r="2302">
          <cell r="C2302" t="e">
            <v>#N/A</v>
          </cell>
          <cell r="E2302" t="e">
            <v>#N/A</v>
          </cell>
          <cell r="F2302" t="e">
            <v>#N/A</v>
          </cell>
          <cell r="G2302" t="e">
            <v>#N/A</v>
          </cell>
          <cell r="H2302">
            <v>0</v>
          </cell>
          <cell r="I2302">
            <v>0</v>
          </cell>
          <cell r="J2302" t="str">
            <v>X</v>
          </cell>
          <cell r="K2302">
            <v>1172110.0800000026</v>
          </cell>
          <cell r="L2302">
            <v>1172110.0800000026</v>
          </cell>
          <cell r="M2302" t="e">
            <v>#N/A</v>
          </cell>
        </row>
        <row r="2303">
          <cell r="C2303" t="e">
            <v>#N/A</v>
          </cell>
          <cell r="E2303" t="e">
            <v>#N/A</v>
          </cell>
          <cell r="F2303" t="e">
            <v>#N/A</v>
          </cell>
          <cell r="G2303" t="e">
            <v>#N/A</v>
          </cell>
          <cell r="H2303">
            <v>0</v>
          </cell>
          <cell r="I2303">
            <v>0</v>
          </cell>
          <cell r="J2303" t="str">
            <v>X</v>
          </cell>
          <cell r="K2303">
            <v>1172110.0800000026</v>
          </cell>
          <cell r="L2303">
            <v>1172110.0800000026</v>
          </cell>
          <cell r="M2303" t="e">
            <v>#N/A</v>
          </cell>
        </row>
        <row r="2304">
          <cell r="C2304" t="e">
            <v>#N/A</v>
          </cell>
          <cell r="E2304" t="e">
            <v>#N/A</v>
          </cell>
          <cell r="F2304" t="e">
            <v>#N/A</v>
          </cell>
          <cell r="G2304" t="e">
            <v>#N/A</v>
          </cell>
          <cell r="H2304">
            <v>0</v>
          </cell>
          <cell r="I2304">
            <v>0</v>
          </cell>
          <cell r="J2304" t="str">
            <v>X</v>
          </cell>
          <cell r="K2304">
            <v>1172110.0800000026</v>
          </cell>
          <cell r="L2304">
            <v>1172110.0800000026</v>
          </cell>
          <cell r="M2304" t="e">
            <v>#N/A</v>
          </cell>
        </row>
        <row r="2305">
          <cell r="C2305" t="e">
            <v>#N/A</v>
          </cell>
          <cell r="E2305" t="e">
            <v>#N/A</v>
          </cell>
          <cell r="F2305" t="e">
            <v>#N/A</v>
          </cell>
          <cell r="G2305" t="e">
            <v>#N/A</v>
          </cell>
          <cell r="H2305">
            <v>0</v>
          </cell>
          <cell r="I2305">
            <v>0</v>
          </cell>
          <cell r="J2305" t="str">
            <v>X</v>
          </cell>
          <cell r="K2305">
            <v>1172110.0800000026</v>
          </cell>
          <cell r="L2305">
            <v>1172110.0800000026</v>
          </cell>
          <cell r="M2305" t="e">
            <v>#N/A</v>
          </cell>
        </row>
        <row r="2306">
          <cell r="C2306" t="e">
            <v>#N/A</v>
          </cell>
          <cell r="E2306" t="e">
            <v>#N/A</v>
          </cell>
          <cell r="F2306" t="e">
            <v>#N/A</v>
          </cell>
          <cell r="G2306" t="e">
            <v>#N/A</v>
          </cell>
          <cell r="H2306">
            <v>0</v>
          </cell>
          <cell r="I2306">
            <v>0</v>
          </cell>
          <cell r="K2306">
            <v>1172110.0800000026</v>
          </cell>
          <cell r="L2306">
            <v>1172110.0800000026</v>
          </cell>
          <cell r="M2306" t="e">
            <v>#N/A</v>
          </cell>
        </row>
        <row r="2307">
          <cell r="C2307" t="e">
            <v>#N/A</v>
          </cell>
          <cell r="E2307" t="e">
            <v>#N/A</v>
          </cell>
          <cell r="F2307" t="e">
            <v>#N/A</v>
          </cell>
          <cell r="G2307" t="e">
            <v>#N/A</v>
          </cell>
          <cell r="H2307">
            <v>0</v>
          </cell>
          <cell r="I2307">
            <v>0</v>
          </cell>
          <cell r="K2307">
            <v>1172110.0800000026</v>
          </cell>
          <cell r="L2307">
            <v>1172110.0800000026</v>
          </cell>
          <cell r="M2307" t="e">
            <v>#N/A</v>
          </cell>
        </row>
        <row r="2308">
          <cell r="C2308" t="e">
            <v>#N/A</v>
          </cell>
          <cell r="E2308" t="e">
            <v>#N/A</v>
          </cell>
          <cell r="F2308" t="e">
            <v>#N/A</v>
          </cell>
          <cell r="G2308" t="e">
            <v>#N/A</v>
          </cell>
          <cell r="H2308">
            <v>0</v>
          </cell>
          <cell r="I2308">
            <v>0</v>
          </cell>
          <cell r="K2308">
            <v>1172110.0800000026</v>
          </cell>
          <cell r="L2308">
            <v>1172110.0800000026</v>
          </cell>
          <cell r="M2308" t="e">
            <v>#N/A</v>
          </cell>
        </row>
        <row r="2309">
          <cell r="C2309" t="e">
            <v>#N/A</v>
          </cell>
          <cell r="E2309" t="e">
            <v>#N/A</v>
          </cell>
          <cell r="F2309" t="e">
            <v>#N/A</v>
          </cell>
          <cell r="G2309" t="e">
            <v>#N/A</v>
          </cell>
          <cell r="H2309">
            <v>0</v>
          </cell>
          <cell r="I2309">
            <v>0</v>
          </cell>
          <cell r="K2309">
            <v>1172110.0800000026</v>
          </cell>
          <cell r="L2309">
            <v>1172110.0800000026</v>
          </cell>
          <cell r="M2309" t="e">
            <v>#N/A</v>
          </cell>
        </row>
        <row r="2310">
          <cell r="C2310" t="e">
            <v>#N/A</v>
          </cell>
          <cell r="E2310" t="e">
            <v>#N/A</v>
          </cell>
          <cell r="F2310" t="e">
            <v>#N/A</v>
          </cell>
          <cell r="G2310" t="e">
            <v>#N/A</v>
          </cell>
          <cell r="H2310">
            <v>0</v>
          </cell>
          <cell r="I2310">
            <v>0</v>
          </cell>
          <cell r="K2310">
            <v>1172110.0800000026</v>
          </cell>
          <cell r="L2310">
            <v>1172110.0800000026</v>
          </cell>
          <cell r="M2310" t="e">
            <v>#N/A</v>
          </cell>
        </row>
        <row r="2311">
          <cell r="C2311" t="e">
            <v>#N/A</v>
          </cell>
          <cell r="E2311" t="e">
            <v>#N/A</v>
          </cell>
          <cell r="F2311" t="e">
            <v>#N/A</v>
          </cell>
          <cell r="G2311" t="e">
            <v>#N/A</v>
          </cell>
          <cell r="H2311">
            <v>0</v>
          </cell>
          <cell r="I2311">
            <v>0</v>
          </cell>
          <cell r="K2311">
            <v>1172110.0800000026</v>
          </cell>
          <cell r="L2311">
            <v>1172110.0800000026</v>
          </cell>
          <cell r="M2311" t="e">
            <v>#N/A</v>
          </cell>
        </row>
        <row r="2312">
          <cell r="C2312" t="e">
            <v>#N/A</v>
          </cell>
          <cell r="E2312" t="e">
            <v>#N/A</v>
          </cell>
          <cell r="F2312" t="e">
            <v>#N/A</v>
          </cell>
          <cell r="G2312" t="e">
            <v>#N/A</v>
          </cell>
          <cell r="H2312">
            <v>0</v>
          </cell>
          <cell r="I2312">
            <v>0</v>
          </cell>
          <cell r="K2312">
            <v>1172110.0800000026</v>
          </cell>
          <cell r="L2312">
            <v>1172110.0800000026</v>
          </cell>
          <cell r="M2312" t="e">
            <v>#N/A</v>
          </cell>
        </row>
        <row r="2313">
          <cell r="C2313" t="e">
            <v>#N/A</v>
          </cell>
          <cell r="E2313" t="e">
            <v>#N/A</v>
          </cell>
          <cell r="F2313" t="e">
            <v>#N/A</v>
          </cell>
          <cell r="G2313" t="e">
            <v>#N/A</v>
          </cell>
          <cell r="H2313">
            <v>0</v>
          </cell>
          <cell r="I2313">
            <v>0</v>
          </cell>
          <cell r="K2313">
            <v>1172110.0800000026</v>
          </cell>
          <cell r="L2313">
            <v>1172110.0800000026</v>
          </cell>
          <cell r="M2313" t="e">
            <v>#N/A</v>
          </cell>
        </row>
        <row r="2314">
          <cell r="C2314" t="e">
            <v>#N/A</v>
          </cell>
          <cell r="E2314" t="e">
            <v>#N/A</v>
          </cell>
          <cell r="F2314" t="e">
            <v>#N/A</v>
          </cell>
          <cell r="G2314" t="e">
            <v>#N/A</v>
          </cell>
          <cell r="H2314">
            <v>0</v>
          </cell>
          <cell r="I2314">
            <v>0</v>
          </cell>
          <cell r="K2314">
            <v>1172110.0800000026</v>
          </cell>
          <cell r="L2314">
            <v>1172110.0800000026</v>
          </cell>
          <cell r="M2314" t="e">
            <v>#N/A</v>
          </cell>
        </row>
        <row r="2315">
          <cell r="C2315" t="e">
            <v>#N/A</v>
          </cell>
          <cell r="E2315" t="e">
            <v>#N/A</v>
          </cell>
          <cell r="F2315" t="e">
            <v>#N/A</v>
          </cell>
          <cell r="G2315" t="e">
            <v>#N/A</v>
          </cell>
          <cell r="H2315">
            <v>0</v>
          </cell>
          <cell r="I2315">
            <v>0</v>
          </cell>
          <cell r="K2315">
            <v>1172110.0800000026</v>
          </cell>
          <cell r="L2315">
            <v>1172110.0800000026</v>
          </cell>
          <cell r="M2315" t="e">
            <v>#N/A</v>
          </cell>
        </row>
        <row r="2316">
          <cell r="C2316" t="e">
            <v>#N/A</v>
          </cell>
          <cell r="E2316" t="e">
            <v>#N/A</v>
          </cell>
          <cell r="F2316" t="e">
            <v>#N/A</v>
          </cell>
          <cell r="G2316" t="e">
            <v>#N/A</v>
          </cell>
          <cell r="H2316">
            <v>0</v>
          </cell>
          <cell r="I2316">
            <v>0</v>
          </cell>
          <cell r="K2316">
            <v>1172110.0800000026</v>
          </cell>
          <cell r="L2316">
            <v>1172110.0800000026</v>
          </cell>
          <cell r="M2316" t="e">
            <v>#N/A</v>
          </cell>
        </row>
        <row r="2317">
          <cell r="C2317" t="e">
            <v>#N/A</v>
          </cell>
          <cell r="E2317" t="e">
            <v>#N/A</v>
          </cell>
          <cell r="F2317" t="e">
            <v>#N/A</v>
          </cell>
          <cell r="G2317" t="e">
            <v>#N/A</v>
          </cell>
          <cell r="H2317">
            <v>0</v>
          </cell>
          <cell r="I2317">
            <v>0</v>
          </cell>
          <cell r="K2317">
            <v>1172110.0800000026</v>
          </cell>
          <cell r="L2317">
            <v>1172110.0800000026</v>
          </cell>
          <cell r="M2317" t="e">
            <v>#N/A</v>
          </cell>
        </row>
        <row r="2318">
          <cell r="C2318" t="e">
            <v>#N/A</v>
          </cell>
          <cell r="E2318" t="e">
            <v>#N/A</v>
          </cell>
          <cell r="F2318" t="e">
            <v>#N/A</v>
          </cell>
          <cell r="G2318" t="e">
            <v>#N/A</v>
          </cell>
          <cell r="H2318">
            <v>0</v>
          </cell>
          <cell r="I2318">
            <v>0</v>
          </cell>
          <cell r="K2318">
            <v>1172110.0800000026</v>
          </cell>
          <cell r="L2318">
            <v>1172110.0800000026</v>
          </cell>
          <cell r="M2318" t="e">
            <v>#N/A</v>
          </cell>
        </row>
        <row r="2319">
          <cell r="C2319" t="e">
            <v>#N/A</v>
          </cell>
          <cell r="E2319" t="e">
            <v>#N/A</v>
          </cell>
          <cell r="F2319" t="e">
            <v>#N/A</v>
          </cell>
          <cell r="G2319" t="e">
            <v>#N/A</v>
          </cell>
          <cell r="H2319">
            <v>0</v>
          </cell>
          <cell r="I2319">
            <v>0</v>
          </cell>
          <cell r="K2319">
            <v>1172110.0800000026</v>
          </cell>
          <cell r="L2319">
            <v>1172110.0800000026</v>
          </cell>
          <cell r="M2319" t="e">
            <v>#N/A</v>
          </cell>
        </row>
        <row r="2320">
          <cell r="C2320" t="e">
            <v>#N/A</v>
          </cell>
          <cell r="E2320" t="e">
            <v>#N/A</v>
          </cell>
          <cell r="F2320" t="e">
            <v>#N/A</v>
          </cell>
          <cell r="G2320" t="e">
            <v>#N/A</v>
          </cell>
          <cell r="H2320">
            <v>0</v>
          </cell>
          <cell r="I2320">
            <v>0</v>
          </cell>
          <cell r="K2320">
            <v>1172110.0800000026</v>
          </cell>
          <cell r="L2320">
            <v>1172110.0800000026</v>
          </cell>
          <cell r="M2320" t="e">
            <v>#N/A</v>
          </cell>
        </row>
        <row r="2321">
          <cell r="C2321" t="e">
            <v>#N/A</v>
          </cell>
          <cell r="E2321" t="e">
            <v>#N/A</v>
          </cell>
          <cell r="F2321" t="e">
            <v>#N/A</v>
          </cell>
          <cell r="G2321" t="e">
            <v>#N/A</v>
          </cell>
          <cell r="H2321">
            <v>0</v>
          </cell>
          <cell r="I2321">
            <v>0</v>
          </cell>
          <cell r="K2321">
            <v>1172110.0800000026</v>
          </cell>
          <cell r="L2321">
            <v>1172110.0800000026</v>
          </cell>
          <cell r="M2321" t="e">
            <v>#N/A</v>
          </cell>
        </row>
        <row r="2322">
          <cell r="C2322" t="e">
            <v>#N/A</v>
          </cell>
          <cell r="E2322" t="e">
            <v>#N/A</v>
          </cell>
          <cell r="F2322" t="e">
            <v>#N/A</v>
          </cell>
          <cell r="G2322" t="e">
            <v>#N/A</v>
          </cell>
          <cell r="H2322">
            <v>0</v>
          </cell>
          <cell r="I2322">
            <v>0</v>
          </cell>
          <cell r="K2322">
            <v>1172110.0800000026</v>
          </cell>
          <cell r="L2322">
            <v>1172110.0800000026</v>
          </cell>
          <cell r="M2322" t="e">
            <v>#N/A</v>
          </cell>
        </row>
        <row r="2323">
          <cell r="C2323" t="e">
            <v>#N/A</v>
          </cell>
          <cell r="E2323" t="e">
            <v>#N/A</v>
          </cell>
          <cell r="F2323" t="e">
            <v>#N/A</v>
          </cell>
          <cell r="G2323" t="e">
            <v>#N/A</v>
          </cell>
          <cell r="H2323">
            <v>0</v>
          </cell>
          <cell r="I2323">
            <v>0</v>
          </cell>
          <cell r="K2323">
            <v>1172110.0800000026</v>
          </cell>
          <cell r="L2323">
            <v>1172110.0800000026</v>
          </cell>
          <cell r="M2323" t="e">
            <v>#N/A</v>
          </cell>
        </row>
        <row r="2324">
          <cell r="C2324" t="e">
            <v>#N/A</v>
          </cell>
          <cell r="E2324" t="e">
            <v>#N/A</v>
          </cell>
          <cell r="F2324" t="e">
            <v>#N/A</v>
          </cell>
          <cell r="G2324" t="e">
            <v>#N/A</v>
          </cell>
          <cell r="H2324">
            <v>0</v>
          </cell>
          <cell r="I2324">
            <v>0</v>
          </cell>
          <cell r="K2324">
            <v>1172110.0800000026</v>
          </cell>
          <cell r="L2324">
            <v>1172110.0800000026</v>
          </cell>
          <cell r="M2324" t="e">
            <v>#N/A</v>
          </cell>
        </row>
        <row r="2325">
          <cell r="C2325" t="e">
            <v>#N/A</v>
          </cell>
          <cell r="E2325" t="e">
            <v>#N/A</v>
          </cell>
          <cell r="F2325" t="e">
            <v>#N/A</v>
          </cell>
          <cell r="G2325" t="e">
            <v>#N/A</v>
          </cell>
          <cell r="H2325">
            <v>0</v>
          </cell>
          <cell r="I2325">
            <v>0</v>
          </cell>
          <cell r="K2325">
            <v>1172110.0800000026</v>
          </cell>
          <cell r="L2325">
            <v>1172110.0800000026</v>
          </cell>
          <cell r="M2325" t="e">
            <v>#N/A</v>
          </cell>
        </row>
        <row r="2326">
          <cell r="C2326" t="e">
            <v>#N/A</v>
          </cell>
          <cell r="E2326" t="e">
            <v>#N/A</v>
          </cell>
          <cell r="F2326" t="e">
            <v>#N/A</v>
          </cell>
          <cell r="G2326" t="e">
            <v>#N/A</v>
          </cell>
          <cell r="H2326">
            <v>0</v>
          </cell>
          <cell r="I2326">
            <v>0</v>
          </cell>
          <cell r="K2326">
            <v>1172110.0800000026</v>
          </cell>
          <cell r="L2326">
            <v>1172110.0800000026</v>
          </cell>
          <cell r="M2326" t="e">
            <v>#N/A</v>
          </cell>
        </row>
        <row r="2327">
          <cell r="C2327" t="e">
            <v>#N/A</v>
          </cell>
          <cell r="E2327" t="e">
            <v>#N/A</v>
          </cell>
          <cell r="F2327" t="e">
            <v>#N/A</v>
          </cell>
          <cell r="G2327" t="e">
            <v>#N/A</v>
          </cell>
          <cell r="H2327">
            <v>0</v>
          </cell>
          <cell r="I2327">
            <v>0</v>
          </cell>
          <cell r="K2327">
            <v>1172110.0800000026</v>
          </cell>
          <cell r="L2327">
            <v>1172110.0800000026</v>
          </cell>
          <cell r="M2327" t="e">
            <v>#N/A</v>
          </cell>
        </row>
        <row r="2328">
          <cell r="C2328" t="e">
            <v>#N/A</v>
          </cell>
          <cell r="E2328" t="e">
            <v>#N/A</v>
          </cell>
          <cell r="F2328" t="e">
            <v>#N/A</v>
          </cell>
          <cell r="G2328" t="e">
            <v>#N/A</v>
          </cell>
          <cell r="H2328">
            <v>0</v>
          </cell>
          <cell r="I2328">
            <v>0</v>
          </cell>
          <cell r="K2328">
            <v>1172110.0800000026</v>
          </cell>
          <cell r="L2328">
            <v>1172110.0800000026</v>
          </cell>
          <cell r="M2328" t="e">
            <v>#N/A</v>
          </cell>
        </row>
        <row r="2329">
          <cell r="C2329" t="e">
            <v>#N/A</v>
          </cell>
          <cell r="E2329" t="e">
            <v>#N/A</v>
          </cell>
          <cell r="F2329" t="e">
            <v>#N/A</v>
          </cell>
          <cell r="G2329" t="e">
            <v>#N/A</v>
          </cell>
          <cell r="H2329">
            <v>0</v>
          </cell>
          <cell r="I2329">
            <v>0</v>
          </cell>
          <cell r="K2329">
            <v>1172110.0800000026</v>
          </cell>
          <cell r="L2329">
            <v>1172110.0800000026</v>
          </cell>
          <cell r="M2329" t="e">
            <v>#N/A</v>
          </cell>
        </row>
        <row r="2330">
          <cell r="C2330" t="e">
            <v>#N/A</v>
          </cell>
          <cell r="E2330" t="e">
            <v>#N/A</v>
          </cell>
          <cell r="F2330" t="e">
            <v>#N/A</v>
          </cell>
          <cell r="G2330" t="e">
            <v>#N/A</v>
          </cell>
          <cell r="H2330">
            <v>0</v>
          </cell>
          <cell r="I2330">
            <v>0</v>
          </cell>
          <cell r="K2330">
            <v>1172110.0800000026</v>
          </cell>
          <cell r="L2330">
            <v>1172110.0800000026</v>
          </cell>
          <cell r="M2330" t="e">
            <v>#N/A</v>
          </cell>
        </row>
        <row r="2331">
          <cell r="C2331" t="e">
            <v>#N/A</v>
          </cell>
          <cell r="E2331" t="e">
            <v>#N/A</v>
          </cell>
          <cell r="F2331" t="e">
            <v>#N/A</v>
          </cell>
          <cell r="G2331" t="e">
            <v>#N/A</v>
          </cell>
          <cell r="H2331">
            <v>0</v>
          </cell>
          <cell r="I2331">
            <v>0</v>
          </cell>
          <cell r="K2331">
            <v>1172110.0800000026</v>
          </cell>
          <cell r="L2331">
            <v>1172110.0800000026</v>
          </cell>
          <cell r="M2331" t="e">
            <v>#N/A</v>
          </cell>
        </row>
        <row r="2332">
          <cell r="C2332" t="e">
            <v>#N/A</v>
          </cell>
          <cell r="E2332" t="e">
            <v>#N/A</v>
          </cell>
          <cell r="F2332" t="e">
            <v>#N/A</v>
          </cell>
          <cell r="G2332" t="e">
            <v>#N/A</v>
          </cell>
          <cell r="H2332">
            <v>0</v>
          </cell>
          <cell r="I2332">
            <v>0</v>
          </cell>
          <cell r="K2332">
            <v>1172110.0800000026</v>
          </cell>
          <cell r="L2332">
            <v>1172110.0800000026</v>
          </cell>
          <cell r="M2332" t="e">
            <v>#N/A</v>
          </cell>
        </row>
        <row r="2333">
          <cell r="C2333" t="e">
            <v>#N/A</v>
          </cell>
          <cell r="E2333" t="e">
            <v>#N/A</v>
          </cell>
          <cell r="F2333" t="e">
            <v>#N/A</v>
          </cell>
          <cell r="G2333" t="e">
            <v>#N/A</v>
          </cell>
          <cell r="H2333">
            <v>0</v>
          </cell>
          <cell r="I2333">
            <v>0</v>
          </cell>
          <cell r="K2333">
            <v>1172110.0800000026</v>
          </cell>
          <cell r="L2333">
            <v>1172110.0800000026</v>
          </cell>
          <cell r="M2333" t="e">
            <v>#N/A</v>
          </cell>
        </row>
        <row r="2334">
          <cell r="C2334" t="e">
            <v>#N/A</v>
          </cell>
          <cell r="E2334" t="e">
            <v>#N/A</v>
          </cell>
          <cell r="F2334" t="e">
            <v>#N/A</v>
          </cell>
          <cell r="G2334" t="e">
            <v>#N/A</v>
          </cell>
          <cell r="H2334">
            <v>0</v>
          </cell>
          <cell r="I2334">
            <v>0</v>
          </cell>
          <cell r="K2334">
            <v>1172110.0800000026</v>
          </cell>
          <cell r="L2334">
            <v>1172110.0800000026</v>
          </cell>
          <cell r="M2334" t="e">
            <v>#N/A</v>
          </cell>
        </row>
        <row r="2335">
          <cell r="C2335" t="e">
            <v>#N/A</v>
          </cell>
          <cell r="E2335" t="e">
            <v>#N/A</v>
          </cell>
          <cell r="F2335" t="e">
            <v>#N/A</v>
          </cell>
          <cell r="G2335" t="e">
            <v>#N/A</v>
          </cell>
          <cell r="H2335">
            <v>0</v>
          </cell>
          <cell r="I2335">
            <v>0</v>
          </cell>
          <cell r="K2335">
            <v>1172110.0800000026</v>
          </cell>
          <cell r="L2335">
            <v>1172110.0800000026</v>
          </cell>
          <cell r="M2335" t="e">
            <v>#N/A</v>
          </cell>
        </row>
        <row r="2336">
          <cell r="C2336" t="e">
            <v>#N/A</v>
          </cell>
          <cell r="E2336" t="e">
            <v>#N/A</v>
          </cell>
          <cell r="F2336" t="e">
            <v>#N/A</v>
          </cell>
          <cell r="G2336" t="e">
            <v>#N/A</v>
          </cell>
          <cell r="H2336">
            <v>0</v>
          </cell>
          <cell r="I2336">
            <v>0</v>
          </cell>
          <cell r="K2336">
            <v>1172110.0800000026</v>
          </cell>
          <cell r="L2336">
            <v>1172110.0800000026</v>
          </cell>
          <cell r="M2336" t="e">
            <v>#N/A</v>
          </cell>
        </row>
        <row r="2337">
          <cell r="C2337" t="e">
            <v>#N/A</v>
          </cell>
          <cell r="E2337" t="e">
            <v>#N/A</v>
          </cell>
          <cell r="F2337" t="e">
            <v>#N/A</v>
          </cell>
          <cell r="G2337" t="e">
            <v>#N/A</v>
          </cell>
          <cell r="H2337">
            <v>0</v>
          </cell>
          <cell r="I2337">
            <v>0</v>
          </cell>
          <cell r="K2337">
            <v>1172110.0800000026</v>
          </cell>
          <cell r="L2337">
            <v>1172110.0800000026</v>
          </cell>
          <cell r="M2337" t="e">
            <v>#N/A</v>
          </cell>
        </row>
        <row r="2338">
          <cell r="C2338" t="e">
            <v>#N/A</v>
          </cell>
          <cell r="E2338" t="e">
            <v>#N/A</v>
          </cell>
          <cell r="F2338" t="e">
            <v>#N/A</v>
          </cell>
          <cell r="G2338" t="e">
            <v>#N/A</v>
          </cell>
          <cell r="H2338">
            <v>0</v>
          </cell>
          <cell r="I2338">
            <v>0</v>
          </cell>
          <cell r="K2338">
            <v>1172110.0800000026</v>
          </cell>
          <cell r="L2338">
            <v>1172110.0800000026</v>
          </cell>
          <cell r="M2338" t="e">
            <v>#N/A</v>
          </cell>
        </row>
        <row r="2339">
          <cell r="C2339" t="e">
            <v>#N/A</v>
          </cell>
          <cell r="E2339" t="e">
            <v>#N/A</v>
          </cell>
          <cell r="F2339" t="e">
            <v>#N/A</v>
          </cell>
          <cell r="G2339" t="e">
            <v>#N/A</v>
          </cell>
          <cell r="H2339">
            <v>0</v>
          </cell>
          <cell r="I2339">
            <v>0</v>
          </cell>
          <cell r="K2339">
            <v>1172110.0800000026</v>
          </cell>
          <cell r="L2339">
            <v>1172110.0800000026</v>
          </cell>
          <cell r="M2339" t="e">
            <v>#N/A</v>
          </cell>
        </row>
        <row r="2340">
          <cell r="C2340" t="e">
            <v>#N/A</v>
          </cell>
          <cell r="E2340" t="e">
            <v>#N/A</v>
          </cell>
          <cell r="F2340" t="e">
            <v>#N/A</v>
          </cell>
          <cell r="G2340" t="e">
            <v>#N/A</v>
          </cell>
          <cell r="H2340">
            <v>0</v>
          </cell>
          <cell r="I2340">
            <v>0</v>
          </cell>
          <cell r="K2340">
            <v>1172110.0800000026</v>
          </cell>
          <cell r="L2340">
            <v>1172110.0800000026</v>
          </cell>
          <cell r="M2340" t="e">
            <v>#N/A</v>
          </cell>
        </row>
        <row r="2341">
          <cell r="C2341" t="e">
            <v>#N/A</v>
          </cell>
          <cell r="E2341" t="e">
            <v>#N/A</v>
          </cell>
          <cell r="F2341" t="e">
            <v>#N/A</v>
          </cell>
          <cell r="G2341" t="e">
            <v>#N/A</v>
          </cell>
          <cell r="H2341">
            <v>0</v>
          </cell>
          <cell r="I2341">
            <v>0</v>
          </cell>
          <cell r="K2341">
            <v>1172110.0800000026</v>
          </cell>
          <cell r="L2341">
            <v>1172110.0800000026</v>
          </cell>
          <cell r="M2341" t="e">
            <v>#N/A</v>
          </cell>
        </row>
        <row r="2342">
          <cell r="C2342" t="e">
            <v>#N/A</v>
          </cell>
          <cell r="E2342" t="e">
            <v>#N/A</v>
          </cell>
          <cell r="F2342" t="e">
            <v>#N/A</v>
          </cell>
          <cell r="G2342" t="e">
            <v>#N/A</v>
          </cell>
          <cell r="H2342">
            <v>0</v>
          </cell>
          <cell r="I2342">
            <v>0</v>
          </cell>
          <cell r="K2342">
            <v>1172110.0800000026</v>
          </cell>
          <cell r="L2342">
            <v>1172110.0800000026</v>
          </cell>
          <cell r="M2342" t="e">
            <v>#N/A</v>
          </cell>
        </row>
        <row r="2343">
          <cell r="C2343" t="e">
            <v>#N/A</v>
          </cell>
          <cell r="E2343" t="e">
            <v>#N/A</v>
          </cell>
          <cell r="F2343" t="e">
            <v>#N/A</v>
          </cell>
          <cell r="G2343" t="e">
            <v>#N/A</v>
          </cell>
          <cell r="H2343">
            <v>0</v>
          </cell>
          <cell r="I2343">
            <v>0</v>
          </cell>
          <cell r="K2343">
            <v>1172110.0800000026</v>
          </cell>
          <cell r="L2343">
            <v>1172110.0800000026</v>
          </cell>
          <cell r="M2343" t="e">
            <v>#N/A</v>
          </cell>
        </row>
        <row r="2344">
          <cell r="C2344" t="e">
            <v>#N/A</v>
          </cell>
          <cell r="E2344" t="e">
            <v>#N/A</v>
          </cell>
          <cell r="F2344" t="e">
            <v>#N/A</v>
          </cell>
          <cell r="G2344" t="e">
            <v>#N/A</v>
          </cell>
          <cell r="H2344">
            <v>0</v>
          </cell>
          <cell r="I2344">
            <v>0</v>
          </cell>
          <cell r="K2344">
            <v>1172110.0800000026</v>
          </cell>
          <cell r="L2344">
            <v>1172110.0800000026</v>
          </cell>
          <cell r="M2344" t="e">
            <v>#N/A</v>
          </cell>
        </row>
        <row r="2345">
          <cell r="C2345" t="e">
            <v>#N/A</v>
          </cell>
          <cell r="E2345" t="e">
            <v>#N/A</v>
          </cell>
          <cell r="F2345" t="e">
            <v>#N/A</v>
          </cell>
          <cell r="G2345" t="e">
            <v>#N/A</v>
          </cell>
          <cell r="H2345">
            <v>0</v>
          </cell>
          <cell r="I2345">
            <v>0</v>
          </cell>
          <cell r="K2345">
            <v>1172110.0800000026</v>
          </cell>
          <cell r="L2345">
            <v>1172110.0800000026</v>
          </cell>
          <cell r="M2345" t="e">
            <v>#N/A</v>
          </cell>
        </row>
        <row r="2346">
          <cell r="C2346" t="e">
            <v>#N/A</v>
          </cell>
          <cell r="E2346" t="e">
            <v>#N/A</v>
          </cell>
          <cell r="F2346" t="e">
            <v>#N/A</v>
          </cell>
          <cell r="G2346" t="e">
            <v>#N/A</v>
          </cell>
          <cell r="H2346">
            <v>0</v>
          </cell>
          <cell r="I2346">
            <v>0</v>
          </cell>
          <cell r="K2346">
            <v>1172110.0800000026</v>
          </cell>
          <cell r="L2346">
            <v>1172110.0800000026</v>
          </cell>
          <cell r="M2346" t="e">
            <v>#N/A</v>
          </cell>
        </row>
        <row r="2347">
          <cell r="C2347" t="e">
            <v>#N/A</v>
          </cell>
          <cell r="E2347" t="e">
            <v>#N/A</v>
          </cell>
          <cell r="F2347" t="e">
            <v>#N/A</v>
          </cell>
          <cell r="G2347" t="e">
            <v>#N/A</v>
          </cell>
          <cell r="H2347">
            <v>0</v>
          </cell>
          <cell r="I2347">
            <v>0</v>
          </cell>
          <cell r="K2347">
            <v>1172110.0800000026</v>
          </cell>
          <cell r="L2347">
            <v>1172110.0800000026</v>
          </cell>
          <cell r="M2347" t="e">
            <v>#N/A</v>
          </cell>
        </row>
        <row r="2348">
          <cell r="C2348" t="e">
            <v>#N/A</v>
          </cell>
          <cell r="E2348" t="e">
            <v>#N/A</v>
          </cell>
          <cell r="F2348" t="e">
            <v>#N/A</v>
          </cell>
          <cell r="G2348" t="e">
            <v>#N/A</v>
          </cell>
          <cell r="H2348">
            <v>0</v>
          </cell>
          <cell r="I2348">
            <v>0</v>
          </cell>
          <cell r="K2348">
            <v>1172110.0800000026</v>
          </cell>
          <cell r="L2348">
            <v>1172110.0800000026</v>
          </cell>
          <cell r="M2348" t="e">
            <v>#N/A</v>
          </cell>
        </row>
        <row r="2349">
          <cell r="C2349" t="e">
            <v>#N/A</v>
          </cell>
          <cell r="E2349" t="e">
            <v>#N/A</v>
          </cell>
          <cell r="F2349" t="e">
            <v>#N/A</v>
          </cell>
          <cell r="G2349" t="e">
            <v>#N/A</v>
          </cell>
          <cell r="H2349">
            <v>0</v>
          </cell>
          <cell r="I2349">
            <v>0</v>
          </cell>
          <cell r="K2349">
            <v>1172110.0800000026</v>
          </cell>
          <cell r="L2349">
            <v>1172110.0800000026</v>
          </cell>
          <cell r="M2349" t="e">
            <v>#N/A</v>
          </cell>
        </row>
        <row r="2350">
          <cell r="C2350" t="e">
            <v>#N/A</v>
          </cell>
          <cell r="E2350" t="e">
            <v>#N/A</v>
          </cell>
          <cell r="F2350" t="e">
            <v>#N/A</v>
          </cell>
          <cell r="G2350" t="e">
            <v>#N/A</v>
          </cell>
          <cell r="H2350">
            <v>0</v>
          </cell>
          <cell r="I2350">
            <v>0</v>
          </cell>
          <cell r="K2350">
            <v>1172110.0800000026</v>
          </cell>
          <cell r="L2350">
            <v>1172110.0800000026</v>
          </cell>
          <cell r="M2350" t="e">
            <v>#N/A</v>
          </cell>
        </row>
        <row r="2351">
          <cell r="C2351" t="e">
            <v>#N/A</v>
          </cell>
          <cell r="E2351" t="e">
            <v>#N/A</v>
          </cell>
          <cell r="F2351" t="e">
            <v>#N/A</v>
          </cell>
          <cell r="G2351" t="e">
            <v>#N/A</v>
          </cell>
          <cell r="H2351">
            <v>0</v>
          </cell>
          <cell r="I2351">
            <v>0</v>
          </cell>
          <cell r="K2351">
            <v>1172110.0800000026</v>
          </cell>
          <cell r="L2351">
            <v>1172110.0800000026</v>
          </cell>
          <cell r="M2351" t="e">
            <v>#N/A</v>
          </cell>
        </row>
        <row r="2352">
          <cell r="C2352" t="e">
            <v>#N/A</v>
          </cell>
          <cell r="E2352" t="e">
            <v>#N/A</v>
          </cell>
          <cell r="F2352" t="e">
            <v>#N/A</v>
          </cell>
          <cell r="G2352" t="e">
            <v>#N/A</v>
          </cell>
          <cell r="H2352">
            <v>0</v>
          </cell>
          <cell r="I2352">
            <v>0</v>
          </cell>
          <cell r="K2352">
            <v>1172110.0800000026</v>
          </cell>
          <cell r="L2352">
            <v>1172110.0800000026</v>
          </cell>
          <cell r="M2352" t="e">
            <v>#N/A</v>
          </cell>
        </row>
        <row r="2353">
          <cell r="C2353" t="e">
            <v>#N/A</v>
          </cell>
          <cell r="E2353" t="e">
            <v>#N/A</v>
          </cell>
          <cell r="F2353" t="e">
            <v>#N/A</v>
          </cell>
          <cell r="G2353" t="e">
            <v>#N/A</v>
          </cell>
          <cell r="H2353">
            <v>0</v>
          </cell>
          <cell r="I2353">
            <v>0</v>
          </cell>
          <cell r="K2353">
            <v>1172110.0800000026</v>
          </cell>
          <cell r="L2353">
            <v>1172110.0800000026</v>
          </cell>
          <cell r="M2353" t="e">
            <v>#N/A</v>
          </cell>
        </row>
        <row r="2354">
          <cell r="C2354" t="e">
            <v>#N/A</v>
          </cell>
          <cell r="E2354" t="e">
            <v>#N/A</v>
          </cell>
          <cell r="F2354" t="e">
            <v>#N/A</v>
          </cell>
          <cell r="G2354" t="e">
            <v>#N/A</v>
          </cell>
          <cell r="H2354">
            <v>0</v>
          </cell>
          <cell r="I2354">
            <v>0</v>
          </cell>
          <cell r="K2354">
            <v>1172110.0800000026</v>
          </cell>
          <cell r="L2354">
            <v>1172110.0800000026</v>
          </cell>
          <cell r="M2354" t="e">
            <v>#N/A</v>
          </cell>
        </row>
        <row r="2355">
          <cell r="C2355" t="e">
            <v>#N/A</v>
          </cell>
          <cell r="E2355" t="e">
            <v>#N/A</v>
          </cell>
          <cell r="F2355" t="e">
            <v>#N/A</v>
          </cell>
          <cell r="G2355" t="e">
            <v>#N/A</v>
          </cell>
          <cell r="H2355">
            <v>0</v>
          </cell>
          <cell r="I2355">
            <v>0</v>
          </cell>
          <cell r="K2355">
            <v>1172110.0800000026</v>
          </cell>
          <cell r="L2355">
            <v>1172110.0800000026</v>
          </cell>
          <cell r="M2355" t="e">
            <v>#N/A</v>
          </cell>
        </row>
        <row r="2356">
          <cell r="C2356" t="e">
            <v>#N/A</v>
          </cell>
          <cell r="E2356" t="e">
            <v>#N/A</v>
          </cell>
          <cell r="F2356" t="e">
            <v>#N/A</v>
          </cell>
          <cell r="G2356" t="e">
            <v>#N/A</v>
          </cell>
          <cell r="H2356">
            <v>0</v>
          </cell>
          <cell r="I2356">
            <v>0</v>
          </cell>
          <cell r="K2356">
            <v>1172110.0800000026</v>
          </cell>
          <cell r="L2356">
            <v>1172110.0800000026</v>
          </cell>
          <cell r="M2356" t="e">
            <v>#N/A</v>
          </cell>
        </row>
        <row r="2357">
          <cell r="C2357" t="e">
            <v>#N/A</v>
          </cell>
          <cell r="E2357" t="e">
            <v>#N/A</v>
          </cell>
          <cell r="F2357" t="e">
            <v>#N/A</v>
          </cell>
          <cell r="G2357" t="e">
            <v>#N/A</v>
          </cell>
          <cell r="H2357">
            <v>0</v>
          </cell>
          <cell r="I2357">
            <v>0</v>
          </cell>
          <cell r="K2357">
            <v>1172110.0800000026</v>
          </cell>
          <cell r="L2357">
            <v>1172110.0800000026</v>
          </cell>
          <cell r="M2357" t="e">
            <v>#N/A</v>
          </cell>
        </row>
        <row r="2358">
          <cell r="C2358" t="e">
            <v>#N/A</v>
          </cell>
          <cell r="E2358" t="e">
            <v>#N/A</v>
          </cell>
          <cell r="F2358" t="e">
            <v>#N/A</v>
          </cell>
          <cell r="G2358" t="e">
            <v>#N/A</v>
          </cell>
          <cell r="H2358">
            <v>0</v>
          </cell>
          <cell r="I2358">
            <v>0</v>
          </cell>
          <cell r="K2358">
            <v>1172110.0800000026</v>
          </cell>
          <cell r="L2358">
            <v>1172110.0800000026</v>
          </cell>
          <cell r="M2358" t="e">
            <v>#N/A</v>
          </cell>
        </row>
        <row r="2359">
          <cell r="C2359" t="e">
            <v>#N/A</v>
          </cell>
          <cell r="E2359" t="e">
            <v>#N/A</v>
          </cell>
          <cell r="F2359" t="e">
            <v>#N/A</v>
          </cell>
          <cell r="G2359" t="e">
            <v>#N/A</v>
          </cell>
          <cell r="H2359">
            <v>0</v>
          </cell>
          <cell r="I2359">
            <v>0</v>
          </cell>
          <cell r="K2359">
            <v>1172110.0800000026</v>
          </cell>
          <cell r="L2359">
            <v>1172110.0800000026</v>
          </cell>
          <cell r="M2359" t="e">
            <v>#N/A</v>
          </cell>
        </row>
        <row r="2360">
          <cell r="C2360" t="e">
            <v>#N/A</v>
          </cell>
          <cell r="E2360" t="e">
            <v>#N/A</v>
          </cell>
          <cell r="F2360" t="e">
            <v>#N/A</v>
          </cell>
          <cell r="G2360" t="e">
            <v>#N/A</v>
          </cell>
          <cell r="H2360">
            <v>0</v>
          </cell>
          <cell r="I2360">
            <v>0</v>
          </cell>
          <cell r="K2360">
            <v>1172110.0800000026</v>
          </cell>
          <cell r="L2360">
            <v>1172110.0800000026</v>
          </cell>
          <cell r="M2360" t="e">
            <v>#N/A</v>
          </cell>
        </row>
        <row r="2361">
          <cell r="C2361" t="e">
            <v>#N/A</v>
          </cell>
          <cell r="E2361" t="e">
            <v>#N/A</v>
          </cell>
          <cell r="F2361" t="e">
            <v>#N/A</v>
          </cell>
          <cell r="G2361" t="e">
            <v>#N/A</v>
          </cell>
          <cell r="H2361">
            <v>0</v>
          </cell>
          <cell r="I2361">
            <v>0</v>
          </cell>
          <cell r="K2361">
            <v>1172110.0800000026</v>
          </cell>
          <cell r="L2361">
            <v>1172110.0800000026</v>
          </cell>
          <cell r="M2361" t="e">
            <v>#N/A</v>
          </cell>
        </row>
        <row r="2362">
          <cell r="C2362" t="e">
            <v>#N/A</v>
          </cell>
          <cell r="E2362" t="e">
            <v>#N/A</v>
          </cell>
          <cell r="F2362" t="e">
            <v>#N/A</v>
          </cell>
          <cell r="G2362" t="e">
            <v>#N/A</v>
          </cell>
          <cell r="H2362">
            <v>0</v>
          </cell>
          <cell r="I2362">
            <v>0</v>
          </cell>
          <cell r="K2362">
            <v>1172110.0800000026</v>
          </cell>
          <cell r="L2362">
            <v>1172110.0800000026</v>
          </cell>
          <cell r="M2362" t="e">
            <v>#N/A</v>
          </cell>
        </row>
        <row r="2363">
          <cell r="C2363" t="e">
            <v>#N/A</v>
          </cell>
          <cell r="E2363" t="e">
            <v>#N/A</v>
          </cell>
          <cell r="F2363" t="e">
            <v>#N/A</v>
          </cell>
          <cell r="G2363" t="e">
            <v>#N/A</v>
          </cell>
          <cell r="H2363">
            <v>0</v>
          </cell>
          <cell r="I2363">
            <v>0</v>
          </cell>
          <cell r="K2363">
            <v>1172110.0800000026</v>
          </cell>
          <cell r="L2363">
            <v>1172110.0800000026</v>
          </cell>
          <cell r="M2363" t="e">
            <v>#N/A</v>
          </cell>
        </row>
        <row r="2364">
          <cell r="C2364" t="e">
            <v>#N/A</v>
          </cell>
          <cell r="E2364" t="e">
            <v>#N/A</v>
          </cell>
          <cell r="F2364" t="e">
            <v>#N/A</v>
          </cell>
          <cell r="G2364" t="e">
            <v>#N/A</v>
          </cell>
          <cell r="H2364">
            <v>0</v>
          </cell>
          <cell r="I2364">
            <v>0</v>
          </cell>
          <cell r="K2364">
            <v>1172110.0800000026</v>
          </cell>
          <cell r="L2364">
            <v>1172110.0800000026</v>
          </cell>
          <cell r="M2364" t="e">
            <v>#N/A</v>
          </cell>
        </row>
        <row r="2365">
          <cell r="C2365" t="e">
            <v>#N/A</v>
          </cell>
          <cell r="E2365" t="e">
            <v>#N/A</v>
          </cell>
          <cell r="F2365" t="e">
            <v>#N/A</v>
          </cell>
          <cell r="G2365" t="e">
            <v>#N/A</v>
          </cell>
          <cell r="H2365">
            <v>0</v>
          </cell>
          <cell r="I2365">
            <v>0</v>
          </cell>
          <cell r="K2365">
            <v>1172110.0800000026</v>
          </cell>
          <cell r="L2365">
            <v>1172110.0800000026</v>
          </cell>
          <cell r="M2365" t="e">
            <v>#N/A</v>
          </cell>
        </row>
        <row r="2366">
          <cell r="C2366" t="e">
            <v>#N/A</v>
          </cell>
          <cell r="E2366" t="e">
            <v>#N/A</v>
          </cell>
          <cell r="F2366" t="e">
            <v>#N/A</v>
          </cell>
          <cell r="G2366" t="e">
            <v>#N/A</v>
          </cell>
          <cell r="H2366">
            <v>0</v>
          </cell>
          <cell r="I2366">
            <v>0</v>
          </cell>
          <cell r="K2366">
            <v>1172110.0800000026</v>
          </cell>
          <cell r="L2366">
            <v>1172110.0800000026</v>
          </cell>
          <cell r="M2366" t="e">
            <v>#N/A</v>
          </cell>
        </row>
        <row r="2367">
          <cell r="C2367" t="e">
            <v>#N/A</v>
          </cell>
          <cell r="E2367" t="e">
            <v>#N/A</v>
          </cell>
          <cell r="F2367" t="e">
            <v>#N/A</v>
          </cell>
          <cell r="G2367" t="e">
            <v>#N/A</v>
          </cell>
          <cell r="H2367">
            <v>0</v>
          </cell>
          <cell r="I2367">
            <v>0</v>
          </cell>
          <cell r="K2367">
            <v>1172110.0800000026</v>
          </cell>
          <cell r="L2367">
            <v>1172110.0800000026</v>
          </cell>
          <cell r="M2367" t="e">
            <v>#N/A</v>
          </cell>
        </row>
        <row r="2368">
          <cell r="C2368" t="e">
            <v>#N/A</v>
          </cell>
          <cell r="E2368" t="e">
            <v>#N/A</v>
          </cell>
          <cell r="F2368" t="e">
            <v>#N/A</v>
          </cell>
          <cell r="G2368" t="e">
            <v>#N/A</v>
          </cell>
          <cell r="H2368">
            <v>0</v>
          </cell>
          <cell r="I2368">
            <v>0</v>
          </cell>
          <cell r="K2368">
            <v>1172110.0800000026</v>
          </cell>
          <cell r="L2368">
            <v>1172110.0800000026</v>
          </cell>
          <cell r="M2368" t="e">
            <v>#N/A</v>
          </cell>
        </row>
        <row r="2369">
          <cell r="C2369" t="e">
            <v>#N/A</v>
          </cell>
          <cell r="E2369" t="e">
            <v>#N/A</v>
          </cell>
          <cell r="F2369" t="e">
            <v>#N/A</v>
          </cell>
          <cell r="G2369" t="e">
            <v>#N/A</v>
          </cell>
          <cell r="H2369">
            <v>0</v>
          </cell>
          <cell r="I2369">
            <v>0</v>
          </cell>
          <cell r="K2369">
            <v>1172110.0800000026</v>
          </cell>
          <cell r="L2369">
            <v>1172110.0800000026</v>
          </cell>
          <cell r="M2369" t="e">
            <v>#N/A</v>
          </cell>
        </row>
        <row r="2370">
          <cell r="C2370" t="e">
            <v>#N/A</v>
          </cell>
          <cell r="E2370" t="e">
            <v>#N/A</v>
          </cell>
          <cell r="F2370" t="e">
            <v>#N/A</v>
          </cell>
          <cell r="G2370" t="e">
            <v>#N/A</v>
          </cell>
          <cell r="H2370">
            <v>0</v>
          </cell>
          <cell r="I2370">
            <v>0</v>
          </cell>
          <cell r="K2370">
            <v>1172110.0800000026</v>
          </cell>
          <cell r="L2370">
            <v>1172110.0800000026</v>
          </cell>
          <cell r="M2370" t="e">
            <v>#N/A</v>
          </cell>
        </row>
        <row r="2371">
          <cell r="C2371" t="e">
            <v>#N/A</v>
          </cell>
          <cell r="E2371" t="e">
            <v>#N/A</v>
          </cell>
          <cell r="F2371" t="e">
            <v>#N/A</v>
          </cell>
          <cell r="G2371" t="e">
            <v>#N/A</v>
          </cell>
          <cell r="H2371">
            <v>0</v>
          </cell>
          <cell r="I2371">
            <v>0</v>
          </cell>
          <cell r="K2371">
            <v>1172110.0800000026</v>
          </cell>
          <cell r="L2371">
            <v>1172110.0800000026</v>
          </cell>
          <cell r="M2371" t="e">
            <v>#N/A</v>
          </cell>
        </row>
        <row r="2372">
          <cell r="C2372" t="e">
            <v>#N/A</v>
          </cell>
          <cell r="E2372" t="e">
            <v>#N/A</v>
          </cell>
          <cell r="F2372" t="e">
            <v>#N/A</v>
          </cell>
          <cell r="G2372" t="e">
            <v>#N/A</v>
          </cell>
          <cell r="H2372">
            <v>0</v>
          </cell>
          <cell r="I2372">
            <v>0</v>
          </cell>
          <cell r="K2372">
            <v>1172110.0800000026</v>
          </cell>
          <cell r="L2372">
            <v>1172110.0800000026</v>
          </cell>
          <cell r="M2372" t="e">
            <v>#N/A</v>
          </cell>
        </row>
        <row r="2373">
          <cell r="C2373" t="e">
            <v>#N/A</v>
          </cell>
          <cell r="E2373" t="e">
            <v>#N/A</v>
          </cell>
          <cell r="F2373" t="e">
            <v>#N/A</v>
          </cell>
          <cell r="G2373" t="e">
            <v>#N/A</v>
          </cell>
          <cell r="H2373">
            <v>0</v>
          </cell>
          <cell r="I2373">
            <v>0</v>
          </cell>
          <cell r="K2373">
            <v>1172110.0800000026</v>
          </cell>
          <cell r="L2373">
            <v>1172110.0800000026</v>
          </cell>
          <cell r="M2373" t="e">
            <v>#N/A</v>
          </cell>
        </row>
        <row r="2374">
          <cell r="C2374" t="e">
            <v>#N/A</v>
          </cell>
          <cell r="E2374" t="e">
            <v>#N/A</v>
          </cell>
          <cell r="F2374" t="e">
            <v>#N/A</v>
          </cell>
          <cell r="G2374" t="e">
            <v>#N/A</v>
          </cell>
          <cell r="H2374">
            <v>0</v>
          </cell>
          <cell r="I2374">
            <v>0</v>
          </cell>
          <cell r="K2374">
            <v>1172110.0800000026</v>
          </cell>
          <cell r="L2374">
            <v>1172110.0800000026</v>
          </cell>
          <cell r="M2374" t="e">
            <v>#N/A</v>
          </cell>
        </row>
        <row r="2375">
          <cell r="C2375" t="e">
            <v>#N/A</v>
          </cell>
          <cell r="E2375" t="e">
            <v>#N/A</v>
          </cell>
          <cell r="F2375" t="e">
            <v>#N/A</v>
          </cell>
          <cell r="G2375" t="e">
            <v>#N/A</v>
          </cell>
          <cell r="H2375">
            <v>0</v>
          </cell>
          <cell r="I2375">
            <v>0</v>
          </cell>
          <cell r="K2375">
            <v>1172110.0800000026</v>
          </cell>
          <cell r="L2375">
            <v>1172110.0800000026</v>
          </cell>
          <cell r="M2375" t="e">
            <v>#N/A</v>
          </cell>
        </row>
        <row r="2376">
          <cell r="C2376" t="e">
            <v>#N/A</v>
          </cell>
          <cell r="E2376" t="e">
            <v>#N/A</v>
          </cell>
          <cell r="F2376" t="e">
            <v>#N/A</v>
          </cell>
          <cell r="G2376" t="e">
            <v>#N/A</v>
          </cell>
          <cell r="H2376">
            <v>0</v>
          </cell>
          <cell r="I2376">
            <v>0</v>
          </cell>
          <cell r="K2376">
            <v>1172110.0800000026</v>
          </cell>
          <cell r="L2376">
            <v>1172110.0800000026</v>
          </cell>
          <cell r="M2376" t="e">
            <v>#N/A</v>
          </cell>
        </row>
        <row r="2377">
          <cell r="C2377" t="e">
            <v>#N/A</v>
          </cell>
          <cell r="E2377" t="e">
            <v>#N/A</v>
          </cell>
          <cell r="F2377" t="e">
            <v>#N/A</v>
          </cell>
          <cell r="G2377" t="e">
            <v>#N/A</v>
          </cell>
          <cell r="H2377">
            <v>0</v>
          </cell>
          <cell r="I2377">
            <v>0</v>
          </cell>
          <cell r="K2377">
            <v>1172110.0800000026</v>
          </cell>
          <cell r="L2377">
            <v>1172110.0800000026</v>
          </cell>
          <cell r="M2377" t="e">
            <v>#N/A</v>
          </cell>
        </row>
        <row r="2378">
          <cell r="C2378" t="e">
            <v>#N/A</v>
          </cell>
          <cell r="E2378" t="e">
            <v>#N/A</v>
          </cell>
          <cell r="F2378" t="e">
            <v>#N/A</v>
          </cell>
          <cell r="G2378" t="e">
            <v>#N/A</v>
          </cell>
          <cell r="H2378">
            <v>0</v>
          </cell>
          <cell r="I2378">
            <v>0</v>
          </cell>
          <cell r="K2378">
            <v>1172110.0800000026</v>
          </cell>
          <cell r="L2378">
            <v>1172110.0800000026</v>
          </cell>
          <cell r="M2378" t="e">
            <v>#N/A</v>
          </cell>
        </row>
        <row r="2379">
          <cell r="C2379" t="e">
            <v>#N/A</v>
          </cell>
          <cell r="E2379" t="e">
            <v>#N/A</v>
          </cell>
          <cell r="F2379" t="e">
            <v>#N/A</v>
          </cell>
          <cell r="G2379" t="e">
            <v>#N/A</v>
          </cell>
          <cell r="H2379">
            <v>0</v>
          </cell>
          <cell r="I2379">
            <v>0</v>
          </cell>
          <cell r="K2379">
            <v>1172110.0800000026</v>
          </cell>
          <cell r="L2379">
            <v>1172110.0800000026</v>
          </cell>
          <cell r="M2379" t="e">
            <v>#N/A</v>
          </cell>
        </row>
        <row r="2380">
          <cell r="C2380" t="e">
            <v>#N/A</v>
          </cell>
          <cell r="E2380" t="e">
            <v>#N/A</v>
          </cell>
          <cell r="F2380" t="e">
            <v>#N/A</v>
          </cell>
          <cell r="G2380" t="e">
            <v>#N/A</v>
          </cell>
          <cell r="H2380">
            <v>0</v>
          </cell>
          <cell r="I2380">
            <v>0</v>
          </cell>
          <cell r="K2380">
            <v>1172110.0800000026</v>
          </cell>
          <cell r="L2380">
            <v>1172110.0800000026</v>
          </cell>
          <cell r="M2380" t="e">
            <v>#N/A</v>
          </cell>
        </row>
        <row r="2381">
          <cell r="C2381" t="e">
            <v>#N/A</v>
          </cell>
          <cell r="E2381" t="e">
            <v>#N/A</v>
          </cell>
          <cell r="F2381" t="e">
            <v>#N/A</v>
          </cell>
          <cell r="G2381" t="e">
            <v>#N/A</v>
          </cell>
          <cell r="H2381">
            <v>0</v>
          </cell>
          <cell r="I2381">
            <v>0</v>
          </cell>
          <cell r="K2381">
            <v>1172110.0800000026</v>
          </cell>
          <cell r="L2381">
            <v>1172110.0800000026</v>
          </cell>
          <cell r="M2381" t="e">
            <v>#N/A</v>
          </cell>
        </row>
        <row r="2382">
          <cell r="C2382" t="e">
            <v>#N/A</v>
          </cell>
          <cell r="E2382" t="e">
            <v>#N/A</v>
          </cell>
          <cell r="F2382" t="e">
            <v>#N/A</v>
          </cell>
          <cell r="G2382" t="e">
            <v>#N/A</v>
          </cell>
          <cell r="H2382">
            <v>0</v>
          </cell>
          <cell r="I2382">
            <v>0</v>
          </cell>
          <cell r="K2382">
            <v>1172110.0800000026</v>
          </cell>
          <cell r="L2382">
            <v>1172110.0800000026</v>
          </cell>
          <cell r="M2382" t="e">
            <v>#N/A</v>
          </cell>
        </row>
        <row r="2383">
          <cell r="C2383" t="e">
            <v>#N/A</v>
          </cell>
          <cell r="E2383" t="e">
            <v>#N/A</v>
          </cell>
          <cell r="F2383" t="e">
            <v>#N/A</v>
          </cell>
          <cell r="G2383" t="e">
            <v>#N/A</v>
          </cell>
          <cell r="H2383">
            <v>0</v>
          </cell>
          <cell r="I2383">
            <v>0</v>
          </cell>
          <cell r="K2383">
            <v>1172110.0800000026</v>
          </cell>
          <cell r="L2383">
            <v>1172110.0800000026</v>
          </cell>
          <cell r="M2383" t="e">
            <v>#N/A</v>
          </cell>
        </row>
        <row r="2384">
          <cell r="C2384" t="e">
            <v>#N/A</v>
          </cell>
          <cell r="E2384" t="e">
            <v>#N/A</v>
          </cell>
          <cell r="F2384" t="e">
            <v>#N/A</v>
          </cell>
          <cell r="G2384" t="e">
            <v>#N/A</v>
          </cell>
          <cell r="H2384">
            <v>0</v>
          </cell>
          <cell r="I2384">
            <v>0</v>
          </cell>
          <cell r="K2384">
            <v>1172110.0800000026</v>
          </cell>
          <cell r="L2384">
            <v>1172110.0800000026</v>
          </cell>
          <cell r="M2384" t="e">
            <v>#N/A</v>
          </cell>
        </row>
        <row r="2385">
          <cell r="C2385" t="e">
            <v>#N/A</v>
          </cell>
          <cell r="E2385" t="e">
            <v>#N/A</v>
          </cell>
          <cell r="F2385" t="e">
            <v>#N/A</v>
          </cell>
          <cell r="G2385" t="e">
            <v>#N/A</v>
          </cell>
          <cell r="H2385">
            <v>0</v>
          </cell>
          <cell r="I2385">
            <v>0</v>
          </cell>
          <cell r="K2385">
            <v>1172110.0800000026</v>
          </cell>
          <cell r="L2385">
            <v>1172110.0800000026</v>
          </cell>
          <cell r="M2385" t="e">
            <v>#N/A</v>
          </cell>
        </row>
        <row r="2386">
          <cell r="C2386" t="e">
            <v>#N/A</v>
          </cell>
          <cell r="E2386" t="e">
            <v>#N/A</v>
          </cell>
          <cell r="F2386" t="e">
            <v>#N/A</v>
          </cell>
          <cell r="G2386" t="e">
            <v>#N/A</v>
          </cell>
          <cell r="H2386">
            <v>0</v>
          </cell>
          <cell r="I2386">
            <v>0</v>
          </cell>
          <cell r="K2386">
            <v>1172110.0800000026</v>
          </cell>
          <cell r="L2386">
            <v>1172110.0800000026</v>
          </cell>
          <cell r="M2386" t="e">
            <v>#N/A</v>
          </cell>
        </row>
        <row r="2387">
          <cell r="C2387" t="e">
            <v>#N/A</v>
          </cell>
          <cell r="E2387" t="e">
            <v>#N/A</v>
          </cell>
          <cell r="F2387" t="e">
            <v>#N/A</v>
          </cell>
          <cell r="G2387" t="e">
            <v>#N/A</v>
          </cell>
          <cell r="H2387">
            <v>0</v>
          </cell>
          <cell r="I2387">
            <v>0</v>
          </cell>
          <cell r="K2387">
            <v>1172110.0800000026</v>
          </cell>
          <cell r="L2387">
            <v>1172110.0800000026</v>
          </cell>
          <cell r="M2387" t="e">
            <v>#N/A</v>
          </cell>
        </row>
        <row r="2388">
          <cell r="C2388" t="e">
            <v>#N/A</v>
          </cell>
          <cell r="E2388" t="e">
            <v>#N/A</v>
          </cell>
          <cell r="F2388" t="e">
            <v>#N/A</v>
          </cell>
          <cell r="G2388" t="e">
            <v>#N/A</v>
          </cell>
          <cell r="H2388">
            <v>0</v>
          </cell>
          <cell r="I2388">
            <v>0</v>
          </cell>
          <cell r="K2388">
            <v>1172110.0800000026</v>
          </cell>
          <cell r="L2388">
            <v>1172110.0800000026</v>
          </cell>
          <cell r="M2388" t="e">
            <v>#N/A</v>
          </cell>
        </row>
        <row r="2389">
          <cell r="C2389" t="e">
            <v>#N/A</v>
          </cell>
          <cell r="E2389" t="e">
            <v>#N/A</v>
          </cell>
          <cell r="F2389" t="e">
            <v>#N/A</v>
          </cell>
          <cell r="G2389" t="e">
            <v>#N/A</v>
          </cell>
          <cell r="H2389">
            <v>0</v>
          </cell>
          <cell r="I2389">
            <v>0</v>
          </cell>
          <cell r="K2389">
            <v>1172110.0800000026</v>
          </cell>
          <cell r="L2389">
            <v>1172110.0800000026</v>
          </cell>
          <cell r="M2389" t="e">
            <v>#N/A</v>
          </cell>
        </row>
        <row r="2390">
          <cell r="C2390" t="e">
            <v>#N/A</v>
          </cell>
          <cell r="E2390" t="e">
            <v>#N/A</v>
          </cell>
          <cell r="F2390" t="e">
            <v>#N/A</v>
          </cell>
          <cell r="G2390" t="e">
            <v>#N/A</v>
          </cell>
          <cell r="H2390">
            <v>0</v>
          </cell>
          <cell r="I2390">
            <v>0</v>
          </cell>
          <cell r="K2390">
            <v>1172110.0800000026</v>
          </cell>
          <cell r="L2390">
            <v>1172110.0800000026</v>
          </cell>
          <cell r="M2390" t="e">
            <v>#N/A</v>
          </cell>
        </row>
        <row r="2391">
          <cell r="C2391" t="e">
            <v>#N/A</v>
          </cell>
          <cell r="E2391" t="e">
            <v>#N/A</v>
          </cell>
          <cell r="F2391" t="e">
            <v>#N/A</v>
          </cell>
          <cell r="G2391" t="e">
            <v>#N/A</v>
          </cell>
          <cell r="H2391">
            <v>0</v>
          </cell>
          <cell r="I2391">
            <v>0</v>
          </cell>
          <cell r="K2391">
            <v>1172110.0800000026</v>
          </cell>
          <cell r="L2391">
            <v>1172110.0800000026</v>
          </cell>
          <cell r="M2391" t="e">
            <v>#N/A</v>
          </cell>
        </row>
        <row r="2392">
          <cell r="C2392" t="e">
            <v>#N/A</v>
          </cell>
          <cell r="E2392" t="e">
            <v>#N/A</v>
          </cell>
          <cell r="F2392" t="e">
            <v>#N/A</v>
          </cell>
          <cell r="G2392" t="e">
            <v>#N/A</v>
          </cell>
          <cell r="H2392">
            <v>0</v>
          </cell>
          <cell r="I2392">
            <v>0</v>
          </cell>
          <cell r="K2392">
            <v>1172110.0800000026</v>
          </cell>
          <cell r="L2392">
            <v>1172110.0800000026</v>
          </cell>
          <cell r="M2392" t="e">
            <v>#N/A</v>
          </cell>
        </row>
        <row r="2393">
          <cell r="C2393" t="e">
            <v>#N/A</v>
          </cell>
          <cell r="E2393" t="e">
            <v>#N/A</v>
          </cell>
          <cell r="F2393" t="e">
            <v>#N/A</v>
          </cell>
          <cell r="G2393" t="e">
            <v>#N/A</v>
          </cell>
          <cell r="H2393">
            <v>0</v>
          </cell>
          <cell r="I2393">
            <v>0</v>
          </cell>
          <cell r="K2393">
            <v>1172110.0800000026</v>
          </cell>
          <cell r="L2393">
            <v>1172110.0800000026</v>
          </cell>
          <cell r="M2393" t="e">
            <v>#N/A</v>
          </cell>
        </row>
        <row r="2394">
          <cell r="C2394" t="e">
            <v>#N/A</v>
          </cell>
          <cell r="E2394" t="e">
            <v>#N/A</v>
          </cell>
          <cell r="F2394" t="e">
            <v>#N/A</v>
          </cell>
          <cell r="G2394" t="e">
            <v>#N/A</v>
          </cell>
          <cell r="H2394">
            <v>0</v>
          </cell>
          <cell r="I2394">
            <v>0</v>
          </cell>
          <cell r="K2394">
            <v>1172110.0800000026</v>
          </cell>
          <cell r="L2394">
            <v>1172110.0800000026</v>
          </cell>
          <cell r="M2394" t="e">
            <v>#N/A</v>
          </cell>
        </row>
        <row r="2395">
          <cell r="C2395" t="e">
            <v>#N/A</v>
          </cell>
          <cell r="E2395" t="e">
            <v>#N/A</v>
          </cell>
          <cell r="F2395" t="e">
            <v>#N/A</v>
          </cell>
          <cell r="G2395" t="e">
            <v>#N/A</v>
          </cell>
          <cell r="H2395">
            <v>0</v>
          </cell>
          <cell r="I2395">
            <v>0</v>
          </cell>
          <cell r="K2395">
            <v>1172110.0800000026</v>
          </cell>
          <cell r="L2395">
            <v>1172110.0800000026</v>
          </cell>
          <cell r="M2395" t="e">
            <v>#N/A</v>
          </cell>
        </row>
        <row r="2396">
          <cell r="C2396" t="e">
            <v>#N/A</v>
          </cell>
          <cell r="E2396" t="e">
            <v>#N/A</v>
          </cell>
          <cell r="F2396" t="e">
            <v>#N/A</v>
          </cell>
          <cell r="G2396" t="e">
            <v>#N/A</v>
          </cell>
          <cell r="H2396">
            <v>0</v>
          </cell>
          <cell r="I2396">
            <v>0</v>
          </cell>
          <cell r="K2396">
            <v>1172110.0800000026</v>
          </cell>
          <cell r="L2396">
            <v>1172110.0800000026</v>
          </cell>
          <cell r="M2396" t="e">
            <v>#N/A</v>
          </cell>
        </row>
        <row r="2397">
          <cell r="C2397" t="e">
            <v>#N/A</v>
          </cell>
          <cell r="E2397" t="e">
            <v>#N/A</v>
          </cell>
          <cell r="F2397" t="e">
            <v>#N/A</v>
          </cell>
          <cell r="G2397" t="e">
            <v>#N/A</v>
          </cell>
          <cell r="H2397">
            <v>0</v>
          </cell>
          <cell r="I2397">
            <v>0</v>
          </cell>
          <cell r="K2397">
            <v>1172110.0800000026</v>
          </cell>
          <cell r="L2397">
            <v>1172110.0800000026</v>
          </cell>
          <cell r="M2397" t="e">
            <v>#N/A</v>
          </cell>
        </row>
        <row r="2398">
          <cell r="C2398" t="e">
            <v>#N/A</v>
          </cell>
          <cell r="E2398" t="e">
            <v>#N/A</v>
          </cell>
          <cell r="F2398" t="e">
            <v>#N/A</v>
          </cell>
          <cell r="G2398" t="e">
            <v>#N/A</v>
          </cell>
          <cell r="H2398">
            <v>0</v>
          </cell>
          <cell r="I2398">
            <v>0</v>
          </cell>
          <cell r="K2398">
            <v>1172110.0800000026</v>
          </cell>
          <cell r="L2398">
            <v>1172110.0800000026</v>
          </cell>
          <cell r="M2398" t="e">
            <v>#N/A</v>
          </cell>
        </row>
        <row r="2399">
          <cell r="C2399" t="e">
            <v>#N/A</v>
          </cell>
          <cell r="E2399" t="e">
            <v>#N/A</v>
          </cell>
          <cell r="F2399" t="e">
            <v>#N/A</v>
          </cell>
          <cell r="G2399" t="e">
            <v>#N/A</v>
          </cell>
          <cell r="H2399">
            <v>0</v>
          </cell>
          <cell r="I2399">
            <v>0</v>
          </cell>
          <cell r="K2399">
            <v>1172110.0800000026</v>
          </cell>
          <cell r="L2399">
            <v>1172110.0800000026</v>
          </cell>
          <cell r="M2399" t="e">
            <v>#N/A</v>
          </cell>
        </row>
        <row r="2400">
          <cell r="C2400" t="e">
            <v>#N/A</v>
          </cell>
          <cell r="E2400" t="e">
            <v>#N/A</v>
          </cell>
          <cell r="F2400" t="e">
            <v>#N/A</v>
          </cell>
          <cell r="G2400" t="e">
            <v>#N/A</v>
          </cell>
          <cell r="H2400">
            <v>0</v>
          </cell>
          <cell r="I2400">
            <v>0</v>
          </cell>
          <cell r="K2400">
            <v>1172110.0800000026</v>
          </cell>
          <cell r="L2400">
            <v>1172110.0800000026</v>
          </cell>
          <cell r="M2400" t="e">
            <v>#N/A</v>
          </cell>
        </row>
        <row r="2401">
          <cell r="C2401" t="e">
            <v>#N/A</v>
          </cell>
          <cell r="E2401" t="e">
            <v>#N/A</v>
          </cell>
          <cell r="F2401" t="e">
            <v>#N/A</v>
          </cell>
          <cell r="G2401" t="e">
            <v>#N/A</v>
          </cell>
          <cell r="H2401">
            <v>0</v>
          </cell>
          <cell r="I2401">
            <v>0</v>
          </cell>
          <cell r="K2401">
            <v>1172110.0800000026</v>
          </cell>
          <cell r="L2401">
            <v>1172110.0800000026</v>
          </cell>
          <cell r="M2401" t="e">
            <v>#N/A</v>
          </cell>
        </row>
        <row r="2402">
          <cell r="C2402" t="e">
            <v>#N/A</v>
          </cell>
          <cell r="E2402" t="e">
            <v>#N/A</v>
          </cell>
          <cell r="F2402" t="e">
            <v>#N/A</v>
          </cell>
          <cell r="G2402" t="e">
            <v>#N/A</v>
          </cell>
          <cell r="H2402">
            <v>0</v>
          </cell>
          <cell r="I2402">
            <v>0</v>
          </cell>
          <cell r="K2402">
            <v>1172110.0800000026</v>
          </cell>
          <cell r="L2402">
            <v>1172110.0800000026</v>
          </cell>
          <cell r="M2402" t="e">
            <v>#N/A</v>
          </cell>
        </row>
        <row r="2403">
          <cell r="C2403" t="e">
            <v>#N/A</v>
          </cell>
          <cell r="E2403" t="e">
            <v>#N/A</v>
          </cell>
          <cell r="F2403" t="e">
            <v>#N/A</v>
          </cell>
          <cell r="G2403" t="e">
            <v>#N/A</v>
          </cell>
          <cell r="H2403">
            <v>0</v>
          </cell>
          <cell r="I2403">
            <v>0</v>
          </cell>
          <cell r="K2403">
            <v>1172110.0800000026</v>
          </cell>
          <cell r="L2403">
            <v>1172110.0800000026</v>
          </cell>
          <cell r="M2403" t="e">
            <v>#N/A</v>
          </cell>
        </row>
        <row r="2404">
          <cell r="C2404" t="e">
            <v>#N/A</v>
          </cell>
          <cell r="E2404" t="e">
            <v>#N/A</v>
          </cell>
          <cell r="F2404" t="e">
            <v>#N/A</v>
          </cell>
          <cell r="G2404" t="e">
            <v>#N/A</v>
          </cell>
          <cell r="H2404">
            <v>0</v>
          </cell>
          <cell r="I2404">
            <v>0</v>
          </cell>
          <cell r="K2404">
            <v>1172110.0800000026</v>
          </cell>
          <cell r="L2404">
            <v>1172110.0800000026</v>
          </cell>
          <cell r="M2404" t="e">
            <v>#N/A</v>
          </cell>
        </row>
        <row r="2405">
          <cell r="C2405" t="e">
            <v>#N/A</v>
          </cell>
          <cell r="E2405" t="e">
            <v>#N/A</v>
          </cell>
          <cell r="F2405" t="e">
            <v>#N/A</v>
          </cell>
          <cell r="G2405" t="e">
            <v>#N/A</v>
          </cell>
          <cell r="H2405">
            <v>0</v>
          </cell>
          <cell r="I2405">
            <v>0</v>
          </cell>
          <cell r="K2405">
            <v>1172110.0800000026</v>
          </cell>
          <cell r="L2405">
            <v>1172110.0800000026</v>
          </cell>
          <cell r="M2405" t="e">
            <v>#N/A</v>
          </cell>
        </row>
        <row r="2406">
          <cell r="C2406" t="e">
            <v>#N/A</v>
          </cell>
          <cell r="E2406" t="e">
            <v>#N/A</v>
          </cell>
          <cell r="F2406" t="e">
            <v>#N/A</v>
          </cell>
          <cell r="G2406" t="e">
            <v>#N/A</v>
          </cell>
          <cell r="H2406">
            <v>0</v>
          </cell>
          <cell r="I2406">
            <v>0</v>
          </cell>
          <cell r="K2406">
            <v>1172110.0800000026</v>
          </cell>
          <cell r="L2406">
            <v>1172110.0800000026</v>
          </cell>
          <cell r="M2406" t="e">
            <v>#N/A</v>
          </cell>
        </row>
        <row r="2407">
          <cell r="C2407" t="e">
            <v>#N/A</v>
          </cell>
          <cell r="E2407" t="e">
            <v>#N/A</v>
          </cell>
          <cell r="F2407" t="e">
            <v>#N/A</v>
          </cell>
          <cell r="G2407" t="e">
            <v>#N/A</v>
          </cell>
          <cell r="H2407">
            <v>0</v>
          </cell>
          <cell r="I2407">
            <v>0</v>
          </cell>
          <cell r="K2407">
            <v>1172110.0800000026</v>
          </cell>
          <cell r="L2407">
            <v>1172110.0800000026</v>
          </cell>
          <cell r="M2407" t="e">
            <v>#N/A</v>
          </cell>
        </row>
        <row r="2408">
          <cell r="C2408" t="e">
            <v>#N/A</v>
          </cell>
          <cell r="E2408" t="e">
            <v>#N/A</v>
          </cell>
          <cell r="F2408" t="e">
            <v>#N/A</v>
          </cell>
          <cell r="G2408" t="e">
            <v>#N/A</v>
          </cell>
          <cell r="H2408">
            <v>0</v>
          </cell>
          <cell r="I2408">
            <v>0</v>
          </cell>
          <cell r="K2408">
            <v>1172110.0800000026</v>
          </cell>
          <cell r="L2408">
            <v>1172110.0800000026</v>
          </cell>
          <cell r="M2408" t="e">
            <v>#N/A</v>
          </cell>
        </row>
        <row r="2409">
          <cell r="C2409" t="e">
            <v>#N/A</v>
          </cell>
          <cell r="E2409" t="e">
            <v>#N/A</v>
          </cell>
          <cell r="F2409" t="e">
            <v>#N/A</v>
          </cell>
          <cell r="G2409" t="e">
            <v>#N/A</v>
          </cell>
          <cell r="H2409">
            <v>0</v>
          </cell>
          <cell r="I2409">
            <v>0</v>
          </cell>
          <cell r="K2409">
            <v>1172110.0800000026</v>
          </cell>
          <cell r="L2409">
            <v>1172110.0800000026</v>
          </cell>
          <cell r="M2409" t="e">
            <v>#N/A</v>
          </cell>
        </row>
        <row r="2410">
          <cell r="C2410" t="e">
            <v>#N/A</v>
          </cell>
          <cell r="E2410" t="e">
            <v>#N/A</v>
          </cell>
          <cell r="F2410" t="e">
            <v>#N/A</v>
          </cell>
          <cell r="G2410" t="e">
            <v>#N/A</v>
          </cell>
          <cell r="H2410">
            <v>0</v>
          </cell>
          <cell r="I2410">
            <v>0</v>
          </cell>
          <cell r="K2410">
            <v>1172110.0800000026</v>
          </cell>
          <cell r="L2410">
            <v>1172110.0800000026</v>
          </cell>
          <cell r="M2410" t="e">
            <v>#N/A</v>
          </cell>
        </row>
        <row r="2411">
          <cell r="C2411" t="e">
            <v>#N/A</v>
          </cell>
          <cell r="E2411" t="e">
            <v>#N/A</v>
          </cell>
          <cell r="F2411" t="e">
            <v>#N/A</v>
          </cell>
          <cell r="G2411" t="e">
            <v>#N/A</v>
          </cell>
          <cell r="H2411">
            <v>0</v>
          </cell>
          <cell r="I2411">
            <v>0</v>
          </cell>
          <cell r="K2411">
            <v>1172110.0800000026</v>
          </cell>
          <cell r="L2411">
            <v>1172110.0800000026</v>
          </cell>
          <cell r="M2411" t="e">
            <v>#N/A</v>
          </cell>
        </row>
        <row r="2412">
          <cell r="C2412" t="e">
            <v>#N/A</v>
          </cell>
          <cell r="E2412" t="e">
            <v>#N/A</v>
          </cell>
          <cell r="F2412" t="e">
            <v>#N/A</v>
          </cell>
          <cell r="G2412" t="e">
            <v>#N/A</v>
          </cell>
          <cell r="H2412">
            <v>0</v>
          </cell>
          <cell r="I2412">
            <v>0</v>
          </cell>
          <cell r="K2412">
            <v>1172110.0800000026</v>
          </cell>
          <cell r="L2412">
            <v>1172110.0800000026</v>
          </cell>
          <cell r="M2412" t="e">
            <v>#N/A</v>
          </cell>
        </row>
        <row r="2413">
          <cell r="C2413" t="e">
            <v>#N/A</v>
          </cell>
          <cell r="E2413" t="e">
            <v>#N/A</v>
          </cell>
          <cell r="F2413" t="e">
            <v>#N/A</v>
          </cell>
          <cell r="G2413" t="e">
            <v>#N/A</v>
          </cell>
          <cell r="H2413">
            <v>0</v>
          </cell>
          <cell r="I2413">
            <v>0</v>
          </cell>
          <cell r="K2413">
            <v>1172110.0800000026</v>
          </cell>
          <cell r="L2413">
            <v>1172110.0800000026</v>
          </cell>
          <cell r="M2413" t="e">
            <v>#N/A</v>
          </cell>
        </row>
        <row r="2414">
          <cell r="C2414" t="e">
            <v>#N/A</v>
          </cell>
          <cell r="E2414" t="e">
            <v>#N/A</v>
          </cell>
          <cell r="F2414" t="e">
            <v>#N/A</v>
          </cell>
          <cell r="G2414" t="e">
            <v>#N/A</v>
          </cell>
          <cell r="H2414">
            <v>0</v>
          </cell>
          <cell r="I2414">
            <v>0</v>
          </cell>
          <cell r="K2414">
            <v>1172110.0800000026</v>
          </cell>
          <cell r="L2414">
            <v>1172110.0800000026</v>
          </cell>
          <cell r="M2414" t="e">
            <v>#N/A</v>
          </cell>
        </row>
        <row r="2415">
          <cell r="C2415" t="e">
            <v>#N/A</v>
          </cell>
          <cell r="E2415" t="e">
            <v>#N/A</v>
          </cell>
          <cell r="F2415" t="e">
            <v>#N/A</v>
          </cell>
          <cell r="G2415" t="e">
            <v>#N/A</v>
          </cell>
          <cell r="H2415">
            <v>0</v>
          </cell>
          <cell r="I2415">
            <v>0</v>
          </cell>
          <cell r="K2415">
            <v>1172110.0800000026</v>
          </cell>
          <cell r="L2415">
            <v>1172110.0800000026</v>
          </cell>
          <cell r="M2415" t="e">
            <v>#N/A</v>
          </cell>
        </row>
        <row r="2416">
          <cell r="C2416" t="e">
            <v>#N/A</v>
          </cell>
          <cell r="E2416" t="e">
            <v>#N/A</v>
          </cell>
          <cell r="F2416" t="e">
            <v>#N/A</v>
          </cell>
          <cell r="G2416" t="e">
            <v>#N/A</v>
          </cell>
          <cell r="H2416">
            <v>0</v>
          </cell>
          <cell r="I2416">
            <v>0</v>
          </cell>
          <cell r="K2416">
            <v>1172110.0800000026</v>
          </cell>
          <cell r="L2416">
            <v>1172110.0800000026</v>
          </cell>
          <cell r="M2416" t="e">
            <v>#N/A</v>
          </cell>
        </row>
        <row r="2417">
          <cell r="C2417" t="e">
            <v>#N/A</v>
          </cell>
          <cell r="E2417" t="e">
            <v>#N/A</v>
          </cell>
          <cell r="F2417" t="e">
            <v>#N/A</v>
          </cell>
          <cell r="G2417" t="e">
            <v>#N/A</v>
          </cell>
          <cell r="H2417">
            <v>0</v>
          </cell>
          <cell r="I2417">
            <v>0</v>
          </cell>
          <cell r="K2417">
            <v>1172110.0800000026</v>
          </cell>
          <cell r="L2417">
            <v>1172110.0800000026</v>
          </cell>
          <cell r="M2417" t="e">
            <v>#N/A</v>
          </cell>
        </row>
        <row r="2418">
          <cell r="C2418" t="e">
            <v>#N/A</v>
          </cell>
          <cell r="E2418" t="e">
            <v>#N/A</v>
          </cell>
          <cell r="F2418" t="e">
            <v>#N/A</v>
          </cell>
          <cell r="G2418" t="e">
            <v>#N/A</v>
          </cell>
          <cell r="H2418">
            <v>0</v>
          </cell>
          <cell r="I2418">
            <v>0</v>
          </cell>
          <cell r="K2418">
            <v>1172110.0800000026</v>
          </cell>
          <cell r="L2418">
            <v>1172110.0800000026</v>
          </cell>
          <cell r="M2418" t="e">
            <v>#N/A</v>
          </cell>
        </row>
        <row r="2419">
          <cell r="C2419" t="e">
            <v>#N/A</v>
          </cell>
          <cell r="E2419" t="e">
            <v>#N/A</v>
          </cell>
          <cell r="F2419" t="e">
            <v>#N/A</v>
          </cell>
          <cell r="G2419" t="e">
            <v>#N/A</v>
          </cell>
          <cell r="H2419">
            <v>0</v>
          </cell>
          <cell r="I2419">
            <v>0</v>
          </cell>
          <cell r="K2419">
            <v>1172110.0800000026</v>
          </cell>
          <cell r="L2419">
            <v>1172110.0800000026</v>
          </cell>
          <cell r="M2419" t="e">
            <v>#N/A</v>
          </cell>
        </row>
        <row r="2420">
          <cell r="C2420" t="e">
            <v>#N/A</v>
          </cell>
          <cell r="E2420" t="e">
            <v>#N/A</v>
          </cell>
          <cell r="F2420" t="e">
            <v>#N/A</v>
          </cell>
          <cell r="G2420" t="e">
            <v>#N/A</v>
          </cell>
          <cell r="H2420">
            <v>0</v>
          </cell>
          <cell r="I2420">
            <v>0</v>
          </cell>
          <cell r="K2420">
            <v>1172110.0800000026</v>
          </cell>
          <cell r="L2420">
            <v>1172110.0800000026</v>
          </cell>
          <cell r="M2420" t="e">
            <v>#N/A</v>
          </cell>
        </row>
        <row r="2421">
          <cell r="C2421" t="e">
            <v>#N/A</v>
          </cell>
          <cell r="E2421" t="e">
            <v>#N/A</v>
          </cell>
          <cell r="F2421" t="e">
            <v>#N/A</v>
          </cell>
          <cell r="G2421" t="e">
            <v>#N/A</v>
          </cell>
          <cell r="H2421">
            <v>0</v>
          </cell>
          <cell r="I2421">
            <v>0</v>
          </cell>
          <cell r="K2421">
            <v>1172110.0800000026</v>
          </cell>
          <cell r="L2421">
            <v>1172110.0800000026</v>
          </cell>
          <cell r="M2421" t="e">
            <v>#N/A</v>
          </cell>
        </row>
        <row r="2422">
          <cell r="C2422" t="e">
            <v>#N/A</v>
          </cell>
          <cell r="E2422" t="e">
            <v>#N/A</v>
          </cell>
          <cell r="F2422" t="e">
            <v>#N/A</v>
          </cell>
          <cell r="G2422" t="e">
            <v>#N/A</v>
          </cell>
          <cell r="H2422">
            <v>0</v>
          </cell>
          <cell r="I2422">
            <v>0</v>
          </cell>
          <cell r="K2422">
            <v>1172110.0800000026</v>
          </cell>
          <cell r="L2422">
            <v>1172110.0800000026</v>
          </cell>
          <cell r="M2422" t="e">
            <v>#N/A</v>
          </cell>
        </row>
        <row r="2423">
          <cell r="C2423" t="e">
            <v>#N/A</v>
          </cell>
          <cell r="E2423" t="e">
            <v>#N/A</v>
          </cell>
          <cell r="F2423" t="e">
            <v>#N/A</v>
          </cell>
          <cell r="G2423" t="e">
            <v>#N/A</v>
          </cell>
          <cell r="H2423">
            <v>0</v>
          </cell>
          <cell r="I2423">
            <v>0</v>
          </cell>
          <cell r="K2423">
            <v>1172110.0800000026</v>
          </cell>
          <cell r="L2423">
            <v>1172110.0800000026</v>
          </cell>
          <cell r="M2423" t="e">
            <v>#N/A</v>
          </cell>
        </row>
        <row r="2424">
          <cell r="C2424" t="e">
            <v>#N/A</v>
          </cell>
          <cell r="E2424" t="e">
            <v>#N/A</v>
          </cell>
          <cell r="F2424" t="e">
            <v>#N/A</v>
          </cell>
          <cell r="G2424" t="e">
            <v>#N/A</v>
          </cell>
          <cell r="H2424">
            <v>0</v>
          </cell>
          <cell r="I2424">
            <v>0</v>
          </cell>
          <cell r="K2424">
            <v>1172110.0800000026</v>
          </cell>
          <cell r="L2424">
            <v>1172110.0800000026</v>
          </cell>
          <cell r="M2424" t="e">
            <v>#N/A</v>
          </cell>
        </row>
        <row r="2425">
          <cell r="C2425" t="e">
            <v>#N/A</v>
          </cell>
          <cell r="E2425" t="e">
            <v>#N/A</v>
          </cell>
          <cell r="F2425" t="e">
            <v>#N/A</v>
          </cell>
          <cell r="G2425" t="e">
            <v>#N/A</v>
          </cell>
          <cell r="H2425">
            <v>0</v>
          </cell>
          <cell r="I2425">
            <v>0</v>
          </cell>
          <cell r="K2425">
            <v>1172110.0800000026</v>
          </cell>
          <cell r="L2425">
            <v>1172110.0800000026</v>
          </cell>
          <cell r="M2425" t="e">
            <v>#N/A</v>
          </cell>
        </row>
        <row r="2426">
          <cell r="C2426" t="e">
            <v>#N/A</v>
          </cell>
          <cell r="E2426" t="e">
            <v>#N/A</v>
          </cell>
          <cell r="F2426" t="e">
            <v>#N/A</v>
          </cell>
          <cell r="G2426" t="e">
            <v>#N/A</v>
          </cell>
          <cell r="H2426">
            <v>0</v>
          </cell>
          <cell r="I2426">
            <v>0</v>
          </cell>
          <cell r="K2426">
            <v>1172110.0800000026</v>
          </cell>
          <cell r="L2426">
            <v>1172110.0800000026</v>
          </cell>
          <cell r="M2426" t="e">
            <v>#N/A</v>
          </cell>
        </row>
        <row r="2427">
          <cell r="C2427" t="e">
            <v>#N/A</v>
          </cell>
          <cell r="E2427" t="e">
            <v>#N/A</v>
          </cell>
          <cell r="F2427" t="e">
            <v>#N/A</v>
          </cell>
          <cell r="G2427" t="e">
            <v>#N/A</v>
          </cell>
          <cell r="H2427">
            <v>0</v>
          </cell>
          <cell r="I2427">
            <v>0</v>
          </cell>
          <cell r="K2427">
            <v>1172110.0800000026</v>
          </cell>
          <cell r="L2427">
            <v>1172110.0800000026</v>
          </cell>
          <cell r="M2427" t="e">
            <v>#N/A</v>
          </cell>
        </row>
        <row r="2428">
          <cell r="C2428" t="e">
            <v>#N/A</v>
          </cell>
          <cell r="E2428" t="e">
            <v>#N/A</v>
          </cell>
          <cell r="F2428" t="e">
            <v>#N/A</v>
          </cell>
          <cell r="G2428" t="e">
            <v>#N/A</v>
          </cell>
          <cell r="H2428">
            <v>0</v>
          </cell>
          <cell r="I2428">
            <v>0</v>
          </cell>
          <cell r="K2428">
            <v>1172110.0800000026</v>
          </cell>
          <cell r="L2428">
            <v>1172110.0800000026</v>
          </cell>
          <cell r="M2428" t="e">
            <v>#N/A</v>
          </cell>
        </row>
        <row r="2429">
          <cell r="C2429" t="e">
            <v>#N/A</v>
          </cell>
          <cell r="E2429" t="e">
            <v>#N/A</v>
          </cell>
          <cell r="F2429" t="e">
            <v>#N/A</v>
          </cell>
          <cell r="G2429" t="e">
            <v>#N/A</v>
          </cell>
          <cell r="H2429">
            <v>0</v>
          </cell>
          <cell r="I2429">
            <v>0</v>
          </cell>
          <cell r="K2429">
            <v>1172110.0800000026</v>
          </cell>
          <cell r="L2429">
            <v>1172110.0800000026</v>
          </cell>
          <cell r="M2429" t="e">
            <v>#N/A</v>
          </cell>
        </row>
        <row r="2430">
          <cell r="C2430" t="e">
            <v>#N/A</v>
          </cell>
          <cell r="E2430" t="e">
            <v>#N/A</v>
          </cell>
          <cell r="F2430" t="e">
            <v>#N/A</v>
          </cell>
          <cell r="G2430" t="e">
            <v>#N/A</v>
          </cell>
          <cell r="H2430">
            <v>0</v>
          </cell>
          <cell r="I2430">
            <v>0</v>
          </cell>
          <cell r="K2430">
            <v>1172110.0800000026</v>
          </cell>
          <cell r="L2430">
            <v>1172110.0800000026</v>
          </cell>
          <cell r="M2430" t="e">
            <v>#N/A</v>
          </cell>
        </row>
        <row r="2431">
          <cell r="C2431" t="e">
            <v>#N/A</v>
          </cell>
          <cell r="E2431" t="e">
            <v>#N/A</v>
          </cell>
          <cell r="F2431" t="e">
            <v>#N/A</v>
          </cell>
          <cell r="G2431" t="e">
            <v>#N/A</v>
          </cell>
          <cell r="H2431">
            <v>0</v>
          </cell>
          <cell r="I2431">
            <v>0</v>
          </cell>
          <cell r="K2431">
            <v>1172110.0800000026</v>
          </cell>
          <cell r="L2431">
            <v>1172110.0800000026</v>
          </cell>
          <cell r="M2431" t="e">
            <v>#N/A</v>
          </cell>
        </row>
        <row r="2432">
          <cell r="C2432" t="e">
            <v>#N/A</v>
          </cell>
          <cell r="E2432" t="e">
            <v>#N/A</v>
          </cell>
          <cell r="F2432" t="e">
            <v>#N/A</v>
          </cell>
          <cell r="G2432" t="e">
            <v>#N/A</v>
          </cell>
          <cell r="H2432">
            <v>0</v>
          </cell>
          <cell r="I2432">
            <v>0</v>
          </cell>
          <cell r="K2432">
            <v>1172110.0800000026</v>
          </cell>
          <cell r="L2432">
            <v>1172110.0800000026</v>
          </cell>
          <cell r="M2432" t="e">
            <v>#N/A</v>
          </cell>
        </row>
        <row r="2433">
          <cell r="C2433" t="e">
            <v>#N/A</v>
          </cell>
          <cell r="E2433" t="e">
            <v>#N/A</v>
          </cell>
          <cell r="F2433" t="e">
            <v>#N/A</v>
          </cell>
          <cell r="G2433" t="e">
            <v>#N/A</v>
          </cell>
          <cell r="H2433">
            <v>0</v>
          </cell>
          <cell r="I2433">
            <v>0</v>
          </cell>
          <cell r="K2433">
            <v>1172110.0800000026</v>
          </cell>
          <cell r="L2433">
            <v>1172110.0800000026</v>
          </cell>
          <cell r="M2433" t="e">
            <v>#N/A</v>
          </cell>
        </row>
        <row r="2434">
          <cell r="C2434" t="e">
            <v>#N/A</v>
          </cell>
          <cell r="E2434" t="e">
            <v>#N/A</v>
          </cell>
          <cell r="F2434" t="e">
            <v>#N/A</v>
          </cell>
          <cell r="G2434" t="e">
            <v>#N/A</v>
          </cell>
          <cell r="H2434">
            <v>0</v>
          </cell>
          <cell r="I2434">
            <v>0</v>
          </cell>
          <cell r="K2434">
            <v>1172110.0800000026</v>
          </cell>
          <cell r="L2434">
            <v>1172110.0800000026</v>
          </cell>
          <cell r="M2434" t="e">
            <v>#N/A</v>
          </cell>
        </row>
        <row r="2435">
          <cell r="C2435" t="e">
            <v>#N/A</v>
          </cell>
          <cell r="E2435" t="e">
            <v>#N/A</v>
          </cell>
          <cell r="F2435" t="e">
            <v>#N/A</v>
          </cell>
          <cell r="G2435" t="e">
            <v>#N/A</v>
          </cell>
          <cell r="H2435">
            <v>0</v>
          </cell>
          <cell r="I2435">
            <v>0</v>
          </cell>
          <cell r="K2435">
            <v>1172110.0800000026</v>
          </cell>
          <cell r="L2435">
            <v>1172110.0800000026</v>
          </cell>
          <cell r="M2435" t="e">
            <v>#N/A</v>
          </cell>
        </row>
        <row r="2436">
          <cell r="C2436" t="e">
            <v>#N/A</v>
          </cell>
          <cell r="E2436" t="e">
            <v>#N/A</v>
          </cell>
          <cell r="F2436" t="e">
            <v>#N/A</v>
          </cell>
          <cell r="G2436" t="e">
            <v>#N/A</v>
          </cell>
          <cell r="H2436">
            <v>0</v>
          </cell>
          <cell r="I2436">
            <v>0</v>
          </cell>
          <cell r="K2436">
            <v>1172110.0800000026</v>
          </cell>
          <cell r="L2436">
            <v>1172110.0800000026</v>
          </cell>
          <cell r="M2436" t="e">
            <v>#N/A</v>
          </cell>
        </row>
        <row r="2437">
          <cell r="C2437" t="e">
            <v>#N/A</v>
          </cell>
          <cell r="E2437" t="e">
            <v>#N/A</v>
          </cell>
          <cell r="F2437" t="e">
            <v>#N/A</v>
          </cell>
          <cell r="G2437" t="e">
            <v>#N/A</v>
          </cell>
          <cell r="H2437">
            <v>0</v>
          </cell>
          <cell r="I2437">
            <v>0</v>
          </cell>
          <cell r="K2437">
            <v>1172110.0800000026</v>
          </cell>
          <cell r="L2437">
            <v>1172110.0800000026</v>
          </cell>
          <cell r="M2437" t="e">
            <v>#N/A</v>
          </cell>
        </row>
        <row r="2438">
          <cell r="C2438" t="e">
            <v>#N/A</v>
          </cell>
          <cell r="E2438" t="e">
            <v>#N/A</v>
          </cell>
          <cell r="F2438" t="e">
            <v>#N/A</v>
          </cell>
          <cell r="G2438" t="e">
            <v>#N/A</v>
          </cell>
          <cell r="H2438">
            <v>0</v>
          </cell>
          <cell r="I2438">
            <v>0</v>
          </cell>
          <cell r="K2438">
            <v>1172110.0800000026</v>
          </cell>
          <cell r="L2438">
            <v>1172110.0800000026</v>
          </cell>
          <cell r="M2438" t="e">
            <v>#N/A</v>
          </cell>
        </row>
        <row r="2439">
          <cell r="C2439" t="e">
            <v>#N/A</v>
          </cell>
          <cell r="E2439" t="e">
            <v>#N/A</v>
          </cell>
          <cell r="F2439" t="e">
            <v>#N/A</v>
          </cell>
          <cell r="G2439" t="e">
            <v>#N/A</v>
          </cell>
          <cell r="H2439">
            <v>0</v>
          </cell>
          <cell r="I2439">
            <v>0</v>
          </cell>
          <cell r="K2439">
            <v>1172110.0800000026</v>
          </cell>
          <cell r="L2439">
            <v>1172110.0800000026</v>
          </cell>
          <cell r="M2439" t="e">
            <v>#N/A</v>
          </cell>
        </row>
        <row r="2440">
          <cell r="C2440" t="e">
            <v>#N/A</v>
          </cell>
          <cell r="E2440" t="e">
            <v>#N/A</v>
          </cell>
          <cell r="F2440" t="e">
            <v>#N/A</v>
          </cell>
          <cell r="G2440" t="e">
            <v>#N/A</v>
          </cell>
          <cell r="H2440">
            <v>0</v>
          </cell>
          <cell r="I2440">
            <v>0</v>
          </cell>
          <cell r="K2440">
            <v>1172110.0800000026</v>
          </cell>
          <cell r="L2440">
            <v>1172110.0800000026</v>
          </cell>
          <cell r="M2440" t="e">
            <v>#N/A</v>
          </cell>
        </row>
        <row r="2441">
          <cell r="C2441" t="e">
            <v>#N/A</v>
          </cell>
          <cell r="E2441" t="e">
            <v>#N/A</v>
          </cell>
          <cell r="F2441" t="e">
            <v>#N/A</v>
          </cell>
          <cell r="G2441" t="e">
            <v>#N/A</v>
          </cell>
          <cell r="H2441">
            <v>0</v>
          </cell>
          <cell r="I2441">
            <v>0</v>
          </cell>
          <cell r="K2441">
            <v>1172110.0800000026</v>
          </cell>
          <cell r="L2441">
            <v>1172110.0800000026</v>
          </cell>
          <cell r="M2441" t="e">
            <v>#N/A</v>
          </cell>
        </row>
        <row r="2442">
          <cell r="C2442" t="e">
            <v>#N/A</v>
          </cell>
          <cell r="E2442" t="e">
            <v>#N/A</v>
          </cell>
          <cell r="F2442" t="e">
            <v>#N/A</v>
          </cell>
          <cell r="G2442" t="e">
            <v>#N/A</v>
          </cell>
          <cell r="H2442">
            <v>0</v>
          </cell>
          <cell r="I2442">
            <v>0</v>
          </cell>
          <cell r="K2442">
            <v>1172110.0800000026</v>
          </cell>
          <cell r="L2442">
            <v>1172110.0800000026</v>
          </cell>
          <cell r="M2442" t="e">
            <v>#N/A</v>
          </cell>
        </row>
        <row r="2443">
          <cell r="C2443" t="e">
            <v>#N/A</v>
          </cell>
          <cell r="E2443" t="e">
            <v>#N/A</v>
          </cell>
          <cell r="F2443" t="e">
            <v>#N/A</v>
          </cell>
          <cell r="G2443" t="e">
            <v>#N/A</v>
          </cell>
          <cell r="H2443">
            <v>0</v>
          </cell>
          <cell r="I2443">
            <v>0</v>
          </cell>
          <cell r="K2443">
            <v>1172110.0800000026</v>
          </cell>
          <cell r="L2443">
            <v>1172110.0800000026</v>
          </cell>
          <cell r="M2443" t="e">
            <v>#N/A</v>
          </cell>
        </row>
        <row r="2444">
          <cell r="C2444" t="e">
            <v>#N/A</v>
          </cell>
          <cell r="E2444" t="e">
            <v>#N/A</v>
          </cell>
          <cell r="F2444" t="e">
            <v>#N/A</v>
          </cell>
          <cell r="G2444" t="e">
            <v>#N/A</v>
          </cell>
          <cell r="H2444">
            <v>0</v>
          </cell>
          <cell r="I2444">
            <v>0</v>
          </cell>
          <cell r="K2444">
            <v>1172110.0800000026</v>
          </cell>
          <cell r="L2444">
            <v>1172110.0800000026</v>
          </cell>
          <cell r="M2444" t="e">
            <v>#N/A</v>
          </cell>
        </row>
        <row r="2445">
          <cell r="C2445" t="e">
            <v>#N/A</v>
          </cell>
          <cell r="E2445" t="e">
            <v>#N/A</v>
          </cell>
          <cell r="F2445" t="e">
            <v>#N/A</v>
          </cell>
          <cell r="G2445" t="e">
            <v>#N/A</v>
          </cell>
          <cell r="H2445">
            <v>0</v>
          </cell>
          <cell r="I2445">
            <v>0</v>
          </cell>
          <cell r="K2445">
            <v>1172110.0800000026</v>
          </cell>
          <cell r="L2445">
            <v>1172110.0800000026</v>
          </cell>
          <cell r="M2445" t="e">
            <v>#N/A</v>
          </cell>
        </row>
        <row r="2446">
          <cell r="C2446" t="e">
            <v>#N/A</v>
          </cell>
          <cell r="E2446" t="e">
            <v>#N/A</v>
          </cell>
          <cell r="F2446" t="e">
            <v>#N/A</v>
          </cell>
          <cell r="G2446" t="e">
            <v>#N/A</v>
          </cell>
          <cell r="H2446">
            <v>0</v>
          </cell>
          <cell r="I2446">
            <v>0</v>
          </cell>
          <cell r="K2446">
            <v>1172110.0800000026</v>
          </cell>
          <cell r="L2446">
            <v>1172110.0800000026</v>
          </cell>
          <cell r="M2446" t="e">
            <v>#N/A</v>
          </cell>
        </row>
        <row r="2447">
          <cell r="C2447" t="e">
            <v>#N/A</v>
          </cell>
          <cell r="E2447" t="e">
            <v>#N/A</v>
          </cell>
          <cell r="F2447" t="e">
            <v>#N/A</v>
          </cell>
          <cell r="G2447" t="e">
            <v>#N/A</v>
          </cell>
          <cell r="H2447">
            <v>0</v>
          </cell>
          <cell r="I2447">
            <v>0</v>
          </cell>
          <cell r="K2447">
            <v>1172110.0800000026</v>
          </cell>
          <cell r="L2447">
            <v>1172110.0800000026</v>
          </cell>
          <cell r="M2447" t="e">
            <v>#N/A</v>
          </cell>
        </row>
        <row r="2448">
          <cell r="C2448" t="e">
            <v>#N/A</v>
          </cell>
          <cell r="E2448" t="e">
            <v>#N/A</v>
          </cell>
          <cell r="F2448" t="e">
            <v>#N/A</v>
          </cell>
          <cell r="G2448" t="e">
            <v>#N/A</v>
          </cell>
          <cell r="H2448">
            <v>0</v>
          </cell>
          <cell r="I2448">
            <v>0</v>
          </cell>
          <cell r="K2448">
            <v>1172110.0800000026</v>
          </cell>
          <cell r="L2448">
            <v>1172110.0800000026</v>
          </cell>
          <cell r="M2448" t="e">
            <v>#N/A</v>
          </cell>
        </row>
        <row r="2449">
          <cell r="C2449" t="e">
            <v>#N/A</v>
          </cell>
          <cell r="E2449" t="e">
            <v>#N/A</v>
          </cell>
          <cell r="F2449" t="e">
            <v>#N/A</v>
          </cell>
          <cell r="G2449" t="e">
            <v>#N/A</v>
          </cell>
          <cell r="H2449">
            <v>0</v>
          </cell>
          <cell r="I2449">
            <v>0</v>
          </cell>
          <cell r="K2449">
            <v>1172110.0800000026</v>
          </cell>
          <cell r="L2449">
            <v>1172110.0800000026</v>
          </cell>
          <cell r="M2449" t="e">
            <v>#N/A</v>
          </cell>
        </row>
        <row r="2450">
          <cell r="C2450" t="e">
            <v>#N/A</v>
          </cell>
          <cell r="E2450" t="e">
            <v>#N/A</v>
          </cell>
          <cell r="F2450" t="e">
            <v>#N/A</v>
          </cell>
          <cell r="G2450" t="e">
            <v>#N/A</v>
          </cell>
          <cell r="H2450">
            <v>0</v>
          </cell>
          <cell r="I2450">
            <v>0</v>
          </cell>
          <cell r="K2450">
            <v>1172110.0800000026</v>
          </cell>
          <cell r="L2450">
            <v>1172110.0800000026</v>
          </cell>
          <cell r="M2450" t="e">
            <v>#N/A</v>
          </cell>
        </row>
        <row r="2451">
          <cell r="C2451" t="e">
            <v>#N/A</v>
          </cell>
          <cell r="E2451" t="e">
            <v>#N/A</v>
          </cell>
          <cell r="F2451" t="e">
            <v>#N/A</v>
          </cell>
          <cell r="G2451" t="e">
            <v>#N/A</v>
          </cell>
          <cell r="H2451">
            <v>0</v>
          </cell>
          <cell r="I2451">
            <v>0</v>
          </cell>
          <cell r="K2451">
            <v>1172110.0800000026</v>
          </cell>
          <cell r="L2451">
            <v>1172110.0800000026</v>
          </cell>
          <cell r="M2451" t="e">
            <v>#N/A</v>
          </cell>
        </row>
        <row r="2452">
          <cell r="C2452" t="e">
            <v>#N/A</v>
          </cell>
          <cell r="E2452" t="e">
            <v>#N/A</v>
          </cell>
          <cell r="F2452" t="e">
            <v>#N/A</v>
          </cell>
          <cell r="G2452" t="e">
            <v>#N/A</v>
          </cell>
          <cell r="H2452">
            <v>0</v>
          </cell>
          <cell r="I2452">
            <v>0</v>
          </cell>
          <cell r="K2452">
            <v>1172110.0800000026</v>
          </cell>
          <cell r="L2452">
            <v>1172110.0800000026</v>
          </cell>
          <cell r="M2452" t="e">
            <v>#N/A</v>
          </cell>
        </row>
        <row r="2453">
          <cell r="C2453" t="e">
            <v>#N/A</v>
          </cell>
          <cell r="E2453" t="e">
            <v>#N/A</v>
          </cell>
          <cell r="F2453" t="e">
            <v>#N/A</v>
          </cell>
          <cell r="G2453" t="e">
            <v>#N/A</v>
          </cell>
          <cell r="H2453">
            <v>0</v>
          </cell>
          <cell r="I2453">
            <v>0</v>
          </cell>
          <cell r="K2453">
            <v>1172110.0800000026</v>
          </cell>
          <cell r="L2453">
            <v>1172110.0800000026</v>
          </cell>
          <cell r="M2453" t="e">
            <v>#N/A</v>
          </cell>
        </row>
        <row r="2454">
          <cell r="C2454" t="e">
            <v>#N/A</v>
          </cell>
          <cell r="E2454" t="e">
            <v>#N/A</v>
          </cell>
          <cell r="F2454" t="e">
            <v>#N/A</v>
          </cell>
          <cell r="G2454" t="e">
            <v>#N/A</v>
          </cell>
          <cell r="H2454">
            <v>0</v>
          </cell>
          <cell r="I2454">
            <v>0</v>
          </cell>
          <cell r="K2454">
            <v>1172110.0800000026</v>
          </cell>
          <cell r="L2454">
            <v>1172110.0800000026</v>
          </cell>
          <cell r="M2454" t="e">
            <v>#N/A</v>
          </cell>
        </row>
        <row r="2455">
          <cell r="C2455" t="e">
            <v>#N/A</v>
          </cell>
          <cell r="E2455" t="e">
            <v>#N/A</v>
          </cell>
          <cell r="F2455" t="e">
            <v>#N/A</v>
          </cell>
          <cell r="G2455" t="e">
            <v>#N/A</v>
          </cell>
          <cell r="H2455">
            <v>0</v>
          </cell>
          <cell r="I2455">
            <v>0</v>
          </cell>
          <cell r="K2455">
            <v>1172110.0800000026</v>
          </cell>
          <cell r="L2455">
            <v>1172110.0800000026</v>
          </cell>
          <cell r="M2455" t="e">
            <v>#N/A</v>
          </cell>
        </row>
        <row r="2456">
          <cell r="C2456" t="e">
            <v>#N/A</v>
          </cell>
          <cell r="E2456" t="e">
            <v>#N/A</v>
          </cell>
          <cell r="F2456" t="e">
            <v>#N/A</v>
          </cell>
          <cell r="G2456" t="e">
            <v>#N/A</v>
          </cell>
          <cell r="H2456">
            <v>0</v>
          </cell>
          <cell r="I2456">
            <v>0</v>
          </cell>
          <cell r="K2456">
            <v>1172110.0800000026</v>
          </cell>
          <cell r="L2456">
            <v>1172110.0800000026</v>
          </cell>
          <cell r="M2456" t="e">
            <v>#N/A</v>
          </cell>
        </row>
        <row r="2457">
          <cell r="C2457" t="e">
            <v>#N/A</v>
          </cell>
          <cell r="E2457" t="e">
            <v>#N/A</v>
          </cell>
          <cell r="F2457" t="e">
            <v>#N/A</v>
          </cell>
          <cell r="G2457" t="e">
            <v>#N/A</v>
          </cell>
          <cell r="H2457">
            <v>0</v>
          </cell>
          <cell r="I2457">
            <v>0</v>
          </cell>
          <cell r="K2457">
            <v>1172110.0800000026</v>
          </cell>
          <cell r="L2457">
            <v>1172110.0800000026</v>
          </cell>
          <cell r="M2457" t="e">
            <v>#N/A</v>
          </cell>
        </row>
        <row r="2458">
          <cell r="C2458" t="e">
            <v>#N/A</v>
          </cell>
          <cell r="E2458" t="e">
            <v>#N/A</v>
          </cell>
          <cell r="F2458" t="e">
            <v>#N/A</v>
          </cell>
          <cell r="G2458" t="e">
            <v>#N/A</v>
          </cell>
          <cell r="H2458">
            <v>0</v>
          </cell>
          <cell r="I2458">
            <v>0</v>
          </cell>
          <cell r="K2458">
            <v>1172110.0800000026</v>
          </cell>
          <cell r="L2458">
            <v>1172110.0800000026</v>
          </cell>
          <cell r="M2458" t="e">
            <v>#N/A</v>
          </cell>
        </row>
        <row r="2459">
          <cell r="C2459" t="e">
            <v>#N/A</v>
          </cell>
          <cell r="E2459" t="e">
            <v>#N/A</v>
          </cell>
          <cell r="F2459" t="e">
            <v>#N/A</v>
          </cell>
          <cell r="G2459" t="e">
            <v>#N/A</v>
          </cell>
          <cell r="H2459">
            <v>0</v>
          </cell>
          <cell r="I2459">
            <v>0</v>
          </cell>
          <cell r="K2459">
            <v>1172110.0800000026</v>
          </cell>
          <cell r="L2459">
            <v>1172110.0800000026</v>
          </cell>
          <cell r="M2459" t="e">
            <v>#N/A</v>
          </cell>
        </row>
        <row r="2460">
          <cell r="C2460" t="e">
            <v>#N/A</v>
          </cell>
          <cell r="E2460" t="e">
            <v>#N/A</v>
          </cell>
          <cell r="F2460" t="e">
            <v>#N/A</v>
          </cell>
          <cell r="G2460" t="e">
            <v>#N/A</v>
          </cell>
          <cell r="H2460">
            <v>0</v>
          </cell>
          <cell r="I2460">
            <v>0</v>
          </cell>
          <cell r="K2460">
            <v>1172110.0800000026</v>
          </cell>
          <cell r="L2460">
            <v>1172110.0800000026</v>
          </cell>
          <cell r="M2460" t="e">
            <v>#N/A</v>
          </cell>
        </row>
        <row r="2461">
          <cell r="C2461" t="e">
            <v>#N/A</v>
          </cell>
          <cell r="E2461" t="e">
            <v>#N/A</v>
          </cell>
          <cell r="F2461" t="e">
            <v>#N/A</v>
          </cell>
          <cell r="G2461" t="e">
            <v>#N/A</v>
          </cell>
          <cell r="H2461">
            <v>0</v>
          </cell>
          <cell r="I2461">
            <v>0</v>
          </cell>
          <cell r="K2461">
            <v>1172110.0800000026</v>
          </cell>
          <cell r="L2461">
            <v>1172110.0800000026</v>
          </cell>
          <cell r="M2461" t="e">
            <v>#N/A</v>
          </cell>
        </row>
        <row r="2462">
          <cell r="C2462" t="e">
            <v>#N/A</v>
          </cell>
          <cell r="E2462" t="e">
            <v>#N/A</v>
          </cell>
          <cell r="F2462" t="e">
            <v>#N/A</v>
          </cell>
          <cell r="G2462" t="e">
            <v>#N/A</v>
          </cell>
          <cell r="H2462">
            <v>0</v>
          </cell>
          <cell r="I2462">
            <v>0</v>
          </cell>
          <cell r="K2462">
            <v>1172110.0800000026</v>
          </cell>
          <cell r="L2462">
            <v>1172110.0800000026</v>
          </cell>
          <cell r="M2462" t="e">
            <v>#N/A</v>
          </cell>
        </row>
        <row r="2463">
          <cell r="C2463" t="e">
            <v>#N/A</v>
          </cell>
          <cell r="E2463" t="e">
            <v>#N/A</v>
          </cell>
          <cell r="F2463" t="e">
            <v>#N/A</v>
          </cell>
          <cell r="G2463" t="e">
            <v>#N/A</v>
          </cell>
          <cell r="H2463">
            <v>0</v>
          </cell>
          <cell r="I2463">
            <v>0</v>
          </cell>
          <cell r="K2463">
            <v>1172110.0800000026</v>
          </cell>
          <cell r="L2463">
            <v>1172110.0800000026</v>
          </cell>
          <cell r="M2463" t="e">
            <v>#N/A</v>
          </cell>
        </row>
        <row r="2464">
          <cell r="C2464" t="e">
            <v>#N/A</v>
          </cell>
          <cell r="E2464" t="e">
            <v>#N/A</v>
          </cell>
          <cell r="F2464" t="e">
            <v>#N/A</v>
          </cell>
          <cell r="G2464" t="e">
            <v>#N/A</v>
          </cell>
          <cell r="H2464">
            <v>0</v>
          </cell>
          <cell r="I2464">
            <v>0</v>
          </cell>
          <cell r="K2464">
            <v>1172110.0800000026</v>
          </cell>
          <cell r="L2464">
            <v>1172110.0800000026</v>
          </cell>
          <cell r="M2464" t="e">
            <v>#N/A</v>
          </cell>
        </row>
        <row r="2465">
          <cell r="C2465" t="e">
            <v>#N/A</v>
          </cell>
          <cell r="E2465" t="e">
            <v>#N/A</v>
          </cell>
          <cell r="F2465" t="e">
            <v>#N/A</v>
          </cell>
          <cell r="G2465" t="e">
            <v>#N/A</v>
          </cell>
          <cell r="H2465">
            <v>0</v>
          </cell>
          <cell r="I2465">
            <v>0</v>
          </cell>
          <cell r="K2465">
            <v>1172110.0800000026</v>
          </cell>
          <cell r="L2465">
            <v>1172110.0800000026</v>
          </cell>
          <cell r="M2465" t="e">
            <v>#N/A</v>
          </cell>
        </row>
        <row r="2466">
          <cell r="C2466" t="e">
            <v>#N/A</v>
          </cell>
          <cell r="E2466" t="e">
            <v>#N/A</v>
          </cell>
          <cell r="F2466" t="e">
            <v>#N/A</v>
          </cell>
          <cell r="G2466" t="e">
            <v>#N/A</v>
          </cell>
          <cell r="H2466">
            <v>0</v>
          </cell>
          <cell r="I2466">
            <v>0</v>
          </cell>
          <cell r="K2466">
            <v>1172110.0800000026</v>
          </cell>
          <cell r="L2466">
            <v>1172110.0800000026</v>
          </cell>
          <cell r="M2466" t="e">
            <v>#N/A</v>
          </cell>
        </row>
        <row r="2467">
          <cell r="C2467" t="e">
            <v>#N/A</v>
          </cell>
          <cell r="E2467" t="e">
            <v>#N/A</v>
          </cell>
          <cell r="F2467" t="e">
            <v>#N/A</v>
          </cell>
          <cell r="G2467" t="e">
            <v>#N/A</v>
          </cell>
          <cell r="H2467">
            <v>0</v>
          </cell>
          <cell r="I2467">
            <v>0</v>
          </cell>
          <cell r="K2467">
            <v>1172110.0800000026</v>
          </cell>
          <cell r="L2467">
            <v>1172110.0800000026</v>
          </cell>
          <cell r="M2467" t="e">
            <v>#N/A</v>
          </cell>
        </row>
        <row r="2468">
          <cell r="C2468" t="e">
            <v>#N/A</v>
          </cell>
          <cell r="E2468" t="e">
            <v>#N/A</v>
          </cell>
          <cell r="F2468" t="e">
            <v>#N/A</v>
          </cell>
          <cell r="G2468" t="e">
            <v>#N/A</v>
          </cell>
          <cell r="H2468">
            <v>0</v>
          </cell>
          <cell r="I2468">
            <v>0</v>
          </cell>
          <cell r="K2468">
            <v>1172110.0800000026</v>
          </cell>
          <cell r="L2468">
            <v>1172110.0800000026</v>
          </cell>
          <cell r="M2468" t="e">
            <v>#N/A</v>
          </cell>
        </row>
        <row r="2469">
          <cell r="C2469" t="e">
            <v>#N/A</v>
          </cell>
          <cell r="E2469" t="e">
            <v>#N/A</v>
          </cell>
          <cell r="F2469" t="e">
            <v>#N/A</v>
          </cell>
          <cell r="G2469" t="e">
            <v>#N/A</v>
          </cell>
          <cell r="H2469">
            <v>0</v>
          </cell>
          <cell r="I2469">
            <v>0</v>
          </cell>
          <cell r="K2469">
            <v>1172110.0800000026</v>
          </cell>
          <cell r="L2469">
            <v>1172110.0800000026</v>
          </cell>
          <cell r="M2469" t="e">
            <v>#N/A</v>
          </cell>
        </row>
        <row r="2470">
          <cell r="C2470" t="e">
            <v>#N/A</v>
          </cell>
          <cell r="E2470" t="e">
            <v>#N/A</v>
          </cell>
          <cell r="F2470" t="e">
            <v>#N/A</v>
          </cell>
          <cell r="G2470" t="e">
            <v>#N/A</v>
          </cell>
          <cell r="H2470">
            <v>0</v>
          </cell>
          <cell r="I2470">
            <v>0</v>
          </cell>
          <cell r="K2470">
            <v>1172110.0800000026</v>
          </cell>
          <cell r="L2470">
            <v>1172110.0800000026</v>
          </cell>
          <cell r="M2470" t="e">
            <v>#N/A</v>
          </cell>
        </row>
        <row r="2471">
          <cell r="C2471" t="e">
            <v>#N/A</v>
          </cell>
          <cell r="E2471" t="e">
            <v>#N/A</v>
          </cell>
          <cell r="F2471" t="e">
            <v>#N/A</v>
          </cell>
          <cell r="G2471" t="e">
            <v>#N/A</v>
          </cell>
          <cell r="H2471">
            <v>0</v>
          </cell>
          <cell r="I2471">
            <v>0</v>
          </cell>
          <cell r="K2471">
            <v>1172110.0800000026</v>
          </cell>
          <cell r="L2471">
            <v>1172110.0800000026</v>
          </cell>
          <cell r="M2471" t="e">
            <v>#N/A</v>
          </cell>
        </row>
        <row r="2472">
          <cell r="C2472" t="e">
            <v>#N/A</v>
          </cell>
          <cell r="E2472" t="e">
            <v>#N/A</v>
          </cell>
          <cell r="F2472" t="e">
            <v>#N/A</v>
          </cell>
          <cell r="G2472" t="e">
            <v>#N/A</v>
          </cell>
          <cell r="H2472">
            <v>0</v>
          </cell>
          <cell r="I2472">
            <v>0</v>
          </cell>
          <cell r="K2472">
            <v>1172110.0800000026</v>
          </cell>
          <cell r="L2472">
            <v>1172110.0800000026</v>
          </cell>
          <cell r="M2472" t="e">
            <v>#N/A</v>
          </cell>
        </row>
        <row r="2473">
          <cell r="C2473" t="e">
            <v>#N/A</v>
          </cell>
          <cell r="E2473" t="e">
            <v>#N/A</v>
          </cell>
          <cell r="F2473" t="e">
            <v>#N/A</v>
          </cell>
          <cell r="G2473" t="e">
            <v>#N/A</v>
          </cell>
          <cell r="H2473">
            <v>0</v>
          </cell>
          <cell r="I2473">
            <v>0</v>
          </cell>
          <cell r="K2473">
            <v>1172110.0800000026</v>
          </cell>
          <cell r="L2473">
            <v>1172110.0800000026</v>
          </cell>
          <cell r="M2473" t="e">
            <v>#N/A</v>
          </cell>
        </row>
        <row r="2474">
          <cell r="C2474" t="e">
            <v>#N/A</v>
          </cell>
          <cell r="E2474" t="e">
            <v>#N/A</v>
          </cell>
          <cell r="F2474" t="e">
            <v>#N/A</v>
          </cell>
          <cell r="G2474" t="e">
            <v>#N/A</v>
          </cell>
          <cell r="H2474">
            <v>0</v>
          </cell>
          <cell r="I2474">
            <v>0</v>
          </cell>
          <cell r="K2474">
            <v>1172110.0800000026</v>
          </cell>
          <cell r="L2474">
            <v>1172110.0800000026</v>
          </cell>
          <cell r="M2474" t="e">
            <v>#N/A</v>
          </cell>
        </row>
        <row r="2475">
          <cell r="C2475" t="e">
            <v>#N/A</v>
          </cell>
          <cell r="E2475" t="e">
            <v>#N/A</v>
          </cell>
          <cell r="F2475" t="e">
            <v>#N/A</v>
          </cell>
          <cell r="G2475" t="e">
            <v>#N/A</v>
          </cell>
          <cell r="H2475">
            <v>0</v>
          </cell>
          <cell r="I2475">
            <v>0</v>
          </cell>
          <cell r="K2475">
            <v>1172110.0800000026</v>
          </cell>
          <cell r="L2475">
            <v>1172110.0800000026</v>
          </cell>
          <cell r="M2475" t="e">
            <v>#N/A</v>
          </cell>
        </row>
        <row r="2476">
          <cell r="C2476" t="e">
            <v>#N/A</v>
          </cell>
          <cell r="E2476" t="e">
            <v>#N/A</v>
          </cell>
          <cell r="F2476" t="e">
            <v>#N/A</v>
          </cell>
          <cell r="G2476" t="e">
            <v>#N/A</v>
          </cell>
          <cell r="H2476">
            <v>0</v>
          </cell>
          <cell r="I2476">
            <v>0</v>
          </cell>
          <cell r="K2476">
            <v>1172110.0800000026</v>
          </cell>
          <cell r="L2476">
            <v>1172110.0800000026</v>
          </cell>
          <cell r="M2476" t="e">
            <v>#N/A</v>
          </cell>
        </row>
        <row r="2477">
          <cell r="C2477" t="e">
            <v>#N/A</v>
          </cell>
          <cell r="E2477" t="e">
            <v>#N/A</v>
          </cell>
          <cell r="F2477" t="e">
            <v>#N/A</v>
          </cell>
          <cell r="G2477" t="e">
            <v>#N/A</v>
          </cell>
          <cell r="H2477">
            <v>0</v>
          </cell>
          <cell r="I2477">
            <v>0</v>
          </cell>
          <cell r="K2477">
            <v>1172110.0800000026</v>
          </cell>
          <cell r="L2477">
            <v>1172110.0800000026</v>
          </cell>
          <cell r="M2477" t="e">
            <v>#N/A</v>
          </cell>
        </row>
        <row r="2478">
          <cell r="C2478" t="e">
            <v>#N/A</v>
          </cell>
          <cell r="E2478" t="e">
            <v>#N/A</v>
          </cell>
          <cell r="F2478" t="e">
            <v>#N/A</v>
          </cell>
          <cell r="G2478" t="e">
            <v>#N/A</v>
          </cell>
          <cell r="H2478">
            <v>0</v>
          </cell>
          <cell r="I2478">
            <v>0</v>
          </cell>
          <cell r="K2478">
            <v>1172110.0800000026</v>
          </cell>
          <cell r="L2478">
            <v>1172110.0800000026</v>
          </cell>
          <cell r="M2478" t="e">
            <v>#N/A</v>
          </cell>
        </row>
        <row r="2479">
          <cell r="C2479" t="e">
            <v>#N/A</v>
          </cell>
          <cell r="E2479" t="e">
            <v>#N/A</v>
          </cell>
          <cell r="F2479" t="e">
            <v>#N/A</v>
          </cell>
          <cell r="G2479" t="e">
            <v>#N/A</v>
          </cell>
          <cell r="H2479">
            <v>0</v>
          </cell>
          <cell r="I2479">
            <v>0</v>
          </cell>
          <cell r="K2479">
            <v>1172110.0800000026</v>
          </cell>
          <cell r="L2479">
            <v>1172110.0800000026</v>
          </cell>
          <cell r="M2479" t="e">
            <v>#N/A</v>
          </cell>
        </row>
        <row r="2480">
          <cell r="C2480" t="e">
            <v>#N/A</v>
          </cell>
          <cell r="E2480" t="e">
            <v>#N/A</v>
          </cell>
          <cell r="F2480" t="e">
            <v>#N/A</v>
          </cell>
          <cell r="G2480" t="e">
            <v>#N/A</v>
          </cell>
          <cell r="H2480">
            <v>0</v>
          </cell>
          <cell r="I2480">
            <v>0</v>
          </cell>
          <cell r="K2480">
            <v>1172110.0800000026</v>
          </cell>
          <cell r="L2480">
            <v>1172110.0800000026</v>
          </cell>
          <cell r="M2480" t="e">
            <v>#N/A</v>
          </cell>
        </row>
        <row r="2481">
          <cell r="C2481" t="e">
            <v>#N/A</v>
          </cell>
          <cell r="E2481" t="e">
            <v>#N/A</v>
          </cell>
          <cell r="F2481" t="e">
            <v>#N/A</v>
          </cell>
          <cell r="G2481" t="e">
            <v>#N/A</v>
          </cell>
          <cell r="H2481">
            <v>0</v>
          </cell>
          <cell r="I2481">
            <v>0</v>
          </cell>
          <cell r="K2481">
            <v>1172110.0800000026</v>
          </cell>
          <cell r="L2481">
            <v>1172110.0800000026</v>
          </cell>
          <cell r="M2481" t="e">
            <v>#N/A</v>
          </cell>
        </row>
        <row r="2482">
          <cell r="C2482" t="e">
            <v>#N/A</v>
          </cell>
          <cell r="E2482" t="e">
            <v>#N/A</v>
          </cell>
          <cell r="F2482" t="e">
            <v>#N/A</v>
          </cell>
          <cell r="G2482" t="e">
            <v>#N/A</v>
          </cell>
          <cell r="H2482">
            <v>0</v>
          </cell>
          <cell r="I2482">
            <v>0</v>
          </cell>
          <cell r="K2482">
            <v>1172110.0800000026</v>
          </cell>
          <cell r="L2482">
            <v>1172110.0800000026</v>
          </cell>
          <cell r="M2482" t="e">
            <v>#N/A</v>
          </cell>
        </row>
        <row r="2483">
          <cell r="C2483" t="e">
            <v>#N/A</v>
          </cell>
          <cell r="E2483" t="e">
            <v>#N/A</v>
          </cell>
          <cell r="F2483" t="e">
            <v>#N/A</v>
          </cell>
          <cell r="G2483" t="e">
            <v>#N/A</v>
          </cell>
          <cell r="H2483">
            <v>0</v>
          </cell>
          <cell r="I2483">
            <v>0</v>
          </cell>
          <cell r="K2483">
            <v>1172110.0800000026</v>
          </cell>
          <cell r="L2483">
            <v>1172110.0800000026</v>
          </cell>
          <cell r="M2483" t="e">
            <v>#N/A</v>
          </cell>
        </row>
        <row r="2484">
          <cell r="C2484" t="e">
            <v>#N/A</v>
          </cell>
          <cell r="E2484" t="e">
            <v>#N/A</v>
          </cell>
          <cell r="F2484" t="e">
            <v>#N/A</v>
          </cell>
          <cell r="G2484" t="e">
            <v>#N/A</v>
          </cell>
          <cell r="H2484">
            <v>0</v>
          </cell>
          <cell r="I2484">
            <v>0</v>
          </cell>
          <cell r="K2484">
            <v>1172110.0800000026</v>
          </cell>
          <cell r="L2484">
            <v>1172110.0800000026</v>
          </cell>
          <cell r="M2484" t="e">
            <v>#N/A</v>
          </cell>
        </row>
        <row r="2485">
          <cell r="C2485" t="e">
            <v>#N/A</v>
          </cell>
          <cell r="E2485" t="e">
            <v>#N/A</v>
          </cell>
          <cell r="F2485" t="e">
            <v>#N/A</v>
          </cell>
          <cell r="G2485" t="e">
            <v>#N/A</v>
          </cell>
          <cell r="H2485">
            <v>0</v>
          </cell>
          <cell r="I2485">
            <v>0</v>
          </cell>
          <cell r="K2485">
            <v>1172110.0800000026</v>
          </cell>
          <cell r="L2485">
            <v>1172110.0800000026</v>
          </cell>
          <cell r="M2485" t="e">
            <v>#N/A</v>
          </cell>
        </row>
        <row r="2486">
          <cell r="C2486" t="e">
            <v>#N/A</v>
          </cell>
          <cell r="E2486" t="e">
            <v>#N/A</v>
          </cell>
          <cell r="F2486" t="e">
            <v>#N/A</v>
          </cell>
          <cell r="G2486" t="e">
            <v>#N/A</v>
          </cell>
          <cell r="H2486">
            <v>0</v>
          </cell>
          <cell r="I2486">
            <v>0</v>
          </cell>
          <cell r="K2486">
            <v>1172110.0800000026</v>
          </cell>
          <cell r="L2486">
            <v>1172110.0800000026</v>
          </cell>
          <cell r="M2486" t="e">
            <v>#N/A</v>
          </cell>
        </row>
        <row r="2487">
          <cell r="C2487" t="e">
            <v>#N/A</v>
          </cell>
          <cell r="E2487" t="e">
            <v>#N/A</v>
          </cell>
          <cell r="F2487" t="e">
            <v>#N/A</v>
          </cell>
          <cell r="G2487" t="e">
            <v>#N/A</v>
          </cell>
          <cell r="H2487">
            <v>0</v>
          </cell>
          <cell r="I2487">
            <v>0</v>
          </cell>
          <cell r="K2487">
            <v>1172110.0800000026</v>
          </cell>
          <cell r="L2487">
            <v>1172110.0800000026</v>
          </cell>
          <cell r="M2487" t="e">
            <v>#N/A</v>
          </cell>
        </row>
        <row r="2488">
          <cell r="C2488" t="e">
            <v>#N/A</v>
          </cell>
          <cell r="E2488" t="e">
            <v>#N/A</v>
          </cell>
          <cell r="F2488" t="e">
            <v>#N/A</v>
          </cell>
          <cell r="G2488" t="e">
            <v>#N/A</v>
          </cell>
          <cell r="H2488">
            <v>0</v>
          </cell>
          <cell r="I2488">
            <v>0</v>
          </cell>
          <cell r="K2488">
            <v>1172110.0800000026</v>
          </cell>
          <cell r="L2488">
            <v>1172110.0800000026</v>
          </cell>
          <cell r="M2488" t="e">
            <v>#N/A</v>
          </cell>
        </row>
        <row r="2489">
          <cell r="C2489" t="e">
            <v>#N/A</v>
          </cell>
          <cell r="E2489" t="e">
            <v>#N/A</v>
          </cell>
          <cell r="F2489" t="e">
            <v>#N/A</v>
          </cell>
          <cell r="G2489" t="e">
            <v>#N/A</v>
          </cell>
          <cell r="H2489">
            <v>0</v>
          </cell>
          <cell r="I2489">
            <v>0</v>
          </cell>
          <cell r="K2489">
            <v>1172110.0800000026</v>
          </cell>
          <cell r="L2489">
            <v>1172110.0800000026</v>
          </cell>
          <cell r="M2489" t="e">
            <v>#N/A</v>
          </cell>
        </row>
        <row r="2490">
          <cell r="C2490" t="e">
            <v>#N/A</v>
          </cell>
          <cell r="E2490" t="e">
            <v>#N/A</v>
          </cell>
          <cell r="F2490" t="e">
            <v>#N/A</v>
          </cell>
          <cell r="G2490" t="e">
            <v>#N/A</v>
          </cell>
          <cell r="H2490">
            <v>0</v>
          </cell>
          <cell r="I2490">
            <v>0</v>
          </cell>
          <cell r="K2490">
            <v>1172110.0800000026</v>
          </cell>
          <cell r="L2490">
            <v>1172110.0800000026</v>
          </cell>
          <cell r="M2490" t="e">
            <v>#N/A</v>
          </cell>
        </row>
        <row r="2491">
          <cell r="C2491" t="e">
            <v>#N/A</v>
          </cell>
          <cell r="E2491" t="e">
            <v>#N/A</v>
          </cell>
          <cell r="F2491" t="e">
            <v>#N/A</v>
          </cell>
          <cell r="G2491" t="e">
            <v>#N/A</v>
          </cell>
          <cell r="H2491">
            <v>0</v>
          </cell>
          <cell r="I2491">
            <v>0</v>
          </cell>
          <cell r="K2491">
            <v>1172110.0800000026</v>
          </cell>
          <cell r="L2491">
            <v>1172110.0800000026</v>
          </cell>
          <cell r="M2491" t="e">
            <v>#N/A</v>
          </cell>
        </row>
        <row r="2492">
          <cell r="C2492" t="e">
            <v>#N/A</v>
          </cell>
          <cell r="E2492" t="e">
            <v>#N/A</v>
          </cell>
          <cell r="F2492" t="e">
            <v>#N/A</v>
          </cell>
          <cell r="G2492" t="e">
            <v>#N/A</v>
          </cell>
          <cell r="H2492">
            <v>0</v>
          </cell>
          <cell r="I2492">
            <v>0</v>
          </cell>
          <cell r="K2492">
            <v>1172110.0800000026</v>
          </cell>
          <cell r="L2492">
            <v>1172110.0800000026</v>
          </cell>
          <cell r="M2492" t="e">
            <v>#N/A</v>
          </cell>
        </row>
        <row r="2493">
          <cell r="C2493" t="e">
            <v>#N/A</v>
          </cell>
          <cell r="E2493" t="e">
            <v>#N/A</v>
          </cell>
          <cell r="F2493" t="e">
            <v>#N/A</v>
          </cell>
          <cell r="G2493" t="e">
            <v>#N/A</v>
          </cell>
          <cell r="H2493">
            <v>0</v>
          </cell>
          <cell r="I2493">
            <v>0</v>
          </cell>
          <cell r="K2493">
            <v>1172110.0800000026</v>
          </cell>
          <cell r="L2493">
            <v>1172110.0800000026</v>
          </cell>
          <cell r="M2493" t="e">
            <v>#N/A</v>
          </cell>
        </row>
        <row r="2494">
          <cell r="C2494" t="e">
            <v>#N/A</v>
          </cell>
          <cell r="E2494" t="e">
            <v>#N/A</v>
          </cell>
          <cell r="F2494" t="e">
            <v>#N/A</v>
          </cell>
          <cell r="G2494" t="e">
            <v>#N/A</v>
          </cell>
          <cell r="H2494">
            <v>0</v>
          </cell>
          <cell r="I2494">
            <v>0</v>
          </cell>
          <cell r="K2494">
            <v>1172110.0800000026</v>
          </cell>
          <cell r="L2494">
            <v>1172110.0800000026</v>
          </cell>
          <cell r="M2494" t="e">
            <v>#N/A</v>
          </cell>
        </row>
        <row r="2495">
          <cell r="C2495" t="e">
            <v>#N/A</v>
          </cell>
          <cell r="E2495" t="e">
            <v>#N/A</v>
          </cell>
          <cell r="F2495" t="e">
            <v>#N/A</v>
          </cell>
          <cell r="G2495" t="e">
            <v>#N/A</v>
          </cell>
          <cell r="H2495">
            <v>0</v>
          </cell>
          <cell r="I2495">
            <v>0</v>
          </cell>
          <cell r="K2495">
            <v>1172110.0800000026</v>
          </cell>
          <cell r="L2495">
            <v>1172110.0800000026</v>
          </cell>
          <cell r="M2495" t="e">
            <v>#N/A</v>
          </cell>
        </row>
        <row r="2496">
          <cell r="C2496" t="e">
            <v>#N/A</v>
          </cell>
          <cell r="E2496" t="e">
            <v>#N/A</v>
          </cell>
          <cell r="F2496" t="e">
            <v>#N/A</v>
          </cell>
          <cell r="G2496" t="e">
            <v>#N/A</v>
          </cell>
          <cell r="H2496">
            <v>0</v>
          </cell>
          <cell r="I2496">
            <v>0</v>
          </cell>
          <cell r="K2496">
            <v>1172110.0800000026</v>
          </cell>
          <cell r="L2496">
            <v>1172110.0800000026</v>
          </cell>
          <cell r="M2496" t="e">
            <v>#N/A</v>
          </cell>
        </row>
        <row r="2497">
          <cell r="C2497" t="e">
            <v>#N/A</v>
          </cell>
          <cell r="E2497" t="e">
            <v>#N/A</v>
          </cell>
          <cell r="F2497" t="e">
            <v>#N/A</v>
          </cell>
          <cell r="G2497" t="e">
            <v>#N/A</v>
          </cell>
          <cell r="H2497">
            <v>0</v>
          </cell>
          <cell r="I2497">
            <v>0</v>
          </cell>
          <cell r="K2497">
            <v>1172110.0800000026</v>
          </cell>
          <cell r="L2497">
            <v>1172110.0800000026</v>
          </cell>
          <cell r="M2497" t="e">
            <v>#N/A</v>
          </cell>
        </row>
        <row r="2498">
          <cell r="C2498" t="e">
            <v>#N/A</v>
          </cell>
          <cell r="E2498" t="e">
            <v>#N/A</v>
          </cell>
          <cell r="F2498" t="e">
            <v>#N/A</v>
          </cell>
          <cell r="G2498" t="e">
            <v>#N/A</v>
          </cell>
          <cell r="H2498">
            <v>0</v>
          </cell>
          <cell r="I2498">
            <v>0</v>
          </cell>
          <cell r="K2498">
            <v>1172110.0800000026</v>
          </cell>
          <cell r="L2498">
            <v>1172110.0800000026</v>
          </cell>
          <cell r="M2498" t="e">
            <v>#N/A</v>
          </cell>
        </row>
        <row r="2499">
          <cell r="C2499" t="e">
            <v>#N/A</v>
          </cell>
          <cell r="E2499" t="e">
            <v>#N/A</v>
          </cell>
          <cell r="F2499" t="e">
            <v>#N/A</v>
          </cell>
          <cell r="G2499" t="e">
            <v>#N/A</v>
          </cell>
          <cell r="H2499">
            <v>0</v>
          </cell>
          <cell r="I2499">
            <v>0</v>
          </cell>
          <cell r="K2499">
            <v>1172110.0800000026</v>
          </cell>
          <cell r="L2499">
            <v>1172110.0800000026</v>
          </cell>
          <cell r="M2499" t="e">
            <v>#N/A</v>
          </cell>
        </row>
        <row r="2500">
          <cell r="C2500" t="e">
            <v>#N/A</v>
          </cell>
          <cell r="E2500" t="e">
            <v>#N/A</v>
          </cell>
          <cell r="F2500" t="e">
            <v>#N/A</v>
          </cell>
          <cell r="G2500" t="e">
            <v>#N/A</v>
          </cell>
          <cell r="H2500">
            <v>0</v>
          </cell>
          <cell r="I2500">
            <v>0</v>
          </cell>
          <cell r="K2500">
            <v>1172110.0800000026</v>
          </cell>
          <cell r="L2500">
            <v>1172110.0800000026</v>
          </cell>
          <cell r="M2500" t="e">
            <v>#N/A</v>
          </cell>
        </row>
        <row r="2501">
          <cell r="C2501" t="e">
            <v>#N/A</v>
          </cell>
          <cell r="E2501" t="e">
            <v>#N/A</v>
          </cell>
          <cell r="F2501" t="e">
            <v>#N/A</v>
          </cell>
          <cell r="G2501" t="e">
            <v>#N/A</v>
          </cell>
          <cell r="H2501">
            <v>0</v>
          </cell>
          <cell r="I2501">
            <v>0</v>
          </cell>
          <cell r="K2501">
            <v>1172110.0800000026</v>
          </cell>
          <cell r="L2501">
            <v>1172110.0800000026</v>
          </cell>
          <cell r="M2501" t="e">
            <v>#N/A</v>
          </cell>
        </row>
        <row r="2502">
          <cell r="C2502" t="e">
            <v>#N/A</v>
          </cell>
          <cell r="E2502" t="e">
            <v>#N/A</v>
          </cell>
          <cell r="F2502" t="e">
            <v>#N/A</v>
          </cell>
          <cell r="G2502" t="e">
            <v>#N/A</v>
          </cell>
          <cell r="H2502">
            <v>0</v>
          </cell>
          <cell r="I2502">
            <v>0</v>
          </cell>
          <cell r="K2502">
            <v>1172110.0800000026</v>
          </cell>
          <cell r="L2502">
            <v>1172110.0800000026</v>
          </cell>
          <cell r="M2502" t="e">
            <v>#N/A</v>
          </cell>
        </row>
        <row r="2503">
          <cell r="C2503" t="e">
            <v>#N/A</v>
          </cell>
          <cell r="E2503" t="e">
            <v>#N/A</v>
          </cell>
          <cell r="F2503" t="e">
            <v>#N/A</v>
          </cell>
          <cell r="G2503" t="e">
            <v>#N/A</v>
          </cell>
          <cell r="H2503">
            <v>0</v>
          </cell>
          <cell r="I2503">
            <v>0</v>
          </cell>
          <cell r="K2503">
            <v>1172110.0800000026</v>
          </cell>
          <cell r="L2503">
            <v>1172110.0800000026</v>
          </cell>
          <cell r="M2503" t="e">
            <v>#N/A</v>
          </cell>
        </row>
        <row r="2504">
          <cell r="C2504" t="e">
            <v>#N/A</v>
          </cell>
          <cell r="E2504" t="e">
            <v>#N/A</v>
          </cell>
          <cell r="F2504" t="e">
            <v>#N/A</v>
          </cell>
          <cell r="G2504" t="e">
            <v>#N/A</v>
          </cell>
          <cell r="H2504">
            <v>0</v>
          </cell>
          <cell r="I2504">
            <v>0</v>
          </cell>
          <cell r="K2504">
            <v>1172110.0800000026</v>
          </cell>
          <cell r="L2504">
            <v>1172110.0800000026</v>
          </cell>
          <cell r="M2504" t="e">
            <v>#N/A</v>
          </cell>
        </row>
        <row r="2505">
          <cell r="C2505" t="e">
            <v>#N/A</v>
          </cell>
          <cell r="E2505" t="e">
            <v>#N/A</v>
          </cell>
          <cell r="F2505" t="e">
            <v>#N/A</v>
          </cell>
          <cell r="G2505" t="e">
            <v>#N/A</v>
          </cell>
          <cell r="H2505">
            <v>0</v>
          </cell>
          <cell r="I2505">
            <v>0</v>
          </cell>
          <cell r="K2505">
            <v>1172110.0800000026</v>
          </cell>
          <cell r="L2505">
            <v>1172110.0800000026</v>
          </cell>
          <cell r="M2505" t="e">
            <v>#N/A</v>
          </cell>
        </row>
        <row r="2506">
          <cell r="C2506" t="e">
            <v>#N/A</v>
          </cell>
          <cell r="E2506" t="e">
            <v>#N/A</v>
          </cell>
          <cell r="F2506" t="e">
            <v>#N/A</v>
          </cell>
          <cell r="G2506" t="e">
            <v>#N/A</v>
          </cell>
          <cell r="H2506">
            <v>0</v>
          </cell>
          <cell r="I2506">
            <v>0</v>
          </cell>
          <cell r="K2506">
            <v>1172110.0800000026</v>
          </cell>
          <cell r="L2506">
            <v>1172110.0800000026</v>
          </cell>
          <cell r="M2506" t="e">
            <v>#N/A</v>
          </cell>
        </row>
        <row r="2507">
          <cell r="C2507" t="e">
            <v>#N/A</v>
          </cell>
          <cell r="E2507" t="e">
            <v>#N/A</v>
          </cell>
          <cell r="F2507" t="e">
            <v>#N/A</v>
          </cell>
          <cell r="G2507" t="e">
            <v>#N/A</v>
          </cell>
          <cell r="H2507">
            <v>0</v>
          </cell>
          <cell r="I2507">
            <v>0</v>
          </cell>
          <cell r="K2507">
            <v>1172110.0800000026</v>
          </cell>
          <cell r="L2507">
            <v>1172110.0800000026</v>
          </cell>
          <cell r="M2507" t="e">
            <v>#N/A</v>
          </cell>
        </row>
        <row r="2508">
          <cell r="C2508" t="e">
            <v>#N/A</v>
          </cell>
          <cell r="E2508" t="e">
            <v>#N/A</v>
          </cell>
          <cell r="F2508" t="e">
            <v>#N/A</v>
          </cell>
          <cell r="G2508" t="e">
            <v>#N/A</v>
          </cell>
          <cell r="H2508">
            <v>0</v>
          </cell>
          <cell r="I2508">
            <v>0</v>
          </cell>
          <cell r="K2508">
            <v>1172110.0800000026</v>
          </cell>
          <cell r="L2508">
            <v>1172110.0800000026</v>
          </cell>
          <cell r="M2508" t="e">
            <v>#N/A</v>
          </cell>
        </row>
        <row r="2509">
          <cell r="C2509" t="e">
            <v>#N/A</v>
          </cell>
          <cell r="E2509" t="e">
            <v>#N/A</v>
          </cell>
          <cell r="F2509" t="e">
            <v>#N/A</v>
          </cell>
          <cell r="G2509" t="e">
            <v>#N/A</v>
          </cell>
          <cell r="H2509">
            <v>0</v>
          </cell>
          <cell r="I2509">
            <v>0</v>
          </cell>
          <cell r="K2509">
            <v>1172110.0800000026</v>
          </cell>
          <cell r="L2509">
            <v>1172110.0800000026</v>
          </cell>
          <cell r="M2509" t="e">
            <v>#N/A</v>
          </cell>
        </row>
        <row r="2510">
          <cell r="C2510" t="e">
            <v>#N/A</v>
          </cell>
          <cell r="E2510" t="e">
            <v>#N/A</v>
          </cell>
          <cell r="F2510" t="e">
            <v>#N/A</v>
          </cell>
          <cell r="G2510" t="e">
            <v>#N/A</v>
          </cell>
          <cell r="H2510">
            <v>0</v>
          </cell>
          <cell r="I2510">
            <v>0</v>
          </cell>
          <cell r="K2510">
            <v>1172110.0800000026</v>
          </cell>
          <cell r="L2510">
            <v>1172110.0800000026</v>
          </cell>
          <cell r="M2510" t="e">
            <v>#N/A</v>
          </cell>
        </row>
        <row r="2511">
          <cell r="C2511" t="e">
            <v>#N/A</v>
          </cell>
          <cell r="E2511" t="e">
            <v>#N/A</v>
          </cell>
          <cell r="F2511" t="e">
            <v>#N/A</v>
          </cell>
          <cell r="G2511" t="e">
            <v>#N/A</v>
          </cell>
          <cell r="H2511">
            <v>0</v>
          </cell>
          <cell r="I2511">
            <v>0</v>
          </cell>
          <cell r="K2511">
            <v>1172110.0800000026</v>
          </cell>
          <cell r="L2511">
            <v>1172110.0800000026</v>
          </cell>
          <cell r="M2511" t="e">
            <v>#N/A</v>
          </cell>
        </row>
        <row r="2512">
          <cell r="C2512" t="e">
            <v>#N/A</v>
          </cell>
          <cell r="E2512" t="e">
            <v>#N/A</v>
          </cell>
          <cell r="F2512" t="e">
            <v>#N/A</v>
          </cell>
          <cell r="G2512" t="e">
            <v>#N/A</v>
          </cell>
          <cell r="H2512">
            <v>0</v>
          </cell>
          <cell r="I2512">
            <v>0</v>
          </cell>
          <cell r="K2512">
            <v>1172110.0800000026</v>
          </cell>
          <cell r="L2512">
            <v>1172110.0800000026</v>
          </cell>
          <cell r="M2512" t="e">
            <v>#N/A</v>
          </cell>
        </row>
        <row r="2513">
          <cell r="C2513" t="e">
            <v>#N/A</v>
          </cell>
          <cell r="E2513" t="e">
            <v>#N/A</v>
          </cell>
          <cell r="F2513" t="e">
            <v>#N/A</v>
          </cell>
          <cell r="G2513" t="e">
            <v>#N/A</v>
          </cell>
          <cell r="H2513">
            <v>0</v>
          </cell>
          <cell r="I2513">
            <v>0</v>
          </cell>
          <cell r="K2513">
            <v>1172110.0800000026</v>
          </cell>
          <cell r="L2513">
            <v>1172110.0800000026</v>
          </cell>
          <cell r="M2513" t="e">
            <v>#N/A</v>
          </cell>
        </row>
        <row r="2514">
          <cell r="C2514" t="e">
            <v>#N/A</v>
          </cell>
          <cell r="E2514" t="e">
            <v>#N/A</v>
          </cell>
          <cell r="F2514" t="e">
            <v>#N/A</v>
          </cell>
          <cell r="G2514" t="e">
            <v>#N/A</v>
          </cell>
          <cell r="H2514">
            <v>0</v>
          </cell>
          <cell r="I2514">
            <v>0</v>
          </cell>
          <cell r="K2514">
            <v>1172110.0800000026</v>
          </cell>
          <cell r="L2514">
            <v>1172110.0800000026</v>
          </cell>
          <cell r="M2514" t="e">
            <v>#N/A</v>
          </cell>
        </row>
        <row r="2515">
          <cell r="C2515" t="e">
            <v>#N/A</v>
          </cell>
          <cell r="E2515" t="e">
            <v>#N/A</v>
          </cell>
          <cell r="F2515" t="e">
            <v>#N/A</v>
          </cell>
          <cell r="G2515" t="e">
            <v>#N/A</v>
          </cell>
          <cell r="H2515">
            <v>0</v>
          </cell>
          <cell r="I2515">
            <v>0</v>
          </cell>
          <cell r="K2515">
            <v>1172110.0800000026</v>
          </cell>
          <cell r="L2515">
            <v>1172110.0800000026</v>
          </cell>
          <cell r="M2515" t="e">
            <v>#N/A</v>
          </cell>
        </row>
        <row r="2516">
          <cell r="C2516" t="e">
            <v>#N/A</v>
          </cell>
          <cell r="E2516" t="e">
            <v>#N/A</v>
          </cell>
          <cell r="F2516" t="e">
            <v>#N/A</v>
          </cell>
          <cell r="G2516" t="e">
            <v>#N/A</v>
          </cell>
          <cell r="H2516">
            <v>0</v>
          </cell>
          <cell r="I2516">
            <v>0</v>
          </cell>
          <cell r="K2516">
            <v>1172110.0800000026</v>
          </cell>
          <cell r="L2516">
            <v>1172110.0800000026</v>
          </cell>
          <cell r="M2516" t="e">
            <v>#N/A</v>
          </cell>
        </row>
        <row r="2517">
          <cell r="C2517" t="e">
            <v>#N/A</v>
          </cell>
          <cell r="E2517" t="e">
            <v>#N/A</v>
          </cell>
          <cell r="F2517" t="e">
            <v>#N/A</v>
          </cell>
          <cell r="G2517" t="e">
            <v>#N/A</v>
          </cell>
          <cell r="H2517">
            <v>0</v>
          </cell>
          <cell r="I2517">
            <v>0</v>
          </cell>
          <cell r="K2517">
            <v>1172110.0800000026</v>
          </cell>
          <cell r="L2517">
            <v>1172110.0800000026</v>
          </cell>
          <cell r="M2517" t="e">
            <v>#N/A</v>
          </cell>
        </row>
        <row r="2518">
          <cell r="C2518" t="e">
            <v>#N/A</v>
          </cell>
          <cell r="E2518" t="e">
            <v>#N/A</v>
          </cell>
          <cell r="F2518" t="e">
            <v>#N/A</v>
          </cell>
          <cell r="G2518" t="e">
            <v>#N/A</v>
          </cell>
          <cell r="H2518">
            <v>0</v>
          </cell>
          <cell r="I2518">
            <v>0</v>
          </cell>
          <cell r="K2518">
            <v>1172110.0800000026</v>
          </cell>
          <cell r="L2518">
            <v>1172110.0800000026</v>
          </cell>
          <cell r="M2518" t="e">
            <v>#N/A</v>
          </cell>
        </row>
        <row r="2519">
          <cell r="C2519" t="e">
            <v>#N/A</v>
          </cell>
          <cell r="E2519" t="e">
            <v>#N/A</v>
          </cell>
          <cell r="F2519" t="e">
            <v>#N/A</v>
          </cell>
          <cell r="G2519" t="e">
            <v>#N/A</v>
          </cell>
          <cell r="H2519">
            <v>0</v>
          </cell>
          <cell r="I2519">
            <v>0</v>
          </cell>
          <cell r="K2519">
            <v>1172110.0800000026</v>
          </cell>
          <cell r="L2519">
            <v>1172110.0800000026</v>
          </cell>
          <cell r="M2519" t="e">
            <v>#N/A</v>
          </cell>
        </row>
        <row r="2520">
          <cell r="C2520" t="e">
            <v>#N/A</v>
          </cell>
          <cell r="E2520" t="e">
            <v>#N/A</v>
          </cell>
          <cell r="F2520" t="e">
            <v>#N/A</v>
          </cell>
          <cell r="G2520" t="e">
            <v>#N/A</v>
          </cell>
          <cell r="H2520">
            <v>0</v>
          </cell>
          <cell r="I2520">
            <v>0</v>
          </cell>
          <cell r="K2520">
            <v>1172110.0800000026</v>
          </cell>
          <cell r="L2520">
            <v>1172110.0800000026</v>
          </cell>
          <cell r="M2520" t="e">
            <v>#N/A</v>
          </cell>
        </row>
        <row r="2521">
          <cell r="C2521" t="e">
            <v>#N/A</v>
          </cell>
          <cell r="E2521" t="e">
            <v>#N/A</v>
          </cell>
          <cell r="F2521" t="e">
            <v>#N/A</v>
          </cell>
          <cell r="G2521" t="e">
            <v>#N/A</v>
          </cell>
          <cell r="H2521">
            <v>0</v>
          </cell>
          <cell r="I2521">
            <v>0</v>
          </cell>
          <cell r="K2521">
            <v>1172110.0800000026</v>
          </cell>
          <cell r="L2521">
            <v>1172110.0800000026</v>
          </cell>
          <cell r="M2521" t="e">
            <v>#N/A</v>
          </cell>
        </row>
        <row r="2522">
          <cell r="C2522" t="e">
            <v>#N/A</v>
          </cell>
          <cell r="E2522" t="e">
            <v>#N/A</v>
          </cell>
          <cell r="F2522" t="e">
            <v>#N/A</v>
          </cell>
          <cell r="G2522" t="e">
            <v>#N/A</v>
          </cell>
          <cell r="H2522">
            <v>0</v>
          </cell>
          <cell r="I2522">
            <v>0</v>
          </cell>
          <cell r="K2522">
            <v>1172110.0800000026</v>
          </cell>
          <cell r="L2522">
            <v>1172110.0800000026</v>
          </cell>
          <cell r="M2522" t="e">
            <v>#N/A</v>
          </cell>
        </row>
        <row r="2523">
          <cell r="C2523" t="e">
            <v>#N/A</v>
          </cell>
          <cell r="E2523" t="e">
            <v>#N/A</v>
          </cell>
          <cell r="F2523" t="e">
            <v>#N/A</v>
          </cell>
          <cell r="G2523" t="e">
            <v>#N/A</v>
          </cell>
          <cell r="H2523">
            <v>0</v>
          </cell>
          <cell r="I2523">
            <v>0</v>
          </cell>
          <cell r="K2523">
            <v>1172110.0800000026</v>
          </cell>
          <cell r="L2523">
            <v>1172110.0800000026</v>
          </cell>
          <cell r="M2523" t="e">
            <v>#N/A</v>
          </cell>
        </row>
        <row r="2524">
          <cell r="C2524" t="e">
            <v>#N/A</v>
          </cell>
          <cell r="E2524" t="e">
            <v>#N/A</v>
          </cell>
          <cell r="F2524" t="e">
            <v>#N/A</v>
          </cell>
          <cell r="G2524" t="e">
            <v>#N/A</v>
          </cell>
          <cell r="H2524">
            <v>0</v>
          </cell>
          <cell r="I2524">
            <v>0</v>
          </cell>
          <cell r="K2524">
            <v>1172110.0800000026</v>
          </cell>
          <cell r="L2524">
            <v>1172110.0800000026</v>
          </cell>
          <cell r="M2524" t="e">
            <v>#N/A</v>
          </cell>
        </row>
        <row r="2525">
          <cell r="C2525" t="e">
            <v>#N/A</v>
          </cell>
          <cell r="E2525" t="e">
            <v>#N/A</v>
          </cell>
          <cell r="F2525" t="e">
            <v>#N/A</v>
          </cell>
          <cell r="G2525" t="e">
            <v>#N/A</v>
          </cell>
          <cell r="H2525">
            <v>0</v>
          </cell>
          <cell r="I2525">
            <v>0</v>
          </cell>
          <cell r="K2525">
            <v>1172110.0800000026</v>
          </cell>
          <cell r="L2525">
            <v>1172110.0800000026</v>
          </cell>
          <cell r="M2525" t="e">
            <v>#N/A</v>
          </cell>
        </row>
        <row r="2526">
          <cell r="C2526" t="e">
            <v>#N/A</v>
          </cell>
          <cell r="E2526" t="e">
            <v>#N/A</v>
          </cell>
          <cell r="F2526" t="e">
            <v>#N/A</v>
          </cell>
          <cell r="G2526" t="e">
            <v>#N/A</v>
          </cell>
          <cell r="H2526">
            <v>0</v>
          </cell>
          <cell r="I2526">
            <v>0</v>
          </cell>
          <cell r="K2526">
            <v>1172110.0800000026</v>
          </cell>
          <cell r="L2526">
            <v>1172110.0800000026</v>
          </cell>
          <cell r="M2526" t="e">
            <v>#N/A</v>
          </cell>
        </row>
        <row r="2527">
          <cell r="C2527" t="e">
            <v>#N/A</v>
          </cell>
          <cell r="E2527" t="e">
            <v>#N/A</v>
          </cell>
          <cell r="F2527" t="e">
            <v>#N/A</v>
          </cell>
          <cell r="G2527" t="e">
            <v>#N/A</v>
          </cell>
          <cell r="H2527">
            <v>0</v>
          </cell>
          <cell r="I2527">
            <v>0</v>
          </cell>
          <cell r="K2527">
            <v>1172110.0800000026</v>
          </cell>
          <cell r="L2527">
            <v>1172110.0800000026</v>
          </cell>
          <cell r="M2527" t="e">
            <v>#N/A</v>
          </cell>
        </row>
        <row r="2528">
          <cell r="C2528" t="e">
            <v>#N/A</v>
          </cell>
          <cell r="E2528" t="e">
            <v>#N/A</v>
          </cell>
          <cell r="F2528" t="e">
            <v>#N/A</v>
          </cell>
          <cell r="G2528" t="e">
            <v>#N/A</v>
          </cell>
          <cell r="H2528">
            <v>0</v>
          </cell>
          <cell r="I2528">
            <v>0</v>
          </cell>
          <cell r="K2528">
            <v>1172110.0800000026</v>
          </cell>
          <cell r="L2528">
            <v>1172110.0800000026</v>
          </cell>
          <cell r="M2528" t="e">
            <v>#N/A</v>
          </cell>
        </row>
        <row r="2529">
          <cell r="C2529" t="e">
            <v>#N/A</v>
          </cell>
          <cell r="E2529" t="e">
            <v>#N/A</v>
          </cell>
          <cell r="F2529" t="e">
            <v>#N/A</v>
          </cell>
          <cell r="G2529" t="e">
            <v>#N/A</v>
          </cell>
          <cell r="H2529">
            <v>0</v>
          </cell>
          <cell r="I2529">
            <v>0</v>
          </cell>
          <cell r="K2529">
            <v>1172110.0800000026</v>
          </cell>
          <cell r="L2529">
            <v>1172110.0800000026</v>
          </cell>
          <cell r="M2529" t="e">
            <v>#N/A</v>
          </cell>
        </row>
        <row r="2530">
          <cell r="C2530" t="e">
            <v>#N/A</v>
          </cell>
          <cell r="E2530" t="e">
            <v>#N/A</v>
          </cell>
          <cell r="F2530" t="e">
            <v>#N/A</v>
          </cell>
          <cell r="G2530" t="e">
            <v>#N/A</v>
          </cell>
          <cell r="H2530">
            <v>0</v>
          </cell>
          <cell r="I2530">
            <v>0</v>
          </cell>
          <cell r="K2530">
            <v>1172110.0800000026</v>
          </cell>
          <cell r="L2530">
            <v>1172110.0800000026</v>
          </cell>
          <cell r="M2530" t="e">
            <v>#N/A</v>
          </cell>
        </row>
        <row r="2531">
          <cell r="C2531" t="e">
            <v>#N/A</v>
          </cell>
          <cell r="E2531" t="e">
            <v>#N/A</v>
          </cell>
          <cell r="F2531" t="e">
            <v>#N/A</v>
          </cell>
          <cell r="G2531" t="e">
            <v>#N/A</v>
          </cell>
          <cell r="H2531">
            <v>0</v>
          </cell>
          <cell r="I2531">
            <v>0</v>
          </cell>
          <cell r="K2531">
            <v>1172110.0800000026</v>
          </cell>
          <cell r="L2531">
            <v>1172110.0800000026</v>
          </cell>
          <cell r="M2531" t="e">
            <v>#N/A</v>
          </cell>
        </row>
        <row r="2532">
          <cell r="C2532" t="e">
            <v>#N/A</v>
          </cell>
          <cell r="E2532" t="e">
            <v>#N/A</v>
          </cell>
          <cell r="F2532" t="e">
            <v>#N/A</v>
          </cell>
          <cell r="G2532" t="e">
            <v>#N/A</v>
          </cell>
          <cell r="H2532">
            <v>0</v>
          </cell>
          <cell r="I2532">
            <v>0</v>
          </cell>
          <cell r="K2532">
            <v>1172110.0800000026</v>
          </cell>
          <cell r="L2532">
            <v>1172110.0800000026</v>
          </cell>
          <cell r="M2532" t="e">
            <v>#N/A</v>
          </cell>
        </row>
        <row r="2533">
          <cell r="C2533" t="e">
            <v>#N/A</v>
          </cell>
          <cell r="E2533" t="e">
            <v>#N/A</v>
          </cell>
          <cell r="F2533" t="e">
            <v>#N/A</v>
          </cell>
          <cell r="G2533" t="e">
            <v>#N/A</v>
          </cell>
          <cell r="H2533">
            <v>0</v>
          </cell>
          <cell r="I2533">
            <v>0</v>
          </cell>
          <cell r="K2533">
            <v>1172110.0800000026</v>
          </cell>
          <cell r="L2533">
            <v>1172110.0800000026</v>
          </cell>
          <cell r="M2533" t="e">
            <v>#N/A</v>
          </cell>
        </row>
        <row r="2534">
          <cell r="C2534" t="e">
            <v>#N/A</v>
          </cell>
          <cell r="E2534" t="e">
            <v>#N/A</v>
          </cell>
          <cell r="F2534" t="e">
            <v>#N/A</v>
          </cell>
          <cell r="G2534" t="e">
            <v>#N/A</v>
          </cell>
          <cell r="H2534">
            <v>0</v>
          </cell>
          <cell r="I2534">
            <v>0</v>
          </cell>
          <cell r="K2534">
            <v>1172110.0800000026</v>
          </cell>
          <cell r="L2534">
            <v>1172110.0800000026</v>
          </cell>
          <cell r="M2534" t="e">
            <v>#N/A</v>
          </cell>
        </row>
        <row r="2535">
          <cell r="C2535" t="e">
            <v>#N/A</v>
          </cell>
          <cell r="E2535" t="e">
            <v>#N/A</v>
          </cell>
          <cell r="F2535" t="e">
            <v>#N/A</v>
          </cell>
          <cell r="G2535" t="e">
            <v>#N/A</v>
          </cell>
          <cell r="H2535">
            <v>0</v>
          </cell>
          <cell r="I2535">
            <v>0</v>
          </cell>
          <cell r="K2535">
            <v>1172110.0800000026</v>
          </cell>
          <cell r="L2535">
            <v>1172110.0800000026</v>
          </cell>
          <cell r="M2535" t="e">
            <v>#N/A</v>
          </cell>
        </row>
        <row r="2536">
          <cell r="C2536" t="e">
            <v>#N/A</v>
          </cell>
          <cell r="E2536" t="e">
            <v>#N/A</v>
          </cell>
          <cell r="F2536" t="e">
            <v>#N/A</v>
          </cell>
          <cell r="G2536" t="e">
            <v>#N/A</v>
          </cell>
          <cell r="H2536">
            <v>0</v>
          </cell>
          <cell r="I2536">
            <v>0</v>
          </cell>
          <cell r="K2536">
            <v>1172110.0800000026</v>
          </cell>
          <cell r="L2536">
            <v>1172110.0800000026</v>
          </cell>
          <cell r="M2536" t="e">
            <v>#N/A</v>
          </cell>
        </row>
        <row r="2537">
          <cell r="C2537" t="e">
            <v>#N/A</v>
          </cell>
          <cell r="E2537" t="e">
            <v>#N/A</v>
          </cell>
          <cell r="F2537" t="e">
            <v>#N/A</v>
          </cell>
          <cell r="G2537" t="e">
            <v>#N/A</v>
          </cell>
          <cell r="H2537">
            <v>0</v>
          </cell>
          <cell r="I2537">
            <v>0</v>
          </cell>
          <cell r="K2537">
            <v>1172110.0800000026</v>
          </cell>
          <cell r="L2537">
            <v>1172110.0800000026</v>
          </cell>
          <cell r="M2537" t="e">
            <v>#N/A</v>
          </cell>
        </row>
        <row r="2538">
          <cell r="C2538" t="e">
            <v>#N/A</v>
          </cell>
          <cell r="E2538" t="e">
            <v>#N/A</v>
          </cell>
          <cell r="F2538" t="e">
            <v>#N/A</v>
          </cell>
          <cell r="G2538" t="e">
            <v>#N/A</v>
          </cell>
          <cell r="H2538">
            <v>0</v>
          </cell>
          <cell r="I2538">
            <v>0</v>
          </cell>
          <cell r="K2538">
            <v>1172110.0800000026</v>
          </cell>
          <cell r="L2538">
            <v>1172110.0800000026</v>
          </cell>
          <cell r="M2538" t="e">
            <v>#N/A</v>
          </cell>
        </row>
        <row r="2539">
          <cell r="C2539" t="e">
            <v>#N/A</v>
          </cell>
          <cell r="E2539" t="e">
            <v>#N/A</v>
          </cell>
          <cell r="F2539" t="e">
            <v>#N/A</v>
          </cell>
          <cell r="G2539" t="e">
            <v>#N/A</v>
          </cell>
          <cell r="H2539">
            <v>0</v>
          </cell>
          <cell r="I2539">
            <v>0</v>
          </cell>
          <cell r="K2539">
            <v>1172110.0800000026</v>
          </cell>
          <cell r="L2539">
            <v>1172110.0800000026</v>
          </cell>
          <cell r="M2539" t="e">
            <v>#N/A</v>
          </cell>
        </row>
        <row r="2540">
          <cell r="C2540" t="e">
            <v>#N/A</v>
          </cell>
          <cell r="E2540" t="e">
            <v>#N/A</v>
          </cell>
          <cell r="F2540" t="e">
            <v>#N/A</v>
          </cell>
          <cell r="G2540" t="e">
            <v>#N/A</v>
          </cell>
          <cell r="H2540">
            <v>0</v>
          </cell>
          <cell r="I2540">
            <v>0</v>
          </cell>
          <cell r="K2540">
            <v>1172110.0800000026</v>
          </cell>
          <cell r="L2540">
            <v>1172110.0800000026</v>
          </cell>
          <cell r="M2540" t="e">
            <v>#N/A</v>
          </cell>
        </row>
        <row r="2541">
          <cell r="C2541" t="e">
            <v>#N/A</v>
          </cell>
          <cell r="E2541" t="e">
            <v>#N/A</v>
          </cell>
          <cell r="F2541" t="e">
            <v>#N/A</v>
          </cell>
          <cell r="G2541" t="e">
            <v>#N/A</v>
          </cell>
          <cell r="H2541">
            <v>0</v>
          </cell>
          <cell r="I2541">
            <v>0</v>
          </cell>
          <cell r="K2541">
            <v>1172110.0800000026</v>
          </cell>
          <cell r="L2541">
            <v>1172110.0800000026</v>
          </cell>
          <cell r="M2541" t="e">
            <v>#N/A</v>
          </cell>
        </row>
        <row r="2542">
          <cell r="C2542" t="e">
            <v>#N/A</v>
          </cell>
          <cell r="E2542" t="e">
            <v>#N/A</v>
          </cell>
          <cell r="F2542" t="e">
            <v>#N/A</v>
          </cell>
          <cell r="G2542" t="e">
            <v>#N/A</v>
          </cell>
          <cell r="H2542">
            <v>0</v>
          </cell>
          <cell r="I2542">
            <v>0</v>
          </cell>
          <cell r="K2542">
            <v>1172110.0800000026</v>
          </cell>
          <cell r="L2542">
            <v>1172110.0800000026</v>
          </cell>
          <cell r="M2542" t="e">
            <v>#N/A</v>
          </cell>
        </row>
        <row r="2543">
          <cell r="C2543" t="e">
            <v>#N/A</v>
          </cell>
          <cell r="E2543" t="e">
            <v>#N/A</v>
          </cell>
          <cell r="F2543" t="e">
            <v>#N/A</v>
          </cell>
          <cell r="G2543" t="e">
            <v>#N/A</v>
          </cell>
          <cell r="H2543">
            <v>0</v>
          </cell>
          <cell r="I2543">
            <v>0</v>
          </cell>
          <cell r="K2543">
            <v>1172110.0800000026</v>
          </cell>
          <cell r="L2543">
            <v>1172110.0800000026</v>
          </cell>
          <cell r="M2543" t="e">
            <v>#N/A</v>
          </cell>
        </row>
        <row r="2544">
          <cell r="C2544" t="e">
            <v>#N/A</v>
          </cell>
          <cell r="E2544" t="e">
            <v>#N/A</v>
          </cell>
          <cell r="F2544" t="e">
            <v>#N/A</v>
          </cell>
          <cell r="G2544" t="e">
            <v>#N/A</v>
          </cell>
          <cell r="H2544">
            <v>0</v>
          </cell>
          <cell r="I2544">
            <v>0</v>
          </cell>
          <cell r="K2544">
            <v>1172110.0800000026</v>
          </cell>
          <cell r="L2544">
            <v>1172110.0800000026</v>
          </cell>
          <cell r="M2544" t="e">
            <v>#N/A</v>
          </cell>
        </row>
        <row r="2545">
          <cell r="C2545" t="e">
            <v>#N/A</v>
          </cell>
          <cell r="E2545" t="e">
            <v>#N/A</v>
          </cell>
          <cell r="F2545" t="e">
            <v>#N/A</v>
          </cell>
          <cell r="G2545" t="e">
            <v>#N/A</v>
          </cell>
          <cell r="H2545">
            <v>0</v>
          </cell>
          <cell r="I2545">
            <v>0</v>
          </cell>
          <cell r="K2545">
            <v>1172110.0800000026</v>
          </cell>
          <cell r="L2545">
            <v>1172110.0800000026</v>
          </cell>
          <cell r="M2545" t="e">
            <v>#N/A</v>
          </cell>
        </row>
        <row r="2546">
          <cell r="C2546" t="e">
            <v>#N/A</v>
          </cell>
          <cell r="E2546" t="e">
            <v>#N/A</v>
          </cell>
          <cell r="F2546" t="e">
            <v>#N/A</v>
          </cell>
          <cell r="G2546" t="e">
            <v>#N/A</v>
          </cell>
          <cell r="H2546">
            <v>0</v>
          </cell>
          <cell r="I2546">
            <v>0</v>
          </cell>
          <cell r="K2546">
            <v>1172110.0800000026</v>
          </cell>
          <cell r="L2546">
            <v>1172110.0800000026</v>
          </cell>
          <cell r="M2546" t="e">
            <v>#N/A</v>
          </cell>
        </row>
        <row r="2547">
          <cell r="C2547" t="e">
            <v>#N/A</v>
          </cell>
          <cell r="E2547" t="e">
            <v>#N/A</v>
          </cell>
          <cell r="F2547" t="e">
            <v>#N/A</v>
          </cell>
          <cell r="G2547" t="e">
            <v>#N/A</v>
          </cell>
          <cell r="H2547">
            <v>0</v>
          </cell>
          <cell r="I2547">
            <v>0</v>
          </cell>
          <cell r="K2547">
            <v>1172110.0800000026</v>
          </cell>
          <cell r="L2547">
            <v>1172110.0800000026</v>
          </cell>
          <cell r="M2547" t="e">
            <v>#N/A</v>
          </cell>
        </row>
        <row r="2548">
          <cell r="C2548" t="e">
            <v>#N/A</v>
          </cell>
          <cell r="E2548" t="e">
            <v>#N/A</v>
          </cell>
          <cell r="F2548" t="e">
            <v>#N/A</v>
          </cell>
          <cell r="G2548" t="e">
            <v>#N/A</v>
          </cell>
          <cell r="H2548">
            <v>0</v>
          </cell>
          <cell r="I2548">
            <v>0</v>
          </cell>
          <cell r="K2548">
            <v>1172110.0800000026</v>
          </cell>
          <cell r="L2548">
            <v>1172110.0800000026</v>
          </cell>
          <cell r="M2548" t="e">
            <v>#N/A</v>
          </cell>
        </row>
        <row r="2549">
          <cell r="C2549" t="e">
            <v>#N/A</v>
          </cell>
          <cell r="E2549" t="e">
            <v>#N/A</v>
          </cell>
          <cell r="F2549" t="e">
            <v>#N/A</v>
          </cell>
          <cell r="G2549" t="e">
            <v>#N/A</v>
          </cell>
          <cell r="H2549">
            <v>0</v>
          </cell>
          <cell r="I2549">
            <v>0</v>
          </cell>
          <cell r="K2549">
            <v>1172110.0800000026</v>
          </cell>
          <cell r="L2549">
            <v>1172110.0800000026</v>
          </cell>
          <cell r="M2549" t="e">
            <v>#N/A</v>
          </cell>
        </row>
        <row r="2550">
          <cell r="C2550" t="e">
            <v>#N/A</v>
          </cell>
          <cell r="E2550" t="e">
            <v>#N/A</v>
          </cell>
          <cell r="F2550" t="e">
            <v>#N/A</v>
          </cell>
          <cell r="G2550" t="e">
            <v>#N/A</v>
          </cell>
          <cell r="H2550">
            <v>0</v>
          </cell>
          <cell r="I2550">
            <v>0</v>
          </cell>
          <cell r="K2550">
            <v>1172110.0800000026</v>
          </cell>
          <cell r="L2550">
            <v>1172110.0800000026</v>
          </cell>
          <cell r="M2550" t="e">
            <v>#N/A</v>
          </cell>
        </row>
        <row r="2551">
          <cell r="C2551" t="e">
            <v>#N/A</v>
          </cell>
          <cell r="E2551" t="e">
            <v>#N/A</v>
          </cell>
          <cell r="F2551" t="e">
            <v>#N/A</v>
          </cell>
          <cell r="G2551" t="e">
            <v>#N/A</v>
          </cell>
          <cell r="H2551">
            <v>0</v>
          </cell>
          <cell r="I2551">
            <v>0</v>
          </cell>
          <cell r="K2551">
            <v>1172110.0800000026</v>
          </cell>
          <cell r="L2551">
            <v>1172110.0800000026</v>
          </cell>
          <cell r="M2551" t="e">
            <v>#N/A</v>
          </cell>
        </row>
        <row r="2552">
          <cell r="C2552" t="e">
            <v>#N/A</v>
          </cell>
          <cell r="E2552" t="e">
            <v>#N/A</v>
          </cell>
          <cell r="F2552" t="e">
            <v>#N/A</v>
          </cell>
          <cell r="G2552" t="e">
            <v>#N/A</v>
          </cell>
          <cell r="H2552">
            <v>0</v>
          </cell>
          <cell r="I2552">
            <v>0</v>
          </cell>
          <cell r="K2552">
            <v>1172110.0800000026</v>
          </cell>
          <cell r="L2552">
            <v>1172110.0800000026</v>
          </cell>
          <cell r="M2552" t="e">
            <v>#N/A</v>
          </cell>
        </row>
        <row r="2553">
          <cell r="C2553" t="e">
            <v>#N/A</v>
          </cell>
          <cell r="E2553" t="e">
            <v>#N/A</v>
          </cell>
          <cell r="F2553" t="e">
            <v>#N/A</v>
          </cell>
          <cell r="G2553" t="e">
            <v>#N/A</v>
          </cell>
          <cell r="H2553">
            <v>0</v>
          </cell>
          <cell r="I2553">
            <v>0</v>
          </cell>
          <cell r="K2553">
            <v>1172110.0800000026</v>
          </cell>
          <cell r="L2553">
            <v>1172110.0800000026</v>
          </cell>
          <cell r="M2553" t="e">
            <v>#N/A</v>
          </cell>
        </row>
        <row r="2554">
          <cell r="C2554" t="e">
            <v>#N/A</v>
          </cell>
          <cell r="E2554" t="e">
            <v>#N/A</v>
          </cell>
          <cell r="F2554" t="e">
            <v>#N/A</v>
          </cell>
          <cell r="G2554" t="e">
            <v>#N/A</v>
          </cell>
          <cell r="H2554">
            <v>0</v>
          </cell>
          <cell r="I2554">
            <v>0</v>
          </cell>
          <cell r="K2554">
            <v>1172110.0800000026</v>
          </cell>
          <cell r="L2554">
            <v>1172110.0800000026</v>
          </cell>
          <cell r="M2554" t="e">
            <v>#N/A</v>
          </cell>
        </row>
        <row r="2555">
          <cell r="C2555" t="e">
            <v>#N/A</v>
          </cell>
          <cell r="E2555" t="e">
            <v>#N/A</v>
          </cell>
          <cell r="F2555" t="e">
            <v>#N/A</v>
          </cell>
          <cell r="G2555" t="e">
            <v>#N/A</v>
          </cell>
          <cell r="H2555">
            <v>0</v>
          </cell>
          <cell r="I2555">
            <v>0</v>
          </cell>
          <cell r="K2555">
            <v>1172110.0800000026</v>
          </cell>
          <cell r="L2555">
            <v>1172110.0800000026</v>
          </cell>
          <cell r="M2555" t="e">
            <v>#N/A</v>
          </cell>
        </row>
        <row r="2556">
          <cell r="C2556" t="e">
            <v>#N/A</v>
          </cell>
          <cell r="E2556" t="e">
            <v>#N/A</v>
          </cell>
          <cell r="F2556" t="e">
            <v>#N/A</v>
          </cell>
          <cell r="G2556" t="e">
            <v>#N/A</v>
          </cell>
          <cell r="H2556">
            <v>0</v>
          </cell>
          <cell r="I2556">
            <v>0</v>
          </cell>
          <cell r="K2556">
            <v>1172110.0800000026</v>
          </cell>
          <cell r="L2556">
            <v>1172110.0800000026</v>
          </cell>
          <cell r="M2556" t="e">
            <v>#N/A</v>
          </cell>
        </row>
        <row r="2557">
          <cell r="C2557" t="e">
            <v>#N/A</v>
          </cell>
          <cell r="E2557" t="e">
            <v>#N/A</v>
          </cell>
          <cell r="F2557" t="e">
            <v>#N/A</v>
          </cell>
          <cell r="G2557" t="e">
            <v>#N/A</v>
          </cell>
          <cell r="H2557">
            <v>0</v>
          </cell>
          <cell r="I2557">
            <v>0</v>
          </cell>
          <cell r="K2557">
            <v>1172110.0800000026</v>
          </cell>
          <cell r="L2557">
            <v>1172110.0800000026</v>
          </cell>
          <cell r="M2557" t="e">
            <v>#N/A</v>
          </cell>
        </row>
        <row r="2558">
          <cell r="C2558" t="e">
            <v>#N/A</v>
          </cell>
          <cell r="E2558" t="e">
            <v>#N/A</v>
          </cell>
          <cell r="F2558" t="e">
            <v>#N/A</v>
          </cell>
          <cell r="G2558" t="e">
            <v>#N/A</v>
          </cell>
          <cell r="H2558">
            <v>0</v>
          </cell>
          <cell r="I2558">
            <v>0</v>
          </cell>
          <cell r="K2558">
            <v>1172110.0800000026</v>
          </cell>
          <cell r="L2558">
            <v>1172110.0800000026</v>
          </cell>
          <cell r="M2558" t="e">
            <v>#N/A</v>
          </cell>
        </row>
        <row r="2559">
          <cell r="C2559" t="e">
            <v>#N/A</v>
          </cell>
          <cell r="E2559" t="e">
            <v>#N/A</v>
          </cell>
          <cell r="F2559" t="e">
            <v>#N/A</v>
          </cell>
          <cell r="G2559" t="e">
            <v>#N/A</v>
          </cell>
          <cell r="H2559">
            <v>0</v>
          </cell>
          <cell r="I2559">
            <v>0</v>
          </cell>
          <cell r="K2559">
            <v>1172110.0800000026</v>
          </cell>
          <cell r="L2559">
            <v>1172110.0800000026</v>
          </cell>
          <cell r="M2559" t="e">
            <v>#N/A</v>
          </cell>
        </row>
        <row r="2560">
          <cell r="C2560" t="e">
            <v>#N/A</v>
          </cell>
          <cell r="E2560" t="e">
            <v>#N/A</v>
          </cell>
          <cell r="F2560" t="e">
            <v>#N/A</v>
          </cell>
          <cell r="G2560" t="e">
            <v>#N/A</v>
          </cell>
          <cell r="H2560">
            <v>0</v>
          </cell>
          <cell r="I2560">
            <v>0</v>
          </cell>
          <cell r="K2560">
            <v>1172110.0800000026</v>
          </cell>
          <cell r="L2560">
            <v>1172110.0800000026</v>
          </cell>
          <cell r="M2560" t="e">
            <v>#N/A</v>
          </cell>
        </row>
        <row r="2561">
          <cell r="C2561" t="e">
            <v>#N/A</v>
          </cell>
          <cell r="E2561" t="e">
            <v>#N/A</v>
          </cell>
          <cell r="F2561" t="e">
            <v>#N/A</v>
          </cell>
          <cell r="G2561" t="e">
            <v>#N/A</v>
          </cell>
          <cell r="H2561">
            <v>0</v>
          </cell>
          <cell r="I2561">
            <v>0</v>
          </cell>
          <cell r="K2561">
            <v>1172110.0800000026</v>
          </cell>
          <cell r="L2561">
            <v>1172110.0800000026</v>
          </cell>
          <cell r="M2561" t="e">
            <v>#N/A</v>
          </cell>
        </row>
        <row r="2562">
          <cell r="C2562" t="e">
            <v>#N/A</v>
          </cell>
          <cell r="E2562" t="e">
            <v>#N/A</v>
          </cell>
          <cell r="F2562" t="e">
            <v>#N/A</v>
          </cell>
          <cell r="G2562" t="e">
            <v>#N/A</v>
          </cell>
          <cell r="H2562">
            <v>0</v>
          </cell>
          <cell r="I2562">
            <v>0</v>
          </cell>
          <cell r="K2562">
            <v>1172110.0800000026</v>
          </cell>
          <cell r="L2562">
            <v>1172110.0800000026</v>
          </cell>
          <cell r="M2562" t="e">
            <v>#N/A</v>
          </cell>
        </row>
        <row r="2563">
          <cell r="C2563" t="e">
            <v>#N/A</v>
          </cell>
          <cell r="E2563" t="e">
            <v>#N/A</v>
          </cell>
          <cell r="F2563" t="e">
            <v>#N/A</v>
          </cell>
          <cell r="G2563" t="e">
            <v>#N/A</v>
          </cell>
          <cell r="H2563">
            <v>0</v>
          </cell>
          <cell r="I2563">
            <v>0</v>
          </cell>
          <cell r="K2563">
            <v>1172110.0800000026</v>
          </cell>
          <cell r="L2563">
            <v>1172110.0800000026</v>
          </cell>
          <cell r="M2563" t="e">
            <v>#N/A</v>
          </cell>
        </row>
        <row r="2564">
          <cell r="C2564" t="e">
            <v>#N/A</v>
          </cell>
          <cell r="E2564" t="e">
            <v>#N/A</v>
          </cell>
          <cell r="F2564" t="e">
            <v>#N/A</v>
          </cell>
          <cell r="G2564" t="e">
            <v>#N/A</v>
          </cell>
          <cell r="H2564">
            <v>0</v>
          </cell>
          <cell r="I2564">
            <v>0</v>
          </cell>
          <cell r="K2564">
            <v>1172110.0800000026</v>
          </cell>
          <cell r="L2564">
            <v>1172110.0800000026</v>
          </cell>
          <cell r="M2564" t="e">
            <v>#N/A</v>
          </cell>
        </row>
        <row r="2565">
          <cell r="C2565" t="e">
            <v>#N/A</v>
          </cell>
          <cell r="E2565" t="e">
            <v>#N/A</v>
          </cell>
          <cell r="F2565" t="e">
            <v>#N/A</v>
          </cell>
          <cell r="G2565" t="e">
            <v>#N/A</v>
          </cell>
          <cell r="H2565">
            <v>0</v>
          </cell>
          <cell r="I2565">
            <v>0</v>
          </cell>
          <cell r="K2565">
            <v>1172110.0800000026</v>
          </cell>
          <cell r="L2565">
            <v>1172110.0800000026</v>
          </cell>
          <cell r="M2565" t="e">
            <v>#N/A</v>
          </cell>
        </row>
        <row r="2566">
          <cell r="C2566" t="e">
            <v>#N/A</v>
          </cell>
          <cell r="E2566" t="e">
            <v>#N/A</v>
          </cell>
          <cell r="F2566" t="e">
            <v>#N/A</v>
          </cell>
          <cell r="G2566" t="e">
            <v>#N/A</v>
          </cell>
          <cell r="H2566">
            <v>0</v>
          </cell>
          <cell r="I2566">
            <v>0</v>
          </cell>
          <cell r="K2566">
            <v>1172110.0800000026</v>
          </cell>
          <cell r="L2566">
            <v>1172110.0800000026</v>
          </cell>
          <cell r="M2566" t="e">
            <v>#N/A</v>
          </cell>
        </row>
        <row r="2567">
          <cell r="C2567" t="e">
            <v>#N/A</v>
          </cell>
          <cell r="E2567" t="e">
            <v>#N/A</v>
          </cell>
          <cell r="F2567" t="e">
            <v>#N/A</v>
          </cell>
          <cell r="G2567" t="e">
            <v>#N/A</v>
          </cell>
          <cell r="H2567">
            <v>0</v>
          </cell>
          <cell r="I2567">
            <v>0</v>
          </cell>
          <cell r="K2567">
            <v>1172110.0800000026</v>
          </cell>
          <cell r="L2567">
            <v>1172110.0800000026</v>
          </cell>
          <cell r="M2567" t="e">
            <v>#N/A</v>
          </cell>
        </row>
        <row r="2568">
          <cell r="C2568" t="e">
            <v>#N/A</v>
          </cell>
          <cell r="E2568" t="e">
            <v>#N/A</v>
          </cell>
          <cell r="F2568" t="e">
            <v>#N/A</v>
          </cell>
          <cell r="G2568" t="e">
            <v>#N/A</v>
          </cell>
          <cell r="H2568">
            <v>0</v>
          </cell>
          <cell r="I2568">
            <v>0</v>
          </cell>
          <cell r="K2568">
            <v>1172110.0800000026</v>
          </cell>
          <cell r="L2568">
            <v>1172110.0800000026</v>
          </cell>
          <cell r="M2568" t="e">
            <v>#N/A</v>
          </cell>
        </row>
        <row r="2569">
          <cell r="C2569" t="e">
            <v>#N/A</v>
          </cell>
          <cell r="E2569" t="e">
            <v>#N/A</v>
          </cell>
          <cell r="F2569" t="e">
            <v>#N/A</v>
          </cell>
          <cell r="G2569" t="e">
            <v>#N/A</v>
          </cell>
          <cell r="H2569">
            <v>0</v>
          </cell>
          <cell r="I2569">
            <v>0</v>
          </cell>
          <cell r="K2569">
            <v>1172110.0800000026</v>
          </cell>
          <cell r="L2569">
            <v>1172110.0800000026</v>
          </cell>
          <cell r="M2569" t="e">
            <v>#N/A</v>
          </cell>
        </row>
        <row r="2570">
          <cell r="C2570" t="e">
            <v>#N/A</v>
          </cell>
          <cell r="E2570" t="e">
            <v>#N/A</v>
          </cell>
          <cell r="F2570" t="e">
            <v>#N/A</v>
          </cell>
          <cell r="G2570" t="e">
            <v>#N/A</v>
          </cell>
          <cell r="H2570">
            <v>0</v>
          </cell>
          <cell r="I2570">
            <v>0</v>
          </cell>
          <cell r="K2570">
            <v>1172110.0800000026</v>
          </cell>
          <cell r="L2570">
            <v>1172110.0800000026</v>
          </cell>
          <cell r="M2570" t="e">
            <v>#N/A</v>
          </cell>
        </row>
        <row r="2571">
          <cell r="C2571" t="e">
            <v>#N/A</v>
          </cell>
          <cell r="E2571" t="e">
            <v>#N/A</v>
          </cell>
          <cell r="F2571" t="e">
            <v>#N/A</v>
          </cell>
          <cell r="G2571" t="e">
            <v>#N/A</v>
          </cell>
          <cell r="H2571">
            <v>0</v>
          </cell>
          <cell r="I2571">
            <v>0</v>
          </cell>
          <cell r="K2571">
            <v>1172110.0800000026</v>
          </cell>
          <cell r="L2571">
            <v>1172110.0800000026</v>
          </cell>
          <cell r="M2571" t="e">
            <v>#N/A</v>
          </cell>
        </row>
        <row r="2572">
          <cell r="C2572" t="e">
            <v>#N/A</v>
          </cell>
          <cell r="E2572" t="e">
            <v>#N/A</v>
          </cell>
          <cell r="F2572" t="e">
            <v>#N/A</v>
          </cell>
          <cell r="G2572" t="e">
            <v>#N/A</v>
          </cell>
          <cell r="H2572">
            <v>0</v>
          </cell>
          <cell r="I2572">
            <v>0</v>
          </cell>
          <cell r="K2572">
            <v>1172110.0800000026</v>
          </cell>
          <cell r="L2572">
            <v>1172110.0800000026</v>
          </cell>
          <cell r="M2572" t="e">
            <v>#N/A</v>
          </cell>
        </row>
        <row r="2573">
          <cell r="C2573" t="e">
            <v>#N/A</v>
          </cell>
          <cell r="E2573" t="e">
            <v>#N/A</v>
          </cell>
          <cell r="F2573" t="e">
            <v>#N/A</v>
          </cell>
          <cell r="G2573" t="e">
            <v>#N/A</v>
          </cell>
          <cell r="H2573">
            <v>0</v>
          </cell>
          <cell r="I2573">
            <v>0</v>
          </cell>
          <cell r="K2573">
            <v>1172110.0800000026</v>
          </cell>
          <cell r="L2573">
            <v>1172110.0800000026</v>
          </cell>
          <cell r="M2573" t="e">
            <v>#N/A</v>
          </cell>
        </row>
        <row r="2574">
          <cell r="C2574" t="e">
            <v>#N/A</v>
          </cell>
          <cell r="E2574" t="e">
            <v>#N/A</v>
          </cell>
          <cell r="F2574" t="e">
            <v>#N/A</v>
          </cell>
          <cell r="G2574" t="e">
            <v>#N/A</v>
          </cell>
          <cell r="H2574">
            <v>0</v>
          </cell>
          <cell r="I2574">
            <v>0</v>
          </cell>
          <cell r="K2574">
            <v>1172110.0800000026</v>
          </cell>
          <cell r="L2574">
            <v>1172110.0800000026</v>
          </cell>
          <cell r="M2574" t="e">
            <v>#N/A</v>
          </cell>
        </row>
        <row r="2575">
          <cell r="C2575" t="e">
            <v>#N/A</v>
          </cell>
          <cell r="E2575" t="e">
            <v>#N/A</v>
          </cell>
          <cell r="F2575" t="e">
            <v>#N/A</v>
          </cell>
          <cell r="G2575" t="e">
            <v>#N/A</v>
          </cell>
          <cell r="H2575">
            <v>0</v>
          </cell>
          <cell r="I2575">
            <v>0</v>
          </cell>
          <cell r="K2575">
            <v>1172110.0800000026</v>
          </cell>
          <cell r="L2575">
            <v>1172110.0800000026</v>
          </cell>
          <cell r="M2575" t="e">
            <v>#N/A</v>
          </cell>
        </row>
        <row r="2576">
          <cell r="C2576" t="e">
            <v>#N/A</v>
          </cell>
          <cell r="E2576" t="e">
            <v>#N/A</v>
          </cell>
          <cell r="F2576" t="e">
            <v>#N/A</v>
          </cell>
          <cell r="G2576" t="e">
            <v>#N/A</v>
          </cell>
          <cell r="H2576">
            <v>0</v>
          </cell>
          <cell r="I2576">
            <v>0</v>
          </cell>
          <cell r="K2576">
            <v>1172110.0800000026</v>
          </cell>
          <cell r="L2576">
            <v>1172110.0800000026</v>
          </cell>
          <cell r="M2576" t="e">
            <v>#N/A</v>
          </cell>
        </row>
        <row r="2577">
          <cell r="C2577" t="e">
            <v>#N/A</v>
          </cell>
          <cell r="E2577" t="e">
            <v>#N/A</v>
          </cell>
          <cell r="F2577" t="e">
            <v>#N/A</v>
          </cell>
          <cell r="G2577" t="e">
            <v>#N/A</v>
          </cell>
          <cell r="H2577">
            <v>0</v>
          </cell>
          <cell r="I2577">
            <v>0</v>
          </cell>
          <cell r="K2577">
            <v>1172110.0800000026</v>
          </cell>
          <cell r="L2577">
            <v>1172110.0800000026</v>
          </cell>
          <cell r="M2577" t="e">
            <v>#N/A</v>
          </cell>
        </row>
        <row r="2578">
          <cell r="C2578" t="e">
            <v>#N/A</v>
          </cell>
          <cell r="E2578" t="e">
            <v>#N/A</v>
          </cell>
          <cell r="F2578" t="e">
            <v>#N/A</v>
          </cell>
          <cell r="G2578" t="e">
            <v>#N/A</v>
          </cell>
          <cell r="H2578">
            <v>0</v>
          </cell>
          <cell r="I2578">
            <v>0</v>
          </cell>
          <cell r="K2578">
            <v>1172110.0800000026</v>
          </cell>
          <cell r="L2578">
            <v>1172110.0800000026</v>
          </cell>
          <cell r="M2578" t="e">
            <v>#N/A</v>
          </cell>
        </row>
        <row r="2579">
          <cell r="C2579" t="e">
            <v>#N/A</v>
          </cell>
          <cell r="E2579" t="e">
            <v>#N/A</v>
          </cell>
          <cell r="F2579" t="e">
            <v>#N/A</v>
          </cell>
          <cell r="G2579" t="e">
            <v>#N/A</v>
          </cell>
          <cell r="H2579">
            <v>0</v>
          </cell>
          <cell r="I2579">
            <v>0</v>
          </cell>
          <cell r="K2579">
            <v>1172110.0800000026</v>
          </cell>
          <cell r="L2579">
            <v>1172110.0800000026</v>
          </cell>
          <cell r="M2579" t="e">
            <v>#N/A</v>
          </cell>
        </row>
        <row r="2580">
          <cell r="C2580" t="e">
            <v>#N/A</v>
          </cell>
          <cell r="E2580" t="e">
            <v>#N/A</v>
          </cell>
          <cell r="F2580" t="e">
            <v>#N/A</v>
          </cell>
          <cell r="G2580" t="e">
            <v>#N/A</v>
          </cell>
          <cell r="H2580">
            <v>0</v>
          </cell>
          <cell r="I2580">
            <v>0</v>
          </cell>
          <cell r="K2580">
            <v>1172110.0800000026</v>
          </cell>
          <cell r="L2580">
            <v>1172110.0800000026</v>
          </cell>
          <cell r="M2580" t="e">
            <v>#N/A</v>
          </cell>
        </row>
        <row r="2581">
          <cell r="C2581" t="e">
            <v>#N/A</v>
          </cell>
          <cell r="E2581" t="e">
            <v>#N/A</v>
          </cell>
          <cell r="F2581" t="e">
            <v>#N/A</v>
          </cell>
          <cell r="G2581" t="e">
            <v>#N/A</v>
          </cell>
          <cell r="H2581">
            <v>0</v>
          </cell>
          <cell r="I2581">
            <v>0</v>
          </cell>
          <cell r="K2581">
            <v>1172110.0800000026</v>
          </cell>
          <cell r="L2581">
            <v>1172110.0800000026</v>
          </cell>
          <cell r="M2581" t="e">
            <v>#N/A</v>
          </cell>
        </row>
        <row r="2582">
          <cell r="C2582" t="e">
            <v>#N/A</v>
          </cell>
          <cell r="E2582" t="e">
            <v>#N/A</v>
          </cell>
          <cell r="F2582" t="e">
            <v>#N/A</v>
          </cell>
          <cell r="G2582" t="e">
            <v>#N/A</v>
          </cell>
          <cell r="H2582">
            <v>0</v>
          </cell>
          <cell r="I2582">
            <v>0</v>
          </cell>
          <cell r="K2582">
            <v>1172110.0800000026</v>
          </cell>
          <cell r="L2582">
            <v>1172110.0800000026</v>
          </cell>
          <cell r="M2582" t="e">
            <v>#N/A</v>
          </cell>
        </row>
        <row r="2583">
          <cell r="C2583" t="e">
            <v>#N/A</v>
          </cell>
          <cell r="E2583" t="e">
            <v>#N/A</v>
          </cell>
          <cell r="F2583" t="e">
            <v>#N/A</v>
          </cell>
          <cell r="G2583" t="e">
            <v>#N/A</v>
          </cell>
          <cell r="H2583">
            <v>0</v>
          </cell>
          <cell r="I2583">
            <v>0</v>
          </cell>
          <cell r="K2583">
            <v>1172110.0800000026</v>
          </cell>
          <cell r="L2583">
            <v>1172110.0800000026</v>
          </cell>
          <cell r="M2583" t="e">
            <v>#N/A</v>
          </cell>
        </row>
        <row r="2584">
          <cell r="C2584" t="e">
            <v>#N/A</v>
          </cell>
          <cell r="E2584" t="e">
            <v>#N/A</v>
          </cell>
          <cell r="F2584" t="e">
            <v>#N/A</v>
          </cell>
          <cell r="G2584" t="e">
            <v>#N/A</v>
          </cell>
          <cell r="H2584">
            <v>0</v>
          </cell>
          <cell r="I2584">
            <v>0</v>
          </cell>
          <cell r="K2584">
            <v>1172110.0800000026</v>
          </cell>
          <cell r="L2584">
            <v>1172110.0800000026</v>
          </cell>
          <cell r="M2584" t="e">
            <v>#N/A</v>
          </cell>
        </row>
        <row r="2585">
          <cell r="C2585" t="e">
            <v>#N/A</v>
          </cell>
          <cell r="E2585" t="e">
            <v>#N/A</v>
          </cell>
          <cell r="F2585" t="e">
            <v>#N/A</v>
          </cell>
          <cell r="G2585" t="e">
            <v>#N/A</v>
          </cell>
          <cell r="H2585">
            <v>0</v>
          </cell>
          <cell r="I2585">
            <v>0</v>
          </cell>
          <cell r="K2585">
            <v>1172110.0800000026</v>
          </cell>
          <cell r="L2585">
            <v>1172110.0800000026</v>
          </cell>
          <cell r="M2585" t="e">
            <v>#N/A</v>
          </cell>
        </row>
        <row r="2586">
          <cell r="C2586" t="e">
            <v>#N/A</v>
          </cell>
          <cell r="E2586" t="e">
            <v>#N/A</v>
          </cell>
          <cell r="F2586" t="e">
            <v>#N/A</v>
          </cell>
          <cell r="G2586" t="e">
            <v>#N/A</v>
          </cell>
          <cell r="H2586">
            <v>0</v>
          </cell>
          <cell r="I2586">
            <v>0</v>
          </cell>
          <cell r="K2586">
            <v>1172110.0800000026</v>
          </cell>
          <cell r="L2586">
            <v>1172110.0800000026</v>
          </cell>
          <cell r="M2586" t="e">
            <v>#N/A</v>
          </cell>
        </row>
        <row r="2587">
          <cell r="C2587" t="e">
            <v>#N/A</v>
          </cell>
          <cell r="E2587" t="e">
            <v>#N/A</v>
          </cell>
          <cell r="F2587" t="e">
            <v>#N/A</v>
          </cell>
          <cell r="G2587" t="e">
            <v>#N/A</v>
          </cell>
          <cell r="H2587">
            <v>0</v>
          </cell>
          <cell r="I2587">
            <v>0</v>
          </cell>
          <cell r="K2587">
            <v>1172110.0800000026</v>
          </cell>
          <cell r="L2587">
            <v>1172110.0800000026</v>
          </cell>
          <cell r="M2587" t="e">
            <v>#N/A</v>
          </cell>
        </row>
        <row r="2588">
          <cell r="C2588" t="e">
            <v>#N/A</v>
          </cell>
          <cell r="E2588" t="e">
            <v>#N/A</v>
          </cell>
          <cell r="F2588" t="e">
            <v>#N/A</v>
          </cell>
          <cell r="G2588" t="e">
            <v>#N/A</v>
          </cell>
          <cell r="H2588">
            <v>0</v>
          </cell>
          <cell r="I2588">
            <v>0</v>
          </cell>
          <cell r="K2588">
            <v>1172110.0800000026</v>
          </cell>
          <cell r="L2588">
            <v>1172110.0800000026</v>
          </cell>
          <cell r="M2588" t="e">
            <v>#N/A</v>
          </cell>
        </row>
        <row r="2589">
          <cell r="C2589" t="e">
            <v>#N/A</v>
          </cell>
          <cell r="E2589" t="e">
            <v>#N/A</v>
          </cell>
          <cell r="F2589" t="e">
            <v>#N/A</v>
          </cell>
          <cell r="G2589" t="e">
            <v>#N/A</v>
          </cell>
          <cell r="H2589">
            <v>0</v>
          </cell>
          <cell r="I2589">
            <v>0</v>
          </cell>
          <cell r="K2589">
            <v>1172110.0800000026</v>
          </cell>
          <cell r="L2589">
            <v>1172110.0800000026</v>
          </cell>
          <cell r="M2589" t="e">
            <v>#N/A</v>
          </cell>
        </row>
        <row r="2590">
          <cell r="C2590" t="e">
            <v>#N/A</v>
          </cell>
          <cell r="E2590" t="e">
            <v>#N/A</v>
          </cell>
          <cell r="F2590" t="e">
            <v>#N/A</v>
          </cell>
          <cell r="G2590" t="e">
            <v>#N/A</v>
          </cell>
          <cell r="H2590">
            <v>0</v>
          </cell>
          <cell r="I2590">
            <v>0</v>
          </cell>
          <cell r="K2590">
            <v>1172110.0800000026</v>
          </cell>
          <cell r="L2590">
            <v>1172110.0800000026</v>
          </cell>
          <cell r="M2590" t="e">
            <v>#N/A</v>
          </cell>
        </row>
        <row r="2591">
          <cell r="C2591" t="e">
            <v>#N/A</v>
          </cell>
          <cell r="E2591" t="e">
            <v>#N/A</v>
          </cell>
          <cell r="F2591" t="e">
            <v>#N/A</v>
          </cell>
          <cell r="G2591" t="e">
            <v>#N/A</v>
          </cell>
          <cell r="H2591">
            <v>0</v>
          </cell>
          <cell r="I2591">
            <v>0</v>
          </cell>
          <cell r="K2591">
            <v>1172110.0800000026</v>
          </cell>
          <cell r="L2591">
            <v>1172110.0800000026</v>
          </cell>
          <cell r="M2591" t="e">
            <v>#N/A</v>
          </cell>
        </row>
        <row r="2592">
          <cell r="C2592" t="e">
            <v>#N/A</v>
          </cell>
          <cell r="E2592" t="e">
            <v>#N/A</v>
          </cell>
          <cell r="F2592" t="e">
            <v>#N/A</v>
          </cell>
          <cell r="G2592" t="e">
            <v>#N/A</v>
          </cell>
          <cell r="H2592">
            <v>0</v>
          </cell>
          <cell r="I2592">
            <v>0</v>
          </cell>
          <cell r="K2592">
            <v>1172110.0800000026</v>
          </cell>
          <cell r="L2592">
            <v>1172110.0800000026</v>
          </cell>
          <cell r="M2592" t="e">
            <v>#N/A</v>
          </cell>
        </row>
        <row r="2593">
          <cell r="C2593" t="e">
            <v>#N/A</v>
          </cell>
          <cell r="E2593" t="e">
            <v>#N/A</v>
          </cell>
          <cell r="F2593" t="e">
            <v>#N/A</v>
          </cell>
          <cell r="G2593" t="e">
            <v>#N/A</v>
          </cell>
          <cell r="H2593">
            <v>0</v>
          </cell>
          <cell r="I2593">
            <v>0</v>
          </cell>
          <cell r="K2593">
            <v>1172110.0800000026</v>
          </cell>
          <cell r="L2593">
            <v>1172110.0800000026</v>
          </cell>
          <cell r="M2593" t="e">
            <v>#N/A</v>
          </cell>
        </row>
        <row r="2594">
          <cell r="C2594" t="e">
            <v>#N/A</v>
          </cell>
          <cell r="E2594" t="e">
            <v>#N/A</v>
          </cell>
          <cell r="F2594" t="e">
            <v>#N/A</v>
          </cell>
          <cell r="G2594" t="e">
            <v>#N/A</v>
          </cell>
          <cell r="H2594">
            <v>0</v>
          </cell>
          <cell r="I2594">
            <v>0</v>
          </cell>
          <cell r="K2594">
            <v>1172110.0800000026</v>
          </cell>
          <cell r="L2594">
            <v>1172110.0800000026</v>
          </cell>
          <cell r="M2594" t="e">
            <v>#N/A</v>
          </cell>
        </row>
        <row r="2595">
          <cell r="C2595" t="e">
            <v>#N/A</v>
          </cell>
          <cell r="E2595" t="e">
            <v>#N/A</v>
          </cell>
          <cell r="F2595" t="e">
            <v>#N/A</v>
          </cell>
          <cell r="G2595" t="e">
            <v>#N/A</v>
          </cell>
          <cell r="H2595">
            <v>0</v>
          </cell>
          <cell r="I2595">
            <v>0</v>
          </cell>
          <cell r="K2595">
            <v>1172110.0800000026</v>
          </cell>
          <cell r="L2595">
            <v>1172110.0800000026</v>
          </cell>
          <cell r="M2595" t="e">
            <v>#N/A</v>
          </cell>
        </row>
        <row r="2596">
          <cell r="C2596" t="e">
            <v>#N/A</v>
          </cell>
          <cell r="E2596" t="e">
            <v>#N/A</v>
          </cell>
          <cell r="F2596" t="e">
            <v>#N/A</v>
          </cell>
          <cell r="G2596" t="e">
            <v>#N/A</v>
          </cell>
          <cell r="H2596">
            <v>0</v>
          </cell>
          <cell r="I2596">
            <v>0</v>
          </cell>
          <cell r="K2596">
            <v>1172110.0800000026</v>
          </cell>
          <cell r="L2596">
            <v>1172110.0800000026</v>
          </cell>
          <cell r="M2596" t="e">
            <v>#N/A</v>
          </cell>
        </row>
        <row r="2597">
          <cell r="C2597" t="e">
            <v>#N/A</v>
          </cell>
          <cell r="E2597" t="e">
            <v>#N/A</v>
          </cell>
          <cell r="F2597" t="e">
            <v>#N/A</v>
          </cell>
          <cell r="G2597" t="e">
            <v>#N/A</v>
          </cell>
          <cell r="H2597">
            <v>0</v>
          </cell>
          <cell r="I2597">
            <v>0</v>
          </cell>
          <cell r="K2597">
            <v>1172110.0800000026</v>
          </cell>
          <cell r="L2597">
            <v>1172110.0800000026</v>
          </cell>
          <cell r="M2597" t="e">
            <v>#N/A</v>
          </cell>
        </row>
      </sheetData>
      <sheetData sheetId="4">
        <row r="4">
          <cell r="A4" t="str">
            <v>Fluxo</v>
          </cell>
        </row>
      </sheetData>
      <sheetData sheetId="5">
        <row r="3">
          <cell r="A3" t="str">
            <v>Hoje é dia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_1A"/>
      <sheetName val="Tarifa Antecipada"/>
      <sheetName val="Estudo Impostos"/>
      <sheetName val="QUADRO_2A"/>
      <sheetName val="QUADRO_3A"/>
      <sheetName val="QUADRO_5A"/>
      <sheetName val="QUADRO_6A"/>
      <sheetName val="6A-Comp "/>
      <sheetName val="QUADRO_2B"/>
      <sheetName val="QUADRO_5B"/>
      <sheetName val="QUADRO_7B"/>
      <sheetName val="QUADRO_8B"/>
      <sheetName val="Equipamentos"/>
      <sheetName val="Resumo Eqtos"/>
      <sheetName val="Resumo Investimentos"/>
      <sheetName val="Investimentos - Depreciação"/>
      <sheetName val="Pavimentação - Depreciação"/>
      <sheetName val="Sinalização - Depreciação"/>
      <sheetName val="Meio Ambiente"/>
      <sheetName val="Comparativo"/>
      <sheetName val="C.Fin. COMISSÃO -PRxPVx1Ax2Ax3A"/>
      <sheetName val="Cronograma 3ª adeq"/>
      <sheetName val="Cronograma 2ª adeq "/>
      <sheetName val="Tabela 1"/>
      <sheetName val="Tabela 2"/>
      <sheetName val="Tabela 3"/>
      <sheetName val="Pavimento aux."/>
      <sheetName val="Marginal Norte"/>
      <sheetName val="Baleia"/>
      <sheetName val="3ª Adeq rev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ves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o do modelo"/>
      <sheetName val="1. To Do"/>
      <sheetName val="1. Output"/>
      <sheetName val="A. Premissas Gerais"/>
      <sheetName val="0.Sensibilidades"/>
      <sheetName val="5. Receita"/>
      <sheetName val="6. CPV"/>
      <sheetName val="G1. DRE "/>
      <sheetName val="G2. Capex"/>
      <sheetName val="G3. IR CS"/>
      <sheetName val="G4. KGiro"/>
      <sheetName val="G5. WACC"/>
      <sheetName val="G6. DCF method"/>
      <sheetName val="Gerencial Outubro"/>
      <sheetName val="KGiro comparáveis"/>
      <sheetName val="Gráficos"/>
      <sheetName val="DF's &gt;&gt;"/>
      <sheetName val="1. Histórico"/>
      <sheetName val="Comparáveis &gt;&gt;"/>
      <sheetName val="1. Sumario comparaveis"/>
      <sheetName val="2. Sumario comparaveis"/>
      <sheetName val="3. Índices de End. &amp; Liquidez"/>
      <sheetName val="4. Múltiplos"/>
      <sheetName val="5. Descrições"/>
      <sheetName val="Apoio &gt;&gt; "/>
      <sheetName val="1. Apoio - Info Mercado"/>
      <sheetName val="2. Apoio - Info Preços"/>
      <sheetName val="Infos Cliente &gt;&gt;"/>
    </sheetNames>
    <sheetDataSet>
      <sheetData sheetId="0"/>
      <sheetData sheetId="1"/>
      <sheetData sheetId="2"/>
      <sheetData sheetId="3">
        <row r="31">
          <cell r="F31" t="str">
            <v>Conasa</v>
          </cell>
        </row>
        <row r="34">
          <cell r="F34" t="str">
            <v>Em milhares de R$</v>
          </cell>
        </row>
        <row r="37">
          <cell r="F37" t="str">
            <v>Data-base: 30 de setembro de 2014</v>
          </cell>
          <cell r="J37">
            <v>41912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 de Dados"/>
      <sheetName val="Planilha Dersa"/>
      <sheetName val="RESET1"/>
      <sheetName val="Estudo Impostos"/>
      <sheetName val="Lead"/>
      <sheetName val=" Balanço REAL"/>
      <sheetName val="Planilha%20Dersa.xls"/>
      <sheetName val="Cost_Input"/>
      <sheetName val="Comb Inp"/>
    </sheetNames>
    <definedNames>
      <definedName name="DERSA" refersTo="='Banco de Dados'!$A$6:$F$763"/>
    </definedNames>
    <sheetDataSet>
      <sheetData sheetId="0" refreshError="1">
        <row r="6">
          <cell r="A6">
            <v>0</v>
          </cell>
        </row>
        <row r="7">
          <cell r="A7">
            <v>10000</v>
          </cell>
          <cell r="B7" t="str">
            <v>Serviços Preliminares</v>
          </cell>
        </row>
        <row r="8">
          <cell r="A8">
            <v>10100</v>
          </cell>
          <cell r="B8" t="str">
            <v>Demolição</v>
          </cell>
        </row>
        <row r="9">
          <cell r="A9">
            <v>10101</v>
          </cell>
          <cell r="B9" t="str">
            <v>Demolição de Concreto Armado</v>
          </cell>
          <cell r="C9" t="str">
            <v>m³</v>
          </cell>
          <cell r="D9">
            <v>95.53</v>
          </cell>
          <cell r="E9">
            <v>39.729999999999997</v>
          </cell>
          <cell r="F9">
            <v>135.26</v>
          </cell>
        </row>
        <row r="10">
          <cell r="A10">
            <v>10102</v>
          </cell>
          <cell r="B10" t="str">
            <v>Demolição de Concreto Simples</v>
          </cell>
          <cell r="C10" t="str">
            <v>m³</v>
          </cell>
          <cell r="D10">
            <v>58.2</v>
          </cell>
          <cell r="E10">
            <v>17.62</v>
          </cell>
          <cell r="F10">
            <v>75.820000000000007</v>
          </cell>
        </row>
        <row r="11">
          <cell r="A11">
            <v>10103</v>
          </cell>
          <cell r="B11" t="str">
            <v>Demolição de Pavimento Flexível</v>
          </cell>
          <cell r="C11" t="str">
            <v>m³</v>
          </cell>
          <cell r="D11">
            <v>24.21</v>
          </cell>
          <cell r="E11">
            <v>2.81</v>
          </cell>
          <cell r="F11">
            <v>27.02</v>
          </cell>
        </row>
        <row r="12">
          <cell r="A12">
            <v>10104</v>
          </cell>
          <cell r="B12" t="str">
            <v>Demolição de Pavimento Rígido</v>
          </cell>
          <cell r="C12" t="str">
            <v>m³</v>
          </cell>
          <cell r="D12">
            <v>136.84</v>
          </cell>
          <cell r="E12">
            <v>29.46</v>
          </cell>
          <cell r="F12">
            <v>166.3</v>
          </cell>
        </row>
        <row r="13">
          <cell r="A13">
            <v>10105</v>
          </cell>
          <cell r="B13" t="str">
            <v>Demolição de Edificação em Alvenaria</v>
          </cell>
          <cell r="C13" t="str">
            <v>m²</v>
          </cell>
          <cell r="D13">
            <v>31.62</v>
          </cell>
          <cell r="E13">
            <v>1.77</v>
          </cell>
          <cell r="F13">
            <v>33.39</v>
          </cell>
        </row>
        <row r="14">
          <cell r="A14">
            <v>10106</v>
          </cell>
          <cell r="B14" t="str">
            <v>Demolição de Edificação em Madeira</v>
          </cell>
          <cell r="C14" t="str">
            <v>m²</v>
          </cell>
          <cell r="D14">
            <v>1.43</v>
          </cell>
          <cell r="E14">
            <v>6.3</v>
          </cell>
          <cell r="F14">
            <v>7.7299999999999995</v>
          </cell>
        </row>
        <row r="15">
          <cell r="A15">
            <v>10200</v>
          </cell>
          <cell r="B15" t="str">
            <v>Remoção</v>
          </cell>
          <cell r="D15">
            <v>0</v>
          </cell>
          <cell r="E15">
            <v>0</v>
          </cell>
        </row>
        <row r="16">
          <cell r="A16">
            <v>10201</v>
          </cell>
          <cell r="B16" t="str">
            <v>Remoção de Cerca de Arame, Incluindo Transporte</v>
          </cell>
          <cell r="C16" t="str">
            <v>m</v>
          </cell>
          <cell r="D16">
            <v>1.23</v>
          </cell>
          <cell r="E16">
            <v>2.04</v>
          </cell>
          <cell r="F16">
            <v>3.27</v>
          </cell>
        </row>
        <row r="17">
          <cell r="A17">
            <v>10202</v>
          </cell>
          <cell r="B17" t="str">
            <v>Remoção de Defensa Metálica Simples, Incluindo Transporte</v>
          </cell>
          <cell r="C17" t="str">
            <v>m</v>
          </cell>
          <cell r="D17">
            <v>10.4</v>
          </cell>
          <cell r="E17">
            <v>9.34</v>
          </cell>
          <cell r="F17">
            <v>19.740000000000002</v>
          </cell>
        </row>
        <row r="18">
          <cell r="A18">
            <v>10203</v>
          </cell>
          <cell r="B18" t="str">
            <v>Remoção de Defensa Metálica Dupla, Incluindo Transporte</v>
          </cell>
          <cell r="C18" t="str">
            <v>m</v>
          </cell>
          <cell r="D18">
            <v>11.84</v>
          </cell>
          <cell r="E18">
            <v>10.64</v>
          </cell>
          <cell r="F18">
            <v>22.48</v>
          </cell>
        </row>
        <row r="19">
          <cell r="A19">
            <v>10204</v>
          </cell>
          <cell r="B19" t="str">
            <v>Remoção de Canalização D&gt;0,60m</v>
          </cell>
          <cell r="C19" t="str">
            <v>m</v>
          </cell>
          <cell r="D19">
            <v>21.9</v>
          </cell>
          <cell r="E19">
            <v>4.17</v>
          </cell>
          <cell r="F19">
            <v>26.07</v>
          </cell>
        </row>
        <row r="20">
          <cell r="A20">
            <v>10205</v>
          </cell>
          <cell r="B20" t="str">
            <v>Remoção de Canalização 0,20&lt;=D&lt;=0,60m</v>
          </cell>
          <cell r="C20" t="str">
            <v>m</v>
          </cell>
          <cell r="D20">
            <v>17.82</v>
          </cell>
          <cell r="E20">
            <v>3.21</v>
          </cell>
          <cell r="F20">
            <v>21.03</v>
          </cell>
        </row>
        <row r="21">
          <cell r="A21">
            <v>10206</v>
          </cell>
          <cell r="B21" t="str">
            <v>Remoção e Transporte de Guia Pré-Moldada</v>
          </cell>
          <cell r="C21" t="str">
            <v>m</v>
          </cell>
          <cell r="D21">
            <v>6.02</v>
          </cell>
          <cell r="E21">
            <v>2.0699999999999998</v>
          </cell>
          <cell r="F21">
            <v>8.09</v>
          </cell>
        </row>
        <row r="22">
          <cell r="A22">
            <v>10207</v>
          </cell>
          <cell r="B22" t="str">
            <v>Remoção de Estaca de Eucalipto Cravada</v>
          </cell>
          <cell r="C22" t="str">
            <v>m</v>
          </cell>
          <cell r="D22">
            <v>1.5</v>
          </cell>
          <cell r="E22">
            <v>1.89</v>
          </cell>
          <cell r="F22">
            <v>3.3899999999999997</v>
          </cell>
        </row>
        <row r="23">
          <cell r="A23">
            <v>10208</v>
          </cell>
          <cell r="B23" t="str">
            <v>Remoção de Tacha Refletiva</v>
          </cell>
          <cell r="C23" t="str">
            <v>un</v>
          </cell>
          <cell r="D23">
            <v>3.38</v>
          </cell>
          <cell r="E23">
            <v>0</v>
          </cell>
          <cell r="F23">
            <v>3.38</v>
          </cell>
        </row>
        <row r="24">
          <cell r="A24">
            <v>10209</v>
          </cell>
          <cell r="B24" t="str">
            <v>Remoção de Pintura Demarcatória da Via</v>
          </cell>
          <cell r="C24" t="str">
            <v>m²</v>
          </cell>
          <cell r="D24">
            <v>15.58</v>
          </cell>
          <cell r="E24">
            <v>0</v>
          </cell>
          <cell r="F24">
            <v>15.58</v>
          </cell>
        </row>
        <row r="25">
          <cell r="A25">
            <v>10210</v>
          </cell>
          <cell r="B25" t="str">
            <v>Remoção de Defensa Metálica Simples para Reinstalação</v>
          </cell>
          <cell r="C25" t="str">
            <v>m</v>
          </cell>
          <cell r="D25">
            <v>26.46</v>
          </cell>
          <cell r="E25">
            <v>18.64</v>
          </cell>
          <cell r="F25">
            <v>45.1</v>
          </cell>
        </row>
        <row r="26">
          <cell r="A26">
            <v>10211</v>
          </cell>
          <cell r="B26" t="str">
            <v>Remoção de Defensa Metálica Dupla para Reisntalação</v>
          </cell>
          <cell r="C26" t="str">
            <v>m</v>
          </cell>
          <cell r="D26">
            <v>31.78</v>
          </cell>
          <cell r="E26">
            <v>22.36</v>
          </cell>
          <cell r="F26">
            <v>54.14</v>
          </cell>
        </row>
        <row r="27">
          <cell r="A27">
            <v>10300</v>
          </cell>
          <cell r="B27" t="str">
            <v>Implantação</v>
          </cell>
          <cell r="D27">
            <v>0</v>
          </cell>
          <cell r="E27">
            <v>0</v>
          </cell>
        </row>
        <row r="28">
          <cell r="A28">
            <v>10301</v>
          </cell>
          <cell r="B28" t="str">
            <v>Cerca de Arame Farpado com 4 Fios</v>
          </cell>
          <cell r="C28" t="str">
            <v>m</v>
          </cell>
          <cell r="D28">
            <v>9.77</v>
          </cell>
          <cell r="E28">
            <v>2.59</v>
          </cell>
          <cell r="F28">
            <v>12.36</v>
          </cell>
        </row>
        <row r="29">
          <cell r="A29">
            <v>10302</v>
          </cell>
          <cell r="B29" t="str">
            <v>Cerca de Arame Farpado com 6 Fios</v>
          </cell>
          <cell r="C29" t="str">
            <v>m</v>
          </cell>
          <cell r="D29">
            <v>10.73</v>
          </cell>
          <cell r="E29">
            <v>2.94</v>
          </cell>
          <cell r="F29">
            <v>13.67</v>
          </cell>
        </row>
        <row r="30">
          <cell r="A30">
            <v>10303</v>
          </cell>
          <cell r="B30" t="str">
            <v>Cerca de Arame para Reaproveitamento</v>
          </cell>
          <cell r="C30" t="str">
            <v>m</v>
          </cell>
          <cell r="D30">
            <v>4.32</v>
          </cell>
          <cell r="E30">
            <v>2.11</v>
          </cell>
          <cell r="F30">
            <v>6.43</v>
          </cell>
        </row>
        <row r="31">
          <cell r="A31">
            <v>20000</v>
          </cell>
          <cell r="B31" t="str">
            <v>Terraplenagem</v>
          </cell>
          <cell r="D31">
            <v>0</v>
          </cell>
          <cell r="E31">
            <v>0</v>
          </cell>
        </row>
        <row r="32">
          <cell r="A32">
            <v>20100</v>
          </cell>
          <cell r="B32" t="str">
            <v>Limpeza do Terreno</v>
          </cell>
          <cell r="D32">
            <v>0</v>
          </cell>
          <cell r="E32">
            <v>0</v>
          </cell>
        </row>
        <row r="33">
          <cell r="A33">
            <v>20101</v>
          </cell>
          <cell r="B33" t="str">
            <v>Limpeza Mecânica com Destocamento de Árvores D&lt;=15cm</v>
          </cell>
          <cell r="C33" t="str">
            <v>m²</v>
          </cell>
          <cell r="D33">
            <v>0.24</v>
          </cell>
          <cell r="E33">
            <v>7.0000000000000007E-2</v>
          </cell>
          <cell r="F33">
            <v>0.31</v>
          </cell>
        </row>
        <row r="34">
          <cell r="A34">
            <v>20102</v>
          </cell>
          <cell r="B34" t="str">
            <v>Limpeza Manual de Terreno e Amontoamento de Materiais</v>
          </cell>
          <cell r="C34" t="str">
            <v>m²</v>
          </cell>
          <cell r="D34">
            <v>0</v>
          </cell>
          <cell r="E34">
            <v>1.49</v>
          </cell>
          <cell r="F34">
            <v>1.49</v>
          </cell>
        </row>
        <row r="35">
          <cell r="A35">
            <v>20103</v>
          </cell>
          <cell r="B35" t="str">
            <v>Destocamento de Árvores D&gt;15cm</v>
          </cell>
          <cell r="C35" t="str">
            <v>un</v>
          </cell>
          <cell r="D35">
            <v>5.36</v>
          </cell>
          <cell r="E35">
            <v>2.0699999999999998</v>
          </cell>
          <cell r="F35">
            <v>7.43</v>
          </cell>
        </row>
        <row r="36">
          <cell r="A36">
            <v>20104</v>
          </cell>
          <cell r="B36" t="str">
            <v>Carga de Material de Limpeza</v>
          </cell>
          <cell r="C36" t="str">
            <v>m³</v>
          </cell>
          <cell r="D36">
            <v>0.85</v>
          </cell>
          <cell r="E36">
            <v>0</v>
          </cell>
          <cell r="F36">
            <v>0.85</v>
          </cell>
        </row>
        <row r="37">
          <cell r="A37">
            <v>20105</v>
          </cell>
          <cell r="B37" t="str">
            <v>Desmatamento em Área de Dragagem</v>
          </cell>
          <cell r="C37" t="str">
            <v>m²</v>
          </cell>
          <cell r="D37">
            <v>1.74</v>
          </cell>
          <cell r="E37">
            <v>4.91</v>
          </cell>
          <cell r="F37">
            <v>6.65</v>
          </cell>
        </row>
        <row r="38">
          <cell r="A38">
            <v>20200</v>
          </cell>
          <cell r="B38" t="str">
            <v>Escavação</v>
          </cell>
          <cell r="D38">
            <v>0</v>
          </cell>
          <cell r="E38">
            <v>0</v>
          </cell>
        </row>
        <row r="39">
          <cell r="A39">
            <v>20201</v>
          </cell>
          <cell r="B39" t="str">
            <v>Escavação de Material 1ª Cat.</v>
          </cell>
          <cell r="C39" t="str">
            <v>m³</v>
          </cell>
          <cell r="D39">
            <v>1.86</v>
          </cell>
          <cell r="E39">
            <v>0.19</v>
          </cell>
          <cell r="F39">
            <v>2.0500000000000003</v>
          </cell>
        </row>
        <row r="40">
          <cell r="A40">
            <v>20202</v>
          </cell>
          <cell r="B40" t="str">
            <v>Escavação de Material 1ª Cat. com Motoscraper</v>
          </cell>
          <cell r="C40" t="str">
            <v>m³</v>
          </cell>
          <cell r="D40">
            <v>1.5</v>
          </cell>
          <cell r="E40">
            <v>7.0000000000000007E-2</v>
          </cell>
          <cell r="F40">
            <v>1.57</v>
          </cell>
        </row>
        <row r="41">
          <cell r="A41">
            <v>20203</v>
          </cell>
          <cell r="B41" t="str">
            <v>Escavação de Material 2ª Cat.</v>
          </cell>
          <cell r="C41" t="str">
            <v>m³</v>
          </cell>
          <cell r="D41">
            <v>2.36</v>
          </cell>
          <cell r="E41">
            <v>7.0000000000000007E-2</v>
          </cell>
          <cell r="F41">
            <v>2.4299999999999997</v>
          </cell>
        </row>
        <row r="42">
          <cell r="A42">
            <v>20204</v>
          </cell>
          <cell r="B42" t="str">
            <v>Escavação de Material 2ª Cat. com Explosivo</v>
          </cell>
          <cell r="C42" t="str">
            <v>m³</v>
          </cell>
          <cell r="D42">
            <v>8.6</v>
          </cell>
          <cell r="E42">
            <v>0.24</v>
          </cell>
          <cell r="F42">
            <v>8.84</v>
          </cell>
        </row>
        <row r="43">
          <cell r="A43">
            <v>20205</v>
          </cell>
          <cell r="B43" t="str">
            <v xml:space="preserve">Escavação de Material 3ª Cat. </v>
          </cell>
          <cell r="C43" t="str">
            <v>m³</v>
          </cell>
          <cell r="D43">
            <v>10.65</v>
          </cell>
          <cell r="E43">
            <v>0.81</v>
          </cell>
          <cell r="F43">
            <v>11.46</v>
          </cell>
        </row>
        <row r="44">
          <cell r="A44">
            <v>20206</v>
          </cell>
          <cell r="B44" t="str">
            <v>Escavação de Material Brejoso</v>
          </cell>
          <cell r="C44" t="str">
            <v>m³</v>
          </cell>
          <cell r="D44">
            <v>3.77</v>
          </cell>
          <cell r="E44">
            <v>0.72</v>
          </cell>
          <cell r="F44">
            <v>4.49</v>
          </cell>
        </row>
        <row r="45">
          <cell r="A45">
            <v>20210</v>
          </cell>
          <cell r="B45" t="str">
            <v>Escavação de Jazida</v>
          </cell>
          <cell r="C45" t="str">
            <v>m³</v>
          </cell>
          <cell r="D45">
            <v>2.57</v>
          </cell>
          <cell r="E45">
            <v>0</v>
          </cell>
          <cell r="F45">
            <v>2.57</v>
          </cell>
        </row>
        <row r="46">
          <cell r="A46">
            <v>20211</v>
          </cell>
          <cell r="B46" t="str">
            <v>Escavação com Draga - Transporte até 200 dam</v>
          </cell>
          <cell r="C46" t="str">
            <v>m³</v>
          </cell>
          <cell r="D46">
            <v>1.26</v>
          </cell>
          <cell r="E46">
            <v>0</v>
          </cell>
          <cell r="F46">
            <v>1.26</v>
          </cell>
        </row>
        <row r="47">
          <cell r="A47">
            <v>20300</v>
          </cell>
          <cell r="B47" t="str">
            <v>Transporte de Material Escavado</v>
          </cell>
          <cell r="D47">
            <v>0</v>
          </cell>
          <cell r="E47">
            <v>0</v>
          </cell>
        </row>
        <row r="48">
          <cell r="A48">
            <v>20301</v>
          </cell>
          <cell r="B48" t="str">
            <v>Transporte de Material 1ª/2ª Cat. até 200 dam - Motoscraper</v>
          </cell>
          <cell r="C48" t="str">
            <v>m³ x dam</v>
          </cell>
          <cell r="D48">
            <v>0.01</v>
          </cell>
          <cell r="E48">
            <v>0</v>
          </cell>
          <cell r="F48">
            <v>0.01</v>
          </cell>
        </row>
        <row r="49">
          <cell r="A49">
            <v>20302</v>
          </cell>
          <cell r="B49" t="str">
            <v>Transporte de Material 1ª/2ª Cat. até 2 km</v>
          </cell>
          <cell r="C49" t="str">
            <v>m³ x km</v>
          </cell>
          <cell r="D49">
            <v>0.92</v>
          </cell>
          <cell r="E49">
            <v>0</v>
          </cell>
          <cell r="F49">
            <v>0.92</v>
          </cell>
        </row>
        <row r="50">
          <cell r="A50">
            <v>20303</v>
          </cell>
          <cell r="B50" t="str">
            <v>Transporte de Material 1ª/2ª Cat. até 5 km</v>
          </cell>
          <cell r="C50" t="str">
            <v>m³ x km</v>
          </cell>
          <cell r="D50">
            <v>0.73</v>
          </cell>
          <cell r="E50">
            <v>0</v>
          </cell>
          <cell r="F50">
            <v>0.73</v>
          </cell>
        </row>
        <row r="51">
          <cell r="A51">
            <v>20304</v>
          </cell>
          <cell r="B51" t="str">
            <v>Transporte de Material 1ª/2ª Cat. até 10 km</v>
          </cell>
          <cell r="C51" t="str">
            <v>m³ x km</v>
          </cell>
          <cell r="D51">
            <v>0.66</v>
          </cell>
          <cell r="E51">
            <v>0</v>
          </cell>
          <cell r="F51">
            <v>0.66</v>
          </cell>
        </row>
        <row r="52">
          <cell r="A52">
            <v>20305</v>
          </cell>
          <cell r="B52" t="str">
            <v>Transporte de Material 1ª/2ª Cat. até 15 km</v>
          </cell>
          <cell r="C52" t="str">
            <v>m³ x km</v>
          </cell>
          <cell r="D52">
            <v>0.57999999999999996</v>
          </cell>
          <cell r="E52">
            <v>0</v>
          </cell>
          <cell r="F52">
            <v>0.57999999999999996</v>
          </cell>
        </row>
        <row r="53">
          <cell r="A53">
            <v>20306</v>
          </cell>
          <cell r="B53" t="str">
            <v>Transporte de Material 1ª/2ª Cat. até 20 km</v>
          </cell>
          <cell r="C53" t="str">
            <v>m³ x km</v>
          </cell>
          <cell r="D53">
            <v>0.56999999999999995</v>
          </cell>
          <cell r="E53">
            <v>0</v>
          </cell>
          <cell r="F53">
            <v>0.56999999999999995</v>
          </cell>
        </row>
        <row r="54">
          <cell r="A54">
            <v>20307</v>
          </cell>
          <cell r="B54" t="str">
            <v>Transporte de Material 1ª/2ª Cat. até 25 km</v>
          </cell>
          <cell r="C54" t="str">
            <v>m³ x km</v>
          </cell>
          <cell r="D54">
            <v>0.56999999999999995</v>
          </cell>
          <cell r="E54">
            <v>0</v>
          </cell>
          <cell r="F54">
            <v>0.56999999999999995</v>
          </cell>
        </row>
        <row r="55">
          <cell r="A55">
            <v>20308</v>
          </cell>
          <cell r="B55" t="str">
            <v>Transporte de Material 1ª/2ª Cat. até 30 km</v>
          </cell>
          <cell r="C55" t="str">
            <v>m³ x km</v>
          </cell>
          <cell r="D55">
            <v>0.55000000000000004</v>
          </cell>
          <cell r="E55">
            <v>0</v>
          </cell>
          <cell r="F55">
            <v>0.55000000000000004</v>
          </cell>
        </row>
        <row r="56">
          <cell r="A56">
            <v>20309</v>
          </cell>
          <cell r="B56" t="str">
            <v>Transporte de Material 1ª/2ª Cat. até 100 dam - Cam. Basculante</v>
          </cell>
          <cell r="C56" t="str">
            <v>m³ x dam</v>
          </cell>
          <cell r="D56">
            <v>0.01</v>
          </cell>
          <cell r="E56">
            <v>0</v>
          </cell>
          <cell r="F56">
            <v>0.01</v>
          </cell>
        </row>
        <row r="57">
          <cell r="A57">
            <v>20310</v>
          </cell>
          <cell r="B57" t="str">
            <v>Transporte de Material de Limpeza até 100 dam</v>
          </cell>
          <cell r="C57" t="str">
            <v>m³ x dam</v>
          </cell>
          <cell r="D57">
            <v>0.03</v>
          </cell>
          <cell r="E57">
            <v>0</v>
          </cell>
          <cell r="F57">
            <v>0.03</v>
          </cell>
        </row>
        <row r="58">
          <cell r="A58">
            <v>20311</v>
          </cell>
          <cell r="B58" t="str">
            <v>Transporte de Material de Limpeza/Demolição além de 100 dam</v>
          </cell>
          <cell r="C58" t="str">
            <v>m³ x km</v>
          </cell>
          <cell r="D58">
            <v>1.1200000000000001</v>
          </cell>
          <cell r="E58">
            <v>0</v>
          </cell>
          <cell r="F58">
            <v>1.1200000000000001</v>
          </cell>
        </row>
        <row r="59">
          <cell r="A59">
            <v>20312</v>
          </cell>
          <cell r="B59" t="str">
            <v>Transporte de Material Brejoso até 200 dam</v>
          </cell>
          <cell r="C59" t="str">
            <v>m³ x dam</v>
          </cell>
          <cell r="D59">
            <v>0.01</v>
          </cell>
          <cell r="E59">
            <v>0</v>
          </cell>
          <cell r="F59">
            <v>0.01</v>
          </cell>
        </row>
        <row r="60">
          <cell r="A60">
            <v>20313</v>
          </cell>
          <cell r="B60" t="str">
            <v>Transporte de Material Brejoso além de 200 dam</v>
          </cell>
          <cell r="C60" t="str">
            <v>m³ x km</v>
          </cell>
          <cell r="D60">
            <v>1.34</v>
          </cell>
          <cell r="E60">
            <v>0</v>
          </cell>
          <cell r="F60">
            <v>1.34</v>
          </cell>
        </row>
        <row r="61">
          <cell r="A61">
            <v>20314</v>
          </cell>
          <cell r="B61" t="str">
            <v>Transporte de Material 3ª Cat. até 200 dam</v>
          </cell>
          <cell r="C61" t="str">
            <v>m³ x dam</v>
          </cell>
          <cell r="D61">
            <v>0.01</v>
          </cell>
          <cell r="E61">
            <v>0</v>
          </cell>
          <cell r="F61">
            <v>0.01</v>
          </cell>
        </row>
        <row r="62">
          <cell r="A62">
            <v>20315</v>
          </cell>
          <cell r="B62" t="str">
            <v>Transporte de Material 3ª Cat. além de 200 dam</v>
          </cell>
          <cell r="C62" t="str">
            <v>m³ x km</v>
          </cell>
          <cell r="D62">
            <v>1.61</v>
          </cell>
          <cell r="E62">
            <v>0</v>
          </cell>
          <cell r="F62">
            <v>1.61</v>
          </cell>
        </row>
        <row r="63">
          <cell r="A63">
            <v>20400</v>
          </cell>
          <cell r="B63" t="str">
            <v>Compactação</v>
          </cell>
          <cell r="D63">
            <v>0</v>
          </cell>
          <cell r="E63">
            <v>0</v>
          </cell>
        </row>
        <row r="64">
          <cell r="A64">
            <v>20401</v>
          </cell>
          <cell r="B64" t="str">
            <v>Compactação de Aterro</v>
          </cell>
          <cell r="C64" t="str">
            <v>m³</v>
          </cell>
          <cell r="D64">
            <v>0.99</v>
          </cell>
          <cell r="E64">
            <v>0.15</v>
          </cell>
          <cell r="F64">
            <v>1.1399999999999999</v>
          </cell>
        </row>
        <row r="65">
          <cell r="A65">
            <v>20500</v>
          </cell>
          <cell r="B65" t="str">
            <v>Fundação de Aterro</v>
          </cell>
          <cell r="D65">
            <v>0</v>
          </cell>
          <cell r="E65">
            <v>0</v>
          </cell>
        </row>
        <row r="66">
          <cell r="A66">
            <v>20501</v>
          </cell>
          <cell r="B66" t="str">
            <v>Fundação de Aterro com Pedra Britada</v>
          </cell>
          <cell r="C66" t="str">
            <v>m³</v>
          </cell>
          <cell r="D66">
            <v>31.59</v>
          </cell>
          <cell r="E66">
            <v>0</v>
          </cell>
          <cell r="F66">
            <v>31.59</v>
          </cell>
        </row>
        <row r="67">
          <cell r="A67">
            <v>20502</v>
          </cell>
          <cell r="B67" t="str">
            <v>Fundação de Aterro com Areia Lavada</v>
          </cell>
          <cell r="C67" t="str">
            <v>m³</v>
          </cell>
          <cell r="D67">
            <v>41.59</v>
          </cell>
          <cell r="E67">
            <v>0</v>
          </cell>
          <cell r="F67">
            <v>41.59</v>
          </cell>
        </row>
        <row r="68">
          <cell r="A68">
            <v>20503</v>
          </cell>
          <cell r="B68" t="str">
            <v>Espalhamento/Compactação de Material Qualquer p/ Fund. Aterro</v>
          </cell>
          <cell r="C68" t="str">
            <v>m³</v>
          </cell>
          <cell r="D68">
            <v>0.72</v>
          </cell>
          <cell r="E68">
            <v>0.09</v>
          </cell>
          <cell r="F68">
            <v>0.80999999999999994</v>
          </cell>
        </row>
        <row r="69">
          <cell r="A69">
            <v>20600</v>
          </cell>
          <cell r="B69" t="str">
            <v>Bombeamento</v>
          </cell>
          <cell r="D69">
            <v>0</v>
          </cell>
          <cell r="E69">
            <v>0</v>
          </cell>
        </row>
        <row r="70">
          <cell r="A70">
            <v>20601</v>
          </cell>
          <cell r="B70" t="str">
            <v>Bombeamento de Vala</v>
          </cell>
          <cell r="C70" t="str">
            <v>m³</v>
          </cell>
          <cell r="D70">
            <v>1.08</v>
          </cell>
          <cell r="E70">
            <v>0</v>
          </cell>
          <cell r="F70">
            <v>1.08</v>
          </cell>
        </row>
        <row r="71">
          <cell r="A71">
            <v>30000</v>
          </cell>
          <cell r="B71" t="str">
            <v>Pavimentação</v>
          </cell>
          <cell r="D71">
            <v>0</v>
          </cell>
          <cell r="E71">
            <v>0</v>
          </cell>
        </row>
        <row r="72">
          <cell r="A72">
            <v>30100</v>
          </cell>
          <cell r="B72" t="str">
            <v>Regularização do Sub-Leito</v>
          </cell>
          <cell r="D72">
            <v>0</v>
          </cell>
          <cell r="E72">
            <v>0</v>
          </cell>
        </row>
        <row r="73">
          <cell r="A73">
            <v>30101</v>
          </cell>
          <cell r="B73" t="str">
            <v>Regularização do Sub-Leito por Compactação do Solo Local</v>
          </cell>
          <cell r="C73" t="str">
            <v>m²</v>
          </cell>
          <cell r="D73">
            <v>0.45</v>
          </cell>
          <cell r="E73">
            <v>0.09</v>
          </cell>
          <cell r="F73">
            <v>0.54</v>
          </cell>
        </row>
        <row r="74">
          <cell r="A74">
            <v>30200</v>
          </cell>
          <cell r="B74" t="str">
            <v>Reforço de Sub-Leito</v>
          </cell>
          <cell r="D74">
            <v>0</v>
          </cell>
          <cell r="E74">
            <v>0</v>
          </cell>
        </row>
        <row r="75">
          <cell r="A75">
            <v>30201</v>
          </cell>
          <cell r="B75" t="str">
            <v>Escavação de Jazida - Solo para Sub-Base</v>
          </cell>
          <cell r="C75" t="str">
            <v>m³</v>
          </cell>
          <cell r="D75">
            <v>2.57</v>
          </cell>
          <cell r="E75">
            <v>0</v>
          </cell>
          <cell r="F75">
            <v>2.57</v>
          </cell>
        </row>
        <row r="76">
          <cell r="A76">
            <v>30202</v>
          </cell>
          <cell r="B76" t="str">
            <v>Transporte de Material 1ª/2ª Cat. até 2 km</v>
          </cell>
          <cell r="C76" t="str">
            <v>m³ x km</v>
          </cell>
          <cell r="D76">
            <v>0.92</v>
          </cell>
          <cell r="E76">
            <v>0</v>
          </cell>
          <cell r="F76">
            <v>0.92</v>
          </cell>
        </row>
        <row r="77">
          <cell r="A77">
            <v>30203</v>
          </cell>
          <cell r="B77" t="str">
            <v>Transporte de Material 1ª/2ª Cat. até 5 km</v>
          </cell>
          <cell r="C77" t="str">
            <v>m³ x km</v>
          </cell>
          <cell r="D77">
            <v>0.73</v>
          </cell>
          <cell r="E77">
            <v>0</v>
          </cell>
          <cell r="F77">
            <v>0.73</v>
          </cell>
        </row>
        <row r="78">
          <cell r="A78">
            <v>30204</v>
          </cell>
          <cell r="B78" t="str">
            <v>Transporte de Material 1ª/2ª Cat. até 10 km</v>
          </cell>
          <cell r="C78" t="str">
            <v>m³ x km</v>
          </cell>
          <cell r="D78">
            <v>0.66</v>
          </cell>
          <cell r="E78">
            <v>0</v>
          </cell>
          <cell r="F78">
            <v>0.66</v>
          </cell>
        </row>
        <row r="79">
          <cell r="A79">
            <v>30205</v>
          </cell>
          <cell r="B79" t="str">
            <v>Transporte de Material 1ª/2ª Cat. até 15 km</v>
          </cell>
          <cell r="C79" t="str">
            <v>m³ x km</v>
          </cell>
          <cell r="D79">
            <v>0.57999999999999996</v>
          </cell>
          <cell r="E79">
            <v>0</v>
          </cell>
          <cell r="F79">
            <v>0.57999999999999996</v>
          </cell>
        </row>
        <row r="80">
          <cell r="A80">
            <v>30206</v>
          </cell>
          <cell r="B80" t="str">
            <v>Transporte de Material 1ª/2ª Cat. até 20 km</v>
          </cell>
          <cell r="C80" t="str">
            <v>m³ x km</v>
          </cell>
          <cell r="D80">
            <v>0.56999999999999995</v>
          </cell>
          <cell r="E80">
            <v>0</v>
          </cell>
          <cell r="F80">
            <v>0.56999999999999995</v>
          </cell>
        </row>
        <row r="81">
          <cell r="A81">
            <v>30207</v>
          </cell>
          <cell r="B81" t="str">
            <v>Transporte de Material 1ª/2ª Cat. até 25 km</v>
          </cell>
          <cell r="C81" t="str">
            <v>m³ x km</v>
          </cell>
          <cell r="D81">
            <v>0.56999999999999995</v>
          </cell>
          <cell r="E81">
            <v>0</v>
          </cell>
          <cell r="F81">
            <v>0.56999999999999995</v>
          </cell>
        </row>
        <row r="82">
          <cell r="A82">
            <v>30208</v>
          </cell>
          <cell r="B82" t="str">
            <v>Transporte de Material 1ª/2ª Cat. até 30 km</v>
          </cell>
          <cell r="C82" t="str">
            <v>m³ x km</v>
          </cell>
          <cell r="D82">
            <v>0.55000000000000004</v>
          </cell>
          <cell r="E82">
            <v>0</v>
          </cell>
          <cell r="F82">
            <v>0.55000000000000004</v>
          </cell>
        </row>
        <row r="83">
          <cell r="A83">
            <v>30209</v>
          </cell>
          <cell r="B83" t="str">
            <v>Compactação de Material para Reforço de Sub-Leito</v>
          </cell>
          <cell r="C83" t="str">
            <v>m³</v>
          </cell>
          <cell r="D83">
            <v>1.1299999999999999</v>
          </cell>
          <cell r="E83">
            <v>0.15</v>
          </cell>
          <cell r="F83">
            <v>1.2799999999999998</v>
          </cell>
        </row>
        <row r="84">
          <cell r="A84">
            <v>30210</v>
          </cell>
          <cell r="B84" t="str">
            <v>Reforço de Sub-Leito com Bica-Corrida</v>
          </cell>
          <cell r="C84" t="str">
            <v>m³</v>
          </cell>
          <cell r="D84">
            <v>40.799999999999997</v>
          </cell>
          <cell r="E84">
            <v>1.1100000000000001</v>
          </cell>
          <cell r="F84">
            <v>41.91</v>
          </cell>
        </row>
        <row r="85">
          <cell r="A85">
            <v>30300</v>
          </cell>
          <cell r="B85" t="str">
            <v>Base ou Sub-Base</v>
          </cell>
          <cell r="D85">
            <v>0</v>
          </cell>
          <cell r="E85">
            <v>0</v>
          </cell>
        </row>
        <row r="86">
          <cell r="A86">
            <v>30301</v>
          </cell>
          <cell r="B86" t="str">
            <v>Sub-Base Solo - 2,5% Cimento, excluindo Solo</v>
          </cell>
          <cell r="C86" t="str">
            <v>m³</v>
          </cell>
          <cell r="D86">
            <v>21.03</v>
          </cell>
          <cell r="E86">
            <v>0.68</v>
          </cell>
          <cell r="F86">
            <v>21.71</v>
          </cell>
        </row>
        <row r="87">
          <cell r="A87">
            <v>30302</v>
          </cell>
          <cell r="B87" t="str">
            <v>Acréscimo/Redução - 0,5% Cimento p/ Sub-Base Solo</v>
          </cell>
          <cell r="C87" t="str">
            <v>m³</v>
          </cell>
          <cell r="D87">
            <v>1.86</v>
          </cell>
          <cell r="E87">
            <v>0</v>
          </cell>
          <cell r="F87">
            <v>1.86</v>
          </cell>
        </row>
        <row r="88">
          <cell r="A88">
            <v>30303</v>
          </cell>
          <cell r="B88" t="str">
            <v>Base ou Sub-Base de Bica Corrida</v>
          </cell>
          <cell r="C88" t="str">
            <v>m³</v>
          </cell>
          <cell r="D88">
            <v>40.799999999999997</v>
          </cell>
          <cell r="E88">
            <v>0.59</v>
          </cell>
          <cell r="F88">
            <v>41.39</v>
          </cell>
        </row>
        <row r="89">
          <cell r="A89">
            <v>30304</v>
          </cell>
          <cell r="B89" t="str">
            <v>Base de Bica Corrida com 6% de Emulsão em Peso</v>
          </cell>
          <cell r="C89" t="str">
            <v>m³</v>
          </cell>
          <cell r="D89">
            <v>90.54</v>
          </cell>
          <cell r="E89">
            <v>0.28000000000000003</v>
          </cell>
          <cell r="F89">
            <v>90.820000000000007</v>
          </cell>
        </row>
        <row r="90">
          <cell r="A90">
            <v>30305</v>
          </cell>
          <cell r="B90" t="str">
            <v>Acréscimo/Redução - 0,5% Emulsão p/ Bica Corrida</v>
          </cell>
          <cell r="C90" t="str">
            <v>m³</v>
          </cell>
          <cell r="D90">
            <v>4.1399999999999997</v>
          </cell>
          <cell r="E90">
            <v>0</v>
          </cell>
          <cell r="F90">
            <v>4.1399999999999997</v>
          </cell>
        </row>
        <row r="91">
          <cell r="A91">
            <v>30306</v>
          </cell>
          <cell r="B91" t="str">
            <v>Base ou Sub-Base de Pedra Britada</v>
          </cell>
          <cell r="C91" t="str">
            <v>m³</v>
          </cell>
          <cell r="D91">
            <v>40.119999999999997</v>
          </cell>
          <cell r="E91">
            <v>0.59</v>
          </cell>
          <cell r="F91">
            <v>40.71</v>
          </cell>
        </row>
        <row r="92">
          <cell r="A92">
            <v>30307</v>
          </cell>
          <cell r="B92" t="str">
            <v>Base de Pedra Britada com 2,5% de Emulsão em Peso</v>
          </cell>
          <cell r="C92" t="str">
            <v>m³</v>
          </cell>
          <cell r="D92">
            <v>66.31</v>
          </cell>
          <cell r="E92">
            <v>1.1100000000000001</v>
          </cell>
          <cell r="F92">
            <v>67.42</v>
          </cell>
        </row>
        <row r="93">
          <cell r="A93">
            <v>30308</v>
          </cell>
          <cell r="B93" t="str">
            <v>Acréscimo/Redução - 0,5% Emulsão p/ Pedra Britada</v>
          </cell>
          <cell r="C93" t="str">
            <v>m³</v>
          </cell>
          <cell r="D93">
            <v>4.1399999999999997</v>
          </cell>
          <cell r="E93">
            <v>0</v>
          </cell>
          <cell r="F93">
            <v>4.1399999999999997</v>
          </cell>
        </row>
        <row r="94">
          <cell r="A94">
            <v>30309</v>
          </cell>
          <cell r="B94" t="str">
            <v>Base ou Sub-Base de Pedra Rachão</v>
          </cell>
          <cell r="C94" t="str">
            <v>m³</v>
          </cell>
          <cell r="D94">
            <v>36.72</v>
          </cell>
          <cell r="E94">
            <v>0.62</v>
          </cell>
          <cell r="F94">
            <v>37.339999999999996</v>
          </cell>
        </row>
        <row r="95">
          <cell r="A95">
            <v>30310</v>
          </cell>
          <cell r="B95" t="str">
            <v>Base de Macadame Hidráulico</v>
          </cell>
          <cell r="C95" t="str">
            <v>m³</v>
          </cell>
          <cell r="D95">
            <v>48.2</v>
          </cell>
          <cell r="E95">
            <v>2.66</v>
          </cell>
          <cell r="F95">
            <v>50.86</v>
          </cell>
        </row>
        <row r="96">
          <cell r="A96">
            <v>30311</v>
          </cell>
          <cell r="B96" t="str">
            <v>Base de Macadame Betuminoso</v>
          </cell>
          <cell r="C96" t="str">
            <v>m³</v>
          </cell>
          <cell r="D96">
            <v>80.180000000000007</v>
          </cell>
          <cell r="E96">
            <v>2.66</v>
          </cell>
          <cell r="F96">
            <v>82.84</v>
          </cell>
        </row>
        <row r="97">
          <cell r="A97">
            <v>30312</v>
          </cell>
          <cell r="B97" t="str">
            <v>Base ou Sub-Base de Brita Graduada Simples</v>
          </cell>
          <cell r="C97" t="str">
            <v>m³</v>
          </cell>
          <cell r="D97">
            <v>40.74</v>
          </cell>
          <cell r="E97">
            <v>0.89</v>
          </cell>
          <cell r="F97">
            <v>41.63</v>
          </cell>
        </row>
        <row r="98">
          <cell r="A98">
            <v>30314</v>
          </cell>
          <cell r="B98" t="str">
            <v>Base de Brita Graduada Tratada com 5% de Cimento em Peso</v>
          </cell>
          <cell r="C98" t="str">
            <v>m³</v>
          </cell>
          <cell r="D98">
            <v>76.650000000000006</v>
          </cell>
          <cell r="E98">
            <v>0.89</v>
          </cell>
          <cell r="F98">
            <v>77.540000000000006</v>
          </cell>
        </row>
        <row r="99">
          <cell r="A99">
            <v>30316</v>
          </cell>
          <cell r="B99" t="str">
            <v xml:space="preserve">Acréscimo/Redução - 0,5% Cimento p/ BGTC </v>
          </cell>
          <cell r="C99" t="str">
            <v>m³</v>
          </cell>
          <cell r="D99">
            <v>1.92</v>
          </cell>
          <cell r="E99">
            <v>0</v>
          </cell>
          <cell r="F99">
            <v>1.92</v>
          </cell>
        </row>
        <row r="100">
          <cell r="A100">
            <v>30400</v>
          </cell>
          <cell r="B100" t="str">
            <v>Capa Selante</v>
          </cell>
          <cell r="D100">
            <v>0</v>
          </cell>
          <cell r="E100">
            <v>0</v>
          </cell>
        </row>
        <row r="101">
          <cell r="A101">
            <v>30401</v>
          </cell>
          <cell r="B101" t="str">
            <v>Capa Selante</v>
          </cell>
          <cell r="C101" t="str">
            <v>m²</v>
          </cell>
          <cell r="D101">
            <v>0.62</v>
          </cell>
          <cell r="E101">
            <v>0.12</v>
          </cell>
          <cell r="F101">
            <v>0.74</v>
          </cell>
        </row>
        <row r="102">
          <cell r="A102">
            <v>30500</v>
          </cell>
          <cell r="B102" t="str">
            <v>Pré-Misturado</v>
          </cell>
          <cell r="D102">
            <v>0</v>
          </cell>
          <cell r="E102">
            <v>0</v>
          </cell>
        </row>
        <row r="103">
          <cell r="A103">
            <v>30501</v>
          </cell>
          <cell r="B103" t="str">
            <v>Pré-Misturado à Frio - Terceiros</v>
          </cell>
          <cell r="C103" t="str">
            <v>m³</v>
          </cell>
          <cell r="D103">
            <v>102.65</v>
          </cell>
          <cell r="E103">
            <v>2.2799999999999998</v>
          </cell>
          <cell r="F103">
            <v>104.93</v>
          </cell>
        </row>
        <row r="104">
          <cell r="A104">
            <v>30502</v>
          </cell>
          <cell r="B104" t="str">
            <v>Pré-Misturado à Frio - Usinado</v>
          </cell>
          <cell r="C104" t="str">
            <v>m³</v>
          </cell>
          <cell r="D104">
            <v>91.64</v>
          </cell>
          <cell r="E104">
            <v>2.2799999999999998</v>
          </cell>
          <cell r="F104">
            <v>93.92</v>
          </cell>
        </row>
        <row r="105">
          <cell r="A105">
            <v>30503</v>
          </cell>
          <cell r="B105" t="str">
            <v>Pré-Misturado à Quente - Terceiros</v>
          </cell>
          <cell r="C105" t="str">
            <v>m³</v>
          </cell>
          <cell r="D105">
            <v>119.29</v>
          </cell>
          <cell r="E105">
            <v>3.52</v>
          </cell>
          <cell r="F105">
            <v>122.81</v>
          </cell>
        </row>
        <row r="106">
          <cell r="A106">
            <v>30504</v>
          </cell>
          <cell r="B106" t="str">
            <v>Pré-Misturado à Quente - Usinado</v>
          </cell>
          <cell r="C106" t="str">
            <v>m³</v>
          </cell>
          <cell r="D106">
            <v>103.72</v>
          </cell>
          <cell r="E106">
            <v>3.52</v>
          </cell>
          <cell r="F106">
            <v>107.24</v>
          </cell>
        </row>
        <row r="107">
          <cell r="A107">
            <v>30600</v>
          </cell>
          <cell r="B107" t="str">
            <v>Imprimadura Betuminosa</v>
          </cell>
          <cell r="D107">
            <v>0</v>
          </cell>
          <cell r="E107">
            <v>0</v>
          </cell>
        </row>
        <row r="108">
          <cell r="A108">
            <v>30601</v>
          </cell>
          <cell r="B108" t="str">
            <v>Imprimadura Betuminosa - taxa &lt;= 0,7 kg/m²</v>
          </cell>
          <cell r="C108" t="str">
            <v>m²</v>
          </cell>
          <cell r="D108">
            <v>0.24</v>
          </cell>
          <cell r="E108">
            <v>0.03</v>
          </cell>
          <cell r="F108">
            <v>0.27</v>
          </cell>
        </row>
        <row r="109">
          <cell r="A109">
            <v>30602</v>
          </cell>
          <cell r="B109" t="str">
            <v>Imprimadura Betuminosa - 0,7 &lt; taxa &lt;= 1,5 kg/m² - Ligante</v>
          </cell>
          <cell r="C109" t="str">
            <v>m²</v>
          </cell>
          <cell r="D109">
            <v>0.38</v>
          </cell>
          <cell r="E109">
            <v>0.03</v>
          </cell>
          <cell r="F109">
            <v>0.41000000000000003</v>
          </cell>
        </row>
        <row r="110">
          <cell r="A110">
            <v>30603</v>
          </cell>
          <cell r="B110" t="str">
            <v>Imprimadura Betuminosa - taxa &gt; 1,5 kg/m² - Impermeabilizante</v>
          </cell>
          <cell r="C110" t="str">
            <v>m²</v>
          </cell>
          <cell r="D110">
            <v>0.53</v>
          </cell>
          <cell r="E110">
            <v>0.03</v>
          </cell>
          <cell r="F110">
            <v>0.56000000000000005</v>
          </cell>
        </row>
        <row r="111">
          <cell r="A111">
            <v>30700</v>
          </cell>
          <cell r="B111" t="str">
            <v>Concreto Betuminoso</v>
          </cell>
          <cell r="D111">
            <v>0</v>
          </cell>
          <cell r="E111">
            <v>0</v>
          </cell>
        </row>
        <row r="112">
          <cell r="A112">
            <v>30701</v>
          </cell>
          <cell r="B112" t="str">
            <v>Concreto Betuminoso Usinado à Quente Faixa B - Terceiros</v>
          </cell>
          <cell r="C112" t="str">
            <v>m³</v>
          </cell>
          <cell r="D112">
            <v>133.62</v>
          </cell>
          <cell r="E112">
            <v>4.08</v>
          </cell>
          <cell r="F112">
            <v>137.70000000000002</v>
          </cell>
        </row>
        <row r="113">
          <cell r="A113">
            <v>30702</v>
          </cell>
          <cell r="B113" t="str">
            <v>Concreto Betuminoso Usinado à Quente Faixa B - Usinado</v>
          </cell>
          <cell r="C113" t="str">
            <v>m³</v>
          </cell>
          <cell r="D113">
            <v>115.21</v>
          </cell>
          <cell r="E113">
            <v>4.08</v>
          </cell>
          <cell r="F113">
            <v>119.28999999999999</v>
          </cell>
        </row>
        <row r="114">
          <cell r="A114">
            <v>30703</v>
          </cell>
          <cell r="B114" t="str">
            <v>Concreto Betuminoso Usinado à Quente Faixa C - Terceiros</v>
          </cell>
          <cell r="C114" t="str">
            <v>m³</v>
          </cell>
          <cell r="D114">
            <v>150.88999999999999</v>
          </cell>
          <cell r="E114">
            <v>4.41</v>
          </cell>
          <cell r="F114">
            <v>155.29999999999998</v>
          </cell>
        </row>
        <row r="115">
          <cell r="A115">
            <v>30704</v>
          </cell>
          <cell r="B115" t="str">
            <v>Concreto Betuminoso Usinado à Quente Faixa C - Usinado</v>
          </cell>
          <cell r="C115" t="str">
            <v>m³</v>
          </cell>
          <cell r="D115">
            <v>128.33000000000001</v>
          </cell>
          <cell r="E115">
            <v>4.41</v>
          </cell>
          <cell r="F115">
            <v>132.74</v>
          </cell>
        </row>
        <row r="116">
          <cell r="A116">
            <v>30800</v>
          </cell>
          <cell r="B116" t="str">
            <v>Tratamento Superficial</v>
          </cell>
          <cell r="D116">
            <v>0</v>
          </cell>
          <cell r="E116">
            <v>0</v>
          </cell>
        </row>
        <row r="117">
          <cell r="A117">
            <v>30801</v>
          </cell>
          <cell r="B117" t="str">
            <v>Tratamento Superficial Simples</v>
          </cell>
          <cell r="C117" t="str">
            <v>m²</v>
          </cell>
          <cell r="D117">
            <v>0.78</v>
          </cell>
          <cell r="E117">
            <v>0.12</v>
          </cell>
          <cell r="F117">
            <v>0.9</v>
          </cell>
        </row>
        <row r="118">
          <cell r="A118">
            <v>30802</v>
          </cell>
          <cell r="B118" t="str">
            <v>Tratamento Superficial Duplo</v>
          </cell>
          <cell r="C118" t="str">
            <v>m²</v>
          </cell>
          <cell r="D118">
            <v>1.78</v>
          </cell>
          <cell r="E118">
            <v>0.15</v>
          </cell>
          <cell r="F118">
            <v>1.93</v>
          </cell>
        </row>
        <row r="119">
          <cell r="A119">
            <v>30803</v>
          </cell>
          <cell r="B119" t="str">
            <v>Tratamento Superficial Triplo</v>
          </cell>
          <cell r="C119" t="str">
            <v>m²</v>
          </cell>
          <cell r="D119">
            <v>2.61</v>
          </cell>
          <cell r="E119">
            <v>0.34</v>
          </cell>
          <cell r="F119">
            <v>2.9499999999999997</v>
          </cell>
        </row>
        <row r="120">
          <cell r="A120">
            <v>30900</v>
          </cell>
          <cell r="B120" t="str">
            <v>Pavimento Articulado</v>
          </cell>
          <cell r="D120">
            <v>0</v>
          </cell>
          <cell r="E120">
            <v>0</v>
          </cell>
        </row>
        <row r="121">
          <cell r="A121">
            <v>30901</v>
          </cell>
          <cell r="B121" t="str">
            <v>Pavimento Articulado de Concreto E = 0,06 m</v>
          </cell>
          <cell r="C121" t="str">
            <v>m²</v>
          </cell>
          <cell r="D121">
            <v>36.950000000000003</v>
          </cell>
          <cell r="E121">
            <v>0</v>
          </cell>
          <cell r="F121">
            <v>36.950000000000003</v>
          </cell>
        </row>
        <row r="122">
          <cell r="A122">
            <v>30902</v>
          </cell>
          <cell r="B122" t="str">
            <v>Pavimento Articulado de Concreto E = 0,08 m</v>
          </cell>
          <cell r="C122" t="str">
            <v>m²</v>
          </cell>
          <cell r="D122">
            <v>39.450000000000003</v>
          </cell>
          <cell r="E122">
            <v>0</v>
          </cell>
          <cell r="F122">
            <v>39.450000000000003</v>
          </cell>
        </row>
        <row r="123">
          <cell r="A123">
            <v>30903</v>
          </cell>
          <cell r="B123" t="str">
            <v>Pavimento Articulado de Concreto E = 0,10 m</v>
          </cell>
          <cell r="C123" t="str">
            <v>m²</v>
          </cell>
          <cell r="D123">
            <v>41.18</v>
          </cell>
          <cell r="E123">
            <v>0</v>
          </cell>
          <cell r="F123">
            <v>41.18</v>
          </cell>
        </row>
        <row r="124">
          <cell r="A124">
            <v>31000</v>
          </cell>
          <cell r="B124" t="str">
            <v>Pavimento de Concreto</v>
          </cell>
          <cell r="D124">
            <v>0</v>
          </cell>
          <cell r="E124">
            <v>0</v>
          </cell>
        </row>
        <row r="125">
          <cell r="A125">
            <v>31901</v>
          </cell>
          <cell r="B125" t="str">
            <v>Pav. Concreto sobre Plataforma de Terraplenagem - Manual / Terceiros</v>
          </cell>
          <cell r="C125" t="str">
            <v>m³</v>
          </cell>
          <cell r="D125">
            <v>215.7</v>
          </cell>
          <cell r="E125">
            <v>38.68</v>
          </cell>
          <cell r="F125">
            <v>254.38</v>
          </cell>
        </row>
        <row r="126">
          <cell r="A126">
            <v>31902</v>
          </cell>
          <cell r="B126" t="str">
            <v>Pav. Concreto sobre Plataforma de Terraplenagem - Manual / Usinado</v>
          </cell>
          <cell r="C126" t="str">
            <v>m³</v>
          </cell>
          <cell r="D126">
            <v>180.77</v>
          </cell>
          <cell r="E126">
            <v>51.93</v>
          </cell>
          <cell r="F126">
            <v>232.70000000000002</v>
          </cell>
        </row>
        <row r="127">
          <cell r="A127">
            <v>31903</v>
          </cell>
          <cell r="B127" t="str">
            <v>Pav. Concreto sobre Plataforma de Terraplenagem - Mec. / Terceiros</v>
          </cell>
          <cell r="C127" t="str">
            <v>m³</v>
          </cell>
          <cell r="D127">
            <v>199.27</v>
          </cell>
          <cell r="E127">
            <v>12.89</v>
          </cell>
          <cell r="F127">
            <v>212.16000000000003</v>
          </cell>
        </row>
        <row r="128">
          <cell r="A128">
            <v>31904</v>
          </cell>
          <cell r="B128" t="str">
            <v>Pav. Concreto sobre Plataforma de Terraplenagem - Mec. / Usinado</v>
          </cell>
          <cell r="C128" t="str">
            <v>m³</v>
          </cell>
          <cell r="D128">
            <v>167.98</v>
          </cell>
          <cell r="E128">
            <v>17.309999999999999</v>
          </cell>
          <cell r="F128">
            <v>185.29</v>
          </cell>
        </row>
        <row r="129">
          <cell r="A129">
            <v>31905</v>
          </cell>
          <cell r="B129" t="str">
            <v>Pav. Concreto sobre Plat. Terrap. - Pedágio/Balança - Manual / Terceiros</v>
          </cell>
          <cell r="C129" t="str">
            <v>m³</v>
          </cell>
          <cell r="D129">
            <v>217.93</v>
          </cell>
          <cell r="E129">
            <v>99.36</v>
          </cell>
          <cell r="F129">
            <v>317.29000000000002</v>
          </cell>
        </row>
        <row r="130">
          <cell r="A130">
            <v>31906</v>
          </cell>
          <cell r="B130" t="str">
            <v>Pav. Concreto sobre Plat. Terrap. - Pedágio/Balança - Manual / Usinado</v>
          </cell>
          <cell r="C130" t="str">
            <v>m³</v>
          </cell>
          <cell r="D130">
            <v>200.26</v>
          </cell>
          <cell r="E130">
            <v>70.430000000000007</v>
          </cell>
          <cell r="F130">
            <v>270.69</v>
          </cell>
        </row>
        <row r="131">
          <cell r="A131">
            <v>31907</v>
          </cell>
          <cell r="B131" t="str">
            <v>Pav. Concreto sobre Plat. Terrap. - Pedágio/Balança - Mec. / Terceiros</v>
          </cell>
          <cell r="C131" t="str">
            <v>m³</v>
          </cell>
          <cell r="D131">
            <v>221.04</v>
          </cell>
          <cell r="E131">
            <v>23.34</v>
          </cell>
          <cell r="F131">
            <v>244.38</v>
          </cell>
        </row>
        <row r="132">
          <cell r="A132">
            <v>31908</v>
          </cell>
          <cell r="B132" t="str">
            <v>Pav. Concreto sobre Plat. Terrap. - Pedágio/Balança - Mec. / Usinado</v>
          </cell>
          <cell r="C132" t="str">
            <v>m³</v>
          </cell>
          <cell r="D132">
            <v>189.27</v>
          </cell>
          <cell r="E132">
            <v>34.6</v>
          </cell>
          <cell r="F132">
            <v>223.87</v>
          </cell>
        </row>
        <row r="133">
          <cell r="A133">
            <v>31909</v>
          </cell>
          <cell r="B133" t="str">
            <v>Pavimento de Concreto sobre O.A.E. - Manual / Terceiros</v>
          </cell>
          <cell r="C133" t="str">
            <v>m³</v>
          </cell>
          <cell r="D133">
            <v>259.74</v>
          </cell>
          <cell r="E133">
            <v>123.44</v>
          </cell>
          <cell r="F133">
            <v>383.18</v>
          </cell>
        </row>
        <row r="134">
          <cell r="A134">
            <v>31910</v>
          </cell>
          <cell r="B134" t="str">
            <v>Pavimento de Concreto sobre O.A.E. - Manual / Usinado</v>
          </cell>
          <cell r="C134" t="str">
            <v>m³</v>
          </cell>
          <cell r="D134">
            <v>224.61</v>
          </cell>
          <cell r="E134">
            <v>91.64</v>
          </cell>
          <cell r="F134">
            <v>316.25</v>
          </cell>
        </row>
        <row r="135">
          <cell r="A135">
            <v>31911</v>
          </cell>
          <cell r="B135" t="str">
            <v>Pavimento de Concreto sobre O.A.E. - Mecânico / Terceiros</v>
          </cell>
          <cell r="C135" t="str">
            <v>m³</v>
          </cell>
          <cell r="D135">
            <v>251.86</v>
          </cell>
          <cell r="E135">
            <v>41.51</v>
          </cell>
          <cell r="F135">
            <v>293.37</v>
          </cell>
        </row>
        <row r="136">
          <cell r="A136">
            <v>31912</v>
          </cell>
          <cell r="B136" t="str">
            <v>Pavimento de Concreto sobre O.A.E. - Mecânico / Usinado</v>
          </cell>
          <cell r="C136" t="str">
            <v>m³</v>
          </cell>
          <cell r="D136">
            <v>220.62</v>
          </cell>
          <cell r="E136">
            <v>41.51</v>
          </cell>
          <cell r="F136">
            <v>262.13</v>
          </cell>
        </row>
        <row r="137">
          <cell r="A137">
            <v>31913</v>
          </cell>
          <cell r="B137" t="str">
            <v>Pavimento de Concreto Pobre para Base de Pav. Rígido - Terceiros</v>
          </cell>
          <cell r="C137" t="str">
            <v>m³</v>
          </cell>
          <cell r="D137">
            <v>124.73</v>
          </cell>
          <cell r="E137">
            <v>1.32</v>
          </cell>
          <cell r="F137">
            <v>126.05</v>
          </cell>
        </row>
        <row r="138">
          <cell r="A138">
            <v>31914</v>
          </cell>
          <cell r="B138" t="str">
            <v>Pavimento de Concreto Pobre para Base de Pav. Rígido - Usinado</v>
          </cell>
          <cell r="C138" t="str">
            <v>m³</v>
          </cell>
          <cell r="D138">
            <v>95.46</v>
          </cell>
          <cell r="E138">
            <v>1.32</v>
          </cell>
          <cell r="F138">
            <v>96.779999999999987</v>
          </cell>
        </row>
        <row r="139">
          <cell r="A139">
            <v>40000</v>
          </cell>
          <cell r="B139" t="str">
            <v>Obras de Arte Corrente e Drenagem</v>
          </cell>
          <cell r="D139">
            <v>0</v>
          </cell>
          <cell r="E139">
            <v>0</v>
          </cell>
        </row>
        <row r="140">
          <cell r="A140">
            <v>40100</v>
          </cell>
          <cell r="B140" t="str">
            <v>Escavação de Material</v>
          </cell>
          <cell r="D140">
            <v>0</v>
          </cell>
          <cell r="E140">
            <v>0</v>
          </cell>
        </row>
        <row r="141">
          <cell r="A141">
            <v>40101</v>
          </cell>
          <cell r="B141" t="str">
            <v>Escavação Manual sem Explosivos - Transporte até 100 dam</v>
          </cell>
          <cell r="C141" t="str">
            <v>m³</v>
          </cell>
          <cell r="D141">
            <v>5.62</v>
          </cell>
          <cell r="E141">
            <v>15.39</v>
          </cell>
          <cell r="F141">
            <v>21.01</v>
          </cell>
        </row>
        <row r="142">
          <cell r="A142">
            <v>40102</v>
          </cell>
          <cell r="B142" t="str">
            <v>Escavação Mecânica sem Explosivos - Transporte até 100 dam</v>
          </cell>
          <cell r="C142" t="str">
            <v>m³</v>
          </cell>
          <cell r="D142">
            <v>5.48</v>
          </cell>
          <cell r="E142">
            <v>1.03</v>
          </cell>
          <cell r="F142">
            <v>6.5100000000000007</v>
          </cell>
        </row>
        <row r="143">
          <cell r="A143">
            <v>40103</v>
          </cell>
          <cell r="B143" t="str">
            <v>Escavação Manual com Explosivos - Transporte até 100 dam</v>
          </cell>
          <cell r="C143" t="str">
            <v>m³</v>
          </cell>
          <cell r="D143">
            <v>27.08</v>
          </cell>
          <cell r="E143">
            <v>16.350000000000001</v>
          </cell>
          <cell r="F143">
            <v>43.43</v>
          </cell>
        </row>
        <row r="144">
          <cell r="A144">
            <v>40104</v>
          </cell>
          <cell r="B144" t="str">
            <v>Escavação Mecânica com Explosivos - Transporte até 100 dam</v>
          </cell>
          <cell r="C144" t="str">
            <v>m³</v>
          </cell>
          <cell r="D144">
            <v>17.29</v>
          </cell>
          <cell r="E144">
            <v>5.13</v>
          </cell>
          <cell r="F144">
            <v>22.419999999999998</v>
          </cell>
        </row>
        <row r="145">
          <cell r="A145">
            <v>40105</v>
          </cell>
          <cell r="B145" t="str">
            <v>Escavação Manual sem Explosivos - Transp. até 100 dam - Corta-Rios</v>
          </cell>
          <cell r="C145" t="str">
            <v>m³</v>
          </cell>
          <cell r="D145">
            <v>5.48</v>
          </cell>
          <cell r="E145">
            <v>1.03</v>
          </cell>
          <cell r="F145">
            <v>6.5100000000000007</v>
          </cell>
        </row>
        <row r="146">
          <cell r="A146">
            <v>40106</v>
          </cell>
          <cell r="B146" t="str">
            <v>Escavação Mec. sem Explosivos - Transp. até 100 dam - Corta-Rios</v>
          </cell>
          <cell r="C146" t="str">
            <v>m³</v>
          </cell>
          <cell r="D146">
            <v>5.62</v>
          </cell>
          <cell r="E146">
            <v>15.39</v>
          </cell>
          <cell r="F146">
            <v>21.01</v>
          </cell>
        </row>
        <row r="147">
          <cell r="A147">
            <v>40107</v>
          </cell>
          <cell r="B147" t="str">
            <v>Escavação Mec. com Explosivos - Transp. até 100 dam - Corta-Rios</v>
          </cell>
          <cell r="C147" t="str">
            <v>m³</v>
          </cell>
          <cell r="D147">
            <v>17.29</v>
          </cell>
          <cell r="E147">
            <v>5.13</v>
          </cell>
          <cell r="F147">
            <v>22.419999999999998</v>
          </cell>
        </row>
        <row r="148">
          <cell r="A148">
            <v>40200</v>
          </cell>
          <cell r="B148" t="str">
            <v>Enchimento de Vala</v>
          </cell>
          <cell r="D148">
            <v>0</v>
          </cell>
          <cell r="E148">
            <v>0</v>
          </cell>
        </row>
        <row r="149">
          <cell r="A149">
            <v>40201</v>
          </cell>
          <cell r="B149" t="str">
            <v>Enchimento de Vala com Pedra Britada 1 e 2</v>
          </cell>
          <cell r="C149" t="str">
            <v>m³</v>
          </cell>
          <cell r="D149">
            <v>39.49</v>
          </cell>
          <cell r="E149">
            <v>4.2699999999999996</v>
          </cell>
          <cell r="F149">
            <v>43.760000000000005</v>
          </cell>
        </row>
        <row r="150">
          <cell r="A150">
            <v>40202</v>
          </cell>
          <cell r="B150" t="str">
            <v>Enchimento de Vala com Pedra Britada 3 e 4</v>
          </cell>
          <cell r="C150" t="str">
            <v>m³</v>
          </cell>
          <cell r="D150">
            <v>35.1</v>
          </cell>
          <cell r="E150">
            <v>4.2699999999999996</v>
          </cell>
          <cell r="F150">
            <v>39.370000000000005</v>
          </cell>
        </row>
        <row r="151">
          <cell r="A151">
            <v>40203</v>
          </cell>
          <cell r="B151" t="str">
            <v>Enchimento de Vala com Areia Lavada</v>
          </cell>
          <cell r="C151" t="str">
            <v>m³</v>
          </cell>
          <cell r="D151">
            <v>41.59</v>
          </cell>
          <cell r="E151">
            <v>8.56</v>
          </cell>
          <cell r="F151">
            <v>50.150000000000006</v>
          </cell>
        </row>
        <row r="152">
          <cell r="A152">
            <v>40204</v>
          </cell>
          <cell r="B152" t="str">
            <v>Enchimento de Vala com Pedra Rachão</v>
          </cell>
          <cell r="C152" t="str">
            <v>m³</v>
          </cell>
          <cell r="D152">
            <v>31.59</v>
          </cell>
          <cell r="E152">
            <v>4.2699999999999996</v>
          </cell>
          <cell r="F152">
            <v>35.86</v>
          </cell>
        </row>
        <row r="153">
          <cell r="A153">
            <v>40205</v>
          </cell>
          <cell r="B153" t="str">
            <v>Enchimento de Vala com Bica Corrida</v>
          </cell>
          <cell r="C153" t="str">
            <v>m³</v>
          </cell>
          <cell r="D153">
            <v>35.1</v>
          </cell>
          <cell r="E153">
            <v>4.2699999999999996</v>
          </cell>
          <cell r="F153">
            <v>39.370000000000005</v>
          </cell>
        </row>
        <row r="154">
          <cell r="A154">
            <v>40206</v>
          </cell>
          <cell r="B154" t="str">
            <v>Enchimento de Vala com Concreto fck 9 MPa</v>
          </cell>
          <cell r="C154" t="str">
            <v>m³</v>
          </cell>
          <cell r="D154">
            <v>103.6</v>
          </cell>
          <cell r="E154">
            <v>21.95</v>
          </cell>
          <cell r="F154">
            <v>125.55</v>
          </cell>
        </row>
        <row r="155">
          <cell r="A155">
            <v>40300</v>
          </cell>
          <cell r="B155" t="str">
            <v>Escoramento de Cavas</v>
          </cell>
          <cell r="D155">
            <v>0</v>
          </cell>
          <cell r="E155">
            <v>0</v>
          </cell>
        </row>
        <row r="156">
          <cell r="A156">
            <v>40301</v>
          </cell>
          <cell r="B156" t="str">
            <v>Escoramento Contínuo de Cavas</v>
          </cell>
          <cell r="C156" t="str">
            <v>m²</v>
          </cell>
          <cell r="D156">
            <v>16.36</v>
          </cell>
          <cell r="E156">
            <v>20.440000000000001</v>
          </cell>
          <cell r="F156">
            <v>36.799999999999997</v>
          </cell>
        </row>
        <row r="157">
          <cell r="A157">
            <v>40302</v>
          </cell>
          <cell r="B157" t="str">
            <v>Escoramento Descontínuo de Cavas</v>
          </cell>
          <cell r="C157" t="str">
            <v>m²</v>
          </cell>
          <cell r="D157">
            <v>9.98</v>
          </cell>
          <cell r="E157">
            <v>13.64</v>
          </cell>
          <cell r="F157">
            <v>23.62</v>
          </cell>
        </row>
        <row r="158">
          <cell r="A158">
            <v>40400</v>
          </cell>
          <cell r="B158" t="str">
            <v>Concreto - Fornecimento/Transporte/Lançamento/Adensamento/Cura</v>
          </cell>
          <cell r="D158">
            <v>0</v>
          </cell>
          <cell r="E158">
            <v>0</v>
          </cell>
        </row>
        <row r="159">
          <cell r="A159">
            <v>40401</v>
          </cell>
          <cell r="B159" t="str">
            <v>Concreto fck 7,5 MPa - Terceiros</v>
          </cell>
          <cell r="C159" t="str">
            <v>m³</v>
          </cell>
          <cell r="D159">
            <v>116.52</v>
          </cell>
          <cell r="E159">
            <v>21.95</v>
          </cell>
          <cell r="F159">
            <v>138.47</v>
          </cell>
        </row>
        <row r="160">
          <cell r="A160">
            <v>40402</v>
          </cell>
          <cell r="B160" t="str">
            <v>Concreto fck 7,5 MPa - Usinado</v>
          </cell>
          <cell r="C160" t="str">
            <v>m³</v>
          </cell>
          <cell r="D160">
            <v>78.17</v>
          </cell>
          <cell r="E160">
            <v>21.95</v>
          </cell>
          <cell r="F160">
            <v>100.12</v>
          </cell>
        </row>
        <row r="161">
          <cell r="A161">
            <v>40403</v>
          </cell>
          <cell r="B161" t="str">
            <v>Concreto fck 9 MPa - Terceiros</v>
          </cell>
          <cell r="C161" t="str">
            <v>m³</v>
          </cell>
          <cell r="D161">
            <v>133.63999999999999</v>
          </cell>
          <cell r="E161">
            <v>21.95</v>
          </cell>
          <cell r="F161">
            <v>155.58999999999997</v>
          </cell>
        </row>
        <row r="162">
          <cell r="A162">
            <v>40404</v>
          </cell>
          <cell r="B162" t="str">
            <v>Concreto fck 9 MPa - Usinado</v>
          </cell>
          <cell r="C162" t="str">
            <v>m³</v>
          </cell>
          <cell r="D162">
            <v>106.16</v>
          </cell>
          <cell r="E162">
            <v>21.95</v>
          </cell>
          <cell r="F162">
            <v>128.10999999999999</v>
          </cell>
        </row>
        <row r="163">
          <cell r="A163">
            <v>40405</v>
          </cell>
          <cell r="B163" t="str">
            <v>Concreto fck 10 MPa - Terceiros</v>
          </cell>
          <cell r="C163" t="str">
            <v>m³</v>
          </cell>
          <cell r="D163">
            <v>135.05000000000001</v>
          </cell>
          <cell r="E163">
            <v>21.95</v>
          </cell>
          <cell r="F163">
            <v>157</v>
          </cell>
        </row>
        <row r="164">
          <cell r="A164">
            <v>40406</v>
          </cell>
          <cell r="B164" t="str">
            <v>Concreto fck 10 MPa - Usinado</v>
          </cell>
          <cell r="C164" t="str">
            <v>m³</v>
          </cell>
          <cell r="D164">
            <v>109.89</v>
          </cell>
          <cell r="E164">
            <v>21.95</v>
          </cell>
          <cell r="F164">
            <v>131.84</v>
          </cell>
        </row>
        <row r="165">
          <cell r="A165">
            <v>40407</v>
          </cell>
          <cell r="B165" t="str">
            <v>Concreto fck 15 MPa - Terceiros</v>
          </cell>
          <cell r="C165" t="str">
            <v>m³</v>
          </cell>
          <cell r="D165">
            <v>148.18</v>
          </cell>
          <cell r="E165">
            <v>21.95</v>
          </cell>
          <cell r="F165">
            <v>170.13</v>
          </cell>
        </row>
        <row r="166">
          <cell r="A166">
            <v>40408</v>
          </cell>
          <cell r="B166" t="str">
            <v>Concreto fck 15 MPa - Usinado</v>
          </cell>
          <cell r="C166" t="str">
            <v>m³</v>
          </cell>
          <cell r="D166">
            <v>121.38</v>
          </cell>
          <cell r="E166">
            <v>21.95</v>
          </cell>
          <cell r="F166">
            <v>143.32999999999998</v>
          </cell>
        </row>
        <row r="167">
          <cell r="A167">
            <v>40409</v>
          </cell>
          <cell r="B167" t="str">
            <v>Concreto fck 18 MPa - Terceiros</v>
          </cell>
          <cell r="C167" t="str">
            <v>m³</v>
          </cell>
          <cell r="D167">
            <v>154.63999999999999</v>
          </cell>
          <cell r="E167">
            <v>21.95</v>
          </cell>
          <cell r="F167">
            <v>176.58999999999997</v>
          </cell>
        </row>
        <row r="168">
          <cell r="A168">
            <v>40410</v>
          </cell>
          <cell r="B168" t="str">
            <v>Concreto fck 18 MPa - Usinado</v>
          </cell>
          <cell r="C168" t="str">
            <v>m³</v>
          </cell>
          <cell r="D168">
            <v>126.56</v>
          </cell>
          <cell r="E168">
            <v>21.95</v>
          </cell>
          <cell r="F168">
            <v>148.51</v>
          </cell>
        </row>
        <row r="169">
          <cell r="A169">
            <v>40411</v>
          </cell>
          <cell r="B169" t="str">
            <v>Concreto fck 20 MPa - Terceiros</v>
          </cell>
          <cell r="C169" t="str">
            <v>m³</v>
          </cell>
          <cell r="D169">
            <v>161.63999999999999</v>
          </cell>
          <cell r="E169">
            <v>21.95</v>
          </cell>
          <cell r="F169">
            <v>183.58999999999997</v>
          </cell>
        </row>
        <row r="170">
          <cell r="A170">
            <v>40412</v>
          </cell>
          <cell r="B170" t="str">
            <v>Concreto fck 20 MPa - Usinado</v>
          </cell>
          <cell r="C170" t="str">
            <v>m³</v>
          </cell>
          <cell r="D170">
            <v>129.75</v>
          </cell>
          <cell r="E170">
            <v>21.95</v>
          </cell>
          <cell r="F170">
            <v>151.69999999999999</v>
          </cell>
        </row>
        <row r="171">
          <cell r="A171">
            <v>40413</v>
          </cell>
          <cell r="B171" t="str">
            <v>Concreto fck 21 MPa - Terceiros</v>
          </cell>
          <cell r="C171" t="str">
            <v>m³</v>
          </cell>
          <cell r="D171">
            <v>166.67</v>
          </cell>
          <cell r="E171">
            <v>21.95</v>
          </cell>
          <cell r="F171">
            <v>188.61999999999998</v>
          </cell>
        </row>
        <row r="172">
          <cell r="A172">
            <v>40414</v>
          </cell>
          <cell r="B172" t="str">
            <v>Concreto fck 21 MPa - Usinado</v>
          </cell>
          <cell r="C172" t="str">
            <v>m³</v>
          </cell>
          <cell r="D172">
            <v>131.38</v>
          </cell>
          <cell r="E172">
            <v>21.95</v>
          </cell>
          <cell r="F172">
            <v>153.32999999999998</v>
          </cell>
        </row>
        <row r="173">
          <cell r="A173">
            <v>40415</v>
          </cell>
          <cell r="B173" t="str">
            <v>Concreto fck 22 MPa - Terceiros</v>
          </cell>
          <cell r="C173" t="str">
            <v>m³</v>
          </cell>
          <cell r="D173">
            <v>170.36</v>
          </cell>
          <cell r="E173">
            <v>21.95</v>
          </cell>
          <cell r="F173">
            <v>192.31</v>
          </cell>
        </row>
        <row r="174">
          <cell r="A174">
            <v>40416</v>
          </cell>
          <cell r="B174" t="str">
            <v>Concreto fck 22 MPa - Usinado</v>
          </cell>
          <cell r="C174" t="str">
            <v>m³</v>
          </cell>
          <cell r="D174">
            <v>133.03</v>
          </cell>
          <cell r="E174">
            <v>21.95</v>
          </cell>
          <cell r="F174">
            <v>154.97999999999999</v>
          </cell>
        </row>
        <row r="175">
          <cell r="A175">
            <v>40417</v>
          </cell>
          <cell r="B175" t="str">
            <v>Concreto fck 24 MPa - Terceiros</v>
          </cell>
          <cell r="C175" t="str">
            <v>m³</v>
          </cell>
          <cell r="D175">
            <v>177.3</v>
          </cell>
          <cell r="E175">
            <v>21.95</v>
          </cell>
          <cell r="F175">
            <v>199.25</v>
          </cell>
        </row>
        <row r="176">
          <cell r="A176">
            <v>40418</v>
          </cell>
          <cell r="B176" t="str">
            <v>Concreto fck 24 MPa - Usinado</v>
          </cell>
          <cell r="C176" t="str">
            <v>m³</v>
          </cell>
          <cell r="D176">
            <v>137.24</v>
          </cell>
          <cell r="E176">
            <v>21.95</v>
          </cell>
          <cell r="F176">
            <v>159.19</v>
          </cell>
        </row>
        <row r="177">
          <cell r="A177">
            <v>40419</v>
          </cell>
          <cell r="B177" t="str">
            <v>Concreto fck 26 MPa - Terceiros</v>
          </cell>
          <cell r="C177" t="str">
            <v>m³</v>
          </cell>
          <cell r="D177">
            <v>184.25</v>
          </cell>
          <cell r="E177">
            <v>21.95</v>
          </cell>
          <cell r="F177">
            <v>206.2</v>
          </cell>
        </row>
        <row r="178">
          <cell r="A178">
            <v>40420</v>
          </cell>
          <cell r="B178" t="str">
            <v>Concreto fck 26 MPa - Usinado</v>
          </cell>
          <cell r="C178" t="str">
            <v>m³</v>
          </cell>
          <cell r="D178">
            <v>139.85</v>
          </cell>
          <cell r="E178">
            <v>21.95</v>
          </cell>
          <cell r="F178">
            <v>161.79999999999998</v>
          </cell>
        </row>
        <row r="179">
          <cell r="A179">
            <v>40421</v>
          </cell>
          <cell r="B179" t="str">
            <v>Concreto fck 27 MPa - Terceiros</v>
          </cell>
          <cell r="C179" t="str">
            <v>m³</v>
          </cell>
          <cell r="D179">
            <v>189.31</v>
          </cell>
          <cell r="E179">
            <v>21.95</v>
          </cell>
          <cell r="F179">
            <v>211.26</v>
          </cell>
        </row>
        <row r="180">
          <cell r="A180">
            <v>40422</v>
          </cell>
          <cell r="B180" t="str">
            <v>Concreto fck 27 MPa - Usinado</v>
          </cell>
          <cell r="C180" t="str">
            <v>m³</v>
          </cell>
          <cell r="D180">
            <v>141.52000000000001</v>
          </cell>
          <cell r="E180">
            <v>21.95</v>
          </cell>
          <cell r="F180">
            <v>163.47</v>
          </cell>
        </row>
        <row r="181">
          <cell r="A181">
            <v>40423</v>
          </cell>
          <cell r="B181" t="str">
            <v>Concreto fck 30 MPa - Terceiros</v>
          </cell>
          <cell r="C181" t="str">
            <v>m³</v>
          </cell>
          <cell r="D181">
            <v>196.53</v>
          </cell>
          <cell r="E181">
            <v>21.95</v>
          </cell>
          <cell r="F181">
            <v>218.48</v>
          </cell>
        </row>
        <row r="182">
          <cell r="A182">
            <v>40424</v>
          </cell>
          <cell r="B182" t="str">
            <v>Concreto fck 30 MPa - Usinado</v>
          </cell>
          <cell r="C182" t="str">
            <v>m³</v>
          </cell>
          <cell r="D182">
            <v>146.52000000000001</v>
          </cell>
          <cell r="E182">
            <v>21.95</v>
          </cell>
          <cell r="F182">
            <v>168.47</v>
          </cell>
        </row>
        <row r="183">
          <cell r="A183">
            <v>40425</v>
          </cell>
          <cell r="B183" t="str">
            <v>Concreto Ciclópico - Terceiros</v>
          </cell>
          <cell r="C183" t="str">
            <v>m³</v>
          </cell>
          <cell r="D183">
            <v>133.88999999999999</v>
          </cell>
          <cell r="E183">
            <v>6.59</v>
          </cell>
          <cell r="F183">
            <v>140.47999999999999</v>
          </cell>
        </row>
        <row r="184">
          <cell r="A184">
            <v>40426</v>
          </cell>
          <cell r="B184" t="str">
            <v>Concreto Ciclópico - Usinado</v>
          </cell>
          <cell r="C184" t="str">
            <v>m³</v>
          </cell>
          <cell r="D184">
            <v>115.14</v>
          </cell>
          <cell r="E184">
            <v>6.59</v>
          </cell>
          <cell r="F184">
            <v>121.73</v>
          </cell>
        </row>
        <row r="185">
          <cell r="A185">
            <v>40428</v>
          </cell>
          <cell r="B185" t="str">
            <v>Bombeamento de Concreto - Qualquer Resitência</v>
          </cell>
          <cell r="C185" t="str">
            <v>m³</v>
          </cell>
          <cell r="D185">
            <v>8.76</v>
          </cell>
          <cell r="E185">
            <v>0</v>
          </cell>
          <cell r="F185">
            <v>8.76</v>
          </cell>
        </row>
        <row r="186">
          <cell r="A186">
            <v>40500</v>
          </cell>
          <cell r="B186" t="str">
            <v>Aço para Concreto Armado</v>
          </cell>
          <cell r="D186">
            <v>0</v>
          </cell>
          <cell r="E186">
            <v>0</v>
          </cell>
        </row>
        <row r="187">
          <cell r="A187">
            <v>40501</v>
          </cell>
          <cell r="B187" t="str">
            <v>Aço para Concreto Armado CA-25</v>
          </cell>
          <cell r="C187" t="str">
            <v>kg</v>
          </cell>
          <cell r="D187">
            <v>1.08</v>
          </cell>
          <cell r="E187">
            <v>1.1499999999999999</v>
          </cell>
          <cell r="F187">
            <v>2.23</v>
          </cell>
        </row>
        <row r="188">
          <cell r="A188">
            <v>40502</v>
          </cell>
          <cell r="B188" t="str">
            <v>Aço para Concreto Armado CA-50</v>
          </cell>
          <cell r="C188" t="str">
            <v>kg</v>
          </cell>
          <cell r="D188">
            <v>1.08</v>
          </cell>
          <cell r="E188">
            <v>1.1499999999999999</v>
          </cell>
          <cell r="F188">
            <v>2.23</v>
          </cell>
        </row>
        <row r="189">
          <cell r="A189">
            <v>40503</v>
          </cell>
          <cell r="B189" t="str">
            <v>Aço para Concreto Armado CA-60</v>
          </cell>
          <cell r="C189" t="str">
            <v>kg</v>
          </cell>
          <cell r="D189">
            <v>1.23</v>
          </cell>
          <cell r="E189">
            <v>1.1499999999999999</v>
          </cell>
          <cell r="F189">
            <v>2.38</v>
          </cell>
        </row>
        <row r="190">
          <cell r="A190">
            <v>40600</v>
          </cell>
          <cell r="B190" t="str">
            <v>Forma para Concreto</v>
          </cell>
          <cell r="D190">
            <v>0</v>
          </cell>
          <cell r="E190">
            <v>0</v>
          </cell>
        </row>
        <row r="191">
          <cell r="A191">
            <v>40601</v>
          </cell>
          <cell r="B191" t="str">
            <v>Forma Plana Comum</v>
          </cell>
          <cell r="C191" t="str">
            <v>m²</v>
          </cell>
          <cell r="D191">
            <v>9.8699999999999992</v>
          </cell>
          <cell r="E191">
            <v>18.55</v>
          </cell>
          <cell r="F191">
            <v>28.42</v>
          </cell>
        </row>
        <row r="192">
          <cell r="A192">
            <v>40602</v>
          </cell>
          <cell r="B192" t="str">
            <v>Forma Plana Aparente</v>
          </cell>
          <cell r="C192" t="str">
            <v>m²</v>
          </cell>
          <cell r="D192">
            <v>10.039999999999999</v>
          </cell>
          <cell r="E192">
            <v>24.45</v>
          </cell>
          <cell r="F192">
            <v>34.489999999999995</v>
          </cell>
        </row>
        <row r="193">
          <cell r="A193">
            <v>40603</v>
          </cell>
          <cell r="B193" t="str">
            <v>Forma Plana para Caixão Perdido</v>
          </cell>
          <cell r="C193" t="str">
            <v>m²</v>
          </cell>
          <cell r="D193">
            <v>18.91</v>
          </cell>
          <cell r="E193">
            <v>14.69</v>
          </cell>
          <cell r="F193">
            <v>33.6</v>
          </cell>
        </row>
        <row r="194">
          <cell r="A194">
            <v>40604</v>
          </cell>
          <cell r="B194" t="str">
            <v>Forma Curva Comum</v>
          </cell>
          <cell r="C194" t="str">
            <v>m²</v>
          </cell>
          <cell r="D194">
            <v>10.220000000000001</v>
          </cell>
          <cell r="E194">
            <v>22.26</v>
          </cell>
          <cell r="F194">
            <v>32.480000000000004</v>
          </cell>
        </row>
        <row r="195">
          <cell r="A195">
            <v>40605</v>
          </cell>
          <cell r="B195" t="str">
            <v>Forma Curva Aparente</v>
          </cell>
          <cell r="C195" t="str">
            <v>m²</v>
          </cell>
          <cell r="D195">
            <v>13.01</v>
          </cell>
          <cell r="E195">
            <v>29.38</v>
          </cell>
          <cell r="F195">
            <v>42.39</v>
          </cell>
        </row>
        <row r="196">
          <cell r="A196">
            <v>40606</v>
          </cell>
          <cell r="B196" t="str">
            <v>Forma Plana Especial para Vigas</v>
          </cell>
          <cell r="C196" t="str">
            <v>m²</v>
          </cell>
          <cell r="D196">
            <v>9.98</v>
          </cell>
          <cell r="E196">
            <v>8.1300000000000008</v>
          </cell>
          <cell r="F196">
            <v>18.11</v>
          </cell>
        </row>
        <row r="197">
          <cell r="A197">
            <v>40700</v>
          </cell>
          <cell r="B197" t="str">
            <v>Ensecadeira</v>
          </cell>
          <cell r="D197">
            <v>0</v>
          </cell>
          <cell r="E197">
            <v>0</v>
          </cell>
        </row>
        <row r="198">
          <cell r="A198">
            <v>40701</v>
          </cell>
          <cell r="B198" t="str">
            <v>Ensecadeira Simples</v>
          </cell>
          <cell r="C198" t="str">
            <v>m²</v>
          </cell>
          <cell r="D198">
            <v>55.39</v>
          </cell>
          <cell r="E198">
            <v>15.65</v>
          </cell>
          <cell r="F198">
            <v>71.040000000000006</v>
          </cell>
        </row>
        <row r="199">
          <cell r="A199">
            <v>40702</v>
          </cell>
          <cell r="B199" t="str">
            <v>Ensecadeira Dupla</v>
          </cell>
          <cell r="C199" t="str">
            <v>m²</v>
          </cell>
          <cell r="D199">
            <v>110.78</v>
          </cell>
          <cell r="E199">
            <v>31.25</v>
          </cell>
          <cell r="F199">
            <v>142.03</v>
          </cell>
        </row>
        <row r="200">
          <cell r="A200">
            <v>40800</v>
          </cell>
          <cell r="B200" t="str">
            <v>Enrocamento com Pedra</v>
          </cell>
          <cell r="D200">
            <v>0</v>
          </cell>
          <cell r="E200">
            <v>0</v>
          </cell>
        </row>
        <row r="201">
          <cell r="A201">
            <v>40801</v>
          </cell>
          <cell r="B201" t="str">
            <v>Enrocamento com Pedra Marroada Argamassada</v>
          </cell>
          <cell r="C201" t="str">
            <v>m³</v>
          </cell>
          <cell r="D201">
            <v>98.13</v>
          </cell>
          <cell r="E201">
            <v>79.489999999999995</v>
          </cell>
          <cell r="F201">
            <v>177.62</v>
          </cell>
        </row>
        <row r="202">
          <cell r="A202">
            <v>40802</v>
          </cell>
          <cell r="B202" t="str">
            <v>Enrocamento com Pedra Marroada Arrumada</v>
          </cell>
          <cell r="C202" t="str">
            <v>m³</v>
          </cell>
          <cell r="D202">
            <v>57.32</v>
          </cell>
          <cell r="E202">
            <v>36.950000000000003</v>
          </cell>
          <cell r="F202">
            <v>94.27000000000001</v>
          </cell>
        </row>
        <row r="203">
          <cell r="A203">
            <v>40803</v>
          </cell>
          <cell r="B203" t="str">
            <v>Enrocamento com Pedra Marroada Jogada</v>
          </cell>
          <cell r="C203" t="str">
            <v>m³</v>
          </cell>
          <cell r="D203">
            <v>53.57</v>
          </cell>
          <cell r="E203">
            <v>12.3</v>
          </cell>
          <cell r="F203">
            <v>65.87</v>
          </cell>
        </row>
        <row r="204">
          <cell r="A204">
            <v>40804</v>
          </cell>
          <cell r="B204" t="str">
            <v>Reaterro Apiloado - Compactação</v>
          </cell>
          <cell r="C204" t="str">
            <v>m³</v>
          </cell>
          <cell r="D204">
            <v>7.75</v>
          </cell>
          <cell r="E204">
            <v>5.85</v>
          </cell>
          <cell r="F204">
            <v>13.6</v>
          </cell>
        </row>
        <row r="205">
          <cell r="A205">
            <v>40900</v>
          </cell>
          <cell r="B205" t="str">
            <v>Compactação Manual</v>
          </cell>
          <cell r="D205">
            <v>0</v>
          </cell>
          <cell r="E205">
            <v>0</v>
          </cell>
        </row>
        <row r="206">
          <cell r="A206">
            <v>40901</v>
          </cell>
          <cell r="B206" t="str">
            <v>Compactação Manual / Pneumática para Base de Caixa</v>
          </cell>
          <cell r="C206" t="str">
            <v>m²</v>
          </cell>
          <cell r="D206">
            <v>0.9</v>
          </cell>
          <cell r="E206">
            <v>2.94</v>
          </cell>
          <cell r="F206">
            <v>3.84</v>
          </cell>
        </row>
        <row r="207">
          <cell r="A207">
            <v>40902</v>
          </cell>
          <cell r="B207" t="str">
            <v>Compactação Manual / Pneumática - Reaterro Solo Local</v>
          </cell>
          <cell r="C207" t="str">
            <v>m³</v>
          </cell>
          <cell r="D207">
            <v>1.81</v>
          </cell>
          <cell r="E207">
            <v>5.85</v>
          </cell>
          <cell r="F207">
            <v>7.66</v>
          </cell>
        </row>
        <row r="208">
          <cell r="A208">
            <v>41000</v>
          </cell>
          <cell r="B208" t="str">
            <v>Tubo de Concreto Armado - Fornecimento/Transporte/Assentamento</v>
          </cell>
          <cell r="D208">
            <v>0</v>
          </cell>
          <cell r="E208">
            <v>0</v>
          </cell>
        </row>
        <row r="209">
          <cell r="A209">
            <v>41001</v>
          </cell>
          <cell r="B209" t="str">
            <v>Tubo de Concreto D=0,40m Classe CA-1</v>
          </cell>
          <cell r="C209" t="str">
            <v>m</v>
          </cell>
          <cell r="D209">
            <v>43.28</v>
          </cell>
          <cell r="E209">
            <v>12.51</v>
          </cell>
          <cell r="F209">
            <v>55.79</v>
          </cell>
        </row>
        <row r="210">
          <cell r="A210">
            <v>41002</v>
          </cell>
          <cell r="B210" t="str">
            <v>Tubo de Concreto D=0,40m Classe CA-2</v>
          </cell>
          <cell r="C210" t="str">
            <v>m</v>
          </cell>
          <cell r="D210">
            <v>45.24</v>
          </cell>
          <cell r="E210">
            <v>12.51</v>
          </cell>
          <cell r="F210">
            <v>57.75</v>
          </cell>
        </row>
        <row r="211">
          <cell r="A211">
            <v>41003</v>
          </cell>
          <cell r="B211" t="str">
            <v>Tubo de Concreto D=0,50m Classe CA-1</v>
          </cell>
          <cell r="C211" t="str">
            <v>m</v>
          </cell>
          <cell r="D211">
            <v>52.1</v>
          </cell>
          <cell r="E211">
            <v>13.92</v>
          </cell>
          <cell r="F211">
            <v>66.02</v>
          </cell>
        </row>
        <row r="212">
          <cell r="A212">
            <v>41004</v>
          </cell>
          <cell r="B212" t="str">
            <v>Tubo de Concreto D=0,50m Classe CA-2</v>
          </cell>
          <cell r="C212" t="str">
            <v>m</v>
          </cell>
          <cell r="D212">
            <v>55.47</v>
          </cell>
          <cell r="E212">
            <v>13.92</v>
          </cell>
          <cell r="F212">
            <v>69.39</v>
          </cell>
        </row>
        <row r="213">
          <cell r="A213">
            <v>41005</v>
          </cell>
          <cell r="B213" t="str">
            <v>Tubo de Concreto D=0,50m Classe CA-3</v>
          </cell>
          <cell r="C213" t="str">
            <v>m</v>
          </cell>
          <cell r="D213">
            <v>60.35</v>
          </cell>
          <cell r="E213">
            <v>13.92</v>
          </cell>
          <cell r="F213">
            <v>74.27</v>
          </cell>
        </row>
        <row r="214">
          <cell r="A214">
            <v>41006</v>
          </cell>
          <cell r="B214" t="str">
            <v>Tubo de Concreto D=0,50m Classe CA-4</v>
          </cell>
          <cell r="C214" t="str">
            <v>m</v>
          </cell>
          <cell r="D214">
            <v>70.400000000000006</v>
          </cell>
          <cell r="E214">
            <v>13.92</v>
          </cell>
          <cell r="F214">
            <v>84.320000000000007</v>
          </cell>
        </row>
        <row r="215">
          <cell r="A215">
            <v>41007</v>
          </cell>
          <cell r="B215" t="str">
            <v>Tubo de Concreto D=0,60m Classe CA-1</v>
          </cell>
          <cell r="C215" t="str">
            <v>m</v>
          </cell>
          <cell r="D215">
            <v>55.67</v>
          </cell>
          <cell r="E215">
            <v>15.67</v>
          </cell>
          <cell r="F215">
            <v>71.34</v>
          </cell>
        </row>
        <row r="216">
          <cell r="A216">
            <v>41008</v>
          </cell>
          <cell r="B216" t="str">
            <v>Tubo de Concreto D=0,60m Classe CA-2</v>
          </cell>
          <cell r="C216" t="str">
            <v>m</v>
          </cell>
          <cell r="D216">
            <v>59.36</v>
          </cell>
          <cell r="E216">
            <v>15.67</v>
          </cell>
          <cell r="F216">
            <v>75.03</v>
          </cell>
        </row>
        <row r="217">
          <cell r="A217">
            <v>41009</v>
          </cell>
          <cell r="B217" t="str">
            <v>Tubo de Concreto D=0,60m Classe CA-3</v>
          </cell>
          <cell r="C217" t="str">
            <v>m</v>
          </cell>
          <cell r="D217">
            <v>68.430000000000007</v>
          </cell>
          <cell r="E217">
            <v>15.67</v>
          </cell>
          <cell r="F217">
            <v>84.100000000000009</v>
          </cell>
        </row>
        <row r="218">
          <cell r="A218">
            <v>41010</v>
          </cell>
          <cell r="B218" t="str">
            <v>Tubo de Concreto D=0,60m Classe CA-4</v>
          </cell>
          <cell r="C218" t="str">
            <v>m</v>
          </cell>
          <cell r="D218">
            <v>79.77</v>
          </cell>
          <cell r="E218">
            <v>15.67</v>
          </cell>
          <cell r="F218">
            <v>95.44</v>
          </cell>
        </row>
        <row r="219">
          <cell r="A219">
            <v>41011</v>
          </cell>
          <cell r="B219" t="str">
            <v>Tubo de Concreto D=0,80m Classe CA-1</v>
          </cell>
          <cell r="C219" t="str">
            <v>m</v>
          </cell>
          <cell r="D219">
            <v>91.17</v>
          </cell>
          <cell r="E219">
            <v>20.87</v>
          </cell>
          <cell r="F219">
            <v>112.04</v>
          </cell>
        </row>
        <row r="220">
          <cell r="A220">
            <v>41012</v>
          </cell>
          <cell r="B220" t="str">
            <v>Tubo de Concreto D=0,80m Classe CA-2</v>
          </cell>
          <cell r="C220" t="str">
            <v>m</v>
          </cell>
          <cell r="D220">
            <v>102.53</v>
          </cell>
          <cell r="E220">
            <v>20.87</v>
          </cell>
          <cell r="F220">
            <v>123.4</v>
          </cell>
        </row>
        <row r="221">
          <cell r="A221">
            <v>41013</v>
          </cell>
          <cell r="B221" t="str">
            <v>Tubo de Concreto D=0,80m Classe CA-3</v>
          </cell>
          <cell r="C221" t="str">
            <v>m</v>
          </cell>
          <cell r="D221">
            <v>117.81</v>
          </cell>
          <cell r="E221">
            <v>20.87</v>
          </cell>
          <cell r="F221">
            <v>138.68</v>
          </cell>
        </row>
        <row r="222">
          <cell r="A222">
            <v>41014</v>
          </cell>
          <cell r="B222" t="str">
            <v>Tubo de Concreto D=0,80m Classe CA-4</v>
          </cell>
          <cell r="C222" t="str">
            <v>m</v>
          </cell>
          <cell r="D222">
            <v>138.58000000000001</v>
          </cell>
          <cell r="E222">
            <v>20.87</v>
          </cell>
          <cell r="F222">
            <v>159.45000000000002</v>
          </cell>
        </row>
        <row r="223">
          <cell r="A223">
            <v>41015</v>
          </cell>
          <cell r="B223" t="str">
            <v>Tubo de Concreto D=1,00m Classe CA-1</v>
          </cell>
          <cell r="C223" t="str">
            <v>m</v>
          </cell>
          <cell r="D223">
            <v>140.54</v>
          </cell>
          <cell r="E223">
            <v>28.44</v>
          </cell>
          <cell r="F223">
            <v>168.98</v>
          </cell>
        </row>
        <row r="224">
          <cell r="A224">
            <v>41016</v>
          </cell>
          <cell r="B224" t="str">
            <v>Tubo de Concreto D=1,00m Classe CA-2</v>
          </cell>
          <cell r="C224" t="str">
            <v>m</v>
          </cell>
          <cell r="D224">
            <v>144.76</v>
          </cell>
          <cell r="E224">
            <v>28.44</v>
          </cell>
          <cell r="F224">
            <v>173.2</v>
          </cell>
        </row>
        <row r="225">
          <cell r="A225">
            <v>41017</v>
          </cell>
          <cell r="B225" t="str">
            <v>Tubo de Concreto D=1,00m Classe CA-3</v>
          </cell>
          <cell r="C225" t="str">
            <v>m</v>
          </cell>
          <cell r="D225">
            <v>163.46</v>
          </cell>
          <cell r="E225">
            <v>28.44</v>
          </cell>
          <cell r="F225">
            <v>191.9</v>
          </cell>
        </row>
        <row r="226">
          <cell r="A226">
            <v>41018</v>
          </cell>
          <cell r="B226" t="str">
            <v>Tubo de Concreto D=1,00m Classe CA-4</v>
          </cell>
          <cell r="C226" t="str">
            <v>m</v>
          </cell>
          <cell r="D226">
            <v>174.08</v>
          </cell>
          <cell r="E226">
            <v>28.44</v>
          </cell>
          <cell r="F226">
            <v>202.52</v>
          </cell>
        </row>
        <row r="227">
          <cell r="A227">
            <v>41019</v>
          </cell>
          <cell r="B227" t="str">
            <v>Tubo de Concreto D=1,20m Classe CA-1</v>
          </cell>
          <cell r="C227" t="str">
            <v>m</v>
          </cell>
          <cell r="D227">
            <v>188.74</v>
          </cell>
          <cell r="E227">
            <v>34.75</v>
          </cell>
          <cell r="F227">
            <v>223.49</v>
          </cell>
        </row>
        <row r="228">
          <cell r="A228">
            <v>41020</v>
          </cell>
          <cell r="B228" t="str">
            <v>Tubo de Concreto D=1,20m Classe CA-2</v>
          </cell>
          <cell r="C228" t="str">
            <v>m</v>
          </cell>
          <cell r="D228">
            <v>195.83</v>
          </cell>
          <cell r="E228">
            <v>34.75</v>
          </cell>
          <cell r="F228">
            <v>230.58</v>
          </cell>
        </row>
        <row r="229">
          <cell r="A229">
            <v>41021</v>
          </cell>
          <cell r="B229" t="str">
            <v>Tubo de Concreto D=1,20m Classe CA-3</v>
          </cell>
          <cell r="C229" t="str">
            <v>m</v>
          </cell>
          <cell r="D229">
            <v>239.77</v>
          </cell>
          <cell r="E229">
            <v>34.75</v>
          </cell>
          <cell r="F229">
            <v>274.52</v>
          </cell>
        </row>
        <row r="230">
          <cell r="A230">
            <v>41022</v>
          </cell>
          <cell r="B230" t="str">
            <v>Tubo de Concreto D=1,20m Classe CA-4</v>
          </cell>
          <cell r="C230" t="str">
            <v>m</v>
          </cell>
          <cell r="D230">
            <v>269.54000000000002</v>
          </cell>
          <cell r="E230">
            <v>34.75</v>
          </cell>
          <cell r="F230">
            <v>304.29000000000002</v>
          </cell>
        </row>
        <row r="231">
          <cell r="A231">
            <v>41023</v>
          </cell>
          <cell r="B231" t="str">
            <v>Tubo de Concreto D=1,50m Classe CA-1</v>
          </cell>
          <cell r="C231" t="str">
            <v>m</v>
          </cell>
          <cell r="D231">
            <v>260.01</v>
          </cell>
          <cell r="E231">
            <v>62.6</v>
          </cell>
          <cell r="F231">
            <v>322.61</v>
          </cell>
        </row>
        <row r="232">
          <cell r="A232">
            <v>41024</v>
          </cell>
          <cell r="B232" t="str">
            <v>Tubo de Concreto D=1,50m Classe CA-2</v>
          </cell>
          <cell r="C232" t="str">
            <v>m</v>
          </cell>
          <cell r="D232">
            <v>294.02999999999997</v>
          </cell>
          <cell r="E232">
            <v>62.6</v>
          </cell>
          <cell r="F232">
            <v>356.63</v>
          </cell>
        </row>
        <row r="233">
          <cell r="A233">
            <v>41025</v>
          </cell>
          <cell r="B233" t="str">
            <v>Tubo de Concreto D=1,50m Classe CA-3</v>
          </cell>
          <cell r="C233" t="str">
            <v>m</v>
          </cell>
          <cell r="D233">
            <v>343.64</v>
          </cell>
          <cell r="E233">
            <v>62.6</v>
          </cell>
          <cell r="F233">
            <v>406.24</v>
          </cell>
        </row>
        <row r="234">
          <cell r="A234">
            <v>41026</v>
          </cell>
          <cell r="B234" t="str">
            <v>Tubo de Concreto D=1,50m Classe CA-4</v>
          </cell>
          <cell r="C234" t="str">
            <v>m</v>
          </cell>
          <cell r="D234">
            <v>367.04</v>
          </cell>
          <cell r="E234">
            <v>62.6</v>
          </cell>
          <cell r="F234">
            <v>429.64000000000004</v>
          </cell>
        </row>
        <row r="235">
          <cell r="A235">
            <v>41100</v>
          </cell>
          <cell r="B235" t="str">
            <v>Tubo de Concreto Simples - Fornecimento/Transporte/Assentamento</v>
          </cell>
          <cell r="D235">
            <v>0</v>
          </cell>
          <cell r="E235">
            <v>0</v>
          </cell>
        </row>
        <row r="236">
          <cell r="A236">
            <v>41101</v>
          </cell>
          <cell r="B236" t="str">
            <v>Tubo de Concreto Simples D=0,20m</v>
          </cell>
          <cell r="C236" t="str">
            <v>m</v>
          </cell>
          <cell r="D236">
            <v>17</v>
          </cell>
          <cell r="E236">
            <v>8.94</v>
          </cell>
          <cell r="F236">
            <v>25.939999999999998</v>
          </cell>
        </row>
        <row r="237">
          <cell r="A237">
            <v>41102</v>
          </cell>
          <cell r="B237" t="str">
            <v>Tubo de Concreto Simples D=0,30m</v>
          </cell>
          <cell r="C237" t="str">
            <v>m</v>
          </cell>
          <cell r="D237">
            <v>21.51</v>
          </cell>
          <cell r="E237">
            <v>10.45</v>
          </cell>
          <cell r="F237">
            <v>31.96</v>
          </cell>
        </row>
        <row r="238">
          <cell r="A238">
            <v>41103</v>
          </cell>
          <cell r="B238" t="str">
            <v>Tubo de Concreto Simples D=0,40m</v>
          </cell>
          <cell r="C238" t="str">
            <v>m</v>
          </cell>
          <cell r="D238">
            <v>27.11</v>
          </cell>
          <cell r="E238">
            <v>12.51</v>
          </cell>
          <cell r="F238">
            <v>39.619999999999997</v>
          </cell>
        </row>
        <row r="239">
          <cell r="A239">
            <v>41104</v>
          </cell>
          <cell r="B239" t="str">
            <v>Tubo de Concreto Simples D=0,60m</v>
          </cell>
          <cell r="C239" t="str">
            <v>m</v>
          </cell>
          <cell r="D239">
            <v>46.55</v>
          </cell>
          <cell r="E239">
            <v>16.66</v>
          </cell>
          <cell r="F239">
            <v>63.209999999999994</v>
          </cell>
        </row>
        <row r="240">
          <cell r="A240">
            <v>41200</v>
          </cell>
          <cell r="B240" t="str">
            <v>Tubo de Concreto Perfurado - Fornecimento/Transporte/Assentamento</v>
          </cell>
          <cell r="D240">
            <v>0</v>
          </cell>
          <cell r="E240">
            <v>0</v>
          </cell>
        </row>
        <row r="241">
          <cell r="A241">
            <v>41201</v>
          </cell>
          <cell r="B241" t="str">
            <v>Tubo de Concreto Perfurado D=0,20m</v>
          </cell>
          <cell r="C241" t="str">
            <v>m</v>
          </cell>
          <cell r="D241">
            <v>19.559999999999999</v>
          </cell>
          <cell r="E241">
            <v>8.94</v>
          </cell>
          <cell r="F241">
            <v>28.5</v>
          </cell>
        </row>
        <row r="242">
          <cell r="A242">
            <v>41202</v>
          </cell>
          <cell r="B242" t="str">
            <v>Tubo de Concreto Perfurado D=0,30m</v>
          </cell>
          <cell r="C242" t="str">
            <v>m</v>
          </cell>
          <cell r="D242">
            <v>25.66</v>
          </cell>
          <cell r="E242">
            <v>10.45</v>
          </cell>
          <cell r="F242">
            <v>36.11</v>
          </cell>
        </row>
        <row r="243">
          <cell r="A243">
            <v>41300</v>
          </cell>
          <cell r="B243" t="str">
            <v>Tubo de Flexível Kanaflex - Fornecimento/Transporte/Assentamento</v>
          </cell>
          <cell r="D243">
            <v>0</v>
          </cell>
          <cell r="E243">
            <v>0</v>
          </cell>
        </row>
        <row r="244">
          <cell r="A244">
            <v>41301</v>
          </cell>
          <cell r="B244" t="str">
            <v>Tubo Flexível Kanaflex D=1 1/4"</v>
          </cell>
          <cell r="C244" t="str">
            <v>m</v>
          </cell>
          <cell r="D244">
            <v>1.8</v>
          </cell>
          <cell r="E244">
            <v>2.2000000000000002</v>
          </cell>
          <cell r="F244">
            <v>4</v>
          </cell>
        </row>
        <row r="245">
          <cell r="A245">
            <v>41302</v>
          </cell>
          <cell r="B245" t="str">
            <v>Tubo Flexível Kanaflex D=2"</v>
          </cell>
          <cell r="C245" t="str">
            <v>m</v>
          </cell>
          <cell r="D245">
            <v>4.0999999999999996</v>
          </cell>
          <cell r="E245">
            <v>3.02</v>
          </cell>
          <cell r="F245">
            <v>7.1199999999999992</v>
          </cell>
        </row>
        <row r="246">
          <cell r="A246">
            <v>41303</v>
          </cell>
          <cell r="B246" t="str">
            <v>Tubo Flexível Kanaflex D=3"</v>
          </cell>
          <cell r="C246" t="str">
            <v>m</v>
          </cell>
          <cell r="D246">
            <v>6.52</v>
          </cell>
          <cell r="E246">
            <v>4.82</v>
          </cell>
          <cell r="F246">
            <v>11.34</v>
          </cell>
        </row>
        <row r="247">
          <cell r="A247">
            <v>41304</v>
          </cell>
          <cell r="B247" t="str">
            <v>Tubo Flexível Kanaflex D=4"</v>
          </cell>
          <cell r="C247" t="str">
            <v>m</v>
          </cell>
          <cell r="D247">
            <v>8.2799999999999994</v>
          </cell>
          <cell r="E247">
            <v>5.22</v>
          </cell>
          <cell r="F247">
            <v>13.5</v>
          </cell>
        </row>
        <row r="248">
          <cell r="A248">
            <v>41305</v>
          </cell>
          <cell r="B248" t="str">
            <v>Tubo Flexível Kanaflex D=5"</v>
          </cell>
          <cell r="C248" t="str">
            <v>m</v>
          </cell>
          <cell r="D248">
            <v>10.49</v>
          </cell>
          <cell r="E248">
            <v>7.14</v>
          </cell>
          <cell r="F248">
            <v>17.63</v>
          </cell>
        </row>
        <row r="249">
          <cell r="A249">
            <v>41306</v>
          </cell>
          <cell r="B249" t="str">
            <v>Tubo Flexível Kanaflex D=6"</v>
          </cell>
          <cell r="C249" t="str">
            <v>m</v>
          </cell>
          <cell r="D249">
            <v>40.78</v>
          </cell>
          <cell r="E249">
            <v>9.06</v>
          </cell>
          <cell r="F249">
            <v>49.84</v>
          </cell>
        </row>
        <row r="250">
          <cell r="A250">
            <v>41400</v>
          </cell>
          <cell r="B250" t="str">
            <v>Tubo de PVC Perfurado ou Não - Fornec./Transporte/Assentamento</v>
          </cell>
          <cell r="D250">
            <v>0</v>
          </cell>
          <cell r="E250">
            <v>0</v>
          </cell>
        </row>
        <row r="251">
          <cell r="A251">
            <v>41401</v>
          </cell>
          <cell r="B251" t="str">
            <v>Tubo de PVC Perfurado ou Não D=2"</v>
          </cell>
          <cell r="C251" t="str">
            <v>m</v>
          </cell>
          <cell r="D251">
            <v>3.38</v>
          </cell>
          <cell r="E251">
            <v>3.02</v>
          </cell>
          <cell r="F251">
            <v>6.4</v>
          </cell>
        </row>
        <row r="252">
          <cell r="A252">
            <v>41402</v>
          </cell>
          <cell r="B252" t="str">
            <v>Tubo de PVC Perfurado ou Não D=3"</v>
          </cell>
          <cell r="C252" t="str">
            <v>m</v>
          </cell>
          <cell r="D252">
            <v>6.62</v>
          </cell>
          <cell r="E252">
            <v>4.82</v>
          </cell>
          <cell r="F252">
            <v>11.440000000000001</v>
          </cell>
        </row>
        <row r="253">
          <cell r="A253">
            <v>41403</v>
          </cell>
          <cell r="B253" t="str">
            <v>Tubo de PVC Perfurado ou Não D=4"</v>
          </cell>
          <cell r="C253" t="str">
            <v>m</v>
          </cell>
          <cell r="D253">
            <v>8.76</v>
          </cell>
          <cell r="E253">
            <v>5.22</v>
          </cell>
          <cell r="F253">
            <v>13.98</v>
          </cell>
        </row>
        <row r="254">
          <cell r="A254">
            <v>41404</v>
          </cell>
          <cell r="B254" t="str">
            <v>Tubo de PVC Perfurado ou Não D=6"</v>
          </cell>
          <cell r="C254" t="str">
            <v>m</v>
          </cell>
          <cell r="D254">
            <v>15.01</v>
          </cell>
          <cell r="E254">
            <v>9.06</v>
          </cell>
          <cell r="F254">
            <v>24.07</v>
          </cell>
        </row>
        <row r="255">
          <cell r="A255">
            <v>41500</v>
          </cell>
          <cell r="B255" t="str">
            <v>Tubo Ovóide - Fornecimento/Transporte/Assentamento</v>
          </cell>
          <cell r="D255">
            <v>0</v>
          </cell>
          <cell r="E255">
            <v>0</v>
          </cell>
        </row>
        <row r="256">
          <cell r="A256">
            <v>41501</v>
          </cell>
          <cell r="B256" t="str">
            <v>Tubo Ovóide Seção de 1,78 m²; H=0,50m a 3,00m</v>
          </cell>
          <cell r="C256" t="str">
            <v>m</v>
          </cell>
          <cell r="D256">
            <v>450.25</v>
          </cell>
          <cell r="E256">
            <v>89.44</v>
          </cell>
          <cell r="F256">
            <v>539.69000000000005</v>
          </cell>
        </row>
        <row r="257">
          <cell r="A257">
            <v>41502</v>
          </cell>
          <cell r="B257" t="str">
            <v>Tubo Ovóide Seção de 1,78 m²; H=3,00m a 5,00m</v>
          </cell>
          <cell r="C257" t="str">
            <v>m</v>
          </cell>
          <cell r="D257">
            <v>505.2</v>
          </cell>
          <cell r="E257">
            <v>89.44</v>
          </cell>
          <cell r="F257">
            <v>594.64</v>
          </cell>
        </row>
        <row r="258">
          <cell r="A258">
            <v>41503</v>
          </cell>
          <cell r="B258" t="str">
            <v>Tubo Ovóide Seção de 1,78 m²; H=5,00m a 10,00m</v>
          </cell>
          <cell r="C258" t="str">
            <v>m</v>
          </cell>
          <cell r="D258">
            <v>612.12</v>
          </cell>
          <cell r="E258">
            <v>89.44</v>
          </cell>
          <cell r="F258">
            <v>701.56</v>
          </cell>
        </row>
        <row r="259">
          <cell r="A259">
            <v>41504</v>
          </cell>
          <cell r="B259" t="str">
            <v>Tubo Ovóide Seção de 1,78 m²; H=10,00m a 15,00m</v>
          </cell>
          <cell r="C259" t="str">
            <v>m</v>
          </cell>
          <cell r="D259">
            <v>751.71</v>
          </cell>
          <cell r="E259">
            <v>89.44</v>
          </cell>
          <cell r="F259">
            <v>841.15000000000009</v>
          </cell>
        </row>
        <row r="260">
          <cell r="A260">
            <v>41505</v>
          </cell>
          <cell r="B260" t="str">
            <v>Tubo Ovóide Seção de 1,78 m²; H=15,00m a 20,00m</v>
          </cell>
          <cell r="C260" t="str">
            <v>m</v>
          </cell>
          <cell r="D260">
            <v>796.26</v>
          </cell>
          <cell r="E260">
            <v>89.44</v>
          </cell>
          <cell r="F260">
            <v>885.7</v>
          </cell>
        </row>
        <row r="261">
          <cell r="A261">
            <v>41506</v>
          </cell>
          <cell r="B261" t="str">
            <v>Tubo Ovóide Seção de 2,25 m²; H=0,50m a 3,00m</v>
          </cell>
          <cell r="C261" t="str">
            <v>m</v>
          </cell>
          <cell r="D261">
            <v>652.97</v>
          </cell>
          <cell r="E261">
            <v>125.21</v>
          </cell>
          <cell r="F261">
            <v>778.18000000000006</v>
          </cell>
        </row>
        <row r="262">
          <cell r="A262">
            <v>41507</v>
          </cell>
          <cell r="B262" t="str">
            <v>Tubo Ovóide Seção de 2,25 m²; H=3,00m a 5,00m</v>
          </cell>
          <cell r="C262" t="str">
            <v>m</v>
          </cell>
          <cell r="D262">
            <v>676.73</v>
          </cell>
          <cell r="E262">
            <v>125.21</v>
          </cell>
          <cell r="F262">
            <v>801.94</v>
          </cell>
        </row>
        <row r="263">
          <cell r="A263">
            <v>41508</v>
          </cell>
          <cell r="B263" t="str">
            <v>Tubo Ovóide Seção de 2,25 m²; H=5,00m a 10,00m</v>
          </cell>
          <cell r="C263" t="str">
            <v>m</v>
          </cell>
          <cell r="D263">
            <v>742.07</v>
          </cell>
          <cell r="E263">
            <v>125.21</v>
          </cell>
          <cell r="F263">
            <v>867.28000000000009</v>
          </cell>
        </row>
        <row r="264">
          <cell r="A264">
            <v>41509</v>
          </cell>
          <cell r="B264" t="str">
            <v>Tubo Ovóide Seção de 2,25 m²; H=10,00m a 15,00m</v>
          </cell>
          <cell r="C264" t="str">
            <v>m</v>
          </cell>
          <cell r="D264">
            <v>932.15</v>
          </cell>
          <cell r="E264">
            <v>125.21</v>
          </cell>
          <cell r="F264">
            <v>1057.3599999999999</v>
          </cell>
        </row>
        <row r="265">
          <cell r="A265">
            <v>41510</v>
          </cell>
          <cell r="B265" t="str">
            <v>Tubo Ovóide Seção de 2,25 m²; H=15,00m a 20,00m</v>
          </cell>
          <cell r="C265" t="str">
            <v>m</v>
          </cell>
          <cell r="D265">
            <v>970.76</v>
          </cell>
          <cell r="E265">
            <v>125.21</v>
          </cell>
          <cell r="F265">
            <v>1095.97</v>
          </cell>
        </row>
        <row r="266">
          <cell r="A266">
            <v>41511</v>
          </cell>
          <cell r="B266" t="str">
            <v>Tubo Ovóide Seção de 3,00 m²; H=0,50m a 3,00m</v>
          </cell>
          <cell r="C266" t="str">
            <v>m</v>
          </cell>
          <cell r="D266">
            <v>956.64</v>
          </cell>
          <cell r="E266">
            <v>178.88</v>
          </cell>
          <cell r="F266">
            <v>1135.52</v>
          </cell>
        </row>
        <row r="267">
          <cell r="A267">
            <v>41512</v>
          </cell>
          <cell r="B267" t="str">
            <v>Tubo Ovóide Seção de 3,00 m²; H=3,00m a 5,00m</v>
          </cell>
          <cell r="C267" t="str">
            <v>m</v>
          </cell>
          <cell r="D267">
            <v>1014.55</v>
          </cell>
          <cell r="E267">
            <v>178.88</v>
          </cell>
          <cell r="F267">
            <v>1193.4299999999998</v>
          </cell>
        </row>
        <row r="268">
          <cell r="A268">
            <v>41513</v>
          </cell>
          <cell r="B268" t="str">
            <v>Tubo Ovóide Seção de 3,00 m²; H=5,00m a 10,00m</v>
          </cell>
          <cell r="C268" t="str">
            <v>m</v>
          </cell>
          <cell r="D268">
            <v>1118.5</v>
          </cell>
          <cell r="E268">
            <v>178.88</v>
          </cell>
          <cell r="F268">
            <v>1297.3800000000001</v>
          </cell>
        </row>
        <row r="269">
          <cell r="A269">
            <v>41514</v>
          </cell>
          <cell r="B269" t="str">
            <v>Tubo Ovóide Seção de 3,00 m²; H=10,00m a 15,00m</v>
          </cell>
          <cell r="C269" t="str">
            <v>m</v>
          </cell>
          <cell r="D269">
            <v>1244.73</v>
          </cell>
          <cell r="E269">
            <v>178.88</v>
          </cell>
          <cell r="F269">
            <v>1423.6100000000001</v>
          </cell>
        </row>
        <row r="270">
          <cell r="A270">
            <v>41515</v>
          </cell>
          <cell r="B270" t="str">
            <v>Tubo Ovóide Seção de 3,00 m²; H=15,00m a 20,00m</v>
          </cell>
          <cell r="C270" t="str">
            <v>m</v>
          </cell>
          <cell r="D270">
            <v>1327.89</v>
          </cell>
          <cell r="E270">
            <v>178.88</v>
          </cell>
          <cell r="F270">
            <v>1506.77</v>
          </cell>
        </row>
        <row r="271">
          <cell r="A271">
            <v>41516</v>
          </cell>
          <cell r="B271" t="str">
            <v>Tubo Ovóide Seção de 4,00 m²; H=0,50m a 3,00m</v>
          </cell>
          <cell r="C271" t="str">
            <v>m</v>
          </cell>
          <cell r="D271">
            <v>1216.6300000000001</v>
          </cell>
          <cell r="E271">
            <v>250.41</v>
          </cell>
          <cell r="F271">
            <v>1467.0400000000002</v>
          </cell>
        </row>
        <row r="272">
          <cell r="A272">
            <v>41517</v>
          </cell>
          <cell r="B272" t="str">
            <v>Tubo Ovóide Seção de 4,00 m²; H=3,00m a 5,00m</v>
          </cell>
          <cell r="C272" t="str">
            <v>m</v>
          </cell>
          <cell r="D272">
            <v>1277.52</v>
          </cell>
          <cell r="E272">
            <v>250.41</v>
          </cell>
          <cell r="F272">
            <v>1527.93</v>
          </cell>
        </row>
        <row r="273">
          <cell r="A273">
            <v>41518</v>
          </cell>
          <cell r="B273" t="str">
            <v>Tubo Ovóide Seção de 4,00 m²; H=5,00m a 10,00m</v>
          </cell>
          <cell r="C273" t="str">
            <v>m</v>
          </cell>
          <cell r="D273">
            <v>1400.77</v>
          </cell>
          <cell r="E273">
            <v>250.41</v>
          </cell>
          <cell r="F273">
            <v>1651.18</v>
          </cell>
        </row>
        <row r="274">
          <cell r="A274">
            <v>41519</v>
          </cell>
          <cell r="B274" t="str">
            <v>Tubo Ovóide Seção de 4,00 m²; H=10,00m a 15,00m</v>
          </cell>
          <cell r="C274" t="str">
            <v>m</v>
          </cell>
          <cell r="D274">
            <v>1614.61</v>
          </cell>
          <cell r="E274">
            <v>250.41</v>
          </cell>
          <cell r="F274">
            <v>1865.02</v>
          </cell>
        </row>
        <row r="275">
          <cell r="A275">
            <v>41520</v>
          </cell>
          <cell r="B275" t="str">
            <v>Tubo Ovóide Seção de 4,00 m²; H=15,00m a 20,00m</v>
          </cell>
          <cell r="C275" t="str">
            <v>m</v>
          </cell>
          <cell r="D275">
            <v>1797.27</v>
          </cell>
          <cell r="E275">
            <v>250.41</v>
          </cell>
          <cell r="F275">
            <v>2047.68</v>
          </cell>
        </row>
        <row r="276">
          <cell r="A276">
            <v>41600</v>
          </cell>
          <cell r="B276" t="str">
            <v>Canaleta de Concreto - Fornecimento/Transporte/Assentamento</v>
          </cell>
          <cell r="D276">
            <v>0</v>
          </cell>
          <cell r="E276">
            <v>0</v>
          </cell>
        </row>
        <row r="277">
          <cell r="A277">
            <v>41601</v>
          </cell>
          <cell r="B277" t="str">
            <v>Canaleta de Concreto D=0,20m</v>
          </cell>
          <cell r="C277" t="str">
            <v>m</v>
          </cell>
          <cell r="D277">
            <v>13.1</v>
          </cell>
          <cell r="E277">
            <v>8.94</v>
          </cell>
          <cell r="F277">
            <v>22.04</v>
          </cell>
        </row>
        <row r="278">
          <cell r="A278">
            <v>41602</v>
          </cell>
          <cell r="B278" t="str">
            <v>Canaleta de Concreto D=0,30m</v>
          </cell>
          <cell r="C278" t="str">
            <v>m</v>
          </cell>
          <cell r="D278">
            <v>16.39</v>
          </cell>
          <cell r="E278">
            <v>10.45</v>
          </cell>
          <cell r="F278">
            <v>26.84</v>
          </cell>
        </row>
        <row r="279">
          <cell r="A279">
            <v>41603</v>
          </cell>
          <cell r="B279" t="str">
            <v>Canaleta de Concreto D=0,40m</v>
          </cell>
          <cell r="C279" t="str">
            <v>m</v>
          </cell>
          <cell r="D279">
            <v>20.8</v>
          </cell>
          <cell r="E279">
            <v>12.51</v>
          </cell>
          <cell r="F279">
            <v>33.31</v>
          </cell>
        </row>
        <row r="280">
          <cell r="A280">
            <v>41604</v>
          </cell>
          <cell r="B280" t="str">
            <v>Canaleta de Concreto D=0,60m</v>
          </cell>
          <cell r="C280" t="str">
            <v>m</v>
          </cell>
          <cell r="D280">
            <v>32.200000000000003</v>
          </cell>
          <cell r="E280">
            <v>15.67</v>
          </cell>
          <cell r="F280">
            <v>47.870000000000005</v>
          </cell>
        </row>
        <row r="281">
          <cell r="A281">
            <v>41700</v>
          </cell>
          <cell r="B281" t="str">
            <v>Gabião Revestido de PVC / Preenchimento com Agregados</v>
          </cell>
          <cell r="D281">
            <v>0</v>
          </cell>
          <cell r="E281">
            <v>0</v>
          </cell>
        </row>
        <row r="282">
          <cell r="A282">
            <v>41701</v>
          </cell>
          <cell r="B282" t="str">
            <v>Gabião Tipo Caixa E=0,50m - Revestido com PVC</v>
          </cell>
          <cell r="C282" t="str">
            <v>m³</v>
          </cell>
          <cell r="D282">
            <v>107.39</v>
          </cell>
          <cell r="E282">
            <v>14.09</v>
          </cell>
          <cell r="F282">
            <v>121.48</v>
          </cell>
        </row>
        <row r="283">
          <cell r="A283">
            <v>41702</v>
          </cell>
          <cell r="B283" t="str">
            <v>Gabião Tipo Colchão E=0,17m - Revestido com PVC</v>
          </cell>
          <cell r="C283" t="str">
            <v>m³</v>
          </cell>
          <cell r="D283">
            <v>159.04</v>
          </cell>
          <cell r="E283">
            <v>14.09</v>
          </cell>
          <cell r="F283">
            <v>173.13</v>
          </cell>
        </row>
        <row r="284">
          <cell r="A284">
            <v>41703</v>
          </cell>
          <cell r="B284" t="str">
            <v>Gabião Tipo Colchão E=0,23m - Revestido com PVC</v>
          </cell>
          <cell r="C284" t="str">
            <v>m³</v>
          </cell>
          <cell r="D284">
            <v>137.9</v>
          </cell>
          <cell r="E284">
            <v>14.09</v>
          </cell>
          <cell r="F284">
            <v>151.99</v>
          </cell>
        </row>
        <row r="285">
          <cell r="A285">
            <v>41704</v>
          </cell>
          <cell r="B285" t="str">
            <v>Gabião Tipo Colchão E=0,30m - Revestido com PVC</v>
          </cell>
          <cell r="C285" t="str">
            <v>m³</v>
          </cell>
          <cell r="D285">
            <v>120.37</v>
          </cell>
          <cell r="E285">
            <v>14.09</v>
          </cell>
          <cell r="F285">
            <v>134.46</v>
          </cell>
        </row>
        <row r="286">
          <cell r="A286">
            <v>41705</v>
          </cell>
          <cell r="B286" t="str">
            <v>Gabião Tipo Saco</v>
          </cell>
          <cell r="C286" t="str">
            <v>m³</v>
          </cell>
          <cell r="D286">
            <v>102.8</v>
          </cell>
          <cell r="E286">
            <v>10.6</v>
          </cell>
          <cell r="F286">
            <v>113.39999999999999</v>
          </cell>
        </row>
        <row r="287">
          <cell r="A287">
            <v>41800</v>
          </cell>
          <cell r="B287" t="str">
            <v>Manta Geotextil</v>
          </cell>
          <cell r="D287">
            <v>0</v>
          </cell>
          <cell r="E287">
            <v>0</v>
          </cell>
        </row>
        <row r="288">
          <cell r="A288">
            <v>41801</v>
          </cell>
          <cell r="B288" t="str">
            <v>Manta Geotextil 300g/m²</v>
          </cell>
          <cell r="C288" t="str">
            <v>kg</v>
          </cell>
          <cell r="D288">
            <v>16.12</v>
          </cell>
          <cell r="E288">
            <v>1.49</v>
          </cell>
          <cell r="F288">
            <v>17.61</v>
          </cell>
        </row>
        <row r="289">
          <cell r="A289">
            <v>41900</v>
          </cell>
          <cell r="B289" t="str">
            <v>Junta Elástica</v>
          </cell>
          <cell r="D289">
            <v>0</v>
          </cell>
          <cell r="E289">
            <v>0</v>
          </cell>
        </row>
        <row r="290">
          <cell r="A290">
            <v>41901</v>
          </cell>
          <cell r="B290" t="str">
            <v>Junta Elástica Fungenband O-12</v>
          </cell>
          <cell r="C290" t="str">
            <v>m</v>
          </cell>
          <cell r="D290">
            <v>23.58</v>
          </cell>
          <cell r="E290">
            <v>10.14</v>
          </cell>
          <cell r="F290">
            <v>33.72</v>
          </cell>
        </row>
        <row r="291">
          <cell r="A291">
            <v>41902</v>
          </cell>
          <cell r="B291" t="str">
            <v>Junta Elástica Fungenband O-22</v>
          </cell>
          <cell r="C291" t="str">
            <v>m</v>
          </cell>
          <cell r="D291">
            <v>37.979999999999997</v>
          </cell>
          <cell r="E291">
            <v>10.14</v>
          </cell>
          <cell r="F291">
            <v>48.12</v>
          </cell>
        </row>
        <row r="292">
          <cell r="A292">
            <v>41903</v>
          </cell>
          <cell r="B292" t="str">
            <v>Junta Elástica Fungenband O-35/6</v>
          </cell>
          <cell r="C292" t="str">
            <v>m</v>
          </cell>
          <cell r="D292">
            <v>110.05</v>
          </cell>
          <cell r="E292">
            <v>10.14</v>
          </cell>
          <cell r="F292">
            <v>120.19</v>
          </cell>
        </row>
        <row r="293">
          <cell r="A293">
            <v>41904</v>
          </cell>
          <cell r="B293" t="str">
            <v>Junta Elástica Fungenband O-35/10</v>
          </cell>
          <cell r="C293" t="str">
            <v>m</v>
          </cell>
          <cell r="D293">
            <v>146.91</v>
          </cell>
          <cell r="E293">
            <v>10.14</v>
          </cell>
          <cell r="F293">
            <v>157.05000000000001</v>
          </cell>
        </row>
        <row r="294">
          <cell r="A294">
            <v>41905</v>
          </cell>
          <cell r="B294" t="str">
            <v>Junta Elástica Fungenband M-22</v>
          </cell>
          <cell r="C294" t="str">
            <v>m</v>
          </cell>
          <cell r="D294">
            <v>55.9</v>
          </cell>
          <cell r="E294">
            <v>10.14</v>
          </cell>
          <cell r="F294">
            <v>66.039999999999992</v>
          </cell>
        </row>
        <row r="295">
          <cell r="A295">
            <v>42000</v>
          </cell>
          <cell r="B295" t="str">
            <v>Argamassa</v>
          </cell>
          <cell r="D295">
            <v>0</v>
          </cell>
          <cell r="E295">
            <v>0</v>
          </cell>
        </row>
        <row r="296">
          <cell r="A296">
            <v>42001</v>
          </cell>
          <cell r="B296" t="str">
            <v>Argamassa Cimento/Areia Traço 1:3 E=2cm</v>
          </cell>
          <cell r="C296" t="str">
            <v>m²</v>
          </cell>
          <cell r="D296">
            <v>2.36</v>
          </cell>
          <cell r="E296">
            <v>9.56</v>
          </cell>
          <cell r="F296">
            <v>11.92</v>
          </cell>
        </row>
        <row r="297">
          <cell r="A297">
            <v>42002</v>
          </cell>
          <cell r="B297" t="str">
            <v>Argamassa Cimento/Areia Traço 1:6</v>
          </cell>
          <cell r="C297" t="str">
            <v>m³</v>
          </cell>
          <cell r="D297">
            <v>91.46</v>
          </cell>
          <cell r="E297">
            <v>374.19</v>
          </cell>
          <cell r="F297">
            <v>465.65</v>
          </cell>
        </row>
        <row r="298">
          <cell r="A298">
            <v>42100</v>
          </cell>
          <cell r="B298" t="str">
            <v>Guias / Sarjetas</v>
          </cell>
          <cell r="D298">
            <v>0</v>
          </cell>
          <cell r="E298">
            <v>0</v>
          </cell>
        </row>
        <row r="299">
          <cell r="A299">
            <v>42101</v>
          </cell>
          <cell r="B299" t="str">
            <v>Guia Chapéu Pré-Moldada</v>
          </cell>
          <cell r="C299" t="str">
            <v>un</v>
          </cell>
          <cell r="D299">
            <v>16.07</v>
          </cell>
          <cell r="E299">
            <v>6.64</v>
          </cell>
          <cell r="F299">
            <v>22.71</v>
          </cell>
        </row>
        <row r="300">
          <cell r="A300">
            <v>42102</v>
          </cell>
          <cell r="B300" t="str">
            <v>Guia de Concreto Tipo PMSP</v>
          </cell>
          <cell r="C300" t="str">
            <v>m</v>
          </cell>
          <cell r="D300">
            <v>13.08</v>
          </cell>
          <cell r="E300">
            <v>6.16</v>
          </cell>
          <cell r="F300">
            <v>19.240000000000002</v>
          </cell>
        </row>
        <row r="301">
          <cell r="A301">
            <v>42103</v>
          </cell>
          <cell r="B301" t="str">
            <v>Sarjeta / Sarjetão de Concreto Moldado In Loco</v>
          </cell>
          <cell r="C301" t="str">
            <v>m³</v>
          </cell>
          <cell r="D301">
            <v>249.43</v>
          </cell>
          <cell r="E301">
            <v>32.520000000000003</v>
          </cell>
          <cell r="F301">
            <v>281.95</v>
          </cell>
        </row>
        <row r="302">
          <cell r="A302">
            <v>42104</v>
          </cell>
          <cell r="B302" t="str">
            <v>Telar e Tampão de Ferro Fundido</v>
          </cell>
          <cell r="C302" t="str">
            <v>un</v>
          </cell>
          <cell r="D302">
            <v>168.75</v>
          </cell>
          <cell r="E302">
            <v>5.85</v>
          </cell>
          <cell r="F302">
            <v>174.6</v>
          </cell>
        </row>
        <row r="303">
          <cell r="A303">
            <v>42105</v>
          </cell>
          <cell r="B303" t="str">
            <v>Grelha de Ferro Fundido para Boca de Lobo</v>
          </cell>
          <cell r="C303" t="str">
            <v>un</v>
          </cell>
          <cell r="D303">
            <v>123.5</v>
          </cell>
          <cell r="E303">
            <v>10.039999999999999</v>
          </cell>
          <cell r="F303">
            <v>133.54</v>
          </cell>
        </row>
        <row r="304">
          <cell r="A304">
            <v>42106</v>
          </cell>
          <cell r="B304" t="str">
            <v>Grelha de Concreto Armado 0,10 x 0,94 x 1,20m</v>
          </cell>
          <cell r="C304" t="str">
            <v>un</v>
          </cell>
          <cell r="D304">
            <v>92.77</v>
          </cell>
          <cell r="E304">
            <v>0</v>
          </cell>
          <cell r="F304">
            <v>92.77</v>
          </cell>
        </row>
        <row r="305">
          <cell r="A305">
            <v>42200</v>
          </cell>
          <cell r="B305" t="str">
            <v>Tela Soldada</v>
          </cell>
          <cell r="D305">
            <v>0</v>
          </cell>
          <cell r="E305">
            <v>0</v>
          </cell>
        </row>
        <row r="306">
          <cell r="A306">
            <v>42201</v>
          </cell>
          <cell r="B306" t="str">
            <v>Tela Telcon</v>
          </cell>
          <cell r="C306" t="str">
            <v>kg</v>
          </cell>
          <cell r="D306">
            <v>2.93</v>
          </cell>
          <cell r="E306">
            <v>1.82</v>
          </cell>
          <cell r="F306">
            <v>4.75</v>
          </cell>
        </row>
        <row r="307">
          <cell r="A307">
            <v>42300</v>
          </cell>
          <cell r="B307" t="str">
            <v>Cimbramento / Andaime</v>
          </cell>
          <cell r="D307">
            <v>0</v>
          </cell>
          <cell r="E307">
            <v>0</v>
          </cell>
        </row>
        <row r="308">
          <cell r="A308">
            <v>42301</v>
          </cell>
          <cell r="B308" t="str">
            <v>Andaime Tubular Metálico</v>
          </cell>
          <cell r="C308" t="str">
            <v>m³</v>
          </cell>
          <cell r="D308">
            <v>10.57</v>
          </cell>
          <cell r="E308">
            <v>6.55</v>
          </cell>
          <cell r="F308">
            <v>17.12</v>
          </cell>
        </row>
        <row r="309">
          <cell r="A309">
            <v>42400</v>
          </cell>
          <cell r="B309" t="str">
            <v>Dreno</v>
          </cell>
          <cell r="D309">
            <v>0</v>
          </cell>
          <cell r="E309">
            <v>0</v>
          </cell>
        </row>
        <row r="310">
          <cell r="A310">
            <v>42401</v>
          </cell>
          <cell r="B310" t="str">
            <v>Dreno Profundo Longitudinal</v>
          </cell>
          <cell r="C310" t="str">
            <v>m</v>
          </cell>
          <cell r="D310">
            <v>69.709999999999994</v>
          </cell>
          <cell r="E310">
            <v>18.239999999999998</v>
          </cell>
          <cell r="F310">
            <v>87.949999999999989</v>
          </cell>
        </row>
        <row r="311">
          <cell r="A311">
            <v>42500</v>
          </cell>
          <cell r="B311" t="str">
            <v>Tunnel Liner pelo Método de Túneis</v>
          </cell>
          <cell r="D311">
            <v>0</v>
          </cell>
          <cell r="E311">
            <v>0</v>
          </cell>
        </row>
        <row r="312">
          <cell r="A312">
            <v>42501</v>
          </cell>
          <cell r="B312" t="str">
            <v>Tunnel Liner pelo Método de Túneis D=1,20m e E=2,70mm</v>
          </cell>
          <cell r="C312" t="str">
            <v>m</v>
          </cell>
          <cell r="D312">
            <v>1083</v>
          </cell>
          <cell r="E312">
            <v>0</v>
          </cell>
          <cell r="F312">
            <v>1083</v>
          </cell>
        </row>
        <row r="313">
          <cell r="A313">
            <v>42502</v>
          </cell>
          <cell r="B313" t="str">
            <v>Tunnel Liner pelo Método de Túneis D=1,20m e E=3,40mm</v>
          </cell>
          <cell r="C313" t="str">
            <v>m</v>
          </cell>
          <cell r="D313">
            <v>1138</v>
          </cell>
          <cell r="E313">
            <v>0</v>
          </cell>
          <cell r="F313">
            <v>1138</v>
          </cell>
        </row>
        <row r="314">
          <cell r="A314">
            <v>42503</v>
          </cell>
          <cell r="B314" t="str">
            <v>Tunnel Liner pelo Método de Túneis D=1,20m e E=4,70mm</v>
          </cell>
          <cell r="C314" t="str">
            <v>m</v>
          </cell>
          <cell r="D314">
            <v>1260.99</v>
          </cell>
          <cell r="E314">
            <v>0</v>
          </cell>
          <cell r="F314">
            <v>1260.99</v>
          </cell>
        </row>
        <row r="315">
          <cell r="A315">
            <v>42504</v>
          </cell>
          <cell r="B315" t="str">
            <v>Tunnel Liner pelo Método de Túneis D=1,40m e E=2,70mm</v>
          </cell>
          <cell r="C315" t="str">
            <v>m</v>
          </cell>
          <cell r="D315">
            <v>1285</v>
          </cell>
          <cell r="E315">
            <v>0</v>
          </cell>
          <cell r="F315">
            <v>1285</v>
          </cell>
        </row>
        <row r="316">
          <cell r="A316">
            <v>42505</v>
          </cell>
          <cell r="B316" t="str">
            <v>Tunnel Liner pelo Método de Túneis D=1,40m e E=3,40mm</v>
          </cell>
          <cell r="C316" t="str">
            <v>m</v>
          </cell>
          <cell r="D316">
            <v>1350</v>
          </cell>
          <cell r="E316">
            <v>0</v>
          </cell>
          <cell r="F316">
            <v>1350</v>
          </cell>
        </row>
        <row r="317">
          <cell r="A317">
            <v>42506</v>
          </cell>
          <cell r="B317" t="str">
            <v>Tunnel Liner pelo Método de Túneis D=1,40m e E=4,70mm</v>
          </cell>
          <cell r="C317" t="str">
            <v>m</v>
          </cell>
          <cell r="D317">
            <v>1495</v>
          </cell>
          <cell r="E317">
            <v>0</v>
          </cell>
          <cell r="F317">
            <v>1495</v>
          </cell>
        </row>
        <row r="318">
          <cell r="A318">
            <v>42507</v>
          </cell>
          <cell r="B318" t="str">
            <v>Tunnel Liner pelo Método de Túneis D=1,60m e E=2,70mm</v>
          </cell>
          <cell r="C318" t="str">
            <v>m</v>
          </cell>
          <cell r="D318">
            <v>1445.01</v>
          </cell>
          <cell r="E318">
            <v>0</v>
          </cell>
          <cell r="F318">
            <v>1445.01</v>
          </cell>
        </row>
        <row r="319">
          <cell r="A319">
            <v>42508</v>
          </cell>
          <cell r="B319" t="str">
            <v>Tunnel Liner pelo Método de Túneis D=1,60m e E=3,40mm</v>
          </cell>
          <cell r="C319" t="str">
            <v>m</v>
          </cell>
          <cell r="D319">
            <v>1520.01</v>
          </cell>
          <cell r="E319">
            <v>0</v>
          </cell>
          <cell r="F319">
            <v>1520.01</v>
          </cell>
        </row>
        <row r="320">
          <cell r="A320">
            <v>42509</v>
          </cell>
          <cell r="B320" t="str">
            <v>Tunnel Liner pelo Método de Túneis D=1,60m e E=4,70mm</v>
          </cell>
          <cell r="C320" t="str">
            <v>m</v>
          </cell>
          <cell r="D320">
            <v>1686</v>
          </cell>
          <cell r="E320">
            <v>0</v>
          </cell>
          <cell r="F320">
            <v>1686</v>
          </cell>
        </row>
        <row r="321">
          <cell r="A321">
            <v>42510</v>
          </cell>
          <cell r="B321" t="str">
            <v>Tunnel Liner pelo Método de Túneis D=1,60m e E=6,30mm</v>
          </cell>
          <cell r="C321" t="str">
            <v>m</v>
          </cell>
          <cell r="D321">
            <v>1867.01</v>
          </cell>
          <cell r="E321">
            <v>0</v>
          </cell>
          <cell r="F321">
            <v>1867.01</v>
          </cell>
        </row>
        <row r="322">
          <cell r="A322">
            <v>42511</v>
          </cell>
          <cell r="B322" t="str">
            <v>Tunnel Liner pelo Método de Túneis D=1,80m e E=2,70mm</v>
          </cell>
          <cell r="C322" t="str">
            <v>m</v>
          </cell>
          <cell r="D322">
            <v>1651</v>
          </cell>
          <cell r="E322">
            <v>0</v>
          </cell>
          <cell r="F322">
            <v>1651</v>
          </cell>
        </row>
        <row r="323">
          <cell r="A323">
            <v>42512</v>
          </cell>
          <cell r="B323" t="str">
            <v>Tunnel Liner pelo Método de Túneis D=1,80m e E=3,40mm</v>
          </cell>
          <cell r="C323" t="str">
            <v>m</v>
          </cell>
          <cell r="D323">
            <v>1732</v>
          </cell>
          <cell r="E323">
            <v>0</v>
          </cell>
          <cell r="F323">
            <v>1732</v>
          </cell>
        </row>
        <row r="324">
          <cell r="A324">
            <v>42513</v>
          </cell>
          <cell r="B324" t="str">
            <v>Tunnel Liner pelo Método de Túneis D=1,80m e E=4,70mm</v>
          </cell>
          <cell r="C324" t="str">
            <v>m</v>
          </cell>
          <cell r="D324">
            <v>1920</v>
          </cell>
          <cell r="E324">
            <v>0</v>
          </cell>
          <cell r="F324">
            <v>1920</v>
          </cell>
        </row>
        <row r="325">
          <cell r="A325">
            <v>42514</v>
          </cell>
          <cell r="B325" t="str">
            <v>Tunnel Liner pelo Método de Túneis D=1,80m e E=6,30mm</v>
          </cell>
          <cell r="C325" t="str">
            <v>m</v>
          </cell>
          <cell r="D325">
            <v>2128.0100000000002</v>
          </cell>
          <cell r="E325">
            <v>0</v>
          </cell>
          <cell r="F325">
            <v>2128.0100000000002</v>
          </cell>
        </row>
        <row r="326">
          <cell r="A326">
            <v>42515</v>
          </cell>
          <cell r="B326" t="str">
            <v>Tunnel Liner pelo Método de Túneis D=2,00m e E=2,70mm</v>
          </cell>
          <cell r="C326" t="str">
            <v>m</v>
          </cell>
          <cell r="D326">
            <v>1810</v>
          </cell>
          <cell r="E326">
            <v>0</v>
          </cell>
          <cell r="F326">
            <v>1810</v>
          </cell>
        </row>
        <row r="327">
          <cell r="A327">
            <v>42516</v>
          </cell>
          <cell r="B327" t="str">
            <v>Tunnel Liner pelo Método de Túneis D=2,00m e E=3,40mm</v>
          </cell>
          <cell r="C327" t="str">
            <v>m</v>
          </cell>
          <cell r="D327">
            <v>1902.99</v>
          </cell>
          <cell r="E327">
            <v>0</v>
          </cell>
          <cell r="F327">
            <v>1902.99</v>
          </cell>
        </row>
        <row r="328">
          <cell r="A328">
            <v>42517</v>
          </cell>
          <cell r="B328" t="str">
            <v>Tunnel Liner pelo Método de Túneis D=2,00m e E=4,70mm</v>
          </cell>
          <cell r="C328" t="str">
            <v>m</v>
          </cell>
          <cell r="D328">
            <v>2107</v>
          </cell>
          <cell r="E328">
            <v>0</v>
          </cell>
          <cell r="F328">
            <v>2107</v>
          </cell>
        </row>
        <row r="329">
          <cell r="A329">
            <v>42518</v>
          </cell>
          <cell r="B329" t="str">
            <v>Tunnel Liner pelo Método de Túneis D=2,00m e E=6,30mm</v>
          </cell>
          <cell r="C329" t="str">
            <v>m</v>
          </cell>
          <cell r="D329">
            <v>2338</v>
          </cell>
          <cell r="E329">
            <v>0</v>
          </cell>
          <cell r="F329">
            <v>2338</v>
          </cell>
        </row>
        <row r="330">
          <cell r="A330">
            <v>42519</v>
          </cell>
          <cell r="B330" t="str">
            <v>Tunnel Liner pelo Método de Túneis D=2,20m e E=2,70mm</v>
          </cell>
          <cell r="C330" t="str">
            <v>m</v>
          </cell>
          <cell r="D330">
            <v>2013</v>
          </cell>
          <cell r="E330">
            <v>0</v>
          </cell>
          <cell r="F330">
            <v>2013</v>
          </cell>
        </row>
        <row r="331">
          <cell r="A331">
            <v>42520</v>
          </cell>
          <cell r="B331" t="str">
            <v>Tunnel Liner pelo Método de Túneis D=2,20m e E=3,40mm</v>
          </cell>
          <cell r="C331" t="str">
            <v>m</v>
          </cell>
          <cell r="D331">
            <v>2115</v>
          </cell>
          <cell r="E331">
            <v>0</v>
          </cell>
          <cell r="F331">
            <v>2115</v>
          </cell>
        </row>
        <row r="332">
          <cell r="A332">
            <v>42521</v>
          </cell>
          <cell r="B332" t="str">
            <v>Tunnel Liner pelo Método de Túneis D=2,20m e E=4,70mm</v>
          </cell>
          <cell r="C332" t="str">
            <v>m</v>
          </cell>
          <cell r="D332">
            <v>2342.0100000000002</v>
          </cell>
          <cell r="E332">
            <v>0</v>
          </cell>
          <cell r="F332">
            <v>2342.0100000000002</v>
          </cell>
        </row>
        <row r="333">
          <cell r="A333">
            <v>42522</v>
          </cell>
          <cell r="B333" t="str">
            <v>Tunnel Liner pelo Método de Túneis D=2,20m e E=6,30mm</v>
          </cell>
          <cell r="C333" t="str">
            <v>m</v>
          </cell>
          <cell r="D333">
            <v>2642</v>
          </cell>
          <cell r="E333">
            <v>0</v>
          </cell>
          <cell r="F333">
            <v>2642</v>
          </cell>
        </row>
        <row r="334">
          <cell r="A334">
            <v>42523</v>
          </cell>
          <cell r="B334" t="str">
            <v>Tunnel Liner pelo Método de Túneis D=2,40m e E=2,70mm</v>
          </cell>
          <cell r="C334" t="str">
            <v>m</v>
          </cell>
          <cell r="D334">
            <v>2175.0100000000002</v>
          </cell>
          <cell r="E334">
            <v>0</v>
          </cell>
          <cell r="F334">
            <v>2175.0100000000002</v>
          </cell>
        </row>
        <row r="335">
          <cell r="A335">
            <v>42524</v>
          </cell>
          <cell r="B335" t="str">
            <v>Tunnel Liner pelo Método de Túneis D=2,40m e E=3,40mm</v>
          </cell>
          <cell r="C335" t="str">
            <v>m</v>
          </cell>
          <cell r="D335">
            <v>2285.0100000000002</v>
          </cell>
          <cell r="E335">
            <v>0</v>
          </cell>
          <cell r="F335">
            <v>2285.0100000000002</v>
          </cell>
        </row>
        <row r="336">
          <cell r="A336">
            <v>42525</v>
          </cell>
          <cell r="B336" t="str">
            <v>Tunnel Liner pelo Método de Túneis D=2,40m e E=4,70mm</v>
          </cell>
          <cell r="C336" t="str">
            <v>m</v>
          </cell>
          <cell r="D336">
            <v>2532.0100000000002</v>
          </cell>
          <cell r="E336">
            <v>0</v>
          </cell>
          <cell r="F336">
            <v>2532.0100000000002</v>
          </cell>
        </row>
        <row r="337">
          <cell r="A337">
            <v>42526</v>
          </cell>
          <cell r="B337" t="str">
            <v>Tunnel Liner pelo Método de Túneis D=2,40m e E=6,30mm</v>
          </cell>
          <cell r="C337" t="str">
            <v>m</v>
          </cell>
          <cell r="D337">
            <v>2806</v>
          </cell>
          <cell r="E337">
            <v>0</v>
          </cell>
          <cell r="F337">
            <v>2806</v>
          </cell>
        </row>
        <row r="338">
          <cell r="A338">
            <v>42527</v>
          </cell>
          <cell r="B338" t="str">
            <v>Tunnel Liner pelo Método de Túneis D=3,80m e E=3,40mm</v>
          </cell>
          <cell r="C338" t="str">
            <v>m</v>
          </cell>
          <cell r="D338">
            <v>4005</v>
          </cell>
          <cell r="E338">
            <v>0</v>
          </cell>
          <cell r="F338">
            <v>4005</v>
          </cell>
        </row>
        <row r="339">
          <cell r="A339">
            <v>42528</v>
          </cell>
          <cell r="B339" t="str">
            <v>Tunnel Liner pelo Método de Túneis D=3,80m e E=4,70mm</v>
          </cell>
          <cell r="C339" t="str">
            <v>m</v>
          </cell>
          <cell r="D339">
            <v>4397</v>
          </cell>
          <cell r="E339">
            <v>0</v>
          </cell>
          <cell r="F339">
            <v>4397</v>
          </cell>
        </row>
        <row r="340">
          <cell r="A340">
            <v>42529</v>
          </cell>
          <cell r="B340" t="str">
            <v>Tunnel Liner pelo Método de Túneis D=3,80m e E=6,30mm</v>
          </cell>
          <cell r="C340" t="str">
            <v>m</v>
          </cell>
          <cell r="D340">
            <v>4833</v>
          </cell>
          <cell r="E340">
            <v>0</v>
          </cell>
          <cell r="F340">
            <v>4833</v>
          </cell>
        </row>
        <row r="341">
          <cell r="A341">
            <v>42600</v>
          </cell>
          <cell r="B341" t="str">
            <v>Tunnel Liner em Obras a Céu Aberto</v>
          </cell>
          <cell r="D341">
            <v>0</v>
          </cell>
          <cell r="E341">
            <v>0</v>
          </cell>
        </row>
        <row r="342">
          <cell r="A342">
            <v>42601</v>
          </cell>
          <cell r="B342" t="str">
            <v>Tunnel Liner em Obras a Céu Aberto D=1,20m e E=2,00mm</v>
          </cell>
          <cell r="C342" t="str">
            <v>m</v>
          </cell>
          <cell r="D342">
            <v>218.01</v>
          </cell>
          <cell r="E342">
            <v>0</v>
          </cell>
          <cell r="F342">
            <v>218.01</v>
          </cell>
        </row>
        <row r="343">
          <cell r="A343">
            <v>42602</v>
          </cell>
          <cell r="B343" t="str">
            <v>Tunnel Liner em Obras a Céu Aberto D=1,20m e E=2,70mm</v>
          </cell>
          <cell r="C343" t="str">
            <v>m</v>
          </cell>
          <cell r="D343">
            <v>262.01</v>
          </cell>
          <cell r="E343">
            <v>0</v>
          </cell>
          <cell r="F343">
            <v>262.01</v>
          </cell>
        </row>
        <row r="344">
          <cell r="A344">
            <v>42603</v>
          </cell>
          <cell r="B344" t="str">
            <v>Tunnel Liner em Obras a Céu Aberto D=1,20m e E=3,40mm</v>
          </cell>
          <cell r="C344" t="str">
            <v>m</v>
          </cell>
          <cell r="D344">
            <v>302.01</v>
          </cell>
          <cell r="E344">
            <v>0</v>
          </cell>
          <cell r="F344">
            <v>302.01</v>
          </cell>
        </row>
        <row r="345">
          <cell r="A345">
            <v>42604</v>
          </cell>
          <cell r="B345" t="str">
            <v>Tunnel Liner em Obras a Céu Aberto D=1,40m e E=2,00mm</v>
          </cell>
          <cell r="C345" t="str">
            <v>m</v>
          </cell>
          <cell r="D345">
            <v>251.99</v>
          </cell>
          <cell r="E345">
            <v>0</v>
          </cell>
          <cell r="F345">
            <v>251.99</v>
          </cell>
        </row>
        <row r="346">
          <cell r="A346">
            <v>42605</v>
          </cell>
          <cell r="B346" t="str">
            <v>Tunnel Liner em Obras a Céu Aberto D=1,40m e E=2,70mm</v>
          </cell>
          <cell r="C346" t="str">
            <v>m</v>
          </cell>
          <cell r="D346">
            <v>303.01</v>
          </cell>
          <cell r="E346">
            <v>0</v>
          </cell>
          <cell r="F346">
            <v>303.01</v>
          </cell>
        </row>
        <row r="347">
          <cell r="A347">
            <v>42606</v>
          </cell>
          <cell r="B347" t="str">
            <v>Tunnel Liner em Obras a Céu Aberto D=1,40m e E=3,40mm</v>
          </cell>
          <cell r="C347" t="str">
            <v>m</v>
          </cell>
          <cell r="D347">
            <v>350</v>
          </cell>
          <cell r="E347">
            <v>0</v>
          </cell>
          <cell r="F347">
            <v>350</v>
          </cell>
        </row>
        <row r="348">
          <cell r="A348">
            <v>42607</v>
          </cell>
          <cell r="B348" t="str">
            <v>Tunnel Liner em Obras a Céu Aberto D=1,60m e E=2,00mm</v>
          </cell>
          <cell r="C348" t="str">
            <v>m</v>
          </cell>
          <cell r="D348">
            <v>297</v>
          </cell>
          <cell r="E348">
            <v>0</v>
          </cell>
          <cell r="F348">
            <v>297</v>
          </cell>
        </row>
        <row r="349">
          <cell r="A349">
            <v>42608</v>
          </cell>
          <cell r="B349" t="str">
            <v>Tunnel Liner em Obras a Céu Aberto D=1,60m e E=2,70mm</v>
          </cell>
          <cell r="C349" t="str">
            <v>m</v>
          </cell>
          <cell r="D349">
            <v>357.99</v>
          </cell>
          <cell r="E349">
            <v>0</v>
          </cell>
          <cell r="F349">
            <v>357.99</v>
          </cell>
        </row>
        <row r="350">
          <cell r="A350">
            <v>42609</v>
          </cell>
          <cell r="B350" t="str">
            <v>Tunnel Liner em Obras a Céu Aberto D=1,60m e E=3,40mm</v>
          </cell>
          <cell r="C350" t="str">
            <v>m</v>
          </cell>
          <cell r="D350">
            <v>407.98</v>
          </cell>
          <cell r="E350">
            <v>0</v>
          </cell>
          <cell r="F350">
            <v>407.98</v>
          </cell>
        </row>
        <row r="351">
          <cell r="A351">
            <v>42610</v>
          </cell>
          <cell r="B351" t="str">
            <v>Tunnel Liner em Obras a Céu Aberto D=1,80m e E=2,00mm</v>
          </cell>
          <cell r="C351" t="str">
            <v>m</v>
          </cell>
          <cell r="D351">
            <v>329.99</v>
          </cell>
          <cell r="E351">
            <v>0</v>
          </cell>
          <cell r="F351">
            <v>329.99</v>
          </cell>
        </row>
        <row r="352">
          <cell r="A352">
            <v>42611</v>
          </cell>
          <cell r="B352" t="str">
            <v>Tunnel Liner em Obras a Céu Aberto D=1,80m e E=2,70mm</v>
          </cell>
          <cell r="C352" t="str">
            <v>m</v>
          </cell>
          <cell r="D352">
            <v>396.99</v>
          </cell>
          <cell r="E352">
            <v>0</v>
          </cell>
          <cell r="F352">
            <v>396.99</v>
          </cell>
        </row>
        <row r="353">
          <cell r="A353">
            <v>42612</v>
          </cell>
          <cell r="B353" t="str">
            <v>Tunnel Liner em Obras a Céu Aberto D=1,80m e E=3,40mm</v>
          </cell>
          <cell r="C353" t="str">
            <v>m</v>
          </cell>
          <cell r="D353">
            <v>455.99</v>
          </cell>
          <cell r="E353">
            <v>0</v>
          </cell>
          <cell r="F353">
            <v>455.99</v>
          </cell>
        </row>
        <row r="354">
          <cell r="A354">
            <v>42613</v>
          </cell>
          <cell r="B354" t="str">
            <v>Tunnel Liner em Obras a Céu Aberto D=2,00m e E=2,70mm</v>
          </cell>
          <cell r="C354" t="str">
            <v>m</v>
          </cell>
          <cell r="D354">
            <v>368</v>
          </cell>
          <cell r="E354">
            <v>0</v>
          </cell>
          <cell r="F354">
            <v>368</v>
          </cell>
        </row>
        <row r="355">
          <cell r="A355">
            <v>42614</v>
          </cell>
          <cell r="B355" t="str">
            <v>Tunnel Liner em Obras a Céu Aberto D=2,00m e E=3,40mm</v>
          </cell>
          <cell r="C355" t="str">
            <v>m</v>
          </cell>
          <cell r="D355">
            <v>443</v>
          </cell>
          <cell r="E355">
            <v>0</v>
          </cell>
          <cell r="F355">
            <v>443</v>
          </cell>
        </row>
        <row r="356">
          <cell r="A356">
            <v>42615</v>
          </cell>
          <cell r="B356" t="str">
            <v>Tunnel Liner em Obras a Céu Aberto D=2,00m e E=4,70mm</v>
          </cell>
          <cell r="C356" t="str">
            <v>m</v>
          </cell>
          <cell r="D356">
            <v>508.01</v>
          </cell>
          <cell r="E356">
            <v>0</v>
          </cell>
          <cell r="F356">
            <v>508.01</v>
          </cell>
        </row>
        <row r="357">
          <cell r="A357">
            <v>42616</v>
          </cell>
          <cell r="B357" t="str">
            <v>Tunnel Liner em Obras a Céu Aberto D=2,20m e E=2,70mm</v>
          </cell>
          <cell r="C357" t="str">
            <v>m</v>
          </cell>
          <cell r="D357">
            <v>491.99</v>
          </cell>
          <cell r="E357">
            <v>0</v>
          </cell>
          <cell r="F357">
            <v>491.99</v>
          </cell>
        </row>
        <row r="358">
          <cell r="A358">
            <v>42617</v>
          </cell>
          <cell r="B358" t="str">
            <v>Tunnel Liner em Obras a Céu Aberto D=2,20m e E=3,40mm</v>
          </cell>
          <cell r="C358" t="str">
            <v>m</v>
          </cell>
          <cell r="D358">
            <v>565</v>
          </cell>
          <cell r="E358">
            <v>0</v>
          </cell>
          <cell r="F358">
            <v>565</v>
          </cell>
        </row>
        <row r="359">
          <cell r="A359">
            <v>42618</v>
          </cell>
          <cell r="B359" t="str">
            <v>Tunnel Liner em Obras a Céu Aberto D=2,40m e E=2,70mm</v>
          </cell>
          <cell r="C359" t="str">
            <v>m</v>
          </cell>
          <cell r="D359">
            <v>538</v>
          </cell>
          <cell r="E359">
            <v>0</v>
          </cell>
          <cell r="F359">
            <v>538</v>
          </cell>
        </row>
        <row r="360">
          <cell r="A360">
            <v>42619</v>
          </cell>
          <cell r="B360" t="str">
            <v>Tunnel Liner em Obras a Céu Aberto D=2,40m e E=3,40mm</v>
          </cell>
          <cell r="C360" t="str">
            <v>m</v>
          </cell>
          <cell r="D360">
            <v>616.01</v>
          </cell>
          <cell r="E360">
            <v>0</v>
          </cell>
          <cell r="F360">
            <v>616.01</v>
          </cell>
        </row>
        <row r="361">
          <cell r="A361">
            <v>42620</v>
          </cell>
          <cell r="B361" t="str">
            <v>Tunnel Liner em Obras a Céu Aberto D=3,80m e E=2,70mm</v>
          </cell>
          <cell r="C361" t="str">
            <v>m</v>
          </cell>
          <cell r="D361">
            <v>1503.99</v>
          </cell>
          <cell r="E361">
            <v>0</v>
          </cell>
          <cell r="F361">
            <v>1503.99</v>
          </cell>
        </row>
        <row r="362">
          <cell r="A362">
            <v>42621</v>
          </cell>
          <cell r="B362" t="str">
            <v>Tunnel Liner em Obras a Céu Aberto D=3,80m e E=3,40mm</v>
          </cell>
          <cell r="C362" t="str">
            <v>m</v>
          </cell>
          <cell r="D362">
            <v>1677</v>
          </cell>
          <cell r="E362">
            <v>0</v>
          </cell>
          <cell r="F362">
            <v>1677</v>
          </cell>
        </row>
        <row r="363">
          <cell r="A363">
            <v>42622</v>
          </cell>
          <cell r="B363" t="str">
            <v>Tunnel Liner em Obras a Céu Aberto D=3,80m e E=4,70mm</v>
          </cell>
          <cell r="C363" t="str">
            <v>m</v>
          </cell>
          <cell r="D363">
            <v>2010</v>
          </cell>
          <cell r="E363">
            <v>0</v>
          </cell>
          <cell r="F363">
            <v>2010</v>
          </cell>
        </row>
        <row r="364">
          <cell r="A364">
            <v>42700</v>
          </cell>
          <cell r="B364" t="str">
            <v>Perfuração / Dreno / Tirante em Solo</v>
          </cell>
          <cell r="D364">
            <v>0</v>
          </cell>
          <cell r="E364">
            <v>0</v>
          </cell>
        </row>
        <row r="365">
          <cell r="A365">
            <v>42701</v>
          </cell>
          <cell r="B365" t="str">
            <v>Perfuração / Dreno / Tirante em Solo D=AX</v>
          </cell>
          <cell r="C365" t="str">
            <v>m</v>
          </cell>
          <cell r="D365">
            <v>89.01</v>
          </cell>
          <cell r="E365">
            <v>0</v>
          </cell>
          <cell r="F365">
            <v>89.01</v>
          </cell>
        </row>
        <row r="366">
          <cell r="A366">
            <v>42702</v>
          </cell>
          <cell r="B366" t="str">
            <v>Perfuração / Dreno / Tirante em Solo D=BX</v>
          </cell>
          <cell r="C366" t="str">
            <v>m</v>
          </cell>
          <cell r="D366">
            <v>99</v>
          </cell>
          <cell r="E366">
            <v>0</v>
          </cell>
          <cell r="F366">
            <v>99</v>
          </cell>
        </row>
        <row r="367">
          <cell r="A367">
            <v>42703</v>
          </cell>
          <cell r="B367" t="str">
            <v>Perfuração / Dreno / Tirante em Solo D=NX</v>
          </cell>
          <cell r="C367" t="str">
            <v>m</v>
          </cell>
          <cell r="D367">
            <v>115.01</v>
          </cell>
          <cell r="E367">
            <v>0</v>
          </cell>
          <cell r="F367">
            <v>115.01</v>
          </cell>
        </row>
        <row r="368">
          <cell r="A368">
            <v>42704</v>
          </cell>
          <cell r="B368" t="str">
            <v>Perfuração / Dreno / Tirante em Solo D=HX</v>
          </cell>
          <cell r="C368" t="str">
            <v>m</v>
          </cell>
          <cell r="D368">
            <v>125</v>
          </cell>
          <cell r="E368">
            <v>0</v>
          </cell>
          <cell r="F368">
            <v>125</v>
          </cell>
        </row>
        <row r="369">
          <cell r="A369">
            <v>42800</v>
          </cell>
          <cell r="B369" t="str">
            <v>Perfuração / Dreno / Tirante em Rocha Alterada</v>
          </cell>
          <cell r="D369">
            <v>0</v>
          </cell>
          <cell r="E369">
            <v>0</v>
          </cell>
        </row>
        <row r="370">
          <cell r="A370">
            <v>42801</v>
          </cell>
          <cell r="B370" t="str">
            <v>Perfuração / Dreno / Tirante em Rocha Alterada D=AX</v>
          </cell>
          <cell r="C370" t="str">
            <v>m</v>
          </cell>
          <cell r="D370">
            <v>185</v>
          </cell>
          <cell r="E370">
            <v>0</v>
          </cell>
          <cell r="F370">
            <v>185</v>
          </cell>
        </row>
        <row r="371">
          <cell r="A371">
            <v>42802</v>
          </cell>
          <cell r="B371" t="str">
            <v>Perfuração / Dreno / Tirante em Rocha Alterada D=BX</v>
          </cell>
          <cell r="C371" t="str">
            <v>m</v>
          </cell>
          <cell r="D371">
            <v>185</v>
          </cell>
          <cell r="E371">
            <v>0</v>
          </cell>
          <cell r="F371">
            <v>185</v>
          </cell>
        </row>
        <row r="372">
          <cell r="A372">
            <v>42803</v>
          </cell>
          <cell r="B372" t="str">
            <v>Perfuração / Dreno / Tirante em Rocha Alterada D=NX</v>
          </cell>
          <cell r="C372" t="str">
            <v>m</v>
          </cell>
          <cell r="D372">
            <v>210.01</v>
          </cell>
          <cell r="E372">
            <v>0</v>
          </cell>
          <cell r="F372">
            <v>210.01</v>
          </cell>
        </row>
        <row r="373">
          <cell r="A373">
            <v>42804</v>
          </cell>
          <cell r="B373" t="str">
            <v>Perfuração / Dreno / Tirante em Rocha Alterada D=HX</v>
          </cell>
          <cell r="C373" t="str">
            <v>m</v>
          </cell>
          <cell r="D373">
            <v>210.01</v>
          </cell>
          <cell r="E373">
            <v>0</v>
          </cell>
          <cell r="F373">
            <v>210.01</v>
          </cell>
        </row>
        <row r="374">
          <cell r="A374">
            <v>42900</v>
          </cell>
          <cell r="B374" t="str">
            <v>Perfuração / Dreno / Tirante em Rocha Sã</v>
          </cell>
          <cell r="D374">
            <v>0</v>
          </cell>
          <cell r="E374">
            <v>0</v>
          </cell>
        </row>
        <row r="375">
          <cell r="A375">
            <v>42901</v>
          </cell>
          <cell r="B375" t="str">
            <v>Perfuração / Dreno / Tirante em Rocha Sã D=AX</v>
          </cell>
          <cell r="C375" t="str">
            <v>m</v>
          </cell>
          <cell r="D375">
            <v>286</v>
          </cell>
          <cell r="E375">
            <v>0</v>
          </cell>
          <cell r="F375">
            <v>286</v>
          </cell>
        </row>
        <row r="376">
          <cell r="A376">
            <v>42902</v>
          </cell>
          <cell r="B376" t="str">
            <v>Perfuração / Dreno / Tirante em Rocha Sã D=BX</v>
          </cell>
          <cell r="C376" t="str">
            <v>m</v>
          </cell>
          <cell r="D376">
            <v>297</v>
          </cell>
          <cell r="E376">
            <v>0</v>
          </cell>
          <cell r="F376">
            <v>297</v>
          </cell>
        </row>
        <row r="377">
          <cell r="A377">
            <v>42903</v>
          </cell>
          <cell r="B377" t="str">
            <v>Perfuração / Dreno / Tirante em Rocha Sã D=NX</v>
          </cell>
          <cell r="C377" t="str">
            <v>m</v>
          </cell>
          <cell r="D377">
            <v>354.2</v>
          </cell>
          <cell r="E377">
            <v>0</v>
          </cell>
          <cell r="F377">
            <v>354.2</v>
          </cell>
        </row>
        <row r="378">
          <cell r="A378">
            <v>42904</v>
          </cell>
          <cell r="B378" t="str">
            <v>Perfuração / Dreno / Tirante em Rocha Sã D=HX</v>
          </cell>
          <cell r="C378" t="str">
            <v>m</v>
          </cell>
          <cell r="D378">
            <v>409.2</v>
          </cell>
          <cell r="E378">
            <v>0</v>
          </cell>
          <cell r="F378">
            <v>409.2</v>
          </cell>
        </row>
        <row r="379">
          <cell r="A379">
            <v>43000</v>
          </cell>
          <cell r="B379" t="str">
            <v>Mobilização/Transporte/Instalação de Equipamento / Equipe</v>
          </cell>
          <cell r="D379">
            <v>0</v>
          </cell>
          <cell r="E379">
            <v>0</v>
          </cell>
        </row>
        <row r="380">
          <cell r="A380">
            <v>43001</v>
          </cell>
          <cell r="B380" t="str">
            <v>Mobilização/Transporte/Instalação de Equipamento / Equipe</v>
          </cell>
          <cell r="C380" t="str">
            <v>un</v>
          </cell>
          <cell r="D380">
            <v>4590</v>
          </cell>
          <cell r="E380">
            <v>0</v>
          </cell>
          <cell r="F380">
            <v>4590</v>
          </cell>
        </row>
        <row r="381">
          <cell r="A381">
            <v>43100</v>
          </cell>
          <cell r="B381" t="str">
            <v>Passeio de Concreto</v>
          </cell>
          <cell r="D381">
            <v>0</v>
          </cell>
          <cell r="E381">
            <v>0</v>
          </cell>
        </row>
        <row r="382">
          <cell r="A382">
            <v>43101</v>
          </cell>
          <cell r="B382" t="str">
            <v>Passeio de Concreto E=0,07m</v>
          </cell>
          <cell r="C382" t="str">
            <v>m²</v>
          </cell>
          <cell r="D382">
            <v>16.12</v>
          </cell>
          <cell r="E382">
            <v>9.9499999999999993</v>
          </cell>
          <cell r="F382">
            <v>26.07</v>
          </cell>
        </row>
        <row r="383">
          <cell r="A383">
            <v>50000</v>
          </cell>
          <cell r="B383" t="str">
            <v>Obras de Arte Especiais (O.A.E.)</v>
          </cell>
          <cell r="D383">
            <v>0</v>
          </cell>
          <cell r="E383">
            <v>0</v>
          </cell>
        </row>
        <row r="384">
          <cell r="A384">
            <v>50100</v>
          </cell>
          <cell r="B384" t="str">
            <v>Escavação de Material</v>
          </cell>
          <cell r="D384">
            <v>0</v>
          </cell>
          <cell r="E384">
            <v>0</v>
          </cell>
        </row>
        <row r="385">
          <cell r="A385">
            <v>50101</v>
          </cell>
          <cell r="B385" t="str">
            <v>Escavação Manual sem Explosivos - Transporte até 100 dam</v>
          </cell>
          <cell r="C385" t="str">
            <v>m³</v>
          </cell>
          <cell r="D385">
            <v>5.62</v>
          </cell>
          <cell r="E385">
            <v>15.39</v>
          </cell>
          <cell r="F385">
            <v>21.01</v>
          </cell>
        </row>
        <row r="386">
          <cell r="A386">
            <v>50102</v>
          </cell>
          <cell r="B386" t="str">
            <v>Escavação Mecânica sem Explosivos - Transporte até 100 dam</v>
          </cell>
          <cell r="C386" t="str">
            <v>m³</v>
          </cell>
          <cell r="D386">
            <v>5.48</v>
          </cell>
          <cell r="E386">
            <v>1.03</v>
          </cell>
          <cell r="F386">
            <v>6.5100000000000007</v>
          </cell>
        </row>
        <row r="387">
          <cell r="A387">
            <v>50103</v>
          </cell>
          <cell r="B387" t="str">
            <v>Escavação Manual com Explosivos - Transporte até 100 dam</v>
          </cell>
          <cell r="C387" t="str">
            <v>m³</v>
          </cell>
          <cell r="D387">
            <v>27.08</v>
          </cell>
          <cell r="E387">
            <v>16.350000000000001</v>
          </cell>
          <cell r="F387">
            <v>43.43</v>
          </cell>
        </row>
        <row r="388">
          <cell r="A388">
            <v>50104</v>
          </cell>
          <cell r="B388" t="str">
            <v>Escavação Mecânica com Explosivos - Transporte até 100 dam</v>
          </cell>
          <cell r="C388" t="str">
            <v>m³</v>
          </cell>
          <cell r="D388">
            <v>17.29</v>
          </cell>
          <cell r="E388">
            <v>5.13</v>
          </cell>
          <cell r="F388">
            <v>22.419999999999998</v>
          </cell>
        </row>
        <row r="389">
          <cell r="A389">
            <v>50105</v>
          </cell>
          <cell r="B389" t="str">
            <v>Escavação Tubulão 1ª/2ª Cat. - Céu Aberto</v>
          </cell>
          <cell r="C389" t="str">
            <v>m³</v>
          </cell>
          <cell r="D389">
            <v>177.63</v>
          </cell>
          <cell r="E389">
            <v>107.15</v>
          </cell>
          <cell r="F389">
            <v>284.77999999999997</v>
          </cell>
        </row>
        <row r="390">
          <cell r="A390">
            <v>50106</v>
          </cell>
          <cell r="B390" t="str">
            <v>Escavação Tubulão 1ª/2ª Cat. - Ar Comprimido</v>
          </cell>
          <cell r="C390" t="str">
            <v>m³</v>
          </cell>
          <cell r="D390">
            <v>903.85</v>
          </cell>
          <cell r="E390">
            <v>233.71</v>
          </cell>
          <cell r="F390">
            <v>1137.56</v>
          </cell>
        </row>
        <row r="391">
          <cell r="A391">
            <v>50200</v>
          </cell>
          <cell r="B391" t="str">
            <v>Estaca Pré-Moldada de Concreto</v>
          </cell>
          <cell r="D391">
            <v>0</v>
          </cell>
          <cell r="E391">
            <v>0</v>
          </cell>
        </row>
        <row r="392">
          <cell r="A392">
            <v>50201</v>
          </cell>
          <cell r="B392" t="str">
            <v>Estaca Pré-Moldada de Concreto D=0,20m - 20ton</v>
          </cell>
          <cell r="C392" t="str">
            <v>m</v>
          </cell>
          <cell r="D392">
            <v>21.61</v>
          </cell>
          <cell r="E392">
            <v>0</v>
          </cell>
          <cell r="F392">
            <v>21.61</v>
          </cell>
        </row>
        <row r="393">
          <cell r="A393">
            <v>50202</v>
          </cell>
          <cell r="B393" t="str">
            <v>Estaca Pré-Moldada de Concreto D=0,25m - 30ton</v>
          </cell>
          <cell r="C393" t="str">
            <v>m</v>
          </cell>
          <cell r="D393">
            <v>27.47</v>
          </cell>
          <cell r="E393">
            <v>0</v>
          </cell>
          <cell r="F393">
            <v>27.47</v>
          </cell>
        </row>
        <row r="394">
          <cell r="A394">
            <v>50203</v>
          </cell>
          <cell r="B394" t="str">
            <v>Estaca Pré-Moldada de Concreto D=0,30m - 45ton</v>
          </cell>
          <cell r="C394" t="str">
            <v>m</v>
          </cell>
          <cell r="D394">
            <v>33.26</v>
          </cell>
          <cell r="E394">
            <v>0</v>
          </cell>
          <cell r="F394">
            <v>33.26</v>
          </cell>
        </row>
        <row r="395">
          <cell r="A395">
            <v>50204</v>
          </cell>
          <cell r="B395" t="str">
            <v>Estaca Pré-Moldada de Concreto D=0,35m - 50ton</v>
          </cell>
          <cell r="C395" t="str">
            <v>m</v>
          </cell>
          <cell r="D395">
            <v>42.03</v>
          </cell>
          <cell r="E395">
            <v>0</v>
          </cell>
          <cell r="F395">
            <v>42.03</v>
          </cell>
        </row>
        <row r="396">
          <cell r="A396">
            <v>50205</v>
          </cell>
          <cell r="B396" t="str">
            <v>Estaca Pré-Moldada de Concreto D=0,40m - 70ton</v>
          </cell>
          <cell r="C396" t="str">
            <v>m</v>
          </cell>
          <cell r="D396">
            <v>68.61</v>
          </cell>
          <cell r="E396">
            <v>0</v>
          </cell>
          <cell r="F396">
            <v>68.61</v>
          </cell>
        </row>
        <row r="397">
          <cell r="A397">
            <v>50205</v>
          </cell>
          <cell r="B397" t="str">
            <v>Taxa de Instalação do Bate-Estaca</v>
          </cell>
          <cell r="C397" t="str">
            <v>un</v>
          </cell>
          <cell r="D397">
            <v>1620</v>
          </cell>
          <cell r="E397">
            <v>0</v>
          </cell>
          <cell r="F397">
            <v>1620</v>
          </cell>
        </row>
        <row r="398">
          <cell r="A398">
            <v>50300</v>
          </cell>
          <cell r="B398" t="str">
            <v>Estacão em Solo</v>
          </cell>
          <cell r="D398">
            <v>0</v>
          </cell>
          <cell r="E398">
            <v>0</v>
          </cell>
        </row>
        <row r="399">
          <cell r="A399">
            <v>50301</v>
          </cell>
          <cell r="B399" t="str">
            <v>Estacão em Solo D=1,00m</v>
          </cell>
          <cell r="C399" t="str">
            <v>m</v>
          </cell>
          <cell r="D399">
            <v>687.3</v>
          </cell>
          <cell r="E399">
            <v>0</v>
          </cell>
          <cell r="F399">
            <v>687.3</v>
          </cell>
        </row>
        <row r="400">
          <cell r="A400">
            <v>50302</v>
          </cell>
          <cell r="B400" t="str">
            <v>Estacão em Solo D=1,20m</v>
          </cell>
          <cell r="C400" t="str">
            <v>m</v>
          </cell>
          <cell r="D400">
            <v>928.6</v>
          </cell>
          <cell r="E400">
            <v>0</v>
          </cell>
          <cell r="F400">
            <v>928.6</v>
          </cell>
        </row>
        <row r="401">
          <cell r="A401">
            <v>50303</v>
          </cell>
          <cell r="B401" t="str">
            <v>Estacão em Solo D=1,40m</v>
          </cell>
          <cell r="C401" t="str">
            <v>m</v>
          </cell>
          <cell r="D401">
            <v>1200.3900000000001</v>
          </cell>
          <cell r="E401">
            <v>0</v>
          </cell>
          <cell r="F401">
            <v>1200.3900000000001</v>
          </cell>
        </row>
        <row r="402">
          <cell r="A402">
            <v>50304</v>
          </cell>
          <cell r="B402" t="str">
            <v>Estacão em Solo D=1,50m</v>
          </cell>
          <cell r="C402" t="str">
            <v>m</v>
          </cell>
          <cell r="D402">
            <v>1362.7</v>
          </cell>
          <cell r="E402">
            <v>0</v>
          </cell>
          <cell r="F402">
            <v>1362.7</v>
          </cell>
        </row>
        <row r="403">
          <cell r="A403">
            <v>50305</v>
          </cell>
          <cell r="B403" t="str">
            <v>Estacão em Solo D=1,60m</v>
          </cell>
          <cell r="C403" t="str">
            <v>m</v>
          </cell>
          <cell r="D403">
            <v>1530.66</v>
          </cell>
          <cell r="E403">
            <v>0</v>
          </cell>
          <cell r="F403">
            <v>1530.66</v>
          </cell>
        </row>
        <row r="404">
          <cell r="A404">
            <v>50306</v>
          </cell>
          <cell r="B404" t="str">
            <v>Estacão em Solo D=1,80m</v>
          </cell>
          <cell r="C404" t="str">
            <v>m</v>
          </cell>
          <cell r="D404">
            <v>1946.21</v>
          </cell>
          <cell r="E404">
            <v>0</v>
          </cell>
          <cell r="F404">
            <v>1946.21</v>
          </cell>
        </row>
        <row r="405">
          <cell r="A405">
            <v>50307</v>
          </cell>
          <cell r="B405" t="str">
            <v>Taxa de Mobilização/Desmobilização de Equipamento para Estacão</v>
          </cell>
          <cell r="C405" t="str">
            <v>un</v>
          </cell>
          <cell r="D405">
            <v>24836.26</v>
          </cell>
          <cell r="E405">
            <v>0</v>
          </cell>
          <cell r="F405">
            <v>24836.26</v>
          </cell>
        </row>
        <row r="406">
          <cell r="A406">
            <v>50308</v>
          </cell>
          <cell r="B406" t="str">
            <v>Corte e Preparação de Cabeça de Estacão D=1,00m</v>
          </cell>
          <cell r="C406" t="str">
            <v>un</v>
          </cell>
          <cell r="D406">
            <v>92.38</v>
          </cell>
          <cell r="E406">
            <v>19.91</v>
          </cell>
          <cell r="F406">
            <v>112.28999999999999</v>
          </cell>
        </row>
        <row r="407">
          <cell r="A407">
            <v>50309</v>
          </cell>
          <cell r="B407" t="str">
            <v>Corte e Preparação de Cabeça de Estacão D=1,20m</v>
          </cell>
          <cell r="C407" t="str">
            <v>un</v>
          </cell>
          <cell r="D407">
            <v>106.73</v>
          </cell>
          <cell r="E407">
            <v>23</v>
          </cell>
          <cell r="F407">
            <v>129.73000000000002</v>
          </cell>
        </row>
        <row r="408">
          <cell r="A408">
            <v>50310</v>
          </cell>
          <cell r="B408" t="str">
            <v>Corte e Preparação de Cabeça de Estacão D=1,40m</v>
          </cell>
          <cell r="C408" t="str">
            <v>un</v>
          </cell>
          <cell r="D408">
            <v>128.29</v>
          </cell>
          <cell r="E408">
            <v>27.63</v>
          </cell>
          <cell r="F408">
            <v>155.91999999999999</v>
          </cell>
        </row>
        <row r="409">
          <cell r="A409">
            <v>50311</v>
          </cell>
          <cell r="B409" t="str">
            <v>Corte e Preparação de Cabeça de Estacão D=1,50m</v>
          </cell>
          <cell r="C409" t="str">
            <v>un</v>
          </cell>
          <cell r="D409">
            <v>137.52000000000001</v>
          </cell>
          <cell r="E409">
            <v>29.62</v>
          </cell>
          <cell r="F409">
            <v>167.14000000000001</v>
          </cell>
        </row>
        <row r="410">
          <cell r="A410">
            <v>50312</v>
          </cell>
          <cell r="B410" t="str">
            <v>Corte e Preparação de Cabeça de Estacão D=1,60m</v>
          </cell>
          <cell r="C410" t="str">
            <v>un</v>
          </cell>
          <cell r="D410">
            <v>151.34</v>
          </cell>
          <cell r="E410">
            <v>30.94</v>
          </cell>
          <cell r="F410">
            <v>182.28</v>
          </cell>
        </row>
        <row r="411">
          <cell r="A411">
            <v>50313</v>
          </cell>
          <cell r="B411" t="str">
            <v>Corte e Preparação de Cabeça de Estacão D=1,80m</v>
          </cell>
          <cell r="C411" t="str">
            <v>un</v>
          </cell>
          <cell r="D411">
            <v>172.42</v>
          </cell>
          <cell r="E411">
            <v>37.130000000000003</v>
          </cell>
          <cell r="F411">
            <v>209.54999999999998</v>
          </cell>
        </row>
        <row r="412">
          <cell r="A412">
            <v>50400</v>
          </cell>
          <cell r="B412" t="str">
            <v>Estaca Metálica</v>
          </cell>
          <cell r="D412">
            <v>0</v>
          </cell>
          <cell r="E412">
            <v>0</v>
          </cell>
        </row>
        <row r="413">
          <cell r="A413">
            <v>50401</v>
          </cell>
          <cell r="B413" t="str">
            <v>Estaca Metálica</v>
          </cell>
          <cell r="C413" t="str">
            <v>kg</v>
          </cell>
          <cell r="D413">
            <v>2.36</v>
          </cell>
          <cell r="E413">
            <v>0.12</v>
          </cell>
          <cell r="F413">
            <v>2.48</v>
          </cell>
        </row>
        <row r="414">
          <cell r="A414">
            <v>50402</v>
          </cell>
          <cell r="B414" t="str">
            <v>Estaca Metálica - Escoramento</v>
          </cell>
          <cell r="C414" t="str">
            <v>kg</v>
          </cell>
          <cell r="D414">
            <v>2.57</v>
          </cell>
          <cell r="E414">
            <v>0.15</v>
          </cell>
          <cell r="F414">
            <v>2.7199999999999998</v>
          </cell>
        </row>
        <row r="415">
          <cell r="A415">
            <v>50403</v>
          </cell>
          <cell r="B415" t="str">
            <v>Emenda de Estaca Metálica I - 10"</v>
          </cell>
          <cell r="C415" t="str">
            <v>un</v>
          </cell>
          <cell r="D415">
            <v>78.89</v>
          </cell>
          <cell r="E415">
            <v>11.56</v>
          </cell>
          <cell r="F415">
            <v>90.45</v>
          </cell>
        </row>
        <row r="416">
          <cell r="A416">
            <v>50404</v>
          </cell>
          <cell r="B416" t="str">
            <v>Emenda de Estaca Metálica I - 12"</v>
          </cell>
          <cell r="C416" t="str">
            <v>un</v>
          </cell>
          <cell r="D416">
            <v>104.22</v>
          </cell>
          <cell r="E416">
            <v>19.079999999999998</v>
          </cell>
          <cell r="F416">
            <v>123.3</v>
          </cell>
        </row>
        <row r="417">
          <cell r="A417">
            <v>50405</v>
          </cell>
          <cell r="B417" t="str">
            <v>Emenda de Estaca Metálica 2I - 10"</v>
          </cell>
          <cell r="C417" t="str">
            <v>un</v>
          </cell>
          <cell r="D417">
            <v>115.98</v>
          </cell>
          <cell r="E417">
            <v>23.13</v>
          </cell>
          <cell r="F417">
            <v>139.11000000000001</v>
          </cell>
        </row>
        <row r="418">
          <cell r="A418">
            <v>50406</v>
          </cell>
          <cell r="B418" t="str">
            <v>Emenda de Estaca Metálica 2I - 12"</v>
          </cell>
          <cell r="C418" t="str">
            <v>un</v>
          </cell>
          <cell r="D418">
            <v>166.6</v>
          </cell>
          <cell r="E418">
            <v>38.15</v>
          </cell>
          <cell r="F418">
            <v>204.75</v>
          </cell>
        </row>
        <row r="419">
          <cell r="A419">
            <v>50407</v>
          </cell>
          <cell r="B419" t="str">
            <v>Corte de Estaca Metálica</v>
          </cell>
          <cell r="C419" t="str">
            <v>un</v>
          </cell>
          <cell r="D419">
            <v>22.13</v>
          </cell>
          <cell r="E419">
            <v>18.7</v>
          </cell>
          <cell r="F419">
            <v>40.83</v>
          </cell>
        </row>
        <row r="420">
          <cell r="A420">
            <v>50408</v>
          </cell>
          <cell r="B420" t="str">
            <v>Camisa Metálica</v>
          </cell>
          <cell r="C420" t="str">
            <v>kg</v>
          </cell>
          <cell r="D420">
            <v>3.65</v>
          </cell>
          <cell r="E420">
            <v>7.0000000000000007E-2</v>
          </cell>
          <cell r="F420">
            <v>3.7199999999999998</v>
          </cell>
        </row>
        <row r="421">
          <cell r="A421">
            <v>50500</v>
          </cell>
          <cell r="B421" t="str">
            <v>Concreto - Fornecimento/Transporte/Lançamento/Adensamento/Cura</v>
          </cell>
          <cell r="D421">
            <v>0</v>
          </cell>
          <cell r="E421">
            <v>0</v>
          </cell>
        </row>
        <row r="422">
          <cell r="A422">
            <v>50501</v>
          </cell>
          <cell r="B422" t="str">
            <v>Concreto fck 7,5 MPa - Terceiros</v>
          </cell>
          <cell r="C422" t="str">
            <v>m³</v>
          </cell>
          <cell r="D422">
            <v>116.52</v>
          </cell>
          <cell r="E422">
            <v>21.95</v>
          </cell>
          <cell r="F422">
            <v>138.47</v>
          </cell>
        </row>
        <row r="423">
          <cell r="A423">
            <v>50502</v>
          </cell>
          <cell r="B423" t="str">
            <v>Concreto fck 7,5 MPa - Usinado</v>
          </cell>
          <cell r="C423" t="str">
            <v>m³</v>
          </cell>
          <cell r="D423">
            <v>78.17</v>
          </cell>
          <cell r="E423">
            <v>21.95</v>
          </cell>
          <cell r="F423">
            <v>100.12</v>
          </cell>
        </row>
        <row r="424">
          <cell r="A424">
            <v>50503</v>
          </cell>
          <cell r="B424" t="str">
            <v>Concreto fck 9 MPa - Terceiros</v>
          </cell>
          <cell r="C424" t="str">
            <v>m³</v>
          </cell>
          <cell r="D424">
            <v>133.63999999999999</v>
          </cell>
          <cell r="E424">
            <v>21.95</v>
          </cell>
          <cell r="F424">
            <v>155.58999999999997</v>
          </cell>
        </row>
        <row r="425">
          <cell r="A425">
            <v>50504</v>
          </cell>
          <cell r="B425" t="str">
            <v>Concreto fck 9 MPa - Usinado</v>
          </cell>
          <cell r="C425" t="str">
            <v>m³</v>
          </cell>
          <cell r="D425">
            <v>106.16</v>
          </cell>
          <cell r="E425">
            <v>21.95</v>
          </cell>
          <cell r="F425">
            <v>128.10999999999999</v>
          </cell>
        </row>
        <row r="426">
          <cell r="A426">
            <v>50505</v>
          </cell>
          <cell r="B426" t="str">
            <v>Concreto fck 10 MPa - Terceiros</v>
          </cell>
          <cell r="C426" t="str">
            <v>m³</v>
          </cell>
          <cell r="D426">
            <v>135.05000000000001</v>
          </cell>
          <cell r="E426">
            <v>21.95</v>
          </cell>
          <cell r="F426">
            <v>157</v>
          </cell>
        </row>
        <row r="427">
          <cell r="A427">
            <v>50506</v>
          </cell>
          <cell r="B427" t="str">
            <v>Concreto fck 10 MPa - Usinado</v>
          </cell>
          <cell r="C427" t="str">
            <v>m³</v>
          </cell>
          <cell r="D427">
            <v>109.89</v>
          </cell>
          <cell r="E427">
            <v>21.95</v>
          </cell>
          <cell r="F427">
            <v>131.84</v>
          </cell>
        </row>
        <row r="428">
          <cell r="A428">
            <v>50507</v>
          </cell>
          <cell r="B428" t="str">
            <v>Concreto fck 15 MPa - Terceiros</v>
          </cell>
          <cell r="C428" t="str">
            <v>m³</v>
          </cell>
          <cell r="D428">
            <v>148.18</v>
          </cell>
          <cell r="E428">
            <v>21.95</v>
          </cell>
          <cell r="F428">
            <v>170.13</v>
          </cell>
        </row>
        <row r="429">
          <cell r="A429">
            <v>50508</v>
          </cell>
          <cell r="B429" t="str">
            <v>Concreto fck 15 MPa - Usinado</v>
          </cell>
          <cell r="C429" t="str">
            <v>m³</v>
          </cell>
          <cell r="D429">
            <v>121.38</v>
          </cell>
          <cell r="E429">
            <v>21.95</v>
          </cell>
          <cell r="F429">
            <v>143.32999999999998</v>
          </cell>
        </row>
        <row r="430">
          <cell r="A430">
            <v>50509</v>
          </cell>
          <cell r="B430" t="str">
            <v>Concreto fck 18 MPa - Terceiros</v>
          </cell>
          <cell r="C430" t="str">
            <v>m³</v>
          </cell>
          <cell r="D430">
            <v>154.63999999999999</v>
          </cell>
          <cell r="E430">
            <v>21.95</v>
          </cell>
          <cell r="F430">
            <v>176.58999999999997</v>
          </cell>
        </row>
        <row r="431">
          <cell r="A431">
            <v>50510</v>
          </cell>
          <cell r="B431" t="str">
            <v>Concreto fck 18 MPa - Usinado</v>
          </cell>
          <cell r="C431" t="str">
            <v>m³</v>
          </cell>
          <cell r="D431">
            <v>126.56</v>
          </cell>
          <cell r="E431">
            <v>21.95</v>
          </cell>
          <cell r="F431">
            <v>148.51</v>
          </cell>
        </row>
        <row r="432">
          <cell r="A432">
            <v>50511</v>
          </cell>
          <cell r="B432" t="str">
            <v>Concreto fck 20 MPa - Terceiros</v>
          </cell>
          <cell r="C432" t="str">
            <v>m³</v>
          </cell>
          <cell r="D432">
            <v>161.63999999999999</v>
          </cell>
          <cell r="E432">
            <v>21.95</v>
          </cell>
          <cell r="F432">
            <v>183.58999999999997</v>
          </cell>
        </row>
        <row r="433">
          <cell r="A433">
            <v>50512</v>
          </cell>
          <cell r="B433" t="str">
            <v>Concreto fck 20 MPa - Usinado</v>
          </cell>
          <cell r="C433" t="str">
            <v>m³</v>
          </cell>
          <cell r="D433">
            <v>129.75</v>
          </cell>
          <cell r="E433">
            <v>21.95</v>
          </cell>
          <cell r="F433">
            <v>151.69999999999999</v>
          </cell>
        </row>
        <row r="434">
          <cell r="A434">
            <v>50513</v>
          </cell>
          <cell r="B434" t="str">
            <v>Concreto fck 21 MPa - Terceiros</v>
          </cell>
          <cell r="C434" t="str">
            <v>m³</v>
          </cell>
          <cell r="D434">
            <v>166.67</v>
          </cell>
          <cell r="E434">
            <v>21.95</v>
          </cell>
          <cell r="F434">
            <v>188.61999999999998</v>
          </cell>
        </row>
        <row r="435">
          <cell r="A435">
            <v>50514</v>
          </cell>
          <cell r="B435" t="str">
            <v>Concreto fck 21 MPa - Usinado</v>
          </cell>
          <cell r="C435" t="str">
            <v>m³</v>
          </cell>
          <cell r="D435">
            <v>131.38</v>
          </cell>
          <cell r="E435">
            <v>21.95</v>
          </cell>
          <cell r="F435">
            <v>153.32999999999998</v>
          </cell>
        </row>
        <row r="436">
          <cell r="A436">
            <v>50515</v>
          </cell>
          <cell r="B436" t="str">
            <v>Concreto fck 22 MPa - Terceiros</v>
          </cell>
          <cell r="C436" t="str">
            <v>m³</v>
          </cell>
          <cell r="D436">
            <v>170.36</v>
          </cell>
          <cell r="E436">
            <v>21.95</v>
          </cell>
          <cell r="F436">
            <v>192.31</v>
          </cell>
        </row>
        <row r="437">
          <cell r="A437">
            <v>50516</v>
          </cell>
          <cell r="B437" t="str">
            <v>Concreto fck 22 MPa - Usinado</v>
          </cell>
          <cell r="C437" t="str">
            <v>m³</v>
          </cell>
          <cell r="D437">
            <v>133.03</v>
          </cell>
          <cell r="E437">
            <v>21.95</v>
          </cell>
          <cell r="F437">
            <v>154.97999999999999</v>
          </cell>
        </row>
        <row r="438">
          <cell r="A438">
            <v>50517</v>
          </cell>
          <cell r="B438" t="str">
            <v>Concreto fck 24 MPa - Terceiros</v>
          </cell>
          <cell r="C438" t="str">
            <v>m³</v>
          </cell>
          <cell r="D438">
            <v>177.3</v>
          </cell>
          <cell r="E438">
            <v>21.95</v>
          </cell>
          <cell r="F438">
            <v>199.25</v>
          </cell>
        </row>
        <row r="439">
          <cell r="A439">
            <v>50518</v>
          </cell>
          <cell r="B439" t="str">
            <v>Concreto fck 24 MPa - Usinado</v>
          </cell>
          <cell r="C439" t="str">
            <v>m³</v>
          </cell>
          <cell r="D439">
            <v>137.24</v>
          </cell>
          <cell r="E439">
            <v>21.95</v>
          </cell>
          <cell r="F439">
            <v>159.19</v>
          </cell>
        </row>
        <row r="440">
          <cell r="A440">
            <v>50519</v>
          </cell>
          <cell r="B440" t="str">
            <v>Concreto fck 26 MPa - Terceiros</v>
          </cell>
          <cell r="C440" t="str">
            <v>m³</v>
          </cell>
          <cell r="D440">
            <v>184.25</v>
          </cell>
          <cell r="E440">
            <v>21.95</v>
          </cell>
          <cell r="F440">
            <v>206.2</v>
          </cell>
        </row>
        <row r="441">
          <cell r="A441">
            <v>50520</v>
          </cell>
          <cell r="B441" t="str">
            <v>Concreto fck 26 MPa - Usinado</v>
          </cell>
          <cell r="C441" t="str">
            <v>m³</v>
          </cell>
          <cell r="D441">
            <v>139.85</v>
          </cell>
          <cell r="E441">
            <v>21.95</v>
          </cell>
          <cell r="F441">
            <v>161.79999999999998</v>
          </cell>
        </row>
        <row r="442">
          <cell r="A442">
            <v>50521</v>
          </cell>
          <cell r="B442" t="str">
            <v>Concreto fck 27 MPa - Terceiros</v>
          </cell>
          <cell r="C442" t="str">
            <v>m³</v>
          </cell>
          <cell r="D442">
            <v>189.31</v>
          </cell>
          <cell r="E442">
            <v>21.95</v>
          </cell>
          <cell r="F442">
            <v>211.26</v>
          </cell>
        </row>
        <row r="443">
          <cell r="A443">
            <v>50522</v>
          </cell>
          <cell r="B443" t="str">
            <v>Concreto fck 27 MPa - Usinado</v>
          </cell>
          <cell r="C443" t="str">
            <v>m³</v>
          </cell>
          <cell r="D443">
            <v>141.52000000000001</v>
          </cell>
          <cell r="E443">
            <v>21.95</v>
          </cell>
          <cell r="F443">
            <v>163.47</v>
          </cell>
        </row>
        <row r="444">
          <cell r="A444">
            <v>50523</v>
          </cell>
          <cell r="B444" t="str">
            <v>Concreto fck 30 MPa - Terceiros</v>
          </cell>
          <cell r="C444" t="str">
            <v>m³</v>
          </cell>
          <cell r="D444">
            <v>196.53</v>
          </cell>
          <cell r="E444">
            <v>21.95</v>
          </cell>
          <cell r="F444">
            <v>218.48</v>
          </cell>
        </row>
        <row r="445">
          <cell r="A445">
            <v>50524</v>
          </cell>
          <cell r="B445" t="str">
            <v>Concreto fck 30 MPa - Usinado</v>
          </cell>
          <cell r="C445" t="str">
            <v>m³</v>
          </cell>
          <cell r="D445">
            <v>146.52000000000001</v>
          </cell>
          <cell r="E445">
            <v>21.95</v>
          </cell>
          <cell r="F445">
            <v>168.47</v>
          </cell>
        </row>
        <row r="446">
          <cell r="A446">
            <v>50527</v>
          </cell>
          <cell r="B446" t="str">
            <v>Bombeamento de Concreto - Qualquer Resitência</v>
          </cell>
          <cell r="C446" t="str">
            <v>m³</v>
          </cell>
          <cell r="D446">
            <v>8.76</v>
          </cell>
          <cell r="E446">
            <v>0</v>
          </cell>
          <cell r="F446">
            <v>8.76</v>
          </cell>
        </row>
        <row r="447">
          <cell r="A447">
            <v>50600</v>
          </cell>
          <cell r="B447" t="str">
            <v>Aço para Concreto Armado</v>
          </cell>
          <cell r="D447">
            <v>0</v>
          </cell>
          <cell r="E447">
            <v>0</v>
          </cell>
        </row>
        <row r="448">
          <cell r="A448">
            <v>50601</v>
          </cell>
          <cell r="B448" t="str">
            <v>Aço para Concreto Armado CA-25</v>
          </cell>
          <cell r="C448" t="str">
            <v>kg</v>
          </cell>
          <cell r="D448">
            <v>1.08</v>
          </cell>
          <cell r="E448">
            <v>1.1499999999999999</v>
          </cell>
          <cell r="F448">
            <v>2.23</v>
          </cell>
        </row>
        <row r="449">
          <cell r="A449">
            <v>50602</v>
          </cell>
          <cell r="B449" t="str">
            <v>Aço para Concreto Armado CA-50</v>
          </cell>
          <cell r="C449" t="str">
            <v>kg</v>
          </cell>
          <cell r="D449">
            <v>1.08</v>
          </cell>
          <cell r="E449">
            <v>1.1499999999999999</v>
          </cell>
          <cell r="F449">
            <v>2.23</v>
          </cell>
        </row>
        <row r="450">
          <cell r="A450">
            <v>50603</v>
          </cell>
          <cell r="B450" t="str">
            <v>Aço para Concreto Armado CA-60</v>
          </cell>
          <cell r="C450" t="str">
            <v>kg</v>
          </cell>
          <cell r="D450">
            <v>1.23</v>
          </cell>
          <cell r="E450">
            <v>1.1499999999999999</v>
          </cell>
          <cell r="F450">
            <v>2.38</v>
          </cell>
        </row>
        <row r="451">
          <cell r="A451">
            <v>50700</v>
          </cell>
          <cell r="B451" t="str">
            <v>Aço para Concreto Protendido</v>
          </cell>
          <cell r="D451">
            <v>0</v>
          </cell>
          <cell r="E451">
            <v>0</v>
          </cell>
        </row>
        <row r="452">
          <cell r="A452">
            <v>50701</v>
          </cell>
          <cell r="B452" t="str">
            <v>Aço para Concreto Protendido</v>
          </cell>
          <cell r="C452" t="str">
            <v>kg</v>
          </cell>
          <cell r="D452">
            <v>4.16</v>
          </cell>
          <cell r="E452">
            <v>1.27</v>
          </cell>
          <cell r="F452">
            <v>5.43</v>
          </cell>
        </row>
        <row r="453">
          <cell r="A453">
            <v>50800</v>
          </cell>
          <cell r="B453" t="str">
            <v>Forma de Madeira para Concreto</v>
          </cell>
          <cell r="D453">
            <v>0</v>
          </cell>
          <cell r="E453">
            <v>0</v>
          </cell>
        </row>
        <row r="454">
          <cell r="A454">
            <v>50802</v>
          </cell>
          <cell r="B454" t="str">
            <v>Forma Plana Aparente</v>
          </cell>
          <cell r="C454" t="str">
            <v>m²</v>
          </cell>
          <cell r="D454">
            <v>10.039999999999999</v>
          </cell>
          <cell r="E454">
            <v>24.45</v>
          </cell>
          <cell r="F454">
            <v>34.489999999999995</v>
          </cell>
        </row>
        <row r="455">
          <cell r="A455">
            <v>50803</v>
          </cell>
          <cell r="B455" t="str">
            <v>Forma Plana para Caixão Perdido</v>
          </cell>
          <cell r="C455" t="str">
            <v>m²</v>
          </cell>
          <cell r="D455">
            <v>18.91</v>
          </cell>
          <cell r="E455">
            <v>14.69</v>
          </cell>
          <cell r="F455">
            <v>33.6</v>
          </cell>
        </row>
        <row r="456">
          <cell r="A456">
            <v>50804</v>
          </cell>
          <cell r="B456" t="str">
            <v>Forma Curva Comum</v>
          </cell>
          <cell r="C456" t="str">
            <v>m²</v>
          </cell>
          <cell r="D456">
            <v>10.220000000000001</v>
          </cell>
          <cell r="E456">
            <v>22.26</v>
          </cell>
          <cell r="F456">
            <v>32.480000000000004</v>
          </cell>
        </row>
        <row r="457">
          <cell r="A457">
            <v>50805</v>
          </cell>
          <cell r="B457" t="str">
            <v>Forma Curva Aparente</v>
          </cell>
          <cell r="C457" t="str">
            <v>m²</v>
          </cell>
          <cell r="D457">
            <v>13.01</v>
          </cell>
          <cell r="E457">
            <v>29.38</v>
          </cell>
          <cell r="F457">
            <v>42.39</v>
          </cell>
        </row>
        <row r="458">
          <cell r="A458">
            <v>50806</v>
          </cell>
          <cell r="B458" t="str">
            <v>Forma Plana Especial para Vigas</v>
          </cell>
          <cell r="C458" t="str">
            <v>m²</v>
          </cell>
          <cell r="D458">
            <v>9.98</v>
          </cell>
          <cell r="E458">
            <v>8.1300000000000008</v>
          </cell>
          <cell r="F458">
            <v>18.11</v>
          </cell>
        </row>
        <row r="459">
          <cell r="A459">
            <v>50900</v>
          </cell>
          <cell r="B459" t="str">
            <v>Aparelho de Apoio</v>
          </cell>
          <cell r="D459">
            <v>0</v>
          </cell>
          <cell r="E459">
            <v>0</v>
          </cell>
        </row>
        <row r="460">
          <cell r="A460">
            <v>50901</v>
          </cell>
          <cell r="B460" t="str">
            <v>Aparelho de Apoio de Neoprene Fretado</v>
          </cell>
          <cell r="C460" t="str">
            <v>dm³</v>
          </cell>
          <cell r="D460">
            <v>86.51</v>
          </cell>
          <cell r="E460">
            <v>2.25</v>
          </cell>
          <cell r="F460">
            <v>88.76</v>
          </cell>
        </row>
        <row r="461">
          <cell r="A461">
            <v>51000</v>
          </cell>
          <cell r="B461" t="str">
            <v>Cimbramento / Andaime</v>
          </cell>
          <cell r="D461">
            <v>0</v>
          </cell>
          <cell r="E461">
            <v>0</v>
          </cell>
        </row>
        <row r="462">
          <cell r="A462">
            <v>51001</v>
          </cell>
          <cell r="B462" t="str">
            <v>Andaime Tubular Metálico</v>
          </cell>
          <cell r="C462" t="str">
            <v>m³</v>
          </cell>
          <cell r="D462">
            <v>10.57</v>
          </cell>
          <cell r="E462">
            <v>6.55</v>
          </cell>
          <cell r="F462">
            <v>17.12</v>
          </cell>
        </row>
        <row r="463">
          <cell r="A463">
            <v>51100</v>
          </cell>
          <cell r="B463" t="str">
            <v>Ancoragem Ativa / Passiva</v>
          </cell>
          <cell r="D463">
            <v>0</v>
          </cell>
          <cell r="E463">
            <v>0</v>
          </cell>
        </row>
        <row r="464">
          <cell r="A464">
            <v>51101</v>
          </cell>
          <cell r="B464" t="str">
            <v>Ancoragem Ativa 2 Fios de 12,7mm - A</v>
          </cell>
          <cell r="C464" t="str">
            <v>un</v>
          </cell>
          <cell r="D464">
            <v>54</v>
          </cell>
          <cell r="E464">
            <v>22.29</v>
          </cell>
          <cell r="F464">
            <v>76.289999999999992</v>
          </cell>
        </row>
        <row r="465">
          <cell r="A465">
            <v>51102</v>
          </cell>
          <cell r="B465" t="str">
            <v>Ancoragem Ativa 3 Fios de 12,7mm - A</v>
          </cell>
          <cell r="C465" t="str">
            <v>un</v>
          </cell>
          <cell r="D465">
            <v>74.25</v>
          </cell>
          <cell r="E465">
            <v>22.29</v>
          </cell>
          <cell r="F465">
            <v>96.539999999999992</v>
          </cell>
        </row>
        <row r="466">
          <cell r="A466">
            <v>51103</v>
          </cell>
          <cell r="B466" t="str">
            <v>Ancoragem Ativa 4 Fios de 12,7mm - A</v>
          </cell>
          <cell r="C466" t="str">
            <v>un</v>
          </cell>
          <cell r="D466">
            <v>87.75</v>
          </cell>
          <cell r="E466">
            <v>22.29</v>
          </cell>
          <cell r="F466">
            <v>110.03999999999999</v>
          </cell>
        </row>
        <row r="467">
          <cell r="A467">
            <v>51104</v>
          </cell>
          <cell r="B467" t="str">
            <v>Ancoragem Ativa 6 Fios de 12,7mm - A</v>
          </cell>
          <cell r="C467" t="str">
            <v>un</v>
          </cell>
          <cell r="D467">
            <v>148.5</v>
          </cell>
          <cell r="E467">
            <v>26.72</v>
          </cell>
          <cell r="F467">
            <v>175.22</v>
          </cell>
        </row>
        <row r="468">
          <cell r="A468">
            <v>51105</v>
          </cell>
          <cell r="B468" t="str">
            <v>Ancoragem Ativa 7 Fios de 12,7mm - A</v>
          </cell>
          <cell r="C468" t="str">
            <v>un</v>
          </cell>
          <cell r="D468">
            <v>168.75</v>
          </cell>
          <cell r="E468">
            <v>26.72</v>
          </cell>
          <cell r="F468">
            <v>195.47</v>
          </cell>
        </row>
        <row r="469">
          <cell r="A469">
            <v>51106</v>
          </cell>
          <cell r="B469" t="str">
            <v>Ancoragem Ativa 12 Fios de 12,7mm - A</v>
          </cell>
          <cell r="C469" t="str">
            <v>un</v>
          </cell>
          <cell r="D469">
            <v>297</v>
          </cell>
          <cell r="E469">
            <v>26.72</v>
          </cell>
          <cell r="F469">
            <v>323.72000000000003</v>
          </cell>
        </row>
        <row r="470">
          <cell r="A470">
            <v>51107</v>
          </cell>
          <cell r="B470" t="str">
            <v>Ancoragem Ativa 19 Fios de 12,7mm - A</v>
          </cell>
          <cell r="C470" t="str">
            <v>un</v>
          </cell>
          <cell r="D470">
            <v>540</v>
          </cell>
          <cell r="E470">
            <v>40.119999999999997</v>
          </cell>
          <cell r="F470">
            <v>580.12</v>
          </cell>
        </row>
        <row r="471">
          <cell r="A471">
            <v>51108</v>
          </cell>
          <cell r="B471" t="str">
            <v>Ancoragem Ativa 22 Fios de 12,7mm - A</v>
          </cell>
          <cell r="C471" t="str">
            <v>un</v>
          </cell>
          <cell r="D471">
            <v>648</v>
          </cell>
          <cell r="E471">
            <v>40.119999999999997</v>
          </cell>
          <cell r="F471">
            <v>688.12</v>
          </cell>
        </row>
        <row r="472">
          <cell r="A472">
            <v>51109</v>
          </cell>
          <cell r="B472" t="str">
            <v>Ancoragem Passiva 2 Fios de 12,7mm - P</v>
          </cell>
          <cell r="C472" t="str">
            <v>un</v>
          </cell>
          <cell r="D472">
            <v>8.7799999999999994</v>
          </cell>
          <cell r="E472">
            <v>5.44</v>
          </cell>
          <cell r="F472">
            <v>14.219999999999999</v>
          </cell>
        </row>
        <row r="473">
          <cell r="A473">
            <v>51110</v>
          </cell>
          <cell r="B473" t="str">
            <v>Ancoragem Passiva 3 Fios de 12,7mm - P</v>
          </cell>
          <cell r="C473" t="str">
            <v>un</v>
          </cell>
          <cell r="D473">
            <v>10.130000000000001</v>
          </cell>
          <cell r="E473">
            <v>5.44</v>
          </cell>
          <cell r="F473">
            <v>15.57</v>
          </cell>
        </row>
        <row r="474">
          <cell r="A474">
            <v>51111</v>
          </cell>
          <cell r="B474" t="str">
            <v>Ancoragem Passiva 4 Fios de 12,7mm - P</v>
          </cell>
          <cell r="C474" t="str">
            <v>un</v>
          </cell>
          <cell r="D474">
            <v>11.48</v>
          </cell>
          <cell r="E474">
            <v>5.44</v>
          </cell>
          <cell r="F474">
            <v>16.920000000000002</v>
          </cell>
        </row>
        <row r="475">
          <cell r="A475">
            <v>51112</v>
          </cell>
          <cell r="B475" t="str">
            <v>Ancoragem Passiva 6 Fios de 12,7mm - P</v>
          </cell>
          <cell r="C475" t="str">
            <v>un</v>
          </cell>
          <cell r="D475">
            <v>16.2</v>
          </cell>
          <cell r="E475">
            <v>6.52</v>
          </cell>
          <cell r="F475">
            <v>22.72</v>
          </cell>
        </row>
        <row r="476">
          <cell r="A476">
            <v>51113</v>
          </cell>
          <cell r="B476" t="str">
            <v>Ancoragem Passiva 7 Fios de 12,7mm - P</v>
          </cell>
          <cell r="C476" t="str">
            <v>un</v>
          </cell>
          <cell r="D476">
            <v>20.25</v>
          </cell>
          <cell r="E476">
            <v>6.52</v>
          </cell>
          <cell r="F476">
            <v>26.77</v>
          </cell>
        </row>
        <row r="477">
          <cell r="A477">
            <v>51114</v>
          </cell>
          <cell r="B477" t="str">
            <v>Ancoragem Passiva 8 Fios de 12,7mm - P</v>
          </cell>
          <cell r="C477" t="str">
            <v>un</v>
          </cell>
          <cell r="D477">
            <v>20.25</v>
          </cell>
          <cell r="E477">
            <v>6.52</v>
          </cell>
          <cell r="F477">
            <v>26.77</v>
          </cell>
        </row>
        <row r="478">
          <cell r="A478">
            <v>51115</v>
          </cell>
          <cell r="B478" t="str">
            <v>Ancoragem Passiva 12 Fios de 12,7mm - P</v>
          </cell>
          <cell r="C478" t="str">
            <v>un</v>
          </cell>
          <cell r="D478">
            <v>40.5</v>
          </cell>
          <cell r="E478">
            <v>6.52</v>
          </cell>
          <cell r="F478">
            <v>47.019999999999996</v>
          </cell>
        </row>
        <row r="479">
          <cell r="A479">
            <v>51116</v>
          </cell>
          <cell r="B479" t="str">
            <v>Ancoragem Passiva 19 Fios de 12,7mm - P</v>
          </cell>
          <cell r="C479" t="str">
            <v>un</v>
          </cell>
          <cell r="D479">
            <v>60.75</v>
          </cell>
          <cell r="E479">
            <v>6.52</v>
          </cell>
          <cell r="F479">
            <v>67.27</v>
          </cell>
        </row>
        <row r="480">
          <cell r="A480">
            <v>51117</v>
          </cell>
          <cell r="B480" t="str">
            <v>Ancoragem Passiva 22 Fios de 12,7mm - P</v>
          </cell>
          <cell r="C480" t="str">
            <v>un</v>
          </cell>
          <cell r="D480">
            <v>67.5</v>
          </cell>
          <cell r="E480">
            <v>6.52</v>
          </cell>
          <cell r="F480">
            <v>74.02</v>
          </cell>
        </row>
        <row r="481">
          <cell r="A481">
            <v>51200</v>
          </cell>
          <cell r="B481" t="str">
            <v>Junta de Dilatação</v>
          </cell>
          <cell r="D481">
            <v>0</v>
          </cell>
          <cell r="E481">
            <v>0</v>
          </cell>
        </row>
        <row r="482">
          <cell r="A482">
            <v>51201</v>
          </cell>
          <cell r="B482" t="str">
            <v>Junta de Dilatação JJ-2540</v>
          </cell>
          <cell r="C482" t="str">
            <v>m</v>
          </cell>
          <cell r="D482">
            <v>111.11</v>
          </cell>
          <cell r="E482">
            <v>0</v>
          </cell>
          <cell r="F482">
            <v>111.11</v>
          </cell>
        </row>
        <row r="483">
          <cell r="A483">
            <v>51202</v>
          </cell>
          <cell r="B483" t="str">
            <v>Junta de Dilatação JJ-3550</v>
          </cell>
          <cell r="C483" t="str">
            <v>m</v>
          </cell>
          <cell r="D483">
            <v>156.01</v>
          </cell>
          <cell r="E483">
            <v>0</v>
          </cell>
          <cell r="F483">
            <v>156.01</v>
          </cell>
        </row>
        <row r="484">
          <cell r="A484">
            <v>51203</v>
          </cell>
          <cell r="B484" t="str">
            <v>Junta de Dilatação JJ-5070</v>
          </cell>
          <cell r="C484" t="str">
            <v>m</v>
          </cell>
          <cell r="D484">
            <v>236.29</v>
          </cell>
          <cell r="E484">
            <v>0</v>
          </cell>
          <cell r="F484">
            <v>236.29</v>
          </cell>
        </row>
        <row r="485">
          <cell r="A485">
            <v>51300</v>
          </cell>
          <cell r="B485" t="str">
            <v>Tubo de PVC para Guarda Corpo / Guarda Roda</v>
          </cell>
          <cell r="D485">
            <v>0</v>
          </cell>
          <cell r="E485">
            <v>0</v>
          </cell>
        </row>
        <row r="486">
          <cell r="A486">
            <v>51301</v>
          </cell>
          <cell r="B486" t="str">
            <v>Tubo de PVC para Guarda Corpo - D=1"</v>
          </cell>
          <cell r="C486" t="str">
            <v>m</v>
          </cell>
          <cell r="D486">
            <v>0.92</v>
          </cell>
          <cell r="E486">
            <v>2.0099999999999998</v>
          </cell>
          <cell r="F486">
            <v>2.9299999999999997</v>
          </cell>
        </row>
        <row r="487">
          <cell r="A487">
            <v>51302</v>
          </cell>
          <cell r="B487" t="str">
            <v>Tubo de PVC para Guarda Corpo - D=1 1/2"</v>
          </cell>
          <cell r="C487" t="str">
            <v>m</v>
          </cell>
          <cell r="D487">
            <v>1.35</v>
          </cell>
          <cell r="E487">
            <v>2.42</v>
          </cell>
          <cell r="F487">
            <v>3.77</v>
          </cell>
        </row>
        <row r="488">
          <cell r="A488">
            <v>51303</v>
          </cell>
          <cell r="B488" t="str">
            <v>Tubo de PVC para Guarda Corpo - D=2"</v>
          </cell>
          <cell r="C488" t="str">
            <v>m</v>
          </cell>
          <cell r="D488">
            <v>2.5</v>
          </cell>
          <cell r="E488">
            <v>3.02</v>
          </cell>
          <cell r="F488">
            <v>5.52</v>
          </cell>
        </row>
        <row r="489">
          <cell r="A489">
            <v>51304</v>
          </cell>
          <cell r="B489" t="str">
            <v>Tubo de PVC para Guarda Corpo - D=3"</v>
          </cell>
          <cell r="C489" t="str">
            <v>m</v>
          </cell>
          <cell r="D489">
            <v>3.32</v>
          </cell>
          <cell r="E489">
            <v>4.82</v>
          </cell>
          <cell r="F489">
            <v>8.14</v>
          </cell>
        </row>
        <row r="490">
          <cell r="A490">
            <v>51305</v>
          </cell>
          <cell r="B490" t="str">
            <v>Tubo de PVC para Guarda Corpo - D=4"</v>
          </cell>
          <cell r="C490" t="str">
            <v>m</v>
          </cell>
          <cell r="D490">
            <v>4.3099999999999996</v>
          </cell>
          <cell r="E490">
            <v>5.22</v>
          </cell>
          <cell r="F490">
            <v>9.5299999999999994</v>
          </cell>
        </row>
        <row r="491">
          <cell r="A491">
            <v>51306</v>
          </cell>
          <cell r="B491" t="str">
            <v>Tubo de PVC para Guarda Corpo - D=6"</v>
          </cell>
          <cell r="C491" t="str">
            <v>m</v>
          </cell>
          <cell r="D491">
            <v>10.69</v>
          </cell>
          <cell r="E491">
            <v>9.06</v>
          </cell>
          <cell r="F491">
            <v>19.75</v>
          </cell>
        </row>
        <row r="492">
          <cell r="A492">
            <v>51500</v>
          </cell>
          <cell r="B492" t="str">
            <v>Drenagem do Tabuleiro</v>
          </cell>
          <cell r="D492">
            <v>0</v>
          </cell>
          <cell r="E492">
            <v>0</v>
          </cell>
        </row>
        <row r="493">
          <cell r="A493">
            <v>51501</v>
          </cell>
          <cell r="B493" t="str">
            <v>Drenagem do Tabuleiro com Tubo de PVC - D=1"</v>
          </cell>
          <cell r="C493" t="str">
            <v>m</v>
          </cell>
          <cell r="D493">
            <v>0.89</v>
          </cell>
          <cell r="E493">
            <v>2.0099999999999998</v>
          </cell>
          <cell r="F493">
            <v>2.9</v>
          </cell>
        </row>
        <row r="494">
          <cell r="A494">
            <v>51502</v>
          </cell>
          <cell r="B494" t="str">
            <v>Drenagem do Tabuleiro com Tubo de PVC - D=1 1/2"</v>
          </cell>
          <cell r="C494" t="str">
            <v>m</v>
          </cell>
          <cell r="D494">
            <v>1.31</v>
          </cell>
          <cell r="E494">
            <v>2.42</v>
          </cell>
          <cell r="F494">
            <v>3.73</v>
          </cell>
        </row>
        <row r="495">
          <cell r="A495">
            <v>51503</v>
          </cell>
          <cell r="B495" t="str">
            <v>Drenagem do Tabuleiro com Tubo de PVC - D=2"</v>
          </cell>
          <cell r="C495" t="str">
            <v>m</v>
          </cell>
          <cell r="D495">
            <v>2.42</v>
          </cell>
          <cell r="E495">
            <v>3.02</v>
          </cell>
          <cell r="F495">
            <v>5.4399999999999995</v>
          </cell>
        </row>
        <row r="496">
          <cell r="A496">
            <v>51504</v>
          </cell>
          <cell r="B496" t="str">
            <v>Drenagem do Tabuleiro com Tubo de PVC - D=3"</v>
          </cell>
          <cell r="C496" t="str">
            <v>m</v>
          </cell>
          <cell r="D496">
            <v>3.16</v>
          </cell>
          <cell r="E496">
            <v>4.82</v>
          </cell>
          <cell r="F496">
            <v>7.98</v>
          </cell>
        </row>
        <row r="497">
          <cell r="A497">
            <v>51505</v>
          </cell>
          <cell r="B497" t="str">
            <v>Drenagem do Tabuleiro com Tubo de PVC - D=4"</v>
          </cell>
          <cell r="C497" t="str">
            <v>m</v>
          </cell>
          <cell r="D497">
            <v>3.98</v>
          </cell>
          <cell r="E497">
            <v>5.22</v>
          </cell>
          <cell r="F497">
            <v>9.1999999999999993</v>
          </cell>
        </row>
        <row r="498">
          <cell r="A498">
            <v>51506</v>
          </cell>
          <cell r="B498" t="str">
            <v>Drenagem do Tabuleiro com Tubo de PVC - D=6"</v>
          </cell>
          <cell r="C498" t="str">
            <v>m</v>
          </cell>
          <cell r="D498">
            <v>9.9499999999999993</v>
          </cell>
          <cell r="E498">
            <v>9.06</v>
          </cell>
          <cell r="F498">
            <v>19.009999999999998</v>
          </cell>
        </row>
        <row r="499">
          <cell r="A499">
            <v>51507</v>
          </cell>
          <cell r="B499" t="str">
            <v>Drenagem do Tabuleiro com Tubo Galvanizado - D=2"</v>
          </cell>
          <cell r="C499" t="str">
            <v>m</v>
          </cell>
          <cell r="D499">
            <v>15.38</v>
          </cell>
          <cell r="E499">
            <v>5.04</v>
          </cell>
          <cell r="F499">
            <v>20.420000000000002</v>
          </cell>
        </row>
        <row r="500">
          <cell r="A500">
            <v>51600</v>
          </cell>
          <cell r="B500" t="str">
            <v>Proteção de Talude</v>
          </cell>
          <cell r="D500">
            <v>0</v>
          </cell>
          <cell r="E500">
            <v>0</v>
          </cell>
        </row>
        <row r="501">
          <cell r="A501">
            <v>51601</v>
          </cell>
          <cell r="B501" t="str">
            <v>Placa de Concreto - Saída de Talude</v>
          </cell>
          <cell r="C501" t="str">
            <v>m</v>
          </cell>
          <cell r="D501">
            <v>76.62</v>
          </cell>
          <cell r="E501">
            <v>0</v>
          </cell>
          <cell r="F501">
            <v>76.62</v>
          </cell>
        </row>
        <row r="502">
          <cell r="A502">
            <v>51602</v>
          </cell>
          <cell r="B502" t="str">
            <v>Placa de Concreto - Chegada nas Bermas</v>
          </cell>
          <cell r="C502" t="str">
            <v>m</v>
          </cell>
          <cell r="D502">
            <v>38.880000000000003</v>
          </cell>
          <cell r="E502">
            <v>0</v>
          </cell>
          <cell r="F502">
            <v>38.880000000000003</v>
          </cell>
        </row>
        <row r="503">
          <cell r="A503">
            <v>51603</v>
          </cell>
          <cell r="B503" t="str">
            <v>Placa de Concreto - Chegada nos Encontros</v>
          </cell>
          <cell r="C503" t="str">
            <v>m</v>
          </cell>
          <cell r="D503">
            <v>18.91</v>
          </cell>
          <cell r="E503">
            <v>0</v>
          </cell>
          <cell r="F503">
            <v>18.91</v>
          </cell>
        </row>
        <row r="504">
          <cell r="A504">
            <v>51604</v>
          </cell>
          <cell r="B504" t="str">
            <v>Placa de Concreto para Proteção de Talude E=0,05m sobre O.A.E.</v>
          </cell>
          <cell r="C504" t="str">
            <v>m²</v>
          </cell>
          <cell r="D504">
            <v>115.63</v>
          </cell>
          <cell r="E504">
            <v>8.44</v>
          </cell>
          <cell r="F504">
            <v>124.07</v>
          </cell>
        </row>
        <row r="505">
          <cell r="A505">
            <v>51605</v>
          </cell>
          <cell r="B505" t="str">
            <v>Revestimento Talude sobre O.A.E. c/ Bloco de Concreto Articulado E=6cm</v>
          </cell>
          <cell r="C505" t="str">
            <v>m²</v>
          </cell>
          <cell r="D505">
            <v>36.950000000000003</v>
          </cell>
          <cell r="E505">
            <v>0</v>
          </cell>
          <cell r="F505">
            <v>36.950000000000003</v>
          </cell>
        </row>
        <row r="506">
          <cell r="A506">
            <v>51606</v>
          </cell>
          <cell r="B506" t="str">
            <v>Revestimento Talude sobre O.A.E. c/ Bloco de Concreto Articulado E=8cm</v>
          </cell>
          <cell r="C506" t="str">
            <v>m²</v>
          </cell>
          <cell r="D506">
            <v>39.450000000000003</v>
          </cell>
          <cell r="E506">
            <v>0</v>
          </cell>
          <cell r="F506">
            <v>39.450000000000003</v>
          </cell>
        </row>
        <row r="507">
          <cell r="A507">
            <v>51700</v>
          </cell>
          <cell r="B507" t="str">
            <v>Broca de Concreto</v>
          </cell>
          <cell r="D507">
            <v>0</v>
          </cell>
          <cell r="E507">
            <v>0</v>
          </cell>
        </row>
        <row r="508">
          <cell r="A508">
            <v>51701</v>
          </cell>
          <cell r="B508" t="str">
            <v>Broca de Concreto 0,20m</v>
          </cell>
          <cell r="C508" t="str">
            <v>m</v>
          </cell>
          <cell r="D508">
            <v>6.74</v>
          </cell>
          <cell r="E508">
            <v>8.51</v>
          </cell>
          <cell r="F508">
            <v>15.25</v>
          </cell>
        </row>
        <row r="509">
          <cell r="A509">
            <v>51702</v>
          </cell>
          <cell r="B509" t="str">
            <v>Broca de Concreto 0,25m</v>
          </cell>
          <cell r="C509" t="str">
            <v>m</v>
          </cell>
          <cell r="D509">
            <v>9.9600000000000009</v>
          </cell>
          <cell r="E509">
            <v>13.2</v>
          </cell>
          <cell r="F509">
            <v>23.16</v>
          </cell>
        </row>
        <row r="510">
          <cell r="A510">
            <v>51800</v>
          </cell>
          <cell r="B510" t="str">
            <v>Guarda Corpo de Concreto</v>
          </cell>
          <cell r="D510">
            <v>0</v>
          </cell>
          <cell r="E510">
            <v>0</v>
          </cell>
        </row>
        <row r="511">
          <cell r="A511">
            <v>51801</v>
          </cell>
          <cell r="B511" t="str">
            <v>Guarda Corpo de Concreto Tipo Dersa</v>
          </cell>
          <cell r="C511" t="str">
            <v>m</v>
          </cell>
          <cell r="D511">
            <v>248.62</v>
          </cell>
          <cell r="E511">
            <v>0</v>
          </cell>
          <cell r="F511">
            <v>248.62</v>
          </cell>
        </row>
        <row r="512">
          <cell r="A512">
            <v>51802</v>
          </cell>
          <cell r="B512" t="str">
            <v>Colocação de Placas para Guarda Corpo - Passarela</v>
          </cell>
          <cell r="C512" t="str">
            <v>un</v>
          </cell>
          <cell r="D512">
            <v>11.84</v>
          </cell>
          <cell r="E512">
            <v>7.67</v>
          </cell>
          <cell r="F512">
            <v>19.509999999999998</v>
          </cell>
        </row>
        <row r="513">
          <cell r="A513">
            <v>51900</v>
          </cell>
          <cell r="B513" t="str">
            <v>Perfuração / Dreno / Tirante em Solo</v>
          </cell>
          <cell r="D513">
            <v>0</v>
          </cell>
          <cell r="E513">
            <v>0</v>
          </cell>
        </row>
        <row r="514">
          <cell r="A514">
            <v>51901</v>
          </cell>
          <cell r="B514" t="str">
            <v>Perfuração / Dreno / Tirante em Solo D=AX</v>
          </cell>
          <cell r="C514" t="str">
            <v>m</v>
          </cell>
          <cell r="D514">
            <v>89.01</v>
          </cell>
          <cell r="E514">
            <v>0</v>
          </cell>
          <cell r="F514">
            <v>89.01</v>
          </cell>
        </row>
        <row r="515">
          <cell r="A515">
            <v>51902</v>
          </cell>
          <cell r="B515" t="str">
            <v>Perfuração / Dreno / Tirante em Solo D=BX</v>
          </cell>
          <cell r="C515" t="str">
            <v>m</v>
          </cell>
          <cell r="D515">
            <v>99</v>
          </cell>
          <cell r="E515">
            <v>0</v>
          </cell>
          <cell r="F515">
            <v>99</v>
          </cell>
        </row>
        <row r="516">
          <cell r="A516">
            <v>51903</v>
          </cell>
          <cell r="B516" t="str">
            <v>Perfuração / Dreno / Tirante em Solo D=NX</v>
          </cell>
          <cell r="C516" t="str">
            <v>m</v>
          </cell>
          <cell r="D516">
            <v>115.01</v>
          </cell>
          <cell r="E516">
            <v>0</v>
          </cell>
          <cell r="F516">
            <v>115.01</v>
          </cell>
        </row>
        <row r="517">
          <cell r="A517">
            <v>51904</v>
          </cell>
          <cell r="B517" t="str">
            <v>Perfuração / Dreno / Tirante em Solo D=HX</v>
          </cell>
          <cell r="C517" t="str">
            <v>m</v>
          </cell>
          <cell r="D517">
            <v>125</v>
          </cell>
          <cell r="E517">
            <v>0</v>
          </cell>
          <cell r="F517">
            <v>125</v>
          </cell>
        </row>
        <row r="518">
          <cell r="A518">
            <v>52000</v>
          </cell>
          <cell r="B518" t="str">
            <v>Perfuração / Dreno / Tirante em Rocha Alterada</v>
          </cell>
          <cell r="D518">
            <v>0</v>
          </cell>
          <cell r="E518">
            <v>0</v>
          </cell>
        </row>
        <row r="519">
          <cell r="A519">
            <v>52001</v>
          </cell>
          <cell r="B519" t="str">
            <v>Perfuração / Dreno / Tirante em Rocha Alterada D=AX</v>
          </cell>
          <cell r="C519" t="str">
            <v>m</v>
          </cell>
          <cell r="D519">
            <v>185</v>
          </cell>
          <cell r="E519">
            <v>0</v>
          </cell>
          <cell r="F519">
            <v>185</v>
          </cell>
        </row>
        <row r="520">
          <cell r="A520">
            <v>52002</v>
          </cell>
          <cell r="B520" t="str">
            <v>Perfuração / Dreno / Tirante em Rocha Alterada D=BX</v>
          </cell>
          <cell r="C520" t="str">
            <v>m</v>
          </cell>
          <cell r="D520">
            <v>185</v>
          </cell>
          <cell r="E520">
            <v>0</v>
          </cell>
          <cell r="F520">
            <v>185</v>
          </cell>
        </row>
        <row r="521">
          <cell r="A521">
            <v>52003</v>
          </cell>
          <cell r="B521" t="str">
            <v>Perfuração / Dreno / Tirante em Rocha Alterada D=NX</v>
          </cell>
          <cell r="C521" t="str">
            <v>m</v>
          </cell>
          <cell r="D521">
            <v>210.01</v>
          </cell>
          <cell r="E521">
            <v>0</v>
          </cell>
          <cell r="F521">
            <v>210.01</v>
          </cell>
        </row>
        <row r="522">
          <cell r="A522">
            <v>52004</v>
          </cell>
          <cell r="B522" t="str">
            <v>Perfuração / Dreno / Tirante em Rocha Alterada D=HX</v>
          </cell>
          <cell r="C522" t="str">
            <v>m</v>
          </cell>
          <cell r="D522">
            <v>210.01</v>
          </cell>
          <cell r="E522">
            <v>0</v>
          </cell>
          <cell r="F522">
            <v>210.01</v>
          </cell>
        </row>
        <row r="523">
          <cell r="A523">
            <v>52100</v>
          </cell>
          <cell r="B523" t="str">
            <v>Perfuração / Dreno / Tirante em Rocha Sã</v>
          </cell>
          <cell r="D523">
            <v>0</v>
          </cell>
          <cell r="E523">
            <v>0</v>
          </cell>
        </row>
        <row r="524">
          <cell r="A524">
            <v>52101</v>
          </cell>
          <cell r="B524" t="str">
            <v>Perfuração / Dreno / Tirante em Rocha Sã D=AX</v>
          </cell>
          <cell r="C524" t="str">
            <v>m</v>
          </cell>
          <cell r="D524">
            <v>286</v>
          </cell>
          <cell r="E524">
            <v>0</v>
          </cell>
          <cell r="F524">
            <v>286</v>
          </cell>
        </row>
        <row r="525">
          <cell r="A525">
            <v>52102</v>
          </cell>
          <cell r="B525" t="str">
            <v>Perfuração / Dreno / Tirante em Rocha Sã D=BX</v>
          </cell>
          <cell r="C525" t="str">
            <v>m</v>
          </cell>
          <cell r="D525">
            <v>297</v>
          </cell>
          <cell r="E525">
            <v>0</v>
          </cell>
          <cell r="F525">
            <v>297</v>
          </cell>
        </row>
        <row r="526">
          <cell r="A526">
            <v>52103</v>
          </cell>
          <cell r="B526" t="str">
            <v>Perfuração / Dreno / Tirante em Rocha Sã D=NX</v>
          </cell>
          <cell r="C526" t="str">
            <v>m</v>
          </cell>
          <cell r="D526">
            <v>354.2</v>
          </cell>
          <cell r="E526">
            <v>0</v>
          </cell>
          <cell r="F526">
            <v>354.2</v>
          </cell>
        </row>
        <row r="527">
          <cell r="A527">
            <v>52104</v>
          </cell>
          <cell r="B527" t="str">
            <v>Perfuração / Dreno / Tirante em Rocha Sã D=HX</v>
          </cell>
          <cell r="C527" t="str">
            <v>m</v>
          </cell>
          <cell r="D527">
            <v>409.2</v>
          </cell>
          <cell r="E527">
            <v>0</v>
          </cell>
          <cell r="F527">
            <v>409.2</v>
          </cell>
        </row>
        <row r="528">
          <cell r="A528">
            <v>52200</v>
          </cell>
          <cell r="B528" t="str">
            <v>Mobilização/Transporte/Instalação de Equipamento / Equipe</v>
          </cell>
          <cell r="D528">
            <v>0</v>
          </cell>
          <cell r="E528">
            <v>0</v>
          </cell>
        </row>
        <row r="529">
          <cell r="A529">
            <v>52201</v>
          </cell>
          <cell r="B529" t="str">
            <v>Mobilização/Transporte/Instalação de Equipamento / Equipe</v>
          </cell>
          <cell r="C529" t="str">
            <v>un</v>
          </cell>
          <cell r="D529">
            <v>4590</v>
          </cell>
          <cell r="E529">
            <v>0</v>
          </cell>
          <cell r="F529">
            <v>4590</v>
          </cell>
        </row>
        <row r="530">
          <cell r="A530">
            <v>60000</v>
          </cell>
          <cell r="B530" t="str">
            <v>Sinalização / Elementos de Segurança</v>
          </cell>
          <cell r="D530">
            <v>0</v>
          </cell>
          <cell r="E530">
            <v>0</v>
          </cell>
        </row>
        <row r="531">
          <cell r="A531">
            <v>60100</v>
          </cell>
          <cell r="B531" t="str">
            <v>Pintura de Faixa (Sinalização Horizontal)</v>
          </cell>
          <cell r="D531">
            <v>0</v>
          </cell>
          <cell r="E531">
            <v>0</v>
          </cell>
        </row>
        <row r="532">
          <cell r="A532">
            <v>60101</v>
          </cell>
          <cell r="B532" t="str">
            <v>Pintura com Tinta Acrílica - Mecânica - Sinalização Horizontal</v>
          </cell>
          <cell r="C532" t="str">
            <v>m²</v>
          </cell>
          <cell r="D532">
            <v>9.41</v>
          </cell>
          <cell r="E532">
            <v>0</v>
          </cell>
          <cell r="F532">
            <v>9.41</v>
          </cell>
        </row>
        <row r="533">
          <cell r="A533">
            <v>60102</v>
          </cell>
          <cell r="B533" t="str">
            <v>Pintura com Tinta Acrílica - Mecânica - Conforme OP-06/21/22/23</v>
          </cell>
          <cell r="C533" t="str">
            <v>m²</v>
          </cell>
          <cell r="D533">
            <v>16.61</v>
          </cell>
          <cell r="E533">
            <v>0</v>
          </cell>
          <cell r="F533">
            <v>16.61</v>
          </cell>
        </row>
        <row r="534">
          <cell r="A534">
            <v>60103</v>
          </cell>
          <cell r="B534" t="str">
            <v>Pintura com Tinta Acrílica - Manual - Conforme OP-06/21/22/23</v>
          </cell>
          <cell r="C534" t="str">
            <v>m²</v>
          </cell>
          <cell r="D534">
            <v>22.18</v>
          </cell>
          <cell r="E534">
            <v>0</v>
          </cell>
          <cell r="F534">
            <v>22.18</v>
          </cell>
        </row>
        <row r="535">
          <cell r="A535">
            <v>60104</v>
          </cell>
          <cell r="B535" t="str">
            <v>Pintura Termoplástica Refletiva por Aspersão - Mecânica</v>
          </cell>
          <cell r="C535" t="str">
            <v>m²</v>
          </cell>
          <cell r="D535">
            <v>20.66</v>
          </cell>
          <cell r="E535">
            <v>0</v>
          </cell>
          <cell r="F535">
            <v>20.66</v>
          </cell>
        </row>
        <row r="536">
          <cell r="A536">
            <v>60105</v>
          </cell>
          <cell r="B536" t="str">
            <v>Pintura Termoplástica Refletiva por Extrusão - Manual</v>
          </cell>
          <cell r="C536" t="str">
            <v>m²</v>
          </cell>
          <cell r="D536">
            <v>24.3</v>
          </cell>
          <cell r="E536">
            <v>0</v>
          </cell>
          <cell r="F536">
            <v>24.3</v>
          </cell>
        </row>
        <row r="537">
          <cell r="A537">
            <v>60106</v>
          </cell>
          <cell r="B537" t="str">
            <v>Remoção de Pintura Demarcatória da Via</v>
          </cell>
          <cell r="C537" t="str">
            <v>m²</v>
          </cell>
          <cell r="D537">
            <v>15.58</v>
          </cell>
          <cell r="E537">
            <v>0</v>
          </cell>
          <cell r="F537">
            <v>15.58</v>
          </cell>
        </row>
        <row r="538">
          <cell r="A538">
            <v>60200</v>
          </cell>
          <cell r="B538" t="str">
            <v>Taxa Refletiva (Sinalização Horizontal)</v>
          </cell>
          <cell r="D538">
            <v>0</v>
          </cell>
          <cell r="E538">
            <v>0</v>
          </cell>
        </row>
        <row r="539">
          <cell r="A539">
            <v>60201</v>
          </cell>
          <cell r="B539" t="str">
            <v>Taxa Refletiva Monodirecional</v>
          </cell>
          <cell r="C539" t="str">
            <v>un</v>
          </cell>
          <cell r="D539">
            <v>11.88</v>
          </cell>
          <cell r="E539">
            <v>0</v>
          </cell>
          <cell r="F539">
            <v>11.88</v>
          </cell>
        </row>
        <row r="540">
          <cell r="A540">
            <v>60202</v>
          </cell>
          <cell r="B540" t="str">
            <v>Taxa Refletiva Bidirecional</v>
          </cell>
          <cell r="C540" t="str">
            <v>un</v>
          </cell>
          <cell r="D540">
            <v>15.27</v>
          </cell>
          <cell r="E540">
            <v>0</v>
          </cell>
          <cell r="F540">
            <v>15.27</v>
          </cell>
        </row>
        <row r="541">
          <cell r="A541">
            <v>60203</v>
          </cell>
          <cell r="B541" t="str">
            <v>Tachão Refletiva Monodirecional</v>
          </cell>
          <cell r="C541" t="str">
            <v>un</v>
          </cell>
          <cell r="D541">
            <v>44.55</v>
          </cell>
          <cell r="E541">
            <v>0</v>
          </cell>
          <cell r="F541">
            <v>44.55</v>
          </cell>
        </row>
        <row r="542">
          <cell r="A542">
            <v>60204</v>
          </cell>
          <cell r="B542" t="str">
            <v>Tachão Refletiva Bidirecional</v>
          </cell>
          <cell r="C542" t="str">
            <v>un</v>
          </cell>
          <cell r="D542">
            <v>47.25</v>
          </cell>
          <cell r="E542">
            <v>0</v>
          </cell>
          <cell r="F542">
            <v>47.25</v>
          </cell>
        </row>
        <row r="543">
          <cell r="A543">
            <v>60205</v>
          </cell>
          <cell r="B543" t="str">
            <v>Remoção de Taxa Refletiva</v>
          </cell>
          <cell r="C543" t="str">
            <v>un</v>
          </cell>
          <cell r="D543">
            <v>3.38</v>
          </cell>
          <cell r="E543">
            <v>0</v>
          </cell>
          <cell r="F543">
            <v>3.38</v>
          </cell>
        </row>
        <row r="544">
          <cell r="A544">
            <v>60206</v>
          </cell>
          <cell r="B544" t="str">
            <v>Taxa Refletiva Bidirecional Tipo I - Repo. Descont.</v>
          </cell>
          <cell r="C544" t="str">
            <v>un</v>
          </cell>
          <cell r="D544">
            <v>18.21</v>
          </cell>
          <cell r="E544">
            <v>1.08</v>
          </cell>
          <cell r="F544">
            <v>19.29</v>
          </cell>
        </row>
        <row r="545">
          <cell r="A545">
            <v>60207</v>
          </cell>
          <cell r="B545" t="str">
            <v>Taxa Refletiva Monodirecional Tipo I - Repo. Descont.</v>
          </cell>
          <cell r="C545" t="str">
            <v>un</v>
          </cell>
          <cell r="D545">
            <v>15.27</v>
          </cell>
          <cell r="E545">
            <v>1.08</v>
          </cell>
          <cell r="F545">
            <v>16.350000000000001</v>
          </cell>
        </row>
        <row r="546">
          <cell r="A546">
            <v>60300</v>
          </cell>
          <cell r="B546" t="str">
            <v>Placas de Sinalização (Sinalização Vertical)</v>
          </cell>
          <cell r="D546">
            <v>0</v>
          </cell>
          <cell r="E546">
            <v>0</v>
          </cell>
        </row>
        <row r="547">
          <cell r="A547">
            <v>60301</v>
          </cell>
          <cell r="B547" t="str">
            <v>Placa de Alumínio GT+GT - Informação</v>
          </cell>
          <cell r="C547" t="str">
            <v>m²</v>
          </cell>
          <cell r="D547">
            <v>326.27999999999997</v>
          </cell>
          <cell r="E547">
            <v>64.27</v>
          </cell>
          <cell r="F547">
            <v>390.54999999999995</v>
          </cell>
        </row>
        <row r="548">
          <cell r="A548">
            <v>60302</v>
          </cell>
          <cell r="B548" t="str">
            <v>Placa de Alumínio GT+Sotchlite - Regulamentação / Advertência</v>
          </cell>
          <cell r="C548" t="str">
            <v>m²</v>
          </cell>
          <cell r="D548">
            <v>326.27999999999997</v>
          </cell>
          <cell r="E548">
            <v>33.36</v>
          </cell>
          <cell r="F548">
            <v>359.64</v>
          </cell>
        </row>
        <row r="549">
          <cell r="A549">
            <v>60303</v>
          </cell>
          <cell r="B549" t="str">
            <v>Placa de Implantação - Sinalização Provisória - Mensagem FT/GT</v>
          </cell>
          <cell r="C549" t="str">
            <v>m²</v>
          </cell>
          <cell r="D549">
            <v>101.17</v>
          </cell>
          <cell r="E549">
            <v>58.86</v>
          </cell>
          <cell r="F549">
            <v>160.03</v>
          </cell>
        </row>
        <row r="550">
          <cell r="A550">
            <v>60304</v>
          </cell>
          <cell r="B550" t="str">
            <v>Colocação de Placas para Sinalização Vertical</v>
          </cell>
          <cell r="C550" t="str">
            <v>m²</v>
          </cell>
          <cell r="D550">
            <v>20.260000000000002</v>
          </cell>
          <cell r="E550">
            <v>14.43</v>
          </cell>
          <cell r="F550">
            <v>34.69</v>
          </cell>
        </row>
        <row r="551">
          <cell r="A551">
            <v>60400</v>
          </cell>
          <cell r="B551" t="str">
            <v>Pórticos / Semi-Pórticos</v>
          </cell>
          <cell r="D551">
            <v>0</v>
          </cell>
          <cell r="E551">
            <v>0</v>
          </cell>
        </row>
        <row r="552">
          <cell r="A552">
            <v>60401</v>
          </cell>
          <cell r="B552" t="str">
            <v>Pórtico Vão 15,20m - Fornecimento / Transporte</v>
          </cell>
          <cell r="C552" t="str">
            <v>un</v>
          </cell>
          <cell r="D552">
            <v>14690</v>
          </cell>
          <cell r="E552">
            <v>0</v>
          </cell>
          <cell r="F552">
            <v>14690</v>
          </cell>
        </row>
        <row r="553">
          <cell r="A553">
            <v>60402</v>
          </cell>
          <cell r="B553" t="str">
            <v>Pórtico Vão 18,80m - Fornecimento / Transporte</v>
          </cell>
          <cell r="C553" t="str">
            <v>un</v>
          </cell>
          <cell r="D553">
            <v>18138.009999999998</v>
          </cell>
          <cell r="E553">
            <v>0</v>
          </cell>
          <cell r="F553">
            <v>18138.009999999998</v>
          </cell>
        </row>
        <row r="554">
          <cell r="A554">
            <v>60403</v>
          </cell>
          <cell r="B554" t="str">
            <v>Pórtico Vão 22,40m - Fornecimento / Transporte</v>
          </cell>
          <cell r="C554" t="str">
            <v>un</v>
          </cell>
          <cell r="D554">
            <v>20809.990000000002</v>
          </cell>
          <cell r="E554">
            <v>0</v>
          </cell>
          <cell r="F554">
            <v>20809.990000000002</v>
          </cell>
        </row>
        <row r="555">
          <cell r="A555">
            <v>60404</v>
          </cell>
          <cell r="B555" t="str">
            <v>Pórtico Vão 15,20m - Implantação</v>
          </cell>
          <cell r="C555" t="str">
            <v>un</v>
          </cell>
          <cell r="D555">
            <v>2462.5100000000002</v>
          </cell>
          <cell r="E555">
            <v>0</v>
          </cell>
          <cell r="F555">
            <v>2462.5100000000002</v>
          </cell>
        </row>
        <row r="556">
          <cell r="A556">
            <v>60405</v>
          </cell>
          <cell r="B556" t="str">
            <v>Pórtico Vão 18,80m - Implantação</v>
          </cell>
          <cell r="C556" t="str">
            <v>un</v>
          </cell>
          <cell r="D556">
            <v>2707.83</v>
          </cell>
          <cell r="E556">
            <v>0</v>
          </cell>
          <cell r="F556">
            <v>2707.83</v>
          </cell>
        </row>
        <row r="557">
          <cell r="A557">
            <v>60406</v>
          </cell>
          <cell r="B557" t="str">
            <v>Pórtico Vão 22,40m - Implantação</v>
          </cell>
          <cell r="C557" t="str">
            <v>un</v>
          </cell>
          <cell r="D557">
            <v>2957.5</v>
          </cell>
          <cell r="E557">
            <v>0</v>
          </cell>
          <cell r="F557">
            <v>2957.5</v>
          </cell>
        </row>
        <row r="558">
          <cell r="A558">
            <v>60407</v>
          </cell>
          <cell r="B558" t="str">
            <v>Semi-Pórtico Balanço 5,10m - Fornecimento / Transporte</v>
          </cell>
          <cell r="C558" t="str">
            <v>un</v>
          </cell>
          <cell r="D558">
            <v>6976.99</v>
          </cell>
          <cell r="E558">
            <v>0</v>
          </cell>
          <cell r="F558">
            <v>6976.99</v>
          </cell>
        </row>
        <row r="559">
          <cell r="A559">
            <v>60408</v>
          </cell>
          <cell r="B559" t="str">
            <v>Semi-Pórtico Balanço 8,60m - Fornecimento / Transporte</v>
          </cell>
          <cell r="C559" t="str">
            <v>un</v>
          </cell>
          <cell r="D559">
            <v>11372</v>
          </cell>
          <cell r="E559">
            <v>0</v>
          </cell>
          <cell r="F559">
            <v>11372</v>
          </cell>
        </row>
        <row r="560">
          <cell r="A560">
            <v>60409</v>
          </cell>
          <cell r="B560" t="str">
            <v>Semi-Pórtico Balanço Duplo 5,10m - Fornecimento / Transporte</v>
          </cell>
          <cell r="C560" t="str">
            <v>un</v>
          </cell>
          <cell r="D560">
            <v>12267.45</v>
          </cell>
          <cell r="E560">
            <v>0</v>
          </cell>
          <cell r="F560">
            <v>12267.45</v>
          </cell>
        </row>
        <row r="561">
          <cell r="A561">
            <v>60410</v>
          </cell>
          <cell r="B561" t="str">
            <v>Semi-Pórtico Balanço 5,10m - Implantação</v>
          </cell>
          <cell r="C561" t="str">
            <v>un</v>
          </cell>
          <cell r="D561">
            <v>1282.5</v>
          </cell>
          <cell r="E561">
            <v>0</v>
          </cell>
          <cell r="F561">
            <v>1282.5</v>
          </cell>
        </row>
        <row r="562">
          <cell r="A562">
            <v>60411</v>
          </cell>
          <cell r="B562" t="str">
            <v>Semi-Pórtico Balanço 8,60m - Implantação</v>
          </cell>
          <cell r="C562" t="str">
            <v>un</v>
          </cell>
          <cell r="D562">
            <v>1780</v>
          </cell>
          <cell r="E562">
            <v>0</v>
          </cell>
          <cell r="F562">
            <v>1780</v>
          </cell>
        </row>
        <row r="563">
          <cell r="A563">
            <v>60500</v>
          </cell>
          <cell r="B563" t="str">
            <v>Suportes para Fixação de Placas</v>
          </cell>
          <cell r="D563">
            <v>0</v>
          </cell>
          <cell r="E563">
            <v>0</v>
          </cell>
        </row>
        <row r="564">
          <cell r="A564">
            <v>60501</v>
          </cell>
          <cell r="B564" t="str">
            <v>Suporte de Madeira 0,10 x 0,10m</v>
          </cell>
          <cell r="C564" t="str">
            <v>m</v>
          </cell>
          <cell r="D564">
            <v>8.75</v>
          </cell>
          <cell r="E564">
            <v>1.89</v>
          </cell>
          <cell r="F564">
            <v>10.64</v>
          </cell>
        </row>
        <row r="565">
          <cell r="A565">
            <v>60502</v>
          </cell>
          <cell r="B565" t="str">
            <v>Suporte de Perfil Metálico Galvanizado</v>
          </cell>
          <cell r="C565" t="str">
            <v>kg</v>
          </cell>
          <cell r="D565">
            <v>3.71</v>
          </cell>
          <cell r="E565">
            <v>1.49</v>
          </cell>
          <cell r="F565">
            <v>5.2</v>
          </cell>
        </row>
        <row r="566">
          <cell r="A566">
            <v>60503</v>
          </cell>
          <cell r="B566" t="str">
            <v>Suporte de Tubo Galvanizado D=2 1/2"</v>
          </cell>
          <cell r="C566" t="str">
            <v>m</v>
          </cell>
          <cell r="D566">
            <v>20.67</v>
          </cell>
          <cell r="E566">
            <v>3.71</v>
          </cell>
          <cell r="F566">
            <v>24.380000000000003</v>
          </cell>
        </row>
        <row r="567">
          <cell r="A567">
            <v>60504</v>
          </cell>
          <cell r="B567" t="str">
            <v>Suporte de Tubo Galvanizado D=3"</v>
          </cell>
          <cell r="C567" t="str">
            <v>m</v>
          </cell>
          <cell r="D567">
            <v>26.07</v>
          </cell>
          <cell r="E567">
            <v>3.71</v>
          </cell>
          <cell r="F567">
            <v>29.78</v>
          </cell>
        </row>
        <row r="568">
          <cell r="A568">
            <v>60600</v>
          </cell>
          <cell r="B568" t="str">
            <v>Defensas Metálicas</v>
          </cell>
          <cell r="D568">
            <v>0</v>
          </cell>
          <cell r="E568">
            <v>0</v>
          </cell>
        </row>
        <row r="569">
          <cell r="A569">
            <v>60601</v>
          </cell>
          <cell r="B569" t="str">
            <v>Defensa Metálica Maleável Simples - Fornecimento</v>
          </cell>
          <cell r="C569" t="str">
            <v>m</v>
          </cell>
          <cell r="D569">
            <v>77.5</v>
          </cell>
          <cell r="E569">
            <v>0</v>
          </cell>
          <cell r="F569">
            <v>77.5</v>
          </cell>
        </row>
        <row r="570">
          <cell r="A570">
            <v>60602</v>
          </cell>
          <cell r="B570" t="str">
            <v>Defensa Metálica Maleável Dupla - Fornecimento</v>
          </cell>
          <cell r="C570" t="str">
            <v>m</v>
          </cell>
          <cell r="D570">
            <v>95.86</v>
          </cell>
          <cell r="E570">
            <v>0</v>
          </cell>
          <cell r="F570">
            <v>95.86</v>
          </cell>
        </row>
        <row r="571">
          <cell r="A571">
            <v>60603</v>
          </cell>
          <cell r="B571" t="str">
            <v>Defensa Metálica Maleável Simples - Implantação</v>
          </cell>
          <cell r="C571" t="str">
            <v>m</v>
          </cell>
          <cell r="D571">
            <v>20.440000000000001</v>
          </cell>
          <cell r="E571">
            <v>0</v>
          </cell>
          <cell r="F571">
            <v>20.440000000000001</v>
          </cell>
        </row>
        <row r="572">
          <cell r="A572">
            <v>60604</v>
          </cell>
          <cell r="B572" t="str">
            <v>Defensa Metálica Maleável Dupla - Implantação</v>
          </cell>
          <cell r="C572" t="str">
            <v>m</v>
          </cell>
          <cell r="D572">
            <v>26.87</v>
          </cell>
          <cell r="E572">
            <v>0</v>
          </cell>
          <cell r="F572">
            <v>26.87</v>
          </cell>
        </row>
        <row r="573">
          <cell r="A573">
            <v>60605</v>
          </cell>
          <cell r="B573" t="str">
            <v>Remoção/Transporte/Reinstalação de Defensa Metálica Maleável Simples</v>
          </cell>
          <cell r="C573" t="str">
            <v>m</v>
          </cell>
          <cell r="D573">
            <v>26.46</v>
          </cell>
          <cell r="E573">
            <v>18.64</v>
          </cell>
          <cell r="F573">
            <v>45.1</v>
          </cell>
        </row>
        <row r="574">
          <cell r="A574">
            <v>60606</v>
          </cell>
          <cell r="B574" t="str">
            <v>Remoção/Transporte/Reinstalação de Defensa Metálica Maleável Dupla</v>
          </cell>
          <cell r="C574" t="str">
            <v>m</v>
          </cell>
          <cell r="D574">
            <v>31.78</v>
          </cell>
          <cell r="E574">
            <v>22.36</v>
          </cell>
          <cell r="F574">
            <v>54.14</v>
          </cell>
        </row>
        <row r="575">
          <cell r="A575">
            <v>60607</v>
          </cell>
          <cell r="B575" t="str">
            <v>Remoção de Defensa Metálica Maleável Simples</v>
          </cell>
          <cell r="C575" t="str">
            <v>m</v>
          </cell>
          <cell r="D575">
            <v>10.4</v>
          </cell>
          <cell r="E575">
            <v>9.34</v>
          </cell>
          <cell r="F575">
            <v>19.740000000000002</v>
          </cell>
        </row>
        <row r="576">
          <cell r="A576">
            <v>60608</v>
          </cell>
          <cell r="B576" t="str">
            <v>Remoção de Defensa Metálica Maleável Dupla</v>
          </cell>
          <cell r="C576" t="str">
            <v>m</v>
          </cell>
          <cell r="D576">
            <v>11.84</v>
          </cell>
          <cell r="E576">
            <v>10.64</v>
          </cell>
          <cell r="F576">
            <v>22.48</v>
          </cell>
        </row>
        <row r="577">
          <cell r="A577">
            <v>60700</v>
          </cell>
          <cell r="B577" t="str">
            <v>Barreira Rígida de Concreto</v>
          </cell>
          <cell r="D577">
            <v>0</v>
          </cell>
          <cell r="E577">
            <v>0</v>
          </cell>
        </row>
        <row r="578">
          <cell r="A578">
            <v>60701</v>
          </cell>
          <cell r="B578" t="str">
            <v>Guarda Corpo de Concreto Tipo Dersa</v>
          </cell>
          <cell r="C578" t="str">
            <v>m</v>
          </cell>
          <cell r="D578">
            <v>248.62</v>
          </cell>
          <cell r="E578">
            <v>0</v>
          </cell>
          <cell r="F578">
            <v>248.62</v>
          </cell>
        </row>
        <row r="579">
          <cell r="A579">
            <v>60702</v>
          </cell>
          <cell r="B579" t="str">
            <v>Barreira Rígida de Concreto Armado Simples - Baixa</v>
          </cell>
          <cell r="C579" t="str">
            <v>m</v>
          </cell>
          <cell r="D579">
            <v>100.7</v>
          </cell>
          <cell r="E579">
            <v>0</v>
          </cell>
          <cell r="F579">
            <v>100.7</v>
          </cell>
        </row>
        <row r="580">
          <cell r="A580">
            <v>60703</v>
          </cell>
          <cell r="B580" t="str">
            <v>Barreira Rígida de Concreto Armado Simples - Alta</v>
          </cell>
          <cell r="C580" t="str">
            <v>m</v>
          </cell>
          <cell r="D580">
            <v>160.83000000000001</v>
          </cell>
          <cell r="E580">
            <v>0</v>
          </cell>
          <cell r="F580">
            <v>160.83000000000001</v>
          </cell>
        </row>
        <row r="581">
          <cell r="A581">
            <v>60704</v>
          </cell>
          <cell r="B581" t="str">
            <v>Barreira Rígida de Concreto Armado Simples - Ref. Baixa</v>
          </cell>
          <cell r="C581" t="str">
            <v>m</v>
          </cell>
          <cell r="D581">
            <v>125.33</v>
          </cell>
          <cell r="E581">
            <v>0</v>
          </cell>
          <cell r="F581">
            <v>125.33</v>
          </cell>
        </row>
        <row r="582">
          <cell r="A582">
            <v>60705</v>
          </cell>
          <cell r="B582" t="str">
            <v>Barreira Rígida de Concreto Armado Dupla - Baixa</v>
          </cell>
          <cell r="C582" t="str">
            <v>m</v>
          </cell>
          <cell r="D582">
            <v>143.09</v>
          </cell>
          <cell r="E582">
            <v>0</v>
          </cell>
          <cell r="F582">
            <v>143.09</v>
          </cell>
        </row>
        <row r="583">
          <cell r="A583">
            <v>60706</v>
          </cell>
          <cell r="B583" t="str">
            <v>Barreira Rígida de Concreto Armado Dupla - Alta</v>
          </cell>
          <cell r="C583" t="str">
            <v>m</v>
          </cell>
          <cell r="D583">
            <v>212.29</v>
          </cell>
          <cell r="E583">
            <v>0</v>
          </cell>
          <cell r="F583">
            <v>212.29</v>
          </cell>
        </row>
        <row r="584">
          <cell r="A584">
            <v>60707</v>
          </cell>
          <cell r="B584" t="str">
            <v>Barreira Rígida de Concreto Armado Simples - Assimétrica</v>
          </cell>
          <cell r="C584" t="str">
            <v>m</v>
          </cell>
          <cell r="D584">
            <v>187.23</v>
          </cell>
          <cell r="E584">
            <v>0</v>
          </cell>
          <cell r="F584">
            <v>187.23</v>
          </cell>
        </row>
        <row r="585">
          <cell r="A585">
            <v>60800</v>
          </cell>
          <cell r="B585" t="str">
            <v>Terminais de Concreto Armado para Barreiras</v>
          </cell>
          <cell r="D585">
            <v>0</v>
          </cell>
          <cell r="E585">
            <v>0</v>
          </cell>
        </row>
        <row r="586">
          <cell r="A586">
            <v>60801</v>
          </cell>
          <cell r="B586" t="str">
            <v>Terminais/Deflexão - Barreira Simples Baixa</v>
          </cell>
          <cell r="C586" t="str">
            <v>un</v>
          </cell>
          <cell r="D586">
            <v>183.88</v>
          </cell>
          <cell r="E586">
            <v>0</v>
          </cell>
          <cell r="F586">
            <v>183.88</v>
          </cell>
        </row>
        <row r="587">
          <cell r="A587">
            <v>60802</v>
          </cell>
          <cell r="B587" t="str">
            <v>Terminais/Deflexão - Barreira Simples Alta</v>
          </cell>
          <cell r="C587" t="str">
            <v>un</v>
          </cell>
          <cell r="D587">
            <v>390.04</v>
          </cell>
          <cell r="E587">
            <v>0</v>
          </cell>
          <cell r="F587">
            <v>390.04</v>
          </cell>
        </row>
        <row r="588">
          <cell r="A588">
            <v>60803</v>
          </cell>
          <cell r="B588" t="str">
            <v>Terminais/Reto - Barreira Simples Baixa</v>
          </cell>
          <cell r="C588" t="str">
            <v>un</v>
          </cell>
          <cell r="D588">
            <v>550.95000000000005</v>
          </cell>
          <cell r="E588">
            <v>0</v>
          </cell>
          <cell r="F588">
            <v>550.95000000000005</v>
          </cell>
        </row>
        <row r="589">
          <cell r="A589">
            <v>60804</v>
          </cell>
          <cell r="B589" t="str">
            <v>Terminais/Reto - Barreira Simples Alta</v>
          </cell>
          <cell r="C589" t="str">
            <v>un</v>
          </cell>
          <cell r="D589">
            <v>743.35</v>
          </cell>
          <cell r="E589">
            <v>0</v>
          </cell>
          <cell r="F589">
            <v>743.35</v>
          </cell>
        </row>
        <row r="590">
          <cell r="A590">
            <v>60805</v>
          </cell>
          <cell r="B590" t="str">
            <v>Terminais/Reto - Barreira Dupla Baixa</v>
          </cell>
          <cell r="C590" t="str">
            <v>un</v>
          </cell>
          <cell r="D590">
            <v>803.8</v>
          </cell>
          <cell r="E590">
            <v>0</v>
          </cell>
          <cell r="F590">
            <v>803.8</v>
          </cell>
        </row>
        <row r="591">
          <cell r="A591">
            <v>60806</v>
          </cell>
          <cell r="B591" t="str">
            <v>Terminais/Reto - Barreira Dupla Alta</v>
          </cell>
          <cell r="C591" t="str">
            <v>un</v>
          </cell>
          <cell r="D591">
            <v>1066.53</v>
          </cell>
          <cell r="E591">
            <v>0</v>
          </cell>
          <cell r="F591">
            <v>1066.53</v>
          </cell>
        </row>
        <row r="592">
          <cell r="A592">
            <v>70000</v>
          </cell>
          <cell r="B592" t="str">
            <v>Revestimento Vegetal</v>
          </cell>
          <cell r="D592">
            <v>0</v>
          </cell>
          <cell r="E592">
            <v>0</v>
          </cell>
        </row>
        <row r="593">
          <cell r="A593">
            <v>70100</v>
          </cell>
          <cell r="B593" t="str">
            <v>Plantio</v>
          </cell>
          <cell r="D593">
            <v>0</v>
          </cell>
          <cell r="E593">
            <v>0</v>
          </cell>
        </row>
        <row r="594">
          <cell r="A594">
            <v>70101</v>
          </cell>
          <cell r="B594" t="str">
            <v>Plantio de Grama em Placas</v>
          </cell>
          <cell r="C594" t="str">
            <v>m²</v>
          </cell>
          <cell r="D594">
            <v>3.19</v>
          </cell>
          <cell r="E594">
            <v>0.62</v>
          </cell>
          <cell r="F594">
            <v>3.81</v>
          </cell>
        </row>
        <row r="595">
          <cell r="A595">
            <v>70102</v>
          </cell>
          <cell r="B595" t="str">
            <v>Plantio de Grama pelo Processo de Hidrossemeadura</v>
          </cell>
          <cell r="C595" t="str">
            <v>m²</v>
          </cell>
          <cell r="D595">
            <v>0.84</v>
          </cell>
          <cell r="E595">
            <v>0.12</v>
          </cell>
          <cell r="F595">
            <v>0.96</v>
          </cell>
        </row>
        <row r="596">
          <cell r="A596">
            <v>70200</v>
          </cell>
          <cell r="B596" t="str">
            <v>Poda</v>
          </cell>
          <cell r="D596">
            <v>0</v>
          </cell>
          <cell r="E596">
            <v>0</v>
          </cell>
        </row>
        <row r="597">
          <cell r="A597">
            <v>70201</v>
          </cell>
          <cell r="B597" t="str">
            <v>Poda Manual</v>
          </cell>
          <cell r="C597" t="str">
            <v>m²</v>
          </cell>
          <cell r="D597">
            <v>7.0000000000000007E-2</v>
          </cell>
          <cell r="E597">
            <v>0.24</v>
          </cell>
          <cell r="F597">
            <v>0.31</v>
          </cell>
        </row>
        <row r="598">
          <cell r="A598">
            <v>70202</v>
          </cell>
          <cell r="B598" t="str">
            <v>Poda Mecanizada</v>
          </cell>
          <cell r="C598" t="str">
            <v>m²</v>
          </cell>
          <cell r="D598">
            <v>0.04</v>
          </cell>
          <cell r="E598">
            <v>0.03</v>
          </cell>
          <cell r="F598">
            <v>7.0000000000000007E-2</v>
          </cell>
        </row>
        <row r="599">
          <cell r="A599">
            <v>70203</v>
          </cell>
          <cell r="B599" t="str">
            <v>Capina Manual - Incluindo Amont. / Carga / Descarga</v>
          </cell>
          <cell r="C599" t="str">
            <v>m²</v>
          </cell>
          <cell r="D599">
            <v>0.09</v>
          </cell>
          <cell r="E599">
            <v>0.28000000000000003</v>
          </cell>
          <cell r="F599">
            <v>0.37</v>
          </cell>
        </row>
        <row r="600">
          <cell r="A600">
            <v>70300</v>
          </cell>
          <cell r="B600" t="str">
            <v>Aplicação de Herbicida</v>
          </cell>
          <cell r="D600">
            <v>0</v>
          </cell>
          <cell r="E600">
            <v>0</v>
          </cell>
        </row>
        <row r="601">
          <cell r="A601">
            <v>70301</v>
          </cell>
          <cell r="B601" t="str">
            <v>Aplicação de Herbicida - Área/Contin./Baixo/Efeit./Resid.</v>
          </cell>
          <cell r="C601" t="str">
            <v>l</v>
          </cell>
          <cell r="D601">
            <v>0.49</v>
          </cell>
          <cell r="E601">
            <v>0.15</v>
          </cell>
          <cell r="F601">
            <v>0.64</v>
          </cell>
        </row>
        <row r="602">
          <cell r="A602">
            <v>70302</v>
          </cell>
          <cell r="B602" t="str">
            <v>Aplicação de Herbicida - Área/Contin./Alto/Efeit./Resid.</v>
          </cell>
          <cell r="C602" t="str">
            <v>l</v>
          </cell>
          <cell r="D602">
            <v>0.47</v>
          </cell>
          <cell r="E602">
            <v>0</v>
          </cell>
          <cell r="F602">
            <v>0.47</v>
          </cell>
        </row>
        <row r="603">
          <cell r="A603">
            <v>80000</v>
          </cell>
          <cell r="B603" t="str">
            <v>Conservação de Rodovia</v>
          </cell>
          <cell r="D603">
            <v>0</v>
          </cell>
          <cell r="E603">
            <v>0</v>
          </cell>
        </row>
        <row r="604">
          <cell r="A604">
            <v>80100</v>
          </cell>
          <cell r="B604" t="str">
            <v>Escavação</v>
          </cell>
          <cell r="D604">
            <v>0</v>
          </cell>
          <cell r="E604">
            <v>0</v>
          </cell>
        </row>
        <row r="605">
          <cell r="A605">
            <v>80101</v>
          </cell>
          <cell r="B605" t="str">
            <v>Escavação/Carga/Descarga de Material - Trator+Pá - Med. Caminhão</v>
          </cell>
          <cell r="C605" t="str">
            <v>m³</v>
          </cell>
          <cell r="D605">
            <v>1.49</v>
          </cell>
          <cell r="E605">
            <v>0.34</v>
          </cell>
          <cell r="F605">
            <v>1.83</v>
          </cell>
        </row>
        <row r="606">
          <cell r="A606">
            <v>80102</v>
          </cell>
          <cell r="B606" t="str">
            <v>Escavação Ref. Sub-Leito Solo Escolh.  - Med. Caminhão</v>
          </cell>
          <cell r="C606" t="str">
            <v>m³</v>
          </cell>
          <cell r="D606">
            <v>2.25</v>
          </cell>
          <cell r="E606">
            <v>0</v>
          </cell>
          <cell r="F606">
            <v>2.25</v>
          </cell>
        </row>
        <row r="607">
          <cell r="A607">
            <v>80200</v>
          </cell>
          <cell r="B607" t="str">
            <v>Material Medido no Caminhão</v>
          </cell>
          <cell r="D607">
            <v>0</v>
          </cell>
          <cell r="E607">
            <v>0</v>
          </cell>
        </row>
        <row r="608">
          <cell r="A608">
            <v>80201</v>
          </cell>
          <cell r="B608" t="str">
            <v>Fornecimento de Areia Lavada - Med. Caminhão</v>
          </cell>
          <cell r="C608" t="str">
            <v>m³</v>
          </cell>
          <cell r="D608">
            <v>33.6</v>
          </cell>
          <cell r="E608">
            <v>0</v>
          </cell>
          <cell r="F608">
            <v>33.6</v>
          </cell>
        </row>
        <row r="609">
          <cell r="A609">
            <v>80202</v>
          </cell>
          <cell r="B609" t="str">
            <v>Fornecimento de Pedra Britada  1 e 2 - Med. Caminhão</v>
          </cell>
          <cell r="C609" t="str">
            <v>m³</v>
          </cell>
          <cell r="D609">
            <v>31.9</v>
          </cell>
          <cell r="E609">
            <v>0</v>
          </cell>
          <cell r="F609">
            <v>31.9</v>
          </cell>
        </row>
        <row r="610">
          <cell r="A610">
            <v>80203</v>
          </cell>
          <cell r="B610" t="str">
            <v>Fornecimento de Pedra Britada  1 - Med. Caminhão</v>
          </cell>
          <cell r="C610" t="str">
            <v>m³</v>
          </cell>
          <cell r="D610">
            <v>31.9</v>
          </cell>
          <cell r="E610">
            <v>0</v>
          </cell>
          <cell r="F610">
            <v>31.9</v>
          </cell>
        </row>
        <row r="611">
          <cell r="A611">
            <v>80204</v>
          </cell>
          <cell r="B611" t="str">
            <v>Fornecimento de Pedra Britada  2 - Med. Caminhão</v>
          </cell>
          <cell r="C611" t="str">
            <v>m³</v>
          </cell>
          <cell r="D611">
            <v>31.9</v>
          </cell>
          <cell r="E611">
            <v>0</v>
          </cell>
          <cell r="F611">
            <v>31.9</v>
          </cell>
        </row>
        <row r="612">
          <cell r="A612">
            <v>80205</v>
          </cell>
          <cell r="B612" t="str">
            <v>Fornecimento de Pedra Britada  3 - Med. Caminhão</v>
          </cell>
          <cell r="C612" t="str">
            <v>m³</v>
          </cell>
          <cell r="D612">
            <v>28.35</v>
          </cell>
          <cell r="E612">
            <v>0</v>
          </cell>
          <cell r="F612">
            <v>28.35</v>
          </cell>
        </row>
        <row r="613">
          <cell r="A613">
            <v>80206</v>
          </cell>
          <cell r="B613" t="str">
            <v>Fornecimento de Pedra Britada  4 - Med. Caminhão</v>
          </cell>
          <cell r="C613" t="str">
            <v>m³</v>
          </cell>
          <cell r="D613">
            <v>28.35</v>
          </cell>
          <cell r="E613">
            <v>0</v>
          </cell>
          <cell r="F613">
            <v>28.35</v>
          </cell>
        </row>
        <row r="614">
          <cell r="A614">
            <v>80207</v>
          </cell>
          <cell r="B614" t="str">
            <v>Fornecimento de Pedra Rachão - Med. Caminhão</v>
          </cell>
          <cell r="C614" t="str">
            <v>m³</v>
          </cell>
          <cell r="D614">
            <v>25.52</v>
          </cell>
          <cell r="E614">
            <v>0</v>
          </cell>
          <cell r="F614">
            <v>25.52</v>
          </cell>
        </row>
        <row r="615">
          <cell r="A615">
            <v>80208</v>
          </cell>
          <cell r="B615" t="str">
            <v>Fornecimento de Bica Corrida - Med. Caminhão</v>
          </cell>
          <cell r="C615" t="str">
            <v>m³</v>
          </cell>
          <cell r="D615">
            <v>28.35</v>
          </cell>
          <cell r="E615">
            <v>0</v>
          </cell>
          <cell r="F615">
            <v>28.35</v>
          </cell>
        </row>
        <row r="616">
          <cell r="A616">
            <v>80300</v>
          </cell>
          <cell r="B616" t="str">
            <v>Compactação de Materiais</v>
          </cell>
          <cell r="D616">
            <v>0</v>
          </cell>
          <cell r="E616">
            <v>0</v>
          </cell>
        </row>
        <row r="617">
          <cell r="A617">
            <v>80301</v>
          </cell>
          <cell r="B617" t="str">
            <v>Compactação Mecânica de Aterro - Med. Caminhão</v>
          </cell>
          <cell r="C617" t="str">
            <v>m³</v>
          </cell>
          <cell r="D617">
            <v>0.73</v>
          </cell>
          <cell r="E617">
            <v>0.09</v>
          </cell>
          <cell r="F617">
            <v>0.82</v>
          </cell>
        </row>
        <row r="618">
          <cell r="A618">
            <v>80302</v>
          </cell>
          <cell r="B618" t="str">
            <v>Compactação Mat. Ref. Sub-Leito - Med. Caminhão</v>
          </cell>
          <cell r="C618" t="str">
            <v>m³</v>
          </cell>
          <cell r="D618">
            <v>0.72</v>
          </cell>
          <cell r="E618">
            <v>0.09</v>
          </cell>
          <cell r="F618">
            <v>0.80999999999999994</v>
          </cell>
        </row>
        <row r="619">
          <cell r="A619">
            <v>80400</v>
          </cell>
          <cell r="B619" t="str">
            <v>Recuperação do Pavimento</v>
          </cell>
          <cell r="D619">
            <v>0</v>
          </cell>
          <cell r="E619">
            <v>0</v>
          </cell>
        </row>
        <row r="620">
          <cell r="A620">
            <v>80401</v>
          </cell>
          <cell r="B620" t="str">
            <v>Correção de Depressão - Pavimento Flexível</v>
          </cell>
          <cell r="C620" t="str">
            <v>m³</v>
          </cell>
          <cell r="D620">
            <v>179.05</v>
          </cell>
          <cell r="E620">
            <v>21.21</v>
          </cell>
          <cell r="F620">
            <v>200.26000000000002</v>
          </cell>
        </row>
        <row r="621">
          <cell r="A621">
            <v>80402</v>
          </cell>
          <cell r="B621" t="str">
            <v>Panos com CBUQ Faixa B</v>
          </cell>
          <cell r="C621" t="str">
            <v>m³</v>
          </cell>
          <cell r="D621">
            <v>184.19</v>
          </cell>
          <cell r="E621">
            <v>2.73</v>
          </cell>
          <cell r="F621">
            <v>186.92</v>
          </cell>
        </row>
        <row r="622">
          <cell r="A622">
            <v>80403</v>
          </cell>
          <cell r="B622" t="str">
            <v>Remendo Pavimento Flexível à Frio - Camada Acabada</v>
          </cell>
          <cell r="C622" t="str">
            <v>m³</v>
          </cell>
          <cell r="D622">
            <v>185.83</v>
          </cell>
          <cell r="E622">
            <v>45.01</v>
          </cell>
          <cell r="F622">
            <v>230.84</v>
          </cell>
        </row>
        <row r="623">
          <cell r="A623">
            <v>80404</v>
          </cell>
          <cell r="B623" t="str">
            <v>Remendo Pavimento Flexível com CBUQ - Camada Acabada</v>
          </cell>
          <cell r="C623" t="str">
            <v>m³</v>
          </cell>
          <cell r="D623">
            <v>197.61</v>
          </cell>
          <cell r="E623">
            <v>45.01</v>
          </cell>
          <cell r="F623">
            <v>242.62</v>
          </cell>
        </row>
        <row r="624">
          <cell r="A624">
            <v>80405</v>
          </cell>
          <cell r="B624" t="str">
            <v>Fresagem de Pavimento E=5cm</v>
          </cell>
          <cell r="C624" t="str">
            <v>m²</v>
          </cell>
          <cell r="D624">
            <v>2.7</v>
          </cell>
          <cell r="E624">
            <v>0.34</v>
          </cell>
          <cell r="F624">
            <v>3.04</v>
          </cell>
        </row>
        <row r="625">
          <cell r="A625">
            <v>80500</v>
          </cell>
          <cell r="B625" t="str">
            <v>Limpeza de Dispositivos de Drenagem</v>
          </cell>
          <cell r="D625">
            <v>0</v>
          </cell>
          <cell r="E625">
            <v>0</v>
          </cell>
        </row>
        <row r="626">
          <cell r="A626">
            <v>80501</v>
          </cell>
          <cell r="B626" t="str">
            <v>Limpeza de Drenagem de Plataforma OP-02-38</v>
          </cell>
          <cell r="C626" t="str">
            <v>m</v>
          </cell>
          <cell r="D626">
            <v>0.36</v>
          </cell>
          <cell r="E626">
            <v>0.59</v>
          </cell>
          <cell r="F626">
            <v>0.95</v>
          </cell>
        </row>
        <row r="627">
          <cell r="A627">
            <v>80502</v>
          </cell>
          <cell r="B627" t="str">
            <v>Limpeza de Drenagem de Plataforma OP-02-37</v>
          </cell>
          <cell r="C627" t="str">
            <v>m</v>
          </cell>
          <cell r="D627">
            <v>0.15</v>
          </cell>
          <cell r="E627">
            <v>0.46</v>
          </cell>
          <cell r="F627">
            <v>0.61</v>
          </cell>
        </row>
        <row r="628">
          <cell r="A628">
            <v>80503</v>
          </cell>
          <cell r="B628" t="str">
            <v>Limpeza Mecânica de Bueiros D=0,40m</v>
          </cell>
          <cell r="C628" t="str">
            <v>m</v>
          </cell>
          <cell r="D628">
            <v>8.3800000000000008</v>
          </cell>
          <cell r="E628">
            <v>6.55</v>
          </cell>
          <cell r="F628">
            <v>14.93</v>
          </cell>
        </row>
        <row r="629">
          <cell r="A629">
            <v>80504</v>
          </cell>
          <cell r="B629" t="str">
            <v>Limpeza Mecânica de Bueiros D=0,60m</v>
          </cell>
          <cell r="C629" t="str">
            <v>m</v>
          </cell>
          <cell r="D629">
            <v>9.2100000000000009</v>
          </cell>
          <cell r="E629">
            <v>7.26</v>
          </cell>
          <cell r="F629">
            <v>16.47</v>
          </cell>
        </row>
        <row r="630">
          <cell r="A630">
            <v>80505</v>
          </cell>
          <cell r="B630" t="str">
            <v>Limpeza Mecânica de Bueiros D=0,80m</v>
          </cell>
          <cell r="C630" t="str">
            <v>m</v>
          </cell>
          <cell r="D630">
            <v>10.46</v>
          </cell>
          <cell r="E630">
            <v>8.2200000000000006</v>
          </cell>
          <cell r="F630">
            <v>18.68</v>
          </cell>
        </row>
        <row r="631">
          <cell r="A631">
            <v>80506</v>
          </cell>
          <cell r="B631" t="str">
            <v>Limpeza Mecânica de Bueiros D=1,00m</v>
          </cell>
          <cell r="C631" t="str">
            <v>m</v>
          </cell>
          <cell r="D631">
            <v>11.96</v>
          </cell>
          <cell r="E631">
            <v>9.3699999999999992</v>
          </cell>
          <cell r="F631">
            <v>21.33</v>
          </cell>
        </row>
        <row r="632">
          <cell r="A632">
            <v>80507</v>
          </cell>
          <cell r="B632" t="str">
            <v>Limpeza Mecânica de Canais / Corta-Rios, Incluindo Transporte até 5km</v>
          </cell>
          <cell r="C632" t="str">
            <v>m</v>
          </cell>
          <cell r="D632">
            <v>20.16</v>
          </cell>
          <cell r="E632">
            <v>1.46</v>
          </cell>
          <cell r="F632">
            <v>21.62</v>
          </cell>
        </row>
        <row r="633">
          <cell r="A633">
            <v>80508</v>
          </cell>
          <cell r="B633" t="str">
            <v>Limpeza de Canteiro Central Pavimentado</v>
          </cell>
          <cell r="C633" t="str">
            <v>m²</v>
          </cell>
          <cell r="D633">
            <v>0.11</v>
          </cell>
          <cell r="E633">
            <v>0.19</v>
          </cell>
          <cell r="F633">
            <v>0.3</v>
          </cell>
        </row>
        <row r="634">
          <cell r="A634">
            <v>80509</v>
          </cell>
          <cell r="B634" t="str">
            <v>Lavagem e Limpeza de Superfície de Revestimento dos Túneis</v>
          </cell>
          <cell r="C634" t="str">
            <v>m²</v>
          </cell>
          <cell r="D634">
            <v>0.22</v>
          </cell>
          <cell r="E634">
            <v>0.09</v>
          </cell>
          <cell r="F634">
            <v>0.31</v>
          </cell>
        </row>
        <row r="635">
          <cell r="A635">
            <v>80510</v>
          </cell>
          <cell r="B635" t="str">
            <v>Pintura de Revestimento de Superfície de Túneis com Resina PVA</v>
          </cell>
          <cell r="C635" t="str">
            <v>m²</v>
          </cell>
          <cell r="D635">
            <v>3.2</v>
          </cell>
          <cell r="E635">
            <v>4.17</v>
          </cell>
          <cell r="F635">
            <v>7.37</v>
          </cell>
        </row>
        <row r="636">
          <cell r="A636">
            <v>80600</v>
          </cell>
          <cell r="B636" t="str">
            <v>Limpeza de Sinalização / Elementos de Segurança</v>
          </cell>
          <cell r="D636">
            <v>0</v>
          </cell>
          <cell r="E636">
            <v>0</v>
          </cell>
        </row>
        <row r="637">
          <cell r="A637">
            <v>80601</v>
          </cell>
          <cell r="B637" t="str">
            <v>Limpeza de Placas de Sinalização</v>
          </cell>
          <cell r="C637" t="str">
            <v>m²</v>
          </cell>
          <cell r="D637">
            <v>1.7</v>
          </cell>
          <cell r="E637">
            <v>0.93</v>
          </cell>
          <cell r="F637">
            <v>2.63</v>
          </cell>
        </row>
        <row r="638">
          <cell r="A638">
            <v>80602</v>
          </cell>
          <cell r="B638" t="str">
            <v>Limpeza e Lavagem de Defensas de Concreto</v>
          </cell>
          <cell r="C638" t="str">
            <v>m²</v>
          </cell>
          <cell r="D638">
            <v>1.1299999999999999</v>
          </cell>
          <cell r="E638">
            <v>0.09</v>
          </cell>
          <cell r="F638">
            <v>1.22</v>
          </cell>
        </row>
        <row r="639">
          <cell r="A639">
            <v>80603</v>
          </cell>
          <cell r="B639" t="str">
            <v>Limpeza / Pintura de Balaustre/Tubo de Guarda-Corpo</v>
          </cell>
          <cell r="C639" t="str">
            <v>m</v>
          </cell>
          <cell r="D639">
            <v>4.0199999999999996</v>
          </cell>
          <cell r="E639">
            <v>2.3199999999999998</v>
          </cell>
          <cell r="F639">
            <v>6.34</v>
          </cell>
        </row>
        <row r="640">
          <cell r="A640">
            <v>80700</v>
          </cell>
          <cell r="B640" t="str">
            <v>Reparos de Elementos de Segurança</v>
          </cell>
          <cell r="D640">
            <v>0</v>
          </cell>
          <cell r="E640">
            <v>0</v>
          </cell>
        </row>
        <row r="641">
          <cell r="A641">
            <v>80701</v>
          </cell>
          <cell r="B641" t="str">
            <v>Reparos em Defensas ABNT OP-02-24</v>
          </cell>
          <cell r="C641" t="str">
            <v>m</v>
          </cell>
          <cell r="D641">
            <v>9.1</v>
          </cell>
          <cell r="E641">
            <v>6.12</v>
          </cell>
          <cell r="F641">
            <v>15.219999999999999</v>
          </cell>
        </row>
        <row r="642">
          <cell r="A642">
            <v>80702</v>
          </cell>
          <cell r="B642" t="str">
            <v>Reparos em Defensas ARMCO</v>
          </cell>
          <cell r="C642" t="str">
            <v>m</v>
          </cell>
          <cell r="D642">
            <v>4.58</v>
          </cell>
          <cell r="E642">
            <v>6.12</v>
          </cell>
          <cell r="F642">
            <v>10.7</v>
          </cell>
        </row>
        <row r="643">
          <cell r="A643">
            <v>80703</v>
          </cell>
          <cell r="B643" t="str">
            <v>Reparos em Lâmina Anti-Ofuscante OP-02-26</v>
          </cell>
          <cell r="C643" t="str">
            <v>m</v>
          </cell>
          <cell r="D643">
            <v>2.11</v>
          </cell>
          <cell r="E643">
            <v>2.81</v>
          </cell>
          <cell r="F643">
            <v>4.92</v>
          </cell>
        </row>
        <row r="644">
          <cell r="A644">
            <v>80704</v>
          </cell>
          <cell r="B644" t="str">
            <v>Reparos em Tela Anti-Ofuscante OP-02-27</v>
          </cell>
          <cell r="C644" t="str">
            <v>m</v>
          </cell>
          <cell r="D644">
            <v>7.78</v>
          </cell>
          <cell r="E644">
            <v>10.48</v>
          </cell>
          <cell r="F644">
            <v>18.260000000000002</v>
          </cell>
        </row>
        <row r="645">
          <cell r="A645">
            <v>90000</v>
          </cell>
          <cell r="B645" t="str">
            <v>Edificações</v>
          </cell>
          <cell r="D645">
            <v>0</v>
          </cell>
          <cell r="E645">
            <v>0</v>
          </cell>
        </row>
        <row r="646">
          <cell r="A646">
            <v>90100</v>
          </cell>
          <cell r="B646" t="str">
            <v>Serviços Gerais</v>
          </cell>
          <cell r="D646">
            <v>0</v>
          </cell>
          <cell r="E646">
            <v>0</v>
          </cell>
        </row>
        <row r="647">
          <cell r="A647">
            <v>90101</v>
          </cell>
          <cell r="B647" t="str">
            <v>Apicoamento/Limpeza de Superfície / Alvenaria</v>
          </cell>
          <cell r="C647" t="str">
            <v>m²</v>
          </cell>
          <cell r="D647">
            <v>0.59</v>
          </cell>
          <cell r="E647">
            <v>4.17</v>
          </cell>
          <cell r="F647">
            <v>4.76</v>
          </cell>
        </row>
        <row r="648">
          <cell r="A648">
            <v>90102</v>
          </cell>
          <cell r="B648" t="str">
            <v>Demolição de Edificações em Alvenaria</v>
          </cell>
          <cell r="C648" t="str">
            <v>m²</v>
          </cell>
          <cell r="D648">
            <v>31.62</v>
          </cell>
          <cell r="E648">
            <v>1.77</v>
          </cell>
          <cell r="F648">
            <v>33.39</v>
          </cell>
        </row>
        <row r="649">
          <cell r="A649">
            <v>90103</v>
          </cell>
          <cell r="B649" t="str">
            <v>Demolição de Edificações em Madeira</v>
          </cell>
          <cell r="C649" t="str">
            <v>m²</v>
          </cell>
          <cell r="D649">
            <v>1.43</v>
          </cell>
          <cell r="E649">
            <v>6.3</v>
          </cell>
          <cell r="F649">
            <v>7.7299999999999995</v>
          </cell>
        </row>
        <row r="650">
          <cell r="A650">
            <v>90104</v>
          </cell>
          <cell r="B650" t="str">
            <v>Remoção de Cerâmica</v>
          </cell>
          <cell r="C650" t="str">
            <v>m²</v>
          </cell>
          <cell r="D650">
            <v>0.24</v>
          </cell>
          <cell r="E650">
            <v>2.94</v>
          </cell>
          <cell r="F650">
            <v>3.1799999999999997</v>
          </cell>
        </row>
        <row r="651">
          <cell r="A651">
            <v>90105</v>
          </cell>
          <cell r="B651" t="str">
            <v>Remoção de Revestimento em Azulejo</v>
          </cell>
          <cell r="C651" t="str">
            <v>m²</v>
          </cell>
          <cell r="D651">
            <v>0.24</v>
          </cell>
          <cell r="E651">
            <v>2.94</v>
          </cell>
          <cell r="F651">
            <v>3.1799999999999997</v>
          </cell>
        </row>
        <row r="652">
          <cell r="A652">
            <v>90106</v>
          </cell>
          <cell r="B652" t="str">
            <v>Remoção de Paviflex</v>
          </cell>
          <cell r="C652" t="str">
            <v>m²</v>
          </cell>
          <cell r="D652">
            <v>0.09</v>
          </cell>
          <cell r="E652">
            <v>1.17</v>
          </cell>
          <cell r="F652">
            <v>1.26</v>
          </cell>
        </row>
        <row r="653">
          <cell r="A653">
            <v>90107</v>
          </cell>
          <cell r="B653" t="str">
            <v>Retirada de Aparelhos Sanitários</v>
          </cell>
          <cell r="C653" t="str">
            <v>un</v>
          </cell>
          <cell r="D653">
            <v>0.09</v>
          </cell>
          <cell r="E653">
            <v>10.67</v>
          </cell>
          <cell r="F653">
            <v>10.76</v>
          </cell>
        </row>
        <row r="654">
          <cell r="A654">
            <v>90108</v>
          </cell>
          <cell r="B654" t="str">
            <v>Substituição de Cumeeira de Fibrocimento 90 Tipo "SHED"</v>
          </cell>
          <cell r="C654" t="str">
            <v>un</v>
          </cell>
          <cell r="D654">
            <v>13.01</v>
          </cell>
          <cell r="E654">
            <v>2.04</v>
          </cell>
          <cell r="F654">
            <v>15.05</v>
          </cell>
        </row>
        <row r="655">
          <cell r="A655">
            <v>90200</v>
          </cell>
          <cell r="B655" t="str">
            <v>Alvenaria</v>
          </cell>
          <cell r="D655">
            <v>0</v>
          </cell>
          <cell r="E655">
            <v>0</v>
          </cell>
        </row>
        <row r="656">
          <cell r="A656">
            <v>90201</v>
          </cell>
          <cell r="B656" t="str">
            <v>Bloco de Concreto Aparente 11,5 x 19 x 39 cm</v>
          </cell>
          <cell r="C656" t="str">
            <v>m²</v>
          </cell>
          <cell r="D656">
            <v>21.88</v>
          </cell>
          <cell r="E656">
            <v>10.35</v>
          </cell>
          <cell r="F656">
            <v>32.229999999999997</v>
          </cell>
        </row>
        <row r="657">
          <cell r="A657">
            <v>90202</v>
          </cell>
          <cell r="B657" t="str">
            <v>Bloco de Concreto Não Aparente 9 x 19 x 39 cm</v>
          </cell>
          <cell r="C657" t="str">
            <v>m²</v>
          </cell>
          <cell r="D657">
            <v>14.67</v>
          </cell>
          <cell r="E657">
            <v>10.35</v>
          </cell>
          <cell r="F657">
            <v>25.02</v>
          </cell>
        </row>
        <row r="658">
          <cell r="A658">
            <v>90203</v>
          </cell>
          <cell r="B658" t="str">
            <v>Bloco de Concreto Não Aparente 15 x 20 x 40 cm</v>
          </cell>
          <cell r="C658" t="str">
            <v>m²</v>
          </cell>
          <cell r="D658">
            <v>18</v>
          </cell>
          <cell r="E658">
            <v>10.76</v>
          </cell>
          <cell r="F658">
            <v>28.759999999999998</v>
          </cell>
        </row>
        <row r="659">
          <cell r="A659">
            <v>90204</v>
          </cell>
          <cell r="B659" t="str">
            <v>Bloco de Concreto Não Aparente 20 x 20 x 40 cm</v>
          </cell>
          <cell r="C659" t="str">
            <v>m²</v>
          </cell>
          <cell r="D659">
            <v>29.21</v>
          </cell>
          <cell r="E659">
            <v>13.47</v>
          </cell>
          <cell r="F659">
            <v>42.68</v>
          </cell>
        </row>
        <row r="660">
          <cell r="A660">
            <v>90205</v>
          </cell>
          <cell r="B660" t="str">
            <v>Bloco de Vidro 20 x 20 x 10 cm, Tipo B IBRAVIR</v>
          </cell>
          <cell r="C660" t="str">
            <v>m²</v>
          </cell>
          <cell r="D660">
            <v>319.26</v>
          </cell>
          <cell r="E660">
            <v>66.650000000000006</v>
          </cell>
          <cell r="F660">
            <v>385.90999999999997</v>
          </cell>
        </row>
        <row r="661">
          <cell r="A661">
            <v>90206</v>
          </cell>
          <cell r="B661" t="str">
            <v>Bloco Não Aparente 0,15m com Chapisco, Emboço e Reboco - 2 Lados</v>
          </cell>
          <cell r="C661" t="str">
            <v>m²</v>
          </cell>
          <cell r="D661">
            <v>19.95</v>
          </cell>
          <cell r="E661">
            <v>44.79</v>
          </cell>
          <cell r="F661">
            <v>64.739999999999995</v>
          </cell>
        </row>
        <row r="662">
          <cell r="A662">
            <v>90207</v>
          </cell>
          <cell r="B662" t="str">
            <v>Bloco Não Aparente 0,20m com Chapisco, Emboço e Reboco - 2 Lados</v>
          </cell>
          <cell r="C662" t="str">
            <v>m²</v>
          </cell>
          <cell r="D662">
            <v>31.01</v>
          </cell>
          <cell r="E662">
            <v>46.8</v>
          </cell>
          <cell r="F662">
            <v>77.81</v>
          </cell>
        </row>
        <row r="663">
          <cell r="A663">
            <v>90208</v>
          </cell>
          <cell r="B663" t="str">
            <v>Divisória de Granilite E=4cm</v>
          </cell>
          <cell r="C663" t="str">
            <v>m²</v>
          </cell>
          <cell r="D663">
            <v>83.27</v>
          </cell>
          <cell r="E663">
            <v>39.76</v>
          </cell>
          <cell r="F663">
            <v>123.03</v>
          </cell>
        </row>
        <row r="664">
          <cell r="A664">
            <v>90209</v>
          </cell>
          <cell r="B664" t="str">
            <v>Divisória Melamínica Texturizada com Vidro e Bandeira</v>
          </cell>
          <cell r="C664" t="str">
            <v>m²</v>
          </cell>
          <cell r="D664">
            <v>0</v>
          </cell>
          <cell r="E664">
            <v>200.95</v>
          </cell>
          <cell r="F664">
            <v>200.95</v>
          </cell>
        </row>
        <row r="665">
          <cell r="A665">
            <v>90210</v>
          </cell>
          <cell r="B665" t="str">
            <v>Elemento Vazado 19 x 20 x 10 cm, ref. 16 "NEO REX", 1:3</v>
          </cell>
          <cell r="C665" t="str">
            <v>m²</v>
          </cell>
          <cell r="D665">
            <v>17.13</v>
          </cell>
          <cell r="E665">
            <v>25.33</v>
          </cell>
          <cell r="F665">
            <v>42.459999999999994</v>
          </cell>
        </row>
        <row r="666">
          <cell r="A666">
            <v>90211</v>
          </cell>
          <cell r="B666" t="str">
            <v>Elemento Vazado 40 x 40 x 10 cm, ref. 78A "NEO REX"</v>
          </cell>
          <cell r="C666" t="str">
            <v>m²</v>
          </cell>
          <cell r="D666">
            <v>31.89</v>
          </cell>
          <cell r="E666">
            <v>19.260000000000002</v>
          </cell>
          <cell r="F666">
            <v>51.150000000000006</v>
          </cell>
        </row>
        <row r="667">
          <cell r="A667">
            <v>90212</v>
          </cell>
          <cell r="B667" t="str">
            <v>Alvenaria de Tijolos Comuns - E=1 Tijolo</v>
          </cell>
          <cell r="C667" t="str">
            <v>m²</v>
          </cell>
          <cell r="D667">
            <v>24.27</v>
          </cell>
          <cell r="E667">
            <v>28.78</v>
          </cell>
          <cell r="F667">
            <v>53.05</v>
          </cell>
        </row>
        <row r="668">
          <cell r="A668">
            <v>90213</v>
          </cell>
          <cell r="B668" t="str">
            <v>Alvenaria de Tijolos Comuns - E=1/2 Tijolo</v>
          </cell>
          <cell r="C668" t="str">
            <v>m²</v>
          </cell>
          <cell r="D668">
            <v>11.96</v>
          </cell>
          <cell r="E668">
            <v>17.25</v>
          </cell>
          <cell r="F668">
            <v>29.21</v>
          </cell>
        </row>
        <row r="669">
          <cell r="A669">
            <v>90214</v>
          </cell>
          <cell r="B669" t="str">
            <v>Alvenaria de Tijolos Comuns - E=1/4 Tijolo</v>
          </cell>
          <cell r="C669" t="str">
            <v>m²</v>
          </cell>
          <cell r="D669">
            <v>5.55</v>
          </cell>
          <cell r="E669">
            <v>11.34</v>
          </cell>
          <cell r="F669">
            <v>16.89</v>
          </cell>
        </row>
        <row r="670">
          <cell r="A670">
            <v>90300</v>
          </cell>
          <cell r="B670" t="str">
            <v>Revestimento / Piso</v>
          </cell>
          <cell r="D670">
            <v>0</v>
          </cell>
          <cell r="E670">
            <v>0</v>
          </cell>
        </row>
        <row r="671">
          <cell r="A671">
            <v>90301</v>
          </cell>
          <cell r="B671" t="str">
            <v>Azulejo Branco 15 x 15 cm, Assentado com Argamassa Traço 1:3</v>
          </cell>
          <cell r="C671" t="str">
            <v>m²</v>
          </cell>
          <cell r="D671">
            <v>14.7</v>
          </cell>
          <cell r="E671">
            <v>14.26</v>
          </cell>
          <cell r="F671">
            <v>28.96</v>
          </cell>
        </row>
        <row r="672">
          <cell r="A672">
            <v>90302</v>
          </cell>
          <cell r="B672" t="str">
            <v>Cerâmica 20 x 20 cm com Contra-Piso</v>
          </cell>
          <cell r="C672" t="str">
            <v>m²</v>
          </cell>
          <cell r="D672">
            <v>39.29</v>
          </cell>
          <cell r="E672">
            <v>30.24</v>
          </cell>
          <cell r="F672">
            <v>69.53</v>
          </cell>
        </row>
        <row r="673">
          <cell r="A673">
            <v>90303</v>
          </cell>
          <cell r="B673" t="str">
            <v>Cerâmica Gail 11,5 x 24 cm com Rejuntamento Anti-Ácido</v>
          </cell>
          <cell r="C673" t="str">
            <v>m²</v>
          </cell>
          <cell r="D673">
            <v>60.53</v>
          </cell>
          <cell r="E673">
            <v>18.52</v>
          </cell>
          <cell r="F673">
            <v>79.05</v>
          </cell>
        </row>
        <row r="674">
          <cell r="A674">
            <v>90304</v>
          </cell>
          <cell r="B674" t="str">
            <v>Chapisco para Forros</v>
          </cell>
          <cell r="C674" t="str">
            <v>m²</v>
          </cell>
          <cell r="D674">
            <v>0.84</v>
          </cell>
          <cell r="E674">
            <v>5.0999999999999996</v>
          </cell>
          <cell r="F674">
            <v>5.9399999999999995</v>
          </cell>
        </row>
        <row r="675">
          <cell r="A675">
            <v>90305</v>
          </cell>
          <cell r="B675" t="str">
            <v>Chapisco para Paredes - Traço 1:3</v>
          </cell>
          <cell r="C675" t="str">
            <v>m²</v>
          </cell>
          <cell r="D675">
            <v>0.35</v>
          </cell>
          <cell r="E675">
            <v>3.33</v>
          </cell>
          <cell r="F675">
            <v>3.68</v>
          </cell>
        </row>
        <row r="676">
          <cell r="A676">
            <v>90306</v>
          </cell>
          <cell r="B676" t="str">
            <v>Chapisco, Emboço e Reboco para Paredes</v>
          </cell>
          <cell r="C676" t="str">
            <v>m²</v>
          </cell>
          <cell r="D676">
            <v>5.2</v>
          </cell>
          <cell r="E676">
            <v>18.670000000000002</v>
          </cell>
          <cell r="F676">
            <v>23.87</v>
          </cell>
        </row>
        <row r="677">
          <cell r="A677">
            <v>90307</v>
          </cell>
          <cell r="B677" t="str">
            <v xml:space="preserve">Contra-Piso com Concreto 9 Mpa, Incl. Compactação de Base E=8cm </v>
          </cell>
          <cell r="C677" t="str">
            <v>m²</v>
          </cell>
          <cell r="D677">
            <v>13.84</v>
          </cell>
          <cell r="E677">
            <v>6.28</v>
          </cell>
          <cell r="F677">
            <v>20.12</v>
          </cell>
        </row>
        <row r="678">
          <cell r="A678">
            <v>90308</v>
          </cell>
          <cell r="B678" t="str">
            <v>Emboço para Forros</v>
          </cell>
          <cell r="C678" t="str">
            <v>m²</v>
          </cell>
          <cell r="D678">
            <v>1.49</v>
          </cell>
          <cell r="E678">
            <v>14.74</v>
          </cell>
          <cell r="F678">
            <v>16.23</v>
          </cell>
        </row>
        <row r="679">
          <cell r="A679">
            <v>90309</v>
          </cell>
          <cell r="B679" t="str">
            <v>Pastilha 5 x 5 cm Esmaltada, ref. "NGK"</v>
          </cell>
          <cell r="C679" t="str">
            <v>m²</v>
          </cell>
          <cell r="D679">
            <v>40.409999999999997</v>
          </cell>
          <cell r="E679">
            <v>22.94</v>
          </cell>
          <cell r="F679">
            <v>63.349999999999994</v>
          </cell>
        </row>
        <row r="680">
          <cell r="A680">
            <v>90310</v>
          </cell>
          <cell r="B680" t="str">
            <v>Peitoril Pré-Moldado de Concreto - 0,16 x 0,04 m</v>
          </cell>
          <cell r="C680" t="str">
            <v>m</v>
          </cell>
          <cell r="D680">
            <v>6.91</v>
          </cell>
          <cell r="E680">
            <v>9.8000000000000007</v>
          </cell>
          <cell r="F680">
            <v>16.71</v>
          </cell>
        </row>
        <row r="681">
          <cell r="A681">
            <v>90311</v>
          </cell>
          <cell r="B681" t="str">
            <v>Peitoril Pré-Moldado de Concreto - 0,15 x 0,04 m</v>
          </cell>
          <cell r="C681" t="str">
            <v>m</v>
          </cell>
          <cell r="D681">
            <v>5.37</v>
          </cell>
          <cell r="E681">
            <v>12.3</v>
          </cell>
          <cell r="F681">
            <v>17.670000000000002</v>
          </cell>
        </row>
        <row r="682">
          <cell r="A682">
            <v>90312</v>
          </cell>
          <cell r="B682" t="str">
            <v>Peitoril Pré-Moldado de Concreto - 0,20 x 0,04 m</v>
          </cell>
          <cell r="C682" t="str">
            <v>m</v>
          </cell>
          <cell r="D682">
            <v>7.36</v>
          </cell>
          <cell r="E682">
            <v>12.15</v>
          </cell>
          <cell r="F682">
            <v>19.510000000000002</v>
          </cell>
        </row>
        <row r="683">
          <cell r="A683">
            <v>90313</v>
          </cell>
          <cell r="B683" t="str">
            <v>Peitoril Pré-Moldado de Concreto - 0,26 x 0,04 m</v>
          </cell>
          <cell r="C683" t="str">
            <v>m</v>
          </cell>
          <cell r="D683">
            <v>6.93</v>
          </cell>
          <cell r="E683">
            <v>15.74</v>
          </cell>
          <cell r="F683">
            <v>22.67</v>
          </cell>
        </row>
        <row r="684">
          <cell r="A684">
            <v>90314</v>
          </cell>
          <cell r="B684" t="str">
            <v>Piso Cerâmico 15 x 15 cm - Traço 1:3</v>
          </cell>
          <cell r="C684" t="str">
            <v>m²</v>
          </cell>
          <cell r="D684">
            <v>30.87</v>
          </cell>
          <cell r="E684">
            <v>10.79</v>
          </cell>
          <cell r="F684">
            <v>41.66</v>
          </cell>
        </row>
        <row r="685">
          <cell r="A685">
            <v>90315</v>
          </cell>
          <cell r="B685" t="str">
            <v>Piso Cerâmico Portobello 20 x 20 cm - Traço 1:5</v>
          </cell>
          <cell r="C685" t="str">
            <v>m²</v>
          </cell>
          <cell r="D685">
            <v>31.55</v>
          </cell>
          <cell r="E685">
            <v>18.52</v>
          </cell>
          <cell r="F685">
            <v>50.07</v>
          </cell>
        </row>
        <row r="686">
          <cell r="A686">
            <v>90316</v>
          </cell>
          <cell r="B686" t="str">
            <v>Piso de Borracha Plurigoma (GD15) -Traço 1:2</v>
          </cell>
          <cell r="C686" t="str">
            <v>m²</v>
          </cell>
          <cell r="D686">
            <v>48.74</v>
          </cell>
          <cell r="E686">
            <v>7.64</v>
          </cell>
          <cell r="F686">
            <v>56.38</v>
          </cell>
        </row>
        <row r="687">
          <cell r="A687">
            <v>90317</v>
          </cell>
          <cell r="B687" t="str">
            <v>Piso de Cimento Queimado</v>
          </cell>
          <cell r="C687" t="str">
            <v>m²</v>
          </cell>
          <cell r="D687">
            <v>1.47</v>
          </cell>
          <cell r="E687">
            <v>12.37</v>
          </cell>
          <cell r="F687">
            <v>13.84</v>
          </cell>
        </row>
        <row r="688">
          <cell r="A688">
            <v>90318</v>
          </cell>
          <cell r="B688" t="str">
            <v>Piso Vinílico com Contra-Piso E=6cm</v>
          </cell>
          <cell r="C688" t="str">
            <v>m²</v>
          </cell>
          <cell r="D688">
            <v>25.34</v>
          </cell>
          <cell r="E688">
            <v>12.51</v>
          </cell>
          <cell r="F688">
            <v>37.85</v>
          </cell>
        </row>
        <row r="689">
          <cell r="A689">
            <v>90319</v>
          </cell>
          <cell r="B689" t="str">
            <v>Piso Vinílico Incluído Rodapé e Contra-Piso</v>
          </cell>
          <cell r="C689" t="str">
            <v>m²</v>
          </cell>
          <cell r="D689">
            <v>25.68</v>
          </cell>
          <cell r="E689">
            <v>14.53</v>
          </cell>
          <cell r="F689">
            <v>40.21</v>
          </cell>
        </row>
        <row r="690">
          <cell r="A690">
            <v>90320</v>
          </cell>
          <cell r="B690" t="str">
            <v>Revestimento de Piso em Placa Vinílica 0,30 x 0,30 m com E=2mm</v>
          </cell>
          <cell r="C690" t="str">
            <v>m²</v>
          </cell>
          <cell r="D690">
            <v>13.89</v>
          </cell>
          <cell r="E690">
            <v>14.53</v>
          </cell>
          <cell r="F690">
            <v>28.42</v>
          </cell>
        </row>
        <row r="691">
          <cell r="A691">
            <v>90321</v>
          </cell>
          <cell r="B691" t="str">
            <v>Revestimento Monolítico com Grama N.01 - FULGET</v>
          </cell>
          <cell r="C691" t="str">
            <v>m²</v>
          </cell>
          <cell r="D691">
            <v>31.19</v>
          </cell>
          <cell r="E691">
            <v>2.23</v>
          </cell>
          <cell r="F691">
            <v>33.42</v>
          </cell>
        </row>
        <row r="692">
          <cell r="A692">
            <v>90322</v>
          </cell>
          <cell r="B692" t="str">
            <v>Rodapé em Cerâmica 8 x 30 cm</v>
          </cell>
          <cell r="C692" t="str">
            <v>m</v>
          </cell>
          <cell r="D692">
            <v>10.99</v>
          </cell>
          <cell r="E692">
            <v>8.6300000000000008</v>
          </cell>
          <cell r="F692">
            <v>19.62</v>
          </cell>
        </row>
        <row r="693">
          <cell r="A693">
            <v>90323</v>
          </cell>
          <cell r="B693" t="str">
            <v>Rodapé Vinílico Paviflex H=7,5cm</v>
          </cell>
          <cell r="C693" t="str">
            <v>m</v>
          </cell>
          <cell r="D693">
            <v>7.32</v>
          </cell>
          <cell r="E693">
            <v>7.38</v>
          </cell>
          <cell r="F693">
            <v>14.7</v>
          </cell>
        </row>
        <row r="694">
          <cell r="A694">
            <v>90324</v>
          </cell>
          <cell r="B694" t="str">
            <v>Soleira Pré-Moldada de Concreto 0,15 x 0,03 m (LXE)</v>
          </cell>
          <cell r="C694" t="str">
            <v>m</v>
          </cell>
          <cell r="D694">
            <v>4.8499999999999996</v>
          </cell>
          <cell r="E694">
            <v>9.3699999999999992</v>
          </cell>
          <cell r="F694">
            <v>14.219999999999999</v>
          </cell>
        </row>
        <row r="695">
          <cell r="A695">
            <v>90325</v>
          </cell>
          <cell r="B695" t="str">
            <v>Soleira Pré-Moldada de Concreto 0,23 x 0,03 m (LXE)</v>
          </cell>
          <cell r="C695" t="str">
            <v>m</v>
          </cell>
          <cell r="D695">
            <v>6.47</v>
          </cell>
          <cell r="E695">
            <v>14.22</v>
          </cell>
          <cell r="F695">
            <v>20.69</v>
          </cell>
        </row>
        <row r="696">
          <cell r="A696">
            <v>90400</v>
          </cell>
          <cell r="B696" t="str">
            <v>Impermeabilização</v>
          </cell>
          <cell r="D696">
            <v>0</v>
          </cell>
          <cell r="E696">
            <v>0</v>
          </cell>
        </row>
        <row r="697">
          <cell r="A697">
            <v>90401</v>
          </cell>
          <cell r="B697" t="str">
            <v>Argamassa de Regularização com Impermeabilizante Tipo VEDACIT</v>
          </cell>
          <cell r="C697" t="str">
            <v>m²</v>
          </cell>
          <cell r="D697">
            <v>8.17</v>
          </cell>
          <cell r="E697">
            <v>5.01</v>
          </cell>
          <cell r="F697">
            <v>13.18</v>
          </cell>
        </row>
        <row r="698">
          <cell r="A698">
            <v>90402</v>
          </cell>
          <cell r="B698" t="str">
            <v>Argamassa de Regularização para Calhas - Traço 1:3</v>
          </cell>
          <cell r="C698" t="str">
            <v>m²</v>
          </cell>
          <cell r="D698">
            <v>3.38</v>
          </cell>
          <cell r="E698">
            <v>17.04</v>
          </cell>
          <cell r="F698">
            <v>20.419999999999998</v>
          </cell>
        </row>
        <row r="699">
          <cell r="A699">
            <v>90403</v>
          </cell>
          <cell r="B699" t="str">
            <v>Argamassa para Respaldo de Fundação com VEDACIT / SIKA 1</v>
          </cell>
          <cell r="C699" t="str">
            <v>m²</v>
          </cell>
          <cell r="D699">
            <v>5.78</v>
          </cell>
          <cell r="E699">
            <v>13.85</v>
          </cell>
          <cell r="F699">
            <v>19.63</v>
          </cell>
        </row>
        <row r="700">
          <cell r="A700">
            <v>90404</v>
          </cell>
          <cell r="B700" t="str">
            <v>Impermeabilização de Fundação / Laje / Lastro / Alvenaria</v>
          </cell>
          <cell r="C700" t="str">
            <v>m²</v>
          </cell>
          <cell r="D700">
            <v>5.17</v>
          </cell>
          <cell r="E700">
            <v>13.85</v>
          </cell>
          <cell r="F700">
            <v>19.02</v>
          </cell>
        </row>
        <row r="701">
          <cell r="A701">
            <v>90405</v>
          </cell>
          <cell r="B701" t="str">
            <v>Impermeabilização de Paredes do Reservatório Subterrâneo</v>
          </cell>
          <cell r="C701" t="str">
            <v>m²</v>
          </cell>
          <cell r="D701">
            <v>7.65</v>
          </cell>
          <cell r="E701">
            <v>15.17</v>
          </cell>
          <cell r="F701">
            <v>22.82</v>
          </cell>
        </row>
        <row r="702">
          <cell r="A702">
            <v>90406</v>
          </cell>
          <cell r="B702" t="str">
            <v>Impermeabilização com 6 Demãos de VEDAPREM Branco</v>
          </cell>
          <cell r="C702" t="str">
            <v>m²</v>
          </cell>
          <cell r="D702">
            <v>14.81</v>
          </cell>
          <cell r="E702">
            <v>9.3699999999999992</v>
          </cell>
          <cell r="F702">
            <v>24.18</v>
          </cell>
        </row>
        <row r="703">
          <cell r="A703">
            <v>90407</v>
          </cell>
          <cell r="B703" t="str">
            <v>Impermeabilização de Laje de Cobertura com NEUTROL</v>
          </cell>
          <cell r="C703" t="str">
            <v>m²</v>
          </cell>
          <cell r="D703">
            <v>2.0699999999999998</v>
          </cell>
          <cell r="E703">
            <v>1.49</v>
          </cell>
          <cell r="F703">
            <v>3.5599999999999996</v>
          </cell>
        </row>
        <row r="704">
          <cell r="A704">
            <v>90408</v>
          </cell>
          <cell r="B704" t="str">
            <v>Papel KRAFT para Impermeabilização</v>
          </cell>
          <cell r="C704" t="str">
            <v>m²</v>
          </cell>
          <cell r="D704">
            <v>1.1599999999999999</v>
          </cell>
          <cell r="E704">
            <v>11.12</v>
          </cell>
          <cell r="F704">
            <v>12.28</v>
          </cell>
        </row>
        <row r="705">
          <cell r="A705">
            <v>90500</v>
          </cell>
          <cell r="B705" t="str">
            <v>Esquadrias / Ferragens</v>
          </cell>
          <cell r="D705">
            <v>0</v>
          </cell>
          <cell r="E705">
            <v>0</v>
          </cell>
        </row>
        <row r="706">
          <cell r="A706">
            <v>90501</v>
          </cell>
          <cell r="B706" t="str">
            <v>Batentes em Perfil de Alumínio Anodizado cód. E-665</v>
          </cell>
          <cell r="C706" t="str">
            <v>un</v>
          </cell>
          <cell r="D706">
            <v>92.48</v>
          </cell>
          <cell r="E706">
            <v>7.38</v>
          </cell>
          <cell r="F706">
            <v>99.86</v>
          </cell>
        </row>
        <row r="707">
          <cell r="A707">
            <v>90502</v>
          </cell>
          <cell r="B707" t="str">
            <v>Esquadrias de Madeira - Janelas</v>
          </cell>
          <cell r="C707" t="str">
            <v>un</v>
          </cell>
          <cell r="D707">
            <v>297</v>
          </cell>
          <cell r="E707">
            <v>106.19</v>
          </cell>
          <cell r="F707">
            <v>403.19</v>
          </cell>
        </row>
        <row r="708">
          <cell r="A708">
            <v>90503</v>
          </cell>
          <cell r="B708" t="str">
            <v>Fechadura de Embutir com Cilindro Oval e Maçaneta</v>
          </cell>
          <cell r="C708" t="str">
            <v>un</v>
          </cell>
          <cell r="D708">
            <v>55.35</v>
          </cell>
          <cell r="E708">
            <v>9.15</v>
          </cell>
          <cell r="F708">
            <v>64.5</v>
          </cell>
        </row>
        <row r="709">
          <cell r="A709">
            <v>90504</v>
          </cell>
          <cell r="B709" t="str">
            <v>Fechadura Tipo Sarjeta de Sobrepor com Disco</v>
          </cell>
          <cell r="C709" t="str">
            <v>un</v>
          </cell>
          <cell r="D709">
            <v>35.549999999999997</v>
          </cell>
          <cell r="E709">
            <v>9.15</v>
          </cell>
          <cell r="F709">
            <v>44.699999999999996</v>
          </cell>
        </row>
        <row r="710">
          <cell r="A710">
            <v>90505</v>
          </cell>
          <cell r="B710" t="str">
            <v>Fechadura Tipo Tranqueta e Maçaneta Tipo Alavanca</v>
          </cell>
          <cell r="C710" t="str">
            <v>un</v>
          </cell>
          <cell r="D710">
            <v>40.229999999999997</v>
          </cell>
          <cell r="E710">
            <v>9.15</v>
          </cell>
          <cell r="F710">
            <v>49.379999999999995</v>
          </cell>
        </row>
        <row r="711">
          <cell r="A711">
            <v>90506</v>
          </cell>
          <cell r="B711" t="str">
            <v>Porta Contra-Placada Lisa para Pintura 0,80 x 2,10 m</v>
          </cell>
          <cell r="C711" t="str">
            <v>un</v>
          </cell>
          <cell r="D711">
            <v>99.9</v>
          </cell>
          <cell r="E711">
            <v>104.58</v>
          </cell>
          <cell r="F711">
            <v>204.48000000000002</v>
          </cell>
        </row>
        <row r="712">
          <cell r="A712">
            <v>90507</v>
          </cell>
          <cell r="B712" t="str">
            <v>Porta Contra-Placada Lisa para Pintura 0,70 x 2,10 m</v>
          </cell>
          <cell r="C712" t="str">
            <v>un</v>
          </cell>
          <cell r="D712">
            <v>99.25</v>
          </cell>
          <cell r="E712">
            <v>93.39</v>
          </cell>
          <cell r="F712">
            <v>192.64</v>
          </cell>
        </row>
        <row r="713">
          <cell r="A713">
            <v>90508</v>
          </cell>
          <cell r="B713" t="str">
            <v>Porta Contra-Placada Lisa para Pintura 0,90 x 2,10 m</v>
          </cell>
          <cell r="C713" t="str">
            <v>un</v>
          </cell>
          <cell r="D713">
            <v>99.9</v>
          </cell>
          <cell r="E713">
            <v>110.93</v>
          </cell>
          <cell r="F713">
            <v>210.83</v>
          </cell>
        </row>
        <row r="714">
          <cell r="A714">
            <v>90509</v>
          </cell>
          <cell r="B714" t="str">
            <v>Vidro Canelado Incolor E=4mm</v>
          </cell>
          <cell r="C714" t="str">
            <v>m²</v>
          </cell>
          <cell r="D714">
            <v>18.600000000000001</v>
          </cell>
          <cell r="E714">
            <v>7.86</v>
          </cell>
          <cell r="F714">
            <v>26.46</v>
          </cell>
        </row>
        <row r="715">
          <cell r="A715">
            <v>90510</v>
          </cell>
          <cell r="B715" t="str">
            <v>Vidro Comum Transparente Incolor E=4mm</v>
          </cell>
          <cell r="C715" t="str">
            <v>m²</v>
          </cell>
          <cell r="D715">
            <v>27.43</v>
          </cell>
          <cell r="E715">
            <v>11.26</v>
          </cell>
          <cell r="F715">
            <v>38.69</v>
          </cell>
        </row>
        <row r="716">
          <cell r="A716">
            <v>90511</v>
          </cell>
          <cell r="B716" t="str">
            <v>Vidro Fantasia E=4mm</v>
          </cell>
          <cell r="C716" t="str">
            <v>m²</v>
          </cell>
          <cell r="D716">
            <v>19.989999999999998</v>
          </cell>
          <cell r="E716">
            <v>13.47</v>
          </cell>
          <cell r="F716">
            <v>33.46</v>
          </cell>
        </row>
        <row r="717">
          <cell r="A717">
            <v>90512</v>
          </cell>
          <cell r="B717" t="str">
            <v>Vidro Laminado Transparente Incolor E=6mm</v>
          </cell>
          <cell r="C717" t="str">
            <v>m²</v>
          </cell>
          <cell r="D717">
            <v>27.43</v>
          </cell>
          <cell r="E717">
            <v>21.4</v>
          </cell>
          <cell r="F717">
            <v>48.83</v>
          </cell>
        </row>
        <row r="718">
          <cell r="A718">
            <v>90600</v>
          </cell>
          <cell r="B718" t="str">
            <v>Pintura</v>
          </cell>
          <cell r="D718">
            <v>0</v>
          </cell>
          <cell r="E718">
            <v>0</v>
          </cell>
        </row>
        <row r="719">
          <cell r="A719">
            <v>90601</v>
          </cell>
          <cell r="B719" t="str">
            <v>Latéx Fosco 100% Acrílico - 2 Demãos</v>
          </cell>
          <cell r="C719" t="str">
            <v>m²</v>
          </cell>
          <cell r="D719">
            <v>1.82</v>
          </cell>
          <cell r="E719">
            <v>8.7200000000000006</v>
          </cell>
          <cell r="F719">
            <v>10.540000000000001</v>
          </cell>
        </row>
        <row r="720">
          <cell r="A720">
            <v>90602</v>
          </cell>
          <cell r="B720" t="str">
            <v>Massa Corrida Acrílica com Preparo da Superfície</v>
          </cell>
          <cell r="C720" t="str">
            <v>m²</v>
          </cell>
          <cell r="D720">
            <v>1.92</v>
          </cell>
          <cell r="E720">
            <v>14.65</v>
          </cell>
          <cell r="F720">
            <v>16.57</v>
          </cell>
        </row>
        <row r="721">
          <cell r="A721">
            <v>90603</v>
          </cell>
          <cell r="B721" t="str">
            <v>Massa Corrida PVA com Preparo da Superfície</v>
          </cell>
          <cell r="C721" t="str">
            <v>m²</v>
          </cell>
          <cell r="D721">
            <v>1.46</v>
          </cell>
          <cell r="E721">
            <v>14.65</v>
          </cell>
          <cell r="F721">
            <v>16.11</v>
          </cell>
        </row>
        <row r="722">
          <cell r="A722">
            <v>90604</v>
          </cell>
          <cell r="B722" t="str">
            <v>Massa Fina</v>
          </cell>
          <cell r="C722" t="str">
            <v>m²</v>
          </cell>
          <cell r="D722">
            <v>0.5</v>
          </cell>
          <cell r="E722">
            <v>8.34</v>
          </cell>
          <cell r="F722">
            <v>8.84</v>
          </cell>
        </row>
        <row r="723">
          <cell r="A723">
            <v>90605</v>
          </cell>
          <cell r="B723" t="str">
            <v>Pintura a Base de Cal - 3 Demãos</v>
          </cell>
          <cell r="C723" t="str">
            <v>m²</v>
          </cell>
          <cell r="D723">
            <v>0.18</v>
          </cell>
          <cell r="E723">
            <v>10.3</v>
          </cell>
          <cell r="F723">
            <v>10.48</v>
          </cell>
        </row>
        <row r="724">
          <cell r="A724">
            <v>90606</v>
          </cell>
          <cell r="B724" t="str">
            <v>Pintura a Óleo sobre Madeira, Inclusive Emassamento</v>
          </cell>
          <cell r="C724" t="str">
            <v>m²</v>
          </cell>
          <cell r="D724">
            <v>3.9</v>
          </cell>
          <cell r="E724">
            <v>10.35</v>
          </cell>
          <cell r="F724">
            <v>14.25</v>
          </cell>
        </row>
        <row r="725">
          <cell r="A725">
            <v>90607</v>
          </cell>
          <cell r="B725" t="str">
            <v>Pintura Acrílica com Preparo da Superfície - 2 Demãos</v>
          </cell>
          <cell r="C725" t="str">
            <v>m²</v>
          </cell>
          <cell r="D725">
            <v>1.57</v>
          </cell>
          <cell r="E725">
            <v>9.27</v>
          </cell>
          <cell r="F725">
            <v>10.84</v>
          </cell>
        </row>
        <row r="726">
          <cell r="A726">
            <v>90608</v>
          </cell>
          <cell r="B726" t="str">
            <v>Pintura com Silicone para Vigas em Concreto - 2 Demãos</v>
          </cell>
          <cell r="C726" t="str">
            <v>m²</v>
          </cell>
          <cell r="D726">
            <v>1.93</v>
          </cell>
          <cell r="E726">
            <v>9.4600000000000009</v>
          </cell>
          <cell r="F726">
            <v>11.39</v>
          </cell>
        </row>
        <row r="727">
          <cell r="A727">
            <v>90609</v>
          </cell>
          <cell r="B727" t="str">
            <v>Pintura com Esmalte Sintético em Estrutura Metálica - 2 Demãos</v>
          </cell>
          <cell r="C727" t="str">
            <v>m²</v>
          </cell>
          <cell r="D727">
            <v>0.63</v>
          </cell>
          <cell r="E727">
            <v>7.98</v>
          </cell>
          <cell r="F727">
            <v>8.6100000000000012</v>
          </cell>
        </row>
        <row r="728">
          <cell r="A728">
            <v>90610</v>
          </cell>
          <cell r="B728" t="str">
            <v>Pintura Latéx PVA, 2 Demãos</v>
          </cell>
          <cell r="C728" t="str">
            <v>m²</v>
          </cell>
          <cell r="D728">
            <v>2.0099999999999998</v>
          </cell>
          <cell r="E728">
            <v>8.7200000000000006</v>
          </cell>
          <cell r="F728">
            <v>10.73</v>
          </cell>
        </row>
        <row r="729">
          <cell r="A729">
            <v>90611</v>
          </cell>
          <cell r="B729" t="str">
            <v>Verniz à Base de Poliuretano Incolor</v>
          </cell>
          <cell r="C729" t="str">
            <v>m²</v>
          </cell>
          <cell r="D729">
            <v>4.0199999999999996</v>
          </cell>
          <cell r="E729">
            <v>7.98</v>
          </cell>
          <cell r="F729">
            <v>12</v>
          </cell>
        </row>
        <row r="730">
          <cell r="A730">
            <v>90700</v>
          </cell>
          <cell r="B730" t="str">
            <v>Cobertura</v>
          </cell>
          <cell r="D730">
            <v>0</v>
          </cell>
          <cell r="E730">
            <v>0</v>
          </cell>
        </row>
        <row r="731">
          <cell r="A731">
            <v>90701</v>
          </cell>
          <cell r="B731" t="str">
            <v>Calha Metálica em Chapa Dobrada N.24, Corte 0,40m</v>
          </cell>
          <cell r="C731" t="str">
            <v>m</v>
          </cell>
          <cell r="D731">
            <v>7.11</v>
          </cell>
          <cell r="E731">
            <v>15.36</v>
          </cell>
          <cell r="F731">
            <v>22.47</v>
          </cell>
        </row>
        <row r="732">
          <cell r="A732">
            <v>90702</v>
          </cell>
          <cell r="B732" t="str">
            <v>Cobertura com Telha de Fibrocimento Canalete 90</v>
          </cell>
          <cell r="C732" t="str">
            <v>m²</v>
          </cell>
          <cell r="D732">
            <v>36.15</v>
          </cell>
          <cell r="E732">
            <v>5.85</v>
          </cell>
          <cell r="F732">
            <v>42</v>
          </cell>
        </row>
        <row r="733">
          <cell r="A733">
            <v>90703</v>
          </cell>
          <cell r="B733" t="str">
            <v>Contra-Rufo de Chapa Galvanizada N.20, Corte 22cm</v>
          </cell>
          <cell r="C733" t="str">
            <v>m</v>
          </cell>
          <cell r="D733">
            <v>7.22</v>
          </cell>
          <cell r="E733">
            <v>11.81</v>
          </cell>
          <cell r="F733">
            <v>19.03</v>
          </cell>
        </row>
        <row r="734">
          <cell r="A734">
            <v>90704</v>
          </cell>
          <cell r="B734" t="str">
            <v>Contra-Rufo de Chapa Galvanizada N.26, Corte 40cm</v>
          </cell>
          <cell r="C734" t="str">
            <v>m</v>
          </cell>
          <cell r="D734">
            <v>6.08</v>
          </cell>
          <cell r="E734">
            <v>11.81</v>
          </cell>
          <cell r="F734">
            <v>17.89</v>
          </cell>
        </row>
        <row r="735">
          <cell r="A735">
            <v>90705</v>
          </cell>
          <cell r="B735" t="str">
            <v>Contra-Rufo de Chapa Galvanizada N.20, Corte 30cm</v>
          </cell>
          <cell r="C735" t="str">
            <v>m</v>
          </cell>
          <cell r="D735">
            <v>8.69</v>
          </cell>
          <cell r="E735">
            <v>11.81</v>
          </cell>
          <cell r="F735">
            <v>20.5</v>
          </cell>
        </row>
        <row r="736">
          <cell r="A736">
            <v>90706</v>
          </cell>
          <cell r="B736" t="str">
            <v>Cumeeira para Canalete 49</v>
          </cell>
          <cell r="C736" t="str">
            <v>m</v>
          </cell>
          <cell r="D736">
            <v>16.510000000000002</v>
          </cell>
          <cell r="E736">
            <v>2.35</v>
          </cell>
          <cell r="F736">
            <v>18.860000000000003</v>
          </cell>
        </row>
        <row r="737">
          <cell r="A737">
            <v>90707</v>
          </cell>
          <cell r="B737" t="str">
            <v>Estrutura de Madeira para Cobertura</v>
          </cell>
          <cell r="C737" t="str">
            <v>m²</v>
          </cell>
          <cell r="D737">
            <v>16.28</v>
          </cell>
          <cell r="E737">
            <v>20.010000000000002</v>
          </cell>
          <cell r="F737">
            <v>36.290000000000006</v>
          </cell>
        </row>
        <row r="738">
          <cell r="A738">
            <v>90708</v>
          </cell>
          <cell r="B738" t="str">
            <v>Laje Pré-Moldada, PAOLI, LTC 8/11</v>
          </cell>
          <cell r="C738" t="str">
            <v>m²</v>
          </cell>
          <cell r="D738">
            <v>58.16</v>
          </cell>
          <cell r="E738">
            <v>11.65</v>
          </cell>
          <cell r="F738">
            <v>69.81</v>
          </cell>
        </row>
        <row r="739">
          <cell r="A739">
            <v>90709</v>
          </cell>
          <cell r="B739" t="str">
            <v>Pingadeira Plástica para Canalete 49 (ETERNIT)</v>
          </cell>
          <cell r="C739" t="str">
            <v>un</v>
          </cell>
          <cell r="D739">
            <v>0.28000000000000003</v>
          </cell>
          <cell r="E739">
            <v>5.04</v>
          </cell>
          <cell r="F739">
            <v>5.32</v>
          </cell>
        </row>
        <row r="740">
          <cell r="A740">
            <v>90710</v>
          </cell>
          <cell r="B740" t="str">
            <v>Placa de Ventilação para Canalete 49 (ETERNIT)</v>
          </cell>
          <cell r="C740" t="str">
            <v>un</v>
          </cell>
          <cell r="D740">
            <v>1.73</v>
          </cell>
          <cell r="E740">
            <v>0.55000000000000004</v>
          </cell>
          <cell r="F740">
            <v>2.2800000000000002</v>
          </cell>
        </row>
        <row r="741">
          <cell r="A741">
            <v>90711</v>
          </cell>
          <cell r="B741" t="str">
            <v>Rufo de Fibrocimento para Canalete 49 (ETERNIT)</v>
          </cell>
          <cell r="C741" t="str">
            <v>un</v>
          </cell>
          <cell r="D741">
            <v>9</v>
          </cell>
          <cell r="E741">
            <v>2.2799999999999998</v>
          </cell>
          <cell r="F741">
            <v>11.28</v>
          </cell>
        </row>
        <row r="742">
          <cell r="A742">
            <v>90712</v>
          </cell>
          <cell r="B742" t="str">
            <v>Rufo em Chapa Galvanizada N.20, Corte 40cm</v>
          </cell>
          <cell r="C742" t="str">
            <v>m</v>
          </cell>
          <cell r="D742">
            <v>7.24</v>
          </cell>
          <cell r="E742">
            <v>14.16</v>
          </cell>
          <cell r="F742">
            <v>21.4</v>
          </cell>
        </row>
        <row r="743">
          <cell r="A743">
            <v>90713</v>
          </cell>
          <cell r="B743" t="str">
            <v>Rufo para Canalete 49 (ETERNIT)</v>
          </cell>
          <cell r="C743" t="str">
            <v>m</v>
          </cell>
          <cell r="D743">
            <v>17.82</v>
          </cell>
          <cell r="E743">
            <v>0.55000000000000004</v>
          </cell>
          <cell r="F743">
            <v>18.37</v>
          </cell>
        </row>
        <row r="744">
          <cell r="A744">
            <v>90714</v>
          </cell>
          <cell r="B744" t="str">
            <v>Telha de Fibrocimento e Acessórios Canalete 49 E=8,5mm</v>
          </cell>
          <cell r="C744" t="str">
            <v>m²</v>
          </cell>
          <cell r="D744">
            <v>22.6</v>
          </cell>
          <cell r="E744">
            <v>8.2899999999999991</v>
          </cell>
          <cell r="F744">
            <v>30.89</v>
          </cell>
        </row>
        <row r="745">
          <cell r="A745">
            <v>90715</v>
          </cell>
          <cell r="B745" t="str">
            <v>Telhas Onduladas de Fibrocimento E=8mm</v>
          </cell>
          <cell r="C745" t="str">
            <v>m²</v>
          </cell>
          <cell r="D745">
            <v>13.32</v>
          </cell>
          <cell r="E745">
            <v>8.2899999999999991</v>
          </cell>
          <cell r="F745">
            <v>21.61</v>
          </cell>
        </row>
        <row r="746">
          <cell r="A746">
            <v>90800</v>
          </cell>
          <cell r="B746" t="str">
            <v>Acessórios Hidráulicos</v>
          </cell>
          <cell r="D746">
            <v>0</v>
          </cell>
          <cell r="E746">
            <v>0</v>
          </cell>
        </row>
        <row r="747">
          <cell r="A747">
            <v>90801</v>
          </cell>
          <cell r="B747" t="str">
            <v>Assento Sanitário</v>
          </cell>
          <cell r="C747" t="str">
            <v>un</v>
          </cell>
          <cell r="D747">
            <v>36.020000000000003</v>
          </cell>
          <cell r="E747">
            <v>2.23</v>
          </cell>
          <cell r="F747">
            <v>38.25</v>
          </cell>
        </row>
        <row r="748">
          <cell r="A748">
            <v>90802</v>
          </cell>
          <cell r="B748" t="str">
            <v>Bacia Convencional</v>
          </cell>
          <cell r="C748" t="str">
            <v>un</v>
          </cell>
          <cell r="D748">
            <v>87.06</v>
          </cell>
          <cell r="E748">
            <v>47.21</v>
          </cell>
          <cell r="F748">
            <v>134.27000000000001</v>
          </cell>
        </row>
        <row r="749">
          <cell r="A749">
            <v>90803</v>
          </cell>
          <cell r="B749" t="str">
            <v>Cabide para Banheiros</v>
          </cell>
          <cell r="C749" t="str">
            <v>un</v>
          </cell>
          <cell r="D749">
            <v>5.05</v>
          </cell>
          <cell r="E749">
            <v>9.18</v>
          </cell>
          <cell r="F749">
            <v>14.23</v>
          </cell>
        </row>
        <row r="750">
          <cell r="A750">
            <v>90804</v>
          </cell>
          <cell r="B750" t="str">
            <v>Caixa D'água em Fibrocimento (ETERNIT) 1000 l</v>
          </cell>
          <cell r="C750" t="str">
            <v>un</v>
          </cell>
          <cell r="D750">
            <v>237.48</v>
          </cell>
          <cell r="E750">
            <v>97.2</v>
          </cell>
          <cell r="F750">
            <v>334.68</v>
          </cell>
        </row>
        <row r="751">
          <cell r="A751">
            <v>90805</v>
          </cell>
          <cell r="B751" t="str">
            <v>Chuveiro Elétrico</v>
          </cell>
          <cell r="C751" t="str">
            <v>un</v>
          </cell>
          <cell r="D751">
            <v>100.29</v>
          </cell>
          <cell r="E751">
            <v>9.42</v>
          </cell>
          <cell r="F751">
            <v>109.71000000000001</v>
          </cell>
        </row>
        <row r="752">
          <cell r="A752">
            <v>90806</v>
          </cell>
          <cell r="B752" t="str">
            <v>Cuba Simples em Aço Inox, MEKAL, cód. CS40P</v>
          </cell>
          <cell r="C752" t="str">
            <v>un</v>
          </cell>
          <cell r="D752">
            <v>129.6</v>
          </cell>
          <cell r="E752">
            <v>5.63</v>
          </cell>
          <cell r="F752">
            <v>135.22999999999999</v>
          </cell>
        </row>
        <row r="753">
          <cell r="A753">
            <v>90807</v>
          </cell>
          <cell r="B753" t="str">
            <v>Espelho de Cristal 0,45 x 0,60 E=4mm, com Moldura em Alumínio</v>
          </cell>
          <cell r="C753" t="str">
            <v>un</v>
          </cell>
          <cell r="D753">
            <v>24.3</v>
          </cell>
          <cell r="E753">
            <v>9.18</v>
          </cell>
          <cell r="F753">
            <v>33.480000000000004</v>
          </cell>
        </row>
        <row r="754">
          <cell r="A754">
            <v>90808</v>
          </cell>
          <cell r="B754" t="str">
            <v>Lavatório Médio com Coluna</v>
          </cell>
          <cell r="C754" t="str">
            <v>un</v>
          </cell>
          <cell r="D754">
            <v>89.88</v>
          </cell>
          <cell r="E754">
            <v>36.54</v>
          </cell>
          <cell r="F754">
            <v>126.41999999999999</v>
          </cell>
        </row>
        <row r="755">
          <cell r="A755">
            <v>90809</v>
          </cell>
          <cell r="B755" t="str">
            <v>Lavatório para Embutir</v>
          </cell>
          <cell r="C755" t="str">
            <v>un</v>
          </cell>
          <cell r="D755">
            <v>47.79</v>
          </cell>
          <cell r="E755">
            <v>32.28</v>
          </cell>
          <cell r="F755">
            <v>80.069999999999993</v>
          </cell>
        </row>
        <row r="756">
          <cell r="A756">
            <v>90810</v>
          </cell>
          <cell r="B756" t="str">
            <v>Mictório em Aço Inox com 2,50m, cód. MC-3 (MEKAL)</v>
          </cell>
          <cell r="C756" t="str">
            <v>un</v>
          </cell>
          <cell r="D756">
            <v>414.42</v>
          </cell>
          <cell r="E756">
            <v>84.15</v>
          </cell>
          <cell r="F756">
            <v>498.57000000000005</v>
          </cell>
        </row>
        <row r="757">
          <cell r="A757">
            <v>90811</v>
          </cell>
          <cell r="B757" t="str">
            <v>Papeleira</v>
          </cell>
          <cell r="C757" t="str">
            <v>un</v>
          </cell>
          <cell r="D757">
            <v>8.8800000000000008</v>
          </cell>
          <cell r="E757">
            <v>12.46</v>
          </cell>
          <cell r="F757">
            <v>21.340000000000003</v>
          </cell>
        </row>
        <row r="758">
          <cell r="A758">
            <v>90812</v>
          </cell>
          <cell r="B758" t="str">
            <v>Pia com Tampo em Granilite Branco 0,63 x 1,22 m</v>
          </cell>
          <cell r="C758" t="str">
            <v>un</v>
          </cell>
          <cell r="D758">
            <v>201.91</v>
          </cell>
          <cell r="E758">
            <v>67.3</v>
          </cell>
          <cell r="F758">
            <v>269.20999999999998</v>
          </cell>
        </row>
        <row r="759">
          <cell r="A759">
            <v>90813</v>
          </cell>
          <cell r="B759" t="str">
            <v>Porta-Papel LALEKLA</v>
          </cell>
          <cell r="C759" t="str">
            <v>un</v>
          </cell>
          <cell r="D759">
            <v>40.770000000000003</v>
          </cell>
          <cell r="E759">
            <v>9.18</v>
          </cell>
          <cell r="F759">
            <v>49.95</v>
          </cell>
        </row>
        <row r="760">
          <cell r="A760">
            <v>90814</v>
          </cell>
          <cell r="B760" t="str">
            <v>Porta-Sabão Líquido LALEKLA</v>
          </cell>
          <cell r="C760" t="str">
            <v>un</v>
          </cell>
          <cell r="D760">
            <v>41.04</v>
          </cell>
          <cell r="E760">
            <v>9.18</v>
          </cell>
          <cell r="F760">
            <v>50.22</v>
          </cell>
        </row>
        <row r="761">
          <cell r="A761">
            <v>90815</v>
          </cell>
          <cell r="B761" t="str">
            <v>Saboneteira com Alça</v>
          </cell>
          <cell r="C761" t="str">
            <v>un</v>
          </cell>
          <cell r="D761">
            <v>8.26</v>
          </cell>
          <cell r="E761">
            <v>12.46</v>
          </cell>
          <cell r="F761">
            <v>20.72</v>
          </cell>
        </row>
        <row r="762">
          <cell r="A762">
            <v>90816</v>
          </cell>
          <cell r="B762" t="str">
            <v>Tampo em Aço Inox 1,60 x 1,60 m com Cuba de 0,40 x 0,36 m</v>
          </cell>
          <cell r="C762" t="str">
            <v>un</v>
          </cell>
          <cell r="D762">
            <v>482.57</v>
          </cell>
          <cell r="E762">
            <v>67.3</v>
          </cell>
          <cell r="F762">
            <v>549.87</v>
          </cell>
        </row>
        <row r="763">
          <cell r="A763">
            <v>90817</v>
          </cell>
          <cell r="B763" t="str">
            <v>Tampo em Granito Cinza E=3cm com 2,25 x 0,63 m</v>
          </cell>
          <cell r="C763" t="str">
            <v>un</v>
          </cell>
          <cell r="D763">
            <v>139.97</v>
          </cell>
          <cell r="E763">
            <v>59.05</v>
          </cell>
          <cell r="F763">
            <v>199.01999999999998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"/>
      <sheetName val="VarTec &amp; VarCons"/>
      <sheetName val="Variacao Gerais"/>
      <sheetName val="Manutenção Frota"/>
      <sheetName val="Manual"/>
      <sheetName val="Premissas Área"/>
      <sheetName val="Orçamento CAPEX"/>
      <sheetName val="Orçamento OPEX"/>
      <sheetName val="Salários"/>
      <sheetName val="Técnica"/>
      <sheetName val="Consultoria"/>
      <sheetName val="Despesas Gerais"/>
      <sheetName val="Comunicação"/>
      <sheetName val="Verbas Vigilância"/>
      <sheetName val="Verbas 3A"/>
      <sheetName val="Copa X Café"/>
      <sheetName val="Frota"/>
      <sheetName val="Orcamento 2010"/>
      <sheetName val="Orc 2010 x ago2010"/>
    </sheetNames>
    <sheetDataSet>
      <sheetData sheetId="0">
        <row r="4">
          <cell r="BC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gentina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RELATA VÉIO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5"/>
      <sheetName val="F26"/>
      <sheetName val="FLUXO + DRE  Original 20 anos"/>
      <sheetName val="Fatores 20 anos"/>
      <sheetName val="Prorrogação Fluxo 28 anos"/>
      <sheetName val="Prorrogação DRE 28 anos"/>
      <sheetName val="Comparativo de Mercado"/>
      <sheetName val="Capa Simulad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4">
          <cell r="F54" t="str">
            <v>ESTUDO DO REEQUILÍBRIO ECONÔMICO-FINANCEIRO</v>
          </cell>
        </row>
        <row r="55">
          <cell r="F55" t="str">
            <v>DA CONCESSIONÁRIA SPVIAS</v>
          </cell>
        </row>
        <row r="56">
          <cell r="F56">
            <v>0</v>
          </cell>
        </row>
        <row r="57">
          <cell r="F57">
            <v>0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7</v>
          </cell>
          <cell r="I66" t="str">
            <v>TIR (b)</v>
          </cell>
        </row>
        <row r="67">
          <cell r="B67" t="str">
            <v>FATOR 1</v>
          </cell>
          <cell r="C67" t="str">
            <v>Ganho de Receita: Antecipação de cobrança de Itararé.</v>
          </cell>
          <cell r="G67">
            <v>2916.2837011320739</v>
          </cell>
          <cell r="H67">
            <v>10358.705157465933</v>
          </cell>
          <cell r="I67">
            <v>0.20545532552432572</v>
          </cell>
        </row>
        <row r="68">
          <cell r="B68" t="str">
            <v>FATOR 2</v>
          </cell>
          <cell r="C68" t="str">
            <v>Ganho de Receita: Antecipação de cobrança de Gramadão.</v>
          </cell>
          <cell r="G68">
            <v>221.98630886336437</v>
          </cell>
          <cell r="H68">
            <v>788.50035118912376</v>
          </cell>
          <cell r="I68">
            <v>0.19903230389236481</v>
          </cell>
        </row>
        <row r="69">
          <cell r="B69" t="str">
            <v>FATOR 3</v>
          </cell>
          <cell r="C69" t="str">
            <v>Perda de Receita: Mudança de tráfego.</v>
          </cell>
          <cell r="G69">
            <v>-168.55621931652107</v>
          </cell>
          <cell r="H69">
            <v>-598.71547397093616</v>
          </cell>
          <cell r="I69">
            <v>0.19810436350287819</v>
          </cell>
        </row>
        <row r="70">
          <cell r="B70" t="str">
            <v>FATOR 4</v>
          </cell>
          <cell r="C70" t="str">
            <v>Perda de Receita: Deflator Tarifário -1,2%</v>
          </cell>
          <cell r="G70">
            <v>-2423.0019496472878</v>
          </cell>
          <cell r="H70">
            <v>-8606.5573053191329</v>
          </cell>
          <cell r="I70">
            <v>0.19250043348565829</v>
          </cell>
        </row>
        <row r="71">
          <cell r="B71" t="str">
            <v>FATOR 5</v>
          </cell>
          <cell r="C71" t="str">
            <v>Perda de Receita: Ônus Variável (25%)</v>
          </cell>
          <cell r="G71">
            <v>-615.34975298276163</v>
          </cell>
          <cell r="H71">
            <v>-2185.7361330770068</v>
          </cell>
          <cell r="I71">
            <v>0.19704496955686568</v>
          </cell>
        </row>
        <row r="72">
          <cell r="B72" t="str">
            <v>FATOR 6</v>
          </cell>
          <cell r="C72" t="str">
            <v>Alteração dos custos operacionais.</v>
          </cell>
          <cell r="G72">
            <v>1209.8854706950401</v>
          </cell>
          <cell r="H72">
            <v>4297.5403457375141</v>
          </cell>
          <cell r="I72">
            <v>0.20143103702958184</v>
          </cell>
        </row>
        <row r="73">
          <cell r="B73" t="str">
            <v>FATOR 7</v>
          </cell>
          <cell r="C73" t="str">
            <v>1ª Adequação - Investimentos</v>
          </cell>
          <cell r="G73">
            <v>-15088.704172813104</v>
          </cell>
          <cell r="H73">
            <v>-53595.41586222317</v>
          </cell>
          <cell r="I73">
            <v>0.16746402650544873</v>
          </cell>
        </row>
        <row r="74">
          <cell r="B74" t="str">
            <v>FATOR 8</v>
          </cell>
          <cell r="C74" t="str">
            <v>Perda de Receita: Estorno de Receita Não Operacional (1/3 da COFINS)</v>
          </cell>
          <cell r="G74">
            <v>-3179.0334735928445</v>
          </cell>
          <cell r="H74">
            <v>-11291.998246219893</v>
          </cell>
          <cell r="I74">
            <v>0.19101134833162919</v>
          </cell>
        </row>
        <row r="75">
          <cell r="B75" t="str">
            <v>FATOR 9</v>
          </cell>
          <cell r="C75" t="str">
            <v>Majoração dos custos operacionais.</v>
          </cell>
          <cell r="G75">
            <v>-2190.3928699623798</v>
          </cell>
          <cell r="H75">
            <v>-7780.3246337618002</v>
          </cell>
          <cell r="I75">
            <v>0.19344739905711733</v>
          </cell>
        </row>
        <row r="76">
          <cell r="B76" t="str">
            <v>FATOR 10</v>
          </cell>
          <cell r="C76" t="str">
            <v>2ª Adequação - Investimentos</v>
          </cell>
          <cell r="G76">
            <v>23369.045554849468</v>
          </cell>
          <cell r="H76">
            <v>83007.374289444138</v>
          </cell>
          <cell r="I76">
            <v>0.30031602663667029</v>
          </cell>
        </row>
        <row r="77">
          <cell r="B77" t="str">
            <v>FATOR 11</v>
          </cell>
          <cell r="C77" t="str">
            <v>Inclusão da CPMF</v>
          </cell>
          <cell r="G77">
            <v>-858.28618143449103</v>
          </cell>
          <cell r="H77">
            <v>-3048.6517792339287</v>
          </cell>
          <cell r="I77">
            <v>0.19648192706937506</v>
          </cell>
        </row>
        <row r="78">
          <cell r="B78" t="str">
            <v>FATOR 12</v>
          </cell>
          <cell r="C78" t="str">
            <v>3ª Adequação - Investimentos</v>
          </cell>
          <cell r="G78">
            <v>2645.2747340554552</v>
          </cell>
          <cell r="H78">
            <v>9396.0752240728561</v>
          </cell>
          <cell r="I78">
            <v>0.20507598296551729</v>
          </cell>
        </row>
        <row r="79">
          <cell r="B79" t="str">
            <v>FATOR 13</v>
          </cell>
          <cell r="C79" t="str">
            <v>4ª Adequação - Investimentos</v>
          </cell>
          <cell r="G79">
            <v>2881.9166794727389</v>
          </cell>
          <cell r="H79">
            <v>10236.632725222424</v>
          </cell>
          <cell r="I79">
            <v>0.20556530036106066</v>
          </cell>
        </row>
        <row r="80">
          <cell r="B80" t="str">
            <v>FATOR 14</v>
          </cell>
          <cell r="C80" t="str">
            <v>5ª Adequação - Investimentos</v>
          </cell>
          <cell r="G80">
            <v>1044.7345832090148</v>
          </cell>
          <cell r="H80">
            <v>3710.9206868553997</v>
          </cell>
          <cell r="I80">
            <v>0.20100687359725994</v>
          </cell>
        </row>
        <row r="81">
          <cell r="B81" t="str">
            <v>FATOR 15</v>
          </cell>
          <cell r="C81" t="str">
            <v>Perda de Receita: Parcelamento do Reajuste Tarifário de Julho/2003.</v>
          </cell>
          <cell r="G81">
            <v>-822.4342251999758</v>
          </cell>
          <cell r="H81">
            <v>-2921.3048260525388</v>
          </cell>
          <cell r="I81">
            <v>0.19656252595076318</v>
          </cell>
        </row>
        <row r="82">
          <cell r="B82" t="str">
            <v>TOTAL GERAL</v>
          </cell>
          <cell r="G82">
            <v>8943.3681873277892</v>
          </cell>
          <cell r="H82">
            <v>31767.044520128984</v>
          </cell>
          <cell r="I82">
            <v>0.23113971541512929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28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7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0.19850371867080305</v>
          </cell>
        </row>
        <row r="98">
          <cell r="B98" t="str">
            <v>TIR Resultante dos Desequilibrio no Contrato Original (ao ano)</v>
          </cell>
          <cell r="J98">
            <v>0.23113971541512929</v>
          </cell>
        </row>
        <row r="100">
          <cell r="B100" t="str">
            <v>Diferença entre a TIR Original x TIR Desequilibrios</v>
          </cell>
          <cell r="J100">
            <v>3.263599674432624E-2</v>
          </cell>
        </row>
        <row r="102">
          <cell r="B102" t="str">
            <v>TIR Resultante das Alternativas Utilizadas para o Reequilibrio (ao ano)</v>
          </cell>
          <cell r="J102">
            <v>0.19900892467808481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6.5641257909995015E-11</v>
          </cell>
          <cell r="G136">
            <v>0.19850371867080305</v>
          </cell>
          <cell r="H136">
            <v>-27553.266765925</v>
          </cell>
          <cell r="I136">
            <v>-21297.274537999998</v>
          </cell>
          <cell r="J136">
            <v>-32715.424994000001</v>
          </cell>
          <cell r="K136">
            <v>-19744.018439437481</v>
          </cell>
          <cell r="L136">
            <v>15480.754270000005</v>
          </cell>
          <cell r="M136">
            <v>31717.205939999993</v>
          </cell>
          <cell r="N136">
            <v>35152.414705999996</v>
          </cell>
          <cell r="O136">
            <v>37041.879319</v>
          </cell>
          <cell r="P136">
            <v>17570.799279000013</v>
          </cell>
          <cell r="Q136">
            <v>25660.94535899999</v>
          </cell>
          <cell r="R136">
            <v>1159.1199879999913</v>
          </cell>
          <cell r="S136">
            <v>42054.076828999998</v>
          </cell>
          <cell r="T136">
            <v>48640.682814</v>
          </cell>
          <cell r="U136">
            <v>50404.993829000014</v>
          </cell>
          <cell r="V136">
            <v>25511.364419000005</v>
          </cell>
          <cell r="W136">
            <v>6576.5963219999976</v>
          </cell>
          <cell r="X136">
            <v>64115.922673000008</v>
          </cell>
          <cell r="Y136">
            <v>28749.346847999986</v>
          </cell>
          <cell r="Z136">
            <v>44353.009812000004</v>
          </cell>
          <cell r="AA136">
            <v>78522.327247000008</v>
          </cell>
        </row>
        <row r="137">
          <cell r="B137" t="str">
            <v>(+)Desequilibrio do Projeto Original (a)</v>
          </cell>
        </row>
        <row r="138">
          <cell r="B138" t="str">
            <v>Ganho de Receita: Antecipação de cobrança de Itararé.</v>
          </cell>
        </row>
        <row r="139">
          <cell r="B139" t="str">
            <v>Fluxo de Caixa do Fator</v>
          </cell>
          <cell r="H139">
            <v>0</v>
          </cell>
          <cell r="I139">
            <v>0</v>
          </cell>
          <cell r="J139">
            <v>0</v>
          </cell>
          <cell r="K139">
            <v>816.29078551999999</v>
          </cell>
          <cell r="L139">
            <v>1394.4252493849999</v>
          </cell>
          <cell r="M139">
            <v>1405.9309356050003</v>
          </cell>
          <cell r="N139">
            <v>1430.5403200199999</v>
          </cell>
          <cell r="O139">
            <v>1443.9636206099999</v>
          </cell>
          <cell r="P139">
            <v>1466.6553906549998</v>
          </cell>
          <cell r="Q139">
            <v>1496.6980157850001</v>
          </cell>
          <cell r="R139">
            <v>1526.101436125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B140" t="str">
            <v>Somatoria com Projeto Original</v>
          </cell>
          <cell r="F140">
            <v>2916.2837011320739</v>
          </cell>
          <cell r="G140">
            <v>0.20545532552432572</v>
          </cell>
          <cell r="H140">
            <v>-27553.266765925</v>
          </cell>
          <cell r="I140">
            <v>-21297.274537999998</v>
          </cell>
          <cell r="J140">
            <v>-32715.424994000001</v>
          </cell>
          <cell r="K140">
            <v>-18927.727653917482</v>
          </cell>
          <cell r="L140">
            <v>16875.179519385005</v>
          </cell>
          <cell r="M140">
            <v>33123.136875604992</v>
          </cell>
          <cell r="N140">
            <v>36582.955026019998</v>
          </cell>
          <cell r="O140">
            <v>38485.842939609996</v>
          </cell>
          <cell r="P140">
            <v>19037.454669655013</v>
          </cell>
          <cell r="Q140">
            <v>27157.643374784991</v>
          </cell>
          <cell r="R140">
            <v>2685.2214241249912</v>
          </cell>
          <cell r="S140">
            <v>42054.076828999998</v>
          </cell>
          <cell r="T140">
            <v>48640.682814</v>
          </cell>
          <cell r="U140">
            <v>50404.993829000014</v>
          </cell>
          <cell r="V140">
            <v>25511.364419000005</v>
          </cell>
          <cell r="W140">
            <v>6576.5963219999976</v>
          </cell>
          <cell r="X140">
            <v>64115.922673000008</v>
          </cell>
          <cell r="Y140">
            <v>28749.346847999986</v>
          </cell>
          <cell r="Z140">
            <v>44353.009812000004</v>
          </cell>
          <cell r="AA140">
            <v>78522.327247000008</v>
          </cell>
        </row>
        <row r="141">
          <cell r="B141" t="str">
            <v>Ganho de Receita: Antecipação de cobrança de Gramadão.</v>
          </cell>
        </row>
        <row r="142">
          <cell r="B142" t="str">
            <v>Fluxo de Caixa do Fator</v>
          </cell>
          <cell r="H142">
            <v>266.05141666666668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B143" t="str">
            <v>Somatoria com Projeto Original</v>
          </cell>
          <cell r="F143">
            <v>221.98630886336437</v>
          </cell>
          <cell r="G143">
            <v>0.19903230389236481</v>
          </cell>
          <cell r="H143">
            <v>-27287.215349258335</v>
          </cell>
          <cell r="I143">
            <v>-21297.274537999998</v>
          </cell>
          <cell r="J143">
            <v>-32715.424994000001</v>
          </cell>
          <cell r="K143">
            <v>-19744.018439437481</v>
          </cell>
          <cell r="L143">
            <v>15480.754270000005</v>
          </cell>
          <cell r="M143">
            <v>31717.205939999993</v>
          </cell>
          <cell r="N143">
            <v>35152.414705999996</v>
          </cell>
          <cell r="O143">
            <v>37041.879319</v>
          </cell>
          <cell r="P143">
            <v>17570.799279000013</v>
          </cell>
          <cell r="Q143">
            <v>25660.94535899999</v>
          </cell>
          <cell r="R143">
            <v>1159.1199879999913</v>
          </cell>
          <cell r="S143">
            <v>42054.076828999998</v>
          </cell>
          <cell r="T143">
            <v>48640.682814</v>
          </cell>
          <cell r="U143">
            <v>50404.993829000014</v>
          </cell>
          <cell r="V143">
            <v>25511.364419000005</v>
          </cell>
          <cell r="W143">
            <v>6576.5963219999976</v>
          </cell>
          <cell r="X143">
            <v>64115.922673000008</v>
          </cell>
          <cell r="Y143">
            <v>28749.346847999986</v>
          </cell>
          <cell r="Z143">
            <v>44353.009812000004</v>
          </cell>
          <cell r="AA143">
            <v>78522.327247000008</v>
          </cell>
        </row>
        <row r="144">
          <cell r="B144" t="str">
            <v>Perda de Receita: Mudança de tráfego.</v>
          </cell>
        </row>
        <row r="145">
          <cell r="B145" t="str">
            <v>Fluxo de Caixa do Fator</v>
          </cell>
          <cell r="H145">
            <v>-132.08670333333333</v>
          </cell>
          <cell r="I145">
            <v>-83.809629999999999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B146" t="str">
            <v>Somatoria com Projeto Original</v>
          </cell>
          <cell r="F146">
            <v>-168.55621931652107</v>
          </cell>
          <cell r="G146">
            <v>0.19810436350287819</v>
          </cell>
          <cell r="H146">
            <v>-27685.353469258334</v>
          </cell>
          <cell r="I146">
            <v>-21381.084167999998</v>
          </cell>
          <cell r="J146">
            <v>-32715.424994000001</v>
          </cell>
          <cell r="K146">
            <v>-19744.018439437481</v>
          </cell>
          <cell r="L146">
            <v>15480.754270000005</v>
          </cell>
          <cell r="M146">
            <v>31717.205939999993</v>
          </cell>
          <cell r="N146">
            <v>35152.414705999996</v>
          </cell>
          <cell r="O146">
            <v>37041.879319</v>
          </cell>
          <cell r="P146">
            <v>17570.799279000013</v>
          </cell>
          <cell r="Q146">
            <v>25660.94535899999</v>
          </cell>
          <cell r="R146">
            <v>1159.1199879999913</v>
          </cell>
          <cell r="S146">
            <v>42054.076828999998</v>
          </cell>
          <cell r="T146">
            <v>48640.682814</v>
          </cell>
          <cell r="U146">
            <v>50404.993829000014</v>
          </cell>
          <cell r="V146">
            <v>25511.364419000005</v>
          </cell>
          <cell r="W146">
            <v>6576.5963219999976</v>
          </cell>
          <cell r="X146">
            <v>64115.922673000008</v>
          </cell>
          <cell r="Y146">
            <v>28749.346847999986</v>
          </cell>
          <cell r="Z146">
            <v>44353.009812000004</v>
          </cell>
          <cell r="AA146">
            <v>78522.327247000008</v>
          </cell>
        </row>
        <row r="147">
          <cell r="B147" t="str">
            <v>Perda de Receita: Deflator Tarifário -1,2%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-555.11065757838787</v>
          </cell>
          <cell r="S148">
            <v>-1418.4584022150136</v>
          </cell>
          <cell r="T148">
            <v>-2318.6246792382508</v>
          </cell>
          <cell r="U148">
            <v>-3256.0304224624015</v>
          </cell>
          <cell r="V148">
            <v>-4233.4258132190571</v>
          </cell>
          <cell r="W148">
            <v>-5251.5627898682733</v>
          </cell>
          <cell r="X148">
            <v>-6466.293349608135</v>
          </cell>
          <cell r="Y148">
            <v>-7598.9324201344261</v>
          </cell>
          <cell r="Z148">
            <v>-8768.8700028683597</v>
          </cell>
          <cell r="AA148">
            <v>-9985.4588535938365</v>
          </cell>
        </row>
        <row r="149">
          <cell r="B149" t="str">
            <v>Somatoria com Projeto Original</v>
          </cell>
          <cell r="F149">
            <v>-2423.0019496472878</v>
          </cell>
          <cell r="G149">
            <v>0.19250043348565829</v>
          </cell>
          <cell r="H149">
            <v>-27553.266765925</v>
          </cell>
          <cell r="I149">
            <v>-21297.274537999998</v>
          </cell>
          <cell r="J149">
            <v>-32715.424994000001</v>
          </cell>
          <cell r="K149">
            <v>-19744.018439437481</v>
          </cell>
          <cell r="L149">
            <v>15480.754270000005</v>
          </cell>
          <cell r="M149">
            <v>31717.205939999993</v>
          </cell>
          <cell r="N149">
            <v>35152.414705999996</v>
          </cell>
          <cell r="O149">
            <v>37041.879319</v>
          </cell>
          <cell r="P149">
            <v>17570.799279000013</v>
          </cell>
          <cell r="Q149">
            <v>25660.94535899999</v>
          </cell>
          <cell r="R149">
            <v>604.00933042160341</v>
          </cell>
          <cell r="S149">
            <v>40635.618426784982</v>
          </cell>
          <cell r="T149">
            <v>46322.058134761748</v>
          </cell>
          <cell r="U149">
            <v>47148.963406537616</v>
          </cell>
          <cell r="V149">
            <v>21277.938605780946</v>
          </cell>
          <cell r="W149">
            <v>1325.0335321317243</v>
          </cell>
          <cell r="X149">
            <v>57649.62932339187</v>
          </cell>
          <cell r="Y149">
            <v>21150.414427865559</v>
          </cell>
          <cell r="Z149">
            <v>35584.139809131644</v>
          </cell>
          <cell r="AA149">
            <v>68536.86839340617</v>
          </cell>
        </row>
        <row r="150">
          <cell r="B150" t="str">
            <v>Perda de Receita: Ônus Variável (25%)</v>
          </cell>
        </row>
        <row r="151">
          <cell r="B151" t="str">
            <v>Fluxo de Caixa do Fator</v>
          </cell>
          <cell r="H151">
            <v>-79.410275999999982</v>
          </cell>
          <cell r="I151">
            <v>-116.72458599999996</v>
          </cell>
          <cell r="J151">
            <v>-120.26660799999991</v>
          </cell>
          <cell r="K151">
            <v>-123.81452599999989</v>
          </cell>
          <cell r="L151">
            <v>-129.01037599999967</v>
          </cell>
          <cell r="M151">
            <v>-132.4624839999999</v>
          </cell>
          <cell r="N151">
            <v>-137.20286799999977</v>
          </cell>
          <cell r="O151">
            <v>-140.909978</v>
          </cell>
          <cell r="P151">
            <v>-144.36798200000032</v>
          </cell>
          <cell r="Q151">
            <v>-148.09867599999981</v>
          </cell>
          <cell r="R151">
            <v>-151.93697200000003</v>
          </cell>
          <cell r="S151">
            <v>-159.55460400000001</v>
          </cell>
          <cell r="T151">
            <v>-163.93828000000013</v>
          </cell>
          <cell r="U151">
            <v>-168.4148179999998</v>
          </cell>
          <cell r="V151">
            <v>-173.06823599999984</v>
          </cell>
          <cell r="W151">
            <v>-177.85283999999984</v>
          </cell>
          <cell r="X151">
            <v>-187.2495899999999</v>
          </cell>
          <cell r="Y151">
            <v>-192.48523800000004</v>
          </cell>
          <cell r="Z151">
            <v>-197.65602999999942</v>
          </cell>
          <cell r="AA151">
            <v>-202.99043599999942</v>
          </cell>
        </row>
        <row r="152">
          <cell r="B152" t="str">
            <v>Somatoria com Projeto Original</v>
          </cell>
          <cell r="F152">
            <v>-615.34975298276163</v>
          </cell>
          <cell r="G152">
            <v>0.19704496955686568</v>
          </cell>
          <cell r="H152">
            <v>-27632.677041924999</v>
          </cell>
          <cell r="I152">
            <v>-21413.999123999998</v>
          </cell>
          <cell r="J152">
            <v>-32835.691601999999</v>
          </cell>
          <cell r="K152">
            <v>-19867.832965437479</v>
          </cell>
          <cell r="L152">
            <v>15351.743894000005</v>
          </cell>
          <cell r="M152">
            <v>31584.743455999993</v>
          </cell>
          <cell r="N152">
            <v>35015.211837999996</v>
          </cell>
          <cell r="O152">
            <v>36900.969340999996</v>
          </cell>
          <cell r="P152">
            <v>17426.431297000014</v>
          </cell>
          <cell r="Q152">
            <v>25512.846682999989</v>
          </cell>
          <cell r="R152">
            <v>1007.1830159999913</v>
          </cell>
          <cell r="S152">
            <v>41894.522225000001</v>
          </cell>
          <cell r="T152">
            <v>48476.744533999998</v>
          </cell>
          <cell r="U152">
            <v>50236.579011000016</v>
          </cell>
          <cell r="V152">
            <v>25338.296183000006</v>
          </cell>
          <cell r="W152">
            <v>6398.743481999998</v>
          </cell>
          <cell r="X152">
            <v>63928.673083000009</v>
          </cell>
          <cell r="Y152">
            <v>28556.861609999985</v>
          </cell>
          <cell r="Z152">
            <v>44155.353782000006</v>
          </cell>
          <cell r="AA152">
            <v>78319.336811000016</v>
          </cell>
        </row>
        <row r="153">
          <cell r="B153" t="str">
            <v>Alteração dos custos operacionais.</v>
          </cell>
        </row>
        <row r="154">
          <cell r="B154" t="str">
            <v>Fluxo de Caixa do Fator</v>
          </cell>
          <cell r="H154">
            <v>2002.9784</v>
          </cell>
          <cell r="I154">
            <v>-1013.8239000000001</v>
          </cell>
          <cell r="J154">
            <v>175.65389999999806</v>
          </cell>
          <cell r="K154">
            <v>156.36459999999806</v>
          </cell>
          <cell r="L154">
            <v>156.35790000000293</v>
          </cell>
          <cell r="M154">
            <v>156.35790000000293</v>
          </cell>
          <cell r="N154">
            <v>156.35790000000293</v>
          </cell>
          <cell r="O154">
            <v>156.35790000000293</v>
          </cell>
          <cell r="P154">
            <v>156.35790000000293</v>
          </cell>
          <cell r="Q154">
            <v>156.35790000000293</v>
          </cell>
          <cell r="R154">
            <v>156.35790000000293</v>
          </cell>
          <cell r="S154">
            <v>-375.72260000000136</v>
          </cell>
          <cell r="T154">
            <v>-375.72260000000136</v>
          </cell>
          <cell r="U154">
            <v>-375.72260000000136</v>
          </cell>
          <cell r="V154">
            <v>-375.72260000000136</v>
          </cell>
          <cell r="W154">
            <v>-375.72260000000136</v>
          </cell>
          <cell r="X154">
            <v>-375.72260000000136</v>
          </cell>
          <cell r="Y154">
            <v>-375.72260000000136</v>
          </cell>
          <cell r="Z154">
            <v>-375.72260000000136</v>
          </cell>
          <cell r="AA154">
            <v>-375.72260000000136</v>
          </cell>
        </row>
        <row r="155">
          <cell r="B155" t="str">
            <v>Somatoria com Projeto Original</v>
          </cell>
          <cell r="F155">
            <v>1209.8854706950401</v>
          </cell>
          <cell r="G155">
            <v>0.20143103702958184</v>
          </cell>
          <cell r="H155">
            <v>-25550.288365925</v>
          </cell>
          <cell r="I155">
            <v>-22311.098437999997</v>
          </cell>
          <cell r="J155">
            <v>-32539.771094000003</v>
          </cell>
          <cell r="K155">
            <v>-19587.653839437484</v>
          </cell>
          <cell r="L155">
            <v>15637.112170000008</v>
          </cell>
          <cell r="M155">
            <v>31873.563839999995</v>
          </cell>
          <cell r="N155">
            <v>35308.772605999999</v>
          </cell>
          <cell r="O155">
            <v>37198.237219000002</v>
          </cell>
          <cell r="P155">
            <v>17727.157179000016</v>
          </cell>
          <cell r="Q155">
            <v>25817.303258999993</v>
          </cell>
          <cell r="R155">
            <v>1315.4778879999942</v>
          </cell>
          <cell r="S155">
            <v>41678.354228999997</v>
          </cell>
          <cell r="T155">
            <v>48264.960213999999</v>
          </cell>
          <cell r="U155">
            <v>50029.271229000013</v>
          </cell>
          <cell r="V155">
            <v>25135.641819000004</v>
          </cell>
          <cell r="W155">
            <v>6200.8737219999966</v>
          </cell>
          <cell r="X155">
            <v>63740.200073000007</v>
          </cell>
          <cell r="Y155">
            <v>28373.624247999986</v>
          </cell>
          <cell r="Z155">
            <v>43977.287212000003</v>
          </cell>
          <cell r="AA155">
            <v>78146.604647</v>
          </cell>
        </row>
        <row r="156">
          <cell r="B156" t="str">
            <v>1ª Adequação - Investimentos</v>
          </cell>
        </row>
        <row r="157">
          <cell r="B157" t="str">
            <v>Fluxo de Caixa do Fator</v>
          </cell>
          <cell r="H157">
            <v>-1322.4536000000014</v>
          </cell>
          <cell r="I157">
            <v>-14408.6621</v>
          </cell>
          <cell r="J157">
            <v>-352.93119999999942</v>
          </cell>
          <cell r="K157">
            <v>3243.7288000000003</v>
          </cell>
          <cell r="L157">
            <v>-15173.845199999998</v>
          </cell>
          <cell r="M157">
            <v>519.21479999999997</v>
          </cell>
          <cell r="N157">
            <v>637.41480000000001</v>
          </cell>
          <cell r="O157">
            <v>637.41480000000001</v>
          </cell>
          <cell r="P157">
            <v>637.41809999999998</v>
          </cell>
          <cell r="Q157">
            <v>-2356.8740000000007</v>
          </cell>
          <cell r="R157">
            <v>691.71730000000048</v>
          </cell>
          <cell r="S157">
            <v>-4239.3858</v>
          </cell>
          <cell r="T157">
            <v>817.98419999999987</v>
          </cell>
          <cell r="U157">
            <v>763.95</v>
          </cell>
          <cell r="V157">
            <v>3711.836299999999</v>
          </cell>
          <cell r="W157">
            <v>16561.675900000002</v>
          </cell>
          <cell r="X157">
            <v>-851.92409999999995</v>
          </cell>
          <cell r="Y157">
            <v>-527.92079999999999</v>
          </cell>
          <cell r="Z157">
            <v>-5666.9884000000002</v>
          </cell>
          <cell r="AA157">
            <v>-3635.9869999999983</v>
          </cell>
        </row>
        <row r="158">
          <cell r="B158" t="str">
            <v>Somatoria com Projeto Original</v>
          </cell>
          <cell r="F158">
            <v>-15088.704172813104</v>
          </cell>
          <cell r="G158">
            <v>0.16746402650544873</v>
          </cell>
          <cell r="H158">
            <v>-28875.720365925001</v>
          </cell>
          <cell r="I158">
            <v>-35705.936637999999</v>
          </cell>
          <cell r="J158">
            <v>-33068.356194</v>
          </cell>
          <cell r="K158">
            <v>-16500.28963943748</v>
          </cell>
          <cell r="L158">
            <v>306.90907000000698</v>
          </cell>
          <cell r="M158">
            <v>32236.420739999994</v>
          </cell>
          <cell r="N158">
            <v>35789.829505999995</v>
          </cell>
          <cell r="O158">
            <v>37679.294118999998</v>
          </cell>
          <cell r="P158">
            <v>18208.217379000012</v>
          </cell>
          <cell r="Q158">
            <v>23304.07135899999</v>
          </cell>
          <cell r="R158">
            <v>1850.8372879999918</v>
          </cell>
          <cell r="S158">
            <v>37814.691028999994</v>
          </cell>
          <cell r="T158">
            <v>49458.667013999999</v>
          </cell>
          <cell r="U158">
            <v>51168.943829000011</v>
          </cell>
          <cell r="V158">
            <v>29223.200719000004</v>
          </cell>
          <cell r="W158">
            <v>23138.272222</v>
          </cell>
          <cell r="X158">
            <v>63263.998573000012</v>
          </cell>
          <cell r="Y158">
            <v>28221.426047999987</v>
          </cell>
          <cell r="Z158">
            <v>38686.021412000002</v>
          </cell>
          <cell r="AA158">
            <v>74886.340247000015</v>
          </cell>
        </row>
        <row r="159">
          <cell r="B159" t="str">
            <v>Perda de Receita: Estorno de Receita Não Operacional (1/3 da COFINS)</v>
          </cell>
        </row>
        <row r="160">
          <cell r="B160" t="str">
            <v>Fluxo de Caixa do Fator</v>
          </cell>
          <cell r="H160">
            <v>-370.16580354999996</v>
          </cell>
          <cell r="I160">
            <v>-610.53886205000003</v>
          </cell>
          <cell r="J160">
            <v>-629.06202589999998</v>
          </cell>
          <cell r="K160">
            <v>-643.79058940000004</v>
          </cell>
          <cell r="L160">
            <v>-674.8003827</v>
          </cell>
          <cell r="M160">
            <v>-692.85194230000002</v>
          </cell>
          <cell r="N160">
            <v>-717.65107039999998</v>
          </cell>
          <cell r="O160">
            <v>-737.03763279999998</v>
          </cell>
          <cell r="P160">
            <v>-755.13272510000002</v>
          </cell>
          <cell r="Q160">
            <v>-774.64263015000006</v>
          </cell>
          <cell r="R160">
            <v>-794.71846029999995</v>
          </cell>
          <cell r="S160">
            <v>-834.55813624999996</v>
          </cell>
          <cell r="T160">
            <v>-857.12984119999987</v>
          </cell>
          <cell r="U160">
            <v>-880.91320630000007</v>
          </cell>
          <cell r="V160">
            <v>-905.24073014999999</v>
          </cell>
          <cell r="W160">
            <v>-930.27928810000003</v>
          </cell>
          <cell r="X160">
            <v>-979.42770640000003</v>
          </cell>
          <cell r="Y160">
            <v>-1006.8025192500002</v>
          </cell>
          <cell r="Z160">
            <v>-1033.8508368500002</v>
          </cell>
          <cell r="AA160">
            <v>-1061.7552975500003</v>
          </cell>
        </row>
        <row r="161">
          <cell r="B161" t="str">
            <v>Somatoria com Projeto Original</v>
          </cell>
          <cell r="F161">
            <v>-3179.0334735928445</v>
          </cell>
          <cell r="G161">
            <v>0.19101134833162919</v>
          </cell>
          <cell r="H161">
            <v>-27923.432569475</v>
          </cell>
          <cell r="I161">
            <v>-21907.813400049999</v>
          </cell>
          <cell r="J161">
            <v>-33344.4870199</v>
          </cell>
          <cell r="K161">
            <v>-20387.809028837481</v>
          </cell>
          <cell r="L161">
            <v>14805.953887300006</v>
          </cell>
          <cell r="M161">
            <v>31024.353997699993</v>
          </cell>
          <cell r="N161">
            <v>34434.763635599993</v>
          </cell>
          <cell r="O161">
            <v>36304.841686200001</v>
          </cell>
          <cell r="P161">
            <v>16815.666553900013</v>
          </cell>
          <cell r="Q161">
            <v>24886.302728849991</v>
          </cell>
          <cell r="R161">
            <v>364.40152769999133</v>
          </cell>
          <cell r="S161">
            <v>41219.518692749996</v>
          </cell>
          <cell r="T161">
            <v>47783.552972799996</v>
          </cell>
          <cell r="U161">
            <v>49524.080622700014</v>
          </cell>
          <cell r="V161">
            <v>24606.123688850006</v>
          </cell>
          <cell r="W161">
            <v>5646.3170338999971</v>
          </cell>
          <cell r="X161">
            <v>63136.49496660001</v>
          </cell>
          <cell r="Y161">
            <v>27742.544328749987</v>
          </cell>
          <cell r="Z161">
            <v>43319.158975150007</v>
          </cell>
          <cell r="AA161">
            <v>77460.571949450008</v>
          </cell>
        </row>
        <row r="162">
          <cell r="B162" t="str">
            <v>Majoração dos custos operacionais.</v>
          </cell>
        </row>
        <row r="163">
          <cell r="B163" t="str">
            <v>Fluxo de Caixa do Fator</v>
          </cell>
          <cell r="H163">
            <v>-2625.194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B164" t="str">
            <v>Somatoria com Projeto Original</v>
          </cell>
          <cell r="F164">
            <v>-2190.3928699623798</v>
          </cell>
          <cell r="G164">
            <v>0.19344739905711733</v>
          </cell>
          <cell r="H164">
            <v>-30178.460765925</v>
          </cell>
          <cell r="I164">
            <v>-21297.274537999998</v>
          </cell>
          <cell r="J164">
            <v>-32715.424994000001</v>
          </cell>
          <cell r="K164">
            <v>-19744.018439437481</v>
          </cell>
          <cell r="L164">
            <v>15480.754270000005</v>
          </cell>
          <cell r="M164">
            <v>31717.205939999993</v>
          </cell>
          <cell r="N164">
            <v>35152.414705999996</v>
          </cell>
          <cell r="O164">
            <v>37041.879319</v>
          </cell>
          <cell r="P164">
            <v>17570.799279000013</v>
          </cell>
          <cell r="Q164">
            <v>25660.94535899999</v>
          </cell>
          <cell r="R164">
            <v>1159.1199879999913</v>
          </cell>
          <cell r="S164">
            <v>42054.076828999998</v>
          </cell>
          <cell r="T164">
            <v>48640.682814</v>
          </cell>
          <cell r="U164">
            <v>50404.993829000014</v>
          </cell>
          <cell r="V164">
            <v>25511.364419000005</v>
          </cell>
          <cell r="W164">
            <v>6576.5963219999976</v>
          </cell>
          <cell r="X164">
            <v>64115.922673000008</v>
          </cell>
          <cell r="Y164">
            <v>28749.346847999986</v>
          </cell>
          <cell r="Z164">
            <v>44353.009812000004</v>
          </cell>
          <cell r="AA164">
            <v>78522.327247000008</v>
          </cell>
        </row>
        <row r="165">
          <cell r="B165" t="str">
            <v>2ª Adequação - Investimentos</v>
          </cell>
        </row>
        <row r="166">
          <cell r="B166" t="str">
            <v>Fluxo de Caixa do Fator</v>
          </cell>
          <cell r="H166">
            <v>18045.326255339998</v>
          </cell>
          <cell r="I166">
            <v>29684.058456103474</v>
          </cell>
          <cell r="J166">
            <v>6724.5610027694747</v>
          </cell>
          <cell r="K166">
            <v>-14051.08246372135</v>
          </cell>
          <cell r="L166">
            <v>4927.1202535880248</v>
          </cell>
          <cell r="M166">
            <v>-9315.413974811976</v>
          </cell>
          <cell r="N166">
            <v>-17999.825385511976</v>
          </cell>
          <cell r="O166">
            <v>-21334.871611235052</v>
          </cell>
          <cell r="P166">
            <v>-8689.5294727100518</v>
          </cell>
          <cell r="Q166">
            <v>8864.7122490899492</v>
          </cell>
          <cell r="R166">
            <v>29446.782857139948</v>
          </cell>
          <cell r="S166">
            <v>-615.30330009338525</v>
          </cell>
          <cell r="T166">
            <v>-14900.556884555886</v>
          </cell>
          <cell r="U166">
            <v>-19324.772971984457</v>
          </cell>
          <cell r="V166">
            <v>-12694.408953984459</v>
          </cell>
          <cell r="W166">
            <v>8686.1510552555428</v>
          </cell>
          <cell r="X166">
            <v>-672.08962281945901</v>
          </cell>
          <cell r="Y166">
            <v>36949.111625080535</v>
          </cell>
          <cell r="Z166">
            <v>14368.135367280542</v>
          </cell>
          <cell r="AA166">
            <v>-17026.632549719463</v>
          </cell>
        </row>
        <row r="167">
          <cell r="B167" t="str">
            <v>Somatoria com Projeto Original</v>
          </cell>
          <cell r="F167">
            <v>23369.045554849468</v>
          </cell>
          <cell r="G167">
            <v>0.30031602663667029</v>
          </cell>
          <cell r="H167">
            <v>-9507.9405105850019</v>
          </cell>
          <cell r="I167">
            <v>8386.783918103476</v>
          </cell>
          <cell r="J167">
            <v>-25990.863991230526</v>
          </cell>
          <cell r="K167">
            <v>-33795.100903158833</v>
          </cell>
          <cell r="L167">
            <v>20407.874523588031</v>
          </cell>
          <cell r="M167">
            <v>22401.791965188015</v>
          </cell>
          <cell r="N167">
            <v>17152.589320488019</v>
          </cell>
          <cell r="O167">
            <v>15707.007707764948</v>
          </cell>
          <cell r="P167">
            <v>8881.2698062899617</v>
          </cell>
          <cell r="Q167">
            <v>34525.657608089939</v>
          </cell>
          <cell r="R167">
            <v>30605.902845139939</v>
          </cell>
          <cell r="S167">
            <v>41438.773528906611</v>
          </cell>
          <cell r="T167">
            <v>33740.125929444112</v>
          </cell>
          <cell r="U167">
            <v>31080.220857015556</v>
          </cell>
          <cell r="V167">
            <v>12816.955465015546</v>
          </cell>
          <cell r="W167">
            <v>15262.74737725554</v>
          </cell>
          <cell r="X167">
            <v>63443.833050180547</v>
          </cell>
          <cell r="Y167">
            <v>65698.458473080522</v>
          </cell>
          <cell r="Z167">
            <v>58721.145179280546</v>
          </cell>
          <cell r="AA167">
            <v>61495.694697280545</v>
          </cell>
        </row>
        <row r="168">
          <cell r="B168" t="str">
            <v>Inclusão da CPMF</v>
          </cell>
        </row>
        <row r="169">
          <cell r="B169" t="str">
            <v>Fluxo de Caixa do Fator</v>
          </cell>
          <cell r="H169">
            <v>-162.14670000000001</v>
          </cell>
          <cell r="I169">
            <v>-296.36109999999996</v>
          </cell>
          <cell r="J169">
            <v>-343.69659999999999</v>
          </cell>
          <cell r="K169">
            <v>-383.32709999999997</v>
          </cell>
          <cell r="L169">
            <v>-324.548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-858.28618143449103</v>
          </cell>
          <cell r="G170">
            <v>0.19648192706937506</v>
          </cell>
          <cell r="H170">
            <v>-27715.413465925001</v>
          </cell>
          <cell r="I170">
            <v>-21593.635637999996</v>
          </cell>
          <cell r="J170">
            <v>-33059.121594000004</v>
          </cell>
          <cell r="K170">
            <v>-20127.34553943748</v>
          </cell>
          <cell r="L170">
            <v>15156.206270000004</v>
          </cell>
          <cell r="M170">
            <v>31717.205939999993</v>
          </cell>
          <cell r="N170">
            <v>35152.414705999996</v>
          </cell>
          <cell r="O170">
            <v>37041.879319</v>
          </cell>
          <cell r="P170">
            <v>17570.799279000013</v>
          </cell>
          <cell r="Q170">
            <v>25660.94535899999</v>
          </cell>
          <cell r="R170">
            <v>1159.1199879999913</v>
          </cell>
          <cell r="S170">
            <v>42054.076828999998</v>
          </cell>
          <cell r="T170">
            <v>48640.682814</v>
          </cell>
          <cell r="U170">
            <v>50404.993829000014</v>
          </cell>
          <cell r="V170">
            <v>25511.364419000005</v>
          </cell>
          <cell r="W170">
            <v>6576.5963219999976</v>
          </cell>
          <cell r="X170">
            <v>64115.922673000008</v>
          </cell>
          <cell r="Y170">
            <v>28749.346847999986</v>
          </cell>
          <cell r="Z170">
            <v>44353.009812000004</v>
          </cell>
          <cell r="AA170">
            <v>78522.327247000008</v>
          </cell>
        </row>
        <row r="171">
          <cell r="B171" t="str">
            <v>3ª Adequação - Investimentos</v>
          </cell>
        </row>
        <row r="172">
          <cell r="B172" t="str">
            <v>Fluxo de Caixa do Fator</v>
          </cell>
          <cell r="H172">
            <v>-199.13605733999987</v>
          </cell>
          <cell r="I172">
            <v>145.5328513702095</v>
          </cell>
          <cell r="J172">
            <v>503.98667737087595</v>
          </cell>
          <cell r="K172">
            <v>19142.644276332288</v>
          </cell>
          <cell r="L172">
            <v>-5685.9925034770858</v>
          </cell>
          <cell r="M172">
            <v>-11224.426671077084</v>
          </cell>
          <cell r="N172">
            <v>-1063.4811770913709</v>
          </cell>
          <cell r="O172">
            <v>227.33885109324541</v>
          </cell>
          <cell r="P172">
            <v>-2487.6157424317571</v>
          </cell>
          <cell r="Q172">
            <v>18.518335768243887</v>
          </cell>
          <cell r="R172">
            <v>-596.81284428175536</v>
          </cell>
          <cell r="S172">
            <v>-786.26680038175539</v>
          </cell>
          <cell r="T172">
            <v>185.0123110807456</v>
          </cell>
          <cell r="U172">
            <v>233.97767908074485</v>
          </cell>
          <cell r="V172">
            <v>229.56836108074563</v>
          </cell>
          <cell r="W172">
            <v>534.44611184074711</v>
          </cell>
          <cell r="X172">
            <v>425.60321091574502</v>
          </cell>
          <cell r="Y172">
            <v>351.70366101574581</v>
          </cell>
          <cell r="Z172">
            <v>234.10042581574723</v>
          </cell>
          <cell r="AA172">
            <v>235.95697281574451</v>
          </cell>
        </row>
        <row r="173">
          <cell r="B173" t="str">
            <v>Somatoria com Projeto Original</v>
          </cell>
          <cell r="F173">
            <v>2645.2747340554552</v>
          </cell>
          <cell r="G173">
            <v>0.20507598296551729</v>
          </cell>
          <cell r="H173">
            <v>-27752.402823265002</v>
          </cell>
          <cell r="I173">
            <v>-21151.74168662979</v>
          </cell>
          <cell r="J173">
            <v>-32211.438316629126</v>
          </cell>
          <cell r="K173">
            <v>-601.37416310519257</v>
          </cell>
          <cell r="L173">
            <v>9794.7617665229191</v>
          </cell>
          <cell r="M173">
            <v>20492.77926892291</v>
          </cell>
          <cell r="N173">
            <v>34088.933528908623</v>
          </cell>
          <cell r="O173">
            <v>37269.218170093241</v>
          </cell>
          <cell r="P173">
            <v>15083.183536568256</v>
          </cell>
          <cell r="Q173">
            <v>25679.463694768234</v>
          </cell>
          <cell r="R173">
            <v>562.30714371823592</v>
          </cell>
          <cell r="S173">
            <v>41267.810028618245</v>
          </cell>
          <cell r="T173">
            <v>48825.695125080747</v>
          </cell>
          <cell r="U173">
            <v>50638.971508080758</v>
          </cell>
          <cell r="V173">
            <v>25740.932780080751</v>
          </cell>
          <cell r="W173">
            <v>7111.0424338407447</v>
          </cell>
          <cell r="X173">
            <v>64541.525883915754</v>
          </cell>
          <cell r="Y173">
            <v>29101.050509015731</v>
          </cell>
          <cell r="Z173">
            <v>44587.110237815752</v>
          </cell>
          <cell r="AA173">
            <v>78758.28421981576</v>
          </cell>
        </row>
        <row r="174">
          <cell r="B174" t="str">
            <v>4ª Adequação - Investimentos</v>
          </cell>
        </row>
        <row r="175">
          <cell r="B175" t="str">
            <v>Fluxo de Caixa do Fator</v>
          </cell>
          <cell r="H175">
            <v>0</v>
          </cell>
          <cell r="I175">
            <v>898.10561052631601</v>
          </cell>
          <cell r="J175">
            <v>479.90654385964837</v>
          </cell>
          <cell r="K175">
            <v>309.33538503612016</v>
          </cell>
          <cell r="L175">
            <v>1693.5812537861204</v>
          </cell>
          <cell r="M175">
            <v>6549.3672937861202</v>
          </cell>
          <cell r="N175">
            <v>1400.4535050718353</v>
          </cell>
          <cell r="O175">
            <v>-5010.7619232358584</v>
          </cell>
          <cell r="P175">
            <v>9409.0887717641435</v>
          </cell>
          <cell r="Q175">
            <v>-10757.691195235859</v>
          </cell>
          <cell r="R175">
            <v>3188.1983182641416</v>
          </cell>
          <cell r="S175">
            <v>-4542.234350902525</v>
          </cell>
          <cell r="T175">
            <v>-1255.6503759025252</v>
          </cell>
          <cell r="U175">
            <v>-101.30654733109581</v>
          </cell>
          <cell r="V175">
            <v>-1377.118822331099</v>
          </cell>
          <cell r="W175">
            <v>-695.33335383109761</v>
          </cell>
          <cell r="X175">
            <v>-218.13657645609737</v>
          </cell>
          <cell r="Y175">
            <v>-333.60153545609597</v>
          </cell>
          <cell r="Z175">
            <v>-674.68078045609548</v>
          </cell>
          <cell r="AA175">
            <v>540.72998654390528</v>
          </cell>
        </row>
        <row r="176">
          <cell r="B176" t="str">
            <v>Somatoria com Projeto Original</v>
          </cell>
          <cell r="F176">
            <v>2881.9166794727389</v>
          </cell>
          <cell r="G176">
            <v>0.20556530036106066</v>
          </cell>
          <cell r="H176">
            <v>-27553.266765925</v>
          </cell>
          <cell r="I176">
            <v>-20399.168927473682</v>
          </cell>
          <cell r="J176">
            <v>-32235.518450140353</v>
          </cell>
          <cell r="K176">
            <v>-19434.683054401361</v>
          </cell>
          <cell r="L176">
            <v>17174.335523786125</v>
          </cell>
          <cell r="M176">
            <v>38266.573233786112</v>
          </cell>
          <cell r="N176">
            <v>36552.868211071829</v>
          </cell>
          <cell r="O176">
            <v>32031.11739576414</v>
          </cell>
          <cell r="P176">
            <v>26979.888050764159</v>
          </cell>
          <cell r="Q176">
            <v>14903.254163764132</v>
          </cell>
          <cell r="R176">
            <v>4347.3183062641328</v>
          </cell>
          <cell r="S176">
            <v>37511.842478097475</v>
          </cell>
          <cell r="T176">
            <v>47385.032438097478</v>
          </cell>
          <cell r="U176">
            <v>50303.687281668921</v>
          </cell>
          <cell r="V176">
            <v>24134.245596668905</v>
          </cell>
          <cell r="W176">
            <v>5881.2629681688995</v>
          </cell>
          <cell r="X176">
            <v>63897.78609654391</v>
          </cell>
          <cell r="Y176">
            <v>28415.745312543891</v>
          </cell>
          <cell r="Z176">
            <v>43678.329031543908</v>
          </cell>
          <cell r="AA176">
            <v>79063.057233543906</v>
          </cell>
        </row>
        <row r="177">
          <cell r="B177" t="str">
            <v>5ª Adequação - Investimentos</v>
          </cell>
        </row>
        <row r="178">
          <cell r="B178" t="str">
            <v>Fluxo de Caixa do Fator</v>
          </cell>
          <cell r="H178">
            <v>199.13599199999982</v>
          </cell>
          <cell r="I178">
            <v>223.80877199999969</v>
          </cell>
          <cell r="J178">
            <v>249.65760599999999</v>
          </cell>
          <cell r="K178">
            <v>293.7069299999996</v>
          </cell>
          <cell r="L178">
            <v>310.83393000000069</v>
          </cell>
          <cell r="M178">
            <v>642.52506599999958</v>
          </cell>
          <cell r="N178">
            <v>17.181784285714201</v>
          </cell>
          <cell r="O178">
            <v>-164.91788986813214</v>
          </cell>
          <cell r="P178">
            <v>267.57127513186828</v>
          </cell>
          <cell r="Q178">
            <v>2388.7603421318677</v>
          </cell>
          <cell r="R178">
            <v>651.0869206318672</v>
          </cell>
          <cell r="S178">
            <v>-3130.1308235347992</v>
          </cell>
          <cell r="T178">
            <v>38.880466965198721</v>
          </cell>
          <cell r="U178">
            <v>-47.353782177655631</v>
          </cell>
          <cell r="V178">
            <v>-96.703577177655646</v>
          </cell>
          <cell r="W178">
            <v>-177.6500856776571</v>
          </cell>
          <cell r="X178">
            <v>-239.52969405265435</v>
          </cell>
          <cell r="Y178">
            <v>-241.49965305265599</v>
          </cell>
          <cell r="Z178">
            <v>-178.81063505266204</v>
          </cell>
          <cell r="AA178">
            <v>-241.6792120526593</v>
          </cell>
        </row>
        <row r="179">
          <cell r="B179" t="str">
            <v>Somatoria com Projeto Original</v>
          </cell>
          <cell r="F179">
            <v>1044.7345832090148</v>
          </cell>
          <cell r="G179">
            <v>0.20100687359725994</v>
          </cell>
          <cell r="H179">
            <v>-27354.130773925001</v>
          </cell>
          <cell r="I179">
            <v>-21073.465765999998</v>
          </cell>
          <cell r="J179">
            <v>-32465.767388</v>
          </cell>
          <cell r="K179">
            <v>-19450.311509437481</v>
          </cell>
          <cell r="L179">
            <v>15791.588200000006</v>
          </cell>
          <cell r="M179">
            <v>32359.731005999991</v>
          </cell>
          <cell r="N179">
            <v>35169.596490285709</v>
          </cell>
          <cell r="O179">
            <v>36876.961429131865</v>
          </cell>
          <cell r="P179">
            <v>17838.370554131881</v>
          </cell>
          <cell r="Q179">
            <v>28049.705701131857</v>
          </cell>
          <cell r="R179">
            <v>1810.2069086318584</v>
          </cell>
          <cell r="S179">
            <v>38923.946005465201</v>
          </cell>
          <cell r="T179">
            <v>48679.563280965202</v>
          </cell>
          <cell r="U179">
            <v>50357.640046822358</v>
          </cell>
          <cell r="V179">
            <v>25414.660841822348</v>
          </cell>
          <cell r="W179">
            <v>6398.9462363223402</v>
          </cell>
          <cell r="X179">
            <v>63876.392978947355</v>
          </cell>
          <cell r="Y179">
            <v>28507.847194947331</v>
          </cell>
          <cell r="Z179">
            <v>44174.199176947339</v>
          </cell>
          <cell r="AA179">
            <v>78280.648034947342</v>
          </cell>
        </row>
        <row r="180">
          <cell r="B180" t="str">
            <v>Perda de Receita: Parcelamento do Reajuste Tarifário de Julho/2003.</v>
          </cell>
        </row>
        <row r="181">
          <cell r="B181" t="str">
            <v>Fluxo de Caixa do Fator</v>
          </cell>
          <cell r="H181">
            <v>0</v>
          </cell>
          <cell r="I181">
            <v>0</v>
          </cell>
          <cell r="J181">
            <v>0</v>
          </cell>
          <cell r="K181">
            <v>-1696.9096464534218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 t="str">
            <v>Somatoria com Projeto Original</v>
          </cell>
          <cell r="F182">
            <v>-822.4342251999758</v>
          </cell>
          <cell r="G182">
            <v>0.19656252595076318</v>
          </cell>
          <cell r="H182">
            <v>-27553.266765925</v>
          </cell>
          <cell r="I182">
            <v>-21297.274537999998</v>
          </cell>
          <cell r="J182">
            <v>-32715.424994000001</v>
          </cell>
          <cell r="K182">
            <v>-21440.928085890904</v>
          </cell>
          <cell r="L182">
            <v>15480.754270000005</v>
          </cell>
          <cell r="M182">
            <v>31717.205939999993</v>
          </cell>
          <cell r="N182">
            <v>35152.414705999996</v>
          </cell>
          <cell r="O182">
            <v>37041.879319</v>
          </cell>
          <cell r="P182">
            <v>17570.799279000013</v>
          </cell>
          <cell r="Q182">
            <v>25660.94535899999</v>
          </cell>
          <cell r="R182">
            <v>1159.1199879999913</v>
          </cell>
          <cell r="S182">
            <v>42054.076828999998</v>
          </cell>
          <cell r="T182">
            <v>48640.682814</v>
          </cell>
          <cell r="U182">
            <v>50404.993829000014</v>
          </cell>
          <cell r="V182">
            <v>25511.364419000005</v>
          </cell>
          <cell r="W182">
            <v>6576.5963219999976</v>
          </cell>
          <cell r="X182">
            <v>64115.922673000008</v>
          </cell>
          <cell r="Y182">
            <v>28749.346847999986</v>
          </cell>
          <cell r="Z182">
            <v>44353.009812000004</v>
          </cell>
          <cell r="AA182">
            <v>78522.327247000008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15622.89892378333</v>
          </cell>
          <cell r="I184">
            <v>14421.585511950001</v>
          </cell>
          <cell r="J184">
            <v>6687.8092960999975</v>
          </cell>
          <cell r="K184">
            <v>7063.1464513136343</v>
          </cell>
          <cell r="L184">
            <v>-13505.877875417935</v>
          </cell>
          <cell r="M184">
            <v>-12091.759076797936</v>
          </cell>
          <cell r="N184">
            <v>-16276.212191625793</v>
          </cell>
          <cell r="O184">
            <v>-24923.423863435793</v>
          </cell>
          <cell r="P184">
            <v>-139.55448469079562</v>
          </cell>
          <cell r="Q184">
            <v>-1112.2596586107961</v>
          </cell>
          <cell r="R184">
            <v>33561.665798000817</v>
          </cell>
          <cell r="S184">
            <v>-16101.61481737748</v>
          </cell>
          <cell r="T184">
            <v>-18829.74568285072</v>
          </cell>
          <cell r="U184">
            <v>-23156.586669174867</v>
          </cell>
          <cell r="V184">
            <v>-15914.284071781525</v>
          </cell>
          <cell r="W184">
            <v>18173.872109619264</v>
          </cell>
          <cell r="X184">
            <v>-9564.7700284206021</v>
          </cell>
          <cell r="Y184">
            <v>27023.850520203101</v>
          </cell>
          <cell r="Z184">
            <v>-2294.3434921308299</v>
          </cell>
          <cell r="AA184">
            <v>-31753.538989556309</v>
          </cell>
        </row>
        <row r="185">
          <cell r="B185" t="str">
            <v>Somatoria com Projeto Original</v>
          </cell>
          <cell r="F185">
            <v>8943.3681873269234</v>
          </cell>
          <cell r="G185">
            <v>0.23113971541512929</v>
          </cell>
          <cell r="H185">
            <v>-11930.36784214167</v>
          </cell>
          <cell r="I185">
            <v>-6875.6890260499968</v>
          </cell>
          <cell r="J185">
            <v>-26027.615697900004</v>
          </cell>
          <cell r="K185">
            <v>-12680.871988123847</v>
          </cell>
          <cell r="L185">
            <v>1974.8763945820701</v>
          </cell>
          <cell r="M185">
            <v>19625.446863202058</v>
          </cell>
          <cell r="N185">
            <v>18876.202514374203</v>
          </cell>
          <cell r="O185">
            <v>12118.455455564206</v>
          </cell>
          <cell r="P185">
            <v>17431.244794309219</v>
          </cell>
          <cell r="Q185">
            <v>24548.685700389193</v>
          </cell>
          <cell r="R185">
            <v>34720.785786000808</v>
          </cell>
          <cell r="S185">
            <v>25952.46201162252</v>
          </cell>
          <cell r="T185">
            <v>29810.93713114928</v>
          </cell>
          <cell r="U185">
            <v>27248.407159825147</v>
          </cell>
          <cell r="V185">
            <v>9597.0803472184798</v>
          </cell>
          <cell r="W185">
            <v>24750.468431619262</v>
          </cell>
          <cell r="X185">
            <v>54551.152644579408</v>
          </cell>
          <cell r="Y185">
            <v>55773.197368203088</v>
          </cell>
          <cell r="Z185">
            <v>42058.666319869175</v>
          </cell>
          <cell r="AA185">
            <v>46768.788257443695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57462.094250000002</v>
          </cell>
          <cell r="H191">
            <v>84016.89</v>
          </cell>
          <cell r="I191">
            <v>86565.188145487089</v>
          </cell>
          <cell r="J191">
            <v>86628.552532327827</v>
          </cell>
          <cell r="K191">
            <v>94399.705593440129</v>
          </cell>
          <cell r="L191">
            <v>97185.502025399619</v>
          </cell>
          <cell r="M191">
            <v>100640.85686347817</v>
          </cell>
          <cell r="N191">
            <v>103649.96883176302</v>
          </cell>
          <cell r="O191">
            <v>106422.409</v>
          </cell>
          <cell r="P191">
            <v>109159.75300000001</v>
          </cell>
          <cell r="Q191">
            <v>111973.80499999999</v>
          </cell>
          <cell r="R191">
            <v>115022.46</v>
          </cell>
          <cell r="S191">
            <v>121038.73419999999</v>
          </cell>
          <cell r="T191">
            <v>124346.819</v>
          </cell>
          <cell r="U191">
            <v>127772.3542</v>
          </cell>
          <cell r="V191">
            <v>131305.785</v>
          </cell>
          <cell r="W191">
            <v>134987.35</v>
          </cell>
          <cell r="X191">
            <v>138769.87</v>
          </cell>
          <cell r="Y191">
            <v>142494.95000000001</v>
          </cell>
          <cell r="Z191">
            <v>146338.14000000001</v>
          </cell>
          <cell r="AA191">
            <v>2220181.1876418963</v>
          </cell>
        </row>
        <row r="192">
          <cell r="B192" t="str">
            <v>1.1 - Operacionais    (1.1.1 + 1.1.2)</v>
          </cell>
          <cell r="G192">
            <v>57462.094250000002</v>
          </cell>
          <cell r="H192">
            <v>84016.89</v>
          </cell>
          <cell r="I192">
            <v>86565.188145487089</v>
          </cell>
          <cell r="J192">
            <v>86628.552532327827</v>
          </cell>
          <cell r="K192">
            <v>94399.705593440129</v>
          </cell>
          <cell r="L192">
            <v>97185.502025399619</v>
          </cell>
          <cell r="M192">
            <v>100640.85686347817</v>
          </cell>
          <cell r="N192">
            <v>103649.96883176302</v>
          </cell>
          <cell r="O192">
            <v>106422.409</v>
          </cell>
          <cell r="P192">
            <v>109159.75300000001</v>
          </cell>
          <cell r="Q192">
            <v>111973.80499999999</v>
          </cell>
          <cell r="R192">
            <v>115022.46</v>
          </cell>
          <cell r="S192">
            <v>121038.73419999999</v>
          </cell>
          <cell r="T192">
            <v>124346.819</v>
          </cell>
          <cell r="U192">
            <v>127772.3542</v>
          </cell>
          <cell r="V192">
            <v>131305.785</v>
          </cell>
          <cell r="W192">
            <v>134987.35</v>
          </cell>
          <cell r="X192">
            <v>138769.87</v>
          </cell>
          <cell r="Y192">
            <v>142494.95000000001</v>
          </cell>
          <cell r="Z192">
            <v>146338.14000000001</v>
          </cell>
          <cell r="AA192">
            <v>2220181.1876418963</v>
          </cell>
        </row>
        <row r="193">
          <cell r="B193" t="str">
            <v>1.1.1 - Receitas de  Pedágios    (Transp. Qd.2.1.1.2)</v>
          </cell>
          <cell r="G193">
            <v>56923.354250000004</v>
          </cell>
          <cell r="H193">
            <v>83225</v>
          </cell>
          <cell r="I193">
            <v>85749.268145487091</v>
          </cell>
          <cell r="J193">
            <v>85788.562532327822</v>
          </cell>
          <cell r="K193">
            <v>93524.465593440123</v>
          </cell>
          <cell r="L193">
            <v>96286.842025399616</v>
          </cell>
          <cell r="M193">
            <v>99710.036863478163</v>
          </cell>
          <cell r="N193">
            <v>102693.99883176302</v>
          </cell>
          <cell r="O193">
            <v>105442.97900000001</v>
          </cell>
          <cell r="P193">
            <v>108155.01300000001</v>
          </cell>
          <cell r="Q193">
            <v>110943.02499999999</v>
          </cell>
          <cell r="R193">
            <v>113940</v>
          </cell>
          <cell r="S193">
            <v>119926.53419999999</v>
          </cell>
          <cell r="T193">
            <v>123204.249</v>
          </cell>
          <cell r="U193">
            <v>126598.2142</v>
          </cell>
          <cell r="V193">
            <v>130099.185</v>
          </cell>
          <cell r="W193">
            <v>133717</v>
          </cell>
          <cell r="X193">
            <v>137464</v>
          </cell>
          <cell r="Y193">
            <v>141154</v>
          </cell>
          <cell r="Z193">
            <v>144961</v>
          </cell>
          <cell r="AA193">
            <v>2199506.7276418963</v>
          </cell>
        </row>
        <row r="194">
          <cell r="B194" t="str">
            <v>1.1.2 - Outras Receitas Operacionais    (calculado 2.1.2.)</v>
          </cell>
          <cell r="G194">
            <v>538.74</v>
          </cell>
          <cell r="H194">
            <v>791.89</v>
          </cell>
          <cell r="I194">
            <v>815.92000000000007</v>
          </cell>
          <cell r="J194">
            <v>839.99000000000012</v>
          </cell>
          <cell r="K194">
            <v>875.24</v>
          </cell>
          <cell r="L194">
            <v>898.65999999999985</v>
          </cell>
          <cell r="M194">
            <v>930.82</v>
          </cell>
          <cell r="N194">
            <v>955.97000000000014</v>
          </cell>
          <cell r="O194">
            <v>979.43000000000006</v>
          </cell>
          <cell r="P194">
            <v>1004.74</v>
          </cell>
          <cell r="Q194">
            <v>1030.78</v>
          </cell>
          <cell r="R194">
            <v>1082.46</v>
          </cell>
          <cell r="S194">
            <v>1112.2</v>
          </cell>
          <cell r="T194">
            <v>1142.57</v>
          </cell>
          <cell r="U194">
            <v>1174.1400000000001</v>
          </cell>
          <cell r="V194">
            <v>1206.5999999999999</v>
          </cell>
          <cell r="W194">
            <v>1270.3499999999999</v>
          </cell>
          <cell r="X194">
            <v>1305.8699999999999</v>
          </cell>
          <cell r="Y194">
            <v>1340.95</v>
          </cell>
          <cell r="Z194">
            <v>1377.14</v>
          </cell>
          <cell r="AA194">
            <v>20674.460000000003</v>
          </cell>
        </row>
        <row r="195">
          <cell r="B195" t="str">
            <v>2 -  DEDUÇÕES DA RECEITA    (2.1)</v>
          </cell>
          <cell r="G195">
            <v>2114.9955259036565</v>
          </cell>
          <cell r="H195">
            <v>5857.1233839898296</v>
          </cell>
          <cell r="I195">
            <v>4760.5793854512613</v>
          </cell>
          <cell r="J195">
            <v>5080.9921641245846</v>
          </cell>
          <cell r="K195">
            <v>6174.2212726180051</v>
          </cell>
          <cell r="L195">
            <v>8388.8361333566681</v>
          </cell>
          <cell r="M195">
            <v>8723.3157313263309</v>
          </cell>
          <cell r="N195">
            <v>8984.0869749736175</v>
          </cell>
          <cell r="O195">
            <v>9224.353653918175</v>
          </cell>
          <cell r="P195">
            <v>9461.6204770627046</v>
          </cell>
          <cell r="Q195">
            <v>9705.5362575149684</v>
          </cell>
          <cell r="R195">
            <v>9970.2380501722837</v>
          </cell>
          <cell r="S195">
            <v>10491.215996471396</v>
          </cell>
          <cell r="T195">
            <v>10777.949022045948</v>
          </cell>
          <cell r="U195">
            <v>11074.86497703472</v>
          </cell>
          <cell r="V195">
            <v>11381.130194209842</v>
          </cell>
          <cell r="W195">
            <v>11700.809777520883</v>
          </cell>
          <cell r="X195">
            <v>12028.680682022354</v>
          </cell>
          <cell r="Y195">
            <v>12351.573049515562</v>
          </cell>
          <cell r="Z195">
            <v>12684.704469616003</v>
          </cell>
          <cell r="AA195">
            <v>180936.82717884879</v>
          </cell>
        </row>
        <row r="196">
          <cell r="B196" t="str">
            <v>2.1 - Tributos sobre Faturamento    (2.1.1+ .... + 2.1.4)</v>
          </cell>
          <cell r="G196">
            <v>2114.9955259036565</v>
          </cell>
          <cell r="H196">
            <v>5857.1233839898296</v>
          </cell>
          <cell r="I196">
            <v>4760.5793854512613</v>
          </cell>
          <cell r="J196">
            <v>5080.9921641245846</v>
          </cell>
          <cell r="K196">
            <v>6174.2212726180051</v>
          </cell>
          <cell r="L196">
            <v>8388.8361333566681</v>
          </cell>
          <cell r="M196">
            <v>8723.3157313263309</v>
          </cell>
          <cell r="N196">
            <v>8984.0869749736175</v>
          </cell>
          <cell r="O196">
            <v>9224.353653918175</v>
          </cell>
          <cell r="P196">
            <v>9461.6204770627046</v>
          </cell>
          <cell r="Q196">
            <v>9705.5362575149684</v>
          </cell>
          <cell r="R196">
            <v>9970.2380501722837</v>
          </cell>
          <cell r="S196">
            <v>10491.215996471396</v>
          </cell>
          <cell r="T196">
            <v>10777.949022045948</v>
          </cell>
          <cell r="U196">
            <v>11074.86497703472</v>
          </cell>
          <cell r="V196">
            <v>11381.130194209842</v>
          </cell>
          <cell r="W196">
            <v>11700.809777520883</v>
          </cell>
          <cell r="X196">
            <v>12028.680682022354</v>
          </cell>
          <cell r="Y196">
            <v>12351.573049515562</v>
          </cell>
          <cell r="Z196">
            <v>12684.704469616003</v>
          </cell>
          <cell r="AA196">
            <v>180936.82717884879</v>
          </cell>
        </row>
        <row r="197">
          <cell r="B197" t="str">
            <v>2.1.1 - I.S.S    (transp. Qd  1.3.)</v>
          </cell>
          <cell r="G197">
            <v>0</v>
          </cell>
          <cell r="H197">
            <v>2775.2935633396719</v>
          </cell>
          <cell r="I197">
            <v>1500.6164643946813</v>
          </cell>
          <cell r="J197">
            <v>1468.0105510258313</v>
          </cell>
          <cell r="K197">
            <v>1475.1060481625518</v>
          </cell>
          <cell r="L197">
            <v>4824.3012769558518</v>
          </cell>
          <cell r="M197">
            <v>5032.0428431739092</v>
          </cell>
          <cell r="N197">
            <v>5182.4984415881518</v>
          </cell>
          <cell r="O197">
            <v>5321.1204500000003</v>
          </cell>
          <cell r="P197">
            <v>5457.9876500000009</v>
          </cell>
          <cell r="Q197">
            <v>5598.6902499999997</v>
          </cell>
          <cell r="R197">
            <v>5751.1230000000005</v>
          </cell>
          <cell r="S197">
            <v>6051.9367099999999</v>
          </cell>
          <cell r="T197">
            <v>6217.3409500000007</v>
          </cell>
          <cell r="U197">
            <v>6388.6177100000004</v>
          </cell>
          <cell r="V197">
            <v>6565.2892500000007</v>
          </cell>
          <cell r="W197">
            <v>6749.3675000000003</v>
          </cell>
          <cell r="X197">
            <v>6938.4935000000005</v>
          </cell>
          <cell r="Y197">
            <v>7124.7475000000013</v>
          </cell>
          <cell r="Z197">
            <v>7316.9070000000011</v>
          </cell>
          <cell r="AA197">
            <v>97739.490658640643</v>
          </cell>
        </row>
        <row r="198">
          <cell r="B198" t="str">
            <v>2.1.2 - Cofins    (transp. Qd 1.3.)</v>
          </cell>
          <cell r="G198">
            <v>1732.3690275000001</v>
          </cell>
          <cell r="H198">
            <v>2533.0103999999997</v>
          </cell>
          <cell r="I198">
            <v>2609.8385443646125</v>
          </cell>
          <cell r="J198">
            <v>2614.3784958457318</v>
          </cell>
          <cell r="K198">
            <v>3846.1276014341774</v>
          </cell>
          <cell r="L198">
            <v>2929.7544607619884</v>
          </cell>
          <cell r="M198">
            <v>3033.9230059043452</v>
          </cell>
          <cell r="N198">
            <v>3124.5932649528904</v>
          </cell>
          <cell r="O198">
            <v>3208.1369699999996</v>
          </cell>
          <cell r="P198">
            <v>3290.6568900000002</v>
          </cell>
          <cell r="Q198">
            <v>3375.4897499999997</v>
          </cell>
          <cell r="R198">
            <v>3467.7651000000001</v>
          </cell>
          <cell r="S198">
            <v>3648.7231259999994</v>
          </cell>
          <cell r="T198">
            <v>3748.4450700000002</v>
          </cell>
          <cell r="U198">
            <v>3851.709726</v>
          </cell>
          <cell r="V198">
            <v>3958.2253499999997</v>
          </cell>
          <cell r="W198">
            <v>4069.6787999999997</v>
          </cell>
          <cell r="X198">
            <v>4183.7150999999994</v>
          </cell>
          <cell r="Y198">
            <v>4296.0213000000003</v>
          </cell>
          <cell r="Z198">
            <v>4411.8885</v>
          </cell>
          <cell r="AA198">
            <v>67934.450482763743</v>
          </cell>
        </row>
        <row r="199">
          <cell r="B199" t="str">
            <v>2.1.3 - Pis / Pasep    (transp. Qd 1.3.)</v>
          </cell>
          <cell r="G199">
            <v>375.34649840365603</v>
          </cell>
          <cell r="H199">
            <v>548.81942065015835</v>
          </cell>
          <cell r="I199">
            <v>650.12437669196663</v>
          </cell>
          <cell r="J199">
            <v>998.60311725302142</v>
          </cell>
          <cell r="K199">
            <v>852.98762302127557</v>
          </cell>
          <cell r="L199">
            <v>634.78039563882726</v>
          </cell>
          <cell r="M199">
            <v>657.3498822480766</v>
          </cell>
          <cell r="N199">
            <v>676.99526843257422</v>
          </cell>
          <cell r="O199">
            <v>695.09623391817581</v>
          </cell>
          <cell r="P199">
            <v>712.97593706270345</v>
          </cell>
          <cell r="Q199">
            <v>731.35625751496821</v>
          </cell>
          <cell r="R199">
            <v>751.34995017228368</v>
          </cell>
          <cell r="S199">
            <v>790.55616047139688</v>
          </cell>
          <cell r="T199">
            <v>812.16300204594688</v>
          </cell>
          <cell r="U199">
            <v>834.53754103472033</v>
          </cell>
          <cell r="V199">
            <v>857.61559420984111</v>
          </cell>
          <cell r="W199">
            <v>881.76347752088338</v>
          </cell>
          <cell r="X199">
            <v>906.47208202235288</v>
          </cell>
          <cell r="Y199">
            <v>930.80424951556006</v>
          </cell>
          <cell r="Z199">
            <v>955.90896961600322</v>
          </cell>
          <cell r="AA199">
            <v>15255.606037444393</v>
          </cell>
        </row>
        <row r="200">
          <cell r="B200" t="str">
            <v>2.1.4 - CPMF    (transp Qd 1.3.)</v>
          </cell>
          <cell r="G200">
            <v>7.2800000000000011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7.2800000000000011</v>
          </cell>
        </row>
        <row r="201">
          <cell r="B201" t="str">
            <v>3 -  RECEITA LIQUIDA    (1 - 2)</v>
          </cell>
          <cell r="G201">
            <v>55347.098724096344</v>
          </cell>
          <cell r="H201">
            <v>78159.766616010165</v>
          </cell>
          <cell r="I201">
            <v>81804.60876003583</v>
          </cell>
          <cell r="J201">
            <v>81547.560368203238</v>
          </cell>
          <cell r="K201">
            <v>88225.484320822128</v>
          </cell>
          <cell r="L201">
            <v>88796.665892042947</v>
          </cell>
          <cell r="M201">
            <v>91917.541132151833</v>
          </cell>
          <cell r="N201">
            <v>94665.881856789405</v>
          </cell>
          <cell r="O201">
            <v>97198.055346081819</v>
          </cell>
          <cell r="P201">
            <v>99698.132522937303</v>
          </cell>
          <cell r="Q201">
            <v>102268.26874248503</v>
          </cell>
          <cell r="R201">
            <v>105052.22194982773</v>
          </cell>
          <cell r="S201">
            <v>110547.5182035286</v>
          </cell>
          <cell r="T201">
            <v>113568.86997795405</v>
          </cell>
          <cell r="U201">
            <v>116697.48922296528</v>
          </cell>
          <cell r="V201">
            <v>119924.65480579017</v>
          </cell>
          <cell r="W201">
            <v>123286.54022247912</v>
          </cell>
          <cell r="X201">
            <v>126741.18931797764</v>
          </cell>
          <cell r="Y201">
            <v>130143.37695048445</v>
          </cell>
          <cell r="Z201">
            <v>133653.43553038401</v>
          </cell>
          <cell r="AA201">
            <v>2039244.3604630474</v>
          </cell>
        </row>
        <row r="202">
          <cell r="B202" t="str">
            <v>4 -  DESPESAS    (4.1)</v>
          </cell>
          <cell r="G202">
            <v>36746.529271178566</v>
          </cell>
          <cell r="H202">
            <v>45125.240027700886</v>
          </cell>
          <cell r="I202">
            <v>49988.117085265847</v>
          </cell>
          <cell r="J202">
            <v>57779.426339094891</v>
          </cell>
          <cell r="K202">
            <v>60778.527323427072</v>
          </cell>
          <cell r="L202">
            <v>62401.394791147832</v>
          </cell>
          <cell r="M202">
            <v>63878.799580992723</v>
          </cell>
          <cell r="N202">
            <v>66281.395371075007</v>
          </cell>
          <cell r="O202">
            <v>68945.130155367529</v>
          </cell>
          <cell r="P202">
            <v>72484.354925824795</v>
          </cell>
          <cell r="Q202">
            <v>75674.949224066018</v>
          </cell>
          <cell r="R202">
            <v>82927.143677783562</v>
          </cell>
          <cell r="S202">
            <v>85041.248817625601</v>
          </cell>
          <cell r="T202">
            <v>86931.741530387255</v>
          </cell>
          <cell r="U202">
            <v>89521.047933412367</v>
          </cell>
          <cell r="V202">
            <v>90118.554974989864</v>
          </cell>
          <cell r="W202">
            <v>90904.700981617745</v>
          </cell>
          <cell r="X202">
            <v>92124.411361368126</v>
          </cell>
          <cell r="Y202">
            <v>103309.96087287524</v>
          </cell>
          <cell r="Z202">
            <v>130182.06501180034</v>
          </cell>
          <cell r="AA202">
            <v>1511144.7392570013</v>
          </cell>
        </row>
        <row r="203">
          <cell r="B203" t="str">
            <v>4.1 - Operacionais    (4.1.1+ .... + 4.1.10)</v>
          </cell>
          <cell r="G203">
            <v>36746.529271178566</v>
          </cell>
          <cell r="H203">
            <v>45125.240027700886</v>
          </cell>
          <cell r="I203">
            <v>49988.117085265847</v>
          </cell>
          <cell r="J203">
            <v>57779.426339094891</v>
          </cell>
          <cell r="K203">
            <v>60778.527323427072</v>
          </cell>
          <cell r="L203">
            <v>62401.394791147832</v>
          </cell>
          <cell r="M203">
            <v>63878.799580992723</v>
          </cell>
          <cell r="N203">
            <v>66281.395371075007</v>
          </cell>
          <cell r="O203">
            <v>68945.130155367529</v>
          </cell>
          <cell r="P203">
            <v>72484.354925824795</v>
          </cell>
          <cell r="Q203">
            <v>75674.949224066018</v>
          </cell>
          <cell r="R203">
            <v>82927.143677783562</v>
          </cell>
          <cell r="S203">
            <v>85041.248817625601</v>
          </cell>
          <cell r="T203">
            <v>86931.741530387255</v>
          </cell>
          <cell r="U203">
            <v>89521.047933412367</v>
          </cell>
          <cell r="V203">
            <v>90118.554974989864</v>
          </cell>
          <cell r="W203">
            <v>90904.700981617745</v>
          </cell>
          <cell r="X203">
            <v>92124.411361368126</v>
          </cell>
          <cell r="Y203">
            <v>103309.96087287524</v>
          </cell>
          <cell r="Z203">
            <v>130182.06501180034</v>
          </cell>
          <cell r="AA203">
            <v>1511144.7392570013</v>
          </cell>
        </row>
        <row r="204">
          <cell r="B204" t="str">
            <v>4.1.1  -  Pessoal e Administradores    (Transp. Qd. 1.3.)</v>
          </cell>
          <cell r="G204">
            <v>21419.41</v>
          </cell>
          <cell r="H204">
            <v>27415.760000000002</v>
          </cell>
          <cell r="I204">
            <v>28974.810000000005</v>
          </cell>
          <cell r="J204">
            <v>33552.080000000002</v>
          </cell>
          <cell r="K204">
            <v>34013.339999999997</v>
          </cell>
          <cell r="L204">
            <v>34474.6</v>
          </cell>
          <cell r="M204">
            <v>34474.6</v>
          </cell>
          <cell r="N204">
            <v>34474.6</v>
          </cell>
          <cell r="O204">
            <v>34474.6</v>
          </cell>
          <cell r="P204">
            <v>34474.6</v>
          </cell>
          <cell r="Q204">
            <v>34474.6</v>
          </cell>
          <cell r="R204">
            <v>36395.280000000006</v>
          </cell>
          <cell r="S204">
            <v>36395.280000000006</v>
          </cell>
          <cell r="T204">
            <v>36395.280000000006</v>
          </cell>
          <cell r="U204">
            <v>36395.280000000006</v>
          </cell>
          <cell r="V204">
            <v>36395.280000000006</v>
          </cell>
          <cell r="W204">
            <v>36395.280000000006</v>
          </cell>
          <cell r="X204">
            <v>36395.280000000006</v>
          </cell>
          <cell r="Y204">
            <v>36395.280000000006</v>
          </cell>
          <cell r="Z204">
            <v>36395.280000000006</v>
          </cell>
          <cell r="AA204">
            <v>679780.52000000025</v>
          </cell>
        </row>
        <row r="205">
          <cell r="B205" t="str">
            <v>4.1.2  -  Conservação de Rotina    (Transp. Qd. 1.3.)</v>
          </cell>
          <cell r="G205">
            <v>7051.97</v>
          </cell>
          <cell r="H205">
            <v>6654.58</v>
          </cell>
          <cell r="I205">
            <v>6684.02</v>
          </cell>
          <cell r="J205">
            <v>6841.86</v>
          </cell>
          <cell r="K205">
            <v>7245.19</v>
          </cell>
          <cell r="L205">
            <v>7487.46</v>
          </cell>
          <cell r="M205">
            <v>7487.46</v>
          </cell>
          <cell r="N205">
            <v>7487.46</v>
          </cell>
          <cell r="O205">
            <v>7487.46</v>
          </cell>
          <cell r="P205">
            <v>7487.46</v>
          </cell>
          <cell r="Q205">
            <v>7487.46</v>
          </cell>
          <cell r="R205">
            <v>7487.46</v>
          </cell>
          <cell r="S205">
            <v>7487.46</v>
          </cell>
          <cell r="T205">
            <v>7487.46</v>
          </cell>
          <cell r="U205">
            <v>7487.46</v>
          </cell>
          <cell r="V205">
            <v>7487.46</v>
          </cell>
          <cell r="W205">
            <v>7778.24</v>
          </cell>
          <cell r="X205">
            <v>7778.24</v>
          </cell>
          <cell r="Y205">
            <v>7778.24</v>
          </cell>
          <cell r="Z205">
            <v>7778.24</v>
          </cell>
          <cell r="AA205">
            <v>147952.64000000001</v>
          </cell>
        </row>
        <row r="206">
          <cell r="B206" t="str">
            <v>4.1.3  -  Consumo    (Transp. Qd. 1.3.)</v>
          </cell>
          <cell r="G206">
            <v>389.71000000000004</v>
          </cell>
          <cell r="H206">
            <v>452.17999999999995</v>
          </cell>
          <cell r="I206">
            <v>719.11</v>
          </cell>
          <cell r="J206">
            <v>913.36000000000013</v>
          </cell>
          <cell r="K206">
            <v>919.5100000000001</v>
          </cell>
          <cell r="L206">
            <v>925.66000000000008</v>
          </cell>
          <cell r="M206">
            <v>925.66000000000008</v>
          </cell>
          <cell r="N206">
            <v>925.66000000000008</v>
          </cell>
          <cell r="O206">
            <v>925.66000000000008</v>
          </cell>
          <cell r="P206">
            <v>925.66000000000008</v>
          </cell>
          <cell r="Q206">
            <v>925.66000000000008</v>
          </cell>
          <cell r="R206">
            <v>951.64</v>
          </cell>
          <cell r="S206">
            <v>951.64</v>
          </cell>
          <cell r="T206">
            <v>951.64</v>
          </cell>
          <cell r="U206">
            <v>951.64</v>
          </cell>
          <cell r="V206">
            <v>951.64</v>
          </cell>
          <cell r="W206">
            <v>951.64</v>
          </cell>
          <cell r="X206">
            <v>951.64</v>
          </cell>
          <cell r="Y206">
            <v>951.64</v>
          </cell>
          <cell r="Z206">
            <v>951.64</v>
          </cell>
          <cell r="AA206">
            <v>17512.589999999997</v>
          </cell>
        </row>
        <row r="207">
          <cell r="B207" t="str">
            <v>4.1.4  -  Transportes    (Transp. Qd. 1.3.)</v>
          </cell>
          <cell r="G207">
            <v>655.61</v>
          </cell>
          <cell r="H207">
            <v>701.7299999999999</v>
          </cell>
          <cell r="I207">
            <v>710.3</v>
          </cell>
          <cell r="J207">
            <v>800.9</v>
          </cell>
          <cell r="K207">
            <v>802.13</v>
          </cell>
          <cell r="L207">
            <v>803.36</v>
          </cell>
          <cell r="M207">
            <v>803.36</v>
          </cell>
          <cell r="N207">
            <v>803.36</v>
          </cell>
          <cell r="O207">
            <v>803.36</v>
          </cell>
          <cell r="P207">
            <v>803.36</v>
          </cell>
          <cell r="Q207">
            <v>803.36</v>
          </cell>
          <cell r="R207">
            <v>811.93</v>
          </cell>
          <cell r="S207">
            <v>811.93</v>
          </cell>
          <cell r="T207">
            <v>811.93</v>
          </cell>
          <cell r="U207">
            <v>811.93</v>
          </cell>
          <cell r="V207">
            <v>811.93</v>
          </cell>
          <cell r="W207">
            <v>811.93</v>
          </cell>
          <cell r="X207">
            <v>811.93</v>
          </cell>
          <cell r="Y207">
            <v>811.93</v>
          </cell>
          <cell r="Z207">
            <v>811.93</v>
          </cell>
          <cell r="AA207">
            <v>15798.2</v>
          </cell>
        </row>
        <row r="208">
          <cell r="B208" t="str">
            <v>4.1.5  -  Diversas    (Transp. Qd. 1.3.)</v>
          </cell>
          <cell r="G208">
            <v>2867.3599999999997</v>
          </cell>
          <cell r="H208">
            <v>2776.08</v>
          </cell>
          <cell r="I208">
            <v>2561.1</v>
          </cell>
          <cell r="J208">
            <v>2915</v>
          </cell>
          <cell r="K208">
            <v>2857.6099999999997</v>
          </cell>
          <cell r="L208">
            <v>2800.23</v>
          </cell>
          <cell r="M208">
            <v>2800.23</v>
          </cell>
          <cell r="N208">
            <v>2800.23</v>
          </cell>
          <cell r="O208">
            <v>2800.23</v>
          </cell>
          <cell r="P208">
            <v>2800.23</v>
          </cell>
          <cell r="Q208">
            <v>2800.23</v>
          </cell>
          <cell r="R208">
            <v>3116.6099999999997</v>
          </cell>
          <cell r="S208">
            <v>3116.6099999999997</v>
          </cell>
          <cell r="T208">
            <v>3116.6099999999997</v>
          </cell>
          <cell r="U208">
            <v>3116.6099999999997</v>
          </cell>
          <cell r="V208">
            <v>3116.6099999999997</v>
          </cell>
          <cell r="W208">
            <v>3116.6099999999997</v>
          </cell>
          <cell r="X208">
            <v>3116.6099999999997</v>
          </cell>
          <cell r="Y208">
            <v>3116.6099999999997</v>
          </cell>
          <cell r="Z208">
            <v>3116.6099999999997</v>
          </cell>
          <cell r="AA208">
            <v>58828.02</v>
          </cell>
        </row>
        <row r="209">
          <cell r="B209" t="str">
            <v>4.1.6  -  Depreciação/Amortização    (Transp. Qd. 1.3.)</v>
          </cell>
          <cell r="G209">
            <v>1673.0006000000001</v>
          </cell>
          <cell r="H209">
            <v>3534.0346</v>
          </cell>
          <cell r="I209">
            <v>6651.3428000000013</v>
          </cell>
          <cell r="J209">
            <v>9060.6842352941185</v>
          </cell>
          <cell r="K209">
            <v>11023.059235294117</v>
          </cell>
          <cell r="L209">
            <v>11886.836701960785</v>
          </cell>
          <cell r="M209">
            <v>13238.358330532214</v>
          </cell>
          <cell r="N209">
            <v>15556.963007455286</v>
          </cell>
          <cell r="O209">
            <v>18139.425174121956</v>
          </cell>
          <cell r="P209">
            <v>21560.41163775832</v>
          </cell>
          <cell r="Q209">
            <v>24620.057187758317</v>
          </cell>
          <cell r="R209">
            <v>29532.099159980542</v>
          </cell>
          <cell r="S209">
            <v>31449.648559980546</v>
          </cell>
          <cell r="T209">
            <v>33207.294388551978</v>
          </cell>
          <cell r="U209">
            <v>35657.411888551971</v>
          </cell>
          <cell r="V209">
            <v>36077.16033855197</v>
          </cell>
          <cell r="W209">
            <v>36527.637076051971</v>
          </cell>
          <cell r="X209">
            <v>37623.372042718649</v>
          </cell>
          <cell r="Y209">
            <v>48686.703442718652</v>
          </cell>
          <cell r="Z209">
            <v>75432.724342718648</v>
          </cell>
          <cell r="AA209">
            <v>501138.22474999999</v>
          </cell>
        </row>
        <row r="210">
          <cell r="B210" t="str">
            <v>4.1.7  -  Seguros    (transp. Qd 1.3.)</v>
          </cell>
          <cell r="G210">
            <v>420.48399999999998</v>
          </cell>
          <cell r="H210">
            <v>469.55099999999999</v>
          </cell>
          <cell r="I210">
            <v>484.37599999999998</v>
          </cell>
          <cell r="J210">
            <v>485.28799999999995</v>
          </cell>
          <cell r="K210">
            <v>466.54499999999996</v>
          </cell>
          <cell r="L210">
            <v>483.37700000000001</v>
          </cell>
          <cell r="M210">
            <v>498.52599999999995</v>
          </cell>
          <cell r="N210">
            <v>486.71000000000004</v>
          </cell>
          <cell r="O210">
            <v>479.649</v>
          </cell>
          <cell r="P210">
            <v>510.19699999999995</v>
          </cell>
          <cell r="Q210">
            <v>550.99599999999998</v>
          </cell>
          <cell r="R210">
            <v>516.70600000000002</v>
          </cell>
          <cell r="S210">
            <v>526.23700000000008</v>
          </cell>
          <cell r="T210">
            <v>553.15800000000002</v>
          </cell>
          <cell r="U210">
            <v>582.63300000000004</v>
          </cell>
          <cell r="V210">
            <v>647.24900000000002</v>
          </cell>
          <cell r="W210">
            <v>567.66800000000001</v>
          </cell>
          <cell r="X210">
            <v>570.35</v>
          </cell>
          <cell r="Y210">
            <v>573.10200000000009</v>
          </cell>
          <cell r="Z210">
            <v>575.92700000000002</v>
          </cell>
          <cell r="AA210">
            <v>10448.729000000001</v>
          </cell>
        </row>
        <row r="211">
          <cell r="B211" t="str">
            <v xml:space="preserve">4.1.8  -  Garantias  (transp. Qd 1.3.)  </v>
          </cell>
          <cell r="G211">
            <v>426.59961700784004</v>
          </cell>
          <cell r="H211">
            <v>426.59961700784004</v>
          </cell>
          <cell r="I211">
            <v>426.59961700784004</v>
          </cell>
          <cell r="J211">
            <v>426.59961700784004</v>
          </cell>
          <cell r="K211">
            <v>426.59961700784004</v>
          </cell>
          <cell r="L211">
            <v>426.59961700784004</v>
          </cell>
          <cell r="M211">
            <v>426.59961700784004</v>
          </cell>
          <cell r="N211">
            <v>426.59961700784004</v>
          </cell>
          <cell r="O211">
            <v>426.59961700784004</v>
          </cell>
          <cell r="P211">
            <v>426.59961700784004</v>
          </cell>
          <cell r="Q211">
            <v>426.59961700784004</v>
          </cell>
          <cell r="R211">
            <v>426.59961700784004</v>
          </cell>
          <cell r="S211">
            <v>426.59961700784004</v>
          </cell>
          <cell r="T211">
            <v>426.59961700784004</v>
          </cell>
          <cell r="U211">
            <v>426.59961700784004</v>
          </cell>
          <cell r="V211">
            <v>426.59961700784004</v>
          </cell>
          <cell r="W211">
            <v>426.59961700784004</v>
          </cell>
          <cell r="X211">
            <v>426.59961700784004</v>
          </cell>
          <cell r="Y211">
            <v>426.59961700784004</v>
          </cell>
          <cell r="Z211">
            <v>426.59961700784004</v>
          </cell>
          <cell r="AA211">
            <v>8531.9923401567976</v>
          </cell>
        </row>
        <row r="212">
          <cell r="B212" t="str">
            <v xml:space="preserve">4.1.9  -  Parc.Variável da Concessão   </v>
          </cell>
          <cell r="G212">
            <v>1842.3850541707204</v>
          </cell>
          <cell r="H212">
            <v>2694.7248106930383</v>
          </cell>
          <cell r="I212">
            <v>2776.458668258002</v>
          </cell>
          <cell r="J212">
            <v>2783.6544867929247</v>
          </cell>
          <cell r="K212">
            <v>3024.5434711251178</v>
          </cell>
          <cell r="L212">
            <v>3113.2714721792031</v>
          </cell>
          <cell r="M212">
            <v>3224.0056334526607</v>
          </cell>
          <cell r="N212">
            <v>3319.8127466118817</v>
          </cell>
          <cell r="O212">
            <v>3408.1463642377353</v>
          </cell>
          <cell r="P212">
            <v>3495.8366710586315</v>
          </cell>
          <cell r="Q212">
            <v>3585.9864192998534</v>
          </cell>
          <cell r="R212">
            <v>3688.8189007951551</v>
          </cell>
          <cell r="S212">
            <v>3875.8436406372161</v>
          </cell>
          <cell r="T212">
            <v>3981.7695248274463</v>
          </cell>
          <cell r="U212">
            <v>4091.483427852555</v>
          </cell>
          <cell r="V212">
            <v>4204.6260194300366</v>
          </cell>
          <cell r="W212">
            <v>4329.0962885579247</v>
          </cell>
          <cell r="X212">
            <v>4450.3897016416295</v>
          </cell>
          <cell r="Y212">
            <v>4569.8558131487371</v>
          </cell>
          <cell r="Z212">
            <v>4693.1140520738609</v>
          </cell>
          <cell r="AA212">
            <v>71153.823166844319</v>
          </cell>
        </row>
        <row r="213">
          <cell r="B213" t="str">
            <v xml:space="preserve">4.1.10 - Parcela Fixa da Concessão   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B214" t="str">
            <v>5 -  RESULTADO BRUTO OPERACIONAL     (3 - 4)</v>
          </cell>
          <cell r="G214">
            <v>18600.569452917778</v>
          </cell>
          <cell r="H214">
            <v>33034.52658830928</v>
          </cell>
          <cell r="I214">
            <v>31816.491674769983</v>
          </cell>
          <cell r="J214">
            <v>23768.134029108347</v>
          </cell>
          <cell r="K214">
            <v>27446.956997395057</v>
          </cell>
          <cell r="L214">
            <v>26395.271100895116</v>
          </cell>
          <cell r="M214">
            <v>28038.74155115911</v>
          </cell>
          <cell r="N214">
            <v>28384.486485714398</v>
          </cell>
          <cell r="O214">
            <v>28252.92519071429</v>
          </cell>
          <cell r="P214">
            <v>27213.777597112508</v>
          </cell>
          <cell r="Q214">
            <v>26593.319518419012</v>
          </cell>
          <cell r="R214">
            <v>22125.078272044164</v>
          </cell>
          <cell r="S214">
            <v>25506.269385902997</v>
          </cell>
          <cell r="T214">
            <v>26637.128447566793</v>
          </cell>
          <cell r="U214">
            <v>27176.441289552909</v>
          </cell>
          <cell r="V214">
            <v>29806.099830800304</v>
          </cell>
          <cell r="W214">
            <v>32381.839240861373</v>
          </cell>
          <cell r="X214">
            <v>34616.777956609512</v>
          </cell>
          <cell r="Y214">
            <v>26833.416077609218</v>
          </cell>
          <cell r="Z214">
            <v>3471.3705185836734</v>
          </cell>
          <cell r="AA214">
            <v>528099.62120604608</v>
          </cell>
        </row>
        <row r="215">
          <cell r="B215" t="str">
            <v>6 -  RESULTADO FINANCEIRO    (6.1)</v>
          </cell>
          <cell r="G215">
            <v>283.54000000000002</v>
          </cell>
          <cell r="H215">
            <v>416.79</v>
          </cell>
          <cell r="I215">
            <v>429.43000000000006</v>
          </cell>
          <cell r="J215">
            <v>442.1</v>
          </cell>
          <cell r="K215">
            <v>460.65000000000003</v>
          </cell>
          <cell r="L215">
            <v>472.98000000000008</v>
          </cell>
          <cell r="M215">
            <v>489.91</v>
          </cell>
          <cell r="N215">
            <v>503.14000000000004</v>
          </cell>
          <cell r="O215">
            <v>515.49</v>
          </cell>
          <cell r="P215">
            <v>528.81000000000006</v>
          </cell>
          <cell r="Q215">
            <v>542.52</v>
          </cell>
          <cell r="R215">
            <v>569.71</v>
          </cell>
          <cell r="S215">
            <v>585.37</v>
          </cell>
          <cell r="T215">
            <v>601.35</v>
          </cell>
          <cell r="U215">
            <v>617.97</v>
          </cell>
          <cell r="V215">
            <v>635.05999999999995</v>
          </cell>
          <cell r="W215">
            <v>668.61</v>
          </cell>
          <cell r="X215">
            <v>687.3</v>
          </cell>
          <cell r="Y215">
            <v>705.76</v>
          </cell>
          <cell r="Z215">
            <v>724.81</v>
          </cell>
          <cell r="AA215">
            <v>10881.300000000001</v>
          </cell>
        </row>
        <row r="216">
          <cell r="B216" t="str">
            <v>6.1 - Receitas    (Transp. Qd. 2B)</v>
          </cell>
          <cell r="G216">
            <v>283.54000000000002</v>
          </cell>
          <cell r="H216">
            <v>416.79</v>
          </cell>
          <cell r="I216">
            <v>429.43000000000006</v>
          </cell>
          <cell r="J216">
            <v>442.1</v>
          </cell>
          <cell r="K216">
            <v>460.65000000000003</v>
          </cell>
          <cell r="L216">
            <v>472.98000000000008</v>
          </cell>
          <cell r="M216">
            <v>489.91</v>
          </cell>
          <cell r="N216">
            <v>503.14000000000004</v>
          </cell>
          <cell r="O216">
            <v>515.49</v>
          </cell>
          <cell r="P216">
            <v>528.81000000000006</v>
          </cell>
          <cell r="Q216">
            <v>542.52</v>
          </cell>
          <cell r="R216">
            <v>569.71</v>
          </cell>
          <cell r="S216">
            <v>585.37</v>
          </cell>
          <cell r="T216">
            <v>601.35</v>
          </cell>
          <cell r="U216">
            <v>617.97</v>
          </cell>
          <cell r="V216">
            <v>635.05999999999995</v>
          </cell>
          <cell r="W216">
            <v>668.61</v>
          </cell>
          <cell r="X216">
            <v>687.3</v>
          </cell>
          <cell r="Y216">
            <v>705.76</v>
          </cell>
          <cell r="Z216">
            <v>724.81</v>
          </cell>
          <cell r="AA216">
            <v>10881.300000000001</v>
          </cell>
        </row>
        <row r="217">
          <cell r="B217" t="str">
            <v>7 -  RESULTADO OPERACIONAL    (5 + 6)</v>
          </cell>
          <cell r="G217">
            <v>18884.109452917779</v>
          </cell>
          <cell r="H217">
            <v>33451.316588309281</v>
          </cell>
          <cell r="I217">
            <v>32245.921674769983</v>
          </cell>
          <cell r="J217">
            <v>24210.234029108346</v>
          </cell>
          <cell r="K217">
            <v>27907.606997395058</v>
          </cell>
          <cell r="L217">
            <v>26868.251100895115</v>
          </cell>
          <cell r="M217">
            <v>28528.65155115911</v>
          </cell>
          <cell r="N217">
            <v>28887.626485714398</v>
          </cell>
          <cell r="O217">
            <v>28768.415190714291</v>
          </cell>
          <cell r="P217">
            <v>27742.58759711251</v>
          </cell>
          <cell r="Q217">
            <v>27135.839518419012</v>
          </cell>
          <cell r="R217">
            <v>22694.788272044163</v>
          </cell>
          <cell r="S217">
            <v>26091.639385902996</v>
          </cell>
          <cell r="T217">
            <v>27238.478447566791</v>
          </cell>
          <cell r="U217">
            <v>27794.411289552911</v>
          </cell>
          <cell r="V217">
            <v>30441.159830800305</v>
          </cell>
          <cell r="W217">
            <v>33050.449240861373</v>
          </cell>
          <cell r="X217">
            <v>35304.077956609515</v>
          </cell>
          <cell r="Y217">
            <v>27539.176077609216</v>
          </cell>
          <cell r="Z217">
            <v>4196.1805185836729</v>
          </cell>
          <cell r="AA217">
            <v>538980.92120604613</v>
          </cell>
        </row>
        <row r="218">
          <cell r="B218" t="str">
            <v>8 -  RESULTADO NÃO OPERACIONAL    (Tr. item 2, Qd. 3A)</v>
          </cell>
          <cell r="G218">
            <v>-1.9110975990372481E-2</v>
          </cell>
          <cell r="H218">
            <v>7.702310128490808E-2</v>
          </cell>
          <cell r="I218">
            <v>2.0796446328063212E-2</v>
          </cell>
          <cell r="J218">
            <v>3.6941030123216478E-3</v>
          </cell>
          <cell r="K218">
            <v>-1.6555936177383046E-2</v>
          </cell>
          <cell r="L218">
            <v>4.038057382081206E-2</v>
          </cell>
          <cell r="M218">
            <v>-1.5748389467148627E-2</v>
          </cell>
          <cell r="N218">
            <v>9.3886330433861076E-3</v>
          </cell>
          <cell r="O218">
            <v>-1.6858742167642049E-2</v>
          </cell>
          <cell r="P218">
            <v>4.2701954388348895E-2</v>
          </cell>
          <cell r="Q218">
            <v>2.2309995115392667E-2</v>
          </cell>
          <cell r="R218">
            <v>0.1300265051779661</v>
          </cell>
          <cell r="S218">
            <v>-7.9512092792811018E-2</v>
          </cell>
          <cell r="T218">
            <v>-1.4839085104313199E-2</v>
          </cell>
          <cell r="U218">
            <v>6.6728418505817899E-2</v>
          </cell>
          <cell r="V218">
            <v>1.5647667863504466E-2</v>
          </cell>
          <cell r="W218">
            <v>-4.0381402514185538E-2</v>
          </cell>
          <cell r="X218">
            <v>7.3388054326869678E-2</v>
          </cell>
          <cell r="Y218">
            <v>-5.622837539158354E-2</v>
          </cell>
          <cell r="Z218">
            <v>-3.1597537958532484E-2</v>
          </cell>
          <cell r="AA218">
            <v>0.21125291530341883</v>
          </cell>
        </row>
        <row r="219">
          <cell r="B219" t="str">
            <v>9 -  RESULTADO ANTES CONTRIBUIÇÃO SOCIAL   (7 + 8)</v>
          </cell>
          <cell r="G219">
            <v>18884.090341941788</v>
          </cell>
          <cell r="H219">
            <v>33451.393611410567</v>
          </cell>
          <cell r="I219">
            <v>32245.942471216313</v>
          </cell>
          <cell r="J219">
            <v>24210.237723211358</v>
          </cell>
          <cell r="K219">
            <v>27907.59044145888</v>
          </cell>
          <cell r="L219">
            <v>26868.291481468936</v>
          </cell>
          <cell r="M219">
            <v>28528.635802769644</v>
          </cell>
          <cell r="N219">
            <v>28887.635874347441</v>
          </cell>
          <cell r="O219">
            <v>28768.398331972123</v>
          </cell>
          <cell r="P219">
            <v>27742.630299066899</v>
          </cell>
          <cell r="Q219">
            <v>27135.861828414127</v>
          </cell>
          <cell r="R219">
            <v>22694.918298549343</v>
          </cell>
          <cell r="S219">
            <v>26091.559873810202</v>
          </cell>
          <cell r="T219">
            <v>27238.463608481688</v>
          </cell>
          <cell r="U219">
            <v>27794.478017971418</v>
          </cell>
          <cell r="V219">
            <v>30441.175478468169</v>
          </cell>
          <cell r="W219">
            <v>33050.408859458861</v>
          </cell>
          <cell r="X219">
            <v>35304.151344663842</v>
          </cell>
          <cell r="Y219">
            <v>27539.119849233823</v>
          </cell>
          <cell r="Z219">
            <v>4196.1489210457148</v>
          </cell>
          <cell r="AA219">
            <v>538981.13245896145</v>
          </cell>
        </row>
        <row r="220">
          <cell r="B220" t="str">
            <v>10- CONTRIBUIÇÃO SOCIAL (Legislação vigente)</v>
          </cell>
          <cell r="G220">
            <v>1510.728756233422</v>
          </cell>
          <cell r="H220">
            <v>2676.105327064744</v>
          </cell>
          <cell r="I220">
            <v>2579.6737339815991</v>
          </cell>
          <cell r="J220">
            <v>1936.8187223286684</v>
          </cell>
          <cell r="K220">
            <v>2232.6085597916035</v>
          </cell>
          <cell r="L220">
            <v>2149.4600880716093</v>
          </cell>
          <cell r="M220">
            <v>2282.2921240927299</v>
          </cell>
          <cell r="N220">
            <v>2311.0101188571516</v>
          </cell>
          <cell r="O220">
            <v>2301.4732152571419</v>
          </cell>
          <cell r="P220">
            <v>2219.4070077689994</v>
          </cell>
          <cell r="Q220">
            <v>2170.8671614735217</v>
          </cell>
          <cell r="R220">
            <v>1815.5830617635334</v>
          </cell>
          <cell r="S220">
            <v>2087.3311508722395</v>
          </cell>
          <cell r="T220">
            <v>2179.0782758053451</v>
          </cell>
          <cell r="U220">
            <v>2223.5529031642332</v>
          </cell>
          <cell r="V220">
            <v>2435.2927864640255</v>
          </cell>
          <cell r="W220">
            <v>2644.0359392689111</v>
          </cell>
          <cell r="X220">
            <v>2824.3262365287596</v>
          </cell>
          <cell r="Y220">
            <v>2203.1340862087386</v>
          </cell>
          <cell r="Z220">
            <v>335.69444148669265</v>
          </cell>
          <cell r="AA220">
            <v>43118.47369648367</v>
          </cell>
        </row>
        <row r="221">
          <cell r="B221" t="str">
            <v>11- RESULTADO ANTES IMPOSTO DE RENDA    (9 - 10)</v>
          </cell>
          <cell r="G221">
            <v>17373.361585708368</v>
          </cell>
          <cell r="H221">
            <v>30775.288284345825</v>
          </cell>
          <cell r="I221">
            <v>29666.268737234714</v>
          </cell>
          <cell r="J221">
            <v>22273.419000882688</v>
          </cell>
          <cell r="K221">
            <v>25674.981881667278</v>
          </cell>
          <cell r="L221">
            <v>24718.831393397326</v>
          </cell>
          <cell r="M221">
            <v>26246.343678676916</v>
          </cell>
          <cell r="N221">
            <v>26576.625755490291</v>
          </cell>
          <cell r="O221">
            <v>26466.925116714981</v>
          </cell>
          <cell r="P221">
            <v>25523.223291297902</v>
          </cell>
          <cell r="Q221">
            <v>24964.994666940605</v>
          </cell>
          <cell r="R221">
            <v>20879.33523678581</v>
          </cell>
          <cell r="S221">
            <v>24004.228722937962</v>
          </cell>
          <cell r="T221">
            <v>25059.385332676342</v>
          </cell>
          <cell r="U221">
            <v>25570.925114807185</v>
          </cell>
          <cell r="V221">
            <v>28005.882692004143</v>
          </cell>
          <cell r="W221">
            <v>30406.372920189951</v>
          </cell>
          <cell r="X221">
            <v>32479.825108135083</v>
          </cell>
          <cell r="Y221">
            <v>25335.985763025084</v>
          </cell>
          <cell r="Z221">
            <v>3860.4544795590223</v>
          </cell>
          <cell r="AA221">
            <v>495862.6587624778</v>
          </cell>
        </row>
        <row r="222">
          <cell r="B222" t="str">
            <v>12- IMPOSTO DE RENDA (Legislação vigente)</v>
          </cell>
          <cell r="G222">
            <v>4697.0225854854461</v>
          </cell>
          <cell r="H222">
            <v>8338.8484028526473</v>
          </cell>
          <cell r="I222">
            <v>8037.4856178040791</v>
          </cell>
          <cell r="J222">
            <v>6028.5594308028412</v>
          </cell>
          <cell r="K222">
            <v>6952.8976103647155</v>
          </cell>
          <cell r="L222">
            <v>6693.0728703672339</v>
          </cell>
          <cell r="M222">
            <v>7108.1589506924101</v>
          </cell>
          <cell r="N222">
            <v>7197.9089685868612</v>
          </cell>
          <cell r="O222">
            <v>7168.0995829930271</v>
          </cell>
          <cell r="P222">
            <v>6911.657574766723</v>
          </cell>
          <cell r="Q222">
            <v>6759.9654571035353</v>
          </cell>
          <cell r="R222">
            <v>5649.7295746373429</v>
          </cell>
          <cell r="S222">
            <v>6498.8899684525504</v>
          </cell>
          <cell r="T222">
            <v>6785.6159021204257</v>
          </cell>
          <cell r="U222">
            <v>6924.6195044928536</v>
          </cell>
          <cell r="V222">
            <v>7586.293869617044</v>
          </cell>
          <cell r="W222">
            <v>8238.6022148647171</v>
          </cell>
          <cell r="X222">
            <v>8802.0378361659568</v>
          </cell>
          <cell r="Y222">
            <v>6860.7799623084602</v>
          </cell>
          <cell r="Z222">
            <v>1025.0372302614246</v>
          </cell>
          <cell r="AA222">
            <v>134265.2831147403</v>
          </cell>
        </row>
        <row r="223">
          <cell r="B223" t="str">
            <v>13- RESULTADO DE EXERCÍCIO    (11 - 12)</v>
          </cell>
          <cell r="G223">
            <v>12676.339000222921</v>
          </cell>
          <cell r="H223">
            <v>22436.439881493177</v>
          </cell>
          <cell r="I223">
            <v>21628.783119430635</v>
          </cell>
          <cell r="J223">
            <v>16244.859570079847</v>
          </cell>
          <cell r="K223">
            <v>18722.084271302563</v>
          </cell>
          <cell r="L223">
            <v>18025.75852303009</v>
          </cell>
          <cell r="M223">
            <v>19138.184727984506</v>
          </cell>
          <cell r="N223">
            <v>19378.716786903431</v>
          </cell>
          <cell r="O223">
            <v>19298.825533721953</v>
          </cell>
          <cell r="P223">
            <v>18611.565716531179</v>
          </cell>
          <cell r="Q223">
            <v>18205.02920983707</v>
          </cell>
          <cell r="R223">
            <v>15229.605662148468</v>
          </cell>
          <cell r="S223">
            <v>17505.338754485412</v>
          </cell>
          <cell r="T223">
            <v>18273.769430555916</v>
          </cell>
          <cell r="U223">
            <v>18646.305610314332</v>
          </cell>
          <cell r="V223">
            <v>20419.588822387101</v>
          </cell>
          <cell r="W223">
            <v>22167.770705325234</v>
          </cell>
          <cell r="X223">
            <v>23677.787271969126</v>
          </cell>
          <cell r="Y223">
            <v>18475.205800716623</v>
          </cell>
          <cell r="Z223">
            <v>2835.4172492975977</v>
          </cell>
          <cell r="AA223">
            <v>361597.37564773753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151254.78980599431</v>
          </cell>
          <cell r="H229">
            <v>156122.44684923536</v>
          </cell>
          <cell r="I229">
            <v>161165.97573009416</v>
          </cell>
          <cell r="J229">
            <v>166392.67816834914</v>
          </cell>
          <cell r="K229">
            <v>171810.2006637016</v>
          </cell>
          <cell r="L229">
            <v>177426.55237003131</v>
          </cell>
          <cell r="M229">
            <v>183250.12395005624</v>
          </cell>
          <cell r="N229">
            <v>189289.70746582557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1356712.4750032877</v>
          </cell>
        </row>
        <row r="230">
          <cell r="B230" t="str">
            <v>1.1 - Operacionais    (1.1.1 + 1.1.2)</v>
          </cell>
          <cell r="G230">
            <v>151254.78980599431</v>
          </cell>
          <cell r="H230">
            <v>156122.44684923536</v>
          </cell>
          <cell r="I230">
            <v>161165.97573009416</v>
          </cell>
          <cell r="J230">
            <v>166392.67816834914</v>
          </cell>
          <cell r="K230">
            <v>171810.2006637016</v>
          </cell>
          <cell r="L230">
            <v>177426.55237003131</v>
          </cell>
          <cell r="M230">
            <v>183250.12395005624</v>
          </cell>
          <cell r="N230">
            <v>189289.70746582557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1356712.4750032877</v>
          </cell>
        </row>
        <row r="231">
          <cell r="B231" t="str">
            <v>1.1.1 - Receitas de  Pedágios    (Transp. Qd.2.1.1.2)</v>
          </cell>
          <cell r="G231">
            <v>149831.38083528151</v>
          </cell>
          <cell r="H231">
            <v>154653.22996255118</v>
          </cell>
          <cell r="I231">
            <v>159649.29585554509</v>
          </cell>
          <cell r="J231">
            <v>164826.8115199637</v>
          </cell>
          <cell r="K231">
            <v>170193.35149681996</v>
          </cell>
          <cell r="L231">
            <v>175756.84956848645</v>
          </cell>
          <cell r="M231">
            <v>181525.61743591999</v>
          </cell>
          <cell r="N231">
            <v>187508.3644219719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1343944.9010965398</v>
          </cell>
        </row>
        <row r="232">
          <cell r="B232" t="str">
            <v>1.1.2 - Outras Receitas Operacionais    (calculado 2.1.2.)</v>
          </cell>
          <cell r="G232">
            <v>1423.4089707128096</v>
          </cell>
          <cell r="H232">
            <v>1469.216886684196</v>
          </cell>
          <cell r="I232">
            <v>1516.6798745490537</v>
          </cell>
          <cell r="J232">
            <v>1565.8666483854472</v>
          </cell>
          <cell r="K232">
            <v>1616.8491668816484</v>
          </cell>
          <cell r="L232">
            <v>1669.7028015448668</v>
          </cell>
          <cell r="M232">
            <v>1724.5065141362356</v>
          </cell>
          <cell r="N232">
            <v>1781.3430438536875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12767.573906747943</v>
          </cell>
        </row>
        <row r="233">
          <cell r="B233" t="str">
            <v>2 -  DEDUÇÕES DA RECEITA    (2.1)</v>
          </cell>
          <cell r="G233">
            <v>13093.370937334019</v>
          </cell>
          <cell r="H233">
            <v>13514.739671141586</v>
          </cell>
          <cell r="I233">
            <v>13951.332750639716</v>
          </cell>
          <cell r="J233">
            <v>14403.782249203818</v>
          </cell>
          <cell r="K233">
            <v>14872.750086083453</v>
          </cell>
          <cell r="L233">
            <v>15358.929573687286</v>
          </cell>
          <cell r="M233">
            <v>15863.047049736702</v>
          </cell>
          <cell r="N233">
            <v>16385.863599086348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117443.81591691292</v>
          </cell>
        </row>
        <row r="234">
          <cell r="B234" t="str">
            <v>2.1 - Tributos sobre Faturamento    (2.1.1+ .... + 2.1.4)</v>
          </cell>
          <cell r="G234">
            <v>13093.370937334019</v>
          </cell>
          <cell r="H234">
            <v>13514.739671141586</v>
          </cell>
          <cell r="I234">
            <v>13951.332750639716</v>
          </cell>
          <cell r="J234">
            <v>14403.782249203818</v>
          </cell>
          <cell r="K234">
            <v>14872.750086083453</v>
          </cell>
          <cell r="L234">
            <v>15358.929573687286</v>
          </cell>
          <cell r="M234">
            <v>15863.047049736702</v>
          </cell>
          <cell r="N234">
            <v>16385.863599086348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117443.81591691292</v>
          </cell>
        </row>
        <row r="235">
          <cell r="B235" t="str">
            <v>2.1.1 - I.S.S    (transp. Qd  1.3.)</v>
          </cell>
          <cell r="G235">
            <v>7562.7394902997157</v>
          </cell>
          <cell r="H235">
            <v>7806.1223424617683</v>
          </cell>
          <cell r="I235">
            <v>8058.298786504708</v>
          </cell>
          <cell r="J235">
            <v>8319.6339084174579</v>
          </cell>
          <cell r="K235">
            <v>8590.5100331850808</v>
          </cell>
          <cell r="L235">
            <v>8871.3276185015657</v>
          </cell>
          <cell r="M235">
            <v>9162.5061975028129</v>
          </cell>
          <cell r="N235">
            <v>9464.4853732912798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67835.623750164392</v>
          </cell>
        </row>
        <row r="236">
          <cell r="B236" t="str">
            <v>2.1.2 - Cofins    (transp. Qd 1.3.)</v>
          </cell>
          <cell r="G236">
            <v>4537.6436941798293</v>
          </cell>
          <cell r="H236">
            <v>4683.6734054770604</v>
          </cell>
          <cell r="I236">
            <v>4834.9792719028246</v>
          </cell>
          <cell r="J236">
            <v>4991.7803450504744</v>
          </cell>
          <cell r="K236">
            <v>5154.3060199110478</v>
          </cell>
          <cell r="L236">
            <v>5322.7965711009392</v>
          </cell>
          <cell r="M236">
            <v>5497.5037185016872</v>
          </cell>
          <cell r="N236">
            <v>5678.6912239747671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40701.374250098626</v>
          </cell>
        </row>
        <row r="237">
          <cell r="B237" t="str">
            <v>2.1.3 - Pis / Pasep    (transp. Qd 1.3.)</v>
          </cell>
          <cell r="G237">
            <v>992.98775285447357</v>
          </cell>
          <cell r="H237">
            <v>1024.9439232027573</v>
          </cell>
          <cell r="I237">
            <v>1058.0546922321828</v>
          </cell>
          <cell r="J237">
            <v>1092.3679957358854</v>
          </cell>
          <cell r="K237">
            <v>1127.9340329873246</v>
          </cell>
          <cell r="L237">
            <v>1164.8053840847806</v>
          </cell>
          <cell r="M237">
            <v>1203.0371337322022</v>
          </cell>
          <cell r="N237">
            <v>1242.6870018203003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8906.8179166499067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138161.41886866029</v>
          </cell>
          <cell r="H239">
            <v>142607.70717809378</v>
          </cell>
          <cell r="I239">
            <v>147214.64297945445</v>
          </cell>
          <cell r="J239">
            <v>151988.89591914532</v>
          </cell>
          <cell r="K239">
            <v>156937.45057761815</v>
          </cell>
          <cell r="L239">
            <v>162067.62279634402</v>
          </cell>
          <cell r="M239">
            <v>167387.07690031955</v>
          </cell>
          <cell r="N239">
            <v>172903.84386673922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1239268.6590863748</v>
          </cell>
        </row>
        <row r="240">
          <cell r="B240" t="str">
            <v>4 -  DESPESAS    (4.1)</v>
          </cell>
          <cell r="G240">
            <v>54642.126649797727</v>
          </cell>
          <cell r="H240">
            <v>54792.510699964805</v>
          </cell>
          <cell r="I240">
            <v>54948.238137287648</v>
          </cell>
          <cell r="J240">
            <v>55109.530276239231</v>
          </cell>
          <cell r="K240">
            <v>55276.618878486595</v>
          </cell>
          <cell r="L240">
            <v>55449.746694482536</v>
          </cell>
          <cell r="M240">
            <v>55629.168034763745</v>
          </cell>
          <cell r="N240">
            <v>55815.149372634536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441663.08874365682</v>
          </cell>
        </row>
        <row r="241">
          <cell r="B241" t="str">
            <v>4.1 - Operacionais    (4.1.1+ .... + 4.1.10)</v>
          </cell>
          <cell r="G241">
            <v>54642.126649797727</v>
          </cell>
          <cell r="H241">
            <v>54792.510699964805</v>
          </cell>
          <cell r="I241">
            <v>54948.238137287648</v>
          </cell>
          <cell r="J241">
            <v>55109.530276239231</v>
          </cell>
          <cell r="K241">
            <v>55276.618878486595</v>
          </cell>
          <cell r="L241">
            <v>55449.746694482536</v>
          </cell>
          <cell r="M241">
            <v>55629.168034763745</v>
          </cell>
          <cell r="N241">
            <v>55815.149372634536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441663.08874365682</v>
          </cell>
        </row>
        <row r="242">
          <cell r="B242" t="str">
            <v>4.1.1  -  Pessoal e Administradores    (Transp. Qd. 1.3.)</v>
          </cell>
          <cell r="G242">
            <v>36395.280000000006</v>
          </cell>
          <cell r="H242">
            <v>36395.280000000006</v>
          </cell>
          <cell r="I242">
            <v>36395.280000000006</v>
          </cell>
          <cell r="J242">
            <v>36395.280000000006</v>
          </cell>
          <cell r="K242">
            <v>36395.280000000006</v>
          </cell>
          <cell r="L242">
            <v>36395.280000000006</v>
          </cell>
          <cell r="M242">
            <v>36395.280000000006</v>
          </cell>
          <cell r="N242">
            <v>36395.280000000006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291162.24000000005</v>
          </cell>
        </row>
        <row r="243">
          <cell r="B243" t="str">
            <v>4.1.2  -  Conservação de Rotina    (Transp. Qd. 1.3.)</v>
          </cell>
          <cell r="G243">
            <v>7778.24</v>
          </cell>
          <cell r="H243">
            <v>7778.24</v>
          </cell>
          <cell r="I243">
            <v>7778.24</v>
          </cell>
          <cell r="J243">
            <v>7778.24</v>
          </cell>
          <cell r="K243">
            <v>7778.24</v>
          </cell>
          <cell r="L243">
            <v>7778.24</v>
          </cell>
          <cell r="M243">
            <v>7778.24</v>
          </cell>
          <cell r="N243">
            <v>7778.24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62225.919999999991</v>
          </cell>
        </row>
        <row r="244">
          <cell r="B244" t="str">
            <v>4.1.3  -  Consumo    (Transp. Qd. 1.3.)</v>
          </cell>
          <cell r="G244">
            <v>951.64</v>
          </cell>
          <cell r="H244">
            <v>951.64</v>
          </cell>
          <cell r="I244">
            <v>951.64</v>
          </cell>
          <cell r="J244">
            <v>951.64</v>
          </cell>
          <cell r="K244">
            <v>951.64</v>
          </cell>
          <cell r="L244">
            <v>951.64</v>
          </cell>
          <cell r="M244">
            <v>951.64</v>
          </cell>
          <cell r="N244">
            <v>951.64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7613.1200000000008</v>
          </cell>
        </row>
        <row r="245">
          <cell r="B245" t="str">
            <v>4.1.4  -  Transportes    (Transp. Qd. 1.3.)</v>
          </cell>
          <cell r="G245">
            <v>811.93</v>
          </cell>
          <cell r="H245">
            <v>811.93</v>
          </cell>
          <cell r="I245">
            <v>811.93</v>
          </cell>
          <cell r="J245">
            <v>811.93</v>
          </cell>
          <cell r="K245">
            <v>811.93</v>
          </cell>
          <cell r="L245">
            <v>811.93</v>
          </cell>
          <cell r="M245">
            <v>811.93</v>
          </cell>
          <cell r="N245">
            <v>811.93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6495.4400000000005</v>
          </cell>
        </row>
        <row r="246">
          <cell r="B246" t="str">
            <v>4.1.5  -  Diversas    (Transp. Qd. 1.3.)</v>
          </cell>
          <cell r="G246">
            <v>3116.6099999999997</v>
          </cell>
          <cell r="H246">
            <v>3116.6099999999997</v>
          </cell>
          <cell r="I246">
            <v>3116.6099999999997</v>
          </cell>
          <cell r="J246">
            <v>3116.6099999999997</v>
          </cell>
          <cell r="K246">
            <v>3116.6099999999997</v>
          </cell>
          <cell r="L246">
            <v>3116.6099999999997</v>
          </cell>
          <cell r="M246">
            <v>3116.6099999999997</v>
          </cell>
          <cell r="N246">
            <v>3116.6099999999997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24932.880000000001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578.80663499999991</v>
          </cell>
          <cell r="H248">
            <v>581.70066817499981</v>
          </cell>
          <cell r="I248">
            <v>584.60917151587478</v>
          </cell>
          <cell r="J248">
            <v>587.53221737345405</v>
          </cell>
          <cell r="K248">
            <v>590.4698784603213</v>
          </cell>
          <cell r="L248">
            <v>593.42222785262288</v>
          </cell>
          <cell r="M248">
            <v>596.38933899188589</v>
          </cell>
          <cell r="N248">
            <v>599.37128568684523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4712.3014230560038</v>
          </cell>
        </row>
        <row r="249">
          <cell r="B249" t="str">
            <v xml:space="preserve">4.1.8  -  Garantias  (transp. Qd 1.3.)  </v>
          </cell>
          <cell r="G249">
            <v>426.59961700784004</v>
          </cell>
          <cell r="H249">
            <v>426.59961700784004</v>
          </cell>
          <cell r="I249">
            <v>426.59961700784004</v>
          </cell>
          <cell r="J249">
            <v>426.59961700784004</v>
          </cell>
          <cell r="K249">
            <v>426.59961700784004</v>
          </cell>
          <cell r="L249">
            <v>426.59961700784004</v>
          </cell>
          <cell r="M249">
            <v>426.59961700784004</v>
          </cell>
          <cell r="N249">
            <v>426.59961700784004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3412.7969360627208</v>
          </cell>
        </row>
        <row r="250">
          <cell r="B250" t="str">
            <v xml:space="preserve">4.1.9  -  Parc.Variável da Concessão   </v>
          </cell>
          <cell r="G250">
            <v>4583.0203977898782</v>
          </cell>
          <cell r="H250">
            <v>4730.5104147819557</v>
          </cell>
          <cell r="I250">
            <v>4883.3293487639212</v>
          </cell>
          <cell r="J250">
            <v>5041.6984418579332</v>
          </cell>
          <cell r="K250">
            <v>5205.8493830184207</v>
          </cell>
          <cell r="L250">
            <v>5376.0248496220647</v>
          </cell>
          <cell r="M250">
            <v>5552.4790787640095</v>
          </cell>
          <cell r="N250">
            <v>5735.4784699398479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41108.390384538026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83519.292218862567</v>
          </cell>
          <cell r="H252">
            <v>87815.196478128986</v>
          </cell>
          <cell r="I252">
            <v>92266.404842166812</v>
          </cell>
          <cell r="J252">
            <v>96879.365642906079</v>
          </cell>
          <cell r="K252">
            <v>101660.83169913155</v>
          </cell>
          <cell r="L252">
            <v>106617.87610186148</v>
          </cell>
          <cell r="M252">
            <v>111757.9088655558</v>
          </cell>
          <cell r="N252">
            <v>117088.69449410468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797605.57034271793</v>
          </cell>
        </row>
        <row r="253">
          <cell r="B253" t="str">
            <v>6 -  RESULTADO FINANCEIRO    (6.1)</v>
          </cell>
          <cell r="G253">
            <v>749.16207216575754</v>
          </cell>
          <cell r="H253">
            <v>773.27148411749852</v>
          </cell>
          <cell r="I253">
            <v>798.25198590695175</v>
          </cell>
          <cell r="J253">
            <v>824.13974281210028</v>
          </cell>
          <cell r="K253">
            <v>850.97262779927053</v>
          </cell>
          <cell r="L253">
            <v>878.79031005397758</v>
          </cell>
          <cell r="M253">
            <v>907.63434836769306</v>
          </cell>
          <cell r="N253">
            <v>937.54828965507579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6719.770860878325</v>
          </cell>
        </row>
        <row r="254">
          <cell r="B254" t="str">
            <v>6.1 - Receitas    (Transp. Qd. 2B)</v>
          </cell>
          <cell r="G254">
            <v>749.16207216575754</v>
          </cell>
          <cell r="H254">
            <v>773.27148411749852</v>
          </cell>
          <cell r="I254">
            <v>798.25198590695175</v>
          </cell>
          <cell r="J254">
            <v>824.13974281210028</v>
          </cell>
          <cell r="K254">
            <v>850.97262779927053</v>
          </cell>
          <cell r="L254">
            <v>878.79031005397758</v>
          </cell>
          <cell r="M254">
            <v>907.63434836769306</v>
          </cell>
          <cell r="N254">
            <v>937.54828965507579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6719.770860878325</v>
          </cell>
        </row>
        <row r="255">
          <cell r="B255" t="str">
            <v>7 -  RESULTADO OPERACIONAL    (5 + 6)</v>
          </cell>
          <cell r="G255">
            <v>84268.45429102832</v>
          </cell>
          <cell r="H255">
            <v>88588.46796224649</v>
          </cell>
          <cell r="I255">
            <v>93064.65682807377</v>
          </cell>
          <cell r="J255">
            <v>97703.505385718177</v>
          </cell>
          <cell r="K255">
            <v>102511.80432693083</v>
          </cell>
          <cell r="L255">
            <v>107496.66641191546</v>
          </cell>
          <cell r="M255">
            <v>112665.54321392349</v>
          </cell>
          <cell r="N255">
            <v>118026.24278375976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804325.34120359621</v>
          </cell>
        </row>
        <row r="256">
          <cell r="B256" t="str">
            <v>8 -  RESULTADO NÃO OPERACIONAL    (Tr. item 2, Qd. 3A)</v>
          </cell>
          <cell r="G256">
            <v>1512.5567870016253</v>
          </cell>
          <cell r="H256">
            <v>1561.2336434965114</v>
          </cell>
          <cell r="I256">
            <v>1611.6692287032108</v>
          </cell>
          <cell r="J256">
            <v>1663.9365602486164</v>
          </cell>
          <cell r="K256">
            <v>1718.11210357911</v>
          </cell>
          <cell r="L256">
            <v>1774.2759507041715</v>
          </cell>
          <cell r="M256">
            <v>1832.5120087440826</v>
          </cell>
          <cell r="N256">
            <v>1892.9081988360281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13567.204481313356</v>
          </cell>
        </row>
        <row r="257">
          <cell r="B257" t="str">
            <v>9 -  RESULTADO ANTES CONTRIBUIÇÃO SOCIAL   (7 + 8)</v>
          </cell>
          <cell r="G257">
            <v>85781.011078029944</v>
          </cell>
          <cell r="H257">
            <v>90149.701605743001</v>
          </cell>
          <cell r="I257">
            <v>94676.326056776976</v>
          </cell>
          <cell r="J257">
            <v>99367.441945966799</v>
          </cell>
          <cell r="K257">
            <v>104229.91643050994</v>
          </cell>
          <cell r="L257">
            <v>109270.94236261964</v>
          </cell>
          <cell r="M257">
            <v>114498.05522266758</v>
          </cell>
          <cell r="N257">
            <v>119919.15098259579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817892.54568490956</v>
          </cell>
        </row>
        <row r="258">
          <cell r="B258" t="str">
            <v>10- CONTRIBUIÇÃO SOCIAL (Legislação vigente)</v>
          </cell>
          <cell r="G258">
            <v>6862.4808862423961</v>
          </cell>
          <cell r="H258">
            <v>7211.9761284594406</v>
          </cell>
          <cell r="I258">
            <v>7574.106084542158</v>
          </cell>
          <cell r="J258">
            <v>7949.395355677344</v>
          </cell>
          <cell r="K258">
            <v>8338.3933144407947</v>
          </cell>
          <cell r="L258">
            <v>8741.6753890095715</v>
          </cell>
          <cell r="M258">
            <v>9159.8444178134068</v>
          </cell>
          <cell r="N258">
            <v>9593.5320786076627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65431.403654792775</v>
          </cell>
        </row>
        <row r="259">
          <cell r="B259" t="str">
            <v>11- RESULTADO ANTES IMPOSTO DE RENDA    (9 - 10)</v>
          </cell>
          <cell r="G259">
            <v>78918.530191787548</v>
          </cell>
          <cell r="H259">
            <v>82937.725477283559</v>
          </cell>
          <cell r="I259">
            <v>87102.219972234816</v>
          </cell>
          <cell r="J259">
            <v>91418.04659028945</v>
          </cell>
          <cell r="K259">
            <v>95891.523116069147</v>
          </cell>
          <cell r="L259">
            <v>100529.26697361007</v>
          </cell>
          <cell r="M259">
            <v>105338.21080485417</v>
          </cell>
          <cell r="N259">
            <v>110325.61890398813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752461.14203011675</v>
          </cell>
        </row>
        <row r="260">
          <cell r="B260" t="str">
            <v>12- IMPOSTO DE RENDA (Legislação vigente)</v>
          </cell>
          <cell r="G260">
            <v>21421.252769507486</v>
          </cell>
          <cell r="H260">
            <v>22513.42540143575</v>
          </cell>
          <cell r="I260">
            <v>23645.081514194244</v>
          </cell>
          <cell r="J260">
            <v>24817.8604864917</v>
          </cell>
          <cell r="K260">
            <v>26033.479107627485</v>
          </cell>
          <cell r="L260">
            <v>27293.735590654909</v>
          </cell>
          <cell r="M260">
            <v>28600.513805666895</v>
          </cell>
          <cell r="N260">
            <v>29955.787745648951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204281.13642122742</v>
          </cell>
        </row>
        <row r="261">
          <cell r="B261" t="str">
            <v>13- RESULTADO DE EXERCÍCIO    (11 - 12)</v>
          </cell>
          <cell r="G261">
            <v>57497.277422280065</v>
          </cell>
          <cell r="H261">
            <v>60424.300075847808</v>
          </cell>
          <cell r="I261">
            <v>63457.138458040572</v>
          </cell>
          <cell r="J261">
            <v>66600.186103797751</v>
          </cell>
          <cell r="K261">
            <v>69858.044008441662</v>
          </cell>
          <cell r="L261">
            <v>73235.53138295516</v>
          </cell>
          <cell r="M261">
            <v>76737.696999187276</v>
          </cell>
          <cell r="N261">
            <v>80369.831158339177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548180.00560888927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57745.615139024012</v>
          </cell>
          <cell r="H267">
            <v>84433.75702310128</v>
          </cell>
          <cell r="I267">
            <v>86994.638941933415</v>
          </cell>
          <cell r="J267">
            <v>87070.656226430845</v>
          </cell>
          <cell r="K267">
            <v>94860.339037503945</v>
          </cell>
          <cell r="L267">
            <v>97658.522405973432</v>
          </cell>
          <cell r="M267">
            <v>101130.7511150887</v>
          </cell>
          <cell r="N267">
            <v>104153.11822039606</v>
          </cell>
          <cell r="O267">
            <v>106937.88214125784</v>
          </cell>
          <cell r="P267">
            <v>109688.6057019544</v>
          </cell>
          <cell r="Q267">
            <v>112516.34730999511</v>
          </cell>
          <cell r="R267">
            <v>115592.3000265052</v>
          </cell>
          <cell r="S267">
            <v>121624.02468790719</v>
          </cell>
          <cell r="T267">
            <v>124948.1541609149</v>
          </cell>
          <cell r="U267">
            <v>128390.39092841851</v>
          </cell>
          <cell r="V267">
            <v>131940.86064766787</v>
          </cell>
          <cell r="W267">
            <v>135655.91961859749</v>
          </cell>
          <cell r="X267">
            <v>139457.24338805431</v>
          </cell>
          <cell r="Y267">
            <v>143200.65377162464</v>
          </cell>
          <cell r="Z267">
            <v>147062.91840246206</v>
          </cell>
          <cell r="AA267">
            <v>2231062.6988948113</v>
          </cell>
        </row>
        <row r="268">
          <cell r="B268" t="str">
            <v>1.1.  RECEITAS     (1.1.1.+ ... + 1.1.4)</v>
          </cell>
          <cell r="G268">
            <v>57745.615139024012</v>
          </cell>
          <cell r="H268">
            <v>84433.75702310128</v>
          </cell>
          <cell r="I268">
            <v>86994.638941933415</v>
          </cell>
          <cell r="J268">
            <v>87070.656226430845</v>
          </cell>
          <cell r="K268">
            <v>94860.339037503945</v>
          </cell>
          <cell r="L268">
            <v>97658.522405973432</v>
          </cell>
          <cell r="M268">
            <v>101130.7511150887</v>
          </cell>
          <cell r="N268">
            <v>104153.11822039606</v>
          </cell>
          <cell r="O268">
            <v>106937.88214125784</v>
          </cell>
          <cell r="P268">
            <v>109688.6057019544</v>
          </cell>
          <cell r="Q268">
            <v>112516.34730999511</v>
          </cell>
          <cell r="R268">
            <v>115592.3000265052</v>
          </cell>
          <cell r="S268">
            <v>121624.02468790719</v>
          </cell>
          <cell r="T268">
            <v>124948.1541609149</v>
          </cell>
          <cell r="U268">
            <v>128390.39092841851</v>
          </cell>
          <cell r="V268">
            <v>131940.86064766787</v>
          </cell>
          <cell r="W268">
            <v>135655.91961859749</v>
          </cell>
          <cell r="X268">
            <v>139457.24338805431</v>
          </cell>
          <cell r="Y268">
            <v>143200.65377162464</v>
          </cell>
          <cell r="Z268">
            <v>147062.91840246206</v>
          </cell>
          <cell r="AA268">
            <v>2231062.6988948113</v>
          </cell>
        </row>
        <row r="269">
          <cell r="B269" t="str">
            <v>1.1.1   Receitas de Pedágio</v>
          </cell>
          <cell r="G269">
            <v>56923.354250000004</v>
          </cell>
          <cell r="H269">
            <v>83225</v>
          </cell>
          <cell r="I269">
            <v>85749.268145487091</v>
          </cell>
          <cell r="J269">
            <v>85788.562532327822</v>
          </cell>
          <cell r="K269">
            <v>93524.465593440123</v>
          </cell>
          <cell r="L269">
            <v>96286.842025399616</v>
          </cell>
          <cell r="M269">
            <v>99710.036863478163</v>
          </cell>
          <cell r="N269">
            <v>102693.99883176302</v>
          </cell>
          <cell r="O269">
            <v>105442.97900000001</v>
          </cell>
          <cell r="P269">
            <v>108155.01300000001</v>
          </cell>
          <cell r="Q269">
            <v>110943.02499999999</v>
          </cell>
          <cell r="R269">
            <v>113940</v>
          </cell>
          <cell r="S269">
            <v>119926.53419999999</v>
          </cell>
          <cell r="T269">
            <v>123204.249</v>
          </cell>
          <cell r="U269">
            <v>126598.2142</v>
          </cell>
          <cell r="V269">
            <v>130099.185</v>
          </cell>
          <cell r="W269">
            <v>133717</v>
          </cell>
          <cell r="X269">
            <v>137464</v>
          </cell>
          <cell r="Y269">
            <v>141154</v>
          </cell>
          <cell r="Z269">
            <v>144961</v>
          </cell>
          <cell r="AA269">
            <v>2199506.7276418963</v>
          </cell>
        </row>
        <row r="270">
          <cell r="B270" t="str">
            <v>1.1.2   Outras Receitas Operacionais</v>
          </cell>
          <cell r="G270">
            <v>538.74</v>
          </cell>
          <cell r="H270">
            <v>791.89</v>
          </cell>
          <cell r="I270">
            <v>815.92000000000007</v>
          </cell>
          <cell r="J270">
            <v>839.99000000000012</v>
          </cell>
          <cell r="K270">
            <v>875.24</v>
          </cell>
          <cell r="L270">
            <v>898.65999999999985</v>
          </cell>
          <cell r="M270">
            <v>930.82</v>
          </cell>
          <cell r="N270">
            <v>955.97000000000014</v>
          </cell>
          <cell r="O270">
            <v>979.43000000000006</v>
          </cell>
          <cell r="P270">
            <v>1004.74</v>
          </cell>
          <cell r="Q270">
            <v>1030.78</v>
          </cell>
          <cell r="R270">
            <v>1082.46</v>
          </cell>
          <cell r="S270">
            <v>1112.2</v>
          </cell>
          <cell r="T270">
            <v>1142.57</v>
          </cell>
          <cell r="U270">
            <v>1174.1400000000001</v>
          </cell>
          <cell r="V270">
            <v>1206.5999999999999</v>
          </cell>
          <cell r="W270">
            <v>1270.3499999999999</v>
          </cell>
          <cell r="X270">
            <v>1305.8699999999999</v>
          </cell>
          <cell r="Y270">
            <v>1340.95</v>
          </cell>
          <cell r="Z270">
            <v>1377.14</v>
          </cell>
          <cell r="AA270">
            <v>20674.460000000003</v>
          </cell>
        </row>
        <row r="271">
          <cell r="B271" t="str">
            <v>1.1.3   Receitas Não Operacionais</v>
          </cell>
          <cell r="G271">
            <v>-1.9110975990372481E-2</v>
          </cell>
          <cell r="H271">
            <v>7.702310128490808E-2</v>
          </cell>
          <cell r="I271">
            <v>2.0796446328063212E-2</v>
          </cell>
          <cell r="J271">
            <v>3.6941030123216478E-3</v>
          </cell>
          <cell r="K271">
            <v>-1.6555936177383046E-2</v>
          </cell>
          <cell r="L271">
            <v>4.038057382081206E-2</v>
          </cell>
          <cell r="M271">
            <v>-1.5748389467148627E-2</v>
          </cell>
          <cell r="N271">
            <v>9.3886330433861076E-3</v>
          </cell>
          <cell r="O271">
            <v>-1.6858742167642049E-2</v>
          </cell>
          <cell r="P271">
            <v>4.2701954388348895E-2</v>
          </cell>
          <cell r="Q271">
            <v>2.2309995115392667E-2</v>
          </cell>
          <cell r="R271">
            <v>0.1300265051779661</v>
          </cell>
          <cell r="S271">
            <v>-7.9512092792811018E-2</v>
          </cell>
          <cell r="T271">
            <v>-1.4839085104313199E-2</v>
          </cell>
          <cell r="U271">
            <v>6.6728418505817899E-2</v>
          </cell>
          <cell r="V271">
            <v>1.5647667863504466E-2</v>
          </cell>
          <cell r="W271">
            <v>-4.0381402514185538E-2</v>
          </cell>
          <cell r="X271">
            <v>7.3388054326869678E-2</v>
          </cell>
          <cell r="Y271">
            <v>-5.622837539158354E-2</v>
          </cell>
          <cell r="Z271">
            <v>-3.1597537958532484E-2</v>
          </cell>
          <cell r="AA271">
            <v>0.21125291530341883</v>
          </cell>
        </row>
        <row r="272">
          <cell r="B272" t="str">
            <v xml:space="preserve">1.1.4   Receitas Financeiras </v>
          </cell>
          <cell r="G272">
            <v>283.54000000000002</v>
          </cell>
          <cell r="H272">
            <v>416.79</v>
          </cell>
          <cell r="I272">
            <v>429.43000000000006</v>
          </cell>
          <cell r="J272">
            <v>442.1</v>
          </cell>
          <cell r="K272">
            <v>460.65000000000003</v>
          </cell>
          <cell r="L272">
            <v>472.98000000000008</v>
          </cell>
          <cell r="M272">
            <v>489.91</v>
          </cell>
          <cell r="N272">
            <v>503.14000000000004</v>
          </cell>
          <cell r="O272">
            <v>515.49</v>
          </cell>
          <cell r="P272">
            <v>528.81000000000006</v>
          </cell>
          <cell r="Q272">
            <v>542.52</v>
          </cell>
          <cell r="R272">
            <v>569.71</v>
          </cell>
          <cell r="S272">
            <v>585.37</v>
          </cell>
          <cell r="T272">
            <v>601.35</v>
          </cell>
          <cell r="U272">
            <v>617.97</v>
          </cell>
          <cell r="V272">
            <v>635.05999999999995</v>
          </cell>
          <cell r="W272">
            <v>668.61</v>
          </cell>
          <cell r="X272">
            <v>687.3</v>
          </cell>
          <cell r="Y272">
            <v>705.76</v>
          </cell>
          <cell r="Z272">
            <v>724.81</v>
          </cell>
          <cell r="AA272">
            <v>10881.300000000001</v>
          </cell>
        </row>
        <row r="273">
          <cell r="B273" t="str">
            <v>2.  DESEMBOLSOS     (2.1.+ ... + 2.4)</v>
          </cell>
          <cell r="G273">
            <v>69752.013154395157</v>
          </cell>
          <cell r="H273">
            <v>93106.517713963127</v>
          </cell>
          <cell r="I273">
            <v>114084.38385272474</v>
          </cell>
          <cell r="J273">
            <v>101714.99559236097</v>
          </cell>
          <cell r="K273">
            <v>96201.785281629287</v>
          </cell>
          <cell r="L273">
            <v>81531.737180982556</v>
          </cell>
          <cell r="M273">
            <v>85650.948056571986</v>
          </cell>
          <cell r="N273">
            <v>98523.888426037345</v>
          </cell>
          <cell r="O273">
            <v>100339.18406445424</v>
          </cell>
          <cell r="P273">
            <v>106996.55685213592</v>
          </cell>
          <cell r="Q273">
            <v>106322.13930617087</v>
          </cell>
          <cell r="R273">
            <v>116770.90172785013</v>
          </cell>
          <cell r="S273">
            <v>89028.147373441258</v>
          </cell>
          <cell r="T273">
            <v>86697.450119807007</v>
          </cell>
          <cell r="U273">
            <v>89098.772491171301</v>
          </cell>
          <cell r="V273">
            <v>77783.551600383144</v>
          </cell>
          <cell r="W273">
            <v>79771.451837220287</v>
          </cell>
          <cell r="X273">
            <v>82001.655417655697</v>
          </cell>
          <cell r="Y273">
            <v>98397.4801541536</v>
          </cell>
          <cell r="Z273">
            <v>95691.727214669765</v>
          </cell>
          <cell r="AA273">
            <v>1869465.2874177787</v>
          </cell>
        </row>
        <row r="274">
          <cell r="B274" t="str">
            <v>2.1.  OPERACIONAIS     (2.1.1.+ ... + 2.1.8)</v>
          </cell>
          <cell r="G274">
            <v>35346.139142911496</v>
          </cell>
          <cell r="H274">
            <v>44753.604000997679</v>
          </cell>
          <cell r="I274">
            <v>45320.895002459103</v>
          </cell>
          <cell r="J274">
            <v>51016.07978113243</v>
          </cell>
          <cell r="K274">
            <v>52905.145889625848</v>
          </cell>
          <cell r="L274">
            <v>55790.122750364513</v>
          </cell>
          <cell r="M274">
            <v>56139.751348334175</v>
          </cell>
          <cell r="N274">
            <v>56388.706591981463</v>
          </cell>
          <cell r="O274">
            <v>56621.912270926019</v>
          </cell>
          <cell r="P274">
            <v>56889.727094070549</v>
          </cell>
          <cell r="Q274">
            <v>57174.441874522818</v>
          </cell>
          <cell r="R274">
            <v>59676.463667180135</v>
          </cell>
          <cell r="S274">
            <v>60206.972613479244</v>
          </cell>
          <cell r="T274">
            <v>60520.6266390538</v>
          </cell>
          <cell r="U274">
            <v>60847.017594042569</v>
          </cell>
          <cell r="V274">
            <v>61217.898811217696</v>
          </cell>
          <cell r="W274">
            <v>61748.777394528726</v>
          </cell>
          <cell r="X274">
            <v>62079.330299030196</v>
          </cell>
          <cell r="Y274">
            <v>62404.974666523412</v>
          </cell>
          <cell r="Z274">
            <v>62740.931086623852</v>
          </cell>
          <cell r="AA274">
            <v>1119789.518519006</v>
          </cell>
        </row>
        <row r="275">
          <cell r="B275" t="str">
            <v xml:space="preserve">2.1.1.  Pessoal / Administradores   </v>
          </cell>
          <cell r="G275">
            <v>21419.41</v>
          </cell>
          <cell r="H275">
            <v>27415.760000000002</v>
          </cell>
          <cell r="I275">
            <v>28974.810000000005</v>
          </cell>
          <cell r="J275">
            <v>33552.080000000002</v>
          </cell>
          <cell r="K275">
            <v>34013.339999999997</v>
          </cell>
          <cell r="L275">
            <v>34474.6</v>
          </cell>
          <cell r="M275">
            <v>34474.6</v>
          </cell>
          <cell r="N275">
            <v>34474.6</v>
          </cell>
          <cell r="O275">
            <v>34474.6</v>
          </cell>
          <cell r="P275">
            <v>34474.6</v>
          </cell>
          <cell r="Q275">
            <v>34474.6</v>
          </cell>
          <cell r="R275">
            <v>36395.280000000006</v>
          </cell>
          <cell r="S275">
            <v>36395.280000000006</v>
          </cell>
          <cell r="T275">
            <v>36395.280000000006</v>
          </cell>
          <cell r="U275">
            <v>36395.280000000006</v>
          </cell>
          <cell r="V275">
            <v>36395.280000000006</v>
          </cell>
          <cell r="W275">
            <v>36395.280000000006</v>
          </cell>
          <cell r="X275">
            <v>36395.280000000006</v>
          </cell>
          <cell r="Y275">
            <v>36395.280000000006</v>
          </cell>
          <cell r="Z275">
            <v>36395.280000000006</v>
          </cell>
          <cell r="AA275">
            <v>679780.52000000025</v>
          </cell>
        </row>
        <row r="276">
          <cell r="B276" t="str">
            <v xml:space="preserve">2.1.2.  Conservação de Rotina  </v>
          </cell>
          <cell r="G276">
            <v>7051.97</v>
          </cell>
          <cell r="H276">
            <v>6654.58</v>
          </cell>
          <cell r="I276">
            <v>6684.02</v>
          </cell>
          <cell r="J276">
            <v>6841.86</v>
          </cell>
          <cell r="K276">
            <v>7245.19</v>
          </cell>
          <cell r="L276">
            <v>7487.46</v>
          </cell>
          <cell r="M276">
            <v>7487.46</v>
          </cell>
          <cell r="N276">
            <v>7487.46</v>
          </cell>
          <cell r="O276">
            <v>7487.46</v>
          </cell>
          <cell r="P276">
            <v>7487.46</v>
          </cell>
          <cell r="Q276">
            <v>7487.46</v>
          </cell>
          <cell r="R276">
            <v>7487.46</v>
          </cell>
          <cell r="S276">
            <v>7487.46</v>
          </cell>
          <cell r="T276">
            <v>7487.46</v>
          </cell>
          <cell r="U276">
            <v>7487.46</v>
          </cell>
          <cell r="V276">
            <v>7487.46</v>
          </cell>
          <cell r="W276">
            <v>7778.24</v>
          </cell>
          <cell r="X276">
            <v>7778.24</v>
          </cell>
          <cell r="Y276">
            <v>7778.24</v>
          </cell>
          <cell r="Z276">
            <v>7778.24</v>
          </cell>
          <cell r="AA276">
            <v>147952.64000000001</v>
          </cell>
        </row>
        <row r="277">
          <cell r="B277" t="str">
            <v xml:space="preserve">2.1.3.  Consumo   </v>
          </cell>
          <cell r="G277">
            <v>389.71000000000004</v>
          </cell>
          <cell r="H277">
            <v>452.17999999999995</v>
          </cell>
          <cell r="I277">
            <v>719.11</v>
          </cell>
          <cell r="J277">
            <v>913.36000000000013</v>
          </cell>
          <cell r="K277">
            <v>919.5100000000001</v>
          </cell>
          <cell r="L277">
            <v>925.66000000000008</v>
          </cell>
          <cell r="M277">
            <v>925.66000000000008</v>
          </cell>
          <cell r="N277">
            <v>925.66000000000008</v>
          </cell>
          <cell r="O277">
            <v>925.66000000000008</v>
          </cell>
          <cell r="P277">
            <v>925.66000000000008</v>
          </cell>
          <cell r="Q277">
            <v>925.66000000000008</v>
          </cell>
          <cell r="R277">
            <v>951.64</v>
          </cell>
          <cell r="S277">
            <v>951.64</v>
          </cell>
          <cell r="T277">
            <v>951.64</v>
          </cell>
          <cell r="U277">
            <v>951.64</v>
          </cell>
          <cell r="V277">
            <v>951.64</v>
          </cell>
          <cell r="W277">
            <v>951.64</v>
          </cell>
          <cell r="X277">
            <v>951.64</v>
          </cell>
          <cell r="Y277">
            <v>951.64</v>
          </cell>
          <cell r="Z277">
            <v>951.64</v>
          </cell>
          <cell r="AA277">
            <v>17512.589999999997</v>
          </cell>
        </row>
        <row r="278">
          <cell r="B278" t="str">
            <v>2.1.4.  Transportes</v>
          </cell>
          <cell r="G278">
            <v>655.61</v>
          </cell>
          <cell r="H278">
            <v>701.7299999999999</v>
          </cell>
          <cell r="I278">
            <v>710.3</v>
          </cell>
          <cell r="J278">
            <v>800.9</v>
          </cell>
          <cell r="K278">
            <v>802.13</v>
          </cell>
          <cell r="L278">
            <v>803.36</v>
          </cell>
          <cell r="M278">
            <v>803.36</v>
          </cell>
          <cell r="N278">
            <v>803.36</v>
          </cell>
          <cell r="O278">
            <v>803.36</v>
          </cell>
          <cell r="P278">
            <v>803.36</v>
          </cell>
          <cell r="Q278">
            <v>803.36</v>
          </cell>
          <cell r="R278">
            <v>811.93</v>
          </cell>
          <cell r="S278">
            <v>811.93</v>
          </cell>
          <cell r="T278">
            <v>811.93</v>
          </cell>
          <cell r="U278">
            <v>811.93</v>
          </cell>
          <cell r="V278">
            <v>811.93</v>
          </cell>
          <cell r="W278">
            <v>811.93</v>
          </cell>
          <cell r="X278">
            <v>811.93</v>
          </cell>
          <cell r="Y278">
            <v>811.93</v>
          </cell>
          <cell r="Z278">
            <v>811.93</v>
          </cell>
          <cell r="AA278">
            <v>15798.2</v>
          </cell>
        </row>
        <row r="279">
          <cell r="B279" t="str">
            <v>2.1.5.  Diversas</v>
          </cell>
          <cell r="G279">
            <v>2867.3599999999997</v>
          </cell>
          <cell r="H279">
            <v>2776.08</v>
          </cell>
          <cell r="I279">
            <v>2561.1</v>
          </cell>
          <cell r="J279">
            <v>2915</v>
          </cell>
          <cell r="K279">
            <v>2857.6099999999997</v>
          </cell>
          <cell r="L279">
            <v>2800.23</v>
          </cell>
          <cell r="M279">
            <v>2800.23</v>
          </cell>
          <cell r="N279">
            <v>2800.23</v>
          </cell>
          <cell r="O279">
            <v>2800.23</v>
          </cell>
          <cell r="P279">
            <v>2800.23</v>
          </cell>
          <cell r="Q279">
            <v>2800.23</v>
          </cell>
          <cell r="R279">
            <v>3116.6099999999997</v>
          </cell>
          <cell r="S279">
            <v>3116.6099999999997</v>
          </cell>
          <cell r="T279">
            <v>3116.6099999999997</v>
          </cell>
          <cell r="U279">
            <v>3116.6099999999997</v>
          </cell>
          <cell r="V279">
            <v>3116.6099999999997</v>
          </cell>
          <cell r="W279">
            <v>3116.6099999999997</v>
          </cell>
          <cell r="X279">
            <v>3116.6099999999997</v>
          </cell>
          <cell r="Y279">
            <v>3116.6099999999997</v>
          </cell>
          <cell r="Z279">
            <v>3116.6099999999997</v>
          </cell>
          <cell r="AA279">
            <v>58828.02</v>
          </cell>
        </row>
        <row r="280">
          <cell r="B280" t="str">
            <v>2.1.6.  Tributos s/ Faturamento</v>
          </cell>
          <cell r="G280">
            <v>2114.9955259036565</v>
          </cell>
          <cell r="H280">
            <v>5857.1233839898296</v>
          </cell>
          <cell r="I280">
            <v>4760.5793854512613</v>
          </cell>
          <cell r="J280">
            <v>5080.9921641245846</v>
          </cell>
          <cell r="K280">
            <v>6174.2212726180051</v>
          </cell>
          <cell r="L280">
            <v>8388.8361333566681</v>
          </cell>
          <cell r="M280">
            <v>8723.3157313263309</v>
          </cell>
          <cell r="N280">
            <v>8984.0869749736175</v>
          </cell>
          <cell r="O280">
            <v>9224.353653918175</v>
          </cell>
          <cell r="P280">
            <v>9461.6204770627046</v>
          </cell>
          <cell r="Q280">
            <v>9705.5362575149684</v>
          </cell>
          <cell r="R280">
            <v>9970.2380501722837</v>
          </cell>
          <cell r="S280">
            <v>10491.215996471396</v>
          </cell>
          <cell r="T280">
            <v>10777.949022045948</v>
          </cell>
          <cell r="U280">
            <v>11074.86497703472</v>
          </cell>
          <cell r="V280">
            <v>11381.130194209842</v>
          </cell>
          <cell r="W280">
            <v>11700.809777520883</v>
          </cell>
          <cell r="X280">
            <v>12028.680682022354</v>
          </cell>
          <cell r="Y280">
            <v>12351.573049515562</v>
          </cell>
          <cell r="Z280">
            <v>12684.704469616003</v>
          </cell>
          <cell r="AA280">
            <v>180936.82717884882</v>
          </cell>
        </row>
        <row r="281">
          <cell r="B281" t="str">
            <v>2.1.7.  Seguros</v>
          </cell>
          <cell r="G281">
            <v>420.48399999999998</v>
          </cell>
          <cell r="H281">
            <v>469.55099999999999</v>
          </cell>
          <cell r="I281">
            <v>484.37599999999998</v>
          </cell>
          <cell r="J281">
            <v>485.28799999999995</v>
          </cell>
          <cell r="K281">
            <v>466.54499999999996</v>
          </cell>
          <cell r="L281">
            <v>483.37700000000001</v>
          </cell>
          <cell r="M281">
            <v>498.52599999999995</v>
          </cell>
          <cell r="N281">
            <v>486.71000000000004</v>
          </cell>
          <cell r="O281">
            <v>479.649</v>
          </cell>
          <cell r="P281">
            <v>510.19699999999995</v>
          </cell>
          <cell r="Q281">
            <v>550.99599999999998</v>
          </cell>
          <cell r="R281">
            <v>516.70600000000002</v>
          </cell>
          <cell r="S281">
            <v>526.23700000000008</v>
          </cell>
          <cell r="T281">
            <v>553.15800000000002</v>
          </cell>
          <cell r="U281">
            <v>582.63300000000004</v>
          </cell>
          <cell r="V281">
            <v>647.24900000000002</v>
          </cell>
          <cell r="W281">
            <v>567.66800000000001</v>
          </cell>
          <cell r="X281">
            <v>570.35</v>
          </cell>
          <cell r="Y281">
            <v>573.10200000000009</v>
          </cell>
          <cell r="Z281">
            <v>575.92700000000002</v>
          </cell>
          <cell r="AA281">
            <v>10448.729000000001</v>
          </cell>
        </row>
        <row r="282">
          <cell r="B282" t="str">
            <v xml:space="preserve">2.1.8.  Garantias </v>
          </cell>
          <cell r="G282">
            <v>426.59961700784004</v>
          </cell>
          <cell r="H282">
            <v>426.59961700784004</v>
          </cell>
          <cell r="I282">
            <v>426.59961700784004</v>
          </cell>
          <cell r="J282">
            <v>426.59961700784004</v>
          </cell>
          <cell r="K282">
            <v>426.59961700784004</v>
          </cell>
          <cell r="L282">
            <v>426.59961700784004</v>
          </cell>
          <cell r="M282">
            <v>426.59961700784004</v>
          </cell>
          <cell r="N282">
            <v>426.59961700784004</v>
          </cell>
          <cell r="O282">
            <v>426.59961700784004</v>
          </cell>
          <cell r="P282">
            <v>426.59961700784004</v>
          </cell>
          <cell r="Q282">
            <v>426.59961700784004</v>
          </cell>
          <cell r="R282">
            <v>426.59961700784004</v>
          </cell>
          <cell r="S282">
            <v>426.59961700784004</v>
          </cell>
          <cell r="T282">
            <v>426.59961700784004</v>
          </cell>
          <cell r="U282">
            <v>426.59961700784004</v>
          </cell>
          <cell r="V282">
            <v>426.59961700784004</v>
          </cell>
          <cell r="W282">
            <v>426.59961700784004</v>
          </cell>
          <cell r="X282">
            <v>426.59961700784004</v>
          </cell>
          <cell r="Y282">
            <v>426.59961700784004</v>
          </cell>
          <cell r="Z282">
            <v>426.59961700784004</v>
          </cell>
          <cell r="AA282">
            <v>8531.9923401567976</v>
          </cell>
        </row>
        <row r="283">
          <cell r="B283" t="str">
            <v>2.2.  INVESTIMENTOS / IMOBILIZADO     (2.2.1.+ ... + 2.2.7)</v>
          </cell>
          <cell r="G283">
            <v>26355.737615594073</v>
          </cell>
          <cell r="H283">
            <v>34643.235172355024</v>
          </cell>
          <cell r="I283">
            <v>55369.87083022196</v>
          </cell>
          <cell r="J283">
            <v>39949.883171304115</v>
          </cell>
          <cell r="K283">
            <v>31086.589750722007</v>
          </cell>
          <cell r="L283">
            <v>13785.810000000001</v>
          </cell>
          <cell r="M283">
            <v>16896.739999999998</v>
          </cell>
          <cell r="N283">
            <v>29306.45</v>
          </cell>
          <cell r="O283">
            <v>30839.552631040315</v>
          </cell>
          <cell r="P283">
            <v>37479.928504471034</v>
          </cell>
          <cell r="Q283">
            <v>36630.878393771141</v>
          </cell>
          <cell r="R283">
            <v>45940.306523473948</v>
          </cell>
          <cell r="S283">
            <v>16359.110000000002</v>
          </cell>
          <cell r="T283">
            <v>13230.359777999998</v>
          </cell>
          <cell r="U283">
            <v>15012.09906161909</v>
          </cell>
          <cell r="V283">
            <v>2339.4401136543488</v>
          </cell>
          <cell r="W283">
            <v>2810.94</v>
          </cell>
          <cell r="X283">
            <v>3845.5713442891474</v>
          </cell>
          <cell r="Y283">
            <v>22358.735625964258</v>
          </cell>
          <cell r="Z283">
            <v>26896.950404223942</v>
          </cell>
          <cell r="AA283">
            <v>501138.18892070436</v>
          </cell>
        </row>
        <row r="284">
          <cell r="B284" t="str">
            <v xml:space="preserve">2.2.1.  Ampliação Principal </v>
          </cell>
          <cell r="G284">
            <v>23.075248196865232</v>
          </cell>
          <cell r="H284">
            <v>11224.277233771787</v>
          </cell>
          <cell r="I284">
            <v>22588.720000000001</v>
          </cell>
          <cell r="J284">
            <v>17528.340000000004</v>
          </cell>
          <cell r="K284">
            <v>7000.23</v>
          </cell>
          <cell r="L284">
            <v>0</v>
          </cell>
          <cell r="M284">
            <v>0</v>
          </cell>
          <cell r="N284">
            <v>0</v>
          </cell>
          <cell r="O284">
            <v>7729.7</v>
          </cell>
          <cell r="P284">
            <v>22671.98814695295</v>
          </cell>
          <cell r="Q284">
            <v>25095.959009556875</v>
          </cell>
          <cell r="R284">
            <v>27071.760000000002</v>
          </cell>
          <cell r="S284">
            <v>0</v>
          </cell>
          <cell r="T284">
            <v>719.81999999999971</v>
          </cell>
          <cell r="U284">
            <v>697.88653561908723</v>
          </cell>
          <cell r="V284">
            <v>64.019803428640444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142415.77597752621</v>
          </cell>
        </row>
        <row r="285">
          <cell r="B285" t="str">
            <v>2.2.2.  Demais Obras de Ampliação/Melhoramentos</v>
          </cell>
          <cell r="G285">
            <v>4388.7960225722054</v>
          </cell>
          <cell r="H285">
            <v>11004.754766643829</v>
          </cell>
          <cell r="I285">
            <v>20660.820480145168</v>
          </cell>
          <cell r="J285">
            <v>10931.522586767689</v>
          </cell>
          <cell r="K285">
            <v>10891.722715434889</v>
          </cell>
          <cell r="L285">
            <v>5506.84</v>
          </cell>
          <cell r="M285">
            <v>5454.3799999999992</v>
          </cell>
          <cell r="N285">
            <v>10452.94</v>
          </cell>
          <cell r="O285">
            <v>3731.8</v>
          </cell>
          <cell r="P285">
            <v>4391.2106770000009</v>
          </cell>
          <cell r="Q285">
            <v>7261.1949130000012</v>
          </cell>
          <cell r="R285">
            <v>7999.2199567000007</v>
          </cell>
          <cell r="S285">
            <v>0</v>
          </cell>
          <cell r="T285">
            <v>0</v>
          </cell>
          <cell r="U285">
            <v>-2.8239999992365483E-3</v>
          </cell>
          <cell r="V285">
            <v>7.6399999852583278E-4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102675.2000582638</v>
          </cell>
        </row>
        <row r="286">
          <cell r="B286" t="str">
            <v xml:space="preserve">2.2.3.  Equipamentos, Veiculos e Sist. Controle </v>
          </cell>
          <cell r="G286">
            <v>6391.0400000000009</v>
          </cell>
          <cell r="H286">
            <v>763.2</v>
          </cell>
          <cell r="I286">
            <v>827.54</v>
          </cell>
          <cell r="J286">
            <v>1365.8799999999992</v>
          </cell>
          <cell r="K286">
            <v>518.99999999999989</v>
          </cell>
          <cell r="L286">
            <v>481.40000000000032</v>
          </cell>
          <cell r="M286">
            <v>3101.4700000000003</v>
          </cell>
          <cell r="N286">
            <v>2098.19</v>
          </cell>
          <cell r="O286">
            <v>1122.6599999999999</v>
          </cell>
          <cell r="P286">
            <v>1509.3</v>
          </cell>
          <cell r="Q286">
            <v>2673.1600000000003</v>
          </cell>
          <cell r="R286">
            <v>1159.31</v>
          </cell>
          <cell r="S286">
            <v>121.82</v>
          </cell>
          <cell r="T286">
            <v>182.82</v>
          </cell>
          <cell r="U286">
            <v>1554.43</v>
          </cell>
          <cell r="V286">
            <v>929.02</v>
          </cell>
          <cell r="W286">
            <v>667.23</v>
          </cell>
          <cell r="X286">
            <v>866.18000000000006</v>
          </cell>
          <cell r="Y286">
            <v>126.67000000000002</v>
          </cell>
          <cell r="Z286">
            <v>126.67</v>
          </cell>
          <cell r="AA286">
            <v>26586.989999999994</v>
          </cell>
        </row>
        <row r="287">
          <cell r="B287" t="str">
            <v>2.2.4.  Desapropriações</v>
          </cell>
          <cell r="G287">
            <v>1.8199999999879424E-4</v>
          </cell>
          <cell r="H287">
            <v>0.90678799999999882</v>
          </cell>
          <cell r="I287">
            <v>21.12</v>
          </cell>
          <cell r="J287">
            <v>8.76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0.26</v>
          </cell>
          <cell r="P287">
            <v>0.25916000000000006</v>
          </cell>
          <cell r="Q287">
            <v>0.26</v>
          </cell>
          <cell r="R287">
            <v>0</v>
          </cell>
          <cell r="S287">
            <v>0</v>
          </cell>
          <cell r="T287">
            <v>3.4232780000000034</v>
          </cell>
          <cell r="U287">
            <v>10.26</v>
          </cell>
          <cell r="V287">
            <v>6.84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52.089408000000006</v>
          </cell>
        </row>
        <row r="288">
          <cell r="B288" t="str">
            <v xml:space="preserve">2.2.5.  Conservação Especial </v>
          </cell>
          <cell r="G288">
            <v>15552.826162825</v>
          </cell>
          <cell r="H288">
            <v>11650.096383939403</v>
          </cell>
          <cell r="I288">
            <v>11271.670350076794</v>
          </cell>
          <cell r="J288">
            <v>10115.380584536422</v>
          </cell>
          <cell r="K288">
            <v>12675.637035287114</v>
          </cell>
          <cell r="L288">
            <v>7797.57</v>
          </cell>
          <cell r="M288">
            <v>8340.89</v>
          </cell>
          <cell r="N288">
            <v>16755.32</v>
          </cell>
          <cell r="O288">
            <v>18255.132631040313</v>
          </cell>
          <cell r="P288">
            <v>8907.1705205180788</v>
          </cell>
          <cell r="Q288">
            <v>1600.3044712142605</v>
          </cell>
          <cell r="R288">
            <v>9710.0165667739475</v>
          </cell>
          <cell r="S288">
            <v>16237.290000000003</v>
          </cell>
          <cell r="T288">
            <v>12324.296499999999</v>
          </cell>
          <cell r="U288">
            <v>12749.525350000002</v>
          </cell>
          <cell r="V288">
            <v>1339.5595462257097</v>
          </cell>
          <cell r="W288">
            <v>2143.71</v>
          </cell>
          <cell r="X288">
            <v>2979.3913442891471</v>
          </cell>
          <cell r="Y288">
            <v>22232.06562596426</v>
          </cell>
          <cell r="Z288">
            <v>26770.280404223944</v>
          </cell>
          <cell r="AA288">
            <v>229408.13347691437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1842.3850541707204</v>
          </cell>
          <cell r="H291">
            <v>2694.7248106930383</v>
          </cell>
          <cell r="I291">
            <v>2776.458668258002</v>
          </cell>
          <cell r="J291">
            <v>2783.6544867929247</v>
          </cell>
          <cell r="K291">
            <v>3024.5434711251178</v>
          </cell>
          <cell r="L291">
            <v>3113.2714721792031</v>
          </cell>
          <cell r="M291">
            <v>3224.0056334526607</v>
          </cell>
          <cell r="N291">
            <v>3319.8127466118817</v>
          </cell>
          <cell r="O291">
            <v>3408.1463642377353</v>
          </cell>
          <cell r="P291">
            <v>3495.8366710586315</v>
          </cell>
          <cell r="Q291">
            <v>3585.9864192998534</v>
          </cell>
          <cell r="R291">
            <v>3688.8189007951551</v>
          </cell>
          <cell r="S291">
            <v>3875.8436406372161</v>
          </cell>
          <cell r="T291">
            <v>3981.7695248274463</v>
          </cell>
          <cell r="U291">
            <v>4091.483427852555</v>
          </cell>
          <cell r="V291">
            <v>4204.6260194300366</v>
          </cell>
          <cell r="W291">
            <v>4329.0962885579247</v>
          </cell>
          <cell r="X291">
            <v>4450.3897016416295</v>
          </cell>
          <cell r="Y291">
            <v>4569.8558131487371</v>
          </cell>
          <cell r="Z291">
            <v>4693.1140520738609</v>
          </cell>
          <cell r="AA291">
            <v>71153.823166844319</v>
          </cell>
        </row>
        <row r="292">
          <cell r="B292" t="str">
            <v>2.3.1.  Valor Variável da Concessão</v>
          </cell>
          <cell r="G292">
            <v>1842.3850541707204</v>
          </cell>
          <cell r="H292">
            <v>2694.7248106930383</v>
          </cell>
          <cell r="I292">
            <v>2776.458668258002</v>
          </cell>
          <cell r="J292">
            <v>2783.6544867929247</v>
          </cell>
          <cell r="K292">
            <v>3024.5434711251178</v>
          </cell>
          <cell r="L292">
            <v>3113.2714721792031</v>
          </cell>
          <cell r="M292">
            <v>3224.0056334526607</v>
          </cell>
          <cell r="N292">
            <v>3319.8127466118817</v>
          </cell>
          <cell r="O292">
            <v>3408.1463642377353</v>
          </cell>
          <cell r="P292">
            <v>3495.8366710586315</v>
          </cell>
          <cell r="Q292">
            <v>3585.9864192998534</v>
          </cell>
          <cell r="R292">
            <v>3688.8189007951551</v>
          </cell>
          <cell r="S292">
            <v>3875.8436406372161</v>
          </cell>
          <cell r="T292">
            <v>3981.7695248274463</v>
          </cell>
          <cell r="U292">
            <v>4091.483427852555</v>
          </cell>
          <cell r="V292">
            <v>4204.6260194300366</v>
          </cell>
          <cell r="W292">
            <v>4329.0962885579247</v>
          </cell>
          <cell r="X292">
            <v>4450.3897016416295</v>
          </cell>
          <cell r="Y292">
            <v>4569.8558131487371</v>
          </cell>
          <cell r="Z292">
            <v>4693.1140520738609</v>
          </cell>
          <cell r="AA292">
            <v>71153.823166844319</v>
          </cell>
        </row>
        <row r="293">
          <cell r="B293" t="str">
            <v xml:space="preserve">2.3.2.  Valor Fixo da Concessão 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</row>
        <row r="294">
          <cell r="B294" t="str">
            <v>2.4.  DESEMBOLSOS  SOBRE O LUCRO     (2.4.1. + 2.4.2)</v>
          </cell>
          <cell r="G294">
            <v>6207.7513417188684</v>
          </cell>
          <cell r="H294">
            <v>11014.953729917392</v>
          </cell>
          <cell r="I294">
            <v>10617.159351785678</v>
          </cell>
          <cell r="J294">
            <v>7965.3781531315099</v>
          </cell>
          <cell r="K294">
            <v>9185.5061701563191</v>
          </cell>
          <cell r="L294">
            <v>8842.5329584388437</v>
          </cell>
          <cell r="M294">
            <v>9390.45107478514</v>
          </cell>
          <cell r="N294">
            <v>9508.9190874440137</v>
          </cell>
          <cell r="O294">
            <v>9469.5727982501685</v>
          </cell>
          <cell r="P294">
            <v>9131.0645825357224</v>
          </cell>
          <cell r="Q294">
            <v>8930.8326185770566</v>
          </cell>
          <cell r="R294">
            <v>7465.3126364008767</v>
          </cell>
          <cell r="S294">
            <v>8586.2211193247895</v>
          </cell>
          <cell r="T294">
            <v>8964.6941779257704</v>
          </cell>
          <cell r="U294">
            <v>9148.1724076570863</v>
          </cell>
          <cell r="V294">
            <v>10021.58665608107</v>
          </cell>
          <cell r="W294">
            <v>10882.638154133629</v>
          </cell>
          <cell r="X294">
            <v>11626.364072694716</v>
          </cell>
          <cell r="Y294">
            <v>9063.9140485171993</v>
          </cell>
          <cell r="Z294">
            <v>1360.7316717481172</v>
          </cell>
          <cell r="AA294">
            <v>177383.75681122398</v>
          </cell>
        </row>
        <row r="295">
          <cell r="B295" t="str">
            <v xml:space="preserve">2.4.1.  Contribuição Social  </v>
          </cell>
          <cell r="G295">
            <v>1510.728756233422</v>
          </cell>
          <cell r="H295">
            <v>2676.105327064744</v>
          </cell>
          <cell r="I295">
            <v>2579.6737339815991</v>
          </cell>
          <cell r="J295">
            <v>1936.8187223286684</v>
          </cell>
          <cell r="K295">
            <v>2232.6085597916035</v>
          </cell>
          <cell r="L295">
            <v>2149.4600880716093</v>
          </cell>
          <cell r="M295">
            <v>2282.2921240927299</v>
          </cell>
          <cell r="N295">
            <v>2311.0101188571516</v>
          </cell>
          <cell r="O295">
            <v>2301.4732152571419</v>
          </cell>
          <cell r="P295">
            <v>2219.4070077689994</v>
          </cell>
          <cell r="Q295">
            <v>2170.8671614735217</v>
          </cell>
          <cell r="R295">
            <v>1815.5830617635334</v>
          </cell>
          <cell r="S295">
            <v>2087.3311508722395</v>
          </cell>
          <cell r="T295">
            <v>2179.0782758053451</v>
          </cell>
          <cell r="U295">
            <v>2223.5529031642332</v>
          </cell>
          <cell r="V295">
            <v>2435.2927864640255</v>
          </cell>
          <cell r="W295">
            <v>2644.0359392689111</v>
          </cell>
          <cell r="X295">
            <v>2824.3262365287596</v>
          </cell>
          <cell r="Y295">
            <v>2203.1340862087386</v>
          </cell>
          <cell r="Z295">
            <v>335.69444148669265</v>
          </cell>
          <cell r="AA295">
            <v>43118.47369648367</v>
          </cell>
        </row>
        <row r="296">
          <cell r="B296" t="str">
            <v xml:space="preserve">2.4.2.  Imposto de Renda  </v>
          </cell>
          <cell r="G296">
            <v>4697.0225854854461</v>
          </cell>
          <cell r="H296">
            <v>8338.8484028526473</v>
          </cell>
          <cell r="I296">
            <v>8037.4856178040791</v>
          </cell>
          <cell r="J296">
            <v>6028.5594308028412</v>
          </cell>
          <cell r="K296">
            <v>6952.8976103647155</v>
          </cell>
          <cell r="L296">
            <v>6693.0728703672339</v>
          </cell>
          <cell r="M296">
            <v>7108.1589506924101</v>
          </cell>
          <cell r="N296">
            <v>7197.9089685868612</v>
          </cell>
          <cell r="O296">
            <v>7168.0995829930271</v>
          </cell>
          <cell r="P296">
            <v>6911.657574766723</v>
          </cell>
          <cell r="Q296">
            <v>6759.9654571035353</v>
          </cell>
          <cell r="R296">
            <v>5649.7295746373429</v>
          </cell>
          <cell r="S296">
            <v>6498.8899684525504</v>
          </cell>
          <cell r="T296">
            <v>6785.6159021204257</v>
          </cell>
          <cell r="U296">
            <v>6924.6195044928536</v>
          </cell>
          <cell r="V296">
            <v>7586.293869617044</v>
          </cell>
          <cell r="W296">
            <v>8238.6022148647171</v>
          </cell>
          <cell r="X296">
            <v>8802.0378361659568</v>
          </cell>
          <cell r="Y296">
            <v>6860.7799623084602</v>
          </cell>
          <cell r="Z296">
            <v>1025.0372302614246</v>
          </cell>
          <cell r="AA296">
            <v>134265.2831147403</v>
          </cell>
        </row>
        <row r="297">
          <cell r="B297" t="str">
            <v>3.  SALDO DO CAIXA     (1 - 2)</v>
          </cell>
          <cell r="G297">
            <v>-12006.398015371145</v>
          </cell>
          <cell r="H297">
            <v>-8672.7606908618473</v>
          </cell>
          <cell r="I297">
            <v>-27089.744910791327</v>
          </cell>
          <cell r="J297">
            <v>-14644.339365930122</v>
          </cell>
          <cell r="K297">
            <v>-1341.4462441253418</v>
          </cell>
          <cell r="L297">
            <v>16126.785224990876</v>
          </cell>
          <cell r="M297">
            <v>15479.803058516714</v>
          </cell>
          <cell r="N297">
            <v>5629.2297943587182</v>
          </cell>
          <cell r="O297">
            <v>6598.698076803601</v>
          </cell>
          <cell r="P297">
            <v>2692.0488498184714</v>
          </cell>
          <cell r="Q297">
            <v>6194.208003824242</v>
          </cell>
          <cell r="R297">
            <v>-1178.6017013449309</v>
          </cell>
          <cell r="S297">
            <v>32595.877314465935</v>
          </cell>
          <cell r="T297">
            <v>38250.704041107892</v>
          </cell>
          <cell r="U297">
            <v>39291.618437247205</v>
          </cell>
          <cell r="V297">
            <v>54157.309047284725</v>
          </cell>
          <cell r="W297">
            <v>55884.4677813772</v>
          </cell>
          <cell r="X297">
            <v>57455.587970398614</v>
          </cell>
          <cell r="Y297">
            <v>44803.173617471039</v>
          </cell>
          <cell r="Z297">
            <v>51371.191187792298</v>
          </cell>
          <cell r="AA297">
            <v>361597.41147703258</v>
          </cell>
        </row>
        <row r="298">
          <cell r="B298" t="str">
            <v xml:space="preserve">4. T.I.R. (Taxa Interna de Retorno) Anual do Projeto     </v>
          </cell>
          <cell r="G298">
            <v>0.17682629641928518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153516.5086651617</v>
          </cell>
          <cell r="H303">
            <v>158456.95197684938</v>
          </cell>
          <cell r="I303">
            <v>163575.89694470432</v>
          </cell>
          <cell r="J303">
            <v>168880.75447140986</v>
          </cell>
          <cell r="K303">
            <v>174379.28539507996</v>
          </cell>
          <cell r="L303">
            <v>180079.61863078945</v>
          </cell>
          <cell r="M303">
            <v>185990.27030716802</v>
          </cell>
          <cell r="N303">
            <v>192120.16395431667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1376999.4503454794</v>
          </cell>
        </row>
        <row r="304">
          <cell r="B304" t="str">
            <v>1.1.  RECEITAS     (1.1.1.+ ... + 1.1.4)</v>
          </cell>
          <cell r="G304">
            <v>153516.5086651617</v>
          </cell>
          <cell r="H304">
            <v>158456.95197684938</v>
          </cell>
          <cell r="I304">
            <v>163575.89694470432</v>
          </cell>
          <cell r="J304">
            <v>168880.75447140986</v>
          </cell>
          <cell r="K304">
            <v>174379.28539507996</v>
          </cell>
          <cell r="L304">
            <v>180079.61863078945</v>
          </cell>
          <cell r="M304">
            <v>185990.27030716802</v>
          </cell>
          <cell r="N304">
            <v>192120.16395431667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1376999.4503454794</v>
          </cell>
        </row>
        <row r="305">
          <cell r="B305" t="str">
            <v>1.1.1   Receitas de Pedágio</v>
          </cell>
          <cell r="G305">
            <v>149831.38083528151</v>
          </cell>
          <cell r="H305">
            <v>154653.22996255118</v>
          </cell>
          <cell r="I305">
            <v>159649.29585554509</v>
          </cell>
          <cell r="J305">
            <v>164826.8115199637</v>
          </cell>
          <cell r="K305">
            <v>170193.35149681996</v>
          </cell>
          <cell r="L305">
            <v>175756.84956848645</v>
          </cell>
          <cell r="M305">
            <v>181525.61743591999</v>
          </cell>
          <cell r="N305">
            <v>187508.3644219719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1343944.9010965398</v>
          </cell>
        </row>
        <row r="306">
          <cell r="B306" t="str">
            <v>1.1.2   Outras Receitas Operacionais</v>
          </cell>
          <cell r="G306">
            <v>1423.4089707128096</v>
          </cell>
          <cell r="H306">
            <v>1469.216886684196</v>
          </cell>
          <cell r="I306">
            <v>1516.6798745490537</v>
          </cell>
          <cell r="J306">
            <v>1565.8666483854472</v>
          </cell>
          <cell r="K306">
            <v>1616.8491668816484</v>
          </cell>
          <cell r="L306">
            <v>1669.7028015448668</v>
          </cell>
          <cell r="M306">
            <v>1724.5065141362356</v>
          </cell>
          <cell r="N306">
            <v>1781.3430438536875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12767.573906747943</v>
          </cell>
        </row>
        <row r="307">
          <cell r="B307" t="str">
            <v>1.1.3   Receitas Não Operacionais</v>
          </cell>
          <cell r="G307">
            <v>1512.5567870016253</v>
          </cell>
          <cell r="H307">
            <v>1561.2336434965114</v>
          </cell>
          <cell r="I307">
            <v>1611.6692287032108</v>
          </cell>
          <cell r="J307">
            <v>1663.9365602486164</v>
          </cell>
          <cell r="K307">
            <v>1718.11210357911</v>
          </cell>
          <cell r="L307">
            <v>1774.2759507041715</v>
          </cell>
          <cell r="M307">
            <v>1832.5120087440826</v>
          </cell>
          <cell r="N307">
            <v>1892.9081988360281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13567.204481313356</v>
          </cell>
        </row>
        <row r="308">
          <cell r="B308" t="str">
            <v xml:space="preserve">1.1.4   Receitas Financeiras </v>
          </cell>
          <cell r="G308">
            <v>749.16207216575754</v>
          </cell>
          <cell r="H308">
            <v>773.27148411749852</v>
          </cell>
          <cell r="I308">
            <v>798.25198590695175</v>
          </cell>
          <cell r="J308">
            <v>824.13974281210028</v>
          </cell>
          <cell r="K308">
            <v>850.97262779927053</v>
          </cell>
          <cell r="L308">
            <v>878.79031005397758</v>
          </cell>
          <cell r="M308">
            <v>907.63434836769306</v>
          </cell>
          <cell r="N308">
            <v>937.54828965507579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6719.770860878325</v>
          </cell>
        </row>
        <row r="309">
          <cell r="B309" t="str">
            <v>2.  DESEMBOLSOS     (2.1.+ ... + 2.4)</v>
          </cell>
          <cell r="G309">
            <v>96019.231242881622</v>
          </cell>
          <cell r="H309">
            <v>98032.651901001576</v>
          </cell>
          <cell r="I309">
            <v>100118.75848666376</v>
          </cell>
          <cell r="J309">
            <v>102280.5683676121</v>
          </cell>
          <cell r="K309">
            <v>104521.24138663833</v>
          </cell>
          <cell r="L309">
            <v>106844.08724783429</v>
          </cell>
          <cell r="M309">
            <v>109252.57330798074</v>
          </cell>
          <cell r="N309">
            <v>111750.33279597751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828819.44473658991</v>
          </cell>
        </row>
        <row r="310">
          <cell r="B310" t="str">
            <v>2.1.  OPERACIONAIS     (2.1.1.+ ... + 2.1.8)</v>
          </cell>
          <cell r="G310">
            <v>63152.477189341866</v>
          </cell>
          <cell r="H310">
            <v>63576.739956324433</v>
          </cell>
          <cell r="I310">
            <v>64016.241539163442</v>
          </cell>
          <cell r="J310">
            <v>64471.614083585118</v>
          </cell>
          <cell r="K310">
            <v>64943.519581551627</v>
          </cell>
          <cell r="L310">
            <v>65432.651418547757</v>
          </cell>
          <cell r="M310">
            <v>65939.736005736428</v>
          </cell>
          <cell r="N310">
            <v>66465.534501781047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517998.5142760317</v>
          </cell>
        </row>
        <row r="311">
          <cell r="B311" t="str">
            <v xml:space="preserve">2.1.1.  Pessoal / Administradores   </v>
          </cell>
          <cell r="G311">
            <v>36395.280000000006</v>
          </cell>
          <cell r="H311">
            <v>36395.280000000006</v>
          </cell>
          <cell r="I311">
            <v>36395.280000000006</v>
          </cell>
          <cell r="J311">
            <v>36395.280000000006</v>
          </cell>
          <cell r="K311">
            <v>36395.280000000006</v>
          </cell>
          <cell r="L311">
            <v>36395.280000000006</v>
          </cell>
          <cell r="M311">
            <v>36395.280000000006</v>
          </cell>
          <cell r="N311">
            <v>36395.280000000006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291162.24000000005</v>
          </cell>
        </row>
        <row r="312">
          <cell r="B312" t="str">
            <v xml:space="preserve">2.1.2.  Conservação de Rotina  </v>
          </cell>
          <cell r="G312">
            <v>7778.24</v>
          </cell>
          <cell r="H312">
            <v>7778.24</v>
          </cell>
          <cell r="I312">
            <v>7778.24</v>
          </cell>
          <cell r="J312">
            <v>7778.24</v>
          </cell>
          <cell r="K312">
            <v>7778.24</v>
          </cell>
          <cell r="L312">
            <v>7778.24</v>
          </cell>
          <cell r="M312">
            <v>7778.24</v>
          </cell>
          <cell r="N312">
            <v>7778.24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62225.919999999991</v>
          </cell>
        </row>
        <row r="313">
          <cell r="B313" t="str">
            <v xml:space="preserve">2.1.3.  Consumo   </v>
          </cell>
          <cell r="G313">
            <v>951.64</v>
          </cell>
          <cell r="H313">
            <v>951.64</v>
          </cell>
          <cell r="I313">
            <v>951.64</v>
          </cell>
          <cell r="J313">
            <v>951.64</v>
          </cell>
          <cell r="K313">
            <v>951.64</v>
          </cell>
          <cell r="L313">
            <v>951.64</v>
          </cell>
          <cell r="M313">
            <v>951.64</v>
          </cell>
          <cell r="N313">
            <v>951.64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7613.1200000000008</v>
          </cell>
        </row>
        <row r="314">
          <cell r="B314" t="str">
            <v>2.1.4.  Transportes</v>
          </cell>
          <cell r="G314">
            <v>811.93</v>
          </cell>
          <cell r="H314">
            <v>811.93</v>
          </cell>
          <cell r="I314">
            <v>811.93</v>
          </cell>
          <cell r="J314">
            <v>811.93</v>
          </cell>
          <cell r="K314">
            <v>811.93</v>
          </cell>
          <cell r="L314">
            <v>811.93</v>
          </cell>
          <cell r="M314">
            <v>811.93</v>
          </cell>
          <cell r="N314">
            <v>811.93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6495.4400000000005</v>
          </cell>
        </row>
        <row r="315">
          <cell r="B315" t="str">
            <v>2.1.5.  Diversas</v>
          </cell>
          <cell r="G315">
            <v>3116.6099999999997</v>
          </cell>
          <cell r="H315">
            <v>3116.6099999999997</v>
          </cell>
          <cell r="I315">
            <v>3116.6099999999997</v>
          </cell>
          <cell r="J315">
            <v>3116.6099999999997</v>
          </cell>
          <cell r="K315">
            <v>3116.6099999999997</v>
          </cell>
          <cell r="L315">
            <v>3116.6099999999997</v>
          </cell>
          <cell r="M315">
            <v>3116.6099999999997</v>
          </cell>
          <cell r="N315">
            <v>3116.6099999999997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24932.880000000001</v>
          </cell>
        </row>
        <row r="316">
          <cell r="B316" t="str">
            <v>2.1.6.  Tributos s/ Faturamento</v>
          </cell>
          <cell r="G316">
            <v>13093.370937334019</v>
          </cell>
          <cell r="H316">
            <v>13514.739671141586</v>
          </cell>
          <cell r="I316">
            <v>13951.332750639716</v>
          </cell>
          <cell r="J316">
            <v>14403.782249203818</v>
          </cell>
          <cell r="K316">
            <v>14872.750086083453</v>
          </cell>
          <cell r="L316">
            <v>15358.929573687286</v>
          </cell>
          <cell r="M316">
            <v>15863.047049736702</v>
          </cell>
          <cell r="N316">
            <v>16385.863599086348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117443.81591691292</v>
          </cell>
        </row>
        <row r="317">
          <cell r="B317" t="str">
            <v>2.1.7.  Seguros</v>
          </cell>
          <cell r="G317">
            <v>578.80663499999991</v>
          </cell>
          <cell r="H317">
            <v>581.70066817499981</v>
          </cell>
          <cell r="I317">
            <v>584.60917151587478</v>
          </cell>
          <cell r="J317">
            <v>587.53221737345405</v>
          </cell>
          <cell r="K317">
            <v>590.4698784603213</v>
          </cell>
          <cell r="L317">
            <v>593.42222785262288</v>
          </cell>
          <cell r="M317">
            <v>596.38933899188589</v>
          </cell>
          <cell r="N317">
            <v>599.37128568684523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4712.3014230560038</v>
          </cell>
        </row>
        <row r="318">
          <cell r="B318" t="str">
            <v xml:space="preserve">2.1.8.  Garantias </v>
          </cell>
          <cell r="G318">
            <v>426.59961700784004</v>
          </cell>
          <cell r="H318">
            <v>426.59961700784004</v>
          </cell>
          <cell r="I318">
            <v>426.59961700784004</v>
          </cell>
          <cell r="J318">
            <v>426.59961700784004</v>
          </cell>
          <cell r="K318">
            <v>426.59961700784004</v>
          </cell>
          <cell r="L318">
            <v>426.59961700784004</v>
          </cell>
          <cell r="M318">
            <v>426.59961700784004</v>
          </cell>
          <cell r="N318">
            <v>426.59961700784004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3412.7969360627208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4583.0203977898782</v>
          </cell>
          <cell r="H327">
            <v>4730.5104147819557</v>
          </cell>
          <cell r="I327">
            <v>4883.3293487639212</v>
          </cell>
          <cell r="J327">
            <v>5041.6984418579332</v>
          </cell>
          <cell r="K327">
            <v>5205.8493830184207</v>
          </cell>
          <cell r="L327">
            <v>5376.0248496220647</v>
          </cell>
          <cell r="M327">
            <v>5552.4790787640095</v>
          </cell>
          <cell r="N327">
            <v>5735.4784699398479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41108.390384538026</v>
          </cell>
        </row>
        <row r="328">
          <cell r="B328" t="str">
            <v>2.3.1.  Valor Variável da Concessão</v>
          </cell>
          <cell r="G328">
            <v>4583.0203977898782</v>
          </cell>
          <cell r="H328">
            <v>4730.5104147819557</v>
          </cell>
          <cell r="I328">
            <v>4883.3293487639212</v>
          </cell>
          <cell r="J328">
            <v>5041.6984418579332</v>
          </cell>
          <cell r="K328">
            <v>5205.8493830184207</v>
          </cell>
          <cell r="L328">
            <v>5376.0248496220647</v>
          </cell>
          <cell r="M328">
            <v>5552.4790787640095</v>
          </cell>
          <cell r="N328">
            <v>5735.4784699398479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41108.390384538026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28283.733655749882</v>
          </cell>
          <cell r="H330">
            <v>29725.401529895193</v>
          </cell>
          <cell r="I330">
            <v>31219.187598736404</v>
          </cell>
          <cell r="J330">
            <v>32767.255842169045</v>
          </cell>
          <cell r="K330">
            <v>34371.872422068278</v>
          </cell>
          <cell r="L330">
            <v>36035.410979664477</v>
          </cell>
          <cell r="M330">
            <v>37760.358223480303</v>
          </cell>
          <cell r="N330">
            <v>39549.319824256614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269712.54007602017</v>
          </cell>
        </row>
        <row r="331">
          <cell r="B331" t="str">
            <v xml:space="preserve">2.4.1.  Contribuição Social  </v>
          </cell>
          <cell r="G331">
            <v>6862.4808862423961</v>
          </cell>
          <cell r="H331">
            <v>7211.9761284594406</v>
          </cell>
          <cell r="I331">
            <v>7574.106084542158</v>
          </cell>
          <cell r="J331">
            <v>7949.395355677344</v>
          </cell>
          <cell r="K331">
            <v>8338.3933144407947</v>
          </cell>
          <cell r="L331">
            <v>8741.6753890095715</v>
          </cell>
          <cell r="M331">
            <v>9159.8444178134068</v>
          </cell>
          <cell r="N331">
            <v>9593.5320786076627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65431.403654792775</v>
          </cell>
        </row>
        <row r="332">
          <cell r="B332" t="str">
            <v xml:space="preserve">2.4.2.  Imposto de Renda  </v>
          </cell>
          <cell r="G332">
            <v>21421.252769507486</v>
          </cell>
          <cell r="H332">
            <v>22513.42540143575</v>
          </cell>
          <cell r="I332">
            <v>23645.081514194244</v>
          </cell>
          <cell r="J332">
            <v>24817.8604864917</v>
          </cell>
          <cell r="K332">
            <v>26033.479107627485</v>
          </cell>
          <cell r="L332">
            <v>27293.735590654909</v>
          </cell>
          <cell r="M332">
            <v>28600.513805666895</v>
          </cell>
          <cell r="N332">
            <v>29955.787745648951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204281.13642122742</v>
          </cell>
        </row>
        <row r="333">
          <cell r="B333" t="str">
            <v>3.  SALDO DO CAIXA     (1 - 2)</v>
          </cell>
          <cell r="G333">
            <v>57497.27742228008</v>
          </cell>
          <cell r="H333">
            <v>60424.300075847801</v>
          </cell>
          <cell r="I333">
            <v>63457.138458040557</v>
          </cell>
          <cell r="J333">
            <v>66600.186103797765</v>
          </cell>
          <cell r="K333">
            <v>69858.044008441633</v>
          </cell>
          <cell r="L333">
            <v>73235.53138295516</v>
          </cell>
          <cell r="M333">
            <v>76737.696999187276</v>
          </cell>
          <cell r="N333">
            <v>80369.831158339162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548180.00560888951</v>
          </cell>
        </row>
        <row r="334">
          <cell r="B334" t="str">
            <v xml:space="preserve">4. T.I.R. (Taxa Interna de Retorno) Anual do Projeto     </v>
          </cell>
          <cell r="G334">
            <v>0.19900892467808481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 (2)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AO"/>
      <sheetName val="AuxGraficos"/>
      <sheetName val="Sesaonality"/>
      <sheetName val="7.1.SSA"/>
    </sheetNames>
    <sheetDataSet>
      <sheetData sheetId="0" refreshError="1">
        <row r="3">
          <cell r="D3" t="str">
            <v xml:space="preserve"> 94/95</v>
          </cell>
          <cell r="E3" t="str">
            <v xml:space="preserve"> 95/96</v>
          </cell>
          <cell r="F3" t="str">
            <v xml:space="preserve"> 96/97</v>
          </cell>
        </row>
        <row r="4">
          <cell r="D4">
            <v>0</v>
          </cell>
          <cell r="E4">
            <v>16878000</v>
          </cell>
          <cell r="F4">
            <v>26794210</v>
          </cell>
        </row>
        <row r="6">
          <cell r="D6">
            <v>60889000</v>
          </cell>
          <cell r="E6">
            <v>43762000</v>
          </cell>
          <cell r="F6">
            <v>25230210</v>
          </cell>
        </row>
        <row r="8">
          <cell r="D8">
            <v>60889000</v>
          </cell>
          <cell r="E8">
            <v>60640000</v>
          </cell>
          <cell r="F8">
            <v>52024420</v>
          </cell>
        </row>
        <row r="11">
          <cell r="D11">
            <v>489821</v>
          </cell>
          <cell r="E11">
            <v>827780</v>
          </cell>
          <cell r="F11">
            <v>1263771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 Créditos"/>
      <sheetName val="Planilha1"/>
    </sheetNames>
    <sheetDataSet>
      <sheetData sheetId="0" refreshError="1">
        <row r="3">
          <cell r="A3" t="str">
            <v>TABELA SELIC</v>
          </cell>
        </row>
        <row r="6">
          <cell r="E6">
            <v>1000</v>
          </cell>
        </row>
        <row r="7">
          <cell r="E7">
            <v>42795</v>
          </cell>
        </row>
        <row r="14">
          <cell r="E14">
            <v>2619877.0239999997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Comparativo de Mercado"/>
      <sheetName val="Capa Simulador"/>
      <sheetName val="FLUXO + DRE  Original 20 anos"/>
      <sheetName val="Fatores 20 anos"/>
      <sheetName val="Prorrogação Fluxo 26 anos"/>
      <sheetName val="Prorrogação DRE 26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ECOVIAS</v>
          </cell>
        </row>
        <row r="56">
          <cell r="F56" t="str">
            <v>Versão: A-001 - agosto/2006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Ganho na Antecipação da Obra SP-160</v>
          </cell>
          <cell r="G67">
            <v>2038.3056849513359</v>
          </cell>
          <cell r="H67">
            <v>10998.965666509945</v>
          </cell>
          <cell r="I67">
            <v>0.2076675875382909</v>
          </cell>
        </row>
        <row r="68">
          <cell r="B68" t="str">
            <v>FATOR 2</v>
          </cell>
          <cell r="C68" t="str">
            <v>Majoração da COFINS</v>
          </cell>
          <cell r="G68">
            <v>-5872.5873228488454</v>
          </cell>
          <cell r="H68">
            <v>-31689.253881042936</v>
          </cell>
          <cell r="I68">
            <v>0.20119834290630281</v>
          </cell>
        </row>
        <row r="69">
          <cell r="B69" t="str">
            <v>FATOR 3</v>
          </cell>
          <cell r="C69" t="str">
            <v>Majoração do PIS</v>
          </cell>
          <cell r="G69">
            <v>-281.25966615177794</v>
          </cell>
          <cell r="H69">
            <v>-1517.7141653565632</v>
          </cell>
          <cell r="I69">
            <v>0.20575591843717594</v>
          </cell>
        </row>
        <row r="70">
          <cell r="B70" t="str">
            <v>FATOR 4</v>
          </cell>
          <cell r="C70" t="str">
            <v>Alteração da ISS-QN</v>
          </cell>
          <cell r="G70">
            <v>-2600.6581380424582</v>
          </cell>
          <cell r="H70">
            <v>-14033.493495035611</v>
          </cell>
          <cell r="I70">
            <v>0.20381993215133618</v>
          </cell>
        </row>
        <row r="71">
          <cell r="B71" t="str">
            <v>FATOR 5</v>
          </cell>
          <cell r="C71" t="str">
            <v>Despesas com a PMRV</v>
          </cell>
          <cell r="G71">
            <v>-1907.1040991544592</v>
          </cell>
          <cell r="H71">
            <v>-10290.984646672894</v>
          </cell>
          <cell r="I71">
            <v>0.20442664792195181</v>
          </cell>
        </row>
        <row r="72">
          <cell r="B72" t="str">
            <v>FATOR 6</v>
          </cell>
          <cell r="C72" t="str">
            <v>Perda de Receita - Parcelamento Reajuste Tarifário</v>
          </cell>
          <cell r="G72">
            <v>-1198.2596749111906</v>
          </cell>
          <cell r="H72">
            <v>-6465.9668670973724</v>
          </cell>
          <cell r="I72">
            <v>0.20500501013984487</v>
          </cell>
        </row>
        <row r="73">
          <cell r="B73" t="str">
            <v>FATOR 7</v>
          </cell>
          <cell r="C73" t="str">
            <v>1ª Adequação - Investimentos</v>
          </cell>
          <cell r="G73">
            <v>-106.34018766305778</v>
          </cell>
          <cell r="H73">
            <v>-573.82564436311304</v>
          </cell>
          <cell r="I73">
            <v>0.20590200808606335</v>
          </cell>
        </row>
        <row r="74">
          <cell r="B74" t="str">
            <v>FATOR 8</v>
          </cell>
          <cell r="C74" t="str">
            <v>2ª Adequação - Investimentos</v>
          </cell>
          <cell r="G74">
            <v>425.63401994992296</v>
          </cell>
          <cell r="H74">
            <v>2296.7771745382647</v>
          </cell>
          <cell r="I74">
            <v>0.20634547163225292</v>
          </cell>
        </row>
        <row r="75">
          <cell r="B75" t="str">
            <v>FATOR 9</v>
          </cell>
          <cell r="C75" t="str">
            <v>3ª e 4ª Adequações - Investimentos</v>
          </cell>
          <cell r="G75">
            <v>24.398397252539297</v>
          </cell>
          <cell r="H75">
            <v>131.65696179911171</v>
          </cell>
          <cell r="I75">
            <v>0.20600677650322619</v>
          </cell>
        </row>
        <row r="76">
          <cell r="B76" t="str">
            <v>FATOR 10</v>
          </cell>
          <cell r="C76" t="str">
            <v>Compartimentação de Túneis</v>
          </cell>
          <cell r="G76">
            <v>-4180.8647974701216</v>
          </cell>
          <cell r="H76">
            <v>-22560.49654534119</v>
          </cell>
          <cell r="I76">
            <v>0.20257901029251171</v>
          </cell>
        </row>
        <row r="77">
          <cell r="B77" t="str">
            <v>FATOR 11</v>
          </cell>
          <cell r="C77" t="str">
            <v>Equipamentos - Ampliação</v>
          </cell>
          <cell r="G77">
            <v>-4139.9069405042419</v>
          </cell>
          <cell r="H77">
            <v>-22339.482560114389</v>
          </cell>
          <cell r="I77">
            <v>0.2026286780235434</v>
          </cell>
        </row>
        <row r="78">
          <cell r="B78" t="str">
            <v>FATOR 12</v>
          </cell>
          <cell r="C78" t="str">
            <v>7ª Adequação de Investimentos</v>
          </cell>
          <cell r="G78">
            <v>5067.2028038068056</v>
          </cell>
          <cell r="H78">
            <v>27343.293047649335</v>
          </cell>
          <cell r="I78">
            <v>0.21016376800672076</v>
          </cell>
        </row>
        <row r="79">
          <cell r="B79" t="str">
            <v>FATOR 13</v>
          </cell>
          <cell r="C79">
            <v>0</v>
          </cell>
          <cell r="G79">
            <v>1.6063392582988022E-10</v>
          </cell>
          <cell r="H79">
            <v>8.6680179922166078E-10</v>
          </cell>
          <cell r="I79">
            <v>0.20598665865139795</v>
          </cell>
        </row>
        <row r="80">
          <cell r="B80" t="str">
            <v>FATOR 14</v>
          </cell>
          <cell r="C80">
            <v>0</v>
          </cell>
          <cell r="G80">
            <v>1.6063392582988022E-10</v>
          </cell>
          <cell r="H80">
            <v>8.6680179922166078E-10</v>
          </cell>
          <cell r="I80">
            <v>0.20598665865139795</v>
          </cell>
        </row>
        <row r="81">
          <cell r="B81" t="str">
            <v>FATOR 15</v>
          </cell>
          <cell r="C81">
            <v>0</v>
          </cell>
          <cell r="G81">
            <v>1.6063392582988022E-10</v>
          </cell>
          <cell r="H81">
            <v>8.6680179922166078E-10</v>
          </cell>
          <cell r="I81">
            <v>0.20598665865139795</v>
          </cell>
        </row>
        <row r="82">
          <cell r="B82" t="str">
            <v>TOTAL GERAL</v>
          </cell>
          <cell r="G82">
            <v>-12731.439920785069</v>
          </cell>
          <cell r="H82">
            <v>-68700.524954524779</v>
          </cell>
          <cell r="I82">
            <v>0.19560116118791618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26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0.20598665865139795</v>
          </cell>
        </row>
        <row r="98">
          <cell r="B98" t="str">
            <v>TIR Resultante dos Desequilibrio no Contrato Original (ao ano)</v>
          </cell>
          <cell r="J98">
            <v>0.19560116118791618</v>
          </cell>
        </row>
        <row r="100">
          <cell r="B100" t="str">
            <v>Diferença entre a TIR Original x TIR Desequilibrios</v>
          </cell>
          <cell r="J100">
            <v>-1.0385497463481774E-2</v>
          </cell>
        </row>
        <row r="102">
          <cell r="B102" t="str">
            <v>TIR Resultante das Alternativas Utilizadas para o Reequilibrio (ao ano)</v>
          </cell>
          <cell r="J102">
            <v>0.20622234876489354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1.6063392582988022E-10</v>
          </cell>
          <cell r="G136">
            <v>0.20598665865139795</v>
          </cell>
          <cell r="H136">
            <v>-39229.718373034237</v>
          </cell>
          <cell r="I136">
            <v>-29908.212028162554</v>
          </cell>
          <cell r="J136">
            <v>-50145.101041049667</v>
          </cell>
          <cell r="K136">
            <v>-164186.73942439881</v>
          </cell>
          <cell r="L136">
            <v>-122190.77248663284</v>
          </cell>
          <cell r="M136">
            <v>88633.051028939692</v>
          </cell>
          <cell r="N136">
            <v>99501.281783748724</v>
          </cell>
          <cell r="O136">
            <v>112481.56994213944</v>
          </cell>
          <cell r="P136">
            <v>115333.2602316126</v>
          </cell>
          <cell r="Q136">
            <v>121364.68999219264</v>
          </cell>
          <cell r="R136">
            <v>125949.2910516144</v>
          </cell>
          <cell r="S136">
            <v>128957.20994893744</v>
          </cell>
          <cell r="T136">
            <v>104174.25336412256</v>
          </cell>
          <cell r="U136">
            <v>145903.26841051108</v>
          </cell>
          <cell r="V136">
            <v>149578.38589610436</v>
          </cell>
          <cell r="W136">
            <v>152769.60051223767</v>
          </cell>
          <cell r="X136">
            <v>140677.21782348497</v>
          </cell>
          <cell r="Y136">
            <v>162443.50158830633</v>
          </cell>
          <cell r="Z136">
            <v>175208.30228440434</v>
          </cell>
          <cell r="AA136">
            <v>168397.60233190004</v>
          </cell>
        </row>
        <row r="137">
          <cell r="B137" t="str">
            <v>(+)Desequilibrio do Projeto Original (a)</v>
          </cell>
        </row>
        <row r="138">
          <cell r="B138" t="str">
            <v>Ganho na Antecipação da Obra SP-160</v>
          </cell>
        </row>
        <row r="139">
          <cell r="B139" t="str">
            <v>Fluxo de Caixa do Fator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5199.7424473090314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B140" t="str">
            <v>Somatoria com Projeto Original</v>
          </cell>
          <cell r="F140">
            <v>2038.3056849513359</v>
          </cell>
          <cell r="G140">
            <v>0.2076675875382909</v>
          </cell>
          <cell r="H140">
            <v>-39229.718373034237</v>
          </cell>
          <cell r="I140">
            <v>-29908.212028162554</v>
          </cell>
          <cell r="J140">
            <v>-50145.101041049667</v>
          </cell>
          <cell r="K140">
            <v>-164186.73942439881</v>
          </cell>
          <cell r="L140">
            <v>-116991.0300393238</v>
          </cell>
          <cell r="M140">
            <v>88633.051028939692</v>
          </cell>
          <cell r="N140">
            <v>99501.281783748724</v>
          </cell>
          <cell r="O140">
            <v>112481.56994213944</v>
          </cell>
          <cell r="P140">
            <v>115333.2602316126</v>
          </cell>
          <cell r="Q140">
            <v>121364.68999219264</v>
          </cell>
          <cell r="R140">
            <v>125949.2910516144</v>
          </cell>
          <cell r="S140">
            <v>128957.20994893744</v>
          </cell>
          <cell r="T140">
            <v>104174.25336412256</v>
          </cell>
          <cell r="U140">
            <v>145903.26841051108</v>
          </cell>
          <cell r="V140">
            <v>149578.38589610436</v>
          </cell>
          <cell r="W140">
            <v>152769.60051223767</v>
          </cell>
          <cell r="X140">
            <v>140677.21782348497</v>
          </cell>
          <cell r="Y140">
            <v>162443.50158830633</v>
          </cell>
          <cell r="Z140">
            <v>175208.30228440434</v>
          </cell>
          <cell r="AA140">
            <v>168397.60233190004</v>
          </cell>
        </row>
        <row r="141">
          <cell r="B141" t="str">
            <v>Majoração da COFINS</v>
          </cell>
        </row>
        <row r="142">
          <cell r="B142" t="str">
            <v>Fluxo de Caixa do Fator</v>
          </cell>
          <cell r="H142">
            <v>-365.01642433333313</v>
          </cell>
          <cell r="I142">
            <v>-1127.6515400000003</v>
          </cell>
          <cell r="J142">
            <v>-1161.4517669999996</v>
          </cell>
          <cell r="K142">
            <v>-1195.9743209999997</v>
          </cell>
          <cell r="L142">
            <v>-1287.1470118472223</v>
          </cell>
          <cell r="M142">
            <v>-1932.0372923251493</v>
          </cell>
          <cell r="N142">
            <v>-1637.5178683793852</v>
          </cell>
          <cell r="O142">
            <v>-1496.3578329999998</v>
          </cell>
          <cell r="P142">
            <v>-1540.5537799999997</v>
          </cell>
          <cell r="Q142">
            <v>-1585.9069509999995</v>
          </cell>
          <cell r="R142">
            <v>-1632.5810939999997</v>
          </cell>
          <cell r="S142">
            <v>-1680.8306080000002</v>
          </cell>
          <cell r="T142">
            <v>-1730.3732220000002</v>
          </cell>
          <cell r="U142">
            <v>-1781.5350920000001</v>
          </cell>
          <cell r="V142">
            <v>-1834.1584329999994</v>
          </cell>
          <cell r="W142">
            <v>-1888.3920519999995</v>
          </cell>
          <cell r="X142">
            <v>-1944.0756180000003</v>
          </cell>
          <cell r="Y142">
            <v>-2001.6153519999993</v>
          </cell>
          <cell r="Z142">
            <v>-2060.7888810000004</v>
          </cell>
          <cell r="AA142">
            <v>-2121.8567679999987</v>
          </cell>
        </row>
        <row r="143">
          <cell r="B143" t="str">
            <v>Somatoria com Projeto Original</v>
          </cell>
          <cell r="F143">
            <v>-5872.5873228488454</v>
          </cell>
          <cell r="G143">
            <v>0.20119834290630281</v>
          </cell>
          <cell r="H143">
            <v>-39594.734797367571</v>
          </cell>
          <cell r="I143">
            <v>-31035.863568162553</v>
          </cell>
          <cell r="J143">
            <v>-51306.552808049666</v>
          </cell>
          <cell r="K143">
            <v>-165382.7137453988</v>
          </cell>
          <cell r="L143">
            <v>-123477.91949848006</v>
          </cell>
          <cell r="M143">
            <v>86701.013736614535</v>
          </cell>
          <cell r="N143">
            <v>97863.763915369345</v>
          </cell>
          <cell r="O143">
            <v>110985.21210913944</v>
          </cell>
          <cell r="P143">
            <v>113792.7064516126</v>
          </cell>
          <cell r="Q143">
            <v>119778.78304119264</v>
          </cell>
          <cell r="R143">
            <v>124316.70995761441</v>
          </cell>
          <cell r="S143">
            <v>127276.37934093743</v>
          </cell>
          <cell r="T143">
            <v>102443.88014212257</v>
          </cell>
          <cell r="U143">
            <v>144121.73331851108</v>
          </cell>
          <cell r="V143">
            <v>147744.22746310435</v>
          </cell>
          <cell r="W143">
            <v>150881.20846023766</v>
          </cell>
          <cell r="X143">
            <v>138733.14220548497</v>
          </cell>
          <cell r="Y143">
            <v>160441.88623630634</v>
          </cell>
          <cell r="Z143">
            <v>173147.51340340433</v>
          </cell>
          <cell r="AA143">
            <v>166275.74556390004</v>
          </cell>
        </row>
        <row r="144">
          <cell r="B144" t="str">
            <v>Majoração do PIS</v>
          </cell>
        </row>
        <row r="145">
          <cell r="B145" t="str">
            <v>Fluxo de Caixa do Fator</v>
          </cell>
          <cell r="H145">
            <v>-1.1138928666666748</v>
          </cell>
          <cell r="I145">
            <v>-3.4411903500000287</v>
          </cell>
          <cell r="J145">
            <v>-3.5443167500000095</v>
          </cell>
          <cell r="K145">
            <v>-3.6497077499999091</v>
          </cell>
          <cell r="L145">
            <v>-346.24327491903955</v>
          </cell>
          <cell r="M145">
            <v>-370.4568192841565</v>
          </cell>
          <cell r="N145">
            <v>-44.516180459998218</v>
          </cell>
          <cell r="O145">
            <v>-4.5663917000000875</v>
          </cell>
          <cell r="P145">
            <v>-4.7011789500000347</v>
          </cell>
          <cell r="Q145">
            <v>-4.8395808500000728</v>
          </cell>
          <cell r="R145">
            <v>-4.9820764499999814</v>
          </cell>
          <cell r="S145">
            <v>-5.1292754500000504</v>
          </cell>
          <cell r="T145">
            <v>-5.2804810500000574</v>
          </cell>
          <cell r="U145">
            <v>-5.4366513500000222</v>
          </cell>
          <cell r="V145">
            <v>-5.5971766499999607</v>
          </cell>
          <cell r="W145">
            <v>-5.7626666500000079</v>
          </cell>
          <cell r="X145">
            <v>-5.9326858500000457</v>
          </cell>
          <cell r="Y145">
            <v>-6.108235900000059</v>
          </cell>
          <cell r="Z145">
            <v>-6.2887506500000292</v>
          </cell>
          <cell r="AA145">
            <v>-6.4752317499999412</v>
          </cell>
        </row>
        <row r="146">
          <cell r="B146" t="str">
            <v>Somatoria com Projeto Original</v>
          </cell>
          <cell r="F146">
            <v>-281.25966615177794</v>
          </cell>
          <cell r="G146">
            <v>0.20575591843717594</v>
          </cell>
          <cell r="H146">
            <v>-39230.832265900906</v>
          </cell>
          <cell r="I146">
            <v>-29911.653218512554</v>
          </cell>
          <cell r="J146">
            <v>-50148.645357799665</v>
          </cell>
          <cell r="K146">
            <v>-164190.38913214882</v>
          </cell>
          <cell r="L146">
            <v>-122537.01576155187</v>
          </cell>
          <cell r="M146">
            <v>88262.594209655537</v>
          </cell>
          <cell r="N146">
            <v>99456.765603288732</v>
          </cell>
          <cell r="O146">
            <v>112477.00355043943</v>
          </cell>
          <cell r="P146">
            <v>115328.5590526626</v>
          </cell>
          <cell r="Q146">
            <v>121359.85041134263</v>
          </cell>
          <cell r="R146">
            <v>125944.3089751644</v>
          </cell>
          <cell r="S146">
            <v>128952.08067348743</v>
          </cell>
          <cell r="T146">
            <v>104168.97288307257</v>
          </cell>
          <cell r="U146">
            <v>145897.83175916108</v>
          </cell>
          <cell r="V146">
            <v>149572.78871945437</v>
          </cell>
          <cell r="W146">
            <v>152763.83784558767</v>
          </cell>
          <cell r="X146">
            <v>140671.28513763496</v>
          </cell>
          <cell r="Y146">
            <v>162437.39335240633</v>
          </cell>
          <cell r="Z146">
            <v>175202.01353375433</v>
          </cell>
          <cell r="AA146">
            <v>168391.12710015004</v>
          </cell>
        </row>
        <row r="147">
          <cell r="B147" t="str">
            <v>Alteração da ISS-QN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-4391.1071375000001</v>
          </cell>
          <cell r="V148">
            <v>-9041.6265500000009</v>
          </cell>
          <cell r="W148">
            <v>-9308.9756450000004</v>
          </cell>
          <cell r="X148">
            <v>-9583.4699550000005</v>
          </cell>
          <cell r="Y148">
            <v>-9867.117470000001</v>
          </cell>
          <cell r="Z148">
            <v>-10158.819390000001</v>
          </cell>
          <cell r="AA148">
            <v>-10459.855415</v>
          </cell>
        </row>
        <row r="149">
          <cell r="B149" t="str">
            <v>Somatoria com Projeto Original</v>
          </cell>
          <cell r="F149">
            <v>-2600.6581380424582</v>
          </cell>
          <cell r="G149">
            <v>0.20381993215133618</v>
          </cell>
          <cell r="H149">
            <v>-39229.718373034237</v>
          </cell>
          <cell r="I149">
            <v>-29908.212028162554</v>
          </cell>
          <cell r="J149">
            <v>-50145.101041049667</v>
          </cell>
          <cell r="K149">
            <v>-164186.73942439881</v>
          </cell>
          <cell r="L149">
            <v>-122190.77248663284</v>
          </cell>
          <cell r="M149">
            <v>88633.051028939692</v>
          </cell>
          <cell r="N149">
            <v>99501.281783748724</v>
          </cell>
          <cell r="O149">
            <v>112481.56994213944</v>
          </cell>
          <cell r="P149">
            <v>115333.2602316126</v>
          </cell>
          <cell r="Q149">
            <v>121364.68999219264</v>
          </cell>
          <cell r="R149">
            <v>125949.2910516144</v>
          </cell>
          <cell r="S149">
            <v>128957.20994893744</v>
          </cell>
          <cell r="T149">
            <v>104174.25336412256</v>
          </cell>
          <cell r="U149">
            <v>141512.16127301109</v>
          </cell>
          <cell r="V149">
            <v>140536.75934610434</v>
          </cell>
          <cell r="W149">
            <v>143460.62486723767</v>
          </cell>
          <cell r="X149">
            <v>131093.74786848496</v>
          </cell>
          <cell r="Y149">
            <v>152576.38411830633</v>
          </cell>
          <cell r="Z149">
            <v>165049.48289440435</v>
          </cell>
          <cell r="AA149">
            <v>157937.74691690004</v>
          </cell>
        </row>
        <row r="150">
          <cell r="B150" t="str">
            <v>Despesas com a PMRV</v>
          </cell>
        </row>
        <row r="151">
          <cell r="B151" t="str">
            <v>Fluxo de Caixa do Fator</v>
          </cell>
          <cell r="H151">
            <v>-207.56353136168502</v>
          </cell>
          <cell r="I151">
            <v>-536.70364782000001</v>
          </cell>
          <cell r="J151">
            <v>-512.49327425102513</v>
          </cell>
          <cell r="K151">
            <v>-390.42060891595662</v>
          </cell>
          <cell r="L151">
            <v>-499.33547547878385</v>
          </cell>
          <cell r="M151">
            <v>-47.500371870791952</v>
          </cell>
          <cell r="N151">
            <v>-488.17069975879593</v>
          </cell>
          <cell r="O151">
            <v>-488.17069975879593</v>
          </cell>
          <cell r="P151">
            <v>-488.17069975879593</v>
          </cell>
          <cell r="Q151">
            <v>-488.17069975879593</v>
          </cell>
          <cell r="R151">
            <v>-235.17069975879593</v>
          </cell>
          <cell r="S151">
            <v>-488.17069975879593</v>
          </cell>
          <cell r="T151">
            <v>-488.17069975879593</v>
          </cell>
          <cell r="U151">
            <v>-488.17069975879593</v>
          </cell>
          <cell r="V151">
            <v>-488.17069975879593</v>
          </cell>
          <cell r="W151">
            <v>-235.17069975879593</v>
          </cell>
          <cell r="X151">
            <v>-492.34519975879596</v>
          </cell>
          <cell r="Y151">
            <v>-492.34519975879596</v>
          </cell>
          <cell r="Z151">
            <v>-492.34519975879596</v>
          </cell>
          <cell r="AA151">
            <v>-831.36519975879594</v>
          </cell>
        </row>
        <row r="152">
          <cell r="B152" t="str">
            <v>Somatoria com Projeto Original</v>
          </cell>
          <cell r="F152">
            <v>-1907.1040991544592</v>
          </cell>
          <cell r="G152">
            <v>0.20442664792195181</v>
          </cell>
          <cell r="H152">
            <v>-39437.281904395924</v>
          </cell>
          <cell r="I152">
            <v>-30444.915675982553</v>
          </cell>
          <cell r="J152">
            <v>-50657.594315300696</v>
          </cell>
          <cell r="K152">
            <v>-164577.16003331478</v>
          </cell>
          <cell r="L152">
            <v>-122690.10796211162</v>
          </cell>
          <cell r="M152">
            <v>88585.550657068903</v>
          </cell>
          <cell r="N152">
            <v>99013.111083989934</v>
          </cell>
          <cell r="O152">
            <v>111993.39924238065</v>
          </cell>
          <cell r="P152">
            <v>114845.08953185381</v>
          </cell>
          <cell r="Q152">
            <v>120876.51929243385</v>
          </cell>
          <cell r="R152">
            <v>125714.12035185561</v>
          </cell>
          <cell r="S152">
            <v>128469.03924917865</v>
          </cell>
          <cell r="T152">
            <v>103686.08266436377</v>
          </cell>
          <cell r="U152">
            <v>145415.09771075228</v>
          </cell>
          <cell r="V152">
            <v>149090.21519634555</v>
          </cell>
          <cell r="W152">
            <v>152534.42981247886</v>
          </cell>
          <cell r="X152">
            <v>140184.87262372617</v>
          </cell>
          <cell r="Y152">
            <v>161951.15638854753</v>
          </cell>
          <cell r="Z152">
            <v>174715.95708464555</v>
          </cell>
          <cell r="AA152">
            <v>167566.23713214125</v>
          </cell>
        </row>
        <row r="153">
          <cell r="B153" t="str">
            <v>Perda de Receita - Parcelamento Reajuste Tarifário</v>
          </cell>
        </row>
        <row r="154">
          <cell r="B154" t="str">
            <v>Fluxo de Caixa do Fator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-3686.4297705310373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</row>
        <row r="155">
          <cell r="B155" t="str">
            <v>Somatoria com Projeto Original</v>
          </cell>
          <cell r="F155">
            <v>-1198.2596749111906</v>
          </cell>
          <cell r="G155">
            <v>0.20500501013984487</v>
          </cell>
          <cell r="H155">
            <v>-39229.718373034237</v>
          </cell>
          <cell r="I155">
            <v>-29908.212028162554</v>
          </cell>
          <cell r="J155">
            <v>-50145.101041049667</v>
          </cell>
          <cell r="K155">
            <v>-164186.73942439881</v>
          </cell>
          <cell r="L155">
            <v>-122190.77248663284</v>
          </cell>
          <cell r="M155">
            <v>84946.621258408661</v>
          </cell>
          <cell r="N155">
            <v>99501.281783748724</v>
          </cell>
          <cell r="O155">
            <v>112481.56994213944</v>
          </cell>
          <cell r="P155">
            <v>115333.2602316126</v>
          </cell>
          <cell r="Q155">
            <v>121364.68999219264</v>
          </cell>
          <cell r="R155">
            <v>125949.2910516144</v>
          </cell>
          <cell r="S155">
            <v>128957.20994893744</v>
          </cell>
          <cell r="T155">
            <v>104174.25336412256</v>
          </cell>
          <cell r="U155">
            <v>145903.26841051108</v>
          </cell>
          <cell r="V155">
            <v>149578.38589610436</v>
          </cell>
          <cell r="W155">
            <v>152769.60051223767</v>
          </cell>
          <cell r="X155">
            <v>140677.21782348497</v>
          </cell>
          <cell r="Y155">
            <v>162443.50158830633</v>
          </cell>
          <cell r="Z155">
            <v>175208.30228440434</v>
          </cell>
          <cell r="AA155">
            <v>168397.60233190004</v>
          </cell>
        </row>
        <row r="156">
          <cell r="B156" t="str">
            <v>1ª Adequação - Investimentos</v>
          </cell>
        </row>
        <row r="157">
          <cell r="B157" t="str">
            <v>Fluxo de Caixa do Fator</v>
          </cell>
          <cell r="H157">
            <v>32489.314749999998</v>
          </cell>
          <cell r="I157">
            <v>-33665.428480000002</v>
          </cell>
          <cell r="J157">
            <v>-94913.596050000036</v>
          </cell>
          <cell r="K157">
            <v>33325.821270000022</v>
          </cell>
          <cell r="L157">
            <v>83168.222569999998</v>
          </cell>
          <cell r="M157">
            <v>8852.0866999999998</v>
          </cell>
          <cell r="N157">
            <v>5352.4538499999999</v>
          </cell>
          <cell r="O157">
            <v>-5226.7782999999999</v>
          </cell>
          <cell r="P157">
            <v>-4642.7378999999983</v>
          </cell>
          <cell r="Q157">
            <v>-5610.6613200000011</v>
          </cell>
          <cell r="R157">
            <v>-2623.8730499999997</v>
          </cell>
          <cell r="S157">
            <v>4211.3567400000011</v>
          </cell>
          <cell r="T157">
            <v>17886.02893</v>
          </cell>
          <cell r="U157">
            <v>-5354.8308099999995</v>
          </cell>
          <cell r="V157">
            <v>1839.8130100000003</v>
          </cell>
          <cell r="W157">
            <v>-5211.6170000000002</v>
          </cell>
          <cell r="X157">
            <v>13558.89</v>
          </cell>
          <cell r="Y157">
            <v>1416.8767400000006</v>
          </cell>
          <cell r="Z157">
            <v>-28078.945299999999</v>
          </cell>
          <cell r="AA157">
            <v>-22107.001009999993</v>
          </cell>
        </row>
        <row r="158">
          <cell r="B158" t="str">
            <v>Somatoria com Projeto Original</v>
          </cell>
          <cell r="F158">
            <v>-106.34018766305778</v>
          </cell>
          <cell r="G158">
            <v>0.20590200808606335</v>
          </cell>
          <cell r="H158">
            <v>-6740.403623034239</v>
          </cell>
          <cell r="I158">
            <v>-63573.640508162556</v>
          </cell>
          <cell r="J158">
            <v>-145058.69709104969</v>
          </cell>
          <cell r="K158">
            <v>-130860.91815439879</v>
          </cell>
          <cell r="L158">
            <v>-39022.549916632837</v>
          </cell>
          <cell r="M158">
            <v>97485.137728939691</v>
          </cell>
          <cell r="N158">
            <v>104853.73563374873</v>
          </cell>
          <cell r="O158">
            <v>107254.79164213943</v>
          </cell>
          <cell r="P158">
            <v>110690.52233161261</v>
          </cell>
          <cell r="Q158">
            <v>115754.02867219264</v>
          </cell>
          <cell r="R158">
            <v>123325.41800161441</v>
          </cell>
          <cell r="S158">
            <v>133168.56668893743</v>
          </cell>
          <cell r="T158">
            <v>122060.28229412256</v>
          </cell>
          <cell r="U158">
            <v>140548.43760051107</v>
          </cell>
          <cell r="V158">
            <v>151418.19890610437</v>
          </cell>
          <cell r="W158">
            <v>147557.98351223767</v>
          </cell>
          <cell r="X158">
            <v>154236.10782348498</v>
          </cell>
          <cell r="Y158">
            <v>163860.37832830634</v>
          </cell>
          <cell r="Z158">
            <v>147129.35698440435</v>
          </cell>
          <cell r="AA158">
            <v>146290.60132190003</v>
          </cell>
        </row>
        <row r="159">
          <cell r="B159" t="str">
            <v>2ª Adequação - Investimentos</v>
          </cell>
        </row>
        <row r="160">
          <cell r="B160" t="str">
            <v>Fluxo de Caixa do Fator</v>
          </cell>
          <cell r="H160">
            <v>-0.35474999999769352</v>
          </cell>
          <cell r="I160">
            <v>-75.281520000002274</v>
          </cell>
          <cell r="J160">
            <v>5395.0160500000147</v>
          </cell>
          <cell r="K160">
            <v>5210.8387299999904</v>
          </cell>
          <cell r="L160">
            <v>4847.0974300000089</v>
          </cell>
          <cell r="M160">
            <v>2139.5332999999996</v>
          </cell>
          <cell r="N160">
            <v>-6973.6038499999995</v>
          </cell>
          <cell r="O160">
            <v>-7071.6217000000006</v>
          </cell>
          <cell r="P160">
            <v>0.51789999999823522</v>
          </cell>
          <cell r="Q160">
            <v>-7642.4486799999995</v>
          </cell>
          <cell r="R160">
            <v>-13429.516950000001</v>
          </cell>
          <cell r="S160">
            <v>-11654.12674</v>
          </cell>
          <cell r="T160">
            <v>-8091.4189300000007</v>
          </cell>
          <cell r="U160">
            <v>-977.44918999999993</v>
          </cell>
          <cell r="V160">
            <v>0.44699000000014166</v>
          </cell>
          <cell r="W160">
            <v>-0.18299999999999272</v>
          </cell>
          <cell r="X160">
            <v>0.55000000000063665</v>
          </cell>
          <cell r="Y160">
            <v>-0.55673999999999069</v>
          </cell>
          <cell r="Z160">
            <v>13430.0353</v>
          </cell>
          <cell r="AA160">
            <v>13429.591009999991</v>
          </cell>
        </row>
        <row r="161">
          <cell r="B161" t="str">
            <v>Somatoria com Projeto Original</v>
          </cell>
          <cell r="F161">
            <v>425.63401994992296</v>
          </cell>
          <cell r="G161">
            <v>0.20634547163225292</v>
          </cell>
          <cell r="H161">
            <v>-39230.073123034235</v>
          </cell>
          <cell r="I161">
            <v>-29983.493548162558</v>
          </cell>
          <cell r="J161">
            <v>-44750.084991049654</v>
          </cell>
          <cell r="K161">
            <v>-158975.90069439882</v>
          </cell>
          <cell r="L161">
            <v>-117343.67505663283</v>
          </cell>
          <cell r="M161">
            <v>90772.584328939687</v>
          </cell>
          <cell r="N161">
            <v>92527.677933748724</v>
          </cell>
          <cell r="O161">
            <v>105409.94824213944</v>
          </cell>
          <cell r="P161">
            <v>115333.77813161259</v>
          </cell>
          <cell r="Q161">
            <v>113722.24131219264</v>
          </cell>
          <cell r="R161">
            <v>112519.7741016144</v>
          </cell>
          <cell r="S161">
            <v>117303.08320893743</v>
          </cell>
          <cell r="T161">
            <v>96082.83443412256</v>
          </cell>
          <cell r="U161">
            <v>144925.81922051107</v>
          </cell>
          <cell r="V161">
            <v>149578.83288610436</v>
          </cell>
          <cell r="W161">
            <v>152769.41751223768</v>
          </cell>
          <cell r="X161">
            <v>140677.76782348496</v>
          </cell>
          <cell r="Y161">
            <v>162442.94484830633</v>
          </cell>
          <cell r="Z161">
            <v>188638.33758440433</v>
          </cell>
          <cell r="AA161">
            <v>181827.19334190004</v>
          </cell>
        </row>
        <row r="162">
          <cell r="B162" t="str">
            <v>3ª e 4ª Adequações - Investimentos</v>
          </cell>
        </row>
        <row r="163">
          <cell r="B163" t="str">
            <v>Fluxo de Caixa do Fator</v>
          </cell>
          <cell r="H163">
            <v>-579.61000000000115</v>
          </cell>
          <cell r="I163">
            <v>-1676.8576838401275</v>
          </cell>
          <cell r="J163">
            <v>951.76817721821158</v>
          </cell>
          <cell r="K163">
            <v>-964.47342669650493</v>
          </cell>
          <cell r="L163">
            <v>5380.6579997353529</v>
          </cell>
          <cell r="M163">
            <v>5163.6837382257972</v>
          </cell>
          <cell r="N163">
            <v>11244.893565044298</v>
          </cell>
          <cell r="O163">
            <v>901.66824203336705</v>
          </cell>
          <cell r="P163">
            <v>-11961.179701323388</v>
          </cell>
          <cell r="Q163">
            <v>-8280.5278338806293</v>
          </cell>
          <cell r="R163">
            <v>-15915.890367716973</v>
          </cell>
          <cell r="S163">
            <v>-15897.450750233285</v>
          </cell>
          <cell r="T163">
            <v>9867.2137542922865</v>
          </cell>
          <cell r="U163">
            <v>-661.73100193628557</v>
          </cell>
          <cell r="V163">
            <v>-2451.9007447029589</v>
          </cell>
          <cell r="W163">
            <v>5278.3714073770416</v>
          </cell>
          <cell r="X163">
            <v>4787.6068264645473</v>
          </cell>
          <cell r="Y163">
            <v>-1843.2677670652774</v>
          </cell>
          <cell r="Z163">
            <v>6909.346379808303</v>
          </cell>
          <cell r="AA163">
            <v>20493.13195296493</v>
          </cell>
        </row>
        <row r="164">
          <cell r="B164" t="str">
            <v>Somatoria com Projeto Original</v>
          </cell>
          <cell r="F164">
            <v>24.398397252539297</v>
          </cell>
          <cell r="G164">
            <v>0.20600677650322619</v>
          </cell>
          <cell r="H164">
            <v>-39809.328373034237</v>
          </cell>
          <cell r="I164">
            <v>-31585.069712002682</v>
          </cell>
          <cell r="J164">
            <v>-49193.332863831456</v>
          </cell>
          <cell r="K164">
            <v>-165151.2128510953</v>
          </cell>
          <cell r="L164">
            <v>-116810.11448689748</v>
          </cell>
          <cell r="M164">
            <v>93796.734767165486</v>
          </cell>
          <cell r="N164">
            <v>110746.17534879303</v>
          </cell>
          <cell r="O164">
            <v>113383.23818417281</v>
          </cell>
          <cell r="P164">
            <v>103372.08053028921</v>
          </cell>
          <cell r="Q164">
            <v>113084.16215831201</v>
          </cell>
          <cell r="R164">
            <v>110033.40068389743</v>
          </cell>
          <cell r="S164">
            <v>113059.75919870415</v>
          </cell>
          <cell r="T164">
            <v>114041.46711841485</v>
          </cell>
          <cell r="U164">
            <v>145241.5374085748</v>
          </cell>
          <cell r="V164">
            <v>147126.4851514014</v>
          </cell>
          <cell r="W164">
            <v>158047.97191961471</v>
          </cell>
          <cell r="X164">
            <v>145464.82464994953</v>
          </cell>
          <cell r="Y164">
            <v>160600.23382124107</v>
          </cell>
          <cell r="Z164">
            <v>182117.64866421264</v>
          </cell>
          <cell r="AA164">
            <v>188890.73428486497</v>
          </cell>
        </row>
        <row r="165">
          <cell r="B165" t="str">
            <v>Compartimentação de Túneis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-9830.34</v>
          </cell>
          <cell r="M166">
            <v>225.36487934196433</v>
          </cell>
          <cell r="N166">
            <v>225.36487934196433</v>
          </cell>
          <cell r="O166">
            <v>225.36487934196433</v>
          </cell>
          <cell r="P166">
            <v>225.36487934196433</v>
          </cell>
          <cell r="Q166">
            <v>225.36487934196433</v>
          </cell>
          <cell r="R166">
            <v>225.36487934196433</v>
          </cell>
          <cell r="S166">
            <v>225.36487934196433</v>
          </cell>
          <cell r="T166">
            <v>-5243.1951206580361</v>
          </cell>
          <cell r="U166">
            <v>-4995.138673340708</v>
          </cell>
          <cell r="V166">
            <v>762.82051519617505</v>
          </cell>
          <cell r="W166">
            <v>762.82051519617505</v>
          </cell>
          <cell r="X166">
            <v>762.82051519617505</v>
          </cell>
          <cell r="Y166">
            <v>762.82051519617505</v>
          </cell>
          <cell r="Z166">
            <v>762.82051519617505</v>
          </cell>
          <cell r="AA166">
            <v>762.82051519617505</v>
          </cell>
        </row>
        <row r="167">
          <cell r="B167" t="str">
            <v>Somatoria com Projeto Original</v>
          </cell>
          <cell r="F167">
            <v>-4180.8647974701216</v>
          </cell>
          <cell r="G167">
            <v>0.20257901029251171</v>
          </cell>
          <cell r="H167">
            <v>-39229.718373034237</v>
          </cell>
          <cell r="I167">
            <v>-29908.212028162554</v>
          </cell>
          <cell r="J167">
            <v>-50145.101041049667</v>
          </cell>
          <cell r="K167">
            <v>-164186.73942439881</v>
          </cell>
          <cell r="L167">
            <v>-132021.11248663283</v>
          </cell>
          <cell r="M167">
            <v>88858.415908281662</v>
          </cell>
          <cell r="N167">
            <v>99726.646663090694</v>
          </cell>
          <cell r="O167">
            <v>112706.93482148141</v>
          </cell>
          <cell r="P167">
            <v>115558.62511095457</v>
          </cell>
          <cell r="Q167">
            <v>121590.05487153461</v>
          </cell>
          <cell r="R167">
            <v>126174.65593095637</v>
          </cell>
          <cell r="S167">
            <v>129182.57482827941</v>
          </cell>
          <cell r="T167">
            <v>98931.058243464518</v>
          </cell>
          <cell r="U167">
            <v>140908.12973717038</v>
          </cell>
          <cell r="V167">
            <v>150341.20641130055</v>
          </cell>
          <cell r="W167">
            <v>153532.42102743385</v>
          </cell>
          <cell r="X167">
            <v>141440.03833868116</v>
          </cell>
          <cell r="Y167">
            <v>163206.32210350252</v>
          </cell>
          <cell r="Z167">
            <v>175971.12279960053</v>
          </cell>
          <cell r="AA167">
            <v>169160.42284709623</v>
          </cell>
        </row>
        <row r="168">
          <cell r="B168" t="str">
            <v>Equipamentos - Ampliação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-2627.6819264577266</v>
          </cell>
          <cell r="L169">
            <v>-9605.4885108624858</v>
          </cell>
          <cell r="M169">
            <v>615.97888367940379</v>
          </cell>
          <cell r="N169">
            <v>832.22396348003895</v>
          </cell>
          <cell r="O169">
            <v>832.22396348003895</v>
          </cell>
          <cell r="P169">
            <v>832.22396348003895</v>
          </cell>
          <cell r="Q169">
            <v>658.79695633382903</v>
          </cell>
          <cell r="R169">
            <v>13.388532145255084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-4139.9069405042419</v>
          </cell>
          <cell r="G170">
            <v>0.2026286780235434</v>
          </cell>
          <cell r="H170">
            <v>-39229.718373034237</v>
          </cell>
          <cell r="I170">
            <v>-29908.212028162554</v>
          </cell>
          <cell r="J170">
            <v>-50145.101041049667</v>
          </cell>
          <cell r="K170">
            <v>-166814.42135085654</v>
          </cell>
          <cell r="L170">
            <v>-131796.26099749532</v>
          </cell>
          <cell r="M170">
            <v>89249.029912619095</v>
          </cell>
          <cell r="N170">
            <v>100333.50574722876</v>
          </cell>
          <cell r="O170">
            <v>113313.79390561947</v>
          </cell>
          <cell r="P170">
            <v>116165.48419509263</v>
          </cell>
          <cell r="Q170">
            <v>122023.48694852646</v>
          </cell>
          <cell r="R170">
            <v>125962.67958375966</v>
          </cell>
          <cell r="S170">
            <v>128957.20994893744</v>
          </cell>
          <cell r="T170">
            <v>104174.25336412256</v>
          </cell>
          <cell r="U170">
            <v>145903.26841051108</v>
          </cell>
          <cell r="V170">
            <v>149578.38589610436</v>
          </cell>
          <cell r="W170">
            <v>152769.60051223767</v>
          </cell>
          <cell r="X170">
            <v>140677.21782348497</v>
          </cell>
          <cell r="Y170">
            <v>162443.50158830633</v>
          </cell>
          <cell r="Z170">
            <v>175208.30228440434</v>
          </cell>
          <cell r="AA170">
            <v>168397.60233190004</v>
          </cell>
        </row>
        <row r="171">
          <cell r="B171" t="str">
            <v>7ª Adequação de Investimentos</v>
          </cell>
        </row>
        <row r="172">
          <cell r="B172" t="str">
            <v>Fluxo de Caixa do Fator</v>
          </cell>
          <cell r="H172">
            <v>-287.12651345919033</v>
          </cell>
          <cell r="I172">
            <v>-33.902000000000001</v>
          </cell>
          <cell r="J172">
            <v>-33.902000000000001</v>
          </cell>
          <cell r="K172">
            <v>-33.902000000000001</v>
          </cell>
          <cell r="L172">
            <v>-33.902000000000001</v>
          </cell>
          <cell r="M172">
            <v>-286.90852390945838</v>
          </cell>
          <cell r="N172">
            <v>-33.902000000000001</v>
          </cell>
          <cell r="O172">
            <v>8403.3837250000015</v>
          </cell>
          <cell r="P172">
            <v>14924.766817562499</v>
          </cell>
          <cell r="Q172">
            <v>16098.9741173125</v>
          </cell>
          <cell r="R172">
            <v>8082.0915814125001</v>
          </cell>
          <cell r="S172">
            <v>-2652.4117645875035</v>
          </cell>
          <cell r="T172">
            <v>-16924.79386359375</v>
          </cell>
          <cell r="U172">
            <v>-767.01734742946485</v>
          </cell>
          <cell r="V172">
            <v>-767.01496742946495</v>
          </cell>
          <cell r="W172">
            <v>-1087.818937429462</v>
          </cell>
          <cell r="X172">
            <v>-834.83115742946268</v>
          </cell>
          <cell r="Y172">
            <v>-5602.4509774294647</v>
          </cell>
          <cell r="Z172">
            <v>-13089.393137279463</v>
          </cell>
          <cell r="AA172">
            <v>-6307.7189522794652</v>
          </cell>
        </row>
        <row r="173">
          <cell r="B173" t="str">
            <v>Somatoria com Projeto Original</v>
          </cell>
          <cell r="F173">
            <v>5067.2028038068056</v>
          </cell>
          <cell r="G173">
            <v>0.21016376800672076</v>
          </cell>
          <cell r="H173">
            <v>-39516.844886493425</v>
          </cell>
          <cell r="I173">
            <v>-29942.114028162552</v>
          </cell>
          <cell r="J173">
            <v>-50179.003041049669</v>
          </cell>
          <cell r="K173">
            <v>-164220.64142439881</v>
          </cell>
          <cell r="L173">
            <v>-122224.67448663284</v>
          </cell>
          <cell r="M173">
            <v>88346.142505030235</v>
          </cell>
          <cell r="N173">
            <v>99467.379783748722</v>
          </cell>
          <cell r="O173">
            <v>120884.95366713945</v>
          </cell>
          <cell r="P173">
            <v>130258.0270491751</v>
          </cell>
          <cell r="Q173">
            <v>137463.66410950513</v>
          </cell>
          <cell r="R173">
            <v>134031.38263302689</v>
          </cell>
          <cell r="S173">
            <v>126304.79818434993</v>
          </cell>
          <cell r="T173">
            <v>87249.459500528814</v>
          </cell>
          <cell r="U173">
            <v>145136.25106308161</v>
          </cell>
          <cell r="V173">
            <v>148811.37092867491</v>
          </cell>
          <cell r="W173">
            <v>151681.78157480821</v>
          </cell>
          <cell r="X173">
            <v>139842.38666605551</v>
          </cell>
          <cell r="Y173">
            <v>156841.05061087687</v>
          </cell>
          <cell r="Z173">
            <v>162118.90914712488</v>
          </cell>
          <cell r="AA173">
            <v>162089.88337962056</v>
          </cell>
        </row>
        <row r="174">
          <cell r="B174">
            <v>0</v>
          </cell>
        </row>
        <row r="175">
          <cell r="B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>
            <v>0</v>
          </cell>
          <cell r="F176">
            <v>1.6063392582988022E-10</v>
          </cell>
          <cell r="G176">
            <v>0.20598665865139795</v>
          </cell>
          <cell r="H176">
            <v>-39229.718373034237</v>
          </cell>
          <cell r="I176">
            <v>-29908.212028162554</v>
          </cell>
          <cell r="J176">
            <v>-50145.101041049667</v>
          </cell>
          <cell r="K176">
            <v>-164186.73942439881</v>
          </cell>
          <cell r="L176">
            <v>-122190.77248663284</v>
          </cell>
          <cell r="M176">
            <v>88633.051028939692</v>
          </cell>
          <cell r="N176">
            <v>99501.281783748724</v>
          </cell>
          <cell r="O176">
            <v>112481.56994213944</v>
          </cell>
          <cell r="P176">
            <v>115333.2602316126</v>
          </cell>
          <cell r="Q176">
            <v>121364.68999219264</v>
          </cell>
          <cell r="R176">
            <v>125949.2910516144</v>
          </cell>
          <cell r="S176">
            <v>128957.20994893744</v>
          </cell>
          <cell r="T176">
            <v>104174.25336412256</v>
          </cell>
          <cell r="U176">
            <v>145903.26841051108</v>
          </cell>
          <cell r="V176">
            <v>149578.38589610436</v>
          </cell>
          <cell r="W176">
            <v>152769.60051223767</v>
          </cell>
          <cell r="X176">
            <v>140677.21782348497</v>
          </cell>
          <cell r="Y176">
            <v>162443.50158830633</v>
          </cell>
          <cell r="Z176">
            <v>175208.30228440434</v>
          </cell>
          <cell r="AA176">
            <v>168397.60233190004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1.6063392582988022E-10</v>
          </cell>
          <cell r="G179">
            <v>0.20598665865139795</v>
          </cell>
          <cell r="H179">
            <v>-39229.718373034237</v>
          </cell>
          <cell r="I179">
            <v>-29908.212028162554</v>
          </cell>
          <cell r="J179">
            <v>-50145.101041049667</v>
          </cell>
          <cell r="K179">
            <v>-164186.73942439881</v>
          </cell>
          <cell r="L179">
            <v>-122190.77248663284</v>
          </cell>
          <cell r="M179">
            <v>88633.051028939692</v>
          </cell>
          <cell r="N179">
            <v>99501.281783748724</v>
          </cell>
          <cell r="O179">
            <v>112481.56994213944</v>
          </cell>
          <cell r="P179">
            <v>115333.2602316126</v>
          </cell>
          <cell r="Q179">
            <v>121364.68999219264</v>
          </cell>
          <cell r="R179">
            <v>125949.2910516144</v>
          </cell>
          <cell r="S179">
            <v>128957.20994893744</v>
          </cell>
          <cell r="T179">
            <v>104174.25336412256</v>
          </cell>
          <cell r="U179">
            <v>145903.26841051108</v>
          </cell>
          <cell r="V179">
            <v>149578.38589610436</v>
          </cell>
          <cell r="W179">
            <v>152769.60051223767</v>
          </cell>
          <cell r="X179">
            <v>140677.21782348497</v>
          </cell>
          <cell r="Y179">
            <v>162443.50158830633</v>
          </cell>
          <cell r="Z179">
            <v>175208.30228440434</v>
          </cell>
          <cell r="AA179">
            <v>168397.60233190004</v>
          </cell>
        </row>
        <row r="180">
          <cell r="B180">
            <v>0</v>
          </cell>
        </row>
        <row r="181">
          <cell r="B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B182">
            <v>0</v>
          </cell>
          <cell r="F182">
            <v>1.6063392582988022E-10</v>
          </cell>
          <cell r="G182">
            <v>0.20598665865139795</v>
          </cell>
          <cell r="H182">
            <v>-39229.718373034237</v>
          </cell>
          <cell r="I182">
            <v>-29908.212028162554</v>
          </cell>
          <cell r="J182">
            <v>-50145.101041049667</v>
          </cell>
          <cell r="K182">
            <v>-164186.73942439881</v>
          </cell>
          <cell r="L182">
            <v>-122190.77248663284</v>
          </cell>
          <cell r="M182">
            <v>88633.051028939692</v>
          </cell>
          <cell r="N182">
            <v>99501.281783748724</v>
          </cell>
          <cell r="O182">
            <v>112481.56994213944</v>
          </cell>
          <cell r="P182">
            <v>115333.2602316126</v>
          </cell>
          <cell r="Q182">
            <v>121364.68999219264</v>
          </cell>
          <cell r="R182">
            <v>125949.2910516144</v>
          </cell>
          <cell r="S182">
            <v>128957.20994893744</v>
          </cell>
          <cell r="T182">
            <v>104174.25336412256</v>
          </cell>
          <cell r="U182">
            <v>145903.26841051108</v>
          </cell>
          <cell r="V182">
            <v>149578.38589610436</v>
          </cell>
          <cell r="W182">
            <v>152769.60051223767</v>
          </cell>
          <cell r="X182">
            <v>140677.21782348497</v>
          </cell>
          <cell r="Y182">
            <v>162443.50158830633</v>
          </cell>
          <cell r="Z182">
            <v>175208.30228440434</v>
          </cell>
          <cell r="AA182">
            <v>168397.60233190004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31048.529637979125</v>
          </cell>
          <cell r="I184">
            <v>-37119.266062010138</v>
          </cell>
          <cell r="J184">
            <v>-90278.203180782832</v>
          </cell>
          <cell r="K184">
            <v>33320.558009179826</v>
          </cell>
          <cell r="L184">
            <v>76993.264173936856</v>
          </cell>
          <cell r="M184">
            <v>10673.31472332657</v>
          </cell>
          <cell r="N184">
            <v>8477.2256592681224</v>
          </cell>
          <cell r="O184">
            <v>-3924.8541146034222</v>
          </cell>
          <cell r="P184">
            <v>-2654.4696996476832</v>
          </cell>
          <cell r="Q184">
            <v>-6629.4191125011312</v>
          </cell>
          <cell r="R184">
            <v>-25521.169245026056</v>
          </cell>
          <cell r="S184">
            <v>-27941.39821868762</v>
          </cell>
          <cell r="T184">
            <v>-4729.9896327682964</v>
          </cell>
          <cell r="U184">
            <v>-19422.416603315254</v>
          </cell>
          <cell r="V184">
            <v>-11985.388056345044</v>
          </cell>
          <cell r="W184">
            <v>-11696.728078265041</v>
          </cell>
          <cell r="X184">
            <v>6249.212725622463</v>
          </cell>
          <cell r="Y184">
            <v>-17633.764486957363</v>
          </cell>
          <cell r="Z184">
            <v>-32784.378463683788</v>
          </cell>
          <cell r="AA184">
            <v>-7148.7290986271573</v>
          </cell>
        </row>
        <row r="185">
          <cell r="B185" t="str">
            <v>Somatoria com Projeto Original</v>
          </cell>
          <cell r="F185">
            <v>-12731.439920787421</v>
          </cell>
          <cell r="G185">
            <v>0.19560116118791618</v>
          </cell>
          <cell r="H185">
            <v>-8181.1887350551115</v>
          </cell>
          <cell r="I185">
            <v>-67027.478090172692</v>
          </cell>
          <cell r="J185">
            <v>-140423.30422183248</v>
          </cell>
          <cell r="K185">
            <v>-130866.18141521898</v>
          </cell>
          <cell r="L185">
            <v>-45197.50831269598</v>
          </cell>
          <cell r="M185">
            <v>99306.365752266254</v>
          </cell>
          <cell r="N185">
            <v>107978.50744301685</v>
          </cell>
          <cell r="O185">
            <v>108556.71582753601</v>
          </cell>
          <cell r="P185">
            <v>112678.79053196491</v>
          </cell>
          <cell r="Q185">
            <v>114735.27087969151</v>
          </cell>
          <cell r="R185">
            <v>100428.12180658834</v>
          </cell>
          <cell r="S185">
            <v>101015.81173024981</v>
          </cell>
          <cell r="T185">
            <v>99444.263731354265</v>
          </cell>
          <cell r="U185">
            <v>126480.85180719582</v>
          </cell>
          <cell r="V185">
            <v>137592.99783975931</v>
          </cell>
          <cell r="W185">
            <v>141072.87243397263</v>
          </cell>
          <cell r="X185">
            <v>146926.43054910743</v>
          </cell>
          <cell r="Y185">
            <v>144809.73710134896</v>
          </cell>
          <cell r="Z185">
            <v>142423.92382072055</v>
          </cell>
          <cell r="AA185">
            <v>161248.87323327287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161137.82999999999</v>
          </cell>
          <cell r="H191">
            <v>165935.56349999999</v>
          </cell>
          <cell r="I191">
            <v>170907.5655</v>
          </cell>
          <cell r="J191">
            <v>175990.13250000001</v>
          </cell>
          <cell r="K191">
            <v>189401.81722222219</v>
          </cell>
          <cell r="L191">
            <v>201852.55016418584</v>
          </cell>
          <cell r="M191">
            <v>213904.152</v>
          </cell>
          <cell r="N191">
            <v>220192.73850000001</v>
          </cell>
          <cell r="O191">
            <v>226693.46699999998</v>
          </cell>
          <cell r="P191">
            <v>233367.19349999999</v>
          </cell>
          <cell r="Q191">
            <v>240236.86050000001</v>
          </cell>
          <cell r="R191">
            <v>247335.18600000002</v>
          </cell>
          <cell r="S191">
            <v>254627.74050000004</v>
          </cell>
          <cell r="T191">
            <v>262156.70250000001</v>
          </cell>
          <cell r="U191">
            <v>269898.22650000005</v>
          </cell>
          <cell r="V191">
            <v>277877.61749999999</v>
          </cell>
          <cell r="W191">
            <v>286077.32999999996</v>
          </cell>
          <cell r="X191">
            <v>294542.16749999998</v>
          </cell>
          <cell r="Y191">
            <v>303247.08750000002</v>
          </cell>
          <cell r="Z191">
            <v>312238.2795</v>
          </cell>
          <cell r="AA191">
            <v>4707620.2078864081</v>
          </cell>
        </row>
        <row r="192">
          <cell r="B192" t="str">
            <v>1.1 - Operacionais    (1.1.1 + 1.1.2)</v>
          </cell>
          <cell r="G192">
            <v>161137.82999999999</v>
          </cell>
          <cell r="H192">
            <v>165935.56349999999</v>
          </cell>
          <cell r="I192">
            <v>170907.5655</v>
          </cell>
          <cell r="J192">
            <v>175990.13250000001</v>
          </cell>
          <cell r="K192">
            <v>189401.81722222219</v>
          </cell>
          <cell r="L192">
            <v>201852.55016418584</v>
          </cell>
          <cell r="M192">
            <v>213904.152</v>
          </cell>
          <cell r="N192">
            <v>220192.73850000001</v>
          </cell>
          <cell r="O192">
            <v>226693.46699999998</v>
          </cell>
          <cell r="P192">
            <v>233367.19349999999</v>
          </cell>
          <cell r="Q192">
            <v>240236.86050000001</v>
          </cell>
          <cell r="R192">
            <v>247335.18600000002</v>
          </cell>
          <cell r="S192">
            <v>254627.74050000004</v>
          </cell>
          <cell r="T192">
            <v>262156.70250000001</v>
          </cell>
          <cell r="U192">
            <v>269898.22650000005</v>
          </cell>
          <cell r="V192">
            <v>277877.61749999999</v>
          </cell>
          <cell r="W192">
            <v>286077.32999999996</v>
          </cell>
          <cell r="X192">
            <v>294542.16749999998</v>
          </cell>
          <cell r="Y192">
            <v>303247.08750000002</v>
          </cell>
          <cell r="Z192">
            <v>312238.2795</v>
          </cell>
          <cell r="AA192">
            <v>4707620.2078864081</v>
          </cell>
        </row>
        <row r="193">
          <cell r="B193" t="str">
            <v>1.1.1 - Receitas de  Pedágios    (Transp. Qd.2.1.1.2)</v>
          </cell>
          <cell r="G193">
            <v>153464.59999999998</v>
          </cell>
          <cell r="H193">
            <v>158033.87</v>
          </cell>
          <cell r="I193">
            <v>162769.10999999999</v>
          </cell>
          <cell r="J193">
            <v>167609.65</v>
          </cell>
          <cell r="K193">
            <v>180772.37222222218</v>
          </cell>
          <cell r="L193">
            <v>191958.16666418585</v>
          </cell>
          <cell r="M193">
            <v>203718.24</v>
          </cell>
          <cell r="N193">
            <v>209707.37</v>
          </cell>
          <cell r="O193">
            <v>215898.53999999998</v>
          </cell>
          <cell r="P193">
            <v>222254.47</v>
          </cell>
          <cell r="Q193">
            <v>228797.01</v>
          </cell>
          <cell r="R193">
            <v>235557.32</v>
          </cell>
          <cell r="S193">
            <v>242502.61000000004</v>
          </cell>
          <cell r="T193">
            <v>249673.05000000002</v>
          </cell>
          <cell r="U193">
            <v>257045.93000000002</v>
          </cell>
          <cell r="V193">
            <v>264645.34999999998</v>
          </cell>
          <cell r="W193">
            <v>272454.59999999998</v>
          </cell>
          <cell r="X193">
            <v>280516.34999999998</v>
          </cell>
          <cell r="Y193">
            <v>288806.75</v>
          </cell>
          <cell r="Z193">
            <v>297369.78999999998</v>
          </cell>
          <cell r="AA193">
            <v>4483555.1488864077</v>
          </cell>
        </row>
        <row r="194">
          <cell r="B194" t="str">
            <v>1.1.2 - Outras Receitas Operacionais    (calculado 2.1.2.)</v>
          </cell>
          <cell r="G194">
            <v>7673.23</v>
          </cell>
          <cell r="H194">
            <v>7901.6935000000003</v>
          </cell>
          <cell r="I194">
            <v>8138.4555</v>
          </cell>
          <cell r="J194">
            <v>8380.4825000000001</v>
          </cell>
          <cell r="K194">
            <v>8629.4449999999979</v>
          </cell>
          <cell r="L194">
            <v>9894.3835000000017</v>
          </cell>
          <cell r="M194">
            <v>10185.912</v>
          </cell>
          <cell r="N194">
            <v>10485.3685</v>
          </cell>
          <cell r="O194">
            <v>10794.927</v>
          </cell>
          <cell r="P194">
            <v>11112.7235</v>
          </cell>
          <cell r="Q194">
            <v>11439.8505</v>
          </cell>
          <cell r="R194">
            <v>11777.866000000002</v>
          </cell>
          <cell r="S194">
            <v>12125.130500000003</v>
          </cell>
          <cell r="T194">
            <v>12483.652500000002</v>
          </cell>
          <cell r="U194">
            <v>12852.296500000002</v>
          </cell>
          <cell r="V194">
            <v>13232.2675</v>
          </cell>
          <cell r="W194">
            <v>13622.73</v>
          </cell>
          <cell r="X194">
            <v>14025.817499999999</v>
          </cell>
          <cell r="Y194">
            <v>14440.337500000001</v>
          </cell>
          <cell r="Z194">
            <v>14868.4895</v>
          </cell>
          <cell r="AA194">
            <v>224065.05899999998</v>
          </cell>
        </row>
        <row r="195">
          <cell r="B195" t="str">
            <v>2 -  DEDUÇÕES DA RECEITA    (2.1)</v>
          </cell>
          <cell r="G195">
            <v>5218.498493395924</v>
          </cell>
          <cell r="H195">
            <v>6154.0753527334191</v>
          </cell>
          <cell r="I195">
            <v>6267.8506107499998</v>
          </cell>
          <cell r="J195">
            <v>6454.2221362499995</v>
          </cell>
          <cell r="K195">
            <v>7458.1284168557377</v>
          </cell>
          <cell r="L195">
            <v>8785.3069720812327</v>
          </cell>
          <cell r="M195">
            <v>8178.9586083572885</v>
          </cell>
          <cell r="N195">
            <v>8075.2929802500003</v>
          </cell>
          <cell r="O195">
            <v>8313.7275604999995</v>
          </cell>
          <cell r="P195">
            <v>8558.4791827499994</v>
          </cell>
          <cell r="Q195">
            <v>8810.4009382500008</v>
          </cell>
          <cell r="R195">
            <v>9070.7404640000004</v>
          </cell>
          <cell r="S195">
            <v>9338.1630382500007</v>
          </cell>
          <cell r="T195">
            <v>16168.165871250003</v>
          </cell>
          <cell r="U195">
            <v>23393.171897249998</v>
          </cell>
          <cell r="V195">
            <v>24084.84695875</v>
          </cell>
          <cell r="W195">
            <v>24795.195899999999</v>
          </cell>
          <cell r="X195">
            <v>25529.010808750001</v>
          </cell>
          <cell r="Y195">
            <v>26283.655313750001</v>
          </cell>
          <cell r="Z195">
            <v>27062.653831749998</v>
          </cell>
          <cell r="AA195">
            <v>268000.54533592361</v>
          </cell>
        </row>
        <row r="196">
          <cell r="B196" t="str">
            <v>2.1 - Tributos sobre Faturamento    (2.1.1+ .... + 2.1.4)</v>
          </cell>
          <cell r="G196">
            <v>5218.498493395924</v>
          </cell>
          <cell r="H196">
            <v>6154.0753527334191</v>
          </cell>
          <cell r="I196">
            <v>6267.8506107499998</v>
          </cell>
          <cell r="J196">
            <v>6454.2221362499995</v>
          </cell>
          <cell r="K196">
            <v>7458.1284168557377</v>
          </cell>
          <cell r="L196">
            <v>8785.3069720812327</v>
          </cell>
          <cell r="M196">
            <v>8178.9586083572885</v>
          </cell>
          <cell r="N196">
            <v>8075.2929802500003</v>
          </cell>
          <cell r="O196">
            <v>8313.7275604999995</v>
          </cell>
          <cell r="P196">
            <v>8558.4791827499994</v>
          </cell>
          <cell r="Q196">
            <v>8810.4009382500008</v>
          </cell>
          <cell r="R196">
            <v>9070.7404640000004</v>
          </cell>
          <cell r="S196">
            <v>9338.1630382500007</v>
          </cell>
          <cell r="T196">
            <v>16168.165871250003</v>
          </cell>
          <cell r="U196">
            <v>23393.171897249998</v>
          </cell>
          <cell r="V196">
            <v>24084.84695875</v>
          </cell>
          <cell r="W196">
            <v>24795.195899999999</v>
          </cell>
          <cell r="X196">
            <v>25529.010808750001</v>
          </cell>
          <cell r="Y196">
            <v>26283.655313750001</v>
          </cell>
          <cell r="Z196">
            <v>27062.653831749998</v>
          </cell>
          <cell r="AA196">
            <v>268000.54533592361</v>
          </cell>
        </row>
        <row r="197">
          <cell r="B197" t="str">
            <v>2.1.1 - I.S.S    (transp. Qd  1.3.)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6553.8912500000006</v>
          </cell>
          <cell r="U197">
            <v>13494.965</v>
          </cell>
          <cell r="V197">
            <v>13893.9935</v>
          </cell>
          <cell r="W197">
            <v>14303.6865</v>
          </cell>
          <cell r="X197">
            <v>14727.041000000001</v>
          </cell>
          <cell r="Y197">
            <v>15162.417000000001</v>
          </cell>
          <cell r="Z197">
            <v>15611.7245</v>
          </cell>
          <cell r="AA197">
            <v>93747.71875</v>
          </cell>
        </row>
        <row r="198">
          <cell r="B198" t="str">
            <v>2.1.2 - Cofins    (transp. Qd 1.3.)</v>
          </cell>
          <cell r="G198">
            <v>3767.557233333333</v>
          </cell>
          <cell r="H198">
            <v>5001.7732699999997</v>
          </cell>
          <cell r="I198">
            <v>5151.6614099999997</v>
          </cell>
          <cell r="J198">
            <v>5304.8389499999994</v>
          </cell>
          <cell r="K198">
            <v>5709.9696347222216</v>
          </cell>
          <cell r="L198">
            <v>6920.3447702167759</v>
          </cell>
          <cell r="M198">
            <v>6722.1395599692314</v>
          </cell>
          <cell r="N198">
            <v>6637.2246699999996</v>
          </cell>
          <cell r="O198">
            <v>6833.2033399999991</v>
          </cell>
          <cell r="P198">
            <v>7034.369169999999</v>
          </cell>
          <cell r="Q198">
            <v>7241.4254099999998</v>
          </cell>
          <cell r="R198">
            <v>7455.4061200000006</v>
          </cell>
          <cell r="S198">
            <v>7675.2014100000006</v>
          </cell>
          <cell r="T198">
            <v>7902.1416500000005</v>
          </cell>
          <cell r="U198">
            <v>8135.5144300000002</v>
          </cell>
          <cell r="V198">
            <v>8376.0479500000001</v>
          </cell>
          <cell r="W198">
            <v>8623.152</v>
          </cell>
          <cell r="X198">
            <v>8878.3289499999992</v>
          </cell>
          <cell r="Y198">
            <v>9140.7460500000016</v>
          </cell>
          <cell r="Z198">
            <v>9411.715989999997</v>
          </cell>
          <cell r="AA198">
            <v>141922.76196824154</v>
          </cell>
        </row>
        <row r="199">
          <cell r="B199" t="str">
            <v>2.1.3 - Pis / Pasep    (transp. Qd 1.3.)</v>
          </cell>
          <cell r="G199">
            <v>1049.0584216666666</v>
          </cell>
          <cell r="H199">
            <v>1083.71726775</v>
          </cell>
          <cell r="I199">
            <v>1116.1892007500001</v>
          </cell>
          <cell r="J199">
            <v>1149.3831862499999</v>
          </cell>
          <cell r="K199">
            <v>1748.1587821335165</v>
          </cell>
          <cell r="L199">
            <v>1864.9622018644563</v>
          </cell>
          <cell r="M199">
            <v>1456.8190483880571</v>
          </cell>
          <cell r="N199">
            <v>1438.0683102500002</v>
          </cell>
          <cell r="O199">
            <v>1480.5242204999997</v>
          </cell>
          <cell r="P199">
            <v>1524.1100127499999</v>
          </cell>
          <cell r="Q199">
            <v>1568.97552825</v>
          </cell>
          <cell r="R199">
            <v>1615.3343440000001</v>
          </cell>
          <cell r="S199">
            <v>1662.9616282500003</v>
          </cell>
          <cell r="T199">
            <v>1712.1329712500001</v>
          </cell>
          <cell r="U199">
            <v>1762.6924672500002</v>
          </cell>
          <cell r="V199">
            <v>1814.8055087499999</v>
          </cell>
          <cell r="W199">
            <v>1868.3573999999996</v>
          </cell>
          <cell r="X199">
            <v>1923.6408587499998</v>
          </cell>
          <cell r="Y199">
            <v>1980.4922637500001</v>
          </cell>
          <cell r="Z199">
            <v>2039.2133417499999</v>
          </cell>
          <cell r="AA199">
            <v>31859.596964302695</v>
          </cell>
        </row>
        <row r="200">
          <cell r="B200" t="str">
            <v>2.1.4 - CPMF    (transp Qd 1.3.)</v>
          </cell>
          <cell r="G200">
            <v>401.88283839592401</v>
          </cell>
          <cell r="H200">
            <v>68.584814983419506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470.46765337934352</v>
          </cell>
        </row>
        <row r="201">
          <cell r="B201" t="str">
            <v>3 -  RECEITA LIQUIDA    (1 - 2)</v>
          </cell>
          <cell r="G201">
            <v>155919.33150660407</v>
          </cell>
          <cell r="H201">
            <v>159781.48814726656</v>
          </cell>
          <cell r="I201">
            <v>164639.71488925</v>
          </cell>
          <cell r="J201">
            <v>169535.91036375001</v>
          </cell>
          <cell r="K201">
            <v>181943.68880536646</v>
          </cell>
          <cell r="L201">
            <v>193067.24319210462</v>
          </cell>
          <cell r="M201">
            <v>205725.19339164271</v>
          </cell>
          <cell r="N201">
            <v>212117.44551975001</v>
          </cell>
          <cell r="O201">
            <v>218379.73943949997</v>
          </cell>
          <cell r="P201">
            <v>224808.71431725001</v>
          </cell>
          <cell r="Q201">
            <v>231426.45956175</v>
          </cell>
          <cell r="R201">
            <v>238264.44553600001</v>
          </cell>
          <cell r="S201">
            <v>245289.57746175004</v>
          </cell>
          <cell r="T201">
            <v>245988.53662875001</v>
          </cell>
          <cell r="U201">
            <v>246505.05460275005</v>
          </cell>
          <cell r="V201">
            <v>253792.77054125001</v>
          </cell>
          <cell r="W201">
            <v>261282.13409999997</v>
          </cell>
          <cell r="X201">
            <v>269013.15669124998</v>
          </cell>
          <cell r="Y201">
            <v>276963.43218624999</v>
          </cell>
          <cell r="Z201">
            <v>285175.62566825002</v>
          </cell>
          <cell r="AA201">
            <v>4439619.6625504848</v>
          </cell>
        </row>
        <row r="202">
          <cell r="B202" t="str">
            <v>4 -  DESPESAS    (4.1)</v>
          </cell>
          <cell r="G202">
            <v>81633.814703776443</v>
          </cell>
          <cell r="H202">
            <v>73529.797796570347</v>
          </cell>
          <cell r="I202">
            <v>78349.763573324453</v>
          </cell>
          <cell r="J202">
            <v>82179.853226487132</v>
          </cell>
          <cell r="K202">
            <v>85996.494539314488</v>
          </cell>
          <cell r="L202">
            <v>120215.56945637865</v>
          </cell>
          <cell r="M202">
            <v>117259.48382509107</v>
          </cell>
          <cell r="N202">
            <v>115166.01685999734</v>
          </cell>
          <cell r="O202">
            <v>115871.55375853264</v>
          </cell>
          <cell r="P202">
            <v>114947.37586870851</v>
          </cell>
          <cell r="Q202">
            <v>113043.59451531865</v>
          </cell>
          <cell r="R202">
            <v>115314.04867375342</v>
          </cell>
          <cell r="S202">
            <v>119382.92184370465</v>
          </cell>
          <cell r="T202">
            <v>124933.05172029418</v>
          </cell>
          <cell r="U202">
            <v>128048.70765066291</v>
          </cell>
          <cell r="V202">
            <v>128737.90858719747</v>
          </cell>
          <cell r="W202">
            <v>129291.51027925276</v>
          </cell>
          <cell r="X202">
            <v>129858.43908815201</v>
          </cell>
          <cell r="Y202">
            <v>134854.73679225973</v>
          </cell>
          <cell r="Z202">
            <v>184343.04368627677</v>
          </cell>
          <cell r="AA202">
            <v>2292957.6864450541</v>
          </cell>
        </row>
        <row r="203">
          <cell r="B203" t="str">
            <v>4.1 - Operacionais    (4.1.1+ .... + 4.1.10)</v>
          </cell>
          <cell r="G203">
            <v>81633.814703776443</v>
          </cell>
          <cell r="H203">
            <v>73529.797796570347</v>
          </cell>
          <cell r="I203">
            <v>78349.763573324453</v>
          </cell>
          <cell r="J203">
            <v>82179.853226487132</v>
          </cell>
          <cell r="K203">
            <v>85996.494539314488</v>
          </cell>
          <cell r="L203">
            <v>120215.56945637865</v>
          </cell>
          <cell r="M203">
            <v>117259.48382509107</v>
          </cell>
          <cell r="N203">
            <v>115166.01685999734</v>
          </cell>
          <cell r="O203">
            <v>115871.55375853264</v>
          </cell>
          <cell r="P203">
            <v>114947.37586870851</v>
          </cell>
          <cell r="Q203">
            <v>113043.59451531865</v>
          </cell>
          <cell r="R203">
            <v>115314.04867375342</v>
          </cell>
          <cell r="S203">
            <v>119382.92184370465</v>
          </cell>
          <cell r="T203">
            <v>124933.05172029418</v>
          </cell>
          <cell r="U203">
            <v>128048.70765066291</v>
          </cell>
          <cell r="V203">
            <v>128737.90858719747</v>
          </cell>
          <cell r="W203">
            <v>129291.51027925276</v>
          </cell>
          <cell r="X203">
            <v>129858.43908815201</v>
          </cell>
          <cell r="Y203">
            <v>134854.73679225973</v>
          </cell>
          <cell r="Z203">
            <v>184343.04368627677</v>
          </cell>
          <cell r="AA203">
            <v>2292957.6864450541</v>
          </cell>
        </row>
        <row r="204">
          <cell r="B204" t="str">
            <v>4.1.1  -  Pessoal e Administradores    (Transp. Qd. 1.3.)</v>
          </cell>
          <cell r="G204">
            <v>31530.224160000005</v>
          </cell>
          <cell r="H204">
            <v>31456.546200000001</v>
          </cell>
          <cell r="I204">
            <v>31715.339759999999</v>
          </cell>
          <cell r="J204">
            <v>31514.817599999998</v>
          </cell>
          <cell r="K204">
            <v>31868.450159999997</v>
          </cell>
          <cell r="L204">
            <v>30033.861000000001</v>
          </cell>
          <cell r="M204">
            <v>29833.33884</v>
          </cell>
          <cell r="N204">
            <v>29155.886760000001</v>
          </cell>
          <cell r="O204">
            <v>29055.625680000001</v>
          </cell>
          <cell r="P204">
            <v>29055.625680000001</v>
          </cell>
          <cell r="Q204">
            <v>29055.625680000001</v>
          </cell>
          <cell r="R204">
            <v>29055.625680000001</v>
          </cell>
          <cell r="S204">
            <v>29055.625680000001</v>
          </cell>
          <cell r="T204">
            <v>29055.625680000001</v>
          </cell>
          <cell r="U204">
            <v>29055.625680000001</v>
          </cell>
          <cell r="V204">
            <v>29055.625680000001</v>
          </cell>
          <cell r="W204">
            <v>29055.625680000001</v>
          </cell>
          <cell r="X204">
            <v>28454.0592</v>
          </cell>
          <cell r="Y204">
            <v>28454.0592</v>
          </cell>
          <cell r="Z204">
            <v>28454.0592</v>
          </cell>
          <cell r="AA204">
            <v>593971.27320000005</v>
          </cell>
        </row>
        <row r="205">
          <cell r="B205" t="str">
            <v>4.1.2  -  Conservação de Rotina    (Transp. Qd. 1.3.)</v>
          </cell>
          <cell r="G205">
            <v>16616.123720014613</v>
          </cell>
          <cell r="H205">
            <v>7458.3971050546133</v>
          </cell>
          <cell r="I205">
            <v>7513.0237288846138</v>
          </cell>
          <cell r="J205">
            <v>7538.7792954046135</v>
          </cell>
          <cell r="K205">
            <v>7628.7614924399986</v>
          </cell>
          <cell r="L205">
            <v>8563.0869698723072</v>
          </cell>
          <cell r="M205">
            <v>8568.2191388723077</v>
          </cell>
          <cell r="N205">
            <v>8680.1416681223072</v>
          </cell>
          <cell r="O205">
            <v>8700.7336414223046</v>
          </cell>
          <cell r="P205">
            <v>8757.5037930299968</v>
          </cell>
          <cell r="Q205">
            <v>8757.5037930299968</v>
          </cell>
          <cell r="R205">
            <v>8757.5037930299968</v>
          </cell>
          <cell r="S205">
            <v>8757.5037930299968</v>
          </cell>
          <cell r="T205">
            <v>8784.4615605599993</v>
          </cell>
          <cell r="U205">
            <v>8784.4615605599993</v>
          </cell>
          <cell r="V205">
            <v>8784.4615605599993</v>
          </cell>
          <cell r="W205">
            <v>8784.4615605599993</v>
          </cell>
          <cell r="X205">
            <v>8826.8220224400011</v>
          </cell>
          <cell r="Y205">
            <v>8903.44235682</v>
          </cell>
          <cell r="Z205">
            <v>8903.44235682</v>
          </cell>
          <cell r="AA205">
            <v>178068.83491052769</v>
          </cell>
        </row>
        <row r="206">
          <cell r="B206" t="str">
            <v>4.1.3  -  Consumo    (Transp. Qd. 1.3.)</v>
          </cell>
          <cell r="G206">
            <v>2706.2184000000002</v>
          </cell>
          <cell r="H206">
            <v>2678.1288000000004</v>
          </cell>
          <cell r="I206">
            <v>2708.6567999999997</v>
          </cell>
          <cell r="J206">
            <v>2695.8119999999999</v>
          </cell>
          <cell r="K206">
            <v>2726.3399999999997</v>
          </cell>
          <cell r="L206">
            <v>2652.0504000000001</v>
          </cell>
          <cell r="M206">
            <v>2639.2055999999998</v>
          </cell>
          <cell r="N206">
            <v>2615.5175999999997</v>
          </cell>
          <cell r="O206">
            <v>2609.0952000000002</v>
          </cell>
          <cell r="P206">
            <v>2609.0952000000002</v>
          </cell>
          <cell r="Q206">
            <v>2609.0952000000002</v>
          </cell>
          <cell r="R206">
            <v>2609.0952000000002</v>
          </cell>
          <cell r="S206">
            <v>2609.0952000000002</v>
          </cell>
          <cell r="T206">
            <v>2609.0952000000002</v>
          </cell>
          <cell r="U206">
            <v>2609.0952000000002</v>
          </cell>
          <cell r="V206">
            <v>2609.0952000000002</v>
          </cell>
          <cell r="W206">
            <v>2609.0952000000002</v>
          </cell>
          <cell r="X206">
            <v>2570.5607999999997</v>
          </cell>
          <cell r="Y206">
            <v>2570.5607999999997</v>
          </cell>
          <cell r="Z206">
            <v>2570.5607999999997</v>
          </cell>
          <cell r="AA206">
            <v>52615.46880000001</v>
          </cell>
        </row>
        <row r="207">
          <cell r="B207" t="str">
            <v>4.1.4  -  Transportes    (Transp. Qd. 1.3.)</v>
          </cell>
          <cell r="G207">
            <v>2563.9840800000002</v>
          </cell>
          <cell r="H207">
            <v>2585.3680800000002</v>
          </cell>
          <cell r="I207">
            <v>2585.3680800000002</v>
          </cell>
          <cell r="J207">
            <v>2585.3680800000002</v>
          </cell>
          <cell r="K207">
            <v>2585.3680800000002</v>
          </cell>
          <cell r="L207">
            <v>2174.5582800000002</v>
          </cell>
          <cell r="M207">
            <v>2174.5582800000002</v>
          </cell>
          <cell r="N207">
            <v>2174.5582800000002</v>
          </cell>
          <cell r="O207">
            <v>2174.5582800000002</v>
          </cell>
          <cell r="P207">
            <v>2174.5582800000002</v>
          </cell>
          <cell r="Q207">
            <v>2174.5582800000002</v>
          </cell>
          <cell r="R207">
            <v>2174.5582800000002</v>
          </cell>
          <cell r="S207">
            <v>2174.5582800000002</v>
          </cell>
          <cell r="T207">
            <v>2174.5582800000002</v>
          </cell>
          <cell r="U207">
            <v>2174.5582800000002</v>
          </cell>
          <cell r="V207">
            <v>2174.5582800000002</v>
          </cell>
          <cell r="W207">
            <v>2174.5582800000002</v>
          </cell>
          <cell r="X207">
            <v>2174.5582800000002</v>
          </cell>
          <cell r="Y207">
            <v>2174.5582800000002</v>
          </cell>
          <cell r="Z207">
            <v>2174.5582800000002</v>
          </cell>
          <cell r="AA207">
            <v>45523.830599999994</v>
          </cell>
        </row>
        <row r="208">
          <cell r="B208" t="str">
            <v>4.1.5  -  Diversas    (Transp. Qd. 1.3.)</v>
          </cell>
          <cell r="G208">
            <v>8330.5970557637083</v>
          </cell>
          <cell r="H208">
            <v>8265.0478325671647</v>
          </cell>
          <cell r="I208">
            <v>6953.3225466433214</v>
          </cell>
          <cell r="J208">
            <v>6311.9469386805322</v>
          </cell>
          <cell r="K208">
            <v>6545.08564101311</v>
          </cell>
          <cell r="L208">
            <v>4040.2496296578984</v>
          </cell>
          <cell r="M208">
            <v>4217.7689966549196</v>
          </cell>
          <cell r="N208">
            <v>4135.6025966549196</v>
          </cell>
          <cell r="O208">
            <v>4249.5737966549204</v>
          </cell>
          <cell r="P208">
            <v>4120.3673966549195</v>
          </cell>
          <cell r="Q208">
            <v>4182.0601966549184</v>
          </cell>
          <cell r="R208">
            <v>4101.9097966549198</v>
          </cell>
          <cell r="S208">
            <v>4217.8489966549187</v>
          </cell>
          <cell r="T208">
            <v>4090.7641966549195</v>
          </cell>
          <cell r="U208">
            <v>4255.8169966549194</v>
          </cell>
          <cell r="V208">
            <v>4279.064996654919</v>
          </cell>
          <cell r="W208">
            <v>4445.2601966549191</v>
          </cell>
          <cell r="X208">
            <v>4272.4985966549193</v>
          </cell>
          <cell r="Y208">
            <v>4439.9513966549193</v>
          </cell>
          <cell r="Z208">
            <v>4822.5145966549198</v>
          </cell>
          <cell r="AA208">
            <v>100277.25239749459</v>
          </cell>
        </row>
        <row r="209">
          <cell r="B209" t="str">
            <v>4.1.6  -  Depreciação/Amortização    (Transp. Qd. 1.3.)</v>
          </cell>
          <cell r="G209">
            <v>250</v>
          </cell>
          <cell r="H209">
            <v>6693.1498109774966</v>
          </cell>
          <cell r="I209">
            <v>11845.929548851434</v>
          </cell>
          <cell r="J209">
            <v>14489.693531285662</v>
          </cell>
          <cell r="K209">
            <v>17790.877787833408</v>
          </cell>
          <cell r="L209">
            <v>58234.288309251744</v>
          </cell>
          <cell r="M209">
            <v>54896.63986675741</v>
          </cell>
          <cell r="N209">
            <v>53387.451921919928</v>
          </cell>
          <cell r="O209">
            <v>53827.591084475222</v>
          </cell>
          <cell r="P209">
            <v>52777.376540828394</v>
          </cell>
          <cell r="Q209">
            <v>50591.520034748537</v>
          </cell>
          <cell r="R209">
            <v>52681.640313943302</v>
          </cell>
          <cell r="S209">
            <v>55952.708171596547</v>
          </cell>
          <cell r="T209">
            <v>61890.687249820054</v>
          </cell>
          <cell r="U209">
            <v>64562.428790032813</v>
          </cell>
          <cell r="V209">
            <v>64929.804961487353</v>
          </cell>
          <cell r="W209">
            <v>64784.201712293645</v>
          </cell>
          <cell r="X209">
            <v>66042.475406369907</v>
          </cell>
          <cell r="Y209">
            <v>70593.307883865622</v>
          </cell>
          <cell r="Z209">
            <v>119063.67747233268</v>
          </cell>
          <cell r="AA209">
            <v>995285.45039867132</v>
          </cell>
        </row>
        <row r="210">
          <cell r="B210" t="str">
            <v>4.1.7  -  Seguros    (transp. Qd 1.3.)</v>
          </cell>
          <cell r="G210">
            <v>2586.4227907981117</v>
          </cell>
          <cell r="H210">
            <v>2784.3417182990715</v>
          </cell>
          <cell r="I210">
            <v>3277.4736792730787</v>
          </cell>
          <cell r="J210">
            <v>5180.2568292975302</v>
          </cell>
          <cell r="K210">
            <v>4879.4615651200702</v>
          </cell>
          <cell r="L210">
            <v>2542.0610707039446</v>
          </cell>
          <cell r="M210">
            <v>2506.2873550008198</v>
          </cell>
          <cell r="N210">
            <v>2432.7705895121835</v>
          </cell>
          <cell r="O210">
            <v>2493.6495840621833</v>
          </cell>
          <cell r="P210">
            <v>2511.9557002871834</v>
          </cell>
          <cell r="Q210">
            <v>2544.3719937371834</v>
          </cell>
          <cell r="R210">
            <v>2609.2921155371832</v>
          </cell>
          <cell r="S210">
            <v>3091.5919450971837</v>
          </cell>
          <cell r="T210">
            <v>2632.2301290671835</v>
          </cell>
          <cell r="U210">
            <v>2690.3373392871836</v>
          </cell>
          <cell r="V210">
            <v>2762.4511652871829</v>
          </cell>
          <cell r="W210">
            <v>3064.7510504921829</v>
          </cell>
          <cell r="X210">
            <v>2925.7804507271831</v>
          </cell>
          <cell r="Y210">
            <v>2885.6074154671833</v>
          </cell>
          <cell r="Z210">
            <v>3263.4875556171833</v>
          </cell>
          <cell r="AA210">
            <v>59664.582042671005</v>
          </cell>
        </row>
        <row r="211">
          <cell r="B211" t="str">
            <v xml:space="preserve">4.1.8  -  Garantias  (transp. Qd 1.3.)  </v>
          </cell>
          <cell r="G211">
            <v>2576.5026371999998</v>
          </cell>
          <cell r="H211">
            <v>2559.1513446720001</v>
          </cell>
          <cell r="I211">
            <v>2551.822464672</v>
          </cell>
          <cell r="J211">
            <v>2511.8749768187795</v>
          </cell>
          <cell r="K211">
            <v>2218.4952962412326</v>
          </cell>
          <cell r="L211">
            <v>1970.2372201197195</v>
          </cell>
          <cell r="M211">
            <v>1934.7411878055975</v>
          </cell>
          <cell r="N211">
            <v>1906.705288788</v>
          </cell>
          <cell r="O211">
            <v>1888.3224819179998</v>
          </cell>
          <cell r="P211">
            <v>1868.2774729079999</v>
          </cell>
          <cell r="Q211">
            <v>1850.1535221479999</v>
          </cell>
          <cell r="R211">
            <v>1832.7679145880002</v>
          </cell>
          <cell r="S211">
            <v>1813.5575623260002</v>
          </cell>
          <cell r="T211">
            <v>1759.3283491920004</v>
          </cell>
          <cell r="U211">
            <v>1747.8370091279999</v>
          </cell>
          <cell r="V211">
            <v>1734.9182182080003</v>
          </cell>
          <cell r="W211">
            <v>1719.6366992520002</v>
          </cell>
          <cell r="X211">
            <v>1683.8193069599999</v>
          </cell>
          <cell r="Y211">
            <v>1664.236834452</v>
          </cell>
          <cell r="Z211">
            <v>1651.9950398520004</v>
          </cell>
          <cell r="AA211">
            <v>39444.380827249333</v>
          </cell>
        </row>
        <row r="212">
          <cell r="B212" t="str">
            <v xml:space="preserve">4.1.9  -  Parc.Variável da Concessão   </v>
          </cell>
          <cell r="G212">
            <v>4834.1348999999991</v>
          </cell>
          <cell r="H212">
            <v>4978.0669049999997</v>
          </cell>
          <cell r="I212">
            <v>5127.2269649999998</v>
          </cell>
          <cell r="J212">
            <v>5279.7039750000004</v>
          </cell>
          <cell r="K212">
            <v>5682.0545166666652</v>
          </cell>
          <cell r="L212">
            <v>6055.5765049255751</v>
          </cell>
          <cell r="M212">
            <v>6417.1245600000002</v>
          </cell>
          <cell r="N212">
            <v>6605.7821549999999</v>
          </cell>
          <cell r="O212">
            <v>6800.8040099999989</v>
          </cell>
          <cell r="P212">
            <v>7001.015805</v>
          </cell>
          <cell r="Q212">
            <v>7207.1058149999999</v>
          </cell>
          <cell r="R212">
            <v>7420.0555800000002</v>
          </cell>
          <cell r="S212">
            <v>7638.8322150000013</v>
          </cell>
          <cell r="T212">
            <v>7864.7010749999999</v>
          </cell>
          <cell r="U212">
            <v>8096.9467950000007</v>
          </cell>
          <cell r="V212">
            <v>8336.328524999999</v>
          </cell>
          <cell r="W212">
            <v>8582.3198999999986</v>
          </cell>
          <cell r="X212">
            <v>8836.2650249999988</v>
          </cell>
          <cell r="Y212">
            <v>9097.4126250000008</v>
          </cell>
          <cell r="Z212">
            <v>9367.1483850000004</v>
          </cell>
          <cell r="AA212">
            <v>141228.60623659226</v>
          </cell>
        </row>
        <row r="213">
          <cell r="B213" t="str">
            <v xml:space="preserve">4.1.10 - Parcela Fixa da Concessão   </v>
          </cell>
          <cell r="G213">
            <v>9639.6069599999992</v>
          </cell>
          <cell r="H213">
            <v>4071.6</v>
          </cell>
          <cell r="I213">
            <v>4071.6</v>
          </cell>
          <cell r="J213">
            <v>4071.6</v>
          </cell>
          <cell r="K213">
            <v>4071.6</v>
          </cell>
          <cell r="L213">
            <v>3949.6000718474861</v>
          </cell>
          <cell r="M213">
            <v>4071.6</v>
          </cell>
          <cell r="N213">
            <v>4071.6</v>
          </cell>
          <cell r="O213">
            <v>4071.6</v>
          </cell>
          <cell r="P213">
            <v>4071.6</v>
          </cell>
          <cell r="Q213">
            <v>4071.6</v>
          </cell>
          <cell r="R213">
            <v>4071.6</v>
          </cell>
          <cell r="S213">
            <v>4071.6</v>
          </cell>
          <cell r="T213">
            <v>4071.6</v>
          </cell>
          <cell r="U213">
            <v>4071.6</v>
          </cell>
          <cell r="V213">
            <v>4071.6</v>
          </cell>
          <cell r="W213">
            <v>4071.6</v>
          </cell>
          <cell r="X213">
            <v>4071.6</v>
          </cell>
          <cell r="Y213">
            <v>4071.6</v>
          </cell>
          <cell r="Z213">
            <v>4071.6</v>
          </cell>
          <cell r="AA213">
            <v>86878.007031847505</v>
          </cell>
        </row>
        <row r="214">
          <cell r="B214" t="str">
            <v>5 -  RESULTADO BRUTO OPERACIONAL     (3 - 4)</v>
          </cell>
          <cell r="G214">
            <v>74285.516802827624</v>
          </cell>
          <cell r="H214">
            <v>86251.690350696212</v>
          </cell>
          <cell r="I214">
            <v>86289.951315925544</v>
          </cell>
          <cell r="J214">
            <v>87356.057137262876</v>
          </cell>
          <cell r="K214">
            <v>95947.194266051971</v>
          </cell>
          <cell r="L214">
            <v>72851.67373572597</v>
          </cell>
          <cell r="M214">
            <v>88465.709566551639</v>
          </cell>
          <cell r="N214">
            <v>96951.428659752666</v>
          </cell>
          <cell r="O214">
            <v>102508.18568096733</v>
          </cell>
          <cell r="P214">
            <v>109861.3384485415</v>
          </cell>
          <cell r="Q214">
            <v>118382.86504643135</v>
          </cell>
          <cell r="R214">
            <v>122950.39686224659</v>
          </cell>
          <cell r="S214">
            <v>125906.65561804539</v>
          </cell>
          <cell r="T214">
            <v>121055.48490845582</v>
          </cell>
          <cell r="U214">
            <v>118456.34695208714</v>
          </cell>
          <cell r="V214">
            <v>125054.86195405254</v>
          </cell>
          <cell r="W214">
            <v>131990.62382074719</v>
          </cell>
          <cell r="X214">
            <v>139154.71760309796</v>
          </cell>
          <cell r="Y214">
            <v>142108.69539399026</v>
          </cell>
          <cell r="Z214">
            <v>100832.58198197326</v>
          </cell>
          <cell r="AA214">
            <v>2146661.9761054306</v>
          </cell>
        </row>
        <row r="215">
          <cell r="B215" t="str">
            <v>6 -  RESULTADO FINANCEIRO    (6.1)</v>
          </cell>
          <cell r="G215">
            <v>767.32299999999987</v>
          </cell>
          <cell r="H215">
            <v>790.16935000000001</v>
          </cell>
          <cell r="I215">
            <v>813.84555</v>
          </cell>
          <cell r="J215">
            <v>838.04824999999994</v>
          </cell>
          <cell r="K215">
            <v>903.86186111111101</v>
          </cell>
          <cell r="L215">
            <v>959.79083332092932</v>
          </cell>
          <cell r="M215">
            <v>1018.5912</v>
          </cell>
          <cell r="N215">
            <v>1048.53685</v>
          </cell>
          <cell r="O215">
            <v>1079.4927</v>
          </cell>
          <cell r="P215">
            <v>1111.27235</v>
          </cell>
          <cell r="Q215">
            <v>1143.98505</v>
          </cell>
          <cell r="R215">
            <v>1177.7866000000001</v>
          </cell>
          <cell r="S215">
            <v>1212.5130500000002</v>
          </cell>
          <cell r="T215">
            <v>1248.3652500000001</v>
          </cell>
          <cell r="U215">
            <v>1285.2296500000002</v>
          </cell>
          <cell r="V215">
            <v>1323.2267499999998</v>
          </cell>
          <cell r="W215">
            <v>1362.2729999999999</v>
          </cell>
          <cell r="X215">
            <v>1402.5817499999998</v>
          </cell>
          <cell r="Y215">
            <v>1444.0337500000001</v>
          </cell>
          <cell r="Z215">
            <v>1486.8489499999998</v>
          </cell>
          <cell r="AA215">
            <v>22417.775744432038</v>
          </cell>
        </row>
        <row r="216">
          <cell r="B216" t="str">
            <v>6.1 - Receitas    (Transp. Qd. 2B)</v>
          </cell>
          <cell r="G216">
            <v>767.32299999999987</v>
          </cell>
          <cell r="H216">
            <v>790.16935000000001</v>
          </cell>
          <cell r="I216">
            <v>813.84555</v>
          </cell>
          <cell r="J216">
            <v>838.04824999999994</v>
          </cell>
          <cell r="K216">
            <v>903.86186111111101</v>
          </cell>
          <cell r="L216">
            <v>959.79083332092932</v>
          </cell>
          <cell r="M216">
            <v>1018.5912</v>
          </cell>
          <cell r="N216">
            <v>1048.53685</v>
          </cell>
          <cell r="O216">
            <v>1079.4927</v>
          </cell>
          <cell r="P216">
            <v>1111.27235</v>
          </cell>
          <cell r="Q216">
            <v>1143.98505</v>
          </cell>
          <cell r="R216">
            <v>1177.7866000000001</v>
          </cell>
          <cell r="S216">
            <v>1212.5130500000002</v>
          </cell>
          <cell r="T216">
            <v>1248.3652500000001</v>
          </cell>
          <cell r="U216">
            <v>1285.2296500000002</v>
          </cell>
          <cell r="V216">
            <v>1323.2267499999998</v>
          </cell>
          <cell r="W216">
            <v>1362.2729999999999</v>
          </cell>
          <cell r="X216">
            <v>1402.5817499999998</v>
          </cell>
          <cell r="Y216">
            <v>1444.0337500000001</v>
          </cell>
          <cell r="Z216">
            <v>1486.8489499999998</v>
          </cell>
          <cell r="AA216">
            <v>22417.775744432038</v>
          </cell>
        </row>
        <row r="217">
          <cell r="B217" t="str">
            <v>7 -  RESULTADO OPERACIONAL    (5 + 6)</v>
          </cell>
          <cell r="G217">
            <v>75052.839802827628</v>
          </cell>
          <cell r="H217">
            <v>87041.859700696208</v>
          </cell>
          <cell r="I217">
            <v>87103.796865925542</v>
          </cell>
          <cell r="J217">
            <v>88194.105387262884</v>
          </cell>
          <cell r="K217">
            <v>96851.056127163087</v>
          </cell>
          <cell r="L217">
            <v>73811.464569046904</v>
          </cell>
          <cell r="M217">
            <v>89484.300766551634</v>
          </cell>
          <cell r="N217">
            <v>97999.96550975267</v>
          </cell>
          <cell r="O217">
            <v>103587.67838096734</v>
          </cell>
          <cell r="P217">
            <v>110972.6107985415</v>
          </cell>
          <cell r="Q217">
            <v>119526.85009643136</v>
          </cell>
          <cell r="R217">
            <v>124128.1834622466</v>
          </cell>
          <cell r="S217">
            <v>127119.16866804539</v>
          </cell>
          <cell r="T217">
            <v>122303.85015845583</v>
          </cell>
          <cell r="U217">
            <v>119741.57660208714</v>
          </cell>
          <cell r="V217">
            <v>126378.08870405254</v>
          </cell>
          <cell r="W217">
            <v>133352.89682074718</v>
          </cell>
          <cell r="X217">
            <v>140557.29935309797</v>
          </cell>
          <cell r="Y217">
            <v>143552.72914399026</v>
          </cell>
          <cell r="Z217">
            <v>102319.43093197326</v>
          </cell>
          <cell r="AA217">
            <v>2169079.7518498627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75052.839802827628</v>
          </cell>
          <cell r="H219">
            <v>87041.859700696208</v>
          </cell>
          <cell r="I219">
            <v>87103.796865925542</v>
          </cell>
          <cell r="J219">
            <v>88194.105387262884</v>
          </cell>
          <cell r="K219">
            <v>96851.056127163087</v>
          </cell>
          <cell r="L219">
            <v>73811.464569046904</v>
          </cell>
          <cell r="M219">
            <v>89484.300766551634</v>
          </cell>
          <cell r="N219">
            <v>97999.96550975267</v>
          </cell>
          <cell r="O219">
            <v>103587.67838096734</v>
          </cell>
          <cell r="P219">
            <v>110972.6107985415</v>
          </cell>
          <cell r="Q219">
            <v>119526.85009643136</v>
          </cell>
          <cell r="R219">
            <v>124128.1834622466</v>
          </cell>
          <cell r="S219">
            <v>127119.16866804539</v>
          </cell>
          <cell r="T219">
            <v>122303.85015845583</v>
          </cell>
          <cell r="U219">
            <v>119741.57660208714</v>
          </cell>
          <cell r="V219">
            <v>126378.08870405254</v>
          </cell>
          <cell r="W219">
            <v>133352.89682074718</v>
          </cell>
          <cell r="X219">
            <v>140557.29935309797</v>
          </cell>
          <cell r="Y219">
            <v>143552.72914399026</v>
          </cell>
          <cell r="Z219">
            <v>102319.43093197326</v>
          </cell>
          <cell r="AA219">
            <v>2169079.7518498627</v>
          </cell>
        </row>
        <row r="220">
          <cell r="B220" t="str">
            <v>10- CONTRIBUIÇÃO SOCIAL (Legislação vigente)</v>
          </cell>
          <cell r="G220">
            <v>6004.2271842262089</v>
          </cell>
          <cell r="H220">
            <v>6963.3487760556991</v>
          </cell>
          <cell r="I220">
            <v>6968.303749274045</v>
          </cell>
          <cell r="J220">
            <v>7055.5284309810322</v>
          </cell>
          <cell r="K220">
            <v>7748.1712349786021</v>
          </cell>
          <cell r="L220">
            <v>5904.9730366704161</v>
          </cell>
          <cell r="M220">
            <v>7158.7440613241315</v>
          </cell>
          <cell r="N220">
            <v>7839.9972407802134</v>
          </cell>
          <cell r="O220">
            <v>8287.0142704773898</v>
          </cell>
          <cell r="P220">
            <v>8877.8088638833196</v>
          </cell>
          <cell r="Q220">
            <v>9562.1480077145097</v>
          </cell>
          <cell r="R220">
            <v>9930.2546769797318</v>
          </cell>
          <cell r="S220">
            <v>10169.533493443632</v>
          </cell>
          <cell r="T220">
            <v>9784.3080126764708</v>
          </cell>
          <cell r="U220">
            <v>9579.3261281669747</v>
          </cell>
          <cell r="V220">
            <v>10110.247096324199</v>
          </cell>
          <cell r="W220">
            <v>10668.231745659776</v>
          </cell>
          <cell r="X220">
            <v>11244.583948247842</v>
          </cell>
          <cell r="Y220">
            <v>11484.218331519223</v>
          </cell>
          <cell r="Z220">
            <v>8185.5544745578572</v>
          </cell>
          <cell r="AA220">
            <v>173526.52276394126</v>
          </cell>
        </row>
        <row r="221">
          <cell r="B221" t="str">
            <v>11- RESULTADO ANTES IMPOSTO DE RENDA    (9 - 10)</v>
          </cell>
          <cell r="G221">
            <v>69048.612618601415</v>
          </cell>
          <cell r="H221">
            <v>80078.510924640505</v>
          </cell>
          <cell r="I221">
            <v>80135.493116651502</v>
          </cell>
          <cell r="J221">
            <v>81138.576956281846</v>
          </cell>
          <cell r="K221">
            <v>89102.884892184491</v>
          </cell>
          <cell r="L221">
            <v>67906.491532376487</v>
          </cell>
          <cell r="M221">
            <v>82325.5567052275</v>
          </cell>
          <cell r="N221">
            <v>90159.968268972458</v>
          </cell>
          <cell r="O221">
            <v>95300.664110489946</v>
          </cell>
          <cell r="P221">
            <v>102094.80193465819</v>
          </cell>
          <cell r="Q221">
            <v>109964.70208871685</v>
          </cell>
          <cell r="R221">
            <v>114197.92878526686</v>
          </cell>
          <cell r="S221">
            <v>116949.63517460175</v>
          </cell>
          <cell r="T221">
            <v>112519.54214577936</v>
          </cell>
          <cell r="U221">
            <v>110162.25047392017</v>
          </cell>
          <cell r="V221">
            <v>116267.84160772835</v>
          </cell>
          <cell r="W221">
            <v>122684.6650750874</v>
          </cell>
          <cell r="X221">
            <v>129312.71540485013</v>
          </cell>
          <cell r="Y221">
            <v>132068.51081247104</v>
          </cell>
          <cell r="Z221">
            <v>94133.876457415405</v>
          </cell>
          <cell r="AA221">
            <v>1995553.2290859215</v>
          </cell>
        </row>
        <row r="222">
          <cell r="B222" t="str">
            <v>12- IMPOSTO DE RENDA (Legislação vigente)</v>
          </cell>
          <cell r="G222">
            <v>18739.2099507069</v>
          </cell>
          <cell r="H222">
            <v>21736.464925174052</v>
          </cell>
          <cell r="I222">
            <v>21751.949216481389</v>
          </cell>
          <cell r="J222">
            <v>22024.526346815721</v>
          </cell>
          <cell r="K222">
            <v>24188.764031790772</v>
          </cell>
          <cell r="L222">
            <v>18429.040739595053</v>
          </cell>
          <cell r="M222">
            <v>22347.075191637909</v>
          </cell>
          <cell r="N222">
            <v>24475.991377438164</v>
          </cell>
          <cell r="O222">
            <v>25872.919595241841</v>
          </cell>
          <cell r="P222">
            <v>27719.152699635375</v>
          </cell>
          <cell r="Q222">
            <v>29857.712524107843</v>
          </cell>
          <cell r="R222">
            <v>31008.045865561664</v>
          </cell>
          <cell r="S222">
            <v>31755.792167011346</v>
          </cell>
          <cell r="T222">
            <v>30551.962539613964</v>
          </cell>
          <cell r="U222">
            <v>29911.394150521788</v>
          </cell>
          <cell r="V222">
            <v>31570.522176013135</v>
          </cell>
          <cell r="W222">
            <v>33314.224205186794</v>
          </cell>
          <cell r="X222">
            <v>35115.324838274508</v>
          </cell>
          <cell r="Y222">
            <v>35864.18228599758</v>
          </cell>
          <cell r="Z222">
            <v>25555.8577329933</v>
          </cell>
          <cell r="AA222">
            <v>541790.11255979899</v>
          </cell>
        </row>
        <row r="223">
          <cell r="B223" t="str">
            <v>13- RESULTADO DE EXERCÍCIO    (11 - 12)</v>
          </cell>
          <cell r="G223">
            <v>50309.402667894516</v>
          </cell>
          <cell r="H223">
            <v>58342.045999466456</v>
          </cell>
          <cell r="I223">
            <v>58383.543900170116</v>
          </cell>
          <cell r="J223">
            <v>59114.050609466125</v>
          </cell>
          <cell r="K223">
            <v>64914.120860393719</v>
          </cell>
          <cell r="L223">
            <v>49477.450792781434</v>
          </cell>
          <cell r="M223">
            <v>59978.481513589591</v>
          </cell>
          <cell r="N223">
            <v>65683.976891534287</v>
          </cell>
          <cell r="O223">
            <v>69427.744515248109</v>
          </cell>
          <cell r="P223">
            <v>74375.649235022807</v>
          </cell>
          <cell r="Q223">
            <v>80106.989564609001</v>
          </cell>
          <cell r="R223">
            <v>83189.882919705196</v>
          </cell>
          <cell r="S223">
            <v>85193.843007590403</v>
          </cell>
          <cell r="T223">
            <v>81967.579606165396</v>
          </cell>
          <cell r="U223">
            <v>80250.856323398388</v>
          </cell>
          <cell r="V223">
            <v>84697.319431715208</v>
          </cell>
          <cell r="W223">
            <v>89370.440869900602</v>
          </cell>
          <cell r="X223">
            <v>94197.390566575617</v>
          </cell>
          <cell r="Y223">
            <v>96204.328526473459</v>
          </cell>
          <cell r="Z223">
            <v>68578.018724422102</v>
          </cell>
          <cell r="AA223">
            <v>1453763.1165261227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321400.16690547048</v>
          </cell>
          <cell r="H229">
            <v>330890.91209343291</v>
          </cell>
          <cell r="I229">
            <v>340662.40512075747</v>
          </cell>
          <cell r="J229">
            <v>350722.96549345105</v>
          </cell>
          <cell r="K229">
            <v>361081.1596878331</v>
          </cell>
          <cell r="L229">
            <v>371745.80849494436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2076503.4177958893</v>
          </cell>
        </row>
        <row r="230">
          <cell r="B230" t="str">
            <v>1.1 - Operacionais    (1.1.1 + 1.1.2)</v>
          </cell>
          <cell r="G230">
            <v>321400.16690547048</v>
          </cell>
          <cell r="H230">
            <v>330890.91209343291</v>
          </cell>
          <cell r="I230">
            <v>340662.40512075747</v>
          </cell>
          <cell r="J230">
            <v>350722.96549345105</v>
          </cell>
          <cell r="K230">
            <v>361081.1596878331</v>
          </cell>
          <cell r="L230">
            <v>371745.80849494436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2076503.4177958893</v>
          </cell>
        </row>
        <row r="231">
          <cell r="B231" t="str">
            <v>1.1.1 - Receitas de  Pedágios    (Transp. Qd.2.1.1.2)</v>
          </cell>
          <cell r="G231">
            <v>306095.39705282904</v>
          </cell>
          <cell r="H231">
            <v>315134.20199374564</v>
          </cell>
          <cell r="I231">
            <v>324440.38582929282</v>
          </cell>
          <cell r="J231">
            <v>334021.87189852481</v>
          </cell>
          <cell r="K231">
            <v>343886.81875031727</v>
          </cell>
          <cell r="L231">
            <v>354043.62713804224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1977622.3026627516</v>
          </cell>
        </row>
        <row r="232">
          <cell r="B232" t="str">
            <v>1.1.2 - Outras Receitas Operacionais    (calculado 2.1.2.)</v>
          </cell>
          <cell r="G232">
            <v>15304.769852641453</v>
          </cell>
          <cell r="H232">
            <v>15756.710099687283</v>
          </cell>
          <cell r="I232">
            <v>16222.019291464641</v>
          </cell>
          <cell r="J232">
            <v>16701.093594926242</v>
          </cell>
          <cell r="K232">
            <v>17194.340937515863</v>
          </cell>
          <cell r="L232">
            <v>17702.181356902114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98881.115133137602</v>
          </cell>
        </row>
        <row r="233">
          <cell r="B233" t="str">
            <v>2 -  DEDUÇÕES DA RECEITA    (2.1)</v>
          </cell>
          <cell r="G233">
            <v>27801.114437323198</v>
          </cell>
          <cell r="H233">
            <v>28622.063896081949</v>
          </cell>
          <cell r="I233">
            <v>29467.29804294552</v>
          </cell>
          <cell r="J233">
            <v>30337.536515183514</v>
          </cell>
          <cell r="K233">
            <v>31233.520312997567</v>
          </cell>
          <cell r="L233">
            <v>32156.012434812685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179617.54563934443</v>
          </cell>
        </row>
        <row r="234">
          <cell r="B234" t="str">
            <v>2.1 - Tributos sobre Faturamento    (2.1.1+ .... + 2.1.4)</v>
          </cell>
          <cell r="G234">
            <v>27801.114437323198</v>
          </cell>
          <cell r="H234">
            <v>28622.063896081949</v>
          </cell>
          <cell r="I234">
            <v>29467.29804294552</v>
          </cell>
          <cell r="J234">
            <v>30337.536515183514</v>
          </cell>
          <cell r="K234">
            <v>31233.520312997567</v>
          </cell>
          <cell r="L234">
            <v>32156.012434812685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179617.54563934443</v>
          </cell>
        </row>
        <row r="235">
          <cell r="B235" t="str">
            <v>2.1.1 - I.S.S    (transp. Qd  1.3.)</v>
          </cell>
          <cell r="G235">
            <v>16070.008345273525</v>
          </cell>
          <cell r="H235">
            <v>16544.545604671646</v>
          </cell>
          <cell r="I235">
            <v>17033.120256037873</v>
          </cell>
          <cell r="J235">
            <v>17536.148274672552</v>
          </cell>
          <cell r="K235">
            <v>18054.057984391657</v>
          </cell>
          <cell r="L235">
            <v>18587.290424747218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103825.17088979448</v>
          </cell>
        </row>
        <row r="236">
          <cell r="B236" t="str">
            <v>2.1.2 - Cofins    (transp. Qd 1.3.)</v>
          </cell>
          <cell r="G236">
            <v>9642.0050071641144</v>
          </cell>
          <cell r="H236">
            <v>9926.727362802987</v>
          </cell>
          <cell r="I236">
            <v>10219.872153622724</v>
          </cell>
          <cell r="J236">
            <v>10521.68896480353</v>
          </cell>
          <cell r="K236">
            <v>10832.434790634992</v>
          </cell>
          <cell r="L236">
            <v>11152.37425484833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62295.102533876678</v>
          </cell>
        </row>
        <row r="237">
          <cell r="B237" t="str">
            <v>2.1.3 - Pis / Pasep    (transp. Qd 1.3.)</v>
          </cell>
          <cell r="G237">
            <v>2089.1010848855581</v>
          </cell>
          <cell r="H237">
            <v>2150.7909286073136</v>
          </cell>
          <cell r="I237">
            <v>2214.3056332849233</v>
          </cell>
          <cell r="J237">
            <v>2279.6992757074318</v>
          </cell>
          <cell r="K237">
            <v>2347.0275379709151</v>
          </cell>
          <cell r="L237">
            <v>2416.347755217138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13497.272215673278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293599.0524681473</v>
          </cell>
          <cell r="H239">
            <v>302268.84819735098</v>
          </cell>
          <cell r="I239">
            <v>311195.10707781196</v>
          </cell>
          <cell r="J239">
            <v>320385.42897826753</v>
          </cell>
          <cell r="K239">
            <v>329847.63937483553</v>
          </cell>
          <cell r="L239">
            <v>339589.79606013169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1896885.8721565448</v>
          </cell>
        </row>
        <row r="240">
          <cell r="B240" t="str">
            <v>4 -  DESPESAS    (4.1)</v>
          </cell>
          <cell r="G240">
            <v>60323.180956487202</v>
          </cell>
          <cell r="H240">
            <v>60656.954226152586</v>
          </cell>
          <cell r="I240">
            <v>61000.614853164581</v>
          </cell>
          <cell r="J240">
            <v>61354.441892964998</v>
          </cell>
          <cell r="K240">
            <v>61718.736625882979</v>
          </cell>
          <cell r="L240">
            <v>62093.809276414955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367147.73783106735</v>
          </cell>
        </row>
        <row r="241">
          <cell r="B241" t="str">
            <v>4.1 - Operacionais    (4.1.1+ .... + 4.1.10)</v>
          </cell>
          <cell r="G241">
            <v>60323.180956487202</v>
          </cell>
          <cell r="H241">
            <v>60656.954226152586</v>
          </cell>
          <cell r="I241">
            <v>61000.614853164581</v>
          </cell>
          <cell r="J241">
            <v>61354.441892964998</v>
          </cell>
          <cell r="K241">
            <v>61718.736625882979</v>
          </cell>
          <cell r="L241">
            <v>62093.809276414955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367147.73783106735</v>
          </cell>
        </row>
        <row r="242">
          <cell r="B242" t="str">
            <v>4.1.1  -  Pessoal e Administradores    (Transp. Qd. 1.3.)</v>
          </cell>
          <cell r="G242">
            <v>28454.0592</v>
          </cell>
          <cell r="H242">
            <v>28454.0592</v>
          </cell>
          <cell r="I242">
            <v>28454.0592</v>
          </cell>
          <cell r="J242">
            <v>28454.0592</v>
          </cell>
          <cell r="K242">
            <v>28454.0592</v>
          </cell>
          <cell r="L242">
            <v>28454.0592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170724.35519999999</v>
          </cell>
        </row>
        <row r="243">
          <cell r="B243" t="str">
            <v>4.1.2  -  Conservação de Rotina    (Transp. Qd. 1.3.)</v>
          </cell>
          <cell r="G243">
            <v>8903.44235682</v>
          </cell>
          <cell r="H243">
            <v>8903.44235682</v>
          </cell>
          <cell r="I243">
            <v>8903.44235682</v>
          </cell>
          <cell r="J243">
            <v>8903.44235682</v>
          </cell>
          <cell r="K243">
            <v>8903.44235682</v>
          </cell>
          <cell r="L243">
            <v>8903.44235682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53420.65414092</v>
          </cell>
        </row>
        <row r="244">
          <cell r="B244" t="str">
            <v>4.1.3  -  Consumo    (Transp. Qd. 1.3.)</v>
          </cell>
          <cell r="G244">
            <v>2570.5607999999997</v>
          </cell>
          <cell r="H244">
            <v>2570.5607999999997</v>
          </cell>
          <cell r="I244">
            <v>2570.5607999999997</v>
          </cell>
          <cell r="J244">
            <v>2570.5607999999997</v>
          </cell>
          <cell r="K244">
            <v>2570.5607999999997</v>
          </cell>
          <cell r="L244">
            <v>2570.5607999999997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15423.364799999998</v>
          </cell>
        </row>
        <row r="245">
          <cell r="B245" t="str">
            <v>4.1.4  -  Transportes    (Transp. Qd. 1.3.)</v>
          </cell>
          <cell r="G245">
            <v>2174.5582800000002</v>
          </cell>
          <cell r="H245">
            <v>2174.5582800000002</v>
          </cell>
          <cell r="I245">
            <v>2174.5582800000002</v>
          </cell>
          <cell r="J245">
            <v>2174.5582800000002</v>
          </cell>
          <cell r="K245">
            <v>2174.5582800000002</v>
          </cell>
          <cell r="L245">
            <v>2174.5582800000002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13047.349680000003</v>
          </cell>
        </row>
        <row r="246">
          <cell r="B246" t="str">
            <v>4.1.5  -  Diversas    (Transp. Qd. 1.3.)</v>
          </cell>
          <cell r="G246">
            <v>4922.5145966549198</v>
          </cell>
          <cell r="H246">
            <v>4922.5145966549198</v>
          </cell>
          <cell r="I246">
            <v>4922.5145966549198</v>
          </cell>
          <cell r="J246">
            <v>4922.5145966549198</v>
          </cell>
          <cell r="K246">
            <v>4922.5145966549198</v>
          </cell>
          <cell r="L246">
            <v>4922.5145966549198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29535.087579929521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2940.7460800004892</v>
          </cell>
          <cell r="H248">
            <v>2985.8392082206979</v>
          </cell>
          <cell r="I248">
            <v>3032.2800172151874</v>
          </cell>
          <cell r="J248">
            <v>3080.0946682877529</v>
          </cell>
          <cell r="K248">
            <v>3129.3238749839456</v>
          </cell>
          <cell r="L248">
            <v>3180.0095595176181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18348.293408225691</v>
          </cell>
        </row>
        <row r="249">
          <cell r="B249" t="str">
            <v xml:space="preserve">4.1.8  -  Garantias  (transp. Qd 1.3.)  </v>
          </cell>
          <cell r="G249">
            <v>715.29463584767427</v>
          </cell>
          <cell r="H249">
            <v>719.25242165398322</v>
          </cell>
          <cell r="I249">
            <v>723.32744885175396</v>
          </cell>
          <cell r="J249">
            <v>727.5230263987944</v>
          </cell>
          <cell r="K249">
            <v>731.84272678912623</v>
          </cell>
          <cell r="L249">
            <v>736.29022857409041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4353.5304881154225</v>
          </cell>
        </row>
        <row r="250">
          <cell r="B250" t="str">
            <v xml:space="preserve">4.1.9  -  Parc.Variável da Concessão   </v>
          </cell>
          <cell r="G250">
            <v>9642.0050071641144</v>
          </cell>
          <cell r="H250">
            <v>9926.727362802987</v>
          </cell>
          <cell r="I250">
            <v>10219.872153622724</v>
          </cell>
          <cell r="J250">
            <v>10521.68896480353</v>
          </cell>
          <cell r="K250">
            <v>10832.434790634992</v>
          </cell>
          <cell r="L250">
            <v>11152.37425484833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62295.102533876678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233275.87151166011</v>
          </cell>
          <cell r="H252">
            <v>241611.89397119838</v>
          </cell>
          <cell r="I252">
            <v>250194.49222464737</v>
          </cell>
          <cell r="J252">
            <v>259030.98708530253</v>
          </cell>
          <cell r="K252">
            <v>268128.90274895256</v>
          </cell>
          <cell r="L252">
            <v>277495.98678371671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1529738.1343254775</v>
          </cell>
        </row>
        <row r="253">
          <cell r="B253" t="str">
            <v>6 -  RESULTADO FINANCEIRO    (6.1)</v>
          </cell>
          <cell r="G253">
            <v>1530.4769852641452</v>
          </cell>
          <cell r="H253">
            <v>1575.6710099687282</v>
          </cell>
          <cell r="I253">
            <v>1622.2019291464642</v>
          </cell>
          <cell r="J253">
            <v>1670.1093594926242</v>
          </cell>
          <cell r="K253">
            <v>1719.4340937515863</v>
          </cell>
          <cell r="L253">
            <v>1770.2181356902113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9888.1115133137591</v>
          </cell>
        </row>
        <row r="254">
          <cell r="B254" t="str">
            <v>6.1 - Receitas    (Transp. Qd. 2B)</v>
          </cell>
          <cell r="G254">
            <v>1530.4769852641452</v>
          </cell>
          <cell r="H254">
            <v>1575.6710099687282</v>
          </cell>
          <cell r="I254">
            <v>1622.2019291464642</v>
          </cell>
          <cell r="J254">
            <v>1670.1093594926242</v>
          </cell>
          <cell r="K254">
            <v>1719.4340937515863</v>
          </cell>
          <cell r="L254">
            <v>1770.2181356902113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9888.1115133137591</v>
          </cell>
        </row>
        <row r="255">
          <cell r="B255" t="str">
            <v>7 -  RESULTADO OPERACIONAL    (5 + 6)</v>
          </cell>
          <cell r="G255">
            <v>234806.34849692424</v>
          </cell>
          <cell r="H255">
            <v>243187.56498116712</v>
          </cell>
          <cell r="I255">
            <v>251816.69415379383</v>
          </cell>
          <cell r="J255">
            <v>260701.09644479517</v>
          </cell>
          <cell r="K255">
            <v>269848.33684270416</v>
          </cell>
          <cell r="L255">
            <v>279266.20491940691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1539626.2458387914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234806.34849692424</v>
          </cell>
          <cell r="H257">
            <v>243187.56498116712</v>
          </cell>
          <cell r="I257">
            <v>251816.69415379383</v>
          </cell>
          <cell r="J257">
            <v>260701.09644479517</v>
          </cell>
          <cell r="K257">
            <v>269848.33684270416</v>
          </cell>
          <cell r="L257">
            <v>279266.20491940691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1539626.2458387914</v>
          </cell>
        </row>
        <row r="258">
          <cell r="B258" t="str">
            <v>10- CONTRIBUIÇÃO SOCIAL (Legislação vigente)</v>
          </cell>
          <cell r="G258">
            <v>18784.507879753939</v>
          </cell>
          <cell r="H258">
            <v>19455.005198493371</v>
          </cell>
          <cell r="I258">
            <v>20145.335532303507</v>
          </cell>
          <cell r="J258">
            <v>20856.087715583613</v>
          </cell>
          <cell r="K258">
            <v>21587.866947416333</v>
          </cell>
          <cell r="L258">
            <v>22341.296393552555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123170.09966710332</v>
          </cell>
        </row>
        <row r="259">
          <cell r="B259" t="str">
            <v>11- RESULTADO ANTES IMPOSTO DE RENDA    (9 - 10)</v>
          </cell>
          <cell r="G259">
            <v>216021.8406171703</v>
          </cell>
          <cell r="H259">
            <v>223732.55978267375</v>
          </cell>
          <cell r="I259">
            <v>231671.3586214903</v>
          </cell>
          <cell r="J259">
            <v>239845.00872921155</v>
          </cell>
          <cell r="K259">
            <v>248260.46989528782</v>
          </cell>
          <cell r="L259">
            <v>256924.90852585435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1416456.1461716881</v>
          </cell>
        </row>
        <row r="260">
          <cell r="B260" t="str">
            <v>12- IMPOSTO DE RENDA (Legislação vigente)</v>
          </cell>
          <cell r="G260">
            <v>58677.58712423106</v>
          </cell>
          <cell r="H260">
            <v>60772.891245291772</v>
          </cell>
          <cell r="I260">
            <v>62930.173538448449</v>
          </cell>
          <cell r="J260">
            <v>65151.274111198793</v>
          </cell>
          <cell r="K260">
            <v>67438.084210676039</v>
          </cell>
          <cell r="L260">
            <v>69792.551229851728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384762.56145969784</v>
          </cell>
        </row>
        <row r="261">
          <cell r="B261" t="str">
            <v>13- RESULTADO DE EXERCÍCIO    (11 - 12)</v>
          </cell>
          <cell r="G261">
            <v>157344.25349293923</v>
          </cell>
          <cell r="H261">
            <v>162959.66853738198</v>
          </cell>
          <cell r="I261">
            <v>168741.18508304184</v>
          </cell>
          <cell r="J261">
            <v>174693.73461801276</v>
          </cell>
          <cell r="K261">
            <v>180822.3856846118</v>
          </cell>
          <cell r="L261">
            <v>187132.35729600262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1031693.5847119903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161905.15299999999</v>
          </cell>
          <cell r="H267">
            <v>166725.73285</v>
          </cell>
          <cell r="I267">
            <v>171721.41105</v>
          </cell>
          <cell r="J267">
            <v>176828.18075</v>
          </cell>
          <cell r="K267">
            <v>190305.67908333329</v>
          </cell>
          <cell r="L267">
            <v>202812.34099750678</v>
          </cell>
          <cell r="M267">
            <v>214922.7432</v>
          </cell>
          <cell r="N267">
            <v>221241.27535000001</v>
          </cell>
          <cell r="O267">
            <v>227772.95969999998</v>
          </cell>
          <cell r="P267">
            <v>234478.46585000001</v>
          </cell>
          <cell r="Q267">
            <v>241380.84555</v>
          </cell>
          <cell r="R267">
            <v>248512.97260000001</v>
          </cell>
          <cell r="S267">
            <v>255840.25355000005</v>
          </cell>
          <cell r="T267">
            <v>263405.06774999999</v>
          </cell>
          <cell r="U267">
            <v>271183.45615000004</v>
          </cell>
          <cell r="V267">
            <v>279200.84424999997</v>
          </cell>
          <cell r="W267">
            <v>287439.60299999994</v>
          </cell>
          <cell r="X267">
            <v>295944.74924999999</v>
          </cell>
          <cell r="Y267">
            <v>304691.12125000003</v>
          </cell>
          <cell r="Z267">
            <v>313725.12845000002</v>
          </cell>
          <cell r="AA267">
            <v>4730037.9836308397</v>
          </cell>
        </row>
        <row r="268">
          <cell r="B268" t="str">
            <v>1.1.  RECEITAS     (1.1.1.+ ... + 1.1.4)</v>
          </cell>
          <cell r="G268">
            <v>161905.15299999999</v>
          </cell>
          <cell r="H268">
            <v>166725.73285</v>
          </cell>
          <cell r="I268">
            <v>171721.41105</v>
          </cell>
          <cell r="J268">
            <v>176828.18075</v>
          </cell>
          <cell r="K268">
            <v>190305.67908333329</v>
          </cell>
          <cell r="L268">
            <v>202812.34099750678</v>
          </cell>
          <cell r="M268">
            <v>214922.7432</v>
          </cell>
          <cell r="N268">
            <v>221241.27535000001</v>
          </cell>
          <cell r="O268">
            <v>227772.95969999998</v>
          </cell>
          <cell r="P268">
            <v>234478.46585000001</v>
          </cell>
          <cell r="Q268">
            <v>241380.84555</v>
          </cell>
          <cell r="R268">
            <v>248512.97260000001</v>
          </cell>
          <cell r="S268">
            <v>255840.25355000005</v>
          </cell>
          <cell r="T268">
            <v>263405.06774999999</v>
          </cell>
          <cell r="U268">
            <v>271183.45615000004</v>
          </cell>
          <cell r="V268">
            <v>279200.84424999997</v>
          </cell>
          <cell r="W268">
            <v>287439.60299999994</v>
          </cell>
          <cell r="X268">
            <v>295944.74924999999</v>
          </cell>
          <cell r="Y268">
            <v>304691.12125000003</v>
          </cell>
          <cell r="Z268">
            <v>313725.12845000002</v>
          </cell>
          <cell r="AA268">
            <v>4730037.9836308397</v>
          </cell>
        </row>
        <row r="269">
          <cell r="B269" t="str">
            <v>1.1.1   Receitas de Pedágio</v>
          </cell>
          <cell r="G269">
            <v>153464.59999999998</v>
          </cell>
          <cell r="H269">
            <v>158033.87</v>
          </cell>
          <cell r="I269">
            <v>162769.10999999999</v>
          </cell>
          <cell r="J269">
            <v>167609.65</v>
          </cell>
          <cell r="K269">
            <v>180772.37222222218</v>
          </cell>
          <cell r="L269">
            <v>191958.16666418585</v>
          </cell>
          <cell r="M269">
            <v>203718.24</v>
          </cell>
          <cell r="N269">
            <v>209707.37</v>
          </cell>
          <cell r="O269">
            <v>215898.53999999998</v>
          </cell>
          <cell r="P269">
            <v>222254.47</v>
          </cell>
          <cell r="Q269">
            <v>228797.01</v>
          </cell>
          <cell r="R269">
            <v>235557.32</v>
          </cell>
          <cell r="S269">
            <v>242502.61000000004</v>
          </cell>
          <cell r="T269">
            <v>249673.05000000002</v>
          </cell>
          <cell r="U269">
            <v>257045.93000000002</v>
          </cell>
          <cell r="V269">
            <v>264645.34999999998</v>
          </cell>
          <cell r="W269">
            <v>272454.59999999998</v>
          </cell>
          <cell r="X269">
            <v>280516.34999999998</v>
          </cell>
          <cell r="Y269">
            <v>288806.75</v>
          </cell>
          <cell r="Z269">
            <v>297369.78999999998</v>
          </cell>
          <cell r="AA269">
            <v>4483555.1488864077</v>
          </cell>
        </row>
        <row r="270">
          <cell r="B270" t="str">
            <v>1.1.2   Outras Receitas Operacionais</v>
          </cell>
          <cell r="G270">
            <v>7673.23</v>
          </cell>
          <cell r="H270">
            <v>7901.6935000000003</v>
          </cell>
          <cell r="I270">
            <v>8138.4555</v>
          </cell>
          <cell r="J270">
            <v>8380.4825000000001</v>
          </cell>
          <cell r="K270">
            <v>8629.4449999999979</v>
          </cell>
          <cell r="L270">
            <v>9894.3835000000017</v>
          </cell>
          <cell r="M270">
            <v>10185.912</v>
          </cell>
          <cell r="N270">
            <v>10485.3685</v>
          </cell>
          <cell r="O270">
            <v>10794.927</v>
          </cell>
          <cell r="P270">
            <v>11112.7235</v>
          </cell>
          <cell r="Q270">
            <v>11439.8505</v>
          </cell>
          <cell r="R270">
            <v>11777.866000000002</v>
          </cell>
          <cell r="S270">
            <v>12125.130500000003</v>
          </cell>
          <cell r="T270">
            <v>12483.652500000002</v>
          </cell>
          <cell r="U270">
            <v>12852.296500000002</v>
          </cell>
          <cell r="V270">
            <v>13232.2675</v>
          </cell>
          <cell r="W270">
            <v>13622.73</v>
          </cell>
          <cell r="X270">
            <v>14025.817499999999</v>
          </cell>
          <cell r="Y270">
            <v>14440.337500000001</v>
          </cell>
          <cell r="Z270">
            <v>14868.4895</v>
          </cell>
          <cell r="AA270">
            <v>224065.05899999998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767.32299999999987</v>
          </cell>
          <cell r="H272">
            <v>790.16935000000001</v>
          </cell>
          <cell r="I272">
            <v>813.84555</v>
          </cell>
          <cell r="J272">
            <v>838.04824999999994</v>
          </cell>
          <cell r="K272">
            <v>903.86186111111101</v>
          </cell>
          <cell r="L272">
            <v>959.79083332092932</v>
          </cell>
          <cell r="M272">
            <v>1018.5912</v>
          </cell>
          <cell r="N272">
            <v>1048.53685</v>
          </cell>
          <cell r="O272">
            <v>1079.4927</v>
          </cell>
          <cell r="P272">
            <v>1111.27235</v>
          </cell>
          <cell r="Q272">
            <v>1143.98505</v>
          </cell>
          <cell r="R272">
            <v>1177.7866000000001</v>
          </cell>
          <cell r="S272">
            <v>1212.5130500000002</v>
          </cell>
          <cell r="T272">
            <v>1248.3652500000001</v>
          </cell>
          <cell r="U272">
            <v>1285.2296500000002</v>
          </cell>
          <cell r="V272">
            <v>1323.2267499999998</v>
          </cell>
          <cell r="W272">
            <v>1362.2729999999999</v>
          </cell>
          <cell r="X272">
            <v>1402.5817499999998</v>
          </cell>
          <cell r="Y272">
            <v>1444.0337500000001</v>
          </cell>
          <cell r="Z272">
            <v>1486.8489499999998</v>
          </cell>
          <cell r="AA272">
            <v>22417.775744432038</v>
          </cell>
        </row>
        <row r="273">
          <cell r="B273" t="str">
            <v>2.  DESEMBOLSOS     (2.1.+ ... + 2.4)</v>
          </cell>
          <cell r="G273">
            <v>170086.33033210548</v>
          </cell>
          <cell r="H273">
            <v>233753.19683872475</v>
          </cell>
          <cell r="I273">
            <v>312144.70551846974</v>
          </cell>
          <cell r="J273">
            <v>307694.35568366124</v>
          </cell>
          <cell r="K273">
            <v>235503.1760543758</v>
          </cell>
          <cell r="L273">
            <v>103505.96189547362</v>
          </cell>
          <cell r="M273">
            <v>106944.23100098415</v>
          </cell>
          <cell r="N273">
            <v>112684.55653654577</v>
          </cell>
          <cell r="O273">
            <v>115094.16410027664</v>
          </cell>
          <cell r="P273">
            <v>119743.19007414879</v>
          </cell>
          <cell r="Q273">
            <v>140952.71595064248</v>
          </cell>
          <cell r="R273">
            <v>147497.14936635151</v>
          </cell>
          <cell r="S273">
            <v>156395.98237081309</v>
          </cell>
          <cell r="T273">
            <v>136924.21089401454</v>
          </cell>
          <cell r="U273">
            <v>133590.45103656885</v>
          </cell>
          <cell r="V273">
            <v>138127.95985679742</v>
          </cell>
          <cell r="W273">
            <v>140513.16041780566</v>
          </cell>
          <cell r="X273">
            <v>151135.00327705443</v>
          </cell>
          <cell r="Y273">
            <v>162267.19483966089</v>
          </cell>
          <cell r="Z273">
            <v>152476.25190324528</v>
          </cell>
          <cell r="AA273">
            <v>3277033.9479477201</v>
          </cell>
        </row>
        <row r="274">
          <cell r="B274" t="str">
            <v>2.1.  OPERACIONAIS     (2.1.1.+ ... + 2.1.8)</v>
          </cell>
          <cell r="G274">
            <v>72128.571337172354</v>
          </cell>
          <cell r="H274">
            <v>63941.056433326266</v>
          </cell>
          <cell r="I274">
            <v>63572.857670223006</v>
          </cell>
          <cell r="J274">
            <v>64793.077856451455</v>
          </cell>
          <cell r="K274">
            <v>65910.090651670151</v>
          </cell>
          <cell r="L274">
            <v>60761.411542435104</v>
          </cell>
          <cell r="M274">
            <v>60053.078006690943</v>
          </cell>
          <cell r="N274">
            <v>59176.475763327406</v>
          </cell>
          <cell r="O274">
            <v>59485.286224557414</v>
          </cell>
          <cell r="P274">
            <v>59655.862705630097</v>
          </cell>
          <cell r="Q274">
            <v>59983.76960382011</v>
          </cell>
          <cell r="R274">
            <v>60211.49324381011</v>
          </cell>
          <cell r="S274">
            <v>61057.944495358104</v>
          </cell>
          <cell r="T274">
            <v>67274.229266724098</v>
          </cell>
          <cell r="U274">
            <v>74710.903962880097</v>
          </cell>
          <cell r="V274">
            <v>75485.022059460112</v>
          </cell>
          <cell r="W274">
            <v>76648.584566959107</v>
          </cell>
          <cell r="X274">
            <v>76437.109465532092</v>
          </cell>
          <cell r="Y274">
            <v>77376.071597144095</v>
          </cell>
          <cell r="Z274">
            <v>78903.27166069411</v>
          </cell>
          <cell r="AA274">
            <v>1337566.1681138664</v>
          </cell>
        </row>
        <row r="275">
          <cell r="B275" t="str">
            <v xml:space="preserve">2.1.1.  Pessoal / Administradores   </v>
          </cell>
          <cell r="G275">
            <v>31530.224160000005</v>
          </cell>
          <cell r="H275">
            <v>31456.546200000001</v>
          </cell>
          <cell r="I275">
            <v>31715.339759999999</v>
          </cell>
          <cell r="J275">
            <v>31514.817599999998</v>
          </cell>
          <cell r="K275">
            <v>31868.450159999997</v>
          </cell>
          <cell r="L275">
            <v>30033.861000000001</v>
          </cell>
          <cell r="M275">
            <v>29833.33884</v>
          </cell>
          <cell r="N275">
            <v>29155.886760000001</v>
          </cell>
          <cell r="O275">
            <v>29055.625680000001</v>
          </cell>
          <cell r="P275">
            <v>29055.625680000001</v>
          </cell>
          <cell r="Q275">
            <v>29055.625680000001</v>
          </cell>
          <cell r="R275">
            <v>29055.625680000001</v>
          </cell>
          <cell r="S275">
            <v>29055.625680000001</v>
          </cell>
          <cell r="T275">
            <v>29055.625680000001</v>
          </cell>
          <cell r="U275">
            <v>29055.625680000001</v>
          </cell>
          <cell r="V275">
            <v>29055.625680000001</v>
          </cell>
          <cell r="W275">
            <v>29055.625680000001</v>
          </cell>
          <cell r="X275">
            <v>28454.0592</v>
          </cell>
          <cell r="Y275">
            <v>28454.0592</v>
          </cell>
          <cell r="Z275">
            <v>28454.0592</v>
          </cell>
          <cell r="AA275">
            <v>593971.27320000005</v>
          </cell>
        </row>
        <row r="276">
          <cell r="B276" t="str">
            <v xml:space="preserve">2.1.2.  Conservação de Rotina  </v>
          </cell>
          <cell r="G276">
            <v>16616.123720014613</v>
          </cell>
          <cell r="H276">
            <v>7458.3971050546133</v>
          </cell>
          <cell r="I276">
            <v>7513.0237288846138</v>
          </cell>
          <cell r="J276">
            <v>7538.7792954046135</v>
          </cell>
          <cell r="K276">
            <v>7628.7614924399986</v>
          </cell>
          <cell r="L276">
            <v>8563.0869698723072</v>
          </cell>
          <cell r="M276">
            <v>8568.2191388723077</v>
          </cell>
          <cell r="N276">
            <v>8680.1416681223072</v>
          </cell>
          <cell r="O276">
            <v>8700.7336414223046</v>
          </cell>
          <cell r="P276">
            <v>8757.5037930299968</v>
          </cell>
          <cell r="Q276">
            <v>8757.5037930299968</v>
          </cell>
          <cell r="R276">
            <v>8757.5037930299968</v>
          </cell>
          <cell r="S276">
            <v>8757.5037930299968</v>
          </cell>
          <cell r="T276">
            <v>8784.4615605599993</v>
          </cell>
          <cell r="U276">
            <v>8784.4615605599993</v>
          </cell>
          <cell r="V276">
            <v>8784.4615605599993</v>
          </cell>
          <cell r="W276">
            <v>8784.4615605599993</v>
          </cell>
          <cell r="X276">
            <v>8826.8220224400011</v>
          </cell>
          <cell r="Y276">
            <v>8903.44235682</v>
          </cell>
          <cell r="Z276">
            <v>8903.44235682</v>
          </cell>
          <cell r="AA276">
            <v>178068.83491052769</v>
          </cell>
        </row>
        <row r="277">
          <cell r="B277" t="str">
            <v xml:space="preserve">2.1.3.  Consumo   </v>
          </cell>
          <cell r="G277">
            <v>2706.2184000000002</v>
          </cell>
          <cell r="H277">
            <v>2678.1288000000004</v>
          </cell>
          <cell r="I277">
            <v>2708.6567999999997</v>
          </cell>
          <cell r="J277">
            <v>2695.8119999999999</v>
          </cell>
          <cell r="K277">
            <v>2726.3399999999997</v>
          </cell>
          <cell r="L277">
            <v>2652.0504000000001</v>
          </cell>
          <cell r="M277">
            <v>2639.2055999999998</v>
          </cell>
          <cell r="N277">
            <v>2615.5175999999997</v>
          </cell>
          <cell r="O277">
            <v>2609.0952000000002</v>
          </cell>
          <cell r="P277">
            <v>2609.0952000000002</v>
          </cell>
          <cell r="Q277">
            <v>2609.0952000000002</v>
          </cell>
          <cell r="R277">
            <v>2609.0952000000002</v>
          </cell>
          <cell r="S277">
            <v>2609.0952000000002</v>
          </cell>
          <cell r="T277">
            <v>2609.0952000000002</v>
          </cell>
          <cell r="U277">
            <v>2609.0952000000002</v>
          </cell>
          <cell r="V277">
            <v>2609.0952000000002</v>
          </cell>
          <cell r="W277">
            <v>2609.0952000000002</v>
          </cell>
          <cell r="X277">
            <v>2570.5607999999997</v>
          </cell>
          <cell r="Y277">
            <v>2570.5607999999997</v>
          </cell>
          <cell r="Z277">
            <v>2570.5607999999997</v>
          </cell>
          <cell r="AA277">
            <v>52615.46880000001</v>
          </cell>
        </row>
        <row r="278">
          <cell r="B278" t="str">
            <v>2.1.4.  Transportes</v>
          </cell>
          <cell r="G278">
            <v>2563.9840800000002</v>
          </cell>
          <cell r="H278">
            <v>2585.3680800000002</v>
          </cell>
          <cell r="I278">
            <v>2585.3680800000002</v>
          </cell>
          <cell r="J278">
            <v>2585.3680800000002</v>
          </cell>
          <cell r="K278">
            <v>2585.3680800000002</v>
          </cell>
          <cell r="L278">
            <v>2174.5582800000002</v>
          </cell>
          <cell r="M278">
            <v>2174.5582800000002</v>
          </cell>
          <cell r="N278">
            <v>2174.5582800000002</v>
          </cell>
          <cell r="O278">
            <v>2174.5582800000002</v>
          </cell>
          <cell r="P278">
            <v>2174.5582800000002</v>
          </cell>
          <cell r="Q278">
            <v>2174.5582800000002</v>
          </cell>
          <cell r="R278">
            <v>2174.5582800000002</v>
          </cell>
          <cell r="S278">
            <v>2174.5582800000002</v>
          </cell>
          <cell r="T278">
            <v>2174.5582800000002</v>
          </cell>
          <cell r="U278">
            <v>2174.5582800000002</v>
          </cell>
          <cell r="V278">
            <v>2174.5582800000002</v>
          </cell>
          <cell r="W278">
            <v>2174.5582800000002</v>
          </cell>
          <cell r="X278">
            <v>2174.5582800000002</v>
          </cell>
          <cell r="Y278">
            <v>2174.5582800000002</v>
          </cell>
          <cell r="Z278">
            <v>2174.5582800000002</v>
          </cell>
          <cell r="AA278">
            <v>45523.830599999994</v>
          </cell>
        </row>
        <row r="279">
          <cell r="B279" t="str">
            <v>2.1.5.  Diversas</v>
          </cell>
          <cell r="G279">
            <v>8330.5970557637083</v>
          </cell>
          <cell r="H279">
            <v>8265.0478325671647</v>
          </cell>
          <cell r="I279">
            <v>6953.3225466433214</v>
          </cell>
          <cell r="J279">
            <v>6311.9469386805322</v>
          </cell>
          <cell r="K279">
            <v>6545.08564101311</v>
          </cell>
          <cell r="L279">
            <v>4040.2496296578984</v>
          </cell>
          <cell r="M279">
            <v>4217.7689966549196</v>
          </cell>
          <cell r="N279">
            <v>4135.6025966549196</v>
          </cell>
          <cell r="O279">
            <v>4249.5737966549204</v>
          </cell>
          <cell r="P279">
            <v>4120.3673966549195</v>
          </cell>
          <cell r="Q279">
            <v>4182.0601966549184</v>
          </cell>
          <cell r="R279">
            <v>4101.9097966549198</v>
          </cell>
          <cell r="S279">
            <v>4217.8489966549187</v>
          </cell>
          <cell r="T279">
            <v>4090.7641966549195</v>
          </cell>
          <cell r="U279">
            <v>4255.8169966549194</v>
          </cell>
          <cell r="V279">
            <v>4279.064996654919</v>
          </cell>
          <cell r="W279">
            <v>4445.2601966549191</v>
          </cell>
          <cell r="X279">
            <v>4272.4985966549193</v>
          </cell>
          <cell r="Y279">
            <v>4439.9513966549193</v>
          </cell>
          <cell r="Z279">
            <v>4822.5145966549198</v>
          </cell>
          <cell r="AA279">
            <v>100277.25239749459</v>
          </cell>
        </row>
        <row r="280">
          <cell r="B280" t="str">
            <v>2.1.6.  Tributos s/ Faturamento</v>
          </cell>
          <cell r="G280">
            <v>5218.498493395924</v>
          </cell>
          <cell r="H280">
            <v>6154.0753527334191</v>
          </cell>
          <cell r="I280">
            <v>6267.8506107499998</v>
          </cell>
          <cell r="J280">
            <v>6454.2221362499995</v>
          </cell>
          <cell r="K280">
            <v>7458.1284168557377</v>
          </cell>
          <cell r="L280">
            <v>8785.3069720812327</v>
          </cell>
          <cell r="M280">
            <v>8178.9586083572885</v>
          </cell>
          <cell r="N280">
            <v>8075.2929802500003</v>
          </cell>
          <cell r="O280">
            <v>8313.7275604999995</v>
          </cell>
          <cell r="P280">
            <v>8558.4791827499994</v>
          </cell>
          <cell r="Q280">
            <v>8810.4009382500008</v>
          </cell>
          <cell r="R280">
            <v>9070.7404640000004</v>
          </cell>
          <cell r="S280">
            <v>9338.1630382500007</v>
          </cell>
          <cell r="T280">
            <v>16168.165871250003</v>
          </cell>
          <cell r="U280">
            <v>23393.171897249998</v>
          </cell>
          <cell r="V280">
            <v>24084.84695875</v>
          </cell>
          <cell r="W280">
            <v>24795.195899999999</v>
          </cell>
          <cell r="X280">
            <v>25529.010808750001</v>
          </cell>
          <cell r="Y280">
            <v>26283.655313750001</v>
          </cell>
          <cell r="Z280">
            <v>27062.653831749998</v>
          </cell>
          <cell r="AA280">
            <v>268000.54533592361</v>
          </cell>
        </row>
        <row r="281">
          <cell r="B281" t="str">
            <v>2.1.7.  Seguros</v>
          </cell>
          <cell r="G281">
            <v>2586.4227907981117</v>
          </cell>
          <cell r="H281">
            <v>2784.3417182990715</v>
          </cell>
          <cell r="I281">
            <v>3277.4736792730787</v>
          </cell>
          <cell r="J281">
            <v>5180.2568292975302</v>
          </cell>
          <cell r="K281">
            <v>4879.4615651200702</v>
          </cell>
          <cell r="L281">
            <v>2542.0610707039446</v>
          </cell>
          <cell r="M281">
            <v>2506.2873550008198</v>
          </cell>
          <cell r="N281">
            <v>2432.7705895121835</v>
          </cell>
          <cell r="O281">
            <v>2493.6495840621833</v>
          </cell>
          <cell r="P281">
            <v>2511.9557002871834</v>
          </cell>
          <cell r="Q281">
            <v>2544.3719937371834</v>
          </cell>
          <cell r="R281">
            <v>2609.2921155371832</v>
          </cell>
          <cell r="S281">
            <v>3091.5919450971837</v>
          </cell>
          <cell r="T281">
            <v>2632.2301290671835</v>
          </cell>
          <cell r="U281">
            <v>2690.3373392871836</v>
          </cell>
          <cell r="V281">
            <v>2762.4511652871829</v>
          </cell>
          <cell r="W281">
            <v>3064.7510504921829</v>
          </cell>
          <cell r="X281">
            <v>2925.7804507271831</v>
          </cell>
          <cell r="Y281">
            <v>2885.6074154671833</v>
          </cell>
          <cell r="Z281">
            <v>3263.4875556171833</v>
          </cell>
          <cell r="AA281">
            <v>59664.582042671005</v>
          </cell>
        </row>
        <row r="282">
          <cell r="B282" t="str">
            <v xml:space="preserve">2.1.8.  Garantias </v>
          </cell>
          <cell r="G282">
            <v>2576.5026371999998</v>
          </cell>
          <cell r="H282">
            <v>2559.1513446720001</v>
          </cell>
          <cell r="I282">
            <v>2551.822464672</v>
          </cell>
          <cell r="J282">
            <v>2511.8749768187795</v>
          </cell>
          <cell r="K282">
            <v>2218.4952962412326</v>
          </cell>
          <cell r="L282">
            <v>1970.2372201197195</v>
          </cell>
          <cell r="M282">
            <v>1934.7411878055975</v>
          </cell>
          <cell r="N282">
            <v>1906.705288788</v>
          </cell>
          <cell r="O282">
            <v>1888.3224819179998</v>
          </cell>
          <cell r="P282">
            <v>1868.2774729079999</v>
          </cell>
          <cell r="Q282">
            <v>1850.1535221479999</v>
          </cell>
          <cell r="R282">
            <v>1832.7679145880002</v>
          </cell>
          <cell r="S282">
            <v>1813.5575623260002</v>
          </cell>
          <cell r="T282">
            <v>1759.3283491920004</v>
          </cell>
          <cell r="U282">
            <v>1747.8370091279999</v>
          </cell>
          <cell r="V282">
            <v>1734.9182182080003</v>
          </cell>
          <cell r="W282">
            <v>1719.6366992520002</v>
          </cell>
          <cell r="X282">
            <v>1683.8193069599999</v>
          </cell>
          <cell r="Y282">
            <v>1664.236834452</v>
          </cell>
          <cell r="Z282">
            <v>1651.9950398520004</v>
          </cell>
          <cell r="AA282">
            <v>39444.380827249333</v>
          </cell>
        </row>
        <row r="283">
          <cell r="B283" t="str">
            <v>2.2.  INVESTIMENTOS / IMOBILIZADO     (2.2.1.+ ... + 2.2.7)</v>
          </cell>
          <cell r="G283">
            <v>58740.580000000009</v>
          </cell>
          <cell r="H283">
            <v>132062.65979916873</v>
          </cell>
          <cell r="I283">
            <v>210652.76791749129</v>
          </cell>
          <cell r="J283">
            <v>204469.91907441305</v>
          </cell>
          <cell r="K283">
            <v>127902.49561926961</v>
          </cell>
          <cell r="L283">
            <v>8405.36</v>
          </cell>
          <cell r="M283">
            <v>6896.6091813311623</v>
          </cell>
          <cell r="N283">
            <v>10514.710000000001</v>
          </cell>
          <cell r="O283">
            <v>10576.539999999999</v>
          </cell>
          <cell r="P283">
            <v>12417.75</v>
          </cell>
          <cell r="Q283">
            <v>30270.380000000005</v>
          </cell>
          <cell r="R283">
            <v>34855.700000000004</v>
          </cell>
          <cell r="S283">
            <v>41702.28</v>
          </cell>
          <cell r="T283">
            <v>17377.410000000003</v>
          </cell>
          <cell r="U283">
            <v>7220.2800000000007</v>
          </cell>
          <cell r="V283">
            <v>8554.239999999998</v>
          </cell>
          <cell r="W283">
            <v>7228.2000000000007</v>
          </cell>
          <cell r="X283">
            <v>15430.12</v>
          </cell>
          <cell r="Y283">
            <v>24373.71</v>
          </cell>
          <cell r="Z283">
            <v>26392.819650000005</v>
          </cell>
          <cell r="AA283">
            <v>996044.53124167386</v>
          </cell>
        </row>
        <row r="284">
          <cell r="B284" t="str">
            <v xml:space="preserve">2.2.1.  Ampliação Principal </v>
          </cell>
          <cell r="G284">
            <v>10026.988408385039</v>
          </cell>
          <cell r="H284">
            <v>81145.563672697564</v>
          </cell>
          <cell r="I284">
            <v>186486.52734539512</v>
          </cell>
          <cell r="J284">
            <v>174243.84125303716</v>
          </cell>
          <cell r="K284">
            <v>89018.356047460766</v>
          </cell>
          <cell r="L284">
            <v>1584.35</v>
          </cell>
          <cell r="M284">
            <v>1584.35</v>
          </cell>
          <cell r="N284">
            <v>1535.72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5468.56</v>
          </cell>
          <cell r="T284">
            <v>5468.56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556562.81672697573</v>
          </cell>
        </row>
        <row r="285">
          <cell r="B285" t="str">
            <v>2.2.2.  Demais Obras de Ampliação/Melhoramentos</v>
          </cell>
          <cell r="G285">
            <v>6937.5704751250023</v>
          </cell>
          <cell r="H285">
            <v>13541.564976124999</v>
          </cell>
          <cell r="I285">
            <v>5792.9754917499995</v>
          </cell>
          <cell r="J285">
            <v>9155.2849689999966</v>
          </cell>
          <cell r="K285">
            <v>7351.8463193300013</v>
          </cell>
          <cell r="L285">
            <v>66.241325985009098</v>
          </cell>
          <cell r="M285">
            <v>505.01632598500873</v>
          </cell>
          <cell r="N285">
            <v>923.00518000000011</v>
          </cell>
          <cell r="O285">
            <v>1402.2448899999999</v>
          </cell>
          <cell r="P285">
            <v>8257.6958599999998</v>
          </cell>
          <cell r="Q285">
            <v>22786.163700000001</v>
          </cell>
          <cell r="R285">
            <v>26932.302920000002</v>
          </cell>
          <cell r="S285">
            <v>16580.348859999998</v>
          </cell>
          <cell r="T285">
            <v>1010.2232800000008</v>
          </cell>
          <cell r="U285">
            <v>2020.450900000001</v>
          </cell>
          <cell r="V285">
            <v>1010.22</v>
          </cell>
          <cell r="W285">
            <v>1.4779999999518623E-2</v>
          </cell>
          <cell r="X285">
            <v>4767.6368800000018</v>
          </cell>
          <cell r="Y285">
            <v>13041.234499999999</v>
          </cell>
          <cell r="Z285">
            <v>16403.550000000003</v>
          </cell>
          <cell r="AA285">
            <v>158485.59163330001</v>
          </cell>
        </row>
        <row r="286">
          <cell r="B286" t="str">
            <v xml:space="preserve">2.2.3.  Equipamentos, Veiculos e Sist. Controle </v>
          </cell>
          <cell r="G286">
            <v>22147.602513459195</v>
          </cell>
          <cell r="H286">
            <v>10599.96</v>
          </cell>
          <cell r="I286">
            <v>3323.5699999999997</v>
          </cell>
          <cell r="J286">
            <v>4601.2819264577265</v>
          </cell>
          <cell r="K286">
            <v>13418.603518008696</v>
          </cell>
          <cell r="L286">
            <v>4348.9010715648383</v>
          </cell>
          <cell r="M286">
            <v>562.44000000000005</v>
          </cell>
          <cell r="N286">
            <v>254.39999999999998</v>
          </cell>
          <cell r="O286">
            <v>902.08799999999985</v>
          </cell>
          <cell r="P286">
            <v>2456</v>
          </cell>
          <cell r="Q286">
            <v>5240.9179999999997</v>
          </cell>
          <cell r="R286">
            <v>144</v>
          </cell>
          <cell r="S286">
            <v>14086.407999999999</v>
          </cell>
          <cell r="T286">
            <v>8143.96</v>
          </cell>
          <cell r="U286">
            <v>2200.3200000000002</v>
          </cell>
          <cell r="V286">
            <v>6018.8388699999987</v>
          </cell>
          <cell r="W286">
            <v>3614.0780000000004</v>
          </cell>
          <cell r="X286">
            <v>2556.7999999999997</v>
          </cell>
          <cell r="Y286">
            <v>1778.48</v>
          </cell>
          <cell r="Z286">
            <v>557.20000000000005</v>
          </cell>
          <cell r="AA286">
            <v>106955.84989949045</v>
          </cell>
        </row>
        <row r="287">
          <cell r="B287" t="str">
            <v>2.2.4.  Desapropriações</v>
          </cell>
          <cell r="G287">
            <v>0</v>
          </cell>
          <cell r="H287">
            <v>5455</v>
          </cell>
          <cell r="I287">
            <v>340</v>
          </cell>
          <cell r="J287">
            <v>0</v>
          </cell>
          <cell r="K287">
            <v>2053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7848</v>
          </cell>
        </row>
        <row r="288">
          <cell r="B288" t="str">
            <v xml:space="preserve">2.2.5.  Conservação Especial </v>
          </cell>
          <cell r="G288">
            <v>14628.41860303077</v>
          </cell>
          <cell r="H288">
            <v>21320.571150346153</v>
          </cell>
          <cell r="I288">
            <v>14709.695080346157</v>
          </cell>
          <cell r="J288">
            <v>16469.510925918152</v>
          </cell>
          <cell r="K288">
            <v>16060.689734470152</v>
          </cell>
          <cell r="L288">
            <v>2405.8676024501538</v>
          </cell>
          <cell r="M288">
            <v>4244.8028553461536</v>
          </cell>
          <cell r="N288">
            <v>7801.58482</v>
          </cell>
          <cell r="O288">
            <v>8272.2071099999994</v>
          </cell>
          <cell r="P288">
            <v>1704.0541400000011</v>
          </cell>
          <cell r="Q288">
            <v>2243.2983000000004</v>
          </cell>
          <cell r="R288">
            <v>7779.3970800000006</v>
          </cell>
          <cell r="S288">
            <v>5566.9631400000007</v>
          </cell>
          <cell r="T288">
            <v>2754.6667200000002</v>
          </cell>
          <cell r="U288">
            <v>2999.5090999999993</v>
          </cell>
          <cell r="V288">
            <v>1525.1811299999999</v>
          </cell>
          <cell r="W288">
            <v>3614.1072200000003</v>
          </cell>
          <cell r="X288">
            <v>8105.6831199999997</v>
          </cell>
          <cell r="Y288">
            <v>9553.9955000000009</v>
          </cell>
          <cell r="Z288">
            <v>9432.0696499999995</v>
          </cell>
          <cell r="AA288">
            <v>161192.27298190768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5000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5000</v>
          </cell>
        </row>
        <row r="291">
          <cell r="B291" t="str">
            <v>2.3.  DIREITO DE CONCESSÃO     (2.3.1.+ ... + 2.3.2)</v>
          </cell>
          <cell r="G291">
            <v>14473.741859999998</v>
          </cell>
          <cell r="H291">
            <v>9049.666905</v>
          </cell>
          <cell r="I291">
            <v>9198.8269650000002</v>
          </cell>
          <cell r="J291">
            <v>9351.3039750000007</v>
          </cell>
          <cell r="K291">
            <v>9753.6545166666656</v>
          </cell>
          <cell r="L291">
            <v>10005.176576773061</v>
          </cell>
          <cell r="M291">
            <v>10488.724560000001</v>
          </cell>
          <cell r="N291">
            <v>10677.382154999999</v>
          </cell>
          <cell r="O291">
            <v>10872.404009999998</v>
          </cell>
          <cell r="P291">
            <v>11072.615804999999</v>
          </cell>
          <cell r="Q291">
            <v>11278.705814999999</v>
          </cell>
          <cell r="R291">
            <v>11491.655580000001</v>
          </cell>
          <cell r="S291">
            <v>11710.432215000001</v>
          </cell>
          <cell r="T291">
            <v>11936.301074999999</v>
          </cell>
          <cell r="U291">
            <v>12168.546795</v>
          </cell>
          <cell r="V291">
            <v>12407.928524999999</v>
          </cell>
          <cell r="W291">
            <v>12653.919899999999</v>
          </cell>
          <cell r="X291">
            <v>12907.865024999999</v>
          </cell>
          <cell r="Y291">
            <v>13169.012625000001</v>
          </cell>
          <cell r="Z291">
            <v>13438.748385000001</v>
          </cell>
          <cell r="AA291">
            <v>228106.61326843977</v>
          </cell>
        </row>
        <row r="292">
          <cell r="B292" t="str">
            <v>2.3.1.  Valor Variável da Concessão</v>
          </cell>
          <cell r="G292">
            <v>4834.1348999999991</v>
          </cell>
          <cell r="H292">
            <v>4978.0669049999997</v>
          </cell>
          <cell r="I292">
            <v>5127.2269649999998</v>
          </cell>
          <cell r="J292">
            <v>5279.7039750000004</v>
          </cell>
          <cell r="K292">
            <v>5682.0545166666652</v>
          </cell>
          <cell r="L292">
            <v>6055.5765049255751</v>
          </cell>
          <cell r="M292">
            <v>6417.1245600000002</v>
          </cell>
          <cell r="N292">
            <v>6605.7821549999999</v>
          </cell>
          <cell r="O292">
            <v>6800.8040099999989</v>
          </cell>
          <cell r="P292">
            <v>7001.015805</v>
          </cell>
          <cell r="Q292">
            <v>7207.1058149999999</v>
          </cell>
          <cell r="R292">
            <v>7420.0555800000002</v>
          </cell>
          <cell r="S292">
            <v>7638.8322150000013</v>
          </cell>
          <cell r="T292">
            <v>7864.7010749999999</v>
          </cell>
          <cell r="U292">
            <v>8096.9467950000007</v>
          </cell>
          <cell r="V292">
            <v>8336.328524999999</v>
          </cell>
          <cell r="W292">
            <v>8582.3198999999986</v>
          </cell>
          <cell r="X292">
            <v>8836.2650249999988</v>
          </cell>
          <cell r="Y292">
            <v>9097.4126250000008</v>
          </cell>
          <cell r="Z292">
            <v>9367.1483850000004</v>
          </cell>
          <cell r="AA292">
            <v>141228.60623659226</v>
          </cell>
        </row>
        <row r="293">
          <cell r="B293" t="str">
            <v xml:space="preserve">2.3.2.  Valor Fixo da Concessão </v>
          </cell>
          <cell r="G293">
            <v>9639.6069599999992</v>
          </cell>
          <cell r="H293">
            <v>4071.6</v>
          </cell>
          <cell r="I293">
            <v>4071.6</v>
          </cell>
          <cell r="J293">
            <v>4071.6</v>
          </cell>
          <cell r="K293">
            <v>4071.6</v>
          </cell>
          <cell r="L293">
            <v>3949.6000718474861</v>
          </cell>
          <cell r="M293">
            <v>4071.6</v>
          </cell>
          <cell r="N293">
            <v>4071.6</v>
          </cell>
          <cell r="O293">
            <v>4071.6</v>
          </cell>
          <cell r="P293">
            <v>4071.6</v>
          </cell>
          <cell r="Q293">
            <v>4071.6</v>
          </cell>
          <cell r="R293">
            <v>4071.6</v>
          </cell>
          <cell r="S293">
            <v>4071.6</v>
          </cell>
          <cell r="T293">
            <v>4071.6</v>
          </cell>
          <cell r="U293">
            <v>4071.6</v>
          </cell>
          <cell r="V293">
            <v>4071.6</v>
          </cell>
          <cell r="W293">
            <v>4071.6</v>
          </cell>
          <cell r="X293">
            <v>4071.6</v>
          </cell>
          <cell r="Y293">
            <v>4071.6</v>
          </cell>
          <cell r="Z293">
            <v>4071.6</v>
          </cell>
          <cell r="AA293">
            <v>86878.007031847505</v>
          </cell>
        </row>
        <row r="294">
          <cell r="B294" t="str">
            <v>2.4.  DESEMBOLSOS  SOBRE O LUCRO     (2.4.1. + 2.4.2)</v>
          </cell>
          <cell r="G294">
            <v>24743.437134933109</v>
          </cell>
          <cell r="H294">
            <v>28699.813701229752</v>
          </cell>
          <cell r="I294">
            <v>28720.252965755433</v>
          </cell>
          <cell r="J294">
            <v>29080.054777796751</v>
          </cell>
          <cell r="K294">
            <v>31936.935266769375</v>
          </cell>
          <cell r="L294">
            <v>24334.01377626547</v>
          </cell>
          <cell r="M294">
            <v>29505.819252962039</v>
          </cell>
          <cell r="N294">
            <v>32315.988618218376</v>
          </cell>
          <cell r="O294">
            <v>34159.933865719227</v>
          </cell>
          <cell r="P294">
            <v>36596.961563518693</v>
          </cell>
          <cell r="Q294">
            <v>39419.860531822356</v>
          </cell>
          <cell r="R294">
            <v>40938.300542541394</v>
          </cell>
          <cell r="S294">
            <v>41925.325660454982</v>
          </cell>
          <cell r="T294">
            <v>40336.270552290436</v>
          </cell>
          <cell r="U294">
            <v>39490.720278688765</v>
          </cell>
          <cell r="V294">
            <v>41680.769272337333</v>
          </cell>
          <cell r="W294">
            <v>43982.455950846568</v>
          </cell>
          <cell r="X294">
            <v>46359.908786522348</v>
          </cell>
          <cell r="Y294">
            <v>47348.400617516803</v>
          </cell>
          <cell r="Z294">
            <v>33741.412207551155</v>
          </cell>
          <cell r="AA294">
            <v>715316.63532374031</v>
          </cell>
        </row>
        <row r="295">
          <cell r="B295" t="str">
            <v xml:space="preserve">2.4.1.  Contribuição Social  </v>
          </cell>
          <cell r="G295">
            <v>6004.2271842262089</v>
          </cell>
          <cell r="H295">
            <v>6963.3487760556991</v>
          </cell>
          <cell r="I295">
            <v>6968.303749274045</v>
          </cell>
          <cell r="J295">
            <v>7055.5284309810322</v>
          </cell>
          <cell r="K295">
            <v>7748.1712349786021</v>
          </cell>
          <cell r="L295">
            <v>5904.9730366704161</v>
          </cell>
          <cell r="M295">
            <v>7158.7440613241315</v>
          </cell>
          <cell r="N295">
            <v>7839.9972407802134</v>
          </cell>
          <cell r="O295">
            <v>8287.0142704773898</v>
          </cell>
          <cell r="P295">
            <v>8877.8088638833196</v>
          </cell>
          <cell r="Q295">
            <v>9562.1480077145097</v>
          </cell>
          <cell r="R295">
            <v>9930.2546769797318</v>
          </cell>
          <cell r="S295">
            <v>10169.533493443632</v>
          </cell>
          <cell r="T295">
            <v>9784.3080126764708</v>
          </cell>
          <cell r="U295">
            <v>9579.3261281669747</v>
          </cell>
          <cell r="V295">
            <v>10110.247096324199</v>
          </cell>
          <cell r="W295">
            <v>10668.231745659776</v>
          </cell>
          <cell r="X295">
            <v>11244.583948247842</v>
          </cell>
          <cell r="Y295">
            <v>11484.218331519223</v>
          </cell>
          <cell r="Z295">
            <v>8185.5544745578572</v>
          </cell>
          <cell r="AA295">
            <v>173526.52276394126</v>
          </cell>
        </row>
        <row r="296">
          <cell r="B296" t="str">
            <v xml:space="preserve">2.4.2.  Imposto de Renda  </v>
          </cell>
          <cell r="G296">
            <v>18739.2099507069</v>
          </cell>
          <cell r="H296">
            <v>21736.464925174052</v>
          </cell>
          <cell r="I296">
            <v>21751.949216481389</v>
          </cell>
          <cell r="J296">
            <v>22024.526346815721</v>
          </cell>
          <cell r="K296">
            <v>24188.764031790772</v>
          </cell>
          <cell r="L296">
            <v>18429.040739595053</v>
          </cell>
          <cell r="M296">
            <v>22347.075191637909</v>
          </cell>
          <cell r="N296">
            <v>24475.991377438164</v>
          </cell>
          <cell r="O296">
            <v>25872.919595241841</v>
          </cell>
          <cell r="P296">
            <v>27719.152699635375</v>
          </cell>
          <cell r="Q296">
            <v>29857.712524107843</v>
          </cell>
          <cell r="R296">
            <v>31008.045865561664</v>
          </cell>
          <cell r="S296">
            <v>31755.792167011346</v>
          </cell>
          <cell r="T296">
            <v>30551.962539613964</v>
          </cell>
          <cell r="U296">
            <v>29911.394150521788</v>
          </cell>
          <cell r="V296">
            <v>31570.522176013135</v>
          </cell>
          <cell r="W296">
            <v>33314.224205186794</v>
          </cell>
          <cell r="X296">
            <v>35115.324838274508</v>
          </cell>
          <cell r="Y296">
            <v>35864.18228599758</v>
          </cell>
          <cell r="Z296">
            <v>25555.8577329933</v>
          </cell>
          <cell r="AA296">
            <v>541790.11255979899</v>
          </cell>
        </row>
        <row r="297">
          <cell r="B297" t="str">
            <v>3.  SALDO DO CAIXA     (1 - 2)</v>
          </cell>
          <cell r="G297">
            <v>-8181.1773321054934</v>
          </cell>
          <cell r="H297">
            <v>-67027.463988724747</v>
          </cell>
          <cell r="I297">
            <v>-140423.29446846974</v>
          </cell>
          <cell r="J297">
            <v>-130866.17493366124</v>
          </cell>
          <cell r="K297">
            <v>-45197.496971042507</v>
          </cell>
          <cell r="L297">
            <v>99306.379102033156</v>
          </cell>
          <cell r="M297">
            <v>107978.51219901585</v>
          </cell>
          <cell r="N297">
            <v>108556.71881345424</v>
          </cell>
          <cell r="O297">
            <v>112678.79559972334</v>
          </cell>
          <cell r="P297">
            <v>114735.27577585122</v>
          </cell>
          <cell r="Q297">
            <v>100428.12959935752</v>
          </cell>
          <cell r="R297">
            <v>101015.82323364849</v>
          </cell>
          <cell r="S297">
            <v>99444.271179186966</v>
          </cell>
          <cell r="T297">
            <v>126480.85685598545</v>
          </cell>
          <cell r="U297">
            <v>137593.00511343119</v>
          </cell>
          <cell r="V297">
            <v>141072.88439320255</v>
          </cell>
          <cell r="W297">
            <v>146926.44258219429</v>
          </cell>
          <cell r="X297">
            <v>144809.74597294556</v>
          </cell>
          <cell r="Y297">
            <v>142423.92641033913</v>
          </cell>
          <cell r="Z297">
            <v>161248.87654675473</v>
          </cell>
          <cell r="AA297">
            <v>1453004.0356831197</v>
          </cell>
        </row>
        <row r="298">
          <cell r="B298" t="str">
            <v xml:space="preserve">4. T.I.R. (Taxa Interna de Retorno) Anual do Projeto     </v>
          </cell>
          <cell r="G298">
            <v>0.19560119711676074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322930.64389073465</v>
          </cell>
          <cell r="H303">
            <v>332466.58310340164</v>
          </cell>
          <cell r="I303">
            <v>342284.60704990395</v>
          </cell>
          <cell r="J303">
            <v>352393.07485294365</v>
          </cell>
          <cell r="K303">
            <v>362800.5937815847</v>
          </cell>
          <cell r="L303">
            <v>373516.02663063456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2086391.5293092031</v>
          </cell>
        </row>
        <row r="304">
          <cell r="B304" t="str">
            <v>1.1.  RECEITAS     (1.1.1.+ ... + 1.1.4)</v>
          </cell>
          <cell r="G304">
            <v>322930.64389073465</v>
          </cell>
          <cell r="H304">
            <v>332466.58310340164</v>
          </cell>
          <cell r="I304">
            <v>342284.60704990395</v>
          </cell>
          <cell r="J304">
            <v>352393.07485294365</v>
          </cell>
          <cell r="K304">
            <v>362800.5937815847</v>
          </cell>
          <cell r="L304">
            <v>373516.02663063456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2086391.5293092031</v>
          </cell>
        </row>
        <row r="305">
          <cell r="B305" t="str">
            <v>1.1.1   Receitas de Pedágio</v>
          </cell>
          <cell r="G305">
            <v>306095.39705282904</v>
          </cell>
          <cell r="H305">
            <v>315134.20199374564</v>
          </cell>
          <cell r="I305">
            <v>324440.38582929282</v>
          </cell>
          <cell r="J305">
            <v>334021.87189852481</v>
          </cell>
          <cell r="K305">
            <v>343886.81875031727</v>
          </cell>
          <cell r="L305">
            <v>354043.62713804224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1977622.3026627516</v>
          </cell>
        </row>
        <row r="306">
          <cell r="B306" t="str">
            <v>1.1.2   Outras Receitas Operacionais</v>
          </cell>
          <cell r="G306">
            <v>15304.769852641453</v>
          </cell>
          <cell r="H306">
            <v>15756.710099687283</v>
          </cell>
          <cell r="I306">
            <v>16222.019291464641</v>
          </cell>
          <cell r="J306">
            <v>16701.093594926242</v>
          </cell>
          <cell r="K306">
            <v>17194.340937515863</v>
          </cell>
          <cell r="L306">
            <v>17702.181356902114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98881.115133137602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1530.4769852641452</v>
          </cell>
          <cell r="H308">
            <v>1575.6710099687282</v>
          </cell>
          <cell r="I308">
            <v>1622.2019291464642</v>
          </cell>
          <cell r="J308">
            <v>1670.1093594926242</v>
          </cell>
          <cell r="K308">
            <v>1719.4340937515863</v>
          </cell>
          <cell r="L308">
            <v>1770.2181356902113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9888.1115133137591</v>
          </cell>
        </row>
        <row r="309">
          <cell r="B309" t="str">
            <v>2.  DESEMBOLSOS     (2.1.+ ... + 2.4)</v>
          </cell>
          <cell r="G309">
            <v>165586.39039779542</v>
          </cell>
          <cell r="H309">
            <v>169506.91456601967</v>
          </cell>
          <cell r="I309">
            <v>173543.42196686205</v>
          </cell>
          <cell r="J309">
            <v>177699.34023493092</v>
          </cell>
          <cell r="K309">
            <v>181978.2080969729</v>
          </cell>
          <cell r="L309">
            <v>186383.66933463194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1054697.9445972131</v>
          </cell>
        </row>
        <row r="310">
          <cell r="B310" t="str">
            <v>2.1.  OPERACIONAIS     (2.1.1.+ ... + 2.1.8)</v>
          </cell>
          <cell r="G310">
            <v>78482.290386646288</v>
          </cell>
          <cell r="H310">
            <v>79352.290759431547</v>
          </cell>
          <cell r="I310">
            <v>80248.04074248737</v>
          </cell>
          <cell r="J310">
            <v>81170.289443344984</v>
          </cell>
          <cell r="K310">
            <v>82119.822148245556</v>
          </cell>
          <cell r="L310">
            <v>83097.447456379305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484470.18093653512</v>
          </cell>
        </row>
        <row r="311">
          <cell r="B311" t="str">
            <v xml:space="preserve">2.1.1.  Pessoal / Administradores   </v>
          </cell>
          <cell r="G311">
            <v>28454.0592</v>
          </cell>
          <cell r="H311">
            <v>28454.0592</v>
          </cell>
          <cell r="I311">
            <v>28454.0592</v>
          </cell>
          <cell r="J311">
            <v>28454.0592</v>
          </cell>
          <cell r="K311">
            <v>28454.0592</v>
          </cell>
          <cell r="L311">
            <v>28454.0592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170724.35519999999</v>
          </cell>
        </row>
        <row r="312">
          <cell r="B312" t="str">
            <v xml:space="preserve">2.1.2.  Conservação de Rotina  </v>
          </cell>
          <cell r="G312">
            <v>8903.44235682</v>
          </cell>
          <cell r="H312">
            <v>8903.44235682</v>
          </cell>
          <cell r="I312">
            <v>8903.44235682</v>
          </cell>
          <cell r="J312">
            <v>8903.44235682</v>
          </cell>
          <cell r="K312">
            <v>8903.44235682</v>
          </cell>
          <cell r="L312">
            <v>8903.44235682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53420.65414092</v>
          </cell>
        </row>
        <row r="313">
          <cell r="B313" t="str">
            <v xml:space="preserve">2.1.3.  Consumo   </v>
          </cell>
          <cell r="G313">
            <v>2570.5607999999997</v>
          </cell>
          <cell r="H313">
            <v>2570.5607999999997</v>
          </cell>
          <cell r="I313">
            <v>2570.5607999999997</v>
          </cell>
          <cell r="J313">
            <v>2570.5607999999997</v>
          </cell>
          <cell r="K313">
            <v>2570.5607999999997</v>
          </cell>
          <cell r="L313">
            <v>2570.5607999999997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15423.364799999998</v>
          </cell>
        </row>
        <row r="314">
          <cell r="B314" t="str">
            <v>2.1.4.  Transportes</v>
          </cell>
          <cell r="G314">
            <v>2174.5582800000002</v>
          </cell>
          <cell r="H314">
            <v>2174.5582800000002</v>
          </cell>
          <cell r="I314">
            <v>2174.5582800000002</v>
          </cell>
          <cell r="J314">
            <v>2174.5582800000002</v>
          </cell>
          <cell r="K314">
            <v>2174.5582800000002</v>
          </cell>
          <cell r="L314">
            <v>2174.5582800000002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13047.349680000003</v>
          </cell>
        </row>
        <row r="315">
          <cell r="B315" t="str">
            <v>2.1.5.  Diversas</v>
          </cell>
          <cell r="G315">
            <v>4922.5145966549198</v>
          </cell>
          <cell r="H315">
            <v>4922.5145966549198</v>
          </cell>
          <cell r="I315">
            <v>4922.5145966549198</v>
          </cell>
          <cell r="J315">
            <v>4922.5145966549198</v>
          </cell>
          <cell r="K315">
            <v>4922.5145966549198</v>
          </cell>
          <cell r="L315">
            <v>4922.5145966549198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29535.087579929521</v>
          </cell>
        </row>
        <row r="316">
          <cell r="B316" t="str">
            <v>2.1.6.  Tributos s/ Faturamento</v>
          </cell>
          <cell r="G316">
            <v>27801.114437323198</v>
          </cell>
          <cell r="H316">
            <v>28622.063896081949</v>
          </cell>
          <cell r="I316">
            <v>29467.29804294552</v>
          </cell>
          <cell r="J316">
            <v>30337.536515183514</v>
          </cell>
          <cell r="K316">
            <v>31233.520312997567</v>
          </cell>
          <cell r="L316">
            <v>32156.012434812685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179617.54563934443</v>
          </cell>
        </row>
        <row r="317">
          <cell r="B317" t="str">
            <v>2.1.7.  Seguros</v>
          </cell>
          <cell r="G317">
            <v>2940.7460800004892</v>
          </cell>
          <cell r="H317">
            <v>2985.8392082206979</v>
          </cell>
          <cell r="I317">
            <v>3032.2800172151874</v>
          </cell>
          <cell r="J317">
            <v>3080.0946682877529</v>
          </cell>
          <cell r="K317">
            <v>3129.3238749839456</v>
          </cell>
          <cell r="L317">
            <v>3180.0095595176181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18348.293408225691</v>
          </cell>
        </row>
        <row r="318">
          <cell r="B318" t="str">
            <v xml:space="preserve">2.1.8.  Garantias </v>
          </cell>
          <cell r="G318">
            <v>715.29463584767427</v>
          </cell>
          <cell r="H318">
            <v>719.25242165398322</v>
          </cell>
          <cell r="I318">
            <v>723.32744885175396</v>
          </cell>
          <cell r="J318">
            <v>727.5230263987944</v>
          </cell>
          <cell r="K318">
            <v>731.84272678912623</v>
          </cell>
          <cell r="L318">
            <v>736.29022857409041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4353.5304881154225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9642.0050071641144</v>
          </cell>
          <cell r="H327">
            <v>9926.727362802987</v>
          </cell>
          <cell r="I327">
            <v>10219.872153622724</v>
          </cell>
          <cell r="J327">
            <v>10521.68896480353</v>
          </cell>
          <cell r="K327">
            <v>10832.434790634992</v>
          </cell>
          <cell r="L327">
            <v>11152.37425484833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62295.102533876678</v>
          </cell>
        </row>
        <row r="328">
          <cell r="B328" t="str">
            <v>2.3.1.  Valor Variável da Concessão</v>
          </cell>
          <cell r="G328">
            <v>9642.0050071641144</v>
          </cell>
          <cell r="H328">
            <v>9926.727362802987</v>
          </cell>
          <cell r="I328">
            <v>10219.872153622724</v>
          </cell>
          <cell r="J328">
            <v>10521.68896480353</v>
          </cell>
          <cell r="K328">
            <v>10832.434790634992</v>
          </cell>
          <cell r="L328">
            <v>11152.37425484833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62295.102533876678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77462.095003984999</v>
          </cell>
          <cell r="H330">
            <v>80227.896443785139</v>
          </cell>
          <cell r="I330">
            <v>83075.509070751956</v>
          </cell>
          <cell r="J330">
            <v>86007.361826782406</v>
          </cell>
          <cell r="K330">
            <v>89025.951158092372</v>
          </cell>
          <cell r="L330">
            <v>92133.84762340429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507932.66112680116</v>
          </cell>
        </row>
        <row r="331">
          <cell r="B331" t="str">
            <v xml:space="preserve">2.4.1.  Contribuição Social  </v>
          </cell>
          <cell r="G331">
            <v>18784.507879753939</v>
          </cell>
          <cell r="H331">
            <v>19455.005198493371</v>
          </cell>
          <cell r="I331">
            <v>20145.335532303507</v>
          </cell>
          <cell r="J331">
            <v>20856.087715583613</v>
          </cell>
          <cell r="K331">
            <v>21587.866947416333</v>
          </cell>
          <cell r="L331">
            <v>22341.296393552555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123170.09966710332</v>
          </cell>
        </row>
        <row r="332">
          <cell r="B332" t="str">
            <v xml:space="preserve">2.4.2.  Imposto de Renda  </v>
          </cell>
          <cell r="G332">
            <v>58677.58712423106</v>
          </cell>
          <cell r="H332">
            <v>60772.891245291772</v>
          </cell>
          <cell r="I332">
            <v>62930.173538448449</v>
          </cell>
          <cell r="J332">
            <v>65151.274111198793</v>
          </cell>
          <cell r="K332">
            <v>67438.084210676039</v>
          </cell>
          <cell r="L332">
            <v>69792.551229851728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384762.56145969784</v>
          </cell>
        </row>
        <row r="333">
          <cell r="B333" t="str">
            <v>3.  SALDO DO CAIXA     (1 - 2)</v>
          </cell>
          <cell r="G333">
            <v>157344.25349293923</v>
          </cell>
          <cell r="H333">
            <v>162959.66853738198</v>
          </cell>
          <cell r="I333">
            <v>168741.1850830419</v>
          </cell>
          <cell r="J333">
            <v>174693.73461801274</v>
          </cell>
          <cell r="K333">
            <v>180822.3856846118</v>
          </cell>
          <cell r="L333">
            <v>187132.35729600262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1031693.5847119901</v>
          </cell>
        </row>
        <row r="334">
          <cell r="B334" t="str">
            <v xml:space="preserve">4. T.I.R. (Taxa Interna de Retorno) Anual do Projeto     </v>
          </cell>
          <cell r="G334">
            <v>0.20622234876489354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s_VDF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  <sheetName val="31122"/>
      <sheetName val="31271"/>
      <sheetName val="Juros e Amortização - DFC"/>
      <sheetName val="Juros e At. Monetária - DRE"/>
      <sheetName val="FLuxo a pagar"/>
    </sheetNames>
    <sheetDataSet>
      <sheetData sheetId="0">
        <row r="4">
          <cell r="A4">
            <v>39083</v>
          </cell>
        </row>
        <row r="5">
          <cell r="A5">
            <v>39132</v>
          </cell>
        </row>
        <row r="6">
          <cell r="A6">
            <v>39133</v>
          </cell>
        </row>
        <row r="7">
          <cell r="A7">
            <v>39178</v>
          </cell>
        </row>
        <row r="8">
          <cell r="A8">
            <v>39193</v>
          </cell>
        </row>
        <row r="9">
          <cell r="A9">
            <v>39203</v>
          </cell>
        </row>
        <row r="10">
          <cell r="A10">
            <v>39240</v>
          </cell>
        </row>
        <row r="11">
          <cell r="A11">
            <v>39332</v>
          </cell>
        </row>
        <row r="12">
          <cell r="A12">
            <v>39367</v>
          </cell>
        </row>
        <row r="13">
          <cell r="A13">
            <v>39388</v>
          </cell>
        </row>
        <row r="14">
          <cell r="A14">
            <v>39401</v>
          </cell>
        </row>
        <row r="15">
          <cell r="A15">
            <v>39441</v>
          </cell>
        </row>
        <row r="16">
          <cell r="A16">
            <v>39448</v>
          </cell>
        </row>
        <row r="17">
          <cell r="A17">
            <v>39482</v>
          </cell>
        </row>
        <row r="18">
          <cell r="A18">
            <v>39483</v>
          </cell>
        </row>
        <row r="19">
          <cell r="A19">
            <v>39528</v>
          </cell>
        </row>
        <row r="20">
          <cell r="A20">
            <v>39559</v>
          </cell>
        </row>
        <row r="21">
          <cell r="A21">
            <v>39569</v>
          </cell>
        </row>
        <row r="22">
          <cell r="A22">
            <v>39590</v>
          </cell>
        </row>
        <row r="23">
          <cell r="A23">
            <v>39698</v>
          </cell>
        </row>
        <row r="24">
          <cell r="A24">
            <v>39733</v>
          </cell>
        </row>
        <row r="25">
          <cell r="A25">
            <v>39754</v>
          </cell>
        </row>
        <row r="26">
          <cell r="A26">
            <v>39767</v>
          </cell>
        </row>
        <row r="27">
          <cell r="A27">
            <v>39807</v>
          </cell>
        </row>
        <row r="28">
          <cell r="A28">
            <v>39814</v>
          </cell>
        </row>
        <row r="29">
          <cell r="A29">
            <v>39867</v>
          </cell>
        </row>
        <row r="30">
          <cell r="A30">
            <v>39868</v>
          </cell>
        </row>
        <row r="31">
          <cell r="A31">
            <v>39913</v>
          </cell>
        </row>
        <row r="32">
          <cell r="A32">
            <v>39924</v>
          </cell>
        </row>
        <row r="33">
          <cell r="A33">
            <v>39934</v>
          </cell>
        </row>
        <row r="34">
          <cell r="A34">
            <v>39975</v>
          </cell>
        </row>
        <row r="35">
          <cell r="A35">
            <v>40063</v>
          </cell>
        </row>
        <row r="36">
          <cell r="A36">
            <v>40098</v>
          </cell>
        </row>
        <row r="37">
          <cell r="A37">
            <v>40119</v>
          </cell>
        </row>
        <row r="38">
          <cell r="A38">
            <v>40132</v>
          </cell>
        </row>
        <row r="39">
          <cell r="A39">
            <v>40172</v>
          </cell>
        </row>
        <row r="40">
          <cell r="A40">
            <v>40179</v>
          </cell>
        </row>
        <row r="41">
          <cell r="A41">
            <v>40224</v>
          </cell>
        </row>
        <row r="42">
          <cell r="A42">
            <v>40225</v>
          </cell>
        </row>
        <row r="43">
          <cell r="A43">
            <v>40270</v>
          </cell>
        </row>
        <row r="44">
          <cell r="A44">
            <v>40289</v>
          </cell>
        </row>
        <row r="45">
          <cell r="A45">
            <v>40299</v>
          </cell>
        </row>
        <row r="46">
          <cell r="A46">
            <v>40332</v>
          </cell>
        </row>
        <row r="47">
          <cell r="A47">
            <v>40428</v>
          </cell>
        </row>
        <row r="48">
          <cell r="A48">
            <v>40463</v>
          </cell>
        </row>
        <row r="49">
          <cell r="A49">
            <v>40484</v>
          </cell>
        </row>
        <row r="50">
          <cell r="A50">
            <v>40497</v>
          </cell>
        </row>
        <row r="51">
          <cell r="A51">
            <v>40537</v>
          </cell>
        </row>
        <row r="52">
          <cell r="A52">
            <v>40544</v>
          </cell>
        </row>
        <row r="53">
          <cell r="A53">
            <v>40609</v>
          </cell>
        </row>
        <row r="54">
          <cell r="A54">
            <v>40610</v>
          </cell>
        </row>
        <row r="55">
          <cell r="A55">
            <v>40654</v>
          </cell>
        </row>
        <row r="56">
          <cell r="A56">
            <v>40655</v>
          </cell>
        </row>
        <row r="57">
          <cell r="A57">
            <v>40664</v>
          </cell>
        </row>
        <row r="58">
          <cell r="A58">
            <v>40717</v>
          </cell>
        </row>
        <row r="59">
          <cell r="A59">
            <v>40793</v>
          </cell>
        </row>
        <row r="60">
          <cell r="A60">
            <v>40828</v>
          </cell>
        </row>
        <row r="61">
          <cell r="A61">
            <v>40849</v>
          </cell>
        </row>
        <row r="62">
          <cell r="A62">
            <v>40862</v>
          </cell>
        </row>
        <row r="63">
          <cell r="A63">
            <v>40902</v>
          </cell>
        </row>
        <row r="64">
          <cell r="A64">
            <v>40909</v>
          </cell>
        </row>
        <row r="65">
          <cell r="A65">
            <v>40959</v>
          </cell>
        </row>
        <row r="66">
          <cell r="A66">
            <v>40960</v>
          </cell>
        </row>
        <row r="67">
          <cell r="A67">
            <v>41005</v>
          </cell>
        </row>
        <row r="68">
          <cell r="A68">
            <v>41020</v>
          </cell>
        </row>
        <row r="69">
          <cell r="A69">
            <v>41030</v>
          </cell>
        </row>
        <row r="70">
          <cell r="A70">
            <v>41067</v>
          </cell>
        </row>
        <row r="71">
          <cell r="A71">
            <v>41159</v>
          </cell>
        </row>
        <row r="72">
          <cell r="A72">
            <v>41194</v>
          </cell>
        </row>
        <row r="73">
          <cell r="A73">
            <v>41215</v>
          </cell>
        </row>
        <row r="74">
          <cell r="A74">
            <v>41228</v>
          </cell>
        </row>
        <row r="75">
          <cell r="A75">
            <v>41268</v>
          </cell>
        </row>
      </sheetData>
      <sheetData sheetId="1">
        <row r="104">
          <cell r="Q104">
            <v>2016</v>
          </cell>
        </row>
      </sheetData>
      <sheetData sheetId="2">
        <row r="103">
          <cell r="Q103">
            <v>2016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m"/>
      <sheetName val="EPE Revenues"/>
      <sheetName val="MMBTU"/>
      <sheetName val="SCG Commodity"/>
      <sheetName val="Transpor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&amp; Fiscal Credits"/>
      <sheetName val="Input"/>
      <sheetName val="Activities"/>
      <sheetName val="Tax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_Electric (1)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 _Calculations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ORIGINAL"/>
      <sheetName val="Equipamentos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5"/>
      <sheetName val="Comparativo de Mercado "/>
      <sheetName val="Capa Simulador"/>
      <sheetName val="FLUXO + DRE  Original 20 anos"/>
      <sheetName val="Fatores 20 anos"/>
      <sheetName val="Prorrogação Fluxo 25 anos"/>
      <sheetName val="RELATA VÉ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F54" t="str">
            <v>ESTUDO DO REEQUILÍBRIO ECONÔMICO-FINANCEIRO</v>
          </cell>
        </row>
        <row r="55">
          <cell r="F55" t="str">
            <v>DA CONCESSIONÁRIA VIAOESTE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25733.44526868036</v>
          </cell>
          <cell r="H67">
            <v>126225.66413471791</v>
          </cell>
          <cell r="I67">
            <v>0.20939254423031073</v>
          </cell>
        </row>
        <row r="68">
          <cell r="B68" t="str">
            <v>FATOR 2</v>
          </cell>
          <cell r="C68" t="str">
            <v>3ª Adequação - Investimentos</v>
          </cell>
          <cell r="G68">
            <v>1778.4553827698655</v>
          </cell>
          <cell r="H68">
            <v>8723.5389385388025</v>
          </cell>
          <cell r="I68">
            <v>0.19430100682593032</v>
          </cell>
        </row>
        <row r="69">
          <cell r="B69" t="str">
            <v>FATOR 3</v>
          </cell>
          <cell r="C69" t="str">
            <v>DIFERENÇA DE RECEITA DA SP-270</v>
          </cell>
          <cell r="G69">
            <v>-2965.2502231429698</v>
          </cell>
          <cell r="H69">
            <v>-14544.911294772615</v>
          </cell>
          <cell r="I69">
            <v>0.19164958126844359</v>
          </cell>
        </row>
        <row r="70">
          <cell r="B70" t="str">
            <v>FATOR 4</v>
          </cell>
          <cell r="C70" t="str">
            <v>DIFERENÇA DE RECEITA DA SP-075 X SP-270</v>
          </cell>
          <cell r="G70">
            <v>-1208.6874455252214</v>
          </cell>
          <cell r="H70">
            <v>-5928.7582346543904</v>
          </cell>
          <cell r="I70">
            <v>0.19260923388099299</v>
          </cell>
        </row>
        <row r="71">
          <cell r="B71" t="str">
            <v>FATOR 5</v>
          </cell>
          <cell r="C71" t="str">
            <v>Alteração de ISS-QN</v>
          </cell>
          <cell r="G71">
            <v>-9731.3297676935636</v>
          </cell>
          <cell r="H71">
            <v>-47733.350510048556</v>
          </cell>
          <cell r="I71">
            <v>0.18785617026087006</v>
          </cell>
        </row>
        <row r="72">
          <cell r="B72" t="str">
            <v>FATOR 6</v>
          </cell>
          <cell r="C72" t="str">
            <v>Majoração da COFINS</v>
          </cell>
          <cell r="G72">
            <v>-4562.4934014118271</v>
          </cell>
          <cell r="H72">
            <v>-22379.582434086136</v>
          </cell>
          <cell r="I72">
            <v>0.19076783767096686</v>
          </cell>
        </row>
        <row r="73">
          <cell r="B73" t="str">
            <v>FATOR 7</v>
          </cell>
          <cell r="C73">
            <v>0</v>
          </cell>
          <cell r="G73">
            <v>5.5798919494794395E-8</v>
          </cell>
          <cell r="H73">
            <v>2.7370045470756614E-7</v>
          </cell>
          <cell r="I73">
            <v>0.19327037557252341</v>
          </cell>
        </row>
        <row r="74">
          <cell r="B74" t="str">
            <v>FATOR 7</v>
          </cell>
          <cell r="C74" t="str">
            <v>DIFERENÇA PELO NÃO INÍCIO DA OPERAÇÃO DAS MARGINAIS - SP 280</v>
          </cell>
          <cell r="G74">
            <v>-19567.903452309554</v>
          </cell>
          <cell r="H74">
            <v>-95982.935172616155</v>
          </cell>
          <cell r="I74">
            <v>0.18293804140810907</v>
          </cell>
        </row>
        <row r="75">
          <cell r="B75" t="str">
            <v>FATOR 8</v>
          </cell>
          <cell r="C75" t="str">
            <v>4ª Adequação - Investimentos</v>
          </cell>
          <cell r="G75">
            <v>26590.71447300016</v>
          </cell>
          <cell r="H75">
            <v>130430.6733562856</v>
          </cell>
          <cell r="I75">
            <v>0.20829608837028563</v>
          </cell>
        </row>
        <row r="76">
          <cell r="B76" t="str">
            <v>FATOR 9</v>
          </cell>
          <cell r="C76" t="str">
            <v>REGIME TARIFÁRIO ESPECIAL DAS MARGINAIS DA SP-280</v>
          </cell>
          <cell r="G76">
            <v>-16534.230355471744</v>
          </cell>
          <cell r="H76">
            <v>-81102.401399626498</v>
          </cell>
          <cell r="I76">
            <v>0.18390646773845529</v>
          </cell>
        </row>
        <row r="77">
          <cell r="B77" t="str">
            <v>FATOR 10</v>
          </cell>
          <cell r="C77" t="str">
            <v>DIFERENÇA DE RECEITA DA SP-075 X SP-270 - 2</v>
          </cell>
          <cell r="G77">
            <v>-633.74691018944065</v>
          </cell>
          <cell r="H77">
            <v>-3108.6053109782379</v>
          </cell>
          <cell r="I77">
            <v>0.19292347618797812</v>
          </cell>
        </row>
        <row r="78">
          <cell r="B78" t="str">
            <v>FATOR 11</v>
          </cell>
          <cell r="C78" t="str">
            <v>DIFERENÇA DE RECEITA PELA POSTERGAÇÃO DA DUPLICAÇÃO</v>
          </cell>
          <cell r="G78">
            <v>-5701.1889491448674</v>
          </cell>
          <cell r="H78">
            <v>-27965.021937392106</v>
          </cell>
          <cell r="I78">
            <v>0.19012072224241236</v>
          </cell>
        </row>
        <row r="79">
          <cell r="B79" t="str">
            <v>FATOR 12</v>
          </cell>
          <cell r="C79" t="str">
            <v>DIFERENÇA DE IGPM 2003 - RECEITA REAL</v>
          </cell>
          <cell r="G79">
            <v>-688.00404272528317</v>
          </cell>
          <cell r="H79">
            <v>-3374.7431140153412</v>
          </cell>
          <cell r="I79">
            <v>0.19289373267658125</v>
          </cell>
        </row>
        <row r="80">
          <cell r="B80" t="str">
            <v>FATOR 14</v>
          </cell>
          <cell r="C80">
            <v>0</v>
          </cell>
          <cell r="G80">
            <v>5.5798919494794395E-8</v>
          </cell>
          <cell r="H80">
            <v>2.7370045470756614E-7</v>
          </cell>
          <cell r="I80">
            <v>0.19327037557252341</v>
          </cell>
        </row>
        <row r="81">
          <cell r="B81" t="str">
            <v>FATOR 13</v>
          </cell>
          <cell r="C81" t="str">
            <v>5ª Adequação - Investimentos</v>
          </cell>
          <cell r="G81">
            <v>-2176.5888463964843</v>
          </cell>
          <cell r="H81">
            <v>-10676.431772584985</v>
          </cell>
          <cell r="I81">
            <v>0.19208059764202703</v>
          </cell>
        </row>
        <row r="82">
          <cell r="B82" t="str">
            <v>TOTAL GERAL</v>
          </cell>
          <cell r="G82">
            <v>-9666.8082694489713</v>
          </cell>
          <cell r="H82">
            <v>-47416.864750685309</v>
          </cell>
          <cell r="I82">
            <v>0.18645436637078908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25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0.19327037557252341</v>
          </cell>
        </row>
        <row r="98">
          <cell r="B98" t="str">
            <v>TIR Resultante dos Desequilibrio no Contrato Original (ao ano)</v>
          </cell>
          <cell r="J98">
            <v>0.18645436637078908</v>
          </cell>
        </row>
        <row r="100">
          <cell r="B100" t="str">
            <v>Diferença entre a TIR Original x TIR Desequilibrios</v>
          </cell>
          <cell r="J100">
            <v>-6.8160092017343354E-3</v>
          </cell>
        </row>
        <row r="102">
          <cell r="B102" t="str">
            <v>TIR Resultante das Alternativas Utilizadas para o Reequilibrio (ao ano)</v>
          </cell>
          <cell r="J102">
            <v>0.19360997399325544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5.5798919494794395E-8</v>
          </cell>
          <cell r="G136">
            <v>0.19327037557252341</v>
          </cell>
          <cell r="H136">
            <v>-146068.54176000002</v>
          </cell>
          <cell r="I136">
            <v>-163024.19148499999</v>
          </cell>
          <cell r="J136">
            <v>-95881.515604999979</v>
          </cell>
          <cell r="K136">
            <v>39032.087509999998</v>
          </cell>
          <cell r="L136">
            <v>106526.57626999999</v>
          </cell>
          <cell r="M136">
            <v>106644.66430999996</v>
          </cell>
          <cell r="N136">
            <v>109145.42567499998</v>
          </cell>
          <cell r="O136">
            <v>104084.74404999999</v>
          </cell>
          <cell r="P136">
            <v>100262.04817999998</v>
          </cell>
          <cell r="Q136">
            <v>123874.85308500002</v>
          </cell>
          <cell r="R136">
            <v>101005.17119000001</v>
          </cell>
          <cell r="S136">
            <v>136260.60897500001</v>
          </cell>
          <cell r="T136">
            <v>119240.515145</v>
          </cell>
          <cell r="U136">
            <v>131747.38472</v>
          </cell>
          <cell r="V136">
            <v>121928.21519000002</v>
          </cell>
          <cell r="W136">
            <v>146150.786555</v>
          </cell>
          <cell r="X136">
            <v>152240.71505</v>
          </cell>
          <cell r="Y136">
            <v>147233.66691</v>
          </cell>
          <cell r="Z136">
            <v>147030.22589999999</v>
          </cell>
          <cell r="AA136">
            <v>155787.40448999999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72706.0625</v>
          </cell>
          <cell r="I139">
            <v>36766.289130000005</v>
          </cell>
          <cell r="J139">
            <v>-72807.668019999997</v>
          </cell>
          <cell r="K139">
            <v>-35306.57321000001</v>
          </cell>
          <cell r="L139">
            <v>-15478.82735</v>
          </cell>
          <cell r="M139">
            <v>4733.0540700000001</v>
          </cell>
          <cell r="N139">
            <v>8654.1</v>
          </cell>
          <cell r="O139">
            <v>7082.4160000000002</v>
          </cell>
          <cell r="P139">
            <v>1303.58214</v>
          </cell>
          <cell r="Q139">
            <v>-550.23214000000007</v>
          </cell>
          <cell r="R139">
            <v>3342.2550699999993</v>
          </cell>
          <cell r="S139">
            <v>-1860.079</v>
          </cell>
          <cell r="T139">
            <v>-3990.4539299999997</v>
          </cell>
          <cell r="U139">
            <v>-210.99</v>
          </cell>
          <cell r="V139">
            <v>242.26499999999999</v>
          </cell>
          <cell r="W139">
            <v>-4132.1959299999999</v>
          </cell>
          <cell r="X139">
            <v>-225.64999999999998</v>
          </cell>
          <cell r="Y139">
            <v>-220.08399999999995</v>
          </cell>
          <cell r="Z139">
            <v>1199.1624999999999</v>
          </cell>
          <cell r="AA139">
            <v>-1069.9375</v>
          </cell>
        </row>
        <row r="140">
          <cell r="B140" t="str">
            <v>Somatoria com Projeto Original</v>
          </cell>
          <cell r="F140">
            <v>25733.44526868036</v>
          </cell>
          <cell r="G140">
            <v>0.20939254423031073</v>
          </cell>
          <cell r="H140">
            <v>-73362.479260000022</v>
          </cell>
          <cell r="I140">
            <v>-126257.90235499998</v>
          </cell>
          <cell r="J140">
            <v>-168689.18362499998</v>
          </cell>
          <cell r="K140">
            <v>3725.514299999988</v>
          </cell>
          <cell r="L140">
            <v>91047.748919999984</v>
          </cell>
          <cell r="M140">
            <v>111377.71837999996</v>
          </cell>
          <cell r="N140">
            <v>117799.52567499998</v>
          </cell>
          <cell r="O140">
            <v>111167.16004999999</v>
          </cell>
          <cell r="P140">
            <v>101565.63031999998</v>
          </cell>
          <cell r="Q140">
            <v>123324.62094500003</v>
          </cell>
          <cell r="R140">
            <v>104347.42626000001</v>
          </cell>
          <cell r="S140">
            <v>134400.52997500001</v>
          </cell>
          <cell r="T140">
            <v>115250.06121499999</v>
          </cell>
          <cell r="U140">
            <v>131536.39472000001</v>
          </cell>
          <cell r="V140">
            <v>122170.48019000002</v>
          </cell>
          <cell r="W140">
            <v>142018.59062500001</v>
          </cell>
          <cell r="X140">
            <v>152015.06505</v>
          </cell>
          <cell r="Y140">
            <v>147013.58291</v>
          </cell>
          <cell r="Z140">
            <v>148229.3884</v>
          </cell>
          <cell r="AA140">
            <v>154717.46698999999</v>
          </cell>
        </row>
        <row r="141">
          <cell r="B141" t="str">
            <v>3ª Adequação - Investimentos</v>
          </cell>
        </row>
        <row r="142">
          <cell r="B142" t="str">
            <v>Fluxo de Caixa do Fator</v>
          </cell>
          <cell r="H142">
            <v>-231.29576864375031</v>
          </cell>
          <cell r="I142">
            <v>6080.3526833195565</v>
          </cell>
          <cell r="J142">
            <v>79686.847775654853</v>
          </cell>
          <cell r="K142">
            <v>-15606.036056441877</v>
          </cell>
          <cell r="L142">
            <v>-30741.278609232471</v>
          </cell>
          <cell r="M142">
            <v>-52950.702785041802</v>
          </cell>
          <cell r="N142">
            <v>-33805.394018680745</v>
          </cell>
          <cell r="O142">
            <v>-16188.901003732462</v>
          </cell>
          <cell r="P142">
            <v>10896.143145544609</v>
          </cell>
          <cell r="Q142">
            <v>-12431.627418080854</v>
          </cell>
          <cell r="R142">
            <v>-4020.8364311166497</v>
          </cell>
          <cell r="S142">
            <v>474.44344726845111</v>
          </cell>
          <cell r="T142">
            <v>5122.0182893240344</v>
          </cell>
          <cell r="U142">
            <v>13787.710893231633</v>
          </cell>
          <cell r="V142">
            <v>21918.596014579231</v>
          </cell>
          <cell r="W142">
            <v>1373.8504236792323</v>
          </cell>
          <cell r="X142">
            <v>2483.5654556363729</v>
          </cell>
          <cell r="Y142">
            <v>-3786.8134761664833</v>
          </cell>
          <cell r="Z142">
            <v>2838.2716307297687</v>
          </cell>
          <cell r="AA142">
            <v>11991.674966036016</v>
          </cell>
        </row>
        <row r="143">
          <cell r="B143" t="str">
            <v>Somatoria com Projeto Original</v>
          </cell>
          <cell r="F143">
            <v>1778.4553827698655</v>
          </cell>
          <cell r="G143">
            <v>0.19430100682593032</v>
          </cell>
          <cell r="H143">
            <v>-146299.83752864378</v>
          </cell>
          <cell r="I143">
            <v>-156943.83880168042</v>
          </cell>
          <cell r="J143">
            <v>-16194.667829345126</v>
          </cell>
          <cell r="K143">
            <v>23426.051453558121</v>
          </cell>
          <cell r="L143">
            <v>75785.297660767523</v>
          </cell>
          <cell r="M143">
            <v>53693.961524958162</v>
          </cell>
          <cell r="N143">
            <v>75340.031656319232</v>
          </cell>
          <cell r="O143">
            <v>87895.843046267531</v>
          </cell>
          <cell r="P143">
            <v>111158.1913255446</v>
          </cell>
          <cell r="Q143">
            <v>111443.22566691917</v>
          </cell>
          <cell r="R143">
            <v>96984.334758883357</v>
          </cell>
          <cell r="S143">
            <v>136735.05242226846</v>
          </cell>
          <cell r="T143">
            <v>124362.53343432402</v>
          </cell>
          <cell r="U143">
            <v>145535.09561323165</v>
          </cell>
          <cell r="V143">
            <v>143846.81120457925</v>
          </cell>
          <cell r="W143">
            <v>147524.63697867922</v>
          </cell>
          <cell r="X143">
            <v>154724.28050563636</v>
          </cell>
          <cell r="Y143">
            <v>143446.85343383352</v>
          </cell>
          <cell r="Z143">
            <v>149868.49753072977</v>
          </cell>
          <cell r="AA143">
            <v>167779.07945603601</v>
          </cell>
        </row>
        <row r="144">
          <cell r="B144" t="str">
            <v>DIFERENÇA DE RECEITA DA SP-270</v>
          </cell>
        </row>
        <row r="145">
          <cell r="B145" t="str">
            <v>Fluxo de Caixa do Fator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-3263.1747</v>
          </cell>
          <cell r="M145">
            <v>-3026.3967000000002</v>
          </cell>
          <cell r="N145">
            <v>-1957.1570999999999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B146" t="str">
            <v>Somatoria com Projeto Original</v>
          </cell>
          <cell r="F146">
            <v>-2965.2502231429698</v>
          </cell>
          <cell r="G146">
            <v>0.19164958126844359</v>
          </cell>
          <cell r="H146">
            <v>-146068.54176000002</v>
          </cell>
          <cell r="I146">
            <v>-163024.19148499999</v>
          </cell>
          <cell r="J146">
            <v>-95881.515604999979</v>
          </cell>
          <cell r="K146">
            <v>39032.087509999998</v>
          </cell>
          <cell r="L146">
            <v>103263.40156999999</v>
          </cell>
          <cell r="M146">
            <v>103618.26760999997</v>
          </cell>
          <cell r="N146">
            <v>107188.26857499998</v>
          </cell>
          <cell r="O146">
            <v>104084.74404999999</v>
          </cell>
          <cell r="P146">
            <v>100262.04817999998</v>
          </cell>
          <cell r="Q146">
            <v>123874.85308500002</v>
          </cell>
          <cell r="R146">
            <v>101005.17119000001</v>
          </cell>
          <cell r="S146">
            <v>136260.60897500001</v>
          </cell>
          <cell r="T146">
            <v>119240.515145</v>
          </cell>
          <cell r="U146">
            <v>131747.38472</v>
          </cell>
          <cell r="V146">
            <v>121928.21519000002</v>
          </cell>
          <cell r="W146">
            <v>146150.786555</v>
          </cell>
          <cell r="X146">
            <v>152240.71505</v>
          </cell>
          <cell r="Y146">
            <v>147233.66691</v>
          </cell>
          <cell r="Z146">
            <v>147030.22589999999</v>
          </cell>
          <cell r="AA146">
            <v>155787.40448999999</v>
          </cell>
        </row>
        <row r="147">
          <cell r="B147" t="str">
            <v>DIFERENÇA DE RECEITA DA SP-075 X SP-270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-2924.2083000000002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B149" t="str">
            <v>Somatoria com Projeto Original</v>
          </cell>
          <cell r="F149">
            <v>-1208.6874455252214</v>
          </cell>
          <cell r="G149">
            <v>0.19260923388099299</v>
          </cell>
          <cell r="H149">
            <v>-146068.54176000002</v>
          </cell>
          <cell r="I149">
            <v>-163024.19148499999</v>
          </cell>
          <cell r="J149">
            <v>-95881.515604999979</v>
          </cell>
          <cell r="K149">
            <v>39032.087509999998</v>
          </cell>
          <cell r="L149">
            <v>103602.36796999999</v>
          </cell>
          <cell r="M149">
            <v>106644.66430999996</v>
          </cell>
          <cell r="N149">
            <v>109145.42567499998</v>
          </cell>
          <cell r="O149">
            <v>104084.74404999999</v>
          </cell>
          <cell r="P149">
            <v>100262.04817999998</v>
          </cell>
          <cell r="Q149">
            <v>123874.85308500002</v>
          </cell>
          <cell r="R149">
            <v>101005.17119000001</v>
          </cell>
          <cell r="S149">
            <v>136260.60897500001</v>
          </cell>
          <cell r="T149">
            <v>119240.515145</v>
          </cell>
          <cell r="U149">
            <v>131747.38472</v>
          </cell>
          <cell r="V149">
            <v>121928.21519000002</v>
          </cell>
          <cell r="W149">
            <v>146150.786555</v>
          </cell>
          <cell r="X149">
            <v>152240.71505</v>
          </cell>
          <cell r="Y149">
            <v>147233.66691</v>
          </cell>
          <cell r="Z149">
            <v>147030.22589999999</v>
          </cell>
          <cell r="AA149">
            <v>155787.40448999999</v>
          </cell>
        </row>
        <row r="150">
          <cell r="B150" t="str">
            <v>Alteração de ISS-QN</v>
          </cell>
        </row>
        <row r="151">
          <cell r="B151" t="str">
            <v>Fluxo de Caixa do Fator</v>
          </cell>
          <cell r="H151">
            <v>996.31679999999994</v>
          </cell>
          <cell r="I151">
            <v>1107.8671100000001</v>
          </cell>
          <cell r="J151">
            <v>-201.56212999999997</v>
          </cell>
          <cell r="K151">
            <v>-4179.3863000000001</v>
          </cell>
          <cell r="L151">
            <v>-1386.1228000000001</v>
          </cell>
          <cell r="M151">
            <v>-670.15409999999997</v>
          </cell>
          <cell r="N151">
            <v>-4691.1523999999999</v>
          </cell>
          <cell r="O151">
            <v>-4846.1435000000001</v>
          </cell>
          <cell r="P151">
            <v>-4939.9903999999997</v>
          </cell>
          <cell r="Q151">
            <v>-5035.7467999999999</v>
          </cell>
          <cell r="R151">
            <v>-5118.6391999999996</v>
          </cell>
          <cell r="S151">
            <v>-5202.8179999999993</v>
          </cell>
          <cell r="T151">
            <v>-5288.4640999999992</v>
          </cell>
          <cell r="U151">
            <v>-5375.4971000000005</v>
          </cell>
          <cell r="V151">
            <v>-5463.9571999999998</v>
          </cell>
          <cell r="W151">
            <v>-5553.8444</v>
          </cell>
          <cell r="X151">
            <v>-5645.219000000001</v>
          </cell>
          <cell r="Y151">
            <v>-5738.1412999999993</v>
          </cell>
          <cell r="Z151">
            <v>-5832.5509999999995</v>
          </cell>
          <cell r="AA151">
            <v>-5928.5686999999998</v>
          </cell>
        </row>
        <row r="152">
          <cell r="B152" t="str">
            <v>Somatoria com Projeto Original</v>
          </cell>
          <cell r="F152">
            <v>-9731.3297676935636</v>
          </cell>
          <cell r="G152">
            <v>0.18785617026087006</v>
          </cell>
          <cell r="H152">
            <v>-145072.22496000002</v>
          </cell>
          <cell r="I152">
            <v>-161916.324375</v>
          </cell>
          <cell r="J152">
            <v>-96083.077734999984</v>
          </cell>
          <cell r="K152">
            <v>34852.701209999999</v>
          </cell>
          <cell r="L152">
            <v>105140.45346999999</v>
          </cell>
          <cell r="M152">
            <v>105974.51020999996</v>
          </cell>
          <cell r="N152">
            <v>104454.27327499997</v>
          </cell>
          <cell r="O152">
            <v>99238.600549999988</v>
          </cell>
          <cell r="P152">
            <v>95322.057779999988</v>
          </cell>
          <cell r="Q152">
            <v>118839.10628500003</v>
          </cell>
          <cell r="R152">
            <v>95886.531990000003</v>
          </cell>
          <cell r="S152">
            <v>131057.79097500001</v>
          </cell>
          <cell r="T152">
            <v>113952.051045</v>
          </cell>
          <cell r="U152">
            <v>126371.88761999999</v>
          </cell>
          <cell r="V152">
            <v>116464.25799000001</v>
          </cell>
          <cell r="W152">
            <v>140596.942155</v>
          </cell>
          <cell r="X152">
            <v>146595.49604999999</v>
          </cell>
          <cell r="Y152">
            <v>141495.52561000001</v>
          </cell>
          <cell r="Z152">
            <v>141197.67489999998</v>
          </cell>
          <cell r="AA152">
            <v>149858.83578999998</v>
          </cell>
        </row>
        <row r="153">
          <cell r="B153" t="str">
            <v>Majoração da COFINS</v>
          </cell>
        </row>
        <row r="154">
          <cell r="B154" t="str">
            <v>Fluxo de Caixa do Fator</v>
          </cell>
          <cell r="H154">
            <v>-79.242033333333893</v>
          </cell>
          <cell r="I154">
            <v>-603.75040000000001</v>
          </cell>
          <cell r="J154">
            <v>-916.94190000000003</v>
          </cell>
          <cell r="K154">
            <v>-1323.0825</v>
          </cell>
          <cell r="L154">
            <v>-389.28786666666667</v>
          </cell>
          <cell r="M154">
            <v>-150.604833333333</v>
          </cell>
          <cell r="N154">
            <v>-1490.9107999999999</v>
          </cell>
          <cell r="O154">
            <v>-1542.5477000000001</v>
          </cell>
          <cell r="P154">
            <v>-1573.8032000000001</v>
          </cell>
          <cell r="Q154">
            <v>-1605.6952000000001</v>
          </cell>
          <cell r="R154">
            <v>-1633.2992000000002</v>
          </cell>
          <cell r="S154">
            <v>-1661.3319999999999</v>
          </cell>
          <cell r="T154">
            <v>-1689.8539000000001</v>
          </cell>
          <cell r="U154">
            <v>-1718.8380999999999</v>
          </cell>
          <cell r="V154">
            <v>-1748.2980000000002</v>
          </cell>
          <cell r="W154">
            <v>-1778.2336</v>
          </cell>
          <cell r="X154">
            <v>-1808.665</v>
          </cell>
          <cell r="Y154">
            <v>-1839.6123</v>
          </cell>
          <cell r="Z154">
            <v>-1871.0554</v>
          </cell>
          <cell r="AA154">
            <v>-1903.0345</v>
          </cell>
        </row>
        <row r="155">
          <cell r="B155" t="str">
            <v>Somatoria com Projeto Original</v>
          </cell>
          <cell r="F155">
            <v>-4562.4934014118271</v>
          </cell>
          <cell r="G155">
            <v>0.19076783767096686</v>
          </cell>
          <cell r="H155">
            <v>-146147.78379333336</v>
          </cell>
          <cell r="I155">
            <v>-163627.94188499998</v>
          </cell>
          <cell r="J155">
            <v>-96798.457504999984</v>
          </cell>
          <cell r="K155">
            <v>37709.005010000001</v>
          </cell>
          <cell r="L155">
            <v>106137.28840333332</v>
          </cell>
          <cell r="M155">
            <v>106494.05947666663</v>
          </cell>
          <cell r="N155">
            <v>107654.51487499998</v>
          </cell>
          <cell r="O155">
            <v>102542.19635</v>
          </cell>
          <cell r="P155">
            <v>98688.244979999989</v>
          </cell>
          <cell r="Q155">
            <v>122269.15788500002</v>
          </cell>
          <cell r="R155">
            <v>99371.871990000014</v>
          </cell>
          <cell r="S155">
            <v>134599.27697500002</v>
          </cell>
          <cell r="T155">
            <v>117550.661245</v>
          </cell>
          <cell r="U155">
            <v>130028.54662000001</v>
          </cell>
          <cell r="V155">
            <v>120179.91719000002</v>
          </cell>
          <cell r="W155">
            <v>144372.55295499999</v>
          </cell>
          <cell r="X155">
            <v>150432.05004999999</v>
          </cell>
          <cell r="Y155">
            <v>145394.05460999999</v>
          </cell>
          <cell r="Z155">
            <v>145159.17049999998</v>
          </cell>
          <cell r="AA155">
            <v>153884.36998999998</v>
          </cell>
        </row>
        <row r="156">
          <cell r="B156">
            <v>0</v>
          </cell>
        </row>
        <row r="157">
          <cell r="B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B158">
            <v>0</v>
          </cell>
          <cell r="F158">
            <v>5.5798919494794395E-8</v>
          </cell>
          <cell r="G158">
            <v>0.19327037557252341</v>
          </cell>
          <cell r="H158">
            <v>-146068.54176000002</v>
          </cell>
          <cell r="I158">
            <v>-163024.19148499999</v>
          </cell>
          <cell r="J158">
            <v>-95881.515604999979</v>
          </cell>
          <cell r="K158">
            <v>39032.087509999998</v>
          </cell>
          <cell r="L158">
            <v>106526.57626999999</v>
          </cell>
          <cell r="M158">
            <v>106644.66430999996</v>
          </cell>
          <cell r="N158">
            <v>109145.42567499998</v>
          </cell>
          <cell r="O158">
            <v>104084.74404999999</v>
          </cell>
          <cell r="P158">
            <v>100262.04817999998</v>
          </cell>
          <cell r="Q158">
            <v>123874.85308500002</v>
          </cell>
          <cell r="R158">
            <v>101005.17119000001</v>
          </cell>
          <cell r="S158">
            <v>136260.60897500001</v>
          </cell>
          <cell r="T158">
            <v>119240.515145</v>
          </cell>
          <cell r="U158">
            <v>131747.38472</v>
          </cell>
          <cell r="V158">
            <v>121928.21519000002</v>
          </cell>
          <cell r="W158">
            <v>146150.786555</v>
          </cell>
          <cell r="X158">
            <v>152240.71505</v>
          </cell>
          <cell r="Y158">
            <v>147233.66691</v>
          </cell>
          <cell r="Z158">
            <v>147030.22589999999</v>
          </cell>
          <cell r="AA158">
            <v>155787.40448999999</v>
          </cell>
        </row>
        <row r="159">
          <cell r="B159" t="str">
            <v>DIFERENÇA PELO NÃO INÍCIO DA OPERAÇÃO DAS MARGINAIS - SP 280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-33247.643830000001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B161" t="str">
            <v>Somatoria com Projeto Original</v>
          </cell>
          <cell r="F161">
            <v>-19567.903452309554</v>
          </cell>
          <cell r="G161">
            <v>0.18293804140810907</v>
          </cell>
          <cell r="H161">
            <v>-146068.54176000002</v>
          </cell>
          <cell r="I161">
            <v>-163024.19148499999</v>
          </cell>
          <cell r="J161">
            <v>-129129.15943499998</v>
          </cell>
          <cell r="K161">
            <v>39032.087509999998</v>
          </cell>
          <cell r="L161">
            <v>106526.57626999999</v>
          </cell>
          <cell r="M161">
            <v>106644.66430999996</v>
          </cell>
          <cell r="N161">
            <v>109145.42567499998</v>
          </cell>
          <cell r="O161">
            <v>104084.74404999999</v>
          </cell>
          <cell r="P161">
            <v>100262.04817999998</v>
          </cell>
          <cell r="Q161">
            <v>123874.85308500002</v>
          </cell>
          <cell r="R161">
            <v>101005.17119000001</v>
          </cell>
          <cell r="S161">
            <v>136260.60897500001</v>
          </cell>
          <cell r="T161">
            <v>119240.515145</v>
          </cell>
          <cell r="U161">
            <v>131747.38472</v>
          </cell>
          <cell r="V161">
            <v>121928.21519000002</v>
          </cell>
          <cell r="W161">
            <v>146150.786555</v>
          </cell>
          <cell r="X161">
            <v>152240.71505</v>
          </cell>
          <cell r="Y161">
            <v>147233.66691</v>
          </cell>
          <cell r="Z161">
            <v>147030.22589999999</v>
          </cell>
          <cell r="AA161">
            <v>155787.40448999999</v>
          </cell>
        </row>
        <row r="162">
          <cell r="B162" t="str">
            <v>4ª Adequação - Investimentos</v>
          </cell>
        </row>
        <row r="163">
          <cell r="B163" t="str">
            <v>Fluxo de Caixa do Fator</v>
          </cell>
          <cell r="H163">
            <v>-511.10808647978018</v>
          </cell>
          <cell r="I163">
            <v>-167.77705492051876</v>
          </cell>
          <cell r="J163">
            <v>618.97384530058571</v>
          </cell>
          <cell r="K163">
            <v>2161.2874772078139</v>
          </cell>
          <cell r="L163">
            <v>27667.025176100331</v>
          </cell>
          <cell r="M163">
            <v>31712.880688786256</v>
          </cell>
          <cell r="N163">
            <v>19111.911574356753</v>
          </cell>
          <cell r="O163">
            <v>8427.3983512601189</v>
          </cell>
          <cell r="P163">
            <v>-10824.669053098758</v>
          </cell>
          <cell r="Q163">
            <v>2109.6555196277504</v>
          </cell>
          <cell r="R163">
            <v>17978.916899197615</v>
          </cell>
          <cell r="S163">
            <v>1263.9623038715072</v>
          </cell>
          <cell r="T163">
            <v>-4660.3257340271903</v>
          </cell>
          <cell r="U163">
            <v>-9566.8373873293458</v>
          </cell>
          <cell r="V163">
            <v>-23204.735786401103</v>
          </cell>
          <cell r="W163">
            <v>-33197.511816020931</v>
          </cell>
          <cell r="X163">
            <v>-9470.5231093187831</v>
          </cell>
          <cell r="Y163">
            <v>9107.4668117632591</v>
          </cell>
          <cell r="Z163">
            <v>-901.71930928458914</v>
          </cell>
          <cell r="AA163">
            <v>-6549.9477161736322</v>
          </cell>
        </row>
        <row r="164">
          <cell r="B164" t="str">
            <v>Somatoria com Projeto Original</v>
          </cell>
          <cell r="F164">
            <v>26590.71447300016</v>
          </cell>
          <cell r="G164">
            <v>0.20829608837028563</v>
          </cell>
          <cell r="H164">
            <v>-146579.64984647979</v>
          </cell>
          <cell r="I164">
            <v>-163191.96853992052</v>
          </cell>
          <cell r="J164">
            <v>-95262.541759699394</v>
          </cell>
          <cell r="K164">
            <v>41193.374987207812</v>
          </cell>
          <cell r="L164">
            <v>134193.60144610034</v>
          </cell>
          <cell r="M164">
            <v>138357.54499878621</v>
          </cell>
          <cell r="N164">
            <v>128257.33724935673</v>
          </cell>
          <cell r="O164">
            <v>112512.14240126012</v>
          </cell>
          <cell r="P164">
            <v>89437.379126901229</v>
          </cell>
          <cell r="Q164">
            <v>125984.50860462777</v>
          </cell>
          <cell r="R164">
            <v>118984.08808919763</v>
          </cell>
          <cell r="S164">
            <v>137524.5712788715</v>
          </cell>
          <cell r="T164">
            <v>114580.1894109728</v>
          </cell>
          <cell r="U164">
            <v>122180.54733267066</v>
          </cell>
          <cell r="V164">
            <v>98723.479403598918</v>
          </cell>
          <cell r="W164">
            <v>112953.27473897906</v>
          </cell>
          <cell r="X164">
            <v>142770.19194068122</v>
          </cell>
          <cell r="Y164">
            <v>156341.13372176327</v>
          </cell>
          <cell r="Z164">
            <v>146128.50659071541</v>
          </cell>
          <cell r="AA164">
            <v>149237.45677382636</v>
          </cell>
        </row>
        <row r="165">
          <cell r="B165" t="str">
            <v>REGIME TARIFÁRIO ESPECIAL DAS MARGINAIS DA SP-280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-8178.6143751711525</v>
          </cell>
          <cell r="O166">
            <v>-8798.3715978230102</v>
          </cell>
          <cell r="P166">
            <v>-9383.6817083732221</v>
          </cell>
          <cell r="Q166">
            <v>-9929.9919448196088</v>
          </cell>
          <cell r="R166">
            <v>-10432.449537227483</v>
          </cell>
          <cell r="S166">
            <v>-10745.423023344309</v>
          </cell>
          <cell r="T166">
            <v>-11067.785714044638</v>
          </cell>
          <cell r="U166">
            <v>-11399.819285465977</v>
          </cell>
          <cell r="V166">
            <v>-11741.813864029955</v>
          </cell>
          <cell r="W166">
            <v>-12094.068279950852</v>
          </cell>
          <cell r="X166">
            <v>-12456.890328349382</v>
          </cell>
          <cell r="Y166">
            <v>-12830.597038199863</v>
          </cell>
          <cell r="Z166">
            <v>-13215.514949345858</v>
          </cell>
          <cell r="AA166">
            <v>-13611.980397826233</v>
          </cell>
        </row>
        <row r="167">
          <cell r="B167" t="str">
            <v>Somatoria com Projeto Original</v>
          </cell>
          <cell r="F167">
            <v>-16534.230355471744</v>
          </cell>
          <cell r="G167">
            <v>0.18390646773845529</v>
          </cell>
          <cell r="H167">
            <v>-146068.54176000002</v>
          </cell>
          <cell r="I167">
            <v>-163024.19148499999</v>
          </cell>
          <cell r="J167">
            <v>-95881.515604999979</v>
          </cell>
          <cell r="K167">
            <v>39032.087509999998</v>
          </cell>
          <cell r="L167">
            <v>106526.57626999999</v>
          </cell>
          <cell r="M167">
            <v>106644.66430999996</v>
          </cell>
          <cell r="N167">
            <v>100966.81129982883</v>
          </cell>
          <cell r="O167">
            <v>95286.372452176991</v>
          </cell>
          <cell r="P167">
            <v>90878.366471626767</v>
          </cell>
          <cell r="Q167">
            <v>113944.86114018041</v>
          </cell>
          <cell r="R167">
            <v>90572.721652772525</v>
          </cell>
          <cell r="S167">
            <v>125515.1859516557</v>
          </cell>
          <cell r="T167">
            <v>108172.72943095535</v>
          </cell>
          <cell r="U167">
            <v>120347.56543453403</v>
          </cell>
          <cell r="V167">
            <v>110186.40132597006</v>
          </cell>
          <cell r="W167">
            <v>134056.71827504915</v>
          </cell>
          <cell r="X167">
            <v>139783.82472165063</v>
          </cell>
          <cell r="Y167">
            <v>134403.06987180014</v>
          </cell>
          <cell r="Z167">
            <v>133814.71095065415</v>
          </cell>
          <cell r="AA167">
            <v>142175.42409217375</v>
          </cell>
        </row>
        <row r="168">
          <cell r="B168" t="str">
            <v>DIFERENÇA DE RECEITA DA SP-075 X SP-270 - 2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-769.67909080799984</v>
          </cell>
          <cell r="M169">
            <v>-911.13464840099959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-633.74691018944065</v>
          </cell>
          <cell r="G170">
            <v>0.19292347618797812</v>
          </cell>
          <cell r="H170">
            <v>-146068.54176000002</v>
          </cell>
          <cell r="I170">
            <v>-163024.19148499999</v>
          </cell>
          <cell r="J170">
            <v>-95881.515604999979</v>
          </cell>
          <cell r="K170">
            <v>39032.087509999998</v>
          </cell>
          <cell r="L170">
            <v>105756.89717919199</v>
          </cell>
          <cell r="M170">
            <v>105733.52966159896</v>
          </cell>
          <cell r="N170">
            <v>109145.42567499998</v>
          </cell>
          <cell r="O170">
            <v>104084.74404999999</v>
          </cell>
          <cell r="P170">
            <v>100262.04817999998</v>
          </cell>
          <cell r="Q170">
            <v>123874.85308500002</v>
          </cell>
          <cell r="R170">
            <v>101005.17119000001</v>
          </cell>
          <cell r="S170">
            <v>136260.60897500001</v>
          </cell>
          <cell r="T170">
            <v>119240.515145</v>
          </cell>
          <cell r="U170">
            <v>131747.38472</v>
          </cell>
          <cell r="V170">
            <v>121928.21519000002</v>
          </cell>
          <cell r="W170">
            <v>146150.786555</v>
          </cell>
          <cell r="X170">
            <v>152240.71505</v>
          </cell>
          <cell r="Y170">
            <v>147233.66691</v>
          </cell>
          <cell r="Z170">
            <v>147030.22589999999</v>
          </cell>
          <cell r="AA170">
            <v>155787.40448999999</v>
          </cell>
        </row>
        <row r="171">
          <cell r="B171" t="str">
            <v>DIFERENÇA DE RECEITA PELA POSTERGAÇÃO DA DUPLICAÇÃO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-304.63454957400012</v>
          </cell>
          <cell r="M172">
            <v>-624.8313331979997</v>
          </cell>
          <cell r="N172">
            <v>-1738.5499235070001</v>
          </cell>
          <cell r="O172">
            <v>-3698.5593759149997</v>
          </cell>
          <cell r="P172">
            <v>-3802.0952919750002</v>
          </cell>
          <cell r="Q172">
            <v>-3908.560388673</v>
          </cell>
          <cell r="R172">
            <v>-3978.9340067759999</v>
          </cell>
          <cell r="S172">
            <v>-4050.607299321</v>
          </cell>
          <cell r="T172">
            <v>-4123.5963672119997</v>
          </cell>
          <cell r="U172">
            <v>-4197.9228756359998</v>
          </cell>
          <cell r="V172">
            <v>-4273.6293262440004</v>
          </cell>
          <cell r="W172">
            <v>-4350.6999732989998</v>
          </cell>
          <cell r="X172">
            <v>-2583.7020314122501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 t="str">
            <v>Somatoria com Projeto Original</v>
          </cell>
          <cell r="F173">
            <v>-5701.1889491448674</v>
          </cell>
          <cell r="G173">
            <v>0.19012072224241236</v>
          </cell>
          <cell r="H173">
            <v>-146068.54176000002</v>
          </cell>
          <cell r="I173">
            <v>-163024.19148499999</v>
          </cell>
          <cell r="J173">
            <v>-95881.515604999979</v>
          </cell>
          <cell r="K173">
            <v>39032.087509999998</v>
          </cell>
          <cell r="L173">
            <v>106221.941720426</v>
          </cell>
          <cell r="M173">
            <v>106019.83297680196</v>
          </cell>
          <cell r="N173">
            <v>107406.87575149297</v>
          </cell>
          <cell r="O173">
            <v>100386.184674085</v>
          </cell>
          <cell r="P173">
            <v>96459.952888024985</v>
          </cell>
          <cell r="Q173">
            <v>119966.29269632703</v>
          </cell>
          <cell r="R173">
            <v>97026.237183224002</v>
          </cell>
          <cell r="S173">
            <v>132210.001675679</v>
          </cell>
          <cell r="T173">
            <v>115116.918777788</v>
          </cell>
          <cell r="U173">
            <v>127549.46184436401</v>
          </cell>
          <cell r="V173">
            <v>117654.58586375602</v>
          </cell>
          <cell r="W173">
            <v>141800.08658170101</v>
          </cell>
          <cell r="X173">
            <v>149657.01301858775</v>
          </cell>
          <cell r="Y173">
            <v>147233.66691</v>
          </cell>
          <cell r="Z173">
            <v>147030.22589999999</v>
          </cell>
          <cell r="AA173">
            <v>155787.40448999999</v>
          </cell>
        </row>
        <row r="174">
          <cell r="B174" t="str">
            <v>DIFERENÇA DE IGPM 2003 - RECEITA REAL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-1986.205331559705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-688.00404272528317</v>
          </cell>
          <cell r="G176">
            <v>0.19289373267658125</v>
          </cell>
          <cell r="H176">
            <v>-146068.54176000002</v>
          </cell>
          <cell r="I176">
            <v>-163024.19148499999</v>
          </cell>
          <cell r="J176">
            <v>-95881.515604999979</v>
          </cell>
          <cell r="K176">
            <v>39032.087509999998</v>
          </cell>
          <cell r="L176">
            <v>106526.57626999999</v>
          </cell>
          <cell r="M176">
            <v>104658.45897844026</v>
          </cell>
          <cell r="N176">
            <v>109145.42567499998</v>
          </cell>
          <cell r="O176">
            <v>104084.74404999999</v>
          </cell>
          <cell r="P176">
            <v>100262.04817999998</v>
          </cell>
          <cell r="Q176">
            <v>123874.85308500002</v>
          </cell>
          <cell r="R176">
            <v>101005.17119000001</v>
          </cell>
          <cell r="S176">
            <v>136260.60897500001</v>
          </cell>
          <cell r="T176">
            <v>119240.515145</v>
          </cell>
          <cell r="U176">
            <v>131747.38472</v>
          </cell>
          <cell r="V176">
            <v>121928.21519000002</v>
          </cell>
          <cell r="W176">
            <v>146150.786555</v>
          </cell>
          <cell r="X176">
            <v>152240.71505</v>
          </cell>
          <cell r="Y176">
            <v>147233.66691</v>
          </cell>
          <cell r="Z176">
            <v>147030.22589999999</v>
          </cell>
          <cell r="AA176">
            <v>155787.40448999999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5.5798919494794395E-8</v>
          </cell>
          <cell r="G179">
            <v>0.19327037557252341</v>
          </cell>
          <cell r="H179">
            <v>-146068.54176000002</v>
          </cell>
          <cell r="I179">
            <v>-163024.19148499999</v>
          </cell>
          <cell r="J179">
            <v>-95881.515604999979</v>
          </cell>
          <cell r="K179">
            <v>39032.087509999998</v>
          </cell>
          <cell r="L179">
            <v>106526.57626999999</v>
          </cell>
          <cell r="M179">
            <v>106644.66430999996</v>
          </cell>
          <cell r="N179">
            <v>109145.42567499998</v>
          </cell>
          <cell r="O179">
            <v>104084.74404999999</v>
          </cell>
          <cell r="P179">
            <v>100262.04817999998</v>
          </cell>
          <cell r="Q179">
            <v>123874.85308500002</v>
          </cell>
          <cell r="R179">
            <v>101005.17119000001</v>
          </cell>
          <cell r="S179">
            <v>136260.60897500001</v>
          </cell>
          <cell r="T179">
            <v>119240.515145</v>
          </cell>
          <cell r="U179">
            <v>131747.38472</v>
          </cell>
          <cell r="V179">
            <v>121928.21519000002</v>
          </cell>
          <cell r="W179">
            <v>146150.786555</v>
          </cell>
          <cell r="X179">
            <v>152240.71505</v>
          </cell>
          <cell r="Y179">
            <v>147233.66691</v>
          </cell>
          <cell r="Z179">
            <v>147030.22589999999</v>
          </cell>
          <cell r="AA179">
            <v>155787.40448999999</v>
          </cell>
        </row>
        <row r="180">
          <cell r="B180" t="str">
            <v>5ª Adequação - Investimentos</v>
          </cell>
        </row>
        <row r="181">
          <cell r="B181" t="str">
            <v>Fluxo de Caixa do Fator</v>
          </cell>
          <cell r="H181">
            <v>-4.7545707411700278E-3</v>
          </cell>
          <cell r="I181">
            <v>-4.3047690141975181E-2</v>
          </cell>
          <cell r="J181">
            <v>1.2799929911125218E-2</v>
          </cell>
          <cell r="K181">
            <v>-8.8630168811505428E-3</v>
          </cell>
          <cell r="L181">
            <v>-1.6817437248732858E-2</v>
          </cell>
          <cell r="M181">
            <v>49.132733959264968</v>
          </cell>
          <cell r="N181">
            <v>427.42931750932394</v>
          </cell>
          <cell r="O181">
            <v>-1020.9408521737435</v>
          </cell>
          <cell r="P181">
            <v>-24841.842011920169</v>
          </cell>
          <cell r="Q181">
            <v>281.02712509579931</v>
          </cell>
          <cell r="R181">
            <v>12737.234363257021</v>
          </cell>
          <cell r="S181">
            <v>1096.4040134913676</v>
          </cell>
          <cell r="T181">
            <v>4660.7451778745108</v>
          </cell>
          <cell r="U181">
            <v>-324.98927756876861</v>
          </cell>
          <cell r="V181">
            <v>3724.3490021469506</v>
          </cell>
          <cell r="W181">
            <v>12213.988464310578</v>
          </cell>
          <cell r="X181">
            <v>218.38289198839925</v>
          </cell>
          <cell r="Y181">
            <v>-1972.5952578898077</v>
          </cell>
          <cell r="Z181">
            <v>-9043.6600218135482</v>
          </cell>
          <cell r="AA181">
            <v>-1678.9002256918711</v>
          </cell>
        </row>
        <row r="182">
          <cell r="B182" t="str">
            <v>Somatoria com Projeto Original</v>
          </cell>
          <cell r="F182">
            <v>-2176.5888463964843</v>
          </cell>
          <cell r="G182">
            <v>0.19208059764202703</v>
          </cell>
          <cell r="H182">
            <v>-146068.54651457077</v>
          </cell>
          <cell r="I182">
            <v>-163024.23453269014</v>
          </cell>
          <cell r="J182">
            <v>-95881.502805070064</v>
          </cell>
          <cell r="K182">
            <v>39032.078646983115</v>
          </cell>
          <cell r="L182">
            <v>106526.55945256274</v>
          </cell>
          <cell r="M182">
            <v>106693.79704395923</v>
          </cell>
          <cell r="N182">
            <v>109572.8549925093</v>
          </cell>
          <cell r="O182">
            <v>103063.80319782624</v>
          </cell>
          <cell r="P182">
            <v>75420.206168079807</v>
          </cell>
          <cell r="Q182">
            <v>124155.88021009583</v>
          </cell>
          <cell r="R182">
            <v>113742.40555325703</v>
          </cell>
          <cell r="S182">
            <v>137357.01298849139</v>
          </cell>
          <cell r="T182">
            <v>123901.26032287451</v>
          </cell>
          <cell r="U182">
            <v>131422.39544243124</v>
          </cell>
          <cell r="V182">
            <v>125652.56419214697</v>
          </cell>
          <cell r="W182">
            <v>158364.77501931059</v>
          </cell>
          <cell r="X182">
            <v>152459.09794198841</v>
          </cell>
          <cell r="Y182">
            <v>145261.0716521102</v>
          </cell>
          <cell r="Z182">
            <v>137986.56587818643</v>
          </cell>
          <cell r="AA182">
            <v>154108.50426430811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72880.728656972409</v>
          </cell>
          <cell r="I184">
            <v>43182.938420708902</v>
          </cell>
          <cell r="J184">
            <v>-26867.98145911465</v>
          </cell>
          <cell r="K184">
            <v>-54253.799452250947</v>
          </cell>
          <cell r="L184">
            <v>-27590.204907618056</v>
          </cell>
          <cell r="M184">
            <v>-23824.962238788314</v>
          </cell>
          <cell r="N184">
            <v>-23668.337725492824</v>
          </cell>
          <cell r="O184">
            <v>-20585.649678384096</v>
          </cell>
          <cell r="P184">
            <v>-43166.356379822537</v>
          </cell>
          <cell r="Q184">
            <v>-31071.171246849914</v>
          </cell>
          <cell r="R184">
            <v>8874.2479573345008</v>
          </cell>
          <cell r="S184">
            <v>-20685.449558033983</v>
          </cell>
          <cell r="T184">
            <v>-21037.716278085281</v>
          </cell>
          <cell r="U184">
            <v>-19007.183132768459</v>
          </cell>
          <cell r="V184">
            <v>-20547.224159948881</v>
          </cell>
          <cell r="W184">
            <v>-47518.715111280973</v>
          </cell>
          <cell r="X184">
            <v>-29488.701121455644</v>
          </cell>
          <cell r="Y184">
            <v>-17280.376560492896</v>
          </cell>
          <cell r="Z184">
            <v>-26827.066549714225</v>
          </cell>
          <cell r="AA184">
            <v>-18750.694073655719</v>
          </cell>
        </row>
        <row r="185">
          <cell r="B185" t="str">
            <v>Somatoria com Projeto Original</v>
          </cell>
          <cell r="F185">
            <v>-9666.8082702298179</v>
          </cell>
          <cell r="G185">
            <v>0.18645436637078908</v>
          </cell>
          <cell r="H185">
            <v>-73187.813103027613</v>
          </cell>
          <cell r="I185">
            <v>-119841.25306429109</v>
          </cell>
          <cell r="J185">
            <v>-122749.49706411464</v>
          </cell>
          <cell r="K185">
            <v>-15221.71194225095</v>
          </cell>
          <cell r="L185">
            <v>78936.371362381935</v>
          </cell>
          <cell r="M185">
            <v>82819.70207121165</v>
          </cell>
          <cell r="N185">
            <v>85477.087949507157</v>
          </cell>
          <cell r="O185">
            <v>83499.094371615894</v>
          </cell>
          <cell r="P185">
            <v>57095.691800177447</v>
          </cell>
          <cell r="Q185">
            <v>92803.681838150107</v>
          </cell>
          <cell r="R185">
            <v>109879.41914733451</v>
          </cell>
          <cell r="S185">
            <v>115575.15941696602</v>
          </cell>
          <cell r="T185">
            <v>98202.798866914716</v>
          </cell>
          <cell r="U185">
            <v>112740.20158723154</v>
          </cell>
          <cell r="V185">
            <v>101380.99103005114</v>
          </cell>
          <cell r="W185">
            <v>98632.071443719033</v>
          </cell>
          <cell r="X185">
            <v>122752.01392854436</v>
          </cell>
          <cell r="Y185">
            <v>129953.29034950711</v>
          </cell>
          <cell r="Z185">
            <v>120203.15935028577</v>
          </cell>
          <cell r="AA185">
            <v>137036.71041634426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74352</v>
          </cell>
          <cell r="H191">
            <v>99547</v>
          </cell>
          <cell r="I191">
            <v>106637</v>
          </cell>
          <cell r="J191">
            <v>220998</v>
          </cell>
          <cell r="K191">
            <v>229501.11239999998</v>
          </cell>
          <cell r="L191">
            <v>234830.83349270842</v>
          </cell>
          <cell r="M191">
            <v>230516.41174760429</v>
          </cell>
          <cell r="N191">
            <v>233540.70425958713</v>
          </cell>
          <cell r="O191">
            <v>237029.27272684977</v>
          </cell>
          <cell r="P191">
            <v>240676.75116454266</v>
          </cell>
          <cell r="Q191">
            <v>243822.58230852691</v>
          </cell>
          <cell r="R191">
            <v>247362.97268178276</v>
          </cell>
          <cell r="S191">
            <v>250958.19439623621</v>
          </cell>
          <cell r="T191">
            <v>254603.73247612332</v>
          </cell>
          <cell r="U191">
            <v>258301.02239440699</v>
          </cell>
          <cell r="V191">
            <v>262049.58324223923</v>
          </cell>
          <cell r="W191">
            <v>268969.46703550639</v>
          </cell>
          <cell r="X191">
            <v>277327.56110807159</v>
          </cell>
          <cell r="Y191">
            <v>281375.84794131375</v>
          </cell>
          <cell r="Z191">
            <v>285484.52337955317</v>
          </cell>
          <cell r="AA191">
            <v>4537884.5727550527</v>
          </cell>
        </row>
        <row r="192">
          <cell r="B192" t="str">
            <v>1.1 - Operacionais    (1.1.1 + 1.1.2)</v>
          </cell>
          <cell r="G192">
            <v>74352</v>
          </cell>
          <cell r="H192">
            <v>99547</v>
          </cell>
          <cell r="I192">
            <v>106637</v>
          </cell>
          <cell r="J192">
            <v>220998</v>
          </cell>
          <cell r="K192">
            <v>229501.11239999998</v>
          </cell>
          <cell r="L192">
            <v>234830.83349270842</v>
          </cell>
          <cell r="M192">
            <v>230516.41174760429</v>
          </cell>
          <cell r="N192">
            <v>233540.70425958713</v>
          </cell>
          <cell r="O192">
            <v>237029.27272684977</v>
          </cell>
          <cell r="P192">
            <v>240676.75116454266</v>
          </cell>
          <cell r="Q192">
            <v>243822.58230852691</v>
          </cell>
          <cell r="R192">
            <v>247362.97268178276</v>
          </cell>
          <cell r="S192">
            <v>250958.19439623621</v>
          </cell>
          <cell r="T192">
            <v>254603.73247612332</v>
          </cell>
          <cell r="U192">
            <v>258301.02239440699</v>
          </cell>
          <cell r="V192">
            <v>262049.58324223923</v>
          </cell>
          <cell r="W192">
            <v>268969.46703550639</v>
          </cell>
          <cell r="X192">
            <v>277327.56110807159</v>
          </cell>
          <cell r="Y192">
            <v>281375.84794131375</v>
          </cell>
          <cell r="Z192">
            <v>285484.52337955317</v>
          </cell>
          <cell r="AA192">
            <v>4537884.5727550527</v>
          </cell>
        </row>
        <row r="193">
          <cell r="B193" t="str">
            <v>1.1.1 - Receitas de  Pedágios    (Transp. Qd.2.1.1.2)</v>
          </cell>
          <cell r="G193">
            <v>73430</v>
          </cell>
          <cell r="H193">
            <v>96402</v>
          </cell>
          <cell r="I193">
            <v>98799</v>
          </cell>
          <cell r="J193">
            <v>213157</v>
          </cell>
          <cell r="K193">
            <v>221357.11239999998</v>
          </cell>
          <cell r="L193">
            <v>226683.83349270842</v>
          </cell>
          <cell r="M193">
            <v>222366.41174760429</v>
          </cell>
          <cell r="N193">
            <v>225387.70425958713</v>
          </cell>
          <cell r="O193">
            <v>228873.27272684977</v>
          </cell>
          <cell r="P193">
            <v>232517.75116454266</v>
          </cell>
          <cell r="Q193">
            <v>235660.58230852691</v>
          </cell>
          <cell r="R193">
            <v>239197.97268178276</v>
          </cell>
          <cell r="S193">
            <v>242790.19439623621</v>
          </cell>
          <cell r="T193">
            <v>246432.73247612332</v>
          </cell>
          <cell r="U193">
            <v>250127.02239440699</v>
          </cell>
          <cell r="V193">
            <v>253872.58324223923</v>
          </cell>
          <cell r="W193">
            <v>260789.46703550639</v>
          </cell>
          <cell r="X193">
            <v>269144.56110807159</v>
          </cell>
          <cell r="Y193">
            <v>273189.84794131375</v>
          </cell>
          <cell r="Z193">
            <v>277295.52337955317</v>
          </cell>
          <cell r="AA193">
            <v>4387474.5727550527</v>
          </cell>
        </row>
        <row r="194">
          <cell r="B194" t="str">
            <v>1.1.2 - Outras Receitas Operacionais    (calculado 2.1.2.)</v>
          </cell>
          <cell r="G194">
            <v>922</v>
          </cell>
          <cell r="H194">
            <v>3145</v>
          </cell>
          <cell r="I194">
            <v>7838</v>
          </cell>
          <cell r="J194">
            <v>7841</v>
          </cell>
          <cell r="K194">
            <v>8144</v>
          </cell>
          <cell r="L194">
            <v>8147.0000000000009</v>
          </cell>
          <cell r="M194">
            <v>8150</v>
          </cell>
          <cell r="N194">
            <v>8153</v>
          </cell>
          <cell r="O194">
            <v>8156</v>
          </cell>
          <cell r="P194">
            <v>8159</v>
          </cell>
          <cell r="Q194">
            <v>8162</v>
          </cell>
          <cell r="R194">
            <v>8165</v>
          </cell>
          <cell r="S194">
            <v>8168</v>
          </cell>
          <cell r="T194">
            <v>8170.9999999999991</v>
          </cell>
          <cell r="U194">
            <v>8174</v>
          </cell>
          <cell r="V194">
            <v>8177</v>
          </cell>
          <cell r="W194">
            <v>8180</v>
          </cell>
          <cell r="X194">
            <v>8183</v>
          </cell>
          <cell r="Y194">
            <v>8186.0000000000009</v>
          </cell>
          <cell r="Z194">
            <v>8189</v>
          </cell>
          <cell r="AA194">
            <v>150410</v>
          </cell>
        </row>
        <row r="195">
          <cell r="B195" t="str">
            <v>2 -  DEDUÇÕES DA RECEITA    (2.1)</v>
          </cell>
          <cell r="G195">
            <v>3457.3679999999999</v>
          </cell>
          <cell r="H195">
            <v>4628.9354999999996</v>
          </cell>
          <cell r="I195">
            <v>4958.6204999999991</v>
          </cell>
          <cell r="J195">
            <v>10276.406999999999</v>
          </cell>
          <cell r="K195">
            <v>10671.801726600001</v>
          </cell>
          <cell r="L195">
            <v>11063.396787475691</v>
          </cell>
          <cell r="M195">
            <v>19190.083929921766</v>
          </cell>
          <cell r="N195">
            <v>19875.150918454288</v>
          </cell>
          <cell r="O195">
            <v>20176.792090872506</v>
          </cell>
          <cell r="P195">
            <v>20492.178975732942</v>
          </cell>
          <cell r="Q195">
            <v>20764.173369687582</v>
          </cell>
          <cell r="R195">
            <v>21070.297136974208</v>
          </cell>
          <cell r="S195">
            <v>21381.163815274434</v>
          </cell>
          <cell r="T195">
            <v>21696.382859184665</v>
          </cell>
          <cell r="U195">
            <v>22016.078437116201</v>
          </cell>
          <cell r="V195">
            <v>22340.208950453693</v>
          </cell>
          <cell r="W195">
            <v>22938.658898571306</v>
          </cell>
          <cell r="X195">
            <v>23661.514035848195</v>
          </cell>
          <cell r="Y195">
            <v>24011.570846923642</v>
          </cell>
          <cell r="Z195">
            <v>24366.851272331354</v>
          </cell>
          <cell r="AA195">
            <v>349037.6350514224</v>
          </cell>
        </row>
        <row r="196">
          <cell r="B196" t="str">
            <v>2.1 - Tributos sobre Faturamento    (2.1.1+ .... + 2.1.4)</v>
          </cell>
          <cell r="G196">
            <v>3457.3679999999999</v>
          </cell>
          <cell r="H196">
            <v>4628.9354999999996</v>
          </cell>
          <cell r="I196">
            <v>4958.6204999999991</v>
          </cell>
          <cell r="J196">
            <v>10276.406999999999</v>
          </cell>
          <cell r="K196">
            <v>10671.801726600001</v>
          </cell>
          <cell r="L196">
            <v>11063.396787475691</v>
          </cell>
          <cell r="M196">
            <v>19190.083929921766</v>
          </cell>
          <cell r="N196">
            <v>19875.150918454288</v>
          </cell>
          <cell r="O196">
            <v>20176.792090872506</v>
          </cell>
          <cell r="P196">
            <v>20492.178975732942</v>
          </cell>
          <cell r="Q196">
            <v>20764.173369687582</v>
          </cell>
          <cell r="R196">
            <v>21070.297136974208</v>
          </cell>
          <cell r="S196">
            <v>21381.163815274434</v>
          </cell>
          <cell r="T196">
            <v>21696.382859184665</v>
          </cell>
          <cell r="U196">
            <v>22016.078437116201</v>
          </cell>
          <cell r="V196">
            <v>22340.208950453693</v>
          </cell>
          <cell r="W196">
            <v>22938.658898571306</v>
          </cell>
          <cell r="X196">
            <v>23661.514035848195</v>
          </cell>
          <cell r="Y196">
            <v>24011.570846923642</v>
          </cell>
          <cell r="Z196">
            <v>24366.851272331354</v>
          </cell>
          <cell r="AA196">
            <v>349037.6350514224</v>
          </cell>
        </row>
        <row r="197">
          <cell r="B197" t="str">
            <v>2.1.1 - I.S.S    (transp. Qd  1.3.)</v>
          </cell>
          <cell r="G197">
            <v>1487.04</v>
          </cell>
          <cell r="H197">
            <v>1990.94</v>
          </cell>
          <cell r="I197">
            <v>2132.7399999999998</v>
          </cell>
          <cell r="J197">
            <v>4419.96</v>
          </cell>
          <cell r="K197">
            <v>4590.0222480000002</v>
          </cell>
          <cell r="L197">
            <v>4804.4389424027304</v>
          </cell>
          <cell r="M197">
            <v>11003.362572695711</v>
          </cell>
          <cell r="N197">
            <v>11432.445212979357</v>
          </cell>
          <cell r="O197">
            <v>11606.78363634249</v>
          </cell>
          <cell r="P197">
            <v>11789.067558227134</v>
          </cell>
          <cell r="Q197">
            <v>11946.269115426347</v>
          </cell>
          <cell r="R197">
            <v>12123.198634089138</v>
          </cell>
          <cell r="S197">
            <v>12302.869719811812</v>
          </cell>
          <cell r="T197">
            <v>12485.056623806166</v>
          </cell>
          <cell r="U197">
            <v>12669.831119720349</v>
          </cell>
          <cell r="V197">
            <v>12857.169162111961</v>
          </cell>
          <cell r="W197">
            <v>13203.073351775321</v>
          </cell>
          <cell r="X197">
            <v>13620.888055403582</v>
          </cell>
          <cell r="Y197">
            <v>13823.212397065688</v>
          </cell>
          <cell r="Z197">
            <v>14028.55616897766</v>
          </cell>
          <cell r="AA197">
            <v>194316.92451883544</v>
          </cell>
        </row>
        <row r="198">
          <cell r="B198" t="str">
            <v>2.1.2 - Cofins    (transp. Qd 1.3.)</v>
          </cell>
          <cell r="G198">
            <v>1487.04</v>
          </cell>
          <cell r="H198">
            <v>1990.94</v>
          </cell>
          <cell r="I198">
            <v>2132.7399999999998</v>
          </cell>
          <cell r="J198">
            <v>4419.96</v>
          </cell>
          <cell r="K198">
            <v>4590.0222480000002</v>
          </cell>
          <cell r="L198">
            <v>4732.557427370356</v>
          </cell>
          <cell r="M198">
            <v>6741.3396808666266</v>
          </cell>
          <cell r="N198">
            <v>6924.6911277876143</v>
          </cell>
          <cell r="O198">
            <v>7029.3181818054927</v>
          </cell>
          <cell r="P198">
            <v>7138.7125349362805</v>
          </cell>
          <cell r="Q198">
            <v>7233.0574692558084</v>
          </cell>
          <cell r="R198">
            <v>7339.2391804534827</v>
          </cell>
          <cell r="S198">
            <v>7447.0658318870856</v>
          </cell>
          <cell r="T198">
            <v>7556.401974283699</v>
          </cell>
          <cell r="U198">
            <v>7667.2906718322083</v>
          </cell>
          <cell r="V198">
            <v>7779.7174972671764</v>
          </cell>
          <cell r="W198">
            <v>7987.2840110651914</v>
          </cell>
          <cell r="X198">
            <v>8237.9968332421486</v>
          </cell>
          <cell r="Y198">
            <v>8359.4154382394117</v>
          </cell>
          <cell r="Z198">
            <v>8482.6457013865966</v>
          </cell>
          <cell r="AA198">
            <v>125277.43580967917</v>
          </cell>
        </row>
        <row r="199">
          <cell r="B199" t="str">
            <v>2.1.3 - Pis / Pasep    (transp. Qd 1.3.)</v>
          </cell>
          <cell r="G199">
            <v>483.28799999999995</v>
          </cell>
          <cell r="H199">
            <v>647.05549999999994</v>
          </cell>
          <cell r="I199">
            <v>693.14049999999997</v>
          </cell>
          <cell r="J199">
            <v>1436.4869999999999</v>
          </cell>
          <cell r="K199">
            <v>1491.7572306</v>
          </cell>
          <cell r="L199">
            <v>1526.400417702605</v>
          </cell>
          <cell r="M199">
            <v>1445.381676359428</v>
          </cell>
          <cell r="N199">
            <v>1518.0145776873164</v>
          </cell>
          <cell r="O199">
            <v>1540.6902727245233</v>
          </cell>
          <cell r="P199">
            <v>1564.3988825695271</v>
          </cell>
          <cell r="Q199">
            <v>1584.8467850054251</v>
          </cell>
          <cell r="R199">
            <v>1607.8593224315878</v>
          </cell>
          <cell r="S199">
            <v>1631.2282635755355</v>
          </cell>
          <cell r="T199">
            <v>1654.9242610948011</v>
          </cell>
          <cell r="U199">
            <v>1678.9566455636455</v>
          </cell>
          <cell r="V199">
            <v>1703.3222910745549</v>
          </cell>
          <cell r="W199">
            <v>1748.3015357307916</v>
          </cell>
          <cell r="X199">
            <v>1802.629147202465</v>
          </cell>
          <cell r="Y199">
            <v>1828.9430116185392</v>
          </cell>
          <cell r="Z199">
            <v>1855.6494019670954</v>
          </cell>
          <cell r="AA199">
            <v>29443.274722907838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70894.631999999998</v>
          </cell>
          <cell r="H201">
            <v>94918.064500000008</v>
          </cell>
          <cell r="I201">
            <v>101678.3795</v>
          </cell>
          <cell r="J201">
            <v>210721.59299999999</v>
          </cell>
          <cell r="K201">
            <v>218829.31067339997</v>
          </cell>
          <cell r="L201">
            <v>223767.43670523274</v>
          </cell>
          <cell r="M201">
            <v>211326.32781768253</v>
          </cell>
          <cell r="N201">
            <v>213665.55334113285</v>
          </cell>
          <cell r="O201">
            <v>216852.48063597726</v>
          </cell>
          <cell r="P201">
            <v>220184.57218880972</v>
          </cell>
          <cell r="Q201">
            <v>223058.40893883933</v>
          </cell>
          <cell r="R201">
            <v>226292.67554480856</v>
          </cell>
          <cell r="S201">
            <v>229577.03058096179</v>
          </cell>
          <cell r="T201">
            <v>232907.34961693865</v>
          </cell>
          <cell r="U201">
            <v>236284.94395729079</v>
          </cell>
          <cell r="V201">
            <v>239709.37429178553</v>
          </cell>
          <cell r="W201">
            <v>246030.80813693508</v>
          </cell>
          <cell r="X201">
            <v>253666.04707222339</v>
          </cell>
          <cell r="Y201">
            <v>257364.27709439013</v>
          </cell>
          <cell r="Z201">
            <v>261117.67210722182</v>
          </cell>
          <cell r="AA201">
            <v>4188846.9377036304</v>
          </cell>
        </row>
        <row r="202">
          <cell r="B202" t="str">
            <v>4 -  DESPESAS    (4.1)</v>
          </cell>
          <cell r="G202">
            <v>56958.214179615381</v>
          </cell>
          <cell r="H202">
            <v>78419.906818825373</v>
          </cell>
          <cell r="I202">
            <v>89364.985024705675</v>
          </cell>
          <cell r="J202">
            <v>101777.0051740217</v>
          </cell>
          <cell r="K202">
            <v>106500.71432268093</v>
          </cell>
          <cell r="L202">
            <v>108759.88472509553</v>
          </cell>
          <cell r="M202">
            <v>104284.7709688094</v>
          </cell>
          <cell r="N202">
            <v>101727.72783768243</v>
          </cell>
          <cell r="O202">
            <v>105144.03123900748</v>
          </cell>
          <cell r="P202">
            <v>108712.23716354033</v>
          </cell>
          <cell r="Q202">
            <v>119029.31275247855</v>
          </cell>
          <cell r="R202">
            <v>119113.69745930994</v>
          </cell>
          <cell r="S202">
            <v>119047.71608359212</v>
          </cell>
          <cell r="T202">
            <v>120652.59866587407</v>
          </cell>
          <cell r="U202">
            <v>125257.38797551821</v>
          </cell>
          <cell r="V202">
            <v>137025.23193219703</v>
          </cell>
          <cell r="W202">
            <v>147601.54451624458</v>
          </cell>
          <cell r="X202">
            <v>152614.86723866261</v>
          </cell>
          <cell r="Y202">
            <v>162776.11761464371</v>
          </cell>
          <cell r="Z202">
            <v>190844.88185366627</v>
          </cell>
          <cell r="AA202">
            <v>2355612.8335461714</v>
          </cell>
        </row>
        <row r="203">
          <cell r="B203" t="str">
            <v>4.1 - Operacionais    (4.1.1+ .... + 4.1.10)</v>
          </cell>
          <cell r="G203">
            <v>56958.214179615381</v>
          </cell>
          <cell r="H203">
            <v>78419.906818825373</v>
          </cell>
          <cell r="I203">
            <v>89364.985024705675</v>
          </cell>
          <cell r="J203">
            <v>101777.0051740217</v>
          </cell>
          <cell r="K203">
            <v>106500.71432268093</v>
          </cell>
          <cell r="L203">
            <v>108759.88472509553</v>
          </cell>
          <cell r="M203">
            <v>104284.7709688094</v>
          </cell>
          <cell r="N203">
            <v>101727.72783768243</v>
          </cell>
          <cell r="O203">
            <v>105144.03123900748</v>
          </cell>
          <cell r="P203">
            <v>108712.23716354033</v>
          </cell>
          <cell r="Q203">
            <v>119029.31275247855</v>
          </cell>
          <cell r="R203">
            <v>119113.69745930994</v>
          </cell>
          <cell r="S203">
            <v>119047.71608359212</v>
          </cell>
          <cell r="T203">
            <v>120652.59866587407</v>
          </cell>
          <cell r="U203">
            <v>125257.38797551821</v>
          </cell>
          <cell r="V203">
            <v>137025.23193219703</v>
          </cell>
          <cell r="W203">
            <v>147601.54451624458</v>
          </cell>
          <cell r="X203">
            <v>152614.86723866261</v>
          </cell>
          <cell r="Y203">
            <v>162776.11761464371</v>
          </cell>
          <cell r="Z203">
            <v>190844.88185366627</v>
          </cell>
          <cell r="AA203">
            <v>2355612.8335461714</v>
          </cell>
        </row>
        <row r="204">
          <cell r="B204" t="str">
            <v>4.1.1  -  Pessoal e Administradores    (Transp. Qd. 1.3.)</v>
          </cell>
          <cell r="G204">
            <v>20034</v>
          </cell>
          <cell r="H204">
            <v>27971</v>
          </cell>
          <cell r="I204">
            <v>31249</v>
          </cell>
          <cell r="J204">
            <v>34297</v>
          </cell>
          <cell r="K204">
            <v>34048</v>
          </cell>
          <cell r="L204">
            <v>34047</v>
          </cell>
          <cell r="M204">
            <v>34048</v>
          </cell>
          <cell r="N204">
            <v>34047</v>
          </cell>
          <cell r="O204">
            <v>34048</v>
          </cell>
          <cell r="P204">
            <v>34047</v>
          </cell>
          <cell r="Q204">
            <v>34048</v>
          </cell>
          <cell r="R204">
            <v>34047</v>
          </cell>
          <cell r="S204">
            <v>34048</v>
          </cell>
          <cell r="T204">
            <v>34047</v>
          </cell>
          <cell r="U204">
            <v>34048</v>
          </cell>
          <cell r="V204">
            <v>34047</v>
          </cell>
          <cell r="W204">
            <v>34047</v>
          </cell>
          <cell r="X204">
            <v>34047</v>
          </cell>
          <cell r="Y204">
            <v>34047</v>
          </cell>
          <cell r="Z204">
            <v>34047</v>
          </cell>
          <cell r="AA204">
            <v>658309</v>
          </cell>
        </row>
        <row r="205">
          <cell r="B205" t="str">
            <v>4.1.2  -  Conservação de Rotina    (Transp. Qd. 1.3.)</v>
          </cell>
          <cell r="G205">
            <v>2691</v>
          </cell>
          <cell r="H205">
            <v>5382</v>
          </cell>
          <cell r="I205">
            <v>5457</v>
          </cell>
          <cell r="J205">
            <v>5560</v>
          </cell>
          <cell r="K205">
            <v>6466</v>
          </cell>
          <cell r="L205">
            <v>6466</v>
          </cell>
          <cell r="M205">
            <v>6466</v>
          </cell>
          <cell r="N205">
            <v>6466</v>
          </cell>
          <cell r="O205">
            <v>6997</v>
          </cell>
          <cell r="P205">
            <v>6997</v>
          </cell>
          <cell r="Q205">
            <v>6997</v>
          </cell>
          <cell r="R205">
            <v>6997</v>
          </cell>
          <cell r="S205">
            <v>6997</v>
          </cell>
          <cell r="T205">
            <v>6997</v>
          </cell>
          <cell r="U205">
            <v>6997</v>
          </cell>
          <cell r="V205">
            <v>6997</v>
          </cell>
          <cell r="W205">
            <v>6997</v>
          </cell>
          <cell r="X205">
            <v>6997</v>
          </cell>
          <cell r="Y205">
            <v>6997</v>
          </cell>
          <cell r="Z205">
            <v>6997</v>
          </cell>
          <cell r="AA205">
            <v>128918</v>
          </cell>
        </row>
        <row r="206">
          <cell r="B206" t="str">
            <v>4.1.3  -  Consumo    (Transp. Qd. 1.3.)</v>
          </cell>
          <cell r="G206">
            <v>925</v>
          </cell>
          <cell r="H206">
            <v>987</v>
          </cell>
          <cell r="I206">
            <v>1000</v>
          </cell>
          <cell r="J206">
            <v>1135</v>
          </cell>
          <cell r="K206">
            <v>1135</v>
          </cell>
          <cell r="L206">
            <v>1135</v>
          </cell>
          <cell r="M206">
            <v>1135</v>
          </cell>
          <cell r="N206">
            <v>1135</v>
          </cell>
          <cell r="O206">
            <v>1135</v>
          </cell>
          <cell r="P206">
            <v>1135</v>
          </cell>
          <cell r="Q206">
            <v>1135</v>
          </cell>
          <cell r="R206">
            <v>1135</v>
          </cell>
          <cell r="S206">
            <v>1135</v>
          </cell>
          <cell r="T206">
            <v>1135</v>
          </cell>
          <cell r="U206">
            <v>1135</v>
          </cell>
          <cell r="V206">
            <v>1135</v>
          </cell>
          <cell r="W206">
            <v>1135</v>
          </cell>
          <cell r="X206">
            <v>1135</v>
          </cell>
          <cell r="Y206">
            <v>1135</v>
          </cell>
          <cell r="Z206">
            <v>1135</v>
          </cell>
          <cell r="AA206">
            <v>22207</v>
          </cell>
        </row>
        <row r="207">
          <cell r="B207" t="str">
            <v>4.1.4  -  Transportes    (Transp. Qd. 1.3.)</v>
          </cell>
          <cell r="G207">
            <v>2399</v>
          </cell>
          <cell r="H207">
            <v>4565</v>
          </cell>
          <cell r="I207">
            <v>4981</v>
          </cell>
          <cell r="J207">
            <v>5230</v>
          </cell>
          <cell r="K207">
            <v>5306</v>
          </cell>
          <cell r="L207">
            <v>5307</v>
          </cell>
          <cell r="M207">
            <v>5306</v>
          </cell>
          <cell r="N207">
            <v>5307</v>
          </cell>
          <cell r="O207">
            <v>5306</v>
          </cell>
          <cell r="P207">
            <v>5307</v>
          </cell>
          <cell r="Q207">
            <v>5306</v>
          </cell>
          <cell r="R207">
            <v>5307</v>
          </cell>
          <cell r="S207">
            <v>5306</v>
          </cell>
          <cell r="T207">
            <v>5307</v>
          </cell>
          <cell r="U207">
            <v>5306</v>
          </cell>
          <cell r="V207">
            <v>5307</v>
          </cell>
          <cell r="W207">
            <v>5306</v>
          </cell>
          <cell r="X207">
            <v>5307</v>
          </cell>
          <cell r="Y207">
            <v>5306</v>
          </cell>
          <cell r="Z207">
            <v>5306</v>
          </cell>
          <cell r="AA207">
            <v>102078</v>
          </cell>
        </row>
        <row r="208">
          <cell r="B208" t="str">
            <v>4.1.5  -  Diversas    (Transp. Qd. 1.3.)</v>
          </cell>
          <cell r="G208">
            <v>3376</v>
          </cell>
          <cell r="H208">
            <v>4638</v>
          </cell>
          <cell r="I208">
            <v>4059</v>
          </cell>
          <cell r="J208">
            <v>2441</v>
          </cell>
          <cell r="K208">
            <v>1745</v>
          </cell>
          <cell r="L208">
            <v>1745</v>
          </cell>
          <cell r="M208">
            <v>1745</v>
          </cell>
          <cell r="N208">
            <v>1745</v>
          </cell>
          <cell r="O208">
            <v>1745</v>
          </cell>
          <cell r="P208">
            <v>1745</v>
          </cell>
          <cell r="Q208">
            <v>1745</v>
          </cell>
          <cell r="R208">
            <v>1745</v>
          </cell>
          <cell r="S208">
            <v>1745</v>
          </cell>
          <cell r="T208">
            <v>1745</v>
          </cell>
          <cell r="U208">
            <v>1745</v>
          </cell>
          <cell r="V208">
            <v>1745</v>
          </cell>
          <cell r="W208">
            <v>1745</v>
          </cell>
          <cell r="X208">
            <v>1745</v>
          </cell>
          <cell r="Y208">
            <v>1745</v>
          </cell>
          <cell r="Z208">
            <v>1745</v>
          </cell>
          <cell r="AA208">
            <v>42434</v>
          </cell>
        </row>
        <row r="209">
          <cell r="B209" t="str">
            <v>4.1.6  -  Depreciação/Amortização    (Transp. Qd. 1.3.)</v>
          </cell>
          <cell r="G209">
            <v>2664.2541796153846</v>
          </cell>
          <cell r="H209">
            <v>9402.0968188253628</v>
          </cell>
          <cell r="I209">
            <v>17123.475024705673</v>
          </cell>
          <cell r="J209">
            <v>24333.665174021691</v>
          </cell>
          <cell r="K209">
            <v>28827.280950680914</v>
          </cell>
          <cell r="L209">
            <v>30952.55972031429</v>
          </cell>
          <cell r="M209">
            <v>32879.566282379776</v>
          </cell>
          <cell r="N209">
            <v>34592.2279404664</v>
          </cell>
          <cell r="O209">
            <v>37253.858743852506</v>
          </cell>
          <cell r="P209">
            <v>40757.640315254546</v>
          </cell>
          <cell r="Q209">
            <v>42325.252897664504</v>
          </cell>
          <cell r="R209">
            <v>40618.408278856456</v>
          </cell>
          <cell r="S209">
            <v>40461.570251705038</v>
          </cell>
          <cell r="T209">
            <v>41994.086691590368</v>
          </cell>
          <cell r="U209">
            <v>46516.957303686017</v>
          </cell>
          <cell r="V209">
            <v>58215.344434929844</v>
          </cell>
          <cell r="W209">
            <v>68605.060505179383</v>
          </cell>
          <cell r="X209">
            <v>73382.640405420461</v>
          </cell>
          <cell r="Y209">
            <v>83447.442176404293</v>
          </cell>
          <cell r="Z209">
            <v>111414.94615227968</v>
          </cell>
          <cell r="AA209">
            <v>865768.33424783242</v>
          </cell>
        </row>
        <row r="210">
          <cell r="B210" t="str">
            <v>4.1.7  -  Seguros    (transp. Qd 1.3.)</v>
          </cell>
          <cell r="G210">
            <v>910</v>
          </cell>
          <cell r="H210">
            <v>910</v>
          </cell>
          <cell r="I210">
            <v>910</v>
          </cell>
          <cell r="J210">
            <v>910</v>
          </cell>
          <cell r="K210">
            <v>910</v>
          </cell>
          <cell r="L210">
            <v>910</v>
          </cell>
          <cell r="M210">
            <v>910</v>
          </cell>
          <cell r="N210">
            <v>910</v>
          </cell>
          <cell r="O210">
            <v>910</v>
          </cell>
          <cell r="P210">
            <v>910</v>
          </cell>
          <cell r="Q210">
            <v>910</v>
          </cell>
          <cell r="R210">
            <v>910</v>
          </cell>
          <cell r="S210">
            <v>910</v>
          </cell>
          <cell r="T210">
            <v>910</v>
          </cell>
          <cell r="U210">
            <v>910</v>
          </cell>
          <cell r="V210">
            <v>910</v>
          </cell>
          <cell r="W210">
            <v>910</v>
          </cell>
          <cell r="X210">
            <v>910</v>
          </cell>
          <cell r="Y210">
            <v>910</v>
          </cell>
          <cell r="Z210">
            <v>910</v>
          </cell>
          <cell r="AA210">
            <v>18200</v>
          </cell>
        </row>
        <row r="211">
          <cell r="B211" t="str">
            <v xml:space="preserve">4.1.8  -  Garantias  (transp. Qd 1.3.)  </v>
          </cell>
          <cell r="G211">
            <v>2478</v>
          </cell>
          <cell r="H211">
            <v>2328</v>
          </cell>
          <cell r="I211">
            <v>2136</v>
          </cell>
          <cell r="J211">
            <v>1990</v>
          </cell>
          <cell r="K211">
            <v>1928</v>
          </cell>
          <cell r="L211">
            <v>1902</v>
          </cell>
          <cell r="M211">
            <v>1873</v>
          </cell>
          <cell r="N211">
            <v>1843</v>
          </cell>
          <cell r="O211">
            <v>1804</v>
          </cell>
          <cell r="P211">
            <v>1759</v>
          </cell>
          <cell r="Q211">
            <v>1734</v>
          </cell>
          <cell r="R211">
            <v>1683</v>
          </cell>
          <cell r="S211">
            <v>1666</v>
          </cell>
          <cell r="T211">
            <v>1629</v>
          </cell>
          <cell r="U211">
            <v>1600</v>
          </cell>
          <cell r="V211">
            <v>1557</v>
          </cell>
          <cell r="W211">
            <v>1537</v>
          </cell>
          <cell r="X211">
            <v>1521</v>
          </cell>
          <cell r="Y211">
            <v>1497</v>
          </cell>
          <cell r="Z211">
            <v>1467</v>
          </cell>
          <cell r="AA211">
            <v>35932</v>
          </cell>
        </row>
        <row r="212">
          <cell r="B212" t="str">
            <v xml:space="preserve">4.1.9  -  Parc.Variável da Concessão   </v>
          </cell>
          <cell r="G212">
            <v>2230.56</v>
          </cell>
          <cell r="H212">
            <v>2986.41</v>
          </cell>
          <cell r="I212">
            <v>3199.11</v>
          </cell>
          <cell r="J212">
            <v>6629.94</v>
          </cell>
          <cell r="K212">
            <v>6885.0333720000008</v>
          </cell>
          <cell r="L212">
            <v>7044.9250047812529</v>
          </cell>
          <cell r="M212">
            <v>6915.4923524281276</v>
          </cell>
          <cell r="N212">
            <v>7006.221127787614</v>
          </cell>
          <cell r="O212">
            <v>7110.8781818054922</v>
          </cell>
          <cell r="P212">
            <v>7220.3025349362797</v>
          </cell>
          <cell r="Q212">
            <v>7314.6774692558083</v>
          </cell>
          <cell r="R212">
            <v>7420.8891804534815</v>
          </cell>
          <cell r="S212">
            <v>7528.7458318870858</v>
          </cell>
          <cell r="T212">
            <v>7638.1119742837</v>
          </cell>
          <cell r="U212">
            <v>7749.0306718322099</v>
          </cell>
          <cell r="V212">
            <v>7861.4874972671769</v>
          </cell>
          <cell r="W212">
            <v>8069.0840110651907</v>
          </cell>
          <cell r="X212">
            <v>8319.8268332421449</v>
          </cell>
          <cell r="Y212">
            <v>8441.2754382394123</v>
          </cell>
          <cell r="Z212">
            <v>8564.5357013865942</v>
          </cell>
          <cell r="AA212">
            <v>136136.53718265161</v>
          </cell>
        </row>
        <row r="213">
          <cell r="B213" t="str">
            <v xml:space="preserve">4.1.10 - Parcela Fixa da Concessão   </v>
          </cell>
          <cell r="G213">
            <v>19250.400000000001</v>
          </cell>
          <cell r="H213">
            <v>19250.400000000001</v>
          </cell>
          <cell r="I213">
            <v>19250.400000000001</v>
          </cell>
          <cell r="J213">
            <v>19250.400000000001</v>
          </cell>
          <cell r="K213">
            <v>19250.400000000001</v>
          </cell>
          <cell r="L213">
            <v>19250.400000000001</v>
          </cell>
          <cell r="M213">
            <v>13006.712334001502</v>
          </cell>
          <cell r="N213">
            <v>8676.2787694284016</v>
          </cell>
          <cell r="O213">
            <v>8834.294313349501</v>
          </cell>
          <cell r="P213">
            <v>8834.294313349501</v>
          </cell>
          <cell r="Q213">
            <v>17514.382385558252</v>
          </cell>
          <cell r="R213">
            <v>19250.400000000001</v>
          </cell>
          <cell r="S213">
            <v>19250.400000000001</v>
          </cell>
          <cell r="T213">
            <v>19250.400000000001</v>
          </cell>
          <cell r="U213">
            <v>19250.400000000001</v>
          </cell>
          <cell r="V213">
            <v>19250.400000000001</v>
          </cell>
          <cell r="W213">
            <v>19250.400000000001</v>
          </cell>
          <cell r="X213">
            <v>19250.400000000001</v>
          </cell>
          <cell r="Y213">
            <v>19250.400000000001</v>
          </cell>
          <cell r="Z213">
            <v>19258.400000000001</v>
          </cell>
          <cell r="AA213">
            <v>345629.9621156872</v>
          </cell>
        </row>
        <row r="214">
          <cell r="B214" t="str">
            <v>5 -  RESULTADO BRUTO OPERACIONAL     (3 - 4)</v>
          </cell>
          <cell r="G214">
            <v>13936.417820384617</v>
          </cell>
          <cell r="H214">
            <v>16498.157681174634</v>
          </cell>
          <cell r="I214">
            <v>12313.394475294321</v>
          </cell>
          <cell r="J214">
            <v>108944.58782597829</v>
          </cell>
          <cell r="K214">
            <v>112328.59635071905</v>
          </cell>
          <cell r="L214">
            <v>115007.55198013721</v>
          </cell>
          <cell r="M214">
            <v>107041.55684887312</v>
          </cell>
          <cell r="N214">
            <v>111937.82550345043</v>
          </cell>
          <cell r="O214">
            <v>111708.44939696978</v>
          </cell>
          <cell r="P214">
            <v>111472.33502526939</v>
          </cell>
          <cell r="Q214">
            <v>104029.09618636078</v>
          </cell>
          <cell r="R214">
            <v>107178.97808549862</v>
          </cell>
          <cell r="S214">
            <v>110529.31449736966</v>
          </cell>
          <cell r="T214">
            <v>112254.75095106458</v>
          </cell>
          <cell r="U214">
            <v>111027.55598177257</v>
          </cell>
          <cell r="V214">
            <v>102684.1423595885</v>
          </cell>
          <cell r="W214">
            <v>98429.263620690501</v>
          </cell>
          <cell r="X214">
            <v>101051.17983356077</v>
          </cell>
          <cell r="Y214">
            <v>94588.15947974642</v>
          </cell>
          <cell r="Z214">
            <v>70272.790253555548</v>
          </cell>
          <cell r="AA214">
            <v>1833234.104157459</v>
          </cell>
        </row>
        <row r="215">
          <cell r="B215" t="str">
            <v>6 -  RESULTADO FINANCEIRO    (6.1)</v>
          </cell>
          <cell r="G215">
            <v>367</v>
          </cell>
          <cell r="H215">
            <v>482</v>
          </cell>
          <cell r="I215">
            <v>763</v>
          </cell>
          <cell r="J215">
            <v>1066</v>
          </cell>
          <cell r="K215">
            <v>1166</v>
          </cell>
          <cell r="L215">
            <v>1187</v>
          </cell>
          <cell r="M215">
            <v>1210</v>
          </cell>
          <cell r="N215">
            <v>1233</v>
          </cell>
          <cell r="O215">
            <v>1256</v>
          </cell>
          <cell r="P215">
            <v>1280</v>
          </cell>
          <cell r="Q215">
            <v>1301</v>
          </cell>
          <cell r="R215">
            <v>1321</v>
          </cell>
          <cell r="S215">
            <v>1343</v>
          </cell>
          <cell r="T215">
            <v>1364</v>
          </cell>
          <cell r="U215">
            <v>1386</v>
          </cell>
          <cell r="V215">
            <v>1409</v>
          </cell>
          <cell r="W215">
            <v>1432</v>
          </cell>
          <cell r="X215">
            <v>1455</v>
          </cell>
          <cell r="Y215">
            <v>1478</v>
          </cell>
          <cell r="Z215">
            <v>1502.0000000000002</v>
          </cell>
          <cell r="AA215">
            <v>24001</v>
          </cell>
        </row>
        <row r="216">
          <cell r="B216" t="str">
            <v>6.1 - Receitas    (Transp. Qd. 2B)</v>
          </cell>
          <cell r="G216">
            <v>367</v>
          </cell>
          <cell r="H216">
            <v>482</v>
          </cell>
          <cell r="I216">
            <v>763</v>
          </cell>
          <cell r="J216">
            <v>1066</v>
          </cell>
          <cell r="K216">
            <v>1166</v>
          </cell>
          <cell r="L216">
            <v>1187</v>
          </cell>
          <cell r="M216">
            <v>1210</v>
          </cell>
          <cell r="N216">
            <v>1233</v>
          </cell>
          <cell r="O216">
            <v>1256</v>
          </cell>
          <cell r="P216">
            <v>1280</v>
          </cell>
          <cell r="Q216">
            <v>1301</v>
          </cell>
          <cell r="R216">
            <v>1321</v>
          </cell>
          <cell r="S216">
            <v>1343</v>
          </cell>
          <cell r="T216">
            <v>1364</v>
          </cell>
          <cell r="U216">
            <v>1386</v>
          </cell>
          <cell r="V216">
            <v>1409</v>
          </cell>
          <cell r="W216">
            <v>1432</v>
          </cell>
          <cell r="X216">
            <v>1455</v>
          </cell>
          <cell r="Y216">
            <v>1478</v>
          </cell>
          <cell r="Z216">
            <v>1502.0000000000002</v>
          </cell>
          <cell r="AA216">
            <v>24001</v>
          </cell>
        </row>
        <row r="217">
          <cell r="B217" t="str">
            <v>7 -  RESULTADO OPERACIONAL    (5 + 6)</v>
          </cell>
          <cell r="G217">
            <v>14303.417820384617</v>
          </cell>
          <cell r="H217">
            <v>16980.157681174634</v>
          </cell>
          <cell r="I217">
            <v>13076.394475294321</v>
          </cell>
          <cell r="J217">
            <v>110010.58782597829</v>
          </cell>
          <cell r="K217">
            <v>113494.59635071905</v>
          </cell>
          <cell r="L217">
            <v>116194.55198013721</v>
          </cell>
          <cell r="M217">
            <v>108251.55684887312</v>
          </cell>
          <cell r="N217">
            <v>113170.82550345043</v>
          </cell>
          <cell r="O217">
            <v>112964.44939696978</v>
          </cell>
          <cell r="P217">
            <v>112752.33502526939</v>
          </cell>
          <cell r="Q217">
            <v>105330.09618636078</v>
          </cell>
          <cell r="R217">
            <v>108499.97808549862</v>
          </cell>
          <cell r="S217">
            <v>111872.31449736966</v>
          </cell>
          <cell r="T217">
            <v>113618.75095106458</v>
          </cell>
          <cell r="U217">
            <v>112413.55598177257</v>
          </cell>
          <cell r="V217">
            <v>104093.1423595885</v>
          </cell>
          <cell r="W217">
            <v>99861.263620690501</v>
          </cell>
          <cell r="X217">
            <v>102506.17983356077</v>
          </cell>
          <cell r="Y217">
            <v>96066.15947974642</v>
          </cell>
          <cell r="Z217">
            <v>71774.790253555548</v>
          </cell>
          <cell r="AA217">
            <v>1857235.104157459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14303.417820384617</v>
          </cell>
          <cell r="H219">
            <v>16980.157681174634</v>
          </cell>
          <cell r="I219">
            <v>13076.394475294321</v>
          </cell>
          <cell r="J219">
            <v>110010.58782597829</v>
          </cell>
          <cell r="K219">
            <v>113494.59635071905</v>
          </cell>
          <cell r="L219">
            <v>116194.55198013721</v>
          </cell>
          <cell r="M219">
            <v>108251.55684887312</v>
          </cell>
          <cell r="N219">
            <v>113170.82550345043</v>
          </cell>
          <cell r="O219">
            <v>112964.44939696978</v>
          </cell>
          <cell r="P219">
            <v>112752.33502526939</v>
          </cell>
          <cell r="Q219">
            <v>105330.09618636078</v>
          </cell>
          <cell r="R219">
            <v>108499.97808549862</v>
          </cell>
          <cell r="S219">
            <v>111872.31449736966</v>
          </cell>
          <cell r="T219">
            <v>113618.75095106458</v>
          </cell>
          <cell r="U219">
            <v>112413.55598177257</v>
          </cell>
          <cell r="V219">
            <v>104093.1423595885</v>
          </cell>
          <cell r="W219">
            <v>99861.263620690501</v>
          </cell>
          <cell r="X219">
            <v>102506.17983356077</v>
          </cell>
          <cell r="Y219">
            <v>96066.15947974642</v>
          </cell>
          <cell r="Z219">
            <v>71774.790253555548</v>
          </cell>
          <cell r="AA219">
            <v>1857235.104157459</v>
          </cell>
        </row>
        <row r="220">
          <cell r="B220" t="str">
            <v>10- CONTRIBUIÇÃO SOCIAL (Legislação vigente)</v>
          </cell>
          <cell r="G220">
            <v>1145.0414256307693</v>
          </cell>
          <cell r="H220">
            <v>1358.4126144939717</v>
          </cell>
          <cell r="I220">
            <v>1046.1115580235455</v>
          </cell>
          <cell r="J220">
            <v>8800.8470260782669</v>
          </cell>
          <cell r="K220">
            <v>9079.5677080575279</v>
          </cell>
          <cell r="L220">
            <v>9295.5641584109708</v>
          </cell>
          <cell r="M220">
            <v>8660.1245479098488</v>
          </cell>
          <cell r="N220">
            <v>9053.6660402760353</v>
          </cell>
          <cell r="O220">
            <v>9037.1559517575788</v>
          </cell>
          <cell r="P220">
            <v>9020.1868020215516</v>
          </cell>
          <cell r="Q220">
            <v>8426.4076949088612</v>
          </cell>
          <cell r="R220">
            <v>8679.9982468398866</v>
          </cell>
          <cell r="S220">
            <v>8949.7851597895751</v>
          </cell>
          <cell r="T220">
            <v>9089.500076085169</v>
          </cell>
          <cell r="U220">
            <v>8993.084478541803</v>
          </cell>
          <cell r="V220">
            <v>8327.4513887670819</v>
          </cell>
          <cell r="W220">
            <v>7988.9010896552427</v>
          </cell>
          <cell r="X220">
            <v>8200.4943866848607</v>
          </cell>
          <cell r="Y220">
            <v>7685.29275837971</v>
          </cell>
          <cell r="Z220">
            <v>5741.9832202844409</v>
          </cell>
          <cell r="AA220">
            <v>148579.57633259665</v>
          </cell>
        </row>
        <row r="221">
          <cell r="B221" t="str">
            <v>11- RESULTADO ANTES IMPOSTO DE RENDA    (9 - 10)</v>
          </cell>
          <cell r="G221">
            <v>13158.376394753848</v>
          </cell>
          <cell r="H221">
            <v>15621.745066680664</v>
          </cell>
          <cell r="I221">
            <v>12030.282917270775</v>
          </cell>
          <cell r="J221">
            <v>101209.74079990003</v>
          </cell>
          <cell r="K221">
            <v>104415.02864266152</v>
          </cell>
          <cell r="L221">
            <v>106898.98782172624</v>
          </cell>
          <cell r="M221">
            <v>99591.432300963279</v>
          </cell>
          <cell r="N221">
            <v>104117.15946317439</v>
          </cell>
          <cell r="O221">
            <v>103927.2934452122</v>
          </cell>
          <cell r="P221">
            <v>103732.14822324784</v>
          </cell>
          <cell r="Q221">
            <v>96903.688491451918</v>
          </cell>
          <cell r="R221">
            <v>99819.979838658735</v>
          </cell>
          <cell r="S221">
            <v>102922.52933758008</v>
          </cell>
          <cell r="T221">
            <v>104529.25087497941</v>
          </cell>
          <cell r="U221">
            <v>103420.47150323077</v>
          </cell>
          <cell r="V221">
            <v>95765.690970821423</v>
          </cell>
          <cell r="W221">
            <v>91872.362531035265</v>
          </cell>
          <cell r="X221">
            <v>94305.685446875912</v>
          </cell>
          <cell r="Y221">
            <v>88380.866721366707</v>
          </cell>
          <cell r="Z221">
            <v>66032.807033271107</v>
          </cell>
          <cell r="AA221">
            <v>1708655.5278248624</v>
          </cell>
        </row>
        <row r="222">
          <cell r="B222" t="str">
            <v>12- IMPOSTO DE RENDA (Legislação vigente)</v>
          </cell>
          <cell r="G222">
            <v>3554.2544550961538</v>
          </cell>
          <cell r="H222">
            <v>4221.0394202936623</v>
          </cell>
          <cell r="I222">
            <v>3245.0986188235784</v>
          </cell>
          <cell r="J222">
            <v>27478.646956494576</v>
          </cell>
          <cell r="K222">
            <v>28349.649087679762</v>
          </cell>
          <cell r="L222">
            <v>29024.637995034296</v>
          </cell>
          <cell r="M222">
            <v>27038.889212218266</v>
          </cell>
          <cell r="N222">
            <v>28268.70637586261</v>
          </cell>
          <cell r="O222">
            <v>28217.11234924243</v>
          </cell>
          <cell r="P222">
            <v>28164.083756317348</v>
          </cell>
          <cell r="Q222">
            <v>26308.524046590195</v>
          </cell>
          <cell r="R222">
            <v>27100.994521374651</v>
          </cell>
          <cell r="S222">
            <v>27944.078624342415</v>
          </cell>
          <cell r="T222">
            <v>28380.687737766144</v>
          </cell>
          <cell r="U222">
            <v>28079.388995443136</v>
          </cell>
          <cell r="V222">
            <v>25999.285589897114</v>
          </cell>
          <cell r="W222">
            <v>24941.315905172632</v>
          </cell>
          <cell r="X222">
            <v>25602.544958390183</v>
          </cell>
          <cell r="Y222">
            <v>23992.539869936598</v>
          </cell>
          <cell r="Z222">
            <v>17919.697563388876</v>
          </cell>
          <cell r="AA222">
            <v>463831.1760393646</v>
          </cell>
        </row>
        <row r="223">
          <cell r="B223" t="str">
            <v>13- RESULTADO DE EXERCÍCIO    (11 - 12)</v>
          </cell>
          <cell r="G223">
            <v>9604.1219396576944</v>
          </cell>
          <cell r="H223">
            <v>11400.705646387001</v>
          </cell>
          <cell r="I223">
            <v>8785.1842984471969</v>
          </cell>
          <cell r="J223">
            <v>73731.093843405455</v>
          </cell>
          <cell r="K223">
            <v>76065.379554981759</v>
          </cell>
          <cell r="L223">
            <v>77874.349826691949</v>
          </cell>
          <cell r="M223">
            <v>72552.543088745006</v>
          </cell>
          <cell r="N223">
            <v>75848.453087311791</v>
          </cell>
          <cell r="O223">
            <v>75710.181095969776</v>
          </cell>
          <cell r="P223">
            <v>75568.064466930489</v>
          </cell>
          <cell r="Q223">
            <v>70595.16444486173</v>
          </cell>
          <cell r="R223">
            <v>72718.985317284081</v>
          </cell>
          <cell r="S223">
            <v>74978.45071323766</v>
          </cell>
          <cell r="T223">
            <v>76148.563137213263</v>
          </cell>
          <cell r="U223">
            <v>75341.082507787636</v>
          </cell>
          <cell r="V223">
            <v>69766.405380924305</v>
          </cell>
          <cell r="W223">
            <v>66931.046625862626</v>
          </cell>
          <cell r="X223">
            <v>68703.140488485733</v>
          </cell>
          <cell r="Y223">
            <v>64388.326851430109</v>
          </cell>
          <cell r="Z223">
            <v>48113.109469882227</v>
          </cell>
          <cell r="AA223">
            <v>1244824.3517854977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281870.43451357714</v>
          </cell>
          <cell r="H229">
            <v>286574.27087079739</v>
          </cell>
          <cell r="I229">
            <v>291357.04521706002</v>
          </cell>
          <cell r="J229">
            <v>296220.09080758004</v>
          </cell>
          <cell r="K229">
            <v>301164.76358093088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1457186.6049899457</v>
          </cell>
        </row>
        <row r="230">
          <cell r="B230" t="str">
            <v>1.1 - Operacionais    (1.1.1 + 1.1.2)</v>
          </cell>
          <cell r="G230">
            <v>281870.43451357714</v>
          </cell>
          <cell r="H230">
            <v>286574.27087079739</v>
          </cell>
          <cell r="I230">
            <v>291357.04521706002</v>
          </cell>
          <cell r="J230">
            <v>296220.09080758004</v>
          </cell>
          <cell r="K230">
            <v>301164.76358093088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1457186.6049899457</v>
          </cell>
        </row>
        <row r="231">
          <cell r="B231" t="str">
            <v>1.1.1 - Receitas de  Pedágios    (Transp. Qd.2.1.1.2)</v>
          </cell>
          <cell r="G231">
            <v>274390.77790658275</v>
          </cell>
          <cell r="H231">
            <v>278969.79421749973</v>
          </cell>
          <cell r="I231">
            <v>283625.65383501293</v>
          </cell>
          <cell r="J231">
            <v>288359.6546353476</v>
          </cell>
          <cell r="K231">
            <v>293173.11657616671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1418518.9971706099</v>
          </cell>
        </row>
        <row r="232">
          <cell r="B232" t="str">
            <v>1.1.2 - Outras Receitas Operacionais    (calculado 2.1.2.)</v>
          </cell>
          <cell r="G232">
            <v>7479.656606994391</v>
          </cell>
          <cell r="H232">
            <v>7604.4766532976446</v>
          </cell>
          <cell r="I232">
            <v>7731.391382047118</v>
          </cell>
          <cell r="J232">
            <v>7860.436172232432</v>
          </cell>
          <cell r="K232">
            <v>7991.6470047642051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38667.60781933579</v>
          </cell>
        </row>
        <row r="233">
          <cell r="B233" t="str">
            <v>2 -  DEDUÇÕES DA RECEITA    (2.1)</v>
          </cell>
          <cell r="G233">
            <v>25452.900236576013</v>
          </cell>
          <cell r="H233">
            <v>25877.656659633005</v>
          </cell>
          <cell r="I233">
            <v>26309.541183100519</v>
          </cell>
          <cell r="J233">
            <v>26748.67419992448</v>
          </cell>
          <cell r="K233">
            <v>27195.178151358057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131583.95043059206</v>
          </cell>
        </row>
        <row r="234">
          <cell r="B234" t="str">
            <v>2.1 - Tributos sobre Faturamento    (2.1.1+ .... + 2.1.4)</v>
          </cell>
          <cell r="G234">
            <v>25452.900236576013</v>
          </cell>
          <cell r="H234">
            <v>25877.656659633005</v>
          </cell>
          <cell r="I234">
            <v>26309.541183100519</v>
          </cell>
          <cell r="J234">
            <v>26748.67419992448</v>
          </cell>
          <cell r="K234">
            <v>27195.178151358057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131583.95043059206</v>
          </cell>
        </row>
        <row r="235">
          <cell r="B235" t="str">
            <v>2.1.1 - I.S.S    (transp. Qd  1.3.)</v>
          </cell>
          <cell r="G235">
            <v>14093.521725678858</v>
          </cell>
          <cell r="H235">
            <v>14328.71354353987</v>
          </cell>
          <cell r="I235">
            <v>14567.852260853002</v>
          </cell>
          <cell r="J235">
            <v>14811.004540379003</v>
          </cell>
          <cell r="K235">
            <v>15058.238179046544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72859.330249497274</v>
          </cell>
        </row>
        <row r="236">
          <cell r="B236" t="str">
            <v>2.1.2 - Cofins    (transp. Qd 1.3.)</v>
          </cell>
          <cell r="G236">
            <v>8456.1130354073139</v>
          </cell>
          <cell r="H236">
            <v>8597.2281261239223</v>
          </cell>
          <cell r="I236">
            <v>8740.7113565117997</v>
          </cell>
          <cell r="J236">
            <v>8886.6027242274013</v>
          </cell>
          <cell r="K236">
            <v>9034.9429074279269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43715.598149698359</v>
          </cell>
        </row>
        <row r="237">
          <cell r="B237" t="str">
            <v>2.1.3 - Pis / Pasep    (transp. Qd 1.3.)</v>
          </cell>
          <cell r="G237">
            <v>1832.1578243382514</v>
          </cell>
          <cell r="H237">
            <v>1862.732760660183</v>
          </cell>
          <cell r="I237">
            <v>1893.82079391089</v>
          </cell>
          <cell r="J237">
            <v>1925.4305902492702</v>
          </cell>
          <cell r="K237">
            <v>1957.5709632760506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9471.7129324346442</v>
          </cell>
        </row>
        <row r="238">
          <cell r="B238" t="str">
            <v>2.1.4 - CPMF    (transp Qd 1.3.)</v>
          </cell>
          <cell r="G238">
            <v>1071.1076511515932</v>
          </cell>
          <cell r="H238">
            <v>1088.9822293090301</v>
          </cell>
          <cell r="I238">
            <v>1107.156771824828</v>
          </cell>
          <cell r="J238">
            <v>1125.6363450688041</v>
          </cell>
          <cell r="K238">
            <v>1144.4261016075372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5537.3090989617922</v>
          </cell>
        </row>
        <row r="239">
          <cell r="B239" t="str">
            <v>3 -  RECEITA LIQUIDA    (1 - 2)</v>
          </cell>
          <cell r="G239">
            <v>256417.53427700113</v>
          </cell>
          <cell r="H239">
            <v>260696.61421116439</v>
          </cell>
          <cell r="I239">
            <v>265047.50403395947</v>
          </cell>
          <cell r="J239">
            <v>269471.41660765558</v>
          </cell>
          <cell r="K239">
            <v>273969.58542957285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1325602.6545593536</v>
          </cell>
        </row>
        <row r="240">
          <cell r="B240" t="str">
            <v>4 -  DESPESAS    (4.1)</v>
          </cell>
          <cell r="G240">
            <v>59182.074165761383</v>
          </cell>
          <cell r="H240">
            <v>59324.600407385165</v>
          </cell>
          <cell r="I240">
            <v>59469.518470076917</v>
          </cell>
          <cell r="J240">
            <v>59616.868751469672</v>
          </cell>
          <cell r="K240">
            <v>59766.692336502201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297359.75413119537</v>
          </cell>
        </row>
        <row r="241">
          <cell r="B241" t="str">
            <v>4.1 - Operacionais    (4.1.1+ .... + 4.1.10)</v>
          </cell>
          <cell r="G241">
            <v>59182.074165761383</v>
          </cell>
          <cell r="H241">
            <v>59324.600407385165</v>
          </cell>
          <cell r="I241">
            <v>59469.518470076917</v>
          </cell>
          <cell r="J241">
            <v>59616.868751469672</v>
          </cell>
          <cell r="K241">
            <v>59766.692336502201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297359.75413119537</v>
          </cell>
        </row>
        <row r="242">
          <cell r="B242" t="str">
            <v>4.1.1  -  Pessoal e Administradores    (Transp. Qd. 1.3.)</v>
          </cell>
          <cell r="G242">
            <v>34047</v>
          </cell>
          <cell r="H242">
            <v>34047</v>
          </cell>
          <cell r="I242">
            <v>34047</v>
          </cell>
          <cell r="J242">
            <v>34047</v>
          </cell>
          <cell r="K242">
            <v>34047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170235</v>
          </cell>
        </row>
        <row r="243">
          <cell r="B243" t="str">
            <v>4.1.2  -  Conservação de Rotina    (Transp. Qd. 1.3.)</v>
          </cell>
          <cell r="G243">
            <v>6997</v>
          </cell>
          <cell r="H243">
            <v>6997</v>
          </cell>
          <cell r="I243">
            <v>6997</v>
          </cell>
          <cell r="J243">
            <v>6997</v>
          </cell>
          <cell r="K243">
            <v>6997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34985</v>
          </cell>
        </row>
        <row r="244">
          <cell r="B244" t="str">
            <v>4.1.3  -  Consumo    (Transp. Qd. 1.3.)</v>
          </cell>
          <cell r="G244">
            <v>1135</v>
          </cell>
          <cell r="H244">
            <v>1135</v>
          </cell>
          <cell r="I244">
            <v>1135</v>
          </cell>
          <cell r="J244">
            <v>1135</v>
          </cell>
          <cell r="K244">
            <v>1135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5675</v>
          </cell>
        </row>
        <row r="245">
          <cell r="B245" t="str">
            <v>4.1.4  -  Transportes    (Transp. Qd. 1.3.)</v>
          </cell>
          <cell r="G245">
            <v>5306</v>
          </cell>
          <cell r="H245">
            <v>5306</v>
          </cell>
          <cell r="I245">
            <v>5306</v>
          </cell>
          <cell r="J245">
            <v>5306</v>
          </cell>
          <cell r="K245">
            <v>5306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26530</v>
          </cell>
        </row>
        <row r="246">
          <cell r="B246" t="str">
            <v>4.1.5  -  Diversas    (Transp. Qd. 1.3.)</v>
          </cell>
          <cell r="G246">
            <v>1745</v>
          </cell>
          <cell r="H246">
            <v>1745</v>
          </cell>
          <cell r="I246">
            <v>1745</v>
          </cell>
          <cell r="J246">
            <v>1745</v>
          </cell>
          <cell r="K246">
            <v>1745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8725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910</v>
          </cell>
          <cell r="H248">
            <v>910</v>
          </cell>
          <cell r="I248">
            <v>910</v>
          </cell>
          <cell r="J248">
            <v>910</v>
          </cell>
          <cell r="K248">
            <v>910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4550</v>
          </cell>
        </row>
        <row r="249">
          <cell r="B249" t="str">
            <v xml:space="preserve">4.1.8  -  Garantias  (transp. Qd 1.3.)  </v>
          </cell>
          <cell r="G249">
            <v>585.96113035407313</v>
          </cell>
          <cell r="H249">
            <v>587.37228126123932</v>
          </cell>
          <cell r="I249">
            <v>588.80711356511802</v>
          </cell>
          <cell r="J249">
            <v>590.26602724227405</v>
          </cell>
          <cell r="K249">
            <v>591.74942907427931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2944.1559814969837</v>
          </cell>
        </row>
        <row r="250">
          <cell r="B250" t="str">
            <v xml:space="preserve">4.1.9  -  Parc.Variável da Concessão   </v>
          </cell>
          <cell r="G250">
            <v>8456.1130354073139</v>
          </cell>
          <cell r="H250">
            <v>8597.2281261239223</v>
          </cell>
          <cell r="I250">
            <v>8740.7113565117997</v>
          </cell>
          <cell r="J250">
            <v>8886.6027242274013</v>
          </cell>
          <cell r="K250">
            <v>9034.9429074279269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43715.598149698359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197235.46011123975</v>
          </cell>
          <cell r="H252">
            <v>201372.01380377921</v>
          </cell>
          <cell r="I252">
            <v>205577.98556388257</v>
          </cell>
          <cell r="J252">
            <v>209854.54785618591</v>
          </cell>
          <cell r="K252">
            <v>214202.89309307066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1028242.9004281582</v>
          </cell>
        </row>
        <row r="253">
          <cell r="B253" t="str">
            <v>6 -  RESULTADO FINANCEIRO    (6.1)</v>
          </cell>
          <cell r="G253">
            <v>1371.8945199298544</v>
          </cell>
          <cell r="H253">
            <v>1394.7886107281797</v>
          </cell>
          <cell r="I253">
            <v>1418.0669014329922</v>
          </cell>
          <cell r="J253">
            <v>1441.7358811445981</v>
          </cell>
          <cell r="K253">
            <v>1465.8021493657147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7092.2880626013393</v>
          </cell>
        </row>
        <row r="254">
          <cell r="B254" t="str">
            <v>6.1 - Receitas    (Transp. Qd. 2B)</v>
          </cell>
          <cell r="G254">
            <v>1371.8945199298544</v>
          </cell>
          <cell r="H254">
            <v>1394.7886107281797</v>
          </cell>
          <cell r="I254">
            <v>1418.0669014329922</v>
          </cell>
          <cell r="J254">
            <v>1441.7358811445981</v>
          </cell>
          <cell r="K254">
            <v>1465.8021493657147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7092.2880626013393</v>
          </cell>
        </row>
        <row r="255">
          <cell r="B255" t="str">
            <v>7 -  RESULTADO OPERACIONAL    (5 + 6)</v>
          </cell>
          <cell r="G255">
            <v>198607.35463116961</v>
          </cell>
          <cell r="H255">
            <v>202766.80241450737</v>
          </cell>
          <cell r="I255">
            <v>206996.05246531556</v>
          </cell>
          <cell r="J255">
            <v>211296.28373733049</v>
          </cell>
          <cell r="K255">
            <v>215668.69524243637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1035335.1884907596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198607.35463116961</v>
          </cell>
          <cell r="H257">
            <v>202766.80241450737</v>
          </cell>
          <cell r="I257">
            <v>206996.05246531556</v>
          </cell>
          <cell r="J257">
            <v>211296.28373733049</v>
          </cell>
          <cell r="K257">
            <v>215668.69524243637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1035335.1884907596</v>
          </cell>
        </row>
        <row r="258">
          <cell r="B258" t="str">
            <v>10- CONTRIBUIÇÃO SOCIAL (Legislação vigente)</v>
          </cell>
          <cell r="G258">
            <v>15888.58837049357</v>
          </cell>
          <cell r="H258">
            <v>16221.34419316059</v>
          </cell>
          <cell r="I258">
            <v>16559.684197225244</v>
          </cell>
          <cell r="J258">
            <v>16903.702698986439</v>
          </cell>
          <cell r="K258">
            <v>17253.495619394911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82826.815079260763</v>
          </cell>
        </row>
        <row r="259">
          <cell r="B259" t="str">
            <v>11- RESULTADO ANTES IMPOSTO DE RENDA    (9 - 10)</v>
          </cell>
          <cell r="G259">
            <v>182718.76626067603</v>
          </cell>
          <cell r="H259">
            <v>186545.45822134678</v>
          </cell>
          <cell r="I259">
            <v>190436.3682680903</v>
          </cell>
          <cell r="J259">
            <v>194392.58103834407</v>
          </cell>
          <cell r="K259">
            <v>198415.19962304147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952508.37341149885</v>
          </cell>
        </row>
        <row r="260">
          <cell r="B260" t="str">
            <v>12- IMPOSTO DE RENDA (Legislação vigente)</v>
          </cell>
          <cell r="G260">
            <v>49627.838657792403</v>
          </cell>
          <cell r="H260">
            <v>50667.700603626843</v>
          </cell>
          <cell r="I260">
            <v>51725.01311632889</v>
          </cell>
          <cell r="J260">
            <v>52800.070934332623</v>
          </cell>
          <cell r="K260">
            <v>53893.173810609092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258713.79712268984</v>
          </cell>
        </row>
        <row r="261">
          <cell r="B261" t="str">
            <v>13- RESULTADO DE EXERCÍCIO    (11 - 12)</v>
          </cell>
          <cell r="G261">
            <v>133090.92760288363</v>
          </cell>
          <cell r="H261">
            <v>135877.75761771994</v>
          </cell>
          <cell r="I261">
            <v>138711.35515176141</v>
          </cell>
          <cell r="J261">
            <v>141592.51010401145</v>
          </cell>
          <cell r="K261">
            <v>144522.02581243237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693794.57628880907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74719</v>
          </cell>
          <cell r="H267">
            <v>100029</v>
          </cell>
          <cell r="I267">
            <v>107400</v>
          </cell>
          <cell r="J267">
            <v>222064</v>
          </cell>
          <cell r="K267">
            <v>230667.11239999998</v>
          </cell>
          <cell r="L267">
            <v>236017.83349270842</v>
          </cell>
          <cell r="M267">
            <v>231726.41174760429</v>
          </cell>
          <cell r="N267">
            <v>234773.70425958713</v>
          </cell>
          <cell r="O267">
            <v>238285.27272684977</v>
          </cell>
          <cell r="P267">
            <v>241956.75116454266</v>
          </cell>
          <cell r="Q267">
            <v>245123.58230852691</v>
          </cell>
          <cell r="R267">
            <v>248683.97268178276</v>
          </cell>
          <cell r="S267">
            <v>252301.19439623621</v>
          </cell>
          <cell r="T267">
            <v>255967.73247612332</v>
          </cell>
          <cell r="U267">
            <v>259687.02239440699</v>
          </cell>
          <cell r="V267">
            <v>263458.5832422392</v>
          </cell>
          <cell r="W267">
            <v>270401.46703550639</v>
          </cell>
          <cell r="X267">
            <v>278782.56110807159</v>
          </cell>
          <cell r="Y267">
            <v>282853.84794131375</v>
          </cell>
          <cell r="Z267">
            <v>286986.52337955317</v>
          </cell>
          <cell r="AA267">
            <v>4561885.5727550527</v>
          </cell>
        </row>
        <row r="268">
          <cell r="B268" t="str">
            <v>1.1.  RECEITAS     (1.1.1.+ ... + 1.1.4)</v>
          </cell>
          <cell r="G268">
            <v>74719</v>
          </cell>
          <cell r="H268">
            <v>100029</v>
          </cell>
          <cell r="I268">
            <v>107400</v>
          </cell>
          <cell r="J268">
            <v>222064</v>
          </cell>
          <cell r="K268">
            <v>230667.11239999998</v>
          </cell>
          <cell r="L268">
            <v>236017.83349270842</v>
          </cell>
          <cell r="M268">
            <v>231726.41174760429</v>
          </cell>
          <cell r="N268">
            <v>234773.70425958713</v>
          </cell>
          <cell r="O268">
            <v>238285.27272684977</v>
          </cell>
          <cell r="P268">
            <v>241956.75116454266</v>
          </cell>
          <cell r="Q268">
            <v>245123.58230852691</v>
          </cell>
          <cell r="R268">
            <v>248683.97268178276</v>
          </cell>
          <cell r="S268">
            <v>252301.19439623621</v>
          </cell>
          <cell r="T268">
            <v>255967.73247612332</v>
          </cell>
          <cell r="U268">
            <v>259687.02239440699</v>
          </cell>
          <cell r="V268">
            <v>263458.5832422392</v>
          </cell>
          <cell r="W268">
            <v>270401.46703550639</v>
          </cell>
          <cell r="X268">
            <v>278782.56110807159</v>
          </cell>
          <cell r="Y268">
            <v>282853.84794131375</v>
          </cell>
          <cell r="Z268">
            <v>286986.52337955317</v>
          </cell>
          <cell r="AA268">
            <v>4561885.5727550527</v>
          </cell>
        </row>
        <row r="269">
          <cell r="B269" t="str">
            <v>1.1.1   Receitas de Pedágio</v>
          </cell>
          <cell r="G269">
            <v>73430</v>
          </cell>
          <cell r="H269">
            <v>96402</v>
          </cell>
          <cell r="I269">
            <v>98799</v>
          </cell>
          <cell r="J269">
            <v>213157</v>
          </cell>
          <cell r="K269">
            <v>221357.11239999998</v>
          </cell>
          <cell r="L269">
            <v>226683.83349270842</v>
          </cell>
          <cell r="M269">
            <v>222366.41174760429</v>
          </cell>
          <cell r="N269">
            <v>225387.70425958713</v>
          </cell>
          <cell r="O269">
            <v>228873.27272684977</v>
          </cell>
          <cell r="P269">
            <v>232517.75116454266</v>
          </cell>
          <cell r="Q269">
            <v>235660.58230852691</v>
          </cell>
          <cell r="R269">
            <v>239197.97268178276</v>
          </cell>
          <cell r="S269">
            <v>242790.19439623621</v>
          </cell>
          <cell r="T269">
            <v>246432.73247612332</v>
          </cell>
          <cell r="U269">
            <v>250127.02239440699</v>
          </cell>
          <cell r="V269">
            <v>253872.58324223923</v>
          </cell>
          <cell r="W269">
            <v>260789.46703550639</v>
          </cell>
          <cell r="X269">
            <v>269144.56110807159</v>
          </cell>
          <cell r="Y269">
            <v>273189.84794131375</v>
          </cell>
          <cell r="Z269">
            <v>277295.52337955317</v>
          </cell>
          <cell r="AA269">
            <v>4387474.5727550527</v>
          </cell>
        </row>
        <row r="270">
          <cell r="B270" t="str">
            <v>1.1.2   Outras Receitas Operacionais</v>
          </cell>
          <cell r="G270">
            <v>922</v>
          </cell>
          <cell r="H270">
            <v>3145</v>
          </cell>
          <cell r="I270">
            <v>7838</v>
          </cell>
          <cell r="J270">
            <v>7841</v>
          </cell>
          <cell r="K270">
            <v>8144</v>
          </cell>
          <cell r="L270">
            <v>8147.0000000000009</v>
          </cell>
          <cell r="M270">
            <v>8150</v>
          </cell>
          <cell r="N270">
            <v>8153</v>
          </cell>
          <cell r="O270">
            <v>8156</v>
          </cell>
          <cell r="P270">
            <v>8159</v>
          </cell>
          <cell r="Q270">
            <v>8162</v>
          </cell>
          <cell r="R270">
            <v>8165</v>
          </cell>
          <cell r="S270">
            <v>8168</v>
          </cell>
          <cell r="T270">
            <v>8170.9999999999991</v>
          </cell>
          <cell r="U270">
            <v>8174</v>
          </cell>
          <cell r="V270">
            <v>8177</v>
          </cell>
          <cell r="W270">
            <v>8180</v>
          </cell>
          <cell r="X270">
            <v>8183</v>
          </cell>
          <cell r="Y270">
            <v>8186.0000000000009</v>
          </cell>
          <cell r="Z270">
            <v>8189</v>
          </cell>
          <cell r="AA270">
            <v>150410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367</v>
          </cell>
          <cell r="H272">
            <v>482</v>
          </cell>
          <cell r="I272">
            <v>763</v>
          </cell>
          <cell r="J272">
            <v>1066</v>
          </cell>
          <cell r="K272">
            <v>1166</v>
          </cell>
          <cell r="L272">
            <v>1187</v>
          </cell>
          <cell r="M272">
            <v>1210</v>
          </cell>
          <cell r="N272">
            <v>1233</v>
          </cell>
          <cell r="O272">
            <v>1256</v>
          </cell>
          <cell r="P272">
            <v>1280</v>
          </cell>
          <cell r="Q272">
            <v>1301</v>
          </cell>
          <cell r="R272">
            <v>1321</v>
          </cell>
          <cell r="S272">
            <v>1343</v>
          </cell>
          <cell r="T272">
            <v>1364</v>
          </cell>
          <cell r="U272">
            <v>1386</v>
          </cell>
          <cell r="V272">
            <v>1409</v>
          </cell>
          <cell r="W272">
            <v>1432</v>
          </cell>
          <cell r="X272">
            <v>1455</v>
          </cell>
          <cell r="Y272">
            <v>1478</v>
          </cell>
          <cell r="Z272">
            <v>1502.0000000000002</v>
          </cell>
          <cell r="AA272">
            <v>24001</v>
          </cell>
        </row>
        <row r="273">
          <cell r="B273" t="str">
            <v>2.  DESEMBOLSOS     (2.1.+ ... + 2.4)</v>
          </cell>
          <cell r="G273">
            <v>148826.92388072691</v>
          </cell>
          <cell r="H273">
            <v>220374.23753478762</v>
          </cell>
          <cell r="I273">
            <v>229030.86067684711</v>
          </cell>
          <cell r="J273">
            <v>231783.11098257283</v>
          </cell>
          <cell r="K273">
            <v>149960.5918943373</v>
          </cell>
          <cell r="L273">
            <v>152611.87394570222</v>
          </cell>
          <cell r="M273">
            <v>141811.6823764795</v>
          </cell>
          <cell r="N273">
            <v>144688.10323180893</v>
          </cell>
          <cell r="O273">
            <v>191144.8028870275</v>
          </cell>
          <cell r="P273">
            <v>168771.24638235764</v>
          </cell>
          <cell r="Q273">
            <v>132985.26496600069</v>
          </cell>
          <cell r="R273">
            <v>132014.80908564222</v>
          </cell>
          <cell r="S273">
            <v>153006.16343129351</v>
          </cell>
          <cell r="T273">
            <v>142137.14264731971</v>
          </cell>
          <cell r="U273">
            <v>181275.39258293336</v>
          </cell>
          <cell r="V273">
            <v>198314.99342638504</v>
          </cell>
          <cell r="W273">
            <v>157208.37990446435</v>
          </cell>
          <cell r="X273">
            <v>142137.98021416541</v>
          </cell>
          <cell r="Y273">
            <v>155864.99891347936</v>
          </cell>
          <cell r="Z273">
            <v>143105.24775739125</v>
          </cell>
          <cell r="AA273">
            <v>3317053.8067217227</v>
          </cell>
        </row>
        <row r="274">
          <cell r="B274" t="str">
            <v>2.1.  OPERACIONAIS     (2.1.1.+ ... + 2.1.8)</v>
          </cell>
          <cell r="G274">
            <v>36270.368000000002</v>
          </cell>
          <cell r="H274">
            <v>51409.9355</v>
          </cell>
          <cell r="I274">
            <v>54750.620499999997</v>
          </cell>
          <cell r="J274">
            <v>61839.406999999999</v>
          </cell>
          <cell r="K274">
            <v>62209.801726600002</v>
          </cell>
          <cell r="L274">
            <v>62575.396787475693</v>
          </cell>
          <cell r="M274">
            <v>70673.083929921762</v>
          </cell>
          <cell r="N274">
            <v>71328.150918454281</v>
          </cell>
          <cell r="O274">
            <v>72121.792090872506</v>
          </cell>
          <cell r="P274">
            <v>72392.178975732939</v>
          </cell>
          <cell r="Q274">
            <v>72639.173369687574</v>
          </cell>
          <cell r="R274">
            <v>72894.297136974201</v>
          </cell>
          <cell r="S274">
            <v>73188.163815274427</v>
          </cell>
          <cell r="T274">
            <v>73466.382859184669</v>
          </cell>
          <cell r="U274">
            <v>73757.078437116201</v>
          </cell>
          <cell r="V274">
            <v>74038.2089504537</v>
          </cell>
          <cell r="W274">
            <v>74615.658898571302</v>
          </cell>
          <cell r="X274">
            <v>75323.514035848202</v>
          </cell>
          <cell r="Y274">
            <v>75648.570846923642</v>
          </cell>
          <cell r="Z274">
            <v>75973.851272331347</v>
          </cell>
          <cell r="AA274">
            <v>1357115.6350514225</v>
          </cell>
        </row>
        <row r="275">
          <cell r="B275" t="str">
            <v xml:space="preserve">2.1.1.  Pessoal / Administradores   </v>
          </cell>
          <cell r="G275">
            <v>20034</v>
          </cell>
          <cell r="H275">
            <v>27971</v>
          </cell>
          <cell r="I275">
            <v>31249</v>
          </cell>
          <cell r="J275">
            <v>34297</v>
          </cell>
          <cell r="K275">
            <v>34048</v>
          </cell>
          <cell r="L275">
            <v>34047</v>
          </cell>
          <cell r="M275">
            <v>34048</v>
          </cell>
          <cell r="N275">
            <v>34047</v>
          </cell>
          <cell r="O275">
            <v>34048</v>
          </cell>
          <cell r="P275">
            <v>34047</v>
          </cell>
          <cell r="Q275">
            <v>34048</v>
          </cell>
          <cell r="R275">
            <v>34047</v>
          </cell>
          <cell r="S275">
            <v>34048</v>
          </cell>
          <cell r="T275">
            <v>34047</v>
          </cell>
          <cell r="U275">
            <v>34048</v>
          </cell>
          <cell r="V275">
            <v>34047</v>
          </cell>
          <cell r="W275">
            <v>34047</v>
          </cell>
          <cell r="X275">
            <v>34047</v>
          </cell>
          <cell r="Y275">
            <v>34047</v>
          </cell>
          <cell r="Z275">
            <v>34047</v>
          </cell>
          <cell r="AA275">
            <v>658309</v>
          </cell>
        </row>
        <row r="276">
          <cell r="B276" t="str">
            <v xml:space="preserve">2.1.2.  Conservação de Rotina  </v>
          </cell>
          <cell r="G276">
            <v>2691</v>
          </cell>
          <cell r="H276">
            <v>5382</v>
          </cell>
          <cell r="I276">
            <v>5457</v>
          </cell>
          <cell r="J276">
            <v>5560</v>
          </cell>
          <cell r="K276">
            <v>6466</v>
          </cell>
          <cell r="L276">
            <v>6466</v>
          </cell>
          <cell r="M276">
            <v>6466</v>
          </cell>
          <cell r="N276">
            <v>6466</v>
          </cell>
          <cell r="O276">
            <v>6997</v>
          </cell>
          <cell r="P276">
            <v>6997</v>
          </cell>
          <cell r="Q276">
            <v>6997</v>
          </cell>
          <cell r="R276">
            <v>6997</v>
          </cell>
          <cell r="S276">
            <v>6997</v>
          </cell>
          <cell r="T276">
            <v>6997</v>
          </cell>
          <cell r="U276">
            <v>6997</v>
          </cell>
          <cell r="V276">
            <v>6997</v>
          </cell>
          <cell r="W276">
            <v>6997</v>
          </cell>
          <cell r="X276">
            <v>6997</v>
          </cell>
          <cell r="Y276">
            <v>6997</v>
          </cell>
          <cell r="Z276">
            <v>6997</v>
          </cell>
          <cell r="AA276">
            <v>128918</v>
          </cell>
        </row>
        <row r="277">
          <cell r="B277" t="str">
            <v xml:space="preserve">2.1.3.  Consumo   </v>
          </cell>
          <cell r="G277">
            <v>925</v>
          </cell>
          <cell r="H277">
            <v>987</v>
          </cell>
          <cell r="I277">
            <v>1000</v>
          </cell>
          <cell r="J277">
            <v>1135</v>
          </cell>
          <cell r="K277">
            <v>1135</v>
          </cell>
          <cell r="L277">
            <v>1135</v>
          </cell>
          <cell r="M277">
            <v>1135</v>
          </cell>
          <cell r="N277">
            <v>1135</v>
          </cell>
          <cell r="O277">
            <v>1135</v>
          </cell>
          <cell r="P277">
            <v>1135</v>
          </cell>
          <cell r="Q277">
            <v>1135</v>
          </cell>
          <cell r="R277">
            <v>1135</v>
          </cell>
          <cell r="S277">
            <v>1135</v>
          </cell>
          <cell r="T277">
            <v>1135</v>
          </cell>
          <cell r="U277">
            <v>1135</v>
          </cell>
          <cell r="V277">
            <v>1135</v>
          </cell>
          <cell r="W277">
            <v>1135</v>
          </cell>
          <cell r="X277">
            <v>1135</v>
          </cell>
          <cell r="Y277">
            <v>1135</v>
          </cell>
          <cell r="Z277">
            <v>1135</v>
          </cell>
          <cell r="AA277">
            <v>22207</v>
          </cell>
        </row>
        <row r="278">
          <cell r="B278" t="str">
            <v>2.1.4.  Transportes</v>
          </cell>
          <cell r="G278">
            <v>2399</v>
          </cell>
          <cell r="H278">
            <v>4565</v>
          </cell>
          <cell r="I278">
            <v>4981</v>
          </cell>
          <cell r="J278">
            <v>5230</v>
          </cell>
          <cell r="K278">
            <v>5306</v>
          </cell>
          <cell r="L278">
            <v>5307</v>
          </cell>
          <cell r="M278">
            <v>5306</v>
          </cell>
          <cell r="N278">
            <v>5307</v>
          </cell>
          <cell r="O278">
            <v>5306</v>
          </cell>
          <cell r="P278">
            <v>5307</v>
          </cell>
          <cell r="Q278">
            <v>5306</v>
          </cell>
          <cell r="R278">
            <v>5307</v>
          </cell>
          <cell r="S278">
            <v>5306</v>
          </cell>
          <cell r="T278">
            <v>5307</v>
          </cell>
          <cell r="U278">
            <v>5306</v>
          </cell>
          <cell r="V278">
            <v>5307</v>
          </cell>
          <cell r="W278">
            <v>5306</v>
          </cell>
          <cell r="X278">
            <v>5307</v>
          </cell>
          <cell r="Y278">
            <v>5306</v>
          </cell>
          <cell r="Z278">
            <v>5306</v>
          </cell>
          <cell r="AA278">
            <v>102078</v>
          </cell>
        </row>
        <row r="279">
          <cell r="B279" t="str">
            <v>2.1.5.  Diversas</v>
          </cell>
          <cell r="G279">
            <v>3376</v>
          </cell>
          <cell r="H279">
            <v>4638</v>
          </cell>
          <cell r="I279">
            <v>4059</v>
          </cell>
          <cell r="J279">
            <v>2441</v>
          </cell>
          <cell r="K279">
            <v>1745</v>
          </cell>
          <cell r="L279">
            <v>1745</v>
          </cell>
          <cell r="M279">
            <v>1745</v>
          </cell>
          <cell r="N279">
            <v>1745</v>
          </cell>
          <cell r="O279">
            <v>1745</v>
          </cell>
          <cell r="P279">
            <v>1745</v>
          </cell>
          <cell r="Q279">
            <v>1745</v>
          </cell>
          <cell r="R279">
            <v>1745</v>
          </cell>
          <cell r="S279">
            <v>1745</v>
          </cell>
          <cell r="T279">
            <v>1745</v>
          </cell>
          <cell r="U279">
            <v>1745</v>
          </cell>
          <cell r="V279">
            <v>1745</v>
          </cell>
          <cell r="W279">
            <v>1745</v>
          </cell>
          <cell r="X279">
            <v>1745</v>
          </cell>
          <cell r="Y279">
            <v>1745</v>
          </cell>
          <cell r="Z279">
            <v>1745</v>
          </cell>
          <cell r="AA279">
            <v>42434</v>
          </cell>
        </row>
        <row r="280">
          <cell r="B280" t="str">
            <v>2.1.6.  Tributos s/ Faturamento</v>
          </cell>
          <cell r="G280">
            <v>3457.3679999999999</v>
          </cell>
          <cell r="H280">
            <v>4628.9354999999996</v>
          </cell>
          <cell r="I280">
            <v>4958.6204999999991</v>
          </cell>
          <cell r="J280">
            <v>10276.406999999999</v>
          </cell>
          <cell r="K280">
            <v>10671.801726600001</v>
          </cell>
          <cell r="L280">
            <v>11063.396787475691</v>
          </cell>
          <cell r="M280">
            <v>19190.083929921766</v>
          </cell>
          <cell r="N280">
            <v>19875.150918454288</v>
          </cell>
          <cell r="O280">
            <v>20176.792090872506</v>
          </cell>
          <cell r="P280">
            <v>20492.178975732942</v>
          </cell>
          <cell r="Q280">
            <v>20764.173369687582</v>
          </cell>
          <cell r="R280">
            <v>21070.297136974208</v>
          </cell>
          <cell r="S280">
            <v>21381.163815274434</v>
          </cell>
          <cell r="T280">
            <v>21696.382859184665</v>
          </cell>
          <cell r="U280">
            <v>22016.078437116201</v>
          </cell>
          <cell r="V280">
            <v>22340.208950453693</v>
          </cell>
          <cell r="W280">
            <v>22938.658898571306</v>
          </cell>
          <cell r="X280">
            <v>23661.514035848195</v>
          </cell>
          <cell r="Y280">
            <v>24011.570846923642</v>
          </cell>
          <cell r="Z280">
            <v>24366.851272331354</v>
          </cell>
          <cell r="AA280">
            <v>349037.63505142246</v>
          </cell>
        </row>
        <row r="281">
          <cell r="B281" t="str">
            <v>2.1.7.  Seguros</v>
          </cell>
          <cell r="G281">
            <v>910</v>
          </cell>
          <cell r="H281">
            <v>910</v>
          </cell>
          <cell r="I281">
            <v>910</v>
          </cell>
          <cell r="J281">
            <v>910</v>
          </cell>
          <cell r="K281">
            <v>910</v>
          </cell>
          <cell r="L281">
            <v>910</v>
          </cell>
          <cell r="M281">
            <v>910</v>
          </cell>
          <cell r="N281">
            <v>910</v>
          </cell>
          <cell r="O281">
            <v>910</v>
          </cell>
          <cell r="P281">
            <v>910</v>
          </cell>
          <cell r="Q281">
            <v>910</v>
          </cell>
          <cell r="R281">
            <v>910</v>
          </cell>
          <cell r="S281">
            <v>910</v>
          </cell>
          <cell r="T281">
            <v>910</v>
          </cell>
          <cell r="U281">
            <v>910</v>
          </cell>
          <cell r="V281">
            <v>910</v>
          </cell>
          <cell r="W281">
            <v>910</v>
          </cell>
          <cell r="X281">
            <v>910</v>
          </cell>
          <cell r="Y281">
            <v>910</v>
          </cell>
          <cell r="Z281">
            <v>910</v>
          </cell>
          <cell r="AA281">
            <v>18200</v>
          </cell>
        </row>
        <row r="282">
          <cell r="B282" t="str">
            <v xml:space="preserve">2.1.8.  Garantias </v>
          </cell>
          <cell r="G282">
            <v>2478</v>
          </cell>
          <cell r="H282">
            <v>2328</v>
          </cell>
          <cell r="I282">
            <v>2136</v>
          </cell>
          <cell r="J282">
            <v>1990</v>
          </cell>
          <cell r="K282">
            <v>1928</v>
          </cell>
          <cell r="L282">
            <v>1902</v>
          </cell>
          <cell r="M282">
            <v>1873</v>
          </cell>
          <cell r="N282">
            <v>1843</v>
          </cell>
          <cell r="O282">
            <v>1804</v>
          </cell>
          <cell r="P282">
            <v>1759</v>
          </cell>
          <cell r="Q282">
            <v>1734</v>
          </cell>
          <cell r="R282">
            <v>1683</v>
          </cell>
          <cell r="S282">
            <v>1666</v>
          </cell>
          <cell r="T282">
            <v>1629</v>
          </cell>
          <cell r="U282">
            <v>1600</v>
          </cell>
          <cell r="V282">
            <v>1557</v>
          </cell>
          <cell r="W282">
            <v>1537</v>
          </cell>
          <cell r="X282">
            <v>1521</v>
          </cell>
          <cell r="Y282">
            <v>1497</v>
          </cell>
          <cell r="Z282">
            <v>1467</v>
          </cell>
          <cell r="AA282">
            <v>35932</v>
          </cell>
        </row>
        <row r="283">
          <cell r="B283" t="str">
            <v>2.2.  INVESTIMENTOS / IMOBILIZADO     (2.2.1.+ ... + 2.2.7)</v>
          </cell>
          <cell r="G283">
            <v>77642.7</v>
          </cell>
          <cell r="H283">
            <v>131178.44</v>
          </cell>
          <cell r="I283">
            <v>118033.92</v>
          </cell>
          <cell r="J283">
            <v>92210.27</v>
          </cell>
          <cell r="K283">
            <v>28172.539999999997</v>
          </cell>
          <cell r="L283">
            <v>29407.350000000002</v>
          </cell>
          <cell r="M283">
            <v>19503.780000000002</v>
          </cell>
          <cell r="N283">
            <v>24341.48</v>
          </cell>
          <cell r="O283">
            <v>69809.97</v>
          </cell>
          <cell r="P283">
            <v>47126.600000000006</v>
          </cell>
          <cell r="Q283">
            <v>4768.5</v>
          </cell>
          <cell r="R283">
            <v>654.63000000000034</v>
          </cell>
          <cell r="S283">
            <v>20131.39</v>
          </cell>
          <cell r="T283">
            <v>8298.4600000000009</v>
          </cell>
          <cell r="U283">
            <v>47432.810000000005</v>
          </cell>
          <cell r="V283">
            <v>66824.56</v>
          </cell>
          <cell r="W283">
            <v>26329.420000000002</v>
          </cell>
          <cell r="X283">
            <v>9427.6</v>
          </cell>
          <cell r="Y283">
            <v>24833.32</v>
          </cell>
          <cell r="Z283">
            <v>19641.18</v>
          </cell>
          <cell r="AA283">
            <v>865768.91999999993</v>
          </cell>
        </row>
        <row r="284">
          <cell r="B284" t="str">
            <v xml:space="preserve">2.2.1.  Ampliação Principal </v>
          </cell>
          <cell r="G284">
            <v>13858.4</v>
          </cell>
          <cell r="H284">
            <v>37111.25</v>
          </cell>
          <cell r="I284">
            <v>36050.32</v>
          </cell>
          <cell r="J284">
            <v>12038.28</v>
          </cell>
          <cell r="K284">
            <v>3053.3700000000003</v>
          </cell>
          <cell r="L284">
            <v>2336.0000000000009</v>
          </cell>
          <cell r="M284">
            <v>2742.6300000000006</v>
          </cell>
          <cell r="N284">
            <v>2692.6300000000006</v>
          </cell>
          <cell r="O284">
            <v>27657.599999999999</v>
          </cell>
          <cell r="P284">
            <v>11464.49</v>
          </cell>
          <cell r="Q284">
            <v>50</v>
          </cell>
          <cell r="R284">
            <v>38.82</v>
          </cell>
          <cell r="S284">
            <v>0</v>
          </cell>
          <cell r="T284">
            <v>3278.07</v>
          </cell>
          <cell r="U284">
            <v>33379.33</v>
          </cell>
          <cell r="V284">
            <v>46931.12</v>
          </cell>
          <cell r="W284">
            <v>19774.8</v>
          </cell>
          <cell r="X284">
            <v>0</v>
          </cell>
          <cell r="Y284">
            <v>0</v>
          </cell>
          <cell r="Z284">
            <v>0</v>
          </cell>
          <cell r="AA284">
            <v>252457.11</v>
          </cell>
        </row>
        <row r="285">
          <cell r="B285" t="str">
            <v>2.2.2.  Demais Obras de Ampliação/Melhoramentos</v>
          </cell>
          <cell r="G285">
            <v>16090.85</v>
          </cell>
          <cell r="H285">
            <v>29200.639999999999</v>
          </cell>
          <cell r="I285">
            <v>36249.01</v>
          </cell>
          <cell r="J285">
            <v>19933.34</v>
          </cell>
          <cell r="K285">
            <v>3939.89</v>
          </cell>
          <cell r="L285">
            <v>4060.4200000000005</v>
          </cell>
          <cell r="M285">
            <v>7584.3399999999992</v>
          </cell>
          <cell r="N285">
            <v>14452.34</v>
          </cell>
          <cell r="O285">
            <v>20397.32</v>
          </cell>
          <cell r="P285">
            <v>19914.62</v>
          </cell>
          <cell r="Q285">
            <v>3239.9</v>
          </cell>
          <cell r="R285">
            <v>241.78000000000034</v>
          </cell>
          <cell r="S285">
            <v>0</v>
          </cell>
          <cell r="T285">
            <v>700.45</v>
          </cell>
          <cell r="U285">
            <v>2705.51</v>
          </cell>
          <cell r="V285">
            <v>5544.21</v>
          </cell>
          <cell r="W285">
            <v>1829.92</v>
          </cell>
          <cell r="X285">
            <v>1594.18</v>
          </cell>
          <cell r="Y285">
            <v>1953.95</v>
          </cell>
          <cell r="Z285">
            <v>379.28</v>
          </cell>
          <cell r="AA285">
            <v>190011.95</v>
          </cell>
        </row>
        <row r="286">
          <cell r="B286" t="str">
            <v xml:space="preserve">2.2.3.  Equipamentos, Veiculos e Sist. Controle </v>
          </cell>
          <cell r="G286">
            <v>18270.07</v>
          </cell>
          <cell r="H286">
            <v>14890.93</v>
          </cell>
          <cell r="I286">
            <v>8116.82</v>
          </cell>
          <cell r="J286">
            <v>23857.84</v>
          </cell>
          <cell r="K286">
            <v>741.48</v>
          </cell>
          <cell r="L286">
            <v>6425.2</v>
          </cell>
          <cell r="M286">
            <v>415.54</v>
          </cell>
          <cell r="N286">
            <v>269.32</v>
          </cell>
          <cell r="O286">
            <v>12542.599999999999</v>
          </cell>
          <cell r="P286">
            <v>1045.97</v>
          </cell>
          <cell r="Q286">
            <v>209.85000000000036</v>
          </cell>
          <cell r="R286">
            <v>5.2799999999999914</v>
          </cell>
          <cell r="S286">
            <v>745.48999999999978</v>
          </cell>
          <cell r="T286">
            <v>872.88</v>
          </cell>
          <cell r="U286">
            <v>692.5</v>
          </cell>
          <cell r="V286">
            <v>755.88999999999942</v>
          </cell>
          <cell r="W286">
            <v>1355.19</v>
          </cell>
          <cell r="X286">
            <v>1189.67</v>
          </cell>
          <cell r="Y286">
            <v>9378.869999999999</v>
          </cell>
          <cell r="Z286">
            <v>3833.37</v>
          </cell>
          <cell r="AA286">
            <v>105614.76</v>
          </cell>
        </row>
        <row r="287">
          <cell r="B287" t="str">
            <v>2.2.4.  Desapropriações</v>
          </cell>
          <cell r="G287">
            <v>1765.1400000000008</v>
          </cell>
          <cell r="H287">
            <v>27575.53</v>
          </cell>
          <cell r="I287">
            <v>21168.94000000001</v>
          </cell>
          <cell r="J287">
            <v>24411.09</v>
          </cell>
          <cell r="K287">
            <v>15283.4</v>
          </cell>
          <cell r="L287">
            <v>5000</v>
          </cell>
          <cell r="M287">
            <v>2000</v>
          </cell>
          <cell r="N287">
            <v>2000</v>
          </cell>
          <cell r="O287">
            <v>1500</v>
          </cell>
          <cell r="P287">
            <v>1500</v>
          </cell>
          <cell r="Q287">
            <v>900</v>
          </cell>
          <cell r="R287">
            <v>0</v>
          </cell>
          <cell r="S287">
            <v>0</v>
          </cell>
          <cell r="T287">
            <v>0</v>
          </cell>
          <cell r="U287">
            <v>2000</v>
          </cell>
          <cell r="V287">
            <v>2000</v>
          </cell>
          <cell r="W287">
            <v>1387.9</v>
          </cell>
          <cell r="X287">
            <v>250</v>
          </cell>
          <cell r="Y287">
            <v>200</v>
          </cell>
          <cell r="Z287">
            <v>0</v>
          </cell>
          <cell r="AA287">
            <v>108942</v>
          </cell>
        </row>
        <row r="288">
          <cell r="B288" t="str">
            <v xml:space="preserve">2.2.5.  Conservação Especial </v>
          </cell>
          <cell r="G288">
            <v>27658.240000000002</v>
          </cell>
          <cell r="H288">
            <v>22400.09</v>
          </cell>
          <cell r="I288">
            <v>16448.830000000002</v>
          </cell>
          <cell r="J288">
            <v>11969.72</v>
          </cell>
          <cell r="K288">
            <v>5154.3999999999987</v>
          </cell>
          <cell r="L288">
            <v>11585.73</v>
          </cell>
          <cell r="M288">
            <v>6761.2700000000013</v>
          </cell>
          <cell r="N288">
            <v>4927.1899999999996</v>
          </cell>
          <cell r="O288">
            <v>7712.45</v>
          </cell>
          <cell r="P288">
            <v>13201.52</v>
          </cell>
          <cell r="Q288">
            <v>368.75</v>
          </cell>
          <cell r="R288">
            <v>368.75</v>
          </cell>
          <cell r="S288">
            <v>19385.900000000001</v>
          </cell>
          <cell r="T288">
            <v>3447.06</v>
          </cell>
          <cell r="U288">
            <v>8655.4699999999993</v>
          </cell>
          <cell r="V288">
            <v>11593.34</v>
          </cell>
          <cell r="W288">
            <v>1981.61</v>
          </cell>
          <cell r="X288">
            <v>6393.75</v>
          </cell>
          <cell r="Y288">
            <v>13300.5</v>
          </cell>
          <cell r="Z288">
            <v>15428.53</v>
          </cell>
          <cell r="AA288">
            <v>208743.09999999998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30214.560000000005</v>
          </cell>
          <cell r="H291">
            <v>32206.41</v>
          </cell>
          <cell r="I291">
            <v>51955.11</v>
          </cell>
          <cell r="J291">
            <v>41453.94</v>
          </cell>
          <cell r="K291">
            <v>22149.033372000002</v>
          </cell>
          <cell r="L291">
            <v>22308.925004781253</v>
          </cell>
          <cell r="M291">
            <v>15935.804686429628</v>
          </cell>
          <cell r="N291">
            <v>11696.099897216014</v>
          </cell>
          <cell r="O291">
            <v>11958.772495154992</v>
          </cell>
          <cell r="P291">
            <v>12068.196848285779</v>
          </cell>
          <cell r="Q291">
            <v>20842.659854814061</v>
          </cell>
          <cell r="R291">
            <v>22684.88918045348</v>
          </cell>
          <cell r="S291">
            <v>22792.745831887085</v>
          </cell>
          <cell r="T291">
            <v>22902.1119742837</v>
          </cell>
          <cell r="U291">
            <v>23013.03067183221</v>
          </cell>
          <cell r="V291">
            <v>23125.487497267175</v>
          </cell>
          <cell r="W291">
            <v>23333.084011065192</v>
          </cell>
          <cell r="X291">
            <v>23583.826833242143</v>
          </cell>
          <cell r="Y291">
            <v>23705.275438239412</v>
          </cell>
          <cell r="Z291">
            <v>23828.535701386594</v>
          </cell>
          <cell r="AA291">
            <v>481758.49929833878</v>
          </cell>
        </row>
        <row r="292">
          <cell r="B292" t="str">
            <v>2.3.1.  Valor Variável da Concessão</v>
          </cell>
          <cell r="G292">
            <v>2230.56</v>
          </cell>
          <cell r="H292">
            <v>2986.41</v>
          </cell>
          <cell r="I292">
            <v>3199.11</v>
          </cell>
          <cell r="J292">
            <v>6629.94</v>
          </cell>
          <cell r="K292">
            <v>6885.0333720000008</v>
          </cell>
          <cell r="L292">
            <v>7044.9250047812529</v>
          </cell>
          <cell r="M292">
            <v>6915.4923524281276</v>
          </cell>
          <cell r="N292">
            <v>7006.221127787614</v>
          </cell>
          <cell r="O292">
            <v>7110.8781818054922</v>
          </cell>
          <cell r="P292">
            <v>7220.3025349362797</v>
          </cell>
          <cell r="Q292">
            <v>7314.6774692558083</v>
          </cell>
          <cell r="R292">
            <v>7420.8891804534815</v>
          </cell>
          <cell r="S292">
            <v>7528.7458318870858</v>
          </cell>
          <cell r="T292">
            <v>7638.1119742837</v>
          </cell>
          <cell r="U292">
            <v>7749.0306718322099</v>
          </cell>
          <cell r="V292">
            <v>7861.4874972671769</v>
          </cell>
          <cell r="W292">
            <v>8069.0840110651907</v>
          </cell>
          <cell r="X292">
            <v>8319.8268332421449</v>
          </cell>
          <cell r="Y292">
            <v>8441.2754382394123</v>
          </cell>
          <cell r="Z292">
            <v>8564.5357013865942</v>
          </cell>
          <cell r="AA292">
            <v>136136.53718265161</v>
          </cell>
        </row>
        <row r="293">
          <cell r="B293" t="str">
            <v xml:space="preserve">2.3.2.  Valor Fixo da Concessão </v>
          </cell>
          <cell r="G293">
            <v>27984.000000000004</v>
          </cell>
          <cell r="H293">
            <v>29220</v>
          </cell>
          <cell r="I293">
            <v>48756</v>
          </cell>
          <cell r="J293">
            <v>34824</v>
          </cell>
          <cell r="K293">
            <v>15264</v>
          </cell>
          <cell r="L293">
            <v>15264</v>
          </cell>
          <cell r="M293">
            <v>9020.3123340015009</v>
          </cell>
          <cell r="N293">
            <v>4689.8787694284001</v>
          </cell>
          <cell r="O293">
            <v>4847.8943133494995</v>
          </cell>
          <cell r="P293">
            <v>4847.8943133494995</v>
          </cell>
          <cell r="Q293">
            <v>13527.982385558251</v>
          </cell>
          <cell r="R293">
            <v>15264</v>
          </cell>
          <cell r="S293">
            <v>15264</v>
          </cell>
          <cell r="T293">
            <v>15264</v>
          </cell>
          <cell r="U293">
            <v>15264</v>
          </cell>
          <cell r="V293">
            <v>15264</v>
          </cell>
          <cell r="W293">
            <v>15264</v>
          </cell>
          <cell r="X293">
            <v>15264</v>
          </cell>
          <cell r="Y293">
            <v>15264</v>
          </cell>
          <cell r="Z293">
            <v>15264</v>
          </cell>
          <cell r="AA293">
            <v>345621.9621156872</v>
          </cell>
        </row>
        <row r="294">
          <cell r="B294" t="str">
            <v>2.4.  DESEMBOLSOS  SOBRE O LUCRO     (2.4.1. + 2.4.2)</v>
          </cell>
          <cell r="G294">
            <v>4699.2958807269233</v>
          </cell>
          <cell r="H294">
            <v>5579.4520347876341</v>
          </cell>
          <cell r="I294">
            <v>4291.2101768471239</v>
          </cell>
          <cell r="J294">
            <v>36279.493982572843</v>
          </cell>
          <cell r="K294">
            <v>37429.216795737288</v>
          </cell>
          <cell r="L294">
            <v>38320.202153445265</v>
          </cell>
          <cell r="M294">
            <v>35699.013760128117</v>
          </cell>
          <cell r="N294">
            <v>37322.372416138649</v>
          </cell>
          <cell r="O294">
            <v>37254.268301000011</v>
          </cell>
          <cell r="P294">
            <v>37184.270558338903</v>
          </cell>
          <cell r="Q294">
            <v>34734.931741499058</v>
          </cell>
          <cell r="R294">
            <v>35780.992768214535</v>
          </cell>
          <cell r="S294">
            <v>36893.863784131987</v>
          </cell>
          <cell r="T294">
            <v>37470.187813851313</v>
          </cell>
          <cell r="U294">
            <v>37072.473473984937</v>
          </cell>
          <cell r="V294">
            <v>34326.736978664194</v>
          </cell>
          <cell r="W294">
            <v>32930.216994827875</v>
          </cell>
          <cell r="X294">
            <v>33803.039345075042</v>
          </cell>
          <cell r="Y294">
            <v>31677.832628316308</v>
          </cell>
          <cell r="Z294">
            <v>23661.680783673317</v>
          </cell>
          <cell r="AA294">
            <v>612410.75237196125</v>
          </cell>
        </row>
        <row r="295">
          <cell r="B295" t="str">
            <v xml:space="preserve">2.4.1.  Contribuição Social  </v>
          </cell>
          <cell r="G295">
            <v>1145.0414256307693</v>
          </cell>
          <cell r="H295">
            <v>1358.4126144939717</v>
          </cell>
          <cell r="I295">
            <v>1046.1115580235455</v>
          </cell>
          <cell r="J295">
            <v>8800.8470260782669</v>
          </cell>
          <cell r="K295">
            <v>9079.5677080575279</v>
          </cell>
          <cell r="L295">
            <v>9295.5641584109708</v>
          </cell>
          <cell r="M295">
            <v>8660.1245479098488</v>
          </cell>
          <cell r="N295">
            <v>9053.6660402760353</v>
          </cell>
          <cell r="O295">
            <v>9037.1559517575788</v>
          </cell>
          <cell r="P295">
            <v>9020.1868020215516</v>
          </cell>
          <cell r="Q295">
            <v>8426.4076949088612</v>
          </cell>
          <cell r="R295">
            <v>8679.9982468398866</v>
          </cell>
          <cell r="S295">
            <v>8949.7851597895751</v>
          </cell>
          <cell r="T295">
            <v>9089.500076085169</v>
          </cell>
          <cell r="U295">
            <v>8993.084478541803</v>
          </cell>
          <cell r="V295">
            <v>8327.4513887670819</v>
          </cell>
          <cell r="W295">
            <v>7988.9010896552427</v>
          </cell>
          <cell r="X295">
            <v>8200.4943866848607</v>
          </cell>
          <cell r="Y295">
            <v>7685.29275837971</v>
          </cell>
          <cell r="Z295">
            <v>5741.9832202844409</v>
          </cell>
          <cell r="AA295">
            <v>148579.57633259665</v>
          </cell>
        </row>
        <row r="296">
          <cell r="B296" t="str">
            <v xml:space="preserve">2.4.2.  Imposto de Renda  </v>
          </cell>
          <cell r="G296">
            <v>3554.2544550961538</v>
          </cell>
          <cell r="H296">
            <v>4221.0394202936623</v>
          </cell>
          <cell r="I296">
            <v>3245.0986188235784</v>
          </cell>
          <cell r="J296">
            <v>27478.646956494576</v>
          </cell>
          <cell r="K296">
            <v>28349.649087679762</v>
          </cell>
          <cell r="L296">
            <v>29024.637995034296</v>
          </cell>
          <cell r="M296">
            <v>27038.889212218266</v>
          </cell>
          <cell r="N296">
            <v>28268.70637586261</v>
          </cell>
          <cell r="O296">
            <v>28217.11234924243</v>
          </cell>
          <cell r="P296">
            <v>28164.083756317348</v>
          </cell>
          <cell r="Q296">
            <v>26308.524046590195</v>
          </cell>
          <cell r="R296">
            <v>27100.994521374651</v>
          </cell>
          <cell r="S296">
            <v>27944.078624342415</v>
          </cell>
          <cell r="T296">
            <v>28380.687737766144</v>
          </cell>
          <cell r="U296">
            <v>28079.388995443136</v>
          </cell>
          <cell r="V296">
            <v>25999.285589897114</v>
          </cell>
          <cell r="W296">
            <v>24941.315905172632</v>
          </cell>
          <cell r="X296">
            <v>25602.544958390183</v>
          </cell>
          <cell r="Y296">
            <v>23992.539869936598</v>
          </cell>
          <cell r="Z296">
            <v>17919.697563388876</v>
          </cell>
          <cell r="AA296">
            <v>463831.1760393646</v>
          </cell>
        </row>
        <row r="297">
          <cell r="B297" t="str">
            <v>3.  SALDO DO CAIXA     (1 - 2)</v>
          </cell>
          <cell r="G297">
            <v>-74107.923880726914</v>
          </cell>
          <cell r="H297">
            <v>-120345.23753478762</v>
          </cell>
          <cell r="I297">
            <v>-121630.86067684711</v>
          </cell>
          <cell r="J297">
            <v>-9719.1109825728345</v>
          </cell>
          <cell r="K297">
            <v>80706.520505662687</v>
          </cell>
          <cell r="L297">
            <v>83405.959547006205</v>
          </cell>
          <cell r="M297">
            <v>89914.729371124791</v>
          </cell>
          <cell r="N297">
            <v>90085.601027778204</v>
          </cell>
          <cell r="O297">
            <v>47140.469839822268</v>
          </cell>
          <cell r="P297">
            <v>73185.504782185017</v>
          </cell>
          <cell r="Q297">
            <v>112138.31734252622</v>
          </cell>
          <cell r="R297">
            <v>116669.16359614054</v>
          </cell>
          <cell r="S297">
            <v>99295.030964942707</v>
          </cell>
          <cell r="T297">
            <v>113830.58982880361</v>
          </cell>
          <cell r="U297">
            <v>78411.629811473627</v>
          </cell>
          <cell r="V297">
            <v>65143.589815854153</v>
          </cell>
          <cell r="W297">
            <v>113193.08713104203</v>
          </cell>
          <cell r="X297">
            <v>136644.58089390618</v>
          </cell>
          <cell r="Y297">
            <v>126988.8490278344</v>
          </cell>
          <cell r="Z297">
            <v>143881.27562216192</v>
          </cell>
          <cell r="AA297">
            <v>1244831.76603333</v>
          </cell>
        </row>
        <row r="298">
          <cell r="B298" t="str">
            <v xml:space="preserve">4. T.I.R. (Taxa Interna de Retorno) Anual do Projeto     </v>
          </cell>
          <cell r="G298">
            <v>0.18482198272984429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283242.32903350698</v>
          </cell>
          <cell r="H303">
            <v>287969.05948152556</v>
          </cell>
          <cell r="I303">
            <v>292775.11211849301</v>
          </cell>
          <cell r="J303">
            <v>297661.82668872463</v>
          </cell>
          <cell r="K303">
            <v>302630.5657302966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1464278.893052547</v>
          </cell>
        </row>
        <row r="304">
          <cell r="B304" t="str">
            <v>1.1.  RECEITAS     (1.1.1.+ ... + 1.1.4)</v>
          </cell>
          <cell r="G304">
            <v>283242.32903350698</v>
          </cell>
          <cell r="H304">
            <v>287969.05948152556</v>
          </cell>
          <cell r="I304">
            <v>292775.11211849301</v>
          </cell>
          <cell r="J304">
            <v>297661.82668872463</v>
          </cell>
          <cell r="K304">
            <v>302630.5657302966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1464278.893052547</v>
          </cell>
        </row>
        <row r="305">
          <cell r="B305" t="str">
            <v>1.1.1   Receitas de Pedágio</v>
          </cell>
          <cell r="G305">
            <v>274390.77790658275</v>
          </cell>
          <cell r="H305">
            <v>278969.79421749973</v>
          </cell>
          <cell r="I305">
            <v>283625.65383501293</v>
          </cell>
          <cell r="J305">
            <v>288359.6546353476</v>
          </cell>
          <cell r="K305">
            <v>293173.11657616671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1418518.9971706099</v>
          </cell>
        </row>
        <row r="306">
          <cell r="B306" t="str">
            <v>1.1.2   Outras Receitas Operacionais</v>
          </cell>
          <cell r="G306">
            <v>7479.656606994391</v>
          </cell>
          <cell r="H306">
            <v>7604.4766532976446</v>
          </cell>
          <cell r="I306">
            <v>7731.391382047118</v>
          </cell>
          <cell r="J306">
            <v>7860.436172232432</v>
          </cell>
          <cell r="K306">
            <v>7991.6470047642051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38667.60781933579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1371.8945199298544</v>
          </cell>
          <cell r="H308">
            <v>1394.7886107281797</v>
          </cell>
          <cell r="I308">
            <v>1418.0669014329922</v>
          </cell>
          <cell r="J308">
            <v>1441.7358811445981</v>
          </cell>
          <cell r="K308">
            <v>1465.8021493657147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7092.2880626013393</v>
          </cell>
        </row>
        <row r="309">
          <cell r="B309" t="str">
            <v>2.  DESEMBOLSOS     (2.1.+ ... + 2.4)</v>
          </cell>
          <cell r="G309">
            <v>150151.40143062337</v>
          </cell>
          <cell r="H309">
            <v>152091.30186380562</v>
          </cell>
          <cell r="I309">
            <v>154063.75696673157</v>
          </cell>
          <cell r="J309">
            <v>156069.31658471323</v>
          </cell>
          <cell r="K309">
            <v>158108.53991786425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770484.31676373794</v>
          </cell>
        </row>
        <row r="310">
          <cell r="B310" t="str">
            <v>2.1.  OPERACIONAIS     (2.1.1.+ ... + 2.1.8)</v>
          </cell>
          <cell r="G310">
            <v>76178.861366930083</v>
          </cell>
          <cell r="H310">
            <v>76605.028940894248</v>
          </cell>
          <cell r="I310">
            <v>77038.34829666563</v>
          </cell>
          <cell r="J310">
            <v>77478.940227166764</v>
          </cell>
          <cell r="K310">
            <v>77926.927580432341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385228.10641208902</v>
          </cell>
        </row>
        <row r="311">
          <cell r="B311" t="str">
            <v xml:space="preserve">2.1.1.  Pessoal / Administradores   </v>
          </cell>
          <cell r="G311">
            <v>34047</v>
          </cell>
          <cell r="H311">
            <v>34047</v>
          </cell>
          <cell r="I311">
            <v>34047</v>
          </cell>
          <cell r="J311">
            <v>34047</v>
          </cell>
          <cell r="K311">
            <v>34047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170235</v>
          </cell>
        </row>
        <row r="312">
          <cell r="B312" t="str">
            <v xml:space="preserve">2.1.2.  Conservação de Rotina  </v>
          </cell>
          <cell r="G312">
            <v>6997</v>
          </cell>
          <cell r="H312">
            <v>6997</v>
          </cell>
          <cell r="I312">
            <v>6997</v>
          </cell>
          <cell r="J312">
            <v>6997</v>
          </cell>
          <cell r="K312">
            <v>6997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34985</v>
          </cell>
        </row>
        <row r="313">
          <cell r="B313" t="str">
            <v xml:space="preserve">2.1.3.  Consumo   </v>
          </cell>
          <cell r="G313">
            <v>1135</v>
          </cell>
          <cell r="H313">
            <v>1135</v>
          </cell>
          <cell r="I313">
            <v>1135</v>
          </cell>
          <cell r="J313">
            <v>1135</v>
          </cell>
          <cell r="K313">
            <v>1135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5675</v>
          </cell>
        </row>
        <row r="314">
          <cell r="B314" t="str">
            <v>2.1.4.  Transportes</v>
          </cell>
          <cell r="G314">
            <v>5306</v>
          </cell>
          <cell r="H314">
            <v>5306</v>
          </cell>
          <cell r="I314">
            <v>5306</v>
          </cell>
          <cell r="J314">
            <v>5306</v>
          </cell>
          <cell r="K314">
            <v>5306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26530</v>
          </cell>
        </row>
        <row r="315">
          <cell r="B315" t="str">
            <v>2.1.5.  Diversas</v>
          </cell>
          <cell r="G315">
            <v>1745</v>
          </cell>
          <cell r="H315">
            <v>1745</v>
          </cell>
          <cell r="I315">
            <v>1745</v>
          </cell>
          <cell r="J315">
            <v>1745</v>
          </cell>
          <cell r="K315">
            <v>1745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8725</v>
          </cell>
        </row>
        <row r="316">
          <cell r="B316" t="str">
            <v>2.1.6.  Tributos s/ Faturamento</v>
          </cell>
          <cell r="G316">
            <v>25452.900236576013</v>
          </cell>
          <cell r="H316">
            <v>25877.656659633005</v>
          </cell>
          <cell r="I316">
            <v>26309.541183100519</v>
          </cell>
          <cell r="J316">
            <v>26748.67419992448</v>
          </cell>
          <cell r="K316">
            <v>27195.178151358057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131583.95043059209</v>
          </cell>
        </row>
        <row r="317">
          <cell r="B317" t="str">
            <v>2.1.7.  Seguros</v>
          </cell>
          <cell r="G317">
            <v>910</v>
          </cell>
          <cell r="H317">
            <v>910</v>
          </cell>
          <cell r="I317">
            <v>910</v>
          </cell>
          <cell r="J317">
            <v>910</v>
          </cell>
          <cell r="K317">
            <v>910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4550</v>
          </cell>
        </row>
        <row r="318">
          <cell r="B318" t="str">
            <v xml:space="preserve">2.1.8.  Garantias </v>
          </cell>
          <cell r="G318">
            <v>585.96113035407313</v>
          </cell>
          <cell r="H318">
            <v>587.37228126123932</v>
          </cell>
          <cell r="I318">
            <v>588.80711356511802</v>
          </cell>
          <cell r="J318">
            <v>590.26602724227405</v>
          </cell>
          <cell r="K318">
            <v>591.74942907427931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2944.1559814969837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8456.1130354073139</v>
          </cell>
          <cell r="H327">
            <v>8597.2281261239223</v>
          </cell>
          <cell r="I327">
            <v>8740.7113565117997</v>
          </cell>
          <cell r="J327">
            <v>8886.6027242274013</v>
          </cell>
          <cell r="K327">
            <v>9034.9429074279269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43715.598149698359</v>
          </cell>
        </row>
        <row r="328">
          <cell r="B328" t="str">
            <v>2.3.1.  Valor Variável da Concessão</v>
          </cell>
          <cell r="G328">
            <v>8456.1130354073139</v>
          </cell>
          <cell r="H328">
            <v>8597.2281261239223</v>
          </cell>
          <cell r="I328">
            <v>8740.7113565117997</v>
          </cell>
          <cell r="J328">
            <v>8886.6027242274013</v>
          </cell>
          <cell r="K328">
            <v>9034.9429074279269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43715.598149698359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65516.427028285972</v>
          </cell>
          <cell r="H330">
            <v>66889.044796787435</v>
          </cell>
          <cell r="I330">
            <v>68284.697313554134</v>
          </cell>
          <cell r="J330">
            <v>69703.77363331907</v>
          </cell>
          <cell r="K330">
            <v>71146.669430003996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341540.61220195063</v>
          </cell>
        </row>
        <row r="331">
          <cell r="B331" t="str">
            <v xml:space="preserve">2.4.1.  Contribuição Social  </v>
          </cell>
          <cell r="G331">
            <v>15888.58837049357</v>
          </cell>
          <cell r="H331">
            <v>16221.34419316059</v>
          </cell>
          <cell r="I331">
            <v>16559.684197225244</v>
          </cell>
          <cell r="J331">
            <v>16903.702698986439</v>
          </cell>
          <cell r="K331">
            <v>17253.495619394911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82826.815079260763</v>
          </cell>
        </row>
        <row r="332">
          <cell r="B332" t="str">
            <v xml:space="preserve">2.4.2.  Imposto de Renda  </v>
          </cell>
          <cell r="G332">
            <v>49627.838657792403</v>
          </cell>
          <cell r="H332">
            <v>50667.700603626843</v>
          </cell>
          <cell r="I332">
            <v>51725.01311632889</v>
          </cell>
          <cell r="J332">
            <v>52800.070934332623</v>
          </cell>
          <cell r="K332">
            <v>53893.173810609092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258713.79712268984</v>
          </cell>
        </row>
        <row r="333">
          <cell r="B333" t="str">
            <v>3.  SALDO DO CAIXA     (1 - 2)</v>
          </cell>
          <cell r="G333">
            <v>133090.9276028836</v>
          </cell>
          <cell r="H333">
            <v>135877.75761771994</v>
          </cell>
          <cell r="I333">
            <v>138711.35515176144</v>
          </cell>
          <cell r="J333">
            <v>141592.5101040114</v>
          </cell>
          <cell r="K333">
            <v>144522.02581243234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693794.57628880907</v>
          </cell>
        </row>
        <row r="334">
          <cell r="B334" t="str">
            <v xml:space="preserve">4. T.I.R. (Taxa Interna de Retorno) Anual do Projeto     </v>
          </cell>
          <cell r="G334">
            <v>0.19360997399325544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54">
          <cell r="F54" t="str">
            <v>ESTUDO DO REEQUILÍBRIO ECONÔMICO-FINANCEIRO</v>
          </cell>
        </row>
        <row r="55">
          <cell r="F55" t="str">
            <v>DA CONCESSIONÁRIA VIAOESTE</v>
          </cell>
        </row>
        <row r="56">
          <cell r="F56" t="str">
            <v>Versão: A-001 - outubro/2006</v>
          </cell>
        </row>
        <row r="57">
          <cell r="F57" t="str">
            <v>Valores a Preço de: julho/1997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25733.44526868036</v>
          </cell>
          <cell r="H67">
            <v>126225.66413471791</v>
          </cell>
          <cell r="I67">
            <v>0.20939254423031073</v>
          </cell>
        </row>
        <row r="68">
          <cell r="B68" t="str">
            <v>FATOR 2</v>
          </cell>
          <cell r="C68" t="str">
            <v>3ª Adequação - Investimentos</v>
          </cell>
          <cell r="G68">
            <v>1778.4553827698655</v>
          </cell>
          <cell r="H68">
            <v>8723.5389385388025</v>
          </cell>
          <cell r="I68">
            <v>0.19430100682593032</v>
          </cell>
        </row>
        <row r="69">
          <cell r="B69" t="str">
            <v>FATOR 3</v>
          </cell>
          <cell r="C69" t="str">
            <v>DIFERENÇA DE RECEITA DA SP-270</v>
          </cell>
          <cell r="G69">
            <v>-2965.2502231429698</v>
          </cell>
          <cell r="H69">
            <v>-14544.911294772615</v>
          </cell>
          <cell r="I69">
            <v>0.19164958126844359</v>
          </cell>
        </row>
        <row r="70">
          <cell r="B70" t="str">
            <v>FATOR 4</v>
          </cell>
          <cell r="C70" t="str">
            <v>DIFERENÇA DE RECEITA DA SP-075 X SP-270</v>
          </cell>
          <cell r="G70">
            <v>-1208.6874455252214</v>
          </cell>
          <cell r="H70">
            <v>-5928.7582346543904</v>
          </cell>
          <cell r="I70">
            <v>0.19260923388099299</v>
          </cell>
        </row>
        <row r="71">
          <cell r="B71" t="str">
            <v>FATOR 5</v>
          </cell>
          <cell r="C71" t="str">
            <v>Alteração de ISS-QN</v>
          </cell>
          <cell r="G71">
            <v>-9731.3297676935636</v>
          </cell>
          <cell r="H71">
            <v>-47733.350510048556</v>
          </cell>
          <cell r="I71">
            <v>0.18785617026087006</v>
          </cell>
        </row>
        <row r="72">
          <cell r="B72" t="str">
            <v>FATOR 6</v>
          </cell>
          <cell r="C72" t="str">
            <v>Majoração da COFINS</v>
          </cell>
          <cell r="G72">
            <v>-4562.4934014118271</v>
          </cell>
          <cell r="H72">
            <v>-22379.582434086136</v>
          </cell>
          <cell r="I72">
            <v>0.19076783767096686</v>
          </cell>
        </row>
        <row r="73">
          <cell r="B73" t="str">
            <v>FATOR 7</v>
          </cell>
          <cell r="C73">
            <v>0</v>
          </cell>
          <cell r="G73">
            <v>5.5798919494794395E-8</v>
          </cell>
          <cell r="H73">
            <v>2.7370045470756614E-7</v>
          </cell>
          <cell r="I73">
            <v>0.19327037557252341</v>
          </cell>
        </row>
        <row r="74">
          <cell r="B74" t="str">
            <v>FATOR 7</v>
          </cell>
          <cell r="C74" t="str">
            <v>DIFERENÇA PELO NÃO INÍCIO DA OPERAÇÃO DAS MARGINAIS - SP 280</v>
          </cell>
          <cell r="G74">
            <v>-19567.903452309554</v>
          </cell>
          <cell r="H74">
            <v>-95982.935172616155</v>
          </cell>
          <cell r="I74">
            <v>0.18293804140810907</v>
          </cell>
        </row>
        <row r="75">
          <cell r="B75" t="str">
            <v>FATOR 8</v>
          </cell>
          <cell r="C75" t="str">
            <v>4ª Adequação - Investimentos</v>
          </cell>
          <cell r="G75">
            <v>26590.71447300016</v>
          </cell>
          <cell r="H75">
            <v>130430.6733562856</v>
          </cell>
          <cell r="I75">
            <v>0.20829608837028563</v>
          </cell>
        </row>
        <row r="76">
          <cell r="B76" t="str">
            <v>FATOR 9</v>
          </cell>
          <cell r="C76" t="str">
            <v>REGIME TARIFÁRIO ESPECIAL DAS MARGINAIS DA SP-280</v>
          </cell>
          <cell r="G76">
            <v>-16534.230355471744</v>
          </cell>
          <cell r="H76">
            <v>-81102.401399626498</v>
          </cell>
          <cell r="I76">
            <v>0.18390646773845529</v>
          </cell>
        </row>
        <row r="77">
          <cell r="B77" t="str">
            <v>FATOR 10</v>
          </cell>
          <cell r="C77" t="str">
            <v>DIFERENÇA DE RECEITA DA SP-075 X SP-270 - 2</v>
          </cell>
          <cell r="G77">
            <v>-633.74691018944065</v>
          </cell>
          <cell r="H77">
            <v>-3108.6053109782379</v>
          </cell>
          <cell r="I77">
            <v>0.19292347618797812</v>
          </cell>
        </row>
        <row r="78">
          <cell r="B78" t="str">
            <v>FATOR 11</v>
          </cell>
          <cell r="C78" t="str">
            <v>DIFERENÇA DE RECEITA PELA POSTERGAÇÃO DA DUPLICAÇÃO</v>
          </cell>
          <cell r="G78">
            <v>-5701.1889491448674</v>
          </cell>
          <cell r="H78">
            <v>-27965.021937392106</v>
          </cell>
          <cell r="I78">
            <v>0.19012072224241236</v>
          </cell>
        </row>
        <row r="79">
          <cell r="B79" t="str">
            <v>FATOR 12</v>
          </cell>
          <cell r="C79" t="str">
            <v>DIFERENÇA DE IGPM 2003 - RECEITA REAL</v>
          </cell>
          <cell r="G79">
            <v>-688.00404272528317</v>
          </cell>
          <cell r="H79">
            <v>-3374.7431140153412</v>
          </cell>
          <cell r="I79">
            <v>0.19289373267658125</v>
          </cell>
        </row>
        <row r="80">
          <cell r="B80" t="str">
            <v>FATOR 14</v>
          </cell>
          <cell r="C80">
            <v>0</v>
          </cell>
          <cell r="G80">
            <v>5.5798919494794395E-8</v>
          </cell>
          <cell r="H80">
            <v>2.7370045470756614E-7</v>
          </cell>
          <cell r="I80">
            <v>0.19327037557252341</v>
          </cell>
        </row>
        <row r="81">
          <cell r="B81" t="str">
            <v>FATOR 13</v>
          </cell>
          <cell r="C81" t="str">
            <v>5ª Adequação - Investimentos</v>
          </cell>
          <cell r="G81">
            <v>-2176.5888463964843</v>
          </cell>
          <cell r="H81">
            <v>-10676.431772584985</v>
          </cell>
          <cell r="I81">
            <v>0.19208059764202703</v>
          </cell>
        </row>
        <row r="82">
          <cell r="B82" t="str">
            <v>TOTAL GERAL</v>
          </cell>
          <cell r="G82">
            <v>-9666.8082694489713</v>
          </cell>
          <cell r="H82">
            <v>-47416.864750685309</v>
          </cell>
          <cell r="I82">
            <v>0.18645436637078908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25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0.19327037557252341</v>
          </cell>
        </row>
        <row r="98">
          <cell r="B98" t="str">
            <v>TIR Resultante dos Desequilibrio no Contrato Original (ao ano)</v>
          </cell>
          <cell r="J98">
            <v>0.18645436637078908</v>
          </cell>
        </row>
        <row r="100">
          <cell r="B100" t="str">
            <v>Diferença entre a TIR Original x TIR Desequilibrios</v>
          </cell>
          <cell r="J100">
            <v>-6.8160092017343354E-3</v>
          </cell>
        </row>
        <row r="102">
          <cell r="B102" t="str">
            <v>TIR Resultante das Alternativas Utilizadas para o Reequilibrio (ao ano)</v>
          </cell>
          <cell r="J102">
            <v>0.19360997399325544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5.5798919494794395E-8</v>
          </cell>
          <cell r="G136">
            <v>0.19327037557252341</v>
          </cell>
          <cell r="H136">
            <v>-146068.54176000002</v>
          </cell>
          <cell r="I136">
            <v>-163024.19148499999</v>
          </cell>
          <cell r="J136">
            <v>-95881.515604999979</v>
          </cell>
          <cell r="K136">
            <v>39032.087509999998</v>
          </cell>
          <cell r="L136">
            <v>106526.57626999999</v>
          </cell>
          <cell r="M136">
            <v>106644.66430999996</v>
          </cell>
          <cell r="N136">
            <v>109145.42567499998</v>
          </cell>
          <cell r="O136">
            <v>104084.74404999999</v>
          </cell>
          <cell r="P136">
            <v>100262.04817999998</v>
          </cell>
          <cell r="Q136">
            <v>123874.85308500002</v>
          </cell>
          <cell r="R136">
            <v>101005.17119000001</v>
          </cell>
          <cell r="S136">
            <v>136260.60897500001</v>
          </cell>
          <cell r="T136">
            <v>119240.515145</v>
          </cell>
          <cell r="U136">
            <v>131747.38472</v>
          </cell>
          <cell r="V136">
            <v>121928.21519000002</v>
          </cell>
          <cell r="W136">
            <v>146150.786555</v>
          </cell>
          <cell r="X136">
            <v>152240.71505</v>
          </cell>
          <cell r="Y136">
            <v>147233.66691</v>
          </cell>
          <cell r="Z136">
            <v>147030.22589999999</v>
          </cell>
          <cell r="AA136">
            <v>155787.40448999999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72706.0625</v>
          </cell>
          <cell r="I139">
            <v>36766.289130000005</v>
          </cell>
          <cell r="J139">
            <v>-72807.668019999997</v>
          </cell>
          <cell r="K139">
            <v>-35306.57321000001</v>
          </cell>
          <cell r="L139">
            <v>-15478.82735</v>
          </cell>
          <cell r="M139">
            <v>4733.0540700000001</v>
          </cell>
          <cell r="N139">
            <v>8654.1</v>
          </cell>
          <cell r="O139">
            <v>7082.4160000000002</v>
          </cell>
          <cell r="P139">
            <v>1303.58214</v>
          </cell>
          <cell r="Q139">
            <v>-550.23214000000007</v>
          </cell>
          <cell r="R139">
            <v>3342.2550699999993</v>
          </cell>
          <cell r="S139">
            <v>-1860.079</v>
          </cell>
          <cell r="T139">
            <v>-3990.4539299999997</v>
          </cell>
          <cell r="U139">
            <v>-210.99</v>
          </cell>
          <cell r="V139">
            <v>242.26499999999999</v>
          </cell>
          <cell r="W139">
            <v>-4132.1959299999999</v>
          </cell>
          <cell r="X139">
            <v>-225.64999999999998</v>
          </cell>
          <cell r="Y139">
            <v>-220.08399999999995</v>
          </cell>
          <cell r="Z139">
            <v>1199.1624999999999</v>
          </cell>
          <cell r="AA139">
            <v>-1069.9375</v>
          </cell>
        </row>
        <row r="140">
          <cell r="B140" t="str">
            <v>Somatoria com Projeto Original</v>
          </cell>
          <cell r="F140">
            <v>25733.44526868036</v>
          </cell>
          <cell r="G140">
            <v>0.20939254423031073</v>
          </cell>
          <cell r="H140">
            <v>-73362.479260000022</v>
          </cell>
          <cell r="I140">
            <v>-126257.90235499998</v>
          </cell>
          <cell r="J140">
            <v>-168689.18362499998</v>
          </cell>
          <cell r="K140">
            <v>3725.514299999988</v>
          </cell>
          <cell r="L140">
            <v>91047.748919999984</v>
          </cell>
          <cell r="M140">
            <v>111377.71837999996</v>
          </cell>
          <cell r="N140">
            <v>117799.52567499998</v>
          </cell>
          <cell r="O140">
            <v>111167.16004999999</v>
          </cell>
          <cell r="P140">
            <v>101565.63031999998</v>
          </cell>
          <cell r="Q140">
            <v>123324.62094500003</v>
          </cell>
          <cell r="R140">
            <v>104347.42626000001</v>
          </cell>
          <cell r="S140">
            <v>134400.52997500001</v>
          </cell>
          <cell r="T140">
            <v>115250.06121499999</v>
          </cell>
          <cell r="U140">
            <v>131536.39472000001</v>
          </cell>
          <cell r="V140">
            <v>122170.48019000002</v>
          </cell>
          <cell r="W140">
            <v>142018.59062500001</v>
          </cell>
          <cell r="X140">
            <v>152015.06505</v>
          </cell>
          <cell r="Y140">
            <v>147013.58291</v>
          </cell>
          <cell r="Z140">
            <v>148229.3884</v>
          </cell>
          <cell r="AA140">
            <v>154717.46698999999</v>
          </cell>
        </row>
        <row r="141">
          <cell r="B141" t="str">
            <v>3ª Adequação - Investimentos</v>
          </cell>
        </row>
        <row r="142">
          <cell r="B142" t="str">
            <v>Fluxo de Caixa do Fator</v>
          </cell>
          <cell r="H142">
            <v>-231.29576864375031</v>
          </cell>
          <cell r="I142">
            <v>6080.3526833195565</v>
          </cell>
          <cell r="J142">
            <v>79686.847775654853</v>
          </cell>
          <cell r="K142">
            <v>-15606.036056441877</v>
          </cell>
          <cell r="L142">
            <v>-30741.278609232471</v>
          </cell>
          <cell r="M142">
            <v>-52950.702785041802</v>
          </cell>
          <cell r="N142">
            <v>-33805.394018680745</v>
          </cell>
          <cell r="O142">
            <v>-16188.901003732462</v>
          </cell>
          <cell r="P142">
            <v>10896.143145544609</v>
          </cell>
          <cell r="Q142">
            <v>-12431.627418080854</v>
          </cell>
          <cell r="R142">
            <v>-4020.8364311166497</v>
          </cell>
          <cell r="S142">
            <v>474.44344726845111</v>
          </cell>
          <cell r="T142">
            <v>5122.0182893240344</v>
          </cell>
          <cell r="U142">
            <v>13787.710893231633</v>
          </cell>
          <cell r="V142">
            <v>21918.596014579231</v>
          </cell>
          <cell r="W142">
            <v>1373.8504236792323</v>
          </cell>
          <cell r="X142">
            <v>2483.5654556363729</v>
          </cell>
          <cell r="Y142">
            <v>-3786.8134761664833</v>
          </cell>
          <cell r="Z142">
            <v>2838.2716307297687</v>
          </cell>
          <cell r="AA142">
            <v>11991.674966036016</v>
          </cell>
        </row>
        <row r="143">
          <cell r="B143" t="str">
            <v>Somatoria com Projeto Original</v>
          </cell>
          <cell r="F143">
            <v>1778.4553827698655</v>
          </cell>
          <cell r="G143">
            <v>0.19430100682593032</v>
          </cell>
          <cell r="H143">
            <v>-146299.83752864378</v>
          </cell>
          <cell r="I143">
            <v>-156943.83880168042</v>
          </cell>
          <cell r="J143">
            <v>-16194.667829345126</v>
          </cell>
          <cell r="K143">
            <v>23426.051453558121</v>
          </cell>
          <cell r="L143">
            <v>75785.297660767523</v>
          </cell>
          <cell r="M143">
            <v>53693.961524958162</v>
          </cell>
          <cell r="N143">
            <v>75340.031656319232</v>
          </cell>
          <cell r="O143">
            <v>87895.843046267531</v>
          </cell>
          <cell r="P143">
            <v>111158.1913255446</v>
          </cell>
          <cell r="Q143">
            <v>111443.22566691917</v>
          </cell>
          <cell r="R143">
            <v>96984.334758883357</v>
          </cell>
          <cell r="S143">
            <v>136735.05242226846</v>
          </cell>
          <cell r="T143">
            <v>124362.53343432402</v>
          </cell>
          <cell r="U143">
            <v>145535.09561323165</v>
          </cell>
          <cell r="V143">
            <v>143846.81120457925</v>
          </cell>
          <cell r="W143">
            <v>147524.63697867922</v>
          </cell>
          <cell r="X143">
            <v>154724.28050563636</v>
          </cell>
          <cell r="Y143">
            <v>143446.85343383352</v>
          </cell>
          <cell r="Z143">
            <v>149868.49753072977</v>
          </cell>
          <cell r="AA143">
            <v>167779.07945603601</v>
          </cell>
        </row>
        <row r="144">
          <cell r="B144" t="str">
            <v>DIFERENÇA DE RECEITA DA SP-270</v>
          </cell>
        </row>
        <row r="145">
          <cell r="B145" t="str">
            <v>Fluxo de Caixa do Fator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-3263.1747</v>
          </cell>
          <cell r="M145">
            <v>-3026.3967000000002</v>
          </cell>
          <cell r="N145">
            <v>-1957.1570999999999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B146" t="str">
            <v>Somatoria com Projeto Original</v>
          </cell>
          <cell r="F146">
            <v>-2965.2502231429698</v>
          </cell>
          <cell r="G146">
            <v>0.19164958126844359</v>
          </cell>
          <cell r="H146">
            <v>-146068.54176000002</v>
          </cell>
          <cell r="I146">
            <v>-163024.19148499999</v>
          </cell>
          <cell r="J146">
            <v>-95881.515604999979</v>
          </cell>
          <cell r="K146">
            <v>39032.087509999998</v>
          </cell>
          <cell r="L146">
            <v>103263.40156999999</v>
          </cell>
          <cell r="M146">
            <v>103618.26760999997</v>
          </cell>
          <cell r="N146">
            <v>107188.26857499998</v>
          </cell>
          <cell r="O146">
            <v>104084.74404999999</v>
          </cell>
          <cell r="P146">
            <v>100262.04817999998</v>
          </cell>
          <cell r="Q146">
            <v>123874.85308500002</v>
          </cell>
          <cell r="R146">
            <v>101005.17119000001</v>
          </cell>
          <cell r="S146">
            <v>136260.60897500001</v>
          </cell>
          <cell r="T146">
            <v>119240.515145</v>
          </cell>
          <cell r="U146">
            <v>131747.38472</v>
          </cell>
          <cell r="V146">
            <v>121928.21519000002</v>
          </cell>
          <cell r="W146">
            <v>146150.786555</v>
          </cell>
          <cell r="X146">
            <v>152240.71505</v>
          </cell>
          <cell r="Y146">
            <v>147233.66691</v>
          </cell>
          <cell r="Z146">
            <v>147030.22589999999</v>
          </cell>
          <cell r="AA146">
            <v>155787.40448999999</v>
          </cell>
        </row>
        <row r="147">
          <cell r="B147" t="str">
            <v>DIFERENÇA DE RECEITA DA SP-075 X SP-270</v>
          </cell>
        </row>
        <row r="148">
          <cell r="B148" t="str">
            <v>Fluxo de Caixa do Fator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-2924.2083000000002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B149" t="str">
            <v>Somatoria com Projeto Original</v>
          </cell>
          <cell r="F149">
            <v>-1208.6874455252214</v>
          </cell>
          <cell r="G149">
            <v>0.19260923388099299</v>
          </cell>
          <cell r="H149">
            <v>-146068.54176000002</v>
          </cell>
          <cell r="I149">
            <v>-163024.19148499999</v>
          </cell>
          <cell r="J149">
            <v>-95881.515604999979</v>
          </cell>
          <cell r="K149">
            <v>39032.087509999998</v>
          </cell>
          <cell r="L149">
            <v>103602.36796999999</v>
          </cell>
          <cell r="M149">
            <v>106644.66430999996</v>
          </cell>
          <cell r="N149">
            <v>109145.42567499998</v>
          </cell>
          <cell r="O149">
            <v>104084.74404999999</v>
          </cell>
          <cell r="P149">
            <v>100262.04817999998</v>
          </cell>
          <cell r="Q149">
            <v>123874.85308500002</v>
          </cell>
          <cell r="R149">
            <v>101005.17119000001</v>
          </cell>
          <cell r="S149">
            <v>136260.60897500001</v>
          </cell>
          <cell r="T149">
            <v>119240.515145</v>
          </cell>
          <cell r="U149">
            <v>131747.38472</v>
          </cell>
          <cell r="V149">
            <v>121928.21519000002</v>
          </cell>
          <cell r="W149">
            <v>146150.786555</v>
          </cell>
          <cell r="X149">
            <v>152240.71505</v>
          </cell>
          <cell r="Y149">
            <v>147233.66691</v>
          </cell>
          <cell r="Z149">
            <v>147030.22589999999</v>
          </cell>
          <cell r="AA149">
            <v>155787.40448999999</v>
          </cell>
        </row>
        <row r="150">
          <cell r="B150" t="str">
            <v>Alteração de ISS-QN</v>
          </cell>
        </row>
        <row r="151">
          <cell r="B151" t="str">
            <v>Fluxo de Caixa do Fator</v>
          </cell>
          <cell r="H151">
            <v>996.31679999999994</v>
          </cell>
          <cell r="I151">
            <v>1107.8671100000001</v>
          </cell>
          <cell r="J151">
            <v>-201.56212999999997</v>
          </cell>
          <cell r="K151">
            <v>-4179.3863000000001</v>
          </cell>
          <cell r="L151">
            <v>-1386.1228000000001</v>
          </cell>
          <cell r="M151">
            <v>-670.15409999999997</v>
          </cell>
          <cell r="N151">
            <v>-4691.1523999999999</v>
          </cell>
          <cell r="O151">
            <v>-4846.1435000000001</v>
          </cell>
          <cell r="P151">
            <v>-4939.9903999999997</v>
          </cell>
          <cell r="Q151">
            <v>-5035.7467999999999</v>
          </cell>
          <cell r="R151">
            <v>-5118.6391999999996</v>
          </cell>
          <cell r="S151">
            <v>-5202.8179999999993</v>
          </cell>
          <cell r="T151">
            <v>-5288.4640999999992</v>
          </cell>
          <cell r="U151">
            <v>-5375.4971000000005</v>
          </cell>
          <cell r="V151">
            <v>-5463.9571999999998</v>
          </cell>
          <cell r="W151">
            <v>-5553.8444</v>
          </cell>
          <cell r="X151">
            <v>-5645.219000000001</v>
          </cell>
          <cell r="Y151">
            <v>-5738.1412999999993</v>
          </cell>
          <cell r="Z151">
            <v>-5832.5509999999995</v>
          </cell>
          <cell r="AA151">
            <v>-5928.5686999999998</v>
          </cell>
        </row>
        <row r="152">
          <cell r="B152" t="str">
            <v>Somatoria com Projeto Original</v>
          </cell>
          <cell r="F152">
            <v>-9731.3297676935636</v>
          </cell>
          <cell r="G152">
            <v>0.18785617026087006</v>
          </cell>
          <cell r="H152">
            <v>-145072.22496000002</v>
          </cell>
          <cell r="I152">
            <v>-161916.324375</v>
          </cell>
          <cell r="J152">
            <v>-96083.077734999984</v>
          </cell>
          <cell r="K152">
            <v>34852.701209999999</v>
          </cell>
          <cell r="L152">
            <v>105140.45346999999</v>
          </cell>
          <cell r="M152">
            <v>105974.51020999996</v>
          </cell>
          <cell r="N152">
            <v>104454.27327499997</v>
          </cell>
          <cell r="O152">
            <v>99238.600549999988</v>
          </cell>
          <cell r="P152">
            <v>95322.057779999988</v>
          </cell>
          <cell r="Q152">
            <v>118839.10628500003</v>
          </cell>
          <cell r="R152">
            <v>95886.531990000003</v>
          </cell>
          <cell r="S152">
            <v>131057.79097500001</v>
          </cell>
          <cell r="T152">
            <v>113952.051045</v>
          </cell>
          <cell r="U152">
            <v>126371.88761999999</v>
          </cell>
          <cell r="V152">
            <v>116464.25799000001</v>
          </cell>
          <cell r="W152">
            <v>140596.942155</v>
          </cell>
          <cell r="X152">
            <v>146595.49604999999</v>
          </cell>
          <cell r="Y152">
            <v>141495.52561000001</v>
          </cell>
          <cell r="Z152">
            <v>141197.67489999998</v>
          </cell>
          <cell r="AA152">
            <v>149858.83578999998</v>
          </cell>
        </row>
        <row r="153">
          <cell r="B153" t="str">
            <v>Majoração da COFINS</v>
          </cell>
        </row>
        <row r="154">
          <cell r="B154" t="str">
            <v>Fluxo de Caixa do Fator</v>
          </cell>
          <cell r="H154">
            <v>-79.242033333333893</v>
          </cell>
          <cell r="I154">
            <v>-603.75040000000001</v>
          </cell>
          <cell r="J154">
            <v>-916.94190000000003</v>
          </cell>
          <cell r="K154">
            <v>-1323.0825</v>
          </cell>
          <cell r="L154">
            <v>-389.28786666666667</v>
          </cell>
          <cell r="M154">
            <v>-150.604833333333</v>
          </cell>
          <cell r="N154">
            <v>-1490.9107999999999</v>
          </cell>
          <cell r="O154">
            <v>-1542.5477000000001</v>
          </cell>
          <cell r="P154">
            <v>-1573.8032000000001</v>
          </cell>
          <cell r="Q154">
            <v>-1605.6952000000001</v>
          </cell>
          <cell r="R154">
            <v>-1633.2992000000002</v>
          </cell>
          <cell r="S154">
            <v>-1661.3319999999999</v>
          </cell>
          <cell r="T154">
            <v>-1689.8539000000001</v>
          </cell>
          <cell r="U154">
            <v>-1718.8380999999999</v>
          </cell>
          <cell r="V154">
            <v>-1748.2980000000002</v>
          </cell>
          <cell r="W154">
            <v>-1778.2336</v>
          </cell>
          <cell r="X154">
            <v>-1808.665</v>
          </cell>
          <cell r="Y154">
            <v>-1839.6123</v>
          </cell>
          <cell r="Z154">
            <v>-1871.0554</v>
          </cell>
          <cell r="AA154">
            <v>-1903.0345</v>
          </cell>
        </row>
        <row r="155">
          <cell r="B155" t="str">
            <v>Somatoria com Projeto Original</v>
          </cell>
          <cell r="F155">
            <v>-4562.4934014118271</v>
          </cell>
          <cell r="G155">
            <v>0.19076783767096686</v>
          </cell>
          <cell r="H155">
            <v>-146147.78379333336</v>
          </cell>
          <cell r="I155">
            <v>-163627.94188499998</v>
          </cell>
          <cell r="J155">
            <v>-96798.457504999984</v>
          </cell>
          <cell r="K155">
            <v>37709.005010000001</v>
          </cell>
          <cell r="L155">
            <v>106137.28840333332</v>
          </cell>
          <cell r="M155">
            <v>106494.05947666663</v>
          </cell>
          <cell r="N155">
            <v>107654.51487499998</v>
          </cell>
          <cell r="O155">
            <v>102542.19635</v>
          </cell>
          <cell r="P155">
            <v>98688.244979999989</v>
          </cell>
          <cell r="Q155">
            <v>122269.15788500002</v>
          </cell>
          <cell r="R155">
            <v>99371.871990000014</v>
          </cell>
          <cell r="S155">
            <v>134599.27697500002</v>
          </cell>
          <cell r="T155">
            <v>117550.661245</v>
          </cell>
          <cell r="U155">
            <v>130028.54662000001</v>
          </cell>
          <cell r="V155">
            <v>120179.91719000002</v>
          </cell>
          <cell r="W155">
            <v>144372.55295499999</v>
          </cell>
          <cell r="X155">
            <v>150432.05004999999</v>
          </cell>
          <cell r="Y155">
            <v>145394.05460999999</v>
          </cell>
          <cell r="Z155">
            <v>145159.17049999998</v>
          </cell>
          <cell r="AA155">
            <v>153884.36998999998</v>
          </cell>
        </row>
        <row r="156">
          <cell r="B156">
            <v>0</v>
          </cell>
        </row>
        <row r="157">
          <cell r="B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B158">
            <v>0</v>
          </cell>
          <cell r="F158">
            <v>5.5798919494794395E-8</v>
          </cell>
          <cell r="G158">
            <v>0.19327037557252341</v>
          </cell>
          <cell r="H158">
            <v>-146068.54176000002</v>
          </cell>
          <cell r="I158">
            <v>-163024.19148499999</v>
          </cell>
          <cell r="J158">
            <v>-95881.515604999979</v>
          </cell>
          <cell r="K158">
            <v>39032.087509999998</v>
          </cell>
          <cell r="L158">
            <v>106526.57626999999</v>
          </cell>
          <cell r="M158">
            <v>106644.66430999996</v>
          </cell>
          <cell r="N158">
            <v>109145.42567499998</v>
          </cell>
          <cell r="O158">
            <v>104084.74404999999</v>
          </cell>
          <cell r="P158">
            <v>100262.04817999998</v>
          </cell>
          <cell r="Q158">
            <v>123874.85308500002</v>
          </cell>
          <cell r="R158">
            <v>101005.17119000001</v>
          </cell>
          <cell r="S158">
            <v>136260.60897500001</v>
          </cell>
          <cell r="T158">
            <v>119240.515145</v>
          </cell>
          <cell r="U158">
            <v>131747.38472</v>
          </cell>
          <cell r="V158">
            <v>121928.21519000002</v>
          </cell>
          <cell r="W158">
            <v>146150.786555</v>
          </cell>
          <cell r="X158">
            <v>152240.71505</v>
          </cell>
          <cell r="Y158">
            <v>147233.66691</v>
          </cell>
          <cell r="Z158">
            <v>147030.22589999999</v>
          </cell>
          <cell r="AA158">
            <v>155787.40448999999</v>
          </cell>
        </row>
        <row r="159">
          <cell r="B159" t="str">
            <v>DIFERENÇA PELO NÃO INÍCIO DA OPERAÇÃO DAS MARGINAIS - SP 280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-33247.643830000001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B161" t="str">
            <v>Somatoria com Projeto Original</v>
          </cell>
          <cell r="F161">
            <v>-19567.903452309554</v>
          </cell>
          <cell r="G161">
            <v>0.18293804140810907</v>
          </cell>
          <cell r="H161">
            <v>-146068.54176000002</v>
          </cell>
          <cell r="I161">
            <v>-163024.19148499999</v>
          </cell>
          <cell r="J161">
            <v>-129129.15943499998</v>
          </cell>
          <cell r="K161">
            <v>39032.087509999998</v>
          </cell>
          <cell r="L161">
            <v>106526.57626999999</v>
          </cell>
          <cell r="M161">
            <v>106644.66430999996</v>
          </cell>
          <cell r="N161">
            <v>109145.42567499998</v>
          </cell>
          <cell r="O161">
            <v>104084.74404999999</v>
          </cell>
          <cell r="P161">
            <v>100262.04817999998</v>
          </cell>
          <cell r="Q161">
            <v>123874.85308500002</v>
          </cell>
          <cell r="R161">
            <v>101005.17119000001</v>
          </cell>
          <cell r="S161">
            <v>136260.60897500001</v>
          </cell>
          <cell r="T161">
            <v>119240.515145</v>
          </cell>
          <cell r="U161">
            <v>131747.38472</v>
          </cell>
          <cell r="V161">
            <v>121928.21519000002</v>
          </cell>
          <cell r="W161">
            <v>146150.786555</v>
          </cell>
          <cell r="X161">
            <v>152240.71505</v>
          </cell>
          <cell r="Y161">
            <v>147233.66691</v>
          </cell>
          <cell r="Z161">
            <v>147030.22589999999</v>
          </cell>
          <cell r="AA161">
            <v>155787.40448999999</v>
          </cell>
        </row>
        <row r="162">
          <cell r="B162" t="str">
            <v>4ª Adequação - Investimentos</v>
          </cell>
        </row>
        <row r="163">
          <cell r="B163" t="str">
            <v>Fluxo de Caixa do Fator</v>
          </cell>
          <cell r="H163">
            <v>-511.10808647978018</v>
          </cell>
          <cell r="I163">
            <v>-167.77705492051876</v>
          </cell>
          <cell r="J163">
            <v>618.97384530058571</v>
          </cell>
          <cell r="K163">
            <v>2161.2874772078139</v>
          </cell>
          <cell r="L163">
            <v>27667.025176100331</v>
          </cell>
          <cell r="M163">
            <v>31712.880688786256</v>
          </cell>
          <cell r="N163">
            <v>19111.911574356753</v>
          </cell>
          <cell r="O163">
            <v>8427.3983512601189</v>
          </cell>
          <cell r="P163">
            <v>-10824.669053098758</v>
          </cell>
          <cell r="Q163">
            <v>2109.6555196277504</v>
          </cell>
          <cell r="R163">
            <v>17978.916899197615</v>
          </cell>
          <cell r="S163">
            <v>1263.9623038715072</v>
          </cell>
          <cell r="T163">
            <v>-4660.3257340271903</v>
          </cell>
          <cell r="U163">
            <v>-9566.8373873293458</v>
          </cell>
          <cell r="V163">
            <v>-23204.735786401103</v>
          </cell>
          <cell r="W163">
            <v>-33197.511816020931</v>
          </cell>
          <cell r="X163">
            <v>-9470.5231093187831</v>
          </cell>
          <cell r="Y163">
            <v>9107.4668117632591</v>
          </cell>
          <cell r="Z163">
            <v>-901.71930928458914</v>
          </cell>
          <cell r="AA163">
            <v>-6549.9477161736322</v>
          </cell>
        </row>
        <row r="164">
          <cell r="B164" t="str">
            <v>Somatoria com Projeto Original</v>
          </cell>
          <cell r="F164">
            <v>26590.71447300016</v>
          </cell>
          <cell r="G164">
            <v>0.20829608837028563</v>
          </cell>
          <cell r="H164">
            <v>-146579.64984647979</v>
          </cell>
          <cell r="I164">
            <v>-163191.96853992052</v>
          </cell>
          <cell r="J164">
            <v>-95262.541759699394</v>
          </cell>
          <cell r="K164">
            <v>41193.374987207812</v>
          </cell>
          <cell r="L164">
            <v>134193.60144610034</v>
          </cell>
          <cell r="M164">
            <v>138357.54499878621</v>
          </cell>
          <cell r="N164">
            <v>128257.33724935673</v>
          </cell>
          <cell r="O164">
            <v>112512.14240126012</v>
          </cell>
          <cell r="P164">
            <v>89437.379126901229</v>
          </cell>
          <cell r="Q164">
            <v>125984.50860462777</v>
          </cell>
          <cell r="R164">
            <v>118984.08808919763</v>
          </cell>
          <cell r="S164">
            <v>137524.5712788715</v>
          </cell>
          <cell r="T164">
            <v>114580.1894109728</v>
          </cell>
          <cell r="U164">
            <v>122180.54733267066</v>
          </cell>
          <cell r="V164">
            <v>98723.479403598918</v>
          </cell>
          <cell r="W164">
            <v>112953.27473897906</v>
          </cell>
          <cell r="X164">
            <v>142770.19194068122</v>
          </cell>
          <cell r="Y164">
            <v>156341.13372176327</v>
          </cell>
          <cell r="Z164">
            <v>146128.50659071541</v>
          </cell>
          <cell r="AA164">
            <v>149237.45677382636</v>
          </cell>
        </row>
        <row r="165">
          <cell r="B165" t="str">
            <v>REGIME TARIFÁRIO ESPECIAL DAS MARGINAIS DA SP-280</v>
          </cell>
        </row>
        <row r="166">
          <cell r="B166" t="str">
            <v>Fluxo de Caixa do Fator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-8178.6143751711525</v>
          </cell>
          <cell r="O166">
            <v>-8798.3715978230102</v>
          </cell>
          <cell r="P166">
            <v>-9383.6817083732221</v>
          </cell>
          <cell r="Q166">
            <v>-9929.9919448196088</v>
          </cell>
          <cell r="R166">
            <v>-10432.449537227483</v>
          </cell>
          <cell r="S166">
            <v>-10745.423023344309</v>
          </cell>
          <cell r="T166">
            <v>-11067.785714044638</v>
          </cell>
          <cell r="U166">
            <v>-11399.819285465977</v>
          </cell>
          <cell r="V166">
            <v>-11741.813864029955</v>
          </cell>
          <cell r="W166">
            <v>-12094.068279950852</v>
          </cell>
          <cell r="X166">
            <v>-12456.890328349382</v>
          </cell>
          <cell r="Y166">
            <v>-12830.597038199863</v>
          </cell>
          <cell r="Z166">
            <v>-13215.514949345858</v>
          </cell>
          <cell r="AA166">
            <v>-13611.980397826233</v>
          </cell>
        </row>
        <row r="167">
          <cell r="B167" t="str">
            <v>Somatoria com Projeto Original</v>
          </cell>
          <cell r="F167">
            <v>-16534.230355471744</v>
          </cell>
          <cell r="G167">
            <v>0.18390646773845529</v>
          </cell>
          <cell r="H167">
            <v>-146068.54176000002</v>
          </cell>
          <cell r="I167">
            <v>-163024.19148499999</v>
          </cell>
          <cell r="J167">
            <v>-95881.515604999979</v>
          </cell>
          <cell r="K167">
            <v>39032.087509999998</v>
          </cell>
          <cell r="L167">
            <v>106526.57626999999</v>
          </cell>
          <cell r="M167">
            <v>106644.66430999996</v>
          </cell>
          <cell r="N167">
            <v>100966.81129982883</v>
          </cell>
          <cell r="O167">
            <v>95286.372452176991</v>
          </cell>
          <cell r="P167">
            <v>90878.366471626767</v>
          </cell>
          <cell r="Q167">
            <v>113944.86114018041</v>
          </cell>
          <cell r="R167">
            <v>90572.721652772525</v>
          </cell>
          <cell r="S167">
            <v>125515.1859516557</v>
          </cell>
          <cell r="T167">
            <v>108172.72943095535</v>
          </cell>
          <cell r="U167">
            <v>120347.56543453403</v>
          </cell>
          <cell r="V167">
            <v>110186.40132597006</v>
          </cell>
          <cell r="W167">
            <v>134056.71827504915</v>
          </cell>
          <cell r="X167">
            <v>139783.82472165063</v>
          </cell>
          <cell r="Y167">
            <v>134403.06987180014</v>
          </cell>
          <cell r="Z167">
            <v>133814.71095065415</v>
          </cell>
          <cell r="AA167">
            <v>142175.42409217375</v>
          </cell>
        </row>
        <row r="168">
          <cell r="B168" t="str">
            <v>DIFERENÇA DE RECEITA DA SP-075 X SP-270 - 2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-769.67909080799984</v>
          </cell>
          <cell r="M169">
            <v>-911.13464840099959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</row>
        <row r="170">
          <cell r="B170" t="str">
            <v>Somatoria com Projeto Original</v>
          </cell>
          <cell r="F170">
            <v>-633.74691018944065</v>
          </cell>
          <cell r="G170">
            <v>0.19292347618797812</v>
          </cell>
          <cell r="H170">
            <v>-146068.54176000002</v>
          </cell>
          <cell r="I170">
            <v>-163024.19148499999</v>
          </cell>
          <cell r="J170">
            <v>-95881.515604999979</v>
          </cell>
          <cell r="K170">
            <v>39032.087509999998</v>
          </cell>
          <cell r="L170">
            <v>105756.89717919199</v>
          </cell>
          <cell r="M170">
            <v>105733.52966159896</v>
          </cell>
          <cell r="N170">
            <v>109145.42567499998</v>
          </cell>
          <cell r="O170">
            <v>104084.74404999999</v>
          </cell>
          <cell r="P170">
            <v>100262.04817999998</v>
          </cell>
          <cell r="Q170">
            <v>123874.85308500002</v>
          </cell>
          <cell r="R170">
            <v>101005.17119000001</v>
          </cell>
          <cell r="S170">
            <v>136260.60897500001</v>
          </cell>
          <cell r="T170">
            <v>119240.515145</v>
          </cell>
          <cell r="U170">
            <v>131747.38472</v>
          </cell>
          <cell r="V170">
            <v>121928.21519000002</v>
          </cell>
          <cell r="W170">
            <v>146150.786555</v>
          </cell>
          <cell r="X170">
            <v>152240.71505</v>
          </cell>
          <cell r="Y170">
            <v>147233.66691</v>
          </cell>
          <cell r="Z170">
            <v>147030.22589999999</v>
          </cell>
          <cell r="AA170">
            <v>155787.40448999999</v>
          </cell>
        </row>
        <row r="171">
          <cell r="B171" t="str">
            <v>DIFERENÇA DE RECEITA PELA POSTERGAÇÃO DA DUPLICAÇÃO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-304.63454957400012</v>
          </cell>
          <cell r="M172">
            <v>-624.8313331979997</v>
          </cell>
          <cell r="N172">
            <v>-1738.5499235070001</v>
          </cell>
          <cell r="O172">
            <v>-3698.5593759149997</v>
          </cell>
          <cell r="P172">
            <v>-3802.0952919750002</v>
          </cell>
          <cell r="Q172">
            <v>-3908.560388673</v>
          </cell>
          <cell r="R172">
            <v>-3978.9340067759999</v>
          </cell>
          <cell r="S172">
            <v>-4050.607299321</v>
          </cell>
          <cell r="T172">
            <v>-4123.5963672119997</v>
          </cell>
          <cell r="U172">
            <v>-4197.9228756359998</v>
          </cell>
          <cell r="V172">
            <v>-4273.6293262440004</v>
          </cell>
          <cell r="W172">
            <v>-4350.6999732989998</v>
          </cell>
          <cell r="X172">
            <v>-2583.7020314122501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 t="str">
            <v>Somatoria com Projeto Original</v>
          </cell>
          <cell r="F173">
            <v>-5701.1889491448674</v>
          </cell>
          <cell r="G173">
            <v>0.19012072224241236</v>
          </cell>
          <cell r="H173">
            <v>-146068.54176000002</v>
          </cell>
          <cell r="I173">
            <v>-163024.19148499999</v>
          </cell>
          <cell r="J173">
            <v>-95881.515604999979</v>
          </cell>
          <cell r="K173">
            <v>39032.087509999998</v>
          </cell>
          <cell r="L173">
            <v>106221.941720426</v>
          </cell>
          <cell r="M173">
            <v>106019.83297680196</v>
          </cell>
          <cell r="N173">
            <v>107406.87575149297</v>
          </cell>
          <cell r="O173">
            <v>100386.184674085</v>
          </cell>
          <cell r="P173">
            <v>96459.952888024985</v>
          </cell>
          <cell r="Q173">
            <v>119966.29269632703</v>
          </cell>
          <cell r="R173">
            <v>97026.237183224002</v>
          </cell>
          <cell r="S173">
            <v>132210.001675679</v>
          </cell>
          <cell r="T173">
            <v>115116.918777788</v>
          </cell>
          <cell r="U173">
            <v>127549.46184436401</v>
          </cell>
          <cell r="V173">
            <v>117654.58586375602</v>
          </cell>
          <cell r="W173">
            <v>141800.08658170101</v>
          </cell>
          <cell r="X173">
            <v>149657.01301858775</v>
          </cell>
          <cell r="Y173">
            <v>147233.66691</v>
          </cell>
          <cell r="Z173">
            <v>147030.22589999999</v>
          </cell>
          <cell r="AA173">
            <v>155787.40448999999</v>
          </cell>
        </row>
        <row r="174">
          <cell r="B174" t="str">
            <v>DIFERENÇA DE IGPM 2003 - RECEITA REAL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-1986.205331559705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B176" t="str">
            <v>Somatoria com Projeto Original</v>
          </cell>
          <cell r="F176">
            <v>-688.00404272528317</v>
          </cell>
          <cell r="G176">
            <v>0.19289373267658125</v>
          </cell>
          <cell r="H176">
            <v>-146068.54176000002</v>
          </cell>
          <cell r="I176">
            <v>-163024.19148499999</v>
          </cell>
          <cell r="J176">
            <v>-95881.515604999979</v>
          </cell>
          <cell r="K176">
            <v>39032.087509999998</v>
          </cell>
          <cell r="L176">
            <v>106526.57626999999</v>
          </cell>
          <cell r="M176">
            <v>104658.45897844026</v>
          </cell>
          <cell r="N176">
            <v>109145.42567499998</v>
          </cell>
          <cell r="O176">
            <v>104084.74404999999</v>
          </cell>
          <cell r="P176">
            <v>100262.04817999998</v>
          </cell>
          <cell r="Q176">
            <v>123874.85308500002</v>
          </cell>
          <cell r="R176">
            <v>101005.17119000001</v>
          </cell>
          <cell r="S176">
            <v>136260.60897500001</v>
          </cell>
          <cell r="T176">
            <v>119240.515145</v>
          </cell>
          <cell r="U176">
            <v>131747.38472</v>
          </cell>
          <cell r="V176">
            <v>121928.21519000002</v>
          </cell>
          <cell r="W176">
            <v>146150.786555</v>
          </cell>
          <cell r="X176">
            <v>152240.71505</v>
          </cell>
          <cell r="Y176">
            <v>147233.66691</v>
          </cell>
          <cell r="Z176">
            <v>147030.22589999999</v>
          </cell>
          <cell r="AA176">
            <v>155787.40448999999</v>
          </cell>
        </row>
        <row r="177">
          <cell r="B177">
            <v>0</v>
          </cell>
        </row>
        <row r="178">
          <cell r="B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</row>
        <row r="179">
          <cell r="B179">
            <v>0</v>
          </cell>
          <cell r="F179">
            <v>5.5798919494794395E-8</v>
          </cell>
          <cell r="G179">
            <v>0.19327037557252341</v>
          </cell>
          <cell r="H179">
            <v>-146068.54176000002</v>
          </cell>
          <cell r="I179">
            <v>-163024.19148499999</v>
          </cell>
          <cell r="J179">
            <v>-95881.515604999979</v>
          </cell>
          <cell r="K179">
            <v>39032.087509999998</v>
          </cell>
          <cell r="L179">
            <v>106526.57626999999</v>
          </cell>
          <cell r="M179">
            <v>106644.66430999996</v>
          </cell>
          <cell r="N179">
            <v>109145.42567499998</v>
          </cell>
          <cell r="O179">
            <v>104084.74404999999</v>
          </cell>
          <cell r="P179">
            <v>100262.04817999998</v>
          </cell>
          <cell r="Q179">
            <v>123874.85308500002</v>
          </cell>
          <cell r="R179">
            <v>101005.17119000001</v>
          </cell>
          <cell r="S179">
            <v>136260.60897500001</v>
          </cell>
          <cell r="T179">
            <v>119240.515145</v>
          </cell>
          <cell r="U179">
            <v>131747.38472</v>
          </cell>
          <cell r="V179">
            <v>121928.21519000002</v>
          </cell>
          <cell r="W179">
            <v>146150.786555</v>
          </cell>
          <cell r="X179">
            <v>152240.71505</v>
          </cell>
          <cell r="Y179">
            <v>147233.66691</v>
          </cell>
          <cell r="Z179">
            <v>147030.22589999999</v>
          </cell>
          <cell r="AA179">
            <v>155787.40448999999</v>
          </cell>
        </row>
        <row r="180">
          <cell r="B180" t="str">
            <v>5ª Adequação - Investimentos</v>
          </cell>
        </row>
        <row r="181">
          <cell r="B181" t="str">
            <v>Fluxo de Caixa do Fator</v>
          </cell>
          <cell r="H181">
            <v>-4.7545707411700278E-3</v>
          </cell>
          <cell r="I181">
            <v>-4.3047690141975181E-2</v>
          </cell>
          <cell r="J181">
            <v>1.2799929911125218E-2</v>
          </cell>
          <cell r="K181">
            <v>-8.8630168811505428E-3</v>
          </cell>
          <cell r="L181">
            <v>-1.6817437248732858E-2</v>
          </cell>
          <cell r="M181">
            <v>49.132733959264968</v>
          </cell>
          <cell r="N181">
            <v>427.42931750932394</v>
          </cell>
          <cell r="O181">
            <v>-1020.9408521737435</v>
          </cell>
          <cell r="P181">
            <v>-24841.842011920169</v>
          </cell>
          <cell r="Q181">
            <v>281.02712509579931</v>
          </cell>
          <cell r="R181">
            <v>12737.234363257021</v>
          </cell>
          <cell r="S181">
            <v>1096.4040134913676</v>
          </cell>
          <cell r="T181">
            <v>4660.7451778745108</v>
          </cell>
          <cell r="U181">
            <v>-324.98927756876861</v>
          </cell>
          <cell r="V181">
            <v>3724.3490021469506</v>
          </cell>
          <cell r="W181">
            <v>12213.988464310578</v>
          </cell>
          <cell r="X181">
            <v>218.38289198839925</v>
          </cell>
          <cell r="Y181">
            <v>-1972.5952578898077</v>
          </cell>
          <cell r="Z181">
            <v>-9043.6600218135482</v>
          </cell>
          <cell r="AA181">
            <v>-1678.9002256918711</v>
          </cell>
        </row>
        <row r="182">
          <cell r="B182" t="str">
            <v>Somatoria com Projeto Original</v>
          </cell>
          <cell r="F182">
            <v>-2176.5888463964843</v>
          </cell>
          <cell r="G182">
            <v>0.19208059764202703</v>
          </cell>
          <cell r="H182">
            <v>-146068.54651457077</v>
          </cell>
          <cell r="I182">
            <v>-163024.23453269014</v>
          </cell>
          <cell r="J182">
            <v>-95881.502805070064</v>
          </cell>
          <cell r="K182">
            <v>39032.078646983115</v>
          </cell>
          <cell r="L182">
            <v>106526.55945256274</v>
          </cell>
          <cell r="M182">
            <v>106693.79704395923</v>
          </cell>
          <cell r="N182">
            <v>109572.8549925093</v>
          </cell>
          <cell r="O182">
            <v>103063.80319782624</v>
          </cell>
          <cell r="P182">
            <v>75420.206168079807</v>
          </cell>
          <cell r="Q182">
            <v>124155.88021009583</v>
          </cell>
          <cell r="R182">
            <v>113742.40555325703</v>
          </cell>
          <cell r="S182">
            <v>137357.01298849139</v>
          </cell>
          <cell r="T182">
            <v>123901.26032287451</v>
          </cell>
          <cell r="U182">
            <v>131422.39544243124</v>
          </cell>
          <cell r="V182">
            <v>125652.56419214697</v>
          </cell>
          <cell r="W182">
            <v>158364.77501931059</v>
          </cell>
          <cell r="X182">
            <v>152459.09794198841</v>
          </cell>
          <cell r="Y182">
            <v>145261.0716521102</v>
          </cell>
          <cell r="Z182">
            <v>137986.56587818643</v>
          </cell>
          <cell r="AA182">
            <v>154108.50426430811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72880.728656972409</v>
          </cell>
          <cell r="I184">
            <v>43182.938420708902</v>
          </cell>
          <cell r="J184">
            <v>-26867.98145911465</v>
          </cell>
          <cell r="K184">
            <v>-54253.799452250947</v>
          </cell>
          <cell r="L184">
            <v>-27590.204907618056</v>
          </cell>
          <cell r="M184">
            <v>-23824.962238788314</v>
          </cell>
          <cell r="N184">
            <v>-23668.337725492824</v>
          </cell>
          <cell r="O184">
            <v>-20585.649678384096</v>
          </cell>
          <cell r="P184">
            <v>-43166.356379822537</v>
          </cell>
          <cell r="Q184">
            <v>-31071.171246849914</v>
          </cell>
          <cell r="R184">
            <v>8874.2479573345008</v>
          </cell>
          <cell r="S184">
            <v>-20685.449558033983</v>
          </cell>
          <cell r="T184">
            <v>-21037.716278085281</v>
          </cell>
          <cell r="U184">
            <v>-19007.183132768459</v>
          </cell>
          <cell r="V184">
            <v>-20547.224159948881</v>
          </cell>
          <cell r="W184">
            <v>-47518.715111280973</v>
          </cell>
          <cell r="X184">
            <v>-29488.701121455644</v>
          </cell>
          <cell r="Y184">
            <v>-17280.376560492896</v>
          </cell>
          <cell r="Z184">
            <v>-26827.066549714225</v>
          </cell>
          <cell r="AA184">
            <v>-18750.694073655719</v>
          </cell>
        </row>
        <row r="185">
          <cell r="B185" t="str">
            <v>Somatoria com Projeto Original</v>
          </cell>
          <cell r="F185">
            <v>-9666.8082702298179</v>
          </cell>
          <cell r="G185">
            <v>0.18645436637078908</v>
          </cell>
          <cell r="H185">
            <v>-73187.813103027613</v>
          </cell>
          <cell r="I185">
            <v>-119841.25306429109</v>
          </cell>
          <cell r="J185">
            <v>-122749.49706411464</v>
          </cell>
          <cell r="K185">
            <v>-15221.71194225095</v>
          </cell>
          <cell r="L185">
            <v>78936.371362381935</v>
          </cell>
          <cell r="M185">
            <v>82819.70207121165</v>
          </cell>
          <cell r="N185">
            <v>85477.087949507157</v>
          </cell>
          <cell r="O185">
            <v>83499.094371615894</v>
          </cell>
          <cell r="P185">
            <v>57095.691800177447</v>
          </cell>
          <cell r="Q185">
            <v>92803.681838150107</v>
          </cell>
          <cell r="R185">
            <v>109879.41914733451</v>
          </cell>
          <cell r="S185">
            <v>115575.15941696602</v>
          </cell>
          <cell r="T185">
            <v>98202.798866914716</v>
          </cell>
          <cell r="U185">
            <v>112740.20158723154</v>
          </cell>
          <cell r="V185">
            <v>101380.99103005114</v>
          </cell>
          <cell r="W185">
            <v>98632.071443719033</v>
          </cell>
          <cell r="X185">
            <v>122752.01392854436</v>
          </cell>
          <cell r="Y185">
            <v>129953.29034950711</v>
          </cell>
          <cell r="Z185">
            <v>120203.15935028577</v>
          </cell>
          <cell r="AA185">
            <v>137036.71041634426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74352</v>
          </cell>
          <cell r="H191">
            <v>99547</v>
          </cell>
          <cell r="I191">
            <v>106637</v>
          </cell>
          <cell r="J191">
            <v>220998</v>
          </cell>
          <cell r="K191">
            <v>229501.11239999998</v>
          </cell>
          <cell r="L191">
            <v>234830.83349270842</v>
          </cell>
          <cell r="M191">
            <v>230516.41174760429</v>
          </cell>
          <cell r="N191">
            <v>233540.70425958713</v>
          </cell>
          <cell r="O191">
            <v>237029.27272684977</v>
          </cell>
          <cell r="P191">
            <v>240676.75116454266</v>
          </cell>
          <cell r="Q191">
            <v>243822.58230852691</v>
          </cell>
          <cell r="R191">
            <v>247362.97268178276</v>
          </cell>
          <cell r="S191">
            <v>250958.19439623621</v>
          </cell>
          <cell r="T191">
            <v>254603.73247612332</v>
          </cell>
          <cell r="U191">
            <v>258301.02239440699</v>
          </cell>
          <cell r="V191">
            <v>262049.58324223923</v>
          </cell>
          <cell r="W191">
            <v>268969.46703550639</v>
          </cell>
          <cell r="X191">
            <v>277327.56110807159</v>
          </cell>
          <cell r="Y191">
            <v>281375.84794131375</v>
          </cell>
          <cell r="Z191">
            <v>285484.52337955317</v>
          </cell>
          <cell r="AA191">
            <v>4537884.5727550527</v>
          </cell>
        </row>
        <row r="192">
          <cell r="B192" t="str">
            <v>1.1 - Operacionais    (1.1.1 + 1.1.2)</v>
          </cell>
          <cell r="G192">
            <v>74352</v>
          </cell>
          <cell r="H192">
            <v>99547</v>
          </cell>
          <cell r="I192">
            <v>106637</v>
          </cell>
          <cell r="J192">
            <v>220998</v>
          </cell>
          <cell r="K192">
            <v>229501.11239999998</v>
          </cell>
          <cell r="L192">
            <v>234830.83349270842</v>
          </cell>
          <cell r="M192">
            <v>230516.41174760429</v>
          </cell>
          <cell r="N192">
            <v>233540.70425958713</v>
          </cell>
          <cell r="O192">
            <v>237029.27272684977</v>
          </cell>
          <cell r="P192">
            <v>240676.75116454266</v>
          </cell>
          <cell r="Q192">
            <v>243822.58230852691</v>
          </cell>
          <cell r="R192">
            <v>247362.97268178276</v>
          </cell>
          <cell r="S192">
            <v>250958.19439623621</v>
          </cell>
          <cell r="T192">
            <v>254603.73247612332</v>
          </cell>
          <cell r="U192">
            <v>258301.02239440699</v>
          </cell>
          <cell r="V192">
            <v>262049.58324223923</v>
          </cell>
          <cell r="W192">
            <v>268969.46703550639</v>
          </cell>
          <cell r="X192">
            <v>277327.56110807159</v>
          </cell>
          <cell r="Y192">
            <v>281375.84794131375</v>
          </cell>
          <cell r="Z192">
            <v>285484.52337955317</v>
          </cell>
          <cell r="AA192">
            <v>4537884.5727550527</v>
          </cell>
        </row>
        <row r="193">
          <cell r="B193" t="str">
            <v>1.1.1 - Receitas de  Pedágios    (Transp. Qd.2.1.1.2)</v>
          </cell>
          <cell r="G193">
            <v>73430</v>
          </cell>
          <cell r="H193">
            <v>96402</v>
          </cell>
          <cell r="I193">
            <v>98799</v>
          </cell>
          <cell r="J193">
            <v>213157</v>
          </cell>
          <cell r="K193">
            <v>221357.11239999998</v>
          </cell>
          <cell r="L193">
            <v>226683.83349270842</v>
          </cell>
          <cell r="M193">
            <v>222366.41174760429</v>
          </cell>
          <cell r="N193">
            <v>225387.70425958713</v>
          </cell>
          <cell r="O193">
            <v>228873.27272684977</v>
          </cell>
          <cell r="P193">
            <v>232517.75116454266</v>
          </cell>
          <cell r="Q193">
            <v>235660.58230852691</v>
          </cell>
          <cell r="R193">
            <v>239197.97268178276</v>
          </cell>
          <cell r="S193">
            <v>242790.19439623621</v>
          </cell>
          <cell r="T193">
            <v>246432.73247612332</v>
          </cell>
          <cell r="U193">
            <v>250127.02239440699</v>
          </cell>
          <cell r="V193">
            <v>253872.58324223923</v>
          </cell>
          <cell r="W193">
            <v>260789.46703550639</v>
          </cell>
          <cell r="X193">
            <v>269144.56110807159</v>
          </cell>
          <cell r="Y193">
            <v>273189.84794131375</v>
          </cell>
          <cell r="Z193">
            <v>277295.52337955317</v>
          </cell>
          <cell r="AA193">
            <v>4387474.5727550527</v>
          </cell>
        </row>
        <row r="194">
          <cell r="B194" t="str">
            <v>1.1.2 - Outras Receitas Operacionais    (calculado 2.1.2.)</v>
          </cell>
          <cell r="G194">
            <v>922</v>
          </cell>
          <cell r="H194">
            <v>3145</v>
          </cell>
          <cell r="I194">
            <v>7838</v>
          </cell>
          <cell r="J194">
            <v>7841</v>
          </cell>
          <cell r="K194">
            <v>8144</v>
          </cell>
          <cell r="L194">
            <v>8147.0000000000009</v>
          </cell>
          <cell r="M194">
            <v>8150</v>
          </cell>
          <cell r="N194">
            <v>8153</v>
          </cell>
          <cell r="O194">
            <v>8156</v>
          </cell>
          <cell r="P194">
            <v>8159</v>
          </cell>
          <cell r="Q194">
            <v>8162</v>
          </cell>
          <cell r="R194">
            <v>8165</v>
          </cell>
          <cell r="S194">
            <v>8168</v>
          </cell>
          <cell r="T194">
            <v>8170.9999999999991</v>
          </cell>
          <cell r="U194">
            <v>8174</v>
          </cell>
          <cell r="V194">
            <v>8177</v>
          </cell>
          <cell r="W194">
            <v>8180</v>
          </cell>
          <cell r="X194">
            <v>8183</v>
          </cell>
          <cell r="Y194">
            <v>8186.0000000000009</v>
          </cell>
          <cell r="Z194">
            <v>8189</v>
          </cell>
          <cell r="AA194">
            <v>150410</v>
          </cell>
        </row>
        <row r="195">
          <cell r="B195" t="str">
            <v>2 -  DEDUÇÕES DA RECEITA    (2.1)</v>
          </cell>
          <cell r="G195">
            <v>3457.3679999999999</v>
          </cell>
          <cell r="H195">
            <v>4628.9354999999996</v>
          </cell>
          <cell r="I195">
            <v>4958.6204999999991</v>
          </cell>
          <cell r="J195">
            <v>10276.406999999999</v>
          </cell>
          <cell r="K195">
            <v>10671.801726600001</v>
          </cell>
          <cell r="L195">
            <v>11063.396787475691</v>
          </cell>
          <cell r="M195">
            <v>19190.083929921766</v>
          </cell>
          <cell r="N195">
            <v>19875.150918454288</v>
          </cell>
          <cell r="O195">
            <v>20176.792090872506</v>
          </cell>
          <cell r="P195">
            <v>20492.178975732942</v>
          </cell>
          <cell r="Q195">
            <v>20764.173369687582</v>
          </cell>
          <cell r="R195">
            <v>21070.297136974208</v>
          </cell>
          <cell r="S195">
            <v>21381.163815274434</v>
          </cell>
          <cell r="T195">
            <v>21696.382859184665</v>
          </cell>
          <cell r="U195">
            <v>22016.078437116201</v>
          </cell>
          <cell r="V195">
            <v>22340.208950453693</v>
          </cell>
          <cell r="W195">
            <v>22938.658898571306</v>
          </cell>
          <cell r="X195">
            <v>23661.514035848195</v>
          </cell>
          <cell r="Y195">
            <v>24011.570846923642</v>
          </cell>
          <cell r="Z195">
            <v>24366.851272331354</v>
          </cell>
          <cell r="AA195">
            <v>349037.6350514224</v>
          </cell>
        </row>
        <row r="196">
          <cell r="B196" t="str">
            <v>2.1 - Tributos sobre Faturamento    (2.1.1+ .... + 2.1.4)</v>
          </cell>
          <cell r="G196">
            <v>3457.3679999999999</v>
          </cell>
          <cell r="H196">
            <v>4628.9354999999996</v>
          </cell>
          <cell r="I196">
            <v>4958.6204999999991</v>
          </cell>
          <cell r="J196">
            <v>10276.406999999999</v>
          </cell>
          <cell r="K196">
            <v>10671.801726600001</v>
          </cell>
          <cell r="L196">
            <v>11063.396787475691</v>
          </cell>
          <cell r="M196">
            <v>19190.083929921766</v>
          </cell>
          <cell r="N196">
            <v>19875.150918454288</v>
          </cell>
          <cell r="O196">
            <v>20176.792090872506</v>
          </cell>
          <cell r="P196">
            <v>20492.178975732942</v>
          </cell>
          <cell r="Q196">
            <v>20764.173369687582</v>
          </cell>
          <cell r="R196">
            <v>21070.297136974208</v>
          </cell>
          <cell r="S196">
            <v>21381.163815274434</v>
          </cell>
          <cell r="T196">
            <v>21696.382859184665</v>
          </cell>
          <cell r="U196">
            <v>22016.078437116201</v>
          </cell>
          <cell r="V196">
            <v>22340.208950453693</v>
          </cell>
          <cell r="W196">
            <v>22938.658898571306</v>
          </cell>
          <cell r="X196">
            <v>23661.514035848195</v>
          </cell>
          <cell r="Y196">
            <v>24011.570846923642</v>
          </cell>
          <cell r="Z196">
            <v>24366.851272331354</v>
          </cell>
          <cell r="AA196">
            <v>349037.6350514224</v>
          </cell>
        </row>
        <row r="197">
          <cell r="B197" t="str">
            <v>2.1.1 - I.S.S    (transp. Qd  1.3.)</v>
          </cell>
          <cell r="G197">
            <v>1487.04</v>
          </cell>
          <cell r="H197">
            <v>1990.94</v>
          </cell>
          <cell r="I197">
            <v>2132.7399999999998</v>
          </cell>
          <cell r="J197">
            <v>4419.96</v>
          </cell>
          <cell r="K197">
            <v>4590.0222480000002</v>
          </cell>
          <cell r="L197">
            <v>4804.4389424027304</v>
          </cell>
          <cell r="M197">
            <v>11003.362572695711</v>
          </cell>
          <cell r="N197">
            <v>11432.445212979357</v>
          </cell>
          <cell r="O197">
            <v>11606.78363634249</v>
          </cell>
          <cell r="P197">
            <v>11789.067558227134</v>
          </cell>
          <cell r="Q197">
            <v>11946.269115426347</v>
          </cell>
          <cell r="R197">
            <v>12123.198634089138</v>
          </cell>
          <cell r="S197">
            <v>12302.869719811812</v>
          </cell>
          <cell r="T197">
            <v>12485.056623806166</v>
          </cell>
          <cell r="U197">
            <v>12669.831119720349</v>
          </cell>
          <cell r="V197">
            <v>12857.169162111961</v>
          </cell>
          <cell r="W197">
            <v>13203.073351775321</v>
          </cell>
          <cell r="X197">
            <v>13620.888055403582</v>
          </cell>
          <cell r="Y197">
            <v>13823.212397065688</v>
          </cell>
          <cell r="Z197">
            <v>14028.55616897766</v>
          </cell>
          <cell r="AA197">
            <v>194316.92451883544</v>
          </cell>
        </row>
        <row r="198">
          <cell r="B198" t="str">
            <v>2.1.2 - Cofins    (transp. Qd 1.3.)</v>
          </cell>
          <cell r="G198">
            <v>1487.04</v>
          </cell>
          <cell r="H198">
            <v>1990.94</v>
          </cell>
          <cell r="I198">
            <v>2132.7399999999998</v>
          </cell>
          <cell r="J198">
            <v>4419.96</v>
          </cell>
          <cell r="K198">
            <v>4590.0222480000002</v>
          </cell>
          <cell r="L198">
            <v>4732.557427370356</v>
          </cell>
          <cell r="M198">
            <v>6741.3396808666266</v>
          </cell>
          <cell r="N198">
            <v>6924.6911277876143</v>
          </cell>
          <cell r="O198">
            <v>7029.3181818054927</v>
          </cell>
          <cell r="P198">
            <v>7138.7125349362805</v>
          </cell>
          <cell r="Q198">
            <v>7233.0574692558084</v>
          </cell>
          <cell r="R198">
            <v>7339.2391804534827</v>
          </cell>
          <cell r="S198">
            <v>7447.0658318870856</v>
          </cell>
          <cell r="T198">
            <v>7556.401974283699</v>
          </cell>
          <cell r="U198">
            <v>7667.2906718322083</v>
          </cell>
          <cell r="V198">
            <v>7779.7174972671764</v>
          </cell>
          <cell r="W198">
            <v>7987.2840110651914</v>
          </cell>
          <cell r="X198">
            <v>8237.9968332421486</v>
          </cell>
          <cell r="Y198">
            <v>8359.4154382394117</v>
          </cell>
          <cell r="Z198">
            <v>8482.6457013865966</v>
          </cell>
          <cell r="AA198">
            <v>125277.43580967917</v>
          </cell>
        </row>
        <row r="199">
          <cell r="B199" t="str">
            <v>2.1.3 - Pis / Pasep    (transp. Qd 1.3.)</v>
          </cell>
          <cell r="G199">
            <v>483.28799999999995</v>
          </cell>
          <cell r="H199">
            <v>647.05549999999994</v>
          </cell>
          <cell r="I199">
            <v>693.14049999999997</v>
          </cell>
          <cell r="J199">
            <v>1436.4869999999999</v>
          </cell>
          <cell r="K199">
            <v>1491.7572306</v>
          </cell>
          <cell r="L199">
            <v>1526.400417702605</v>
          </cell>
          <cell r="M199">
            <v>1445.381676359428</v>
          </cell>
          <cell r="N199">
            <v>1518.0145776873164</v>
          </cell>
          <cell r="O199">
            <v>1540.6902727245233</v>
          </cell>
          <cell r="P199">
            <v>1564.3988825695271</v>
          </cell>
          <cell r="Q199">
            <v>1584.8467850054251</v>
          </cell>
          <cell r="R199">
            <v>1607.8593224315878</v>
          </cell>
          <cell r="S199">
            <v>1631.2282635755355</v>
          </cell>
          <cell r="T199">
            <v>1654.9242610948011</v>
          </cell>
          <cell r="U199">
            <v>1678.9566455636455</v>
          </cell>
          <cell r="V199">
            <v>1703.3222910745549</v>
          </cell>
          <cell r="W199">
            <v>1748.3015357307916</v>
          </cell>
          <cell r="X199">
            <v>1802.629147202465</v>
          </cell>
          <cell r="Y199">
            <v>1828.9430116185392</v>
          </cell>
          <cell r="Z199">
            <v>1855.6494019670954</v>
          </cell>
          <cell r="AA199">
            <v>29443.274722907838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70894.631999999998</v>
          </cell>
          <cell r="H201">
            <v>94918.064500000008</v>
          </cell>
          <cell r="I201">
            <v>101678.3795</v>
          </cell>
          <cell r="J201">
            <v>210721.59299999999</v>
          </cell>
          <cell r="K201">
            <v>218829.31067339997</v>
          </cell>
          <cell r="L201">
            <v>223767.43670523274</v>
          </cell>
          <cell r="M201">
            <v>211326.32781768253</v>
          </cell>
          <cell r="N201">
            <v>213665.55334113285</v>
          </cell>
          <cell r="O201">
            <v>216852.48063597726</v>
          </cell>
          <cell r="P201">
            <v>220184.57218880972</v>
          </cell>
          <cell r="Q201">
            <v>223058.40893883933</v>
          </cell>
          <cell r="R201">
            <v>226292.67554480856</v>
          </cell>
          <cell r="S201">
            <v>229577.03058096179</v>
          </cell>
          <cell r="T201">
            <v>232907.34961693865</v>
          </cell>
          <cell r="U201">
            <v>236284.94395729079</v>
          </cell>
          <cell r="V201">
            <v>239709.37429178553</v>
          </cell>
          <cell r="W201">
            <v>246030.80813693508</v>
          </cell>
          <cell r="X201">
            <v>253666.04707222339</v>
          </cell>
          <cell r="Y201">
            <v>257364.27709439013</v>
          </cell>
          <cell r="Z201">
            <v>261117.67210722182</v>
          </cell>
          <cell r="AA201">
            <v>4188846.9377036304</v>
          </cell>
        </row>
        <row r="202">
          <cell r="B202" t="str">
            <v>4 -  DESPESAS    (4.1)</v>
          </cell>
          <cell r="G202">
            <v>56958.214179615381</v>
          </cell>
          <cell r="H202">
            <v>78419.906818825373</v>
          </cell>
          <cell r="I202">
            <v>89364.985024705675</v>
          </cell>
          <cell r="J202">
            <v>101777.0051740217</v>
          </cell>
          <cell r="K202">
            <v>106500.71432268093</v>
          </cell>
          <cell r="L202">
            <v>108759.88472509553</v>
          </cell>
          <cell r="M202">
            <v>104284.7709688094</v>
          </cell>
          <cell r="N202">
            <v>101727.72783768243</v>
          </cell>
          <cell r="O202">
            <v>105144.03123900748</v>
          </cell>
          <cell r="P202">
            <v>108712.23716354033</v>
          </cell>
          <cell r="Q202">
            <v>119029.31275247855</v>
          </cell>
          <cell r="R202">
            <v>119113.69745930994</v>
          </cell>
          <cell r="S202">
            <v>119047.71608359212</v>
          </cell>
          <cell r="T202">
            <v>120652.59866587407</v>
          </cell>
          <cell r="U202">
            <v>125257.38797551821</v>
          </cell>
          <cell r="V202">
            <v>137025.23193219703</v>
          </cell>
          <cell r="W202">
            <v>147601.54451624458</v>
          </cell>
          <cell r="X202">
            <v>152614.86723866261</v>
          </cell>
          <cell r="Y202">
            <v>162776.11761464371</v>
          </cell>
          <cell r="Z202">
            <v>190844.88185366627</v>
          </cell>
          <cell r="AA202">
            <v>2355612.8335461714</v>
          </cell>
        </row>
        <row r="203">
          <cell r="B203" t="str">
            <v>4.1 - Operacionais    (4.1.1+ .... + 4.1.10)</v>
          </cell>
          <cell r="G203">
            <v>56958.214179615381</v>
          </cell>
          <cell r="H203">
            <v>78419.906818825373</v>
          </cell>
          <cell r="I203">
            <v>89364.985024705675</v>
          </cell>
          <cell r="J203">
            <v>101777.0051740217</v>
          </cell>
          <cell r="K203">
            <v>106500.71432268093</v>
          </cell>
          <cell r="L203">
            <v>108759.88472509553</v>
          </cell>
          <cell r="M203">
            <v>104284.7709688094</v>
          </cell>
          <cell r="N203">
            <v>101727.72783768243</v>
          </cell>
          <cell r="O203">
            <v>105144.03123900748</v>
          </cell>
          <cell r="P203">
            <v>108712.23716354033</v>
          </cell>
          <cell r="Q203">
            <v>119029.31275247855</v>
          </cell>
          <cell r="R203">
            <v>119113.69745930994</v>
          </cell>
          <cell r="S203">
            <v>119047.71608359212</v>
          </cell>
          <cell r="T203">
            <v>120652.59866587407</v>
          </cell>
          <cell r="U203">
            <v>125257.38797551821</v>
          </cell>
          <cell r="V203">
            <v>137025.23193219703</v>
          </cell>
          <cell r="W203">
            <v>147601.54451624458</v>
          </cell>
          <cell r="X203">
            <v>152614.86723866261</v>
          </cell>
          <cell r="Y203">
            <v>162776.11761464371</v>
          </cell>
          <cell r="Z203">
            <v>190844.88185366627</v>
          </cell>
          <cell r="AA203">
            <v>2355612.8335461714</v>
          </cell>
        </row>
        <row r="204">
          <cell r="B204" t="str">
            <v>4.1.1  -  Pessoal e Administradores    (Transp. Qd. 1.3.)</v>
          </cell>
          <cell r="G204">
            <v>20034</v>
          </cell>
          <cell r="H204">
            <v>27971</v>
          </cell>
          <cell r="I204">
            <v>31249</v>
          </cell>
          <cell r="J204">
            <v>34297</v>
          </cell>
          <cell r="K204">
            <v>34048</v>
          </cell>
          <cell r="L204">
            <v>34047</v>
          </cell>
          <cell r="M204">
            <v>34048</v>
          </cell>
          <cell r="N204">
            <v>34047</v>
          </cell>
          <cell r="O204">
            <v>34048</v>
          </cell>
          <cell r="P204">
            <v>34047</v>
          </cell>
          <cell r="Q204">
            <v>34048</v>
          </cell>
          <cell r="R204">
            <v>34047</v>
          </cell>
          <cell r="S204">
            <v>34048</v>
          </cell>
          <cell r="T204">
            <v>34047</v>
          </cell>
          <cell r="U204">
            <v>34048</v>
          </cell>
          <cell r="V204">
            <v>34047</v>
          </cell>
          <cell r="W204">
            <v>34047</v>
          </cell>
          <cell r="X204">
            <v>34047</v>
          </cell>
          <cell r="Y204">
            <v>34047</v>
          </cell>
          <cell r="Z204">
            <v>34047</v>
          </cell>
          <cell r="AA204">
            <v>658309</v>
          </cell>
        </row>
        <row r="205">
          <cell r="B205" t="str">
            <v>4.1.2  -  Conservação de Rotina    (Transp. Qd. 1.3.)</v>
          </cell>
          <cell r="G205">
            <v>2691</v>
          </cell>
          <cell r="H205">
            <v>5382</v>
          </cell>
          <cell r="I205">
            <v>5457</v>
          </cell>
          <cell r="J205">
            <v>5560</v>
          </cell>
          <cell r="K205">
            <v>6466</v>
          </cell>
          <cell r="L205">
            <v>6466</v>
          </cell>
          <cell r="M205">
            <v>6466</v>
          </cell>
          <cell r="N205">
            <v>6466</v>
          </cell>
          <cell r="O205">
            <v>6997</v>
          </cell>
          <cell r="P205">
            <v>6997</v>
          </cell>
          <cell r="Q205">
            <v>6997</v>
          </cell>
          <cell r="R205">
            <v>6997</v>
          </cell>
          <cell r="S205">
            <v>6997</v>
          </cell>
          <cell r="T205">
            <v>6997</v>
          </cell>
          <cell r="U205">
            <v>6997</v>
          </cell>
          <cell r="V205">
            <v>6997</v>
          </cell>
          <cell r="W205">
            <v>6997</v>
          </cell>
          <cell r="X205">
            <v>6997</v>
          </cell>
          <cell r="Y205">
            <v>6997</v>
          </cell>
          <cell r="Z205">
            <v>6997</v>
          </cell>
          <cell r="AA205">
            <v>128918</v>
          </cell>
        </row>
        <row r="206">
          <cell r="B206" t="str">
            <v>4.1.3  -  Consumo    (Transp. Qd. 1.3.)</v>
          </cell>
          <cell r="G206">
            <v>925</v>
          </cell>
          <cell r="H206">
            <v>987</v>
          </cell>
          <cell r="I206">
            <v>1000</v>
          </cell>
          <cell r="J206">
            <v>1135</v>
          </cell>
          <cell r="K206">
            <v>1135</v>
          </cell>
          <cell r="L206">
            <v>1135</v>
          </cell>
          <cell r="M206">
            <v>1135</v>
          </cell>
          <cell r="N206">
            <v>1135</v>
          </cell>
          <cell r="O206">
            <v>1135</v>
          </cell>
          <cell r="P206">
            <v>1135</v>
          </cell>
          <cell r="Q206">
            <v>1135</v>
          </cell>
          <cell r="R206">
            <v>1135</v>
          </cell>
          <cell r="S206">
            <v>1135</v>
          </cell>
          <cell r="T206">
            <v>1135</v>
          </cell>
          <cell r="U206">
            <v>1135</v>
          </cell>
          <cell r="V206">
            <v>1135</v>
          </cell>
          <cell r="W206">
            <v>1135</v>
          </cell>
          <cell r="X206">
            <v>1135</v>
          </cell>
          <cell r="Y206">
            <v>1135</v>
          </cell>
          <cell r="Z206">
            <v>1135</v>
          </cell>
          <cell r="AA206">
            <v>22207</v>
          </cell>
        </row>
        <row r="207">
          <cell r="B207" t="str">
            <v>4.1.4  -  Transportes    (Transp. Qd. 1.3.)</v>
          </cell>
          <cell r="G207">
            <v>2399</v>
          </cell>
          <cell r="H207">
            <v>4565</v>
          </cell>
          <cell r="I207">
            <v>4981</v>
          </cell>
          <cell r="J207">
            <v>5230</v>
          </cell>
          <cell r="K207">
            <v>5306</v>
          </cell>
          <cell r="L207">
            <v>5307</v>
          </cell>
          <cell r="M207">
            <v>5306</v>
          </cell>
          <cell r="N207">
            <v>5307</v>
          </cell>
          <cell r="O207">
            <v>5306</v>
          </cell>
          <cell r="P207">
            <v>5307</v>
          </cell>
          <cell r="Q207">
            <v>5306</v>
          </cell>
          <cell r="R207">
            <v>5307</v>
          </cell>
          <cell r="S207">
            <v>5306</v>
          </cell>
          <cell r="T207">
            <v>5307</v>
          </cell>
          <cell r="U207">
            <v>5306</v>
          </cell>
          <cell r="V207">
            <v>5307</v>
          </cell>
          <cell r="W207">
            <v>5306</v>
          </cell>
          <cell r="X207">
            <v>5307</v>
          </cell>
          <cell r="Y207">
            <v>5306</v>
          </cell>
          <cell r="Z207">
            <v>5306</v>
          </cell>
          <cell r="AA207">
            <v>102078</v>
          </cell>
        </row>
        <row r="208">
          <cell r="B208" t="str">
            <v>4.1.5  -  Diversas    (Transp. Qd. 1.3.)</v>
          </cell>
          <cell r="G208">
            <v>3376</v>
          </cell>
          <cell r="H208">
            <v>4638</v>
          </cell>
          <cell r="I208">
            <v>4059</v>
          </cell>
          <cell r="J208">
            <v>2441</v>
          </cell>
          <cell r="K208">
            <v>1745</v>
          </cell>
          <cell r="L208">
            <v>1745</v>
          </cell>
          <cell r="M208">
            <v>1745</v>
          </cell>
          <cell r="N208">
            <v>1745</v>
          </cell>
          <cell r="O208">
            <v>1745</v>
          </cell>
          <cell r="P208">
            <v>1745</v>
          </cell>
          <cell r="Q208">
            <v>1745</v>
          </cell>
          <cell r="R208">
            <v>1745</v>
          </cell>
          <cell r="S208">
            <v>1745</v>
          </cell>
          <cell r="T208">
            <v>1745</v>
          </cell>
          <cell r="U208">
            <v>1745</v>
          </cell>
          <cell r="V208">
            <v>1745</v>
          </cell>
          <cell r="W208">
            <v>1745</v>
          </cell>
          <cell r="X208">
            <v>1745</v>
          </cell>
          <cell r="Y208">
            <v>1745</v>
          </cell>
          <cell r="Z208">
            <v>1745</v>
          </cell>
          <cell r="AA208">
            <v>42434</v>
          </cell>
        </row>
        <row r="209">
          <cell r="B209" t="str">
            <v>4.1.6  -  Depreciação/Amortização    (Transp. Qd. 1.3.)</v>
          </cell>
          <cell r="G209">
            <v>2664.2541796153846</v>
          </cell>
          <cell r="H209">
            <v>9402.0968188253628</v>
          </cell>
          <cell r="I209">
            <v>17123.475024705673</v>
          </cell>
          <cell r="J209">
            <v>24333.665174021691</v>
          </cell>
          <cell r="K209">
            <v>28827.280950680914</v>
          </cell>
          <cell r="L209">
            <v>30952.55972031429</v>
          </cell>
          <cell r="M209">
            <v>32879.566282379776</v>
          </cell>
          <cell r="N209">
            <v>34592.2279404664</v>
          </cell>
          <cell r="O209">
            <v>37253.858743852506</v>
          </cell>
          <cell r="P209">
            <v>40757.640315254546</v>
          </cell>
          <cell r="Q209">
            <v>42325.252897664504</v>
          </cell>
          <cell r="R209">
            <v>40618.408278856456</v>
          </cell>
          <cell r="S209">
            <v>40461.570251705038</v>
          </cell>
          <cell r="T209">
            <v>41994.086691590368</v>
          </cell>
          <cell r="U209">
            <v>46516.957303686017</v>
          </cell>
          <cell r="V209">
            <v>58215.344434929844</v>
          </cell>
          <cell r="W209">
            <v>68605.060505179383</v>
          </cell>
          <cell r="X209">
            <v>73382.640405420461</v>
          </cell>
          <cell r="Y209">
            <v>83447.442176404293</v>
          </cell>
          <cell r="Z209">
            <v>111414.94615227968</v>
          </cell>
          <cell r="AA209">
            <v>865768.33424783242</v>
          </cell>
        </row>
        <row r="210">
          <cell r="B210" t="str">
            <v>4.1.7  -  Seguros    (transp. Qd 1.3.)</v>
          </cell>
          <cell r="G210">
            <v>910</v>
          </cell>
          <cell r="H210">
            <v>910</v>
          </cell>
          <cell r="I210">
            <v>910</v>
          </cell>
          <cell r="J210">
            <v>910</v>
          </cell>
          <cell r="K210">
            <v>910</v>
          </cell>
          <cell r="L210">
            <v>910</v>
          </cell>
          <cell r="M210">
            <v>910</v>
          </cell>
          <cell r="N210">
            <v>910</v>
          </cell>
          <cell r="O210">
            <v>910</v>
          </cell>
          <cell r="P210">
            <v>910</v>
          </cell>
          <cell r="Q210">
            <v>910</v>
          </cell>
          <cell r="R210">
            <v>910</v>
          </cell>
          <cell r="S210">
            <v>910</v>
          </cell>
          <cell r="T210">
            <v>910</v>
          </cell>
          <cell r="U210">
            <v>910</v>
          </cell>
          <cell r="V210">
            <v>910</v>
          </cell>
          <cell r="W210">
            <v>910</v>
          </cell>
          <cell r="X210">
            <v>910</v>
          </cell>
          <cell r="Y210">
            <v>910</v>
          </cell>
          <cell r="Z210">
            <v>910</v>
          </cell>
          <cell r="AA210">
            <v>18200</v>
          </cell>
        </row>
        <row r="211">
          <cell r="B211" t="str">
            <v xml:space="preserve">4.1.8  -  Garantias  (transp. Qd 1.3.)  </v>
          </cell>
          <cell r="G211">
            <v>2478</v>
          </cell>
          <cell r="H211">
            <v>2328</v>
          </cell>
          <cell r="I211">
            <v>2136</v>
          </cell>
          <cell r="J211">
            <v>1990</v>
          </cell>
          <cell r="K211">
            <v>1928</v>
          </cell>
          <cell r="L211">
            <v>1902</v>
          </cell>
          <cell r="M211">
            <v>1873</v>
          </cell>
          <cell r="N211">
            <v>1843</v>
          </cell>
          <cell r="O211">
            <v>1804</v>
          </cell>
          <cell r="P211">
            <v>1759</v>
          </cell>
          <cell r="Q211">
            <v>1734</v>
          </cell>
          <cell r="R211">
            <v>1683</v>
          </cell>
          <cell r="S211">
            <v>1666</v>
          </cell>
          <cell r="T211">
            <v>1629</v>
          </cell>
          <cell r="U211">
            <v>1600</v>
          </cell>
          <cell r="V211">
            <v>1557</v>
          </cell>
          <cell r="W211">
            <v>1537</v>
          </cell>
          <cell r="X211">
            <v>1521</v>
          </cell>
          <cell r="Y211">
            <v>1497</v>
          </cell>
          <cell r="Z211">
            <v>1467</v>
          </cell>
          <cell r="AA211">
            <v>35932</v>
          </cell>
        </row>
        <row r="212">
          <cell r="B212" t="str">
            <v xml:space="preserve">4.1.9  -  Parc.Variável da Concessão   </v>
          </cell>
          <cell r="G212">
            <v>2230.56</v>
          </cell>
          <cell r="H212">
            <v>2986.41</v>
          </cell>
          <cell r="I212">
            <v>3199.11</v>
          </cell>
          <cell r="J212">
            <v>6629.94</v>
          </cell>
          <cell r="K212">
            <v>6885.0333720000008</v>
          </cell>
          <cell r="L212">
            <v>7044.9250047812529</v>
          </cell>
          <cell r="M212">
            <v>6915.4923524281276</v>
          </cell>
          <cell r="N212">
            <v>7006.221127787614</v>
          </cell>
          <cell r="O212">
            <v>7110.8781818054922</v>
          </cell>
          <cell r="P212">
            <v>7220.3025349362797</v>
          </cell>
          <cell r="Q212">
            <v>7314.6774692558083</v>
          </cell>
          <cell r="R212">
            <v>7420.8891804534815</v>
          </cell>
          <cell r="S212">
            <v>7528.7458318870858</v>
          </cell>
          <cell r="T212">
            <v>7638.1119742837</v>
          </cell>
          <cell r="U212">
            <v>7749.0306718322099</v>
          </cell>
          <cell r="V212">
            <v>7861.4874972671769</v>
          </cell>
          <cell r="W212">
            <v>8069.0840110651907</v>
          </cell>
          <cell r="X212">
            <v>8319.8268332421449</v>
          </cell>
          <cell r="Y212">
            <v>8441.2754382394123</v>
          </cell>
          <cell r="Z212">
            <v>8564.5357013865942</v>
          </cell>
          <cell r="AA212">
            <v>136136.53718265161</v>
          </cell>
        </row>
        <row r="213">
          <cell r="B213" t="str">
            <v xml:space="preserve">4.1.10 - Parcela Fixa da Concessão   </v>
          </cell>
          <cell r="G213">
            <v>19250.400000000001</v>
          </cell>
          <cell r="H213">
            <v>19250.400000000001</v>
          </cell>
          <cell r="I213">
            <v>19250.400000000001</v>
          </cell>
          <cell r="J213">
            <v>19250.400000000001</v>
          </cell>
          <cell r="K213">
            <v>19250.400000000001</v>
          </cell>
          <cell r="L213">
            <v>19250.400000000001</v>
          </cell>
          <cell r="M213">
            <v>13006.712334001502</v>
          </cell>
          <cell r="N213">
            <v>8676.2787694284016</v>
          </cell>
          <cell r="O213">
            <v>8834.294313349501</v>
          </cell>
          <cell r="P213">
            <v>8834.294313349501</v>
          </cell>
          <cell r="Q213">
            <v>17514.382385558252</v>
          </cell>
          <cell r="R213">
            <v>19250.400000000001</v>
          </cell>
          <cell r="S213">
            <v>19250.400000000001</v>
          </cell>
          <cell r="T213">
            <v>19250.400000000001</v>
          </cell>
          <cell r="U213">
            <v>19250.400000000001</v>
          </cell>
          <cell r="V213">
            <v>19250.400000000001</v>
          </cell>
          <cell r="W213">
            <v>19250.400000000001</v>
          </cell>
          <cell r="X213">
            <v>19250.400000000001</v>
          </cell>
          <cell r="Y213">
            <v>19250.400000000001</v>
          </cell>
          <cell r="Z213">
            <v>19258.400000000001</v>
          </cell>
          <cell r="AA213">
            <v>345629.9621156872</v>
          </cell>
        </row>
        <row r="214">
          <cell r="B214" t="str">
            <v>5 -  RESULTADO BRUTO OPERACIONAL     (3 - 4)</v>
          </cell>
          <cell r="G214">
            <v>13936.417820384617</v>
          </cell>
          <cell r="H214">
            <v>16498.157681174634</v>
          </cell>
          <cell r="I214">
            <v>12313.394475294321</v>
          </cell>
          <cell r="J214">
            <v>108944.58782597829</v>
          </cell>
          <cell r="K214">
            <v>112328.59635071905</v>
          </cell>
          <cell r="L214">
            <v>115007.55198013721</v>
          </cell>
          <cell r="M214">
            <v>107041.55684887312</v>
          </cell>
          <cell r="N214">
            <v>111937.82550345043</v>
          </cell>
          <cell r="O214">
            <v>111708.44939696978</v>
          </cell>
          <cell r="P214">
            <v>111472.33502526939</v>
          </cell>
          <cell r="Q214">
            <v>104029.09618636078</v>
          </cell>
          <cell r="R214">
            <v>107178.97808549862</v>
          </cell>
          <cell r="S214">
            <v>110529.31449736966</v>
          </cell>
          <cell r="T214">
            <v>112254.75095106458</v>
          </cell>
          <cell r="U214">
            <v>111027.55598177257</v>
          </cell>
          <cell r="V214">
            <v>102684.1423595885</v>
          </cell>
          <cell r="W214">
            <v>98429.263620690501</v>
          </cell>
          <cell r="X214">
            <v>101051.17983356077</v>
          </cell>
          <cell r="Y214">
            <v>94588.15947974642</v>
          </cell>
          <cell r="Z214">
            <v>70272.790253555548</v>
          </cell>
          <cell r="AA214">
            <v>1833234.104157459</v>
          </cell>
        </row>
        <row r="215">
          <cell r="B215" t="str">
            <v>6 -  RESULTADO FINANCEIRO    (6.1)</v>
          </cell>
          <cell r="G215">
            <v>367</v>
          </cell>
          <cell r="H215">
            <v>482</v>
          </cell>
          <cell r="I215">
            <v>763</v>
          </cell>
          <cell r="J215">
            <v>1066</v>
          </cell>
          <cell r="K215">
            <v>1166</v>
          </cell>
          <cell r="L215">
            <v>1187</v>
          </cell>
          <cell r="M215">
            <v>1210</v>
          </cell>
          <cell r="N215">
            <v>1233</v>
          </cell>
          <cell r="O215">
            <v>1256</v>
          </cell>
          <cell r="P215">
            <v>1280</v>
          </cell>
          <cell r="Q215">
            <v>1301</v>
          </cell>
          <cell r="R215">
            <v>1321</v>
          </cell>
          <cell r="S215">
            <v>1343</v>
          </cell>
          <cell r="T215">
            <v>1364</v>
          </cell>
          <cell r="U215">
            <v>1386</v>
          </cell>
          <cell r="V215">
            <v>1409</v>
          </cell>
          <cell r="W215">
            <v>1432</v>
          </cell>
          <cell r="X215">
            <v>1455</v>
          </cell>
          <cell r="Y215">
            <v>1478</v>
          </cell>
          <cell r="Z215">
            <v>1502.0000000000002</v>
          </cell>
          <cell r="AA215">
            <v>24001</v>
          </cell>
        </row>
        <row r="216">
          <cell r="B216" t="str">
            <v>6.1 - Receitas    (Transp. Qd. 2B)</v>
          </cell>
          <cell r="G216">
            <v>367</v>
          </cell>
          <cell r="H216">
            <v>482</v>
          </cell>
          <cell r="I216">
            <v>763</v>
          </cell>
          <cell r="J216">
            <v>1066</v>
          </cell>
          <cell r="K216">
            <v>1166</v>
          </cell>
          <cell r="L216">
            <v>1187</v>
          </cell>
          <cell r="M216">
            <v>1210</v>
          </cell>
          <cell r="N216">
            <v>1233</v>
          </cell>
          <cell r="O216">
            <v>1256</v>
          </cell>
          <cell r="P216">
            <v>1280</v>
          </cell>
          <cell r="Q216">
            <v>1301</v>
          </cell>
          <cell r="R216">
            <v>1321</v>
          </cell>
          <cell r="S216">
            <v>1343</v>
          </cell>
          <cell r="T216">
            <v>1364</v>
          </cell>
          <cell r="U216">
            <v>1386</v>
          </cell>
          <cell r="V216">
            <v>1409</v>
          </cell>
          <cell r="W216">
            <v>1432</v>
          </cell>
          <cell r="X216">
            <v>1455</v>
          </cell>
          <cell r="Y216">
            <v>1478</v>
          </cell>
          <cell r="Z216">
            <v>1502.0000000000002</v>
          </cell>
          <cell r="AA216">
            <v>24001</v>
          </cell>
        </row>
        <row r="217">
          <cell r="B217" t="str">
            <v>7 -  RESULTADO OPERACIONAL    (5 + 6)</v>
          </cell>
          <cell r="G217">
            <v>14303.417820384617</v>
          </cell>
          <cell r="H217">
            <v>16980.157681174634</v>
          </cell>
          <cell r="I217">
            <v>13076.394475294321</v>
          </cell>
          <cell r="J217">
            <v>110010.58782597829</v>
          </cell>
          <cell r="K217">
            <v>113494.59635071905</v>
          </cell>
          <cell r="L217">
            <v>116194.55198013721</v>
          </cell>
          <cell r="M217">
            <v>108251.55684887312</v>
          </cell>
          <cell r="N217">
            <v>113170.82550345043</v>
          </cell>
          <cell r="O217">
            <v>112964.44939696978</v>
          </cell>
          <cell r="P217">
            <v>112752.33502526939</v>
          </cell>
          <cell r="Q217">
            <v>105330.09618636078</v>
          </cell>
          <cell r="R217">
            <v>108499.97808549862</v>
          </cell>
          <cell r="S217">
            <v>111872.31449736966</v>
          </cell>
          <cell r="T217">
            <v>113618.75095106458</v>
          </cell>
          <cell r="U217">
            <v>112413.55598177257</v>
          </cell>
          <cell r="V217">
            <v>104093.1423595885</v>
          </cell>
          <cell r="W217">
            <v>99861.263620690501</v>
          </cell>
          <cell r="X217">
            <v>102506.17983356077</v>
          </cell>
          <cell r="Y217">
            <v>96066.15947974642</v>
          </cell>
          <cell r="Z217">
            <v>71774.790253555548</v>
          </cell>
          <cell r="AA217">
            <v>1857235.104157459</v>
          </cell>
        </row>
        <row r="218">
          <cell r="B218" t="str">
            <v>8 -  RESULTADO NÃO OPERACIONAL    (Tr. item 2, Qd. 3A)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B219" t="str">
            <v>9 -  RESULTADO ANTES CONTRIBUIÇÃO SOCIAL   (7 + 8)</v>
          </cell>
          <cell r="G219">
            <v>14303.417820384617</v>
          </cell>
          <cell r="H219">
            <v>16980.157681174634</v>
          </cell>
          <cell r="I219">
            <v>13076.394475294321</v>
          </cell>
          <cell r="J219">
            <v>110010.58782597829</v>
          </cell>
          <cell r="K219">
            <v>113494.59635071905</v>
          </cell>
          <cell r="L219">
            <v>116194.55198013721</v>
          </cell>
          <cell r="M219">
            <v>108251.55684887312</v>
          </cell>
          <cell r="N219">
            <v>113170.82550345043</v>
          </cell>
          <cell r="O219">
            <v>112964.44939696978</v>
          </cell>
          <cell r="P219">
            <v>112752.33502526939</v>
          </cell>
          <cell r="Q219">
            <v>105330.09618636078</v>
          </cell>
          <cell r="R219">
            <v>108499.97808549862</v>
          </cell>
          <cell r="S219">
            <v>111872.31449736966</v>
          </cell>
          <cell r="T219">
            <v>113618.75095106458</v>
          </cell>
          <cell r="U219">
            <v>112413.55598177257</v>
          </cell>
          <cell r="V219">
            <v>104093.1423595885</v>
          </cell>
          <cell r="W219">
            <v>99861.263620690501</v>
          </cell>
          <cell r="X219">
            <v>102506.17983356077</v>
          </cell>
          <cell r="Y219">
            <v>96066.15947974642</v>
          </cell>
          <cell r="Z219">
            <v>71774.790253555548</v>
          </cell>
          <cell r="AA219">
            <v>1857235.104157459</v>
          </cell>
        </row>
        <row r="220">
          <cell r="B220" t="str">
            <v>10- CONTRIBUIÇÃO SOCIAL (Legislação vigente)</v>
          </cell>
          <cell r="G220">
            <v>1145.0414256307693</v>
          </cell>
          <cell r="H220">
            <v>1358.4126144939717</v>
          </cell>
          <cell r="I220">
            <v>1046.1115580235455</v>
          </cell>
          <cell r="J220">
            <v>8800.8470260782669</v>
          </cell>
          <cell r="K220">
            <v>9079.5677080575279</v>
          </cell>
          <cell r="L220">
            <v>9295.5641584109708</v>
          </cell>
          <cell r="M220">
            <v>8660.1245479098488</v>
          </cell>
          <cell r="N220">
            <v>9053.6660402760353</v>
          </cell>
          <cell r="O220">
            <v>9037.1559517575788</v>
          </cell>
          <cell r="P220">
            <v>9020.1868020215516</v>
          </cell>
          <cell r="Q220">
            <v>8426.4076949088612</v>
          </cell>
          <cell r="R220">
            <v>8679.9982468398866</v>
          </cell>
          <cell r="S220">
            <v>8949.7851597895751</v>
          </cell>
          <cell r="T220">
            <v>9089.500076085169</v>
          </cell>
          <cell r="U220">
            <v>8993.084478541803</v>
          </cell>
          <cell r="V220">
            <v>8327.4513887670819</v>
          </cell>
          <cell r="W220">
            <v>7988.9010896552427</v>
          </cell>
          <cell r="X220">
            <v>8200.4943866848607</v>
          </cell>
          <cell r="Y220">
            <v>7685.29275837971</v>
          </cell>
          <cell r="Z220">
            <v>5741.9832202844409</v>
          </cell>
          <cell r="AA220">
            <v>148579.57633259665</v>
          </cell>
        </row>
        <row r="221">
          <cell r="B221" t="str">
            <v>11- RESULTADO ANTES IMPOSTO DE RENDA    (9 - 10)</v>
          </cell>
          <cell r="G221">
            <v>13158.376394753848</v>
          </cell>
          <cell r="H221">
            <v>15621.745066680664</v>
          </cell>
          <cell r="I221">
            <v>12030.282917270775</v>
          </cell>
          <cell r="J221">
            <v>101209.74079990003</v>
          </cell>
          <cell r="K221">
            <v>104415.02864266152</v>
          </cell>
          <cell r="L221">
            <v>106898.98782172624</v>
          </cell>
          <cell r="M221">
            <v>99591.432300963279</v>
          </cell>
          <cell r="N221">
            <v>104117.15946317439</v>
          </cell>
          <cell r="O221">
            <v>103927.2934452122</v>
          </cell>
          <cell r="P221">
            <v>103732.14822324784</v>
          </cell>
          <cell r="Q221">
            <v>96903.688491451918</v>
          </cell>
          <cell r="R221">
            <v>99819.979838658735</v>
          </cell>
          <cell r="S221">
            <v>102922.52933758008</v>
          </cell>
          <cell r="T221">
            <v>104529.25087497941</v>
          </cell>
          <cell r="U221">
            <v>103420.47150323077</v>
          </cell>
          <cell r="V221">
            <v>95765.690970821423</v>
          </cell>
          <cell r="W221">
            <v>91872.362531035265</v>
          </cell>
          <cell r="X221">
            <v>94305.685446875912</v>
          </cell>
          <cell r="Y221">
            <v>88380.866721366707</v>
          </cell>
          <cell r="Z221">
            <v>66032.807033271107</v>
          </cell>
          <cell r="AA221">
            <v>1708655.5278248624</v>
          </cell>
        </row>
        <row r="222">
          <cell r="B222" t="str">
            <v>12- IMPOSTO DE RENDA (Legislação vigente)</v>
          </cell>
          <cell r="G222">
            <v>3554.2544550961538</v>
          </cell>
          <cell r="H222">
            <v>4221.0394202936623</v>
          </cell>
          <cell r="I222">
            <v>3245.0986188235784</v>
          </cell>
          <cell r="J222">
            <v>27478.646956494576</v>
          </cell>
          <cell r="K222">
            <v>28349.649087679762</v>
          </cell>
          <cell r="L222">
            <v>29024.637995034296</v>
          </cell>
          <cell r="M222">
            <v>27038.889212218266</v>
          </cell>
          <cell r="N222">
            <v>28268.70637586261</v>
          </cell>
          <cell r="O222">
            <v>28217.11234924243</v>
          </cell>
          <cell r="P222">
            <v>28164.083756317348</v>
          </cell>
          <cell r="Q222">
            <v>26308.524046590195</v>
          </cell>
          <cell r="R222">
            <v>27100.994521374651</v>
          </cell>
          <cell r="S222">
            <v>27944.078624342415</v>
          </cell>
          <cell r="T222">
            <v>28380.687737766144</v>
          </cell>
          <cell r="U222">
            <v>28079.388995443136</v>
          </cell>
          <cell r="V222">
            <v>25999.285589897114</v>
          </cell>
          <cell r="W222">
            <v>24941.315905172632</v>
          </cell>
          <cell r="X222">
            <v>25602.544958390183</v>
          </cell>
          <cell r="Y222">
            <v>23992.539869936598</v>
          </cell>
          <cell r="Z222">
            <v>17919.697563388876</v>
          </cell>
          <cell r="AA222">
            <v>463831.1760393646</v>
          </cell>
        </row>
        <row r="223">
          <cell r="B223" t="str">
            <v>13- RESULTADO DE EXERCÍCIO    (11 - 12)</v>
          </cell>
          <cell r="G223">
            <v>9604.1219396576944</v>
          </cell>
          <cell r="H223">
            <v>11400.705646387001</v>
          </cell>
          <cell r="I223">
            <v>8785.1842984471969</v>
          </cell>
          <cell r="J223">
            <v>73731.093843405455</v>
          </cell>
          <cell r="K223">
            <v>76065.379554981759</v>
          </cell>
          <cell r="L223">
            <v>77874.349826691949</v>
          </cell>
          <cell r="M223">
            <v>72552.543088745006</v>
          </cell>
          <cell r="N223">
            <v>75848.453087311791</v>
          </cell>
          <cell r="O223">
            <v>75710.181095969776</v>
          </cell>
          <cell r="P223">
            <v>75568.064466930489</v>
          </cell>
          <cell r="Q223">
            <v>70595.16444486173</v>
          </cell>
          <cell r="R223">
            <v>72718.985317284081</v>
          </cell>
          <cell r="S223">
            <v>74978.45071323766</v>
          </cell>
          <cell r="T223">
            <v>76148.563137213263</v>
          </cell>
          <cell r="U223">
            <v>75341.082507787636</v>
          </cell>
          <cell r="V223">
            <v>69766.405380924305</v>
          </cell>
          <cell r="W223">
            <v>66931.046625862626</v>
          </cell>
          <cell r="X223">
            <v>68703.140488485733</v>
          </cell>
          <cell r="Y223">
            <v>64388.326851430109</v>
          </cell>
          <cell r="Z223">
            <v>48113.109469882227</v>
          </cell>
          <cell r="AA223">
            <v>1244824.3517854977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281870.43451357714</v>
          </cell>
          <cell r="H229">
            <v>286574.27087079739</v>
          </cell>
          <cell r="I229">
            <v>291357.04521706002</v>
          </cell>
          <cell r="J229">
            <v>296220.09080758004</v>
          </cell>
          <cell r="K229">
            <v>301164.76358093088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1457186.6049899457</v>
          </cell>
        </row>
        <row r="230">
          <cell r="B230" t="str">
            <v>1.1 - Operacionais    (1.1.1 + 1.1.2)</v>
          </cell>
          <cell r="G230">
            <v>281870.43451357714</v>
          </cell>
          <cell r="H230">
            <v>286574.27087079739</v>
          </cell>
          <cell r="I230">
            <v>291357.04521706002</v>
          </cell>
          <cell r="J230">
            <v>296220.09080758004</v>
          </cell>
          <cell r="K230">
            <v>301164.76358093088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1457186.6049899457</v>
          </cell>
        </row>
        <row r="231">
          <cell r="B231" t="str">
            <v>1.1.1 - Receitas de  Pedágios    (Transp. Qd.2.1.1.2)</v>
          </cell>
          <cell r="G231">
            <v>274390.77790658275</v>
          </cell>
          <cell r="H231">
            <v>278969.79421749973</v>
          </cell>
          <cell r="I231">
            <v>283625.65383501293</v>
          </cell>
          <cell r="J231">
            <v>288359.6546353476</v>
          </cell>
          <cell r="K231">
            <v>293173.11657616671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1418518.9971706099</v>
          </cell>
        </row>
        <row r="232">
          <cell r="B232" t="str">
            <v>1.1.2 - Outras Receitas Operacionais    (calculado 2.1.2.)</v>
          </cell>
          <cell r="G232">
            <v>7479.656606994391</v>
          </cell>
          <cell r="H232">
            <v>7604.4766532976446</v>
          </cell>
          <cell r="I232">
            <v>7731.391382047118</v>
          </cell>
          <cell r="J232">
            <v>7860.436172232432</v>
          </cell>
          <cell r="K232">
            <v>7991.6470047642051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38667.60781933579</v>
          </cell>
        </row>
        <row r="233">
          <cell r="B233" t="str">
            <v>2 -  DEDUÇÕES DA RECEITA    (2.1)</v>
          </cell>
          <cell r="G233">
            <v>25452.900236576013</v>
          </cell>
          <cell r="H233">
            <v>25877.656659633005</v>
          </cell>
          <cell r="I233">
            <v>26309.541183100519</v>
          </cell>
          <cell r="J233">
            <v>26748.67419992448</v>
          </cell>
          <cell r="K233">
            <v>27195.178151358057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131583.95043059206</v>
          </cell>
        </row>
        <row r="234">
          <cell r="B234" t="str">
            <v>2.1 - Tributos sobre Faturamento    (2.1.1+ .... + 2.1.4)</v>
          </cell>
          <cell r="G234">
            <v>25452.900236576013</v>
          </cell>
          <cell r="H234">
            <v>25877.656659633005</v>
          </cell>
          <cell r="I234">
            <v>26309.541183100519</v>
          </cell>
          <cell r="J234">
            <v>26748.67419992448</v>
          </cell>
          <cell r="K234">
            <v>27195.178151358057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131583.95043059206</v>
          </cell>
        </row>
        <row r="235">
          <cell r="B235" t="str">
            <v>2.1.1 - I.S.S    (transp. Qd  1.3.)</v>
          </cell>
          <cell r="G235">
            <v>14093.521725678858</v>
          </cell>
          <cell r="H235">
            <v>14328.71354353987</v>
          </cell>
          <cell r="I235">
            <v>14567.852260853002</v>
          </cell>
          <cell r="J235">
            <v>14811.004540379003</v>
          </cell>
          <cell r="K235">
            <v>15058.238179046544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72859.330249497274</v>
          </cell>
        </row>
        <row r="236">
          <cell r="B236" t="str">
            <v>2.1.2 - Cofins    (transp. Qd 1.3.)</v>
          </cell>
          <cell r="G236">
            <v>8456.1130354073139</v>
          </cell>
          <cell r="H236">
            <v>8597.2281261239223</v>
          </cell>
          <cell r="I236">
            <v>8740.7113565117997</v>
          </cell>
          <cell r="J236">
            <v>8886.6027242274013</v>
          </cell>
          <cell r="K236">
            <v>9034.9429074279269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43715.598149698359</v>
          </cell>
        </row>
        <row r="237">
          <cell r="B237" t="str">
            <v>2.1.3 - Pis / Pasep    (transp. Qd 1.3.)</v>
          </cell>
          <cell r="G237">
            <v>1832.1578243382514</v>
          </cell>
          <cell r="H237">
            <v>1862.732760660183</v>
          </cell>
          <cell r="I237">
            <v>1893.82079391089</v>
          </cell>
          <cell r="J237">
            <v>1925.4305902492702</v>
          </cell>
          <cell r="K237">
            <v>1957.5709632760506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9471.7129324346442</v>
          </cell>
        </row>
        <row r="238">
          <cell r="B238" t="str">
            <v>2.1.4 - CPMF    (transp Qd 1.3.)</v>
          </cell>
          <cell r="G238">
            <v>1071.1076511515932</v>
          </cell>
          <cell r="H238">
            <v>1088.9822293090301</v>
          </cell>
          <cell r="I238">
            <v>1107.156771824828</v>
          </cell>
          <cell r="J238">
            <v>1125.6363450688041</v>
          </cell>
          <cell r="K238">
            <v>1144.4261016075372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5537.3090989617922</v>
          </cell>
        </row>
        <row r="239">
          <cell r="B239" t="str">
            <v>3 -  RECEITA LIQUIDA    (1 - 2)</v>
          </cell>
          <cell r="G239">
            <v>256417.53427700113</v>
          </cell>
          <cell r="H239">
            <v>260696.61421116439</v>
          </cell>
          <cell r="I239">
            <v>265047.50403395947</v>
          </cell>
          <cell r="J239">
            <v>269471.41660765558</v>
          </cell>
          <cell r="K239">
            <v>273969.58542957285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1325602.6545593536</v>
          </cell>
        </row>
        <row r="240">
          <cell r="B240" t="str">
            <v>4 -  DESPESAS    (4.1)</v>
          </cell>
          <cell r="G240">
            <v>59182.074165761383</v>
          </cell>
          <cell r="H240">
            <v>59324.600407385165</v>
          </cell>
          <cell r="I240">
            <v>59469.518470076917</v>
          </cell>
          <cell r="J240">
            <v>59616.868751469672</v>
          </cell>
          <cell r="K240">
            <v>59766.692336502201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297359.75413119537</v>
          </cell>
        </row>
        <row r="241">
          <cell r="B241" t="str">
            <v>4.1 - Operacionais    (4.1.1+ .... + 4.1.10)</v>
          </cell>
          <cell r="G241">
            <v>59182.074165761383</v>
          </cell>
          <cell r="H241">
            <v>59324.600407385165</v>
          </cell>
          <cell r="I241">
            <v>59469.518470076917</v>
          </cell>
          <cell r="J241">
            <v>59616.868751469672</v>
          </cell>
          <cell r="K241">
            <v>59766.692336502201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297359.75413119537</v>
          </cell>
        </row>
        <row r="242">
          <cell r="B242" t="str">
            <v>4.1.1  -  Pessoal e Administradores    (Transp. Qd. 1.3.)</v>
          </cell>
          <cell r="G242">
            <v>34047</v>
          </cell>
          <cell r="H242">
            <v>34047</v>
          </cell>
          <cell r="I242">
            <v>34047</v>
          </cell>
          <cell r="J242">
            <v>34047</v>
          </cell>
          <cell r="K242">
            <v>34047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170235</v>
          </cell>
        </row>
        <row r="243">
          <cell r="B243" t="str">
            <v>4.1.2  -  Conservação de Rotina    (Transp. Qd. 1.3.)</v>
          </cell>
          <cell r="G243">
            <v>6997</v>
          </cell>
          <cell r="H243">
            <v>6997</v>
          </cell>
          <cell r="I243">
            <v>6997</v>
          </cell>
          <cell r="J243">
            <v>6997</v>
          </cell>
          <cell r="K243">
            <v>6997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34985</v>
          </cell>
        </row>
        <row r="244">
          <cell r="B244" t="str">
            <v>4.1.3  -  Consumo    (Transp. Qd. 1.3.)</v>
          </cell>
          <cell r="G244">
            <v>1135</v>
          </cell>
          <cell r="H244">
            <v>1135</v>
          </cell>
          <cell r="I244">
            <v>1135</v>
          </cell>
          <cell r="J244">
            <v>1135</v>
          </cell>
          <cell r="K244">
            <v>1135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5675</v>
          </cell>
        </row>
        <row r="245">
          <cell r="B245" t="str">
            <v>4.1.4  -  Transportes    (Transp. Qd. 1.3.)</v>
          </cell>
          <cell r="G245">
            <v>5306</v>
          </cell>
          <cell r="H245">
            <v>5306</v>
          </cell>
          <cell r="I245">
            <v>5306</v>
          </cell>
          <cell r="J245">
            <v>5306</v>
          </cell>
          <cell r="K245">
            <v>5306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26530</v>
          </cell>
        </row>
        <row r="246">
          <cell r="B246" t="str">
            <v>4.1.5  -  Diversas    (Transp. Qd. 1.3.)</v>
          </cell>
          <cell r="G246">
            <v>1745</v>
          </cell>
          <cell r="H246">
            <v>1745</v>
          </cell>
          <cell r="I246">
            <v>1745</v>
          </cell>
          <cell r="J246">
            <v>1745</v>
          </cell>
          <cell r="K246">
            <v>1745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8725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910</v>
          </cell>
          <cell r="H248">
            <v>910</v>
          </cell>
          <cell r="I248">
            <v>910</v>
          </cell>
          <cell r="J248">
            <v>910</v>
          </cell>
          <cell r="K248">
            <v>910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4550</v>
          </cell>
        </row>
        <row r="249">
          <cell r="B249" t="str">
            <v xml:space="preserve">4.1.8  -  Garantias  (transp. Qd 1.3.)  </v>
          </cell>
          <cell r="G249">
            <v>585.96113035407313</v>
          </cell>
          <cell r="H249">
            <v>587.37228126123932</v>
          </cell>
          <cell r="I249">
            <v>588.80711356511802</v>
          </cell>
          <cell r="J249">
            <v>590.26602724227405</v>
          </cell>
          <cell r="K249">
            <v>591.74942907427931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2944.1559814969837</v>
          </cell>
        </row>
        <row r="250">
          <cell r="B250" t="str">
            <v xml:space="preserve">4.1.9  -  Parc.Variável da Concessão   </v>
          </cell>
          <cell r="G250">
            <v>8456.1130354073139</v>
          </cell>
          <cell r="H250">
            <v>8597.2281261239223</v>
          </cell>
          <cell r="I250">
            <v>8740.7113565117997</v>
          </cell>
          <cell r="J250">
            <v>8886.6027242274013</v>
          </cell>
          <cell r="K250">
            <v>9034.9429074279269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43715.598149698359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197235.46011123975</v>
          </cell>
          <cell r="H252">
            <v>201372.01380377921</v>
          </cell>
          <cell r="I252">
            <v>205577.98556388257</v>
          </cell>
          <cell r="J252">
            <v>209854.54785618591</v>
          </cell>
          <cell r="K252">
            <v>214202.89309307066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1028242.9004281582</v>
          </cell>
        </row>
        <row r="253">
          <cell r="B253" t="str">
            <v>6 -  RESULTADO FINANCEIRO    (6.1)</v>
          </cell>
          <cell r="G253">
            <v>1371.8945199298544</v>
          </cell>
          <cell r="H253">
            <v>1394.7886107281797</v>
          </cell>
          <cell r="I253">
            <v>1418.0669014329922</v>
          </cell>
          <cell r="J253">
            <v>1441.7358811445981</v>
          </cell>
          <cell r="K253">
            <v>1465.8021493657147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7092.2880626013393</v>
          </cell>
        </row>
        <row r="254">
          <cell r="B254" t="str">
            <v>6.1 - Receitas    (Transp. Qd. 2B)</v>
          </cell>
          <cell r="G254">
            <v>1371.8945199298544</v>
          </cell>
          <cell r="H254">
            <v>1394.7886107281797</v>
          </cell>
          <cell r="I254">
            <v>1418.0669014329922</v>
          </cell>
          <cell r="J254">
            <v>1441.7358811445981</v>
          </cell>
          <cell r="K254">
            <v>1465.8021493657147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7092.2880626013393</v>
          </cell>
        </row>
        <row r="255">
          <cell r="B255" t="str">
            <v>7 -  RESULTADO OPERACIONAL    (5 + 6)</v>
          </cell>
          <cell r="G255">
            <v>198607.35463116961</v>
          </cell>
          <cell r="H255">
            <v>202766.80241450737</v>
          </cell>
          <cell r="I255">
            <v>206996.05246531556</v>
          </cell>
          <cell r="J255">
            <v>211296.28373733049</v>
          </cell>
          <cell r="K255">
            <v>215668.69524243637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1035335.1884907596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198607.35463116961</v>
          </cell>
          <cell r="H257">
            <v>202766.80241450737</v>
          </cell>
          <cell r="I257">
            <v>206996.05246531556</v>
          </cell>
          <cell r="J257">
            <v>211296.28373733049</v>
          </cell>
          <cell r="K257">
            <v>215668.69524243637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1035335.1884907596</v>
          </cell>
        </row>
        <row r="258">
          <cell r="B258" t="str">
            <v>10- CONTRIBUIÇÃO SOCIAL (Legislação vigente)</v>
          </cell>
          <cell r="G258">
            <v>15888.58837049357</v>
          </cell>
          <cell r="H258">
            <v>16221.34419316059</v>
          </cell>
          <cell r="I258">
            <v>16559.684197225244</v>
          </cell>
          <cell r="J258">
            <v>16903.702698986439</v>
          </cell>
          <cell r="K258">
            <v>17253.495619394911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82826.815079260763</v>
          </cell>
        </row>
        <row r="259">
          <cell r="B259" t="str">
            <v>11- RESULTADO ANTES IMPOSTO DE RENDA    (9 - 10)</v>
          </cell>
          <cell r="G259">
            <v>182718.76626067603</v>
          </cell>
          <cell r="H259">
            <v>186545.45822134678</v>
          </cell>
          <cell r="I259">
            <v>190436.3682680903</v>
          </cell>
          <cell r="J259">
            <v>194392.58103834407</v>
          </cell>
          <cell r="K259">
            <v>198415.19962304147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952508.37341149885</v>
          </cell>
        </row>
        <row r="260">
          <cell r="B260" t="str">
            <v>12- IMPOSTO DE RENDA (Legislação vigente)</v>
          </cell>
          <cell r="G260">
            <v>49627.838657792403</v>
          </cell>
          <cell r="H260">
            <v>50667.700603626843</v>
          </cell>
          <cell r="I260">
            <v>51725.01311632889</v>
          </cell>
          <cell r="J260">
            <v>52800.070934332623</v>
          </cell>
          <cell r="K260">
            <v>53893.173810609092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258713.79712268984</v>
          </cell>
        </row>
        <row r="261">
          <cell r="B261" t="str">
            <v>13- RESULTADO DE EXERCÍCIO    (11 - 12)</v>
          </cell>
          <cell r="G261">
            <v>133090.92760288363</v>
          </cell>
          <cell r="H261">
            <v>135877.75761771994</v>
          </cell>
          <cell r="I261">
            <v>138711.35515176141</v>
          </cell>
          <cell r="J261">
            <v>141592.51010401145</v>
          </cell>
          <cell r="K261">
            <v>144522.02581243237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693794.57628880907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74719</v>
          </cell>
          <cell r="H267">
            <v>100029</v>
          </cell>
          <cell r="I267">
            <v>107400</v>
          </cell>
          <cell r="J267">
            <v>222064</v>
          </cell>
          <cell r="K267">
            <v>230667.11239999998</v>
          </cell>
          <cell r="L267">
            <v>236017.83349270842</v>
          </cell>
          <cell r="M267">
            <v>231726.41174760429</v>
          </cell>
          <cell r="N267">
            <v>234773.70425958713</v>
          </cell>
          <cell r="O267">
            <v>238285.27272684977</v>
          </cell>
          <cell r="P267">
            <v>241956.75116454266</v>
          </cell>
          <cell r="Q267">
            <v>245123.58230852691</v>
          </cell>
          <cell r="R267">
            <v>248683.97268178276</v>
          </cell>
          <cell r="S267">
            <v>252301.19439623621</v>
          </cell>
          <cell r="T267">
            <v>255967.73247612332</v>
          </cell>
          <cell r="U267">
            <v>259687.02239440699</v>
          </cell>
          <cell r="V267">
            <v>263458.5832422392</v>
          </cell>
          <cell r="W267">
            <v>270401.46703550639</v>
          </cell>
          <cell r="X267">
            <v>278782.56110807159</v>
          </cell>
          <cell r="Y267">
            <v>282853.84794131375</v>
          </cell>
          <cell r="Z267">
            <v>286986.52337955317</v>
          </cell>
          <cell r="AA267">
            <v>4561885.5727550527</v>
          </cell>
        </row>
        <row r="268">
          <cell r="B268" t="str">
            <v>1.1.  RECEITAS     (1.1.1.+ ... + 1.1.4)</v>
          </cell>
          <cell r="G268">
            <v>74719</v>
          </cell>
          <cell r="H268">
            <v>100029</v>
          </cell>
          <cell r="I268">
            <v>107400</v>
          </cell>
          <cell r="J268">
            <v>222064</v>
          </cell>
          <cell r="K268">
            <v>230667.11239999998</v>
          </cell>
          <cell r="L268">
            <v>236017.83349270842</v>
          </cell>
          <cell r="M268">
            <v>231726.41174760429</v>
          </cell>
          <cell r="N268">
            <v>234773.70425958713</v>
          </cell>
          <cell r="O268">
            <v>238285.27272684977</v>
          </cell>
          <cell r="P268">
            <v>241956.75116454266</v>
          </cell>
          <cell r="Q268">
            <v>245123.58230852691</v>
          </cell>
          <cell r="R268">
            <v>248683.97268178276</v>
          </cell>
          <cell r="S268">
            <v>252301.19439623621</v>
          </cell>
          <cell r="T268">
            <v>255967.73247612332</v>
          </cell>
          <cell r="U268">
            <v>259687.02239440699</v>
          </cell>
          <cell r="V268">
            <v>263458.5832422392</v>
          </cell>
          <cell r="W268">
            <v>270401.46703550639</v>
          </cell>
          <cell r="X268">
            <v>278782.56110807159</v>
          </cell>
          <cell r="Y268">
            <v>282853.84794131375</v>
          </cell>
          <cell r="Z268">
            <v>286986.52337955317</v>
          </cell>
          <cell r="AA268">
            <v>4561885.5727550527</v>
          </cell>
        </row>
        <row r="269">
          <cell r="B269" t="str">
            <v>1.1.1   Receitas de Pedágio</v>
          </cell>
          <cell r="G269">
            <v>73430</v>
          </cell>
          <cell r="H269">
            <v>96402</v>
          </cell>
          <cell r="I269">
            <v>98799</v>
          </cell>
          <cell r="J269">
            <v>213157</v>
          </cell>
          <cell r="K269">
            <v>221357.11239999998</v>
          </cell>
          <cell r="L269">
            <v>226683.83349270842</v>
          </cell>
          <cell r="M269">
            <v>222366.41174760429</v>
          </cell>
          <cell r="N269">
            <v>225387.70425958713</v>
          </cell>
          <cell r="O269">
            <v>228873.27272684977</v>
          </cell>
          <cell r="P269">
            <v>232517.75116454266</v>
          </cell>
          <cell r="Q269">
            <v>235660.58230852691</v>
          </cell>
          <cell r="R269">
            <v>239197.97268178276</v>
          </cell>
          <cell r="S269">
            <v>242790.19439623621</v>
          </cell>
          <cell r="T269">
            <v>246432.73247612332</v>
          </cell>
          <cell r="U269">
            <v>250127.02239440699</v>
          </cell>
          <cell r="V269">
            <v>253872.58324223923</v>
          </cell>
          <cell r="W269">
            <v>260789.46703550639</v>
          </cell>
          <cell r="X269">
            <v>269144.56110807159</v>
          </cell>
          <cell r="Y269">
            <v>273189.84794131375</v>
          </cell>
          <cell r="Z269">
            <v>277295.52337955317</v>
          </cell>
          <cell r="AA269">
            <v>4387474.5727550527</v>
          </cell>
        </row>
        <row r="270">
          <cell r="B270" t="str">
            <v>1.1.2   Outras Receitas Operacionais</v>
          </cell>
          <cell r="G270">
            <v>922</v>
          </cell>
          <cell r="H270">
            <v>3145</v>
          </cell>
          <cell r="I270">
            <v>7838</v>
          </cell>
          <cell r="J270">
            <v>7841</v>
          </cell>
          <cell r="K270">
            <v>8144</v>
          </cell>
          <cell r="L270">
            <v>8147.0000000000009</v>
          </cell>
          <cell r="M270">
            <v>8150</v>
          </cell>
          <cell r="N270">
            <v>8153</v>
          </cell>
          <cell r="O270">
            <v>8156</v>
          </cell>
          <cell r="P270">
            <v>8159</v>
          </cell>
          <cell r="Q270">
            <v>8162</v>
          </cell>
          <cell r="R270">
            <v>8165</v>
          </cell>
          <cell r="S270">
            <v>8168</v>
          </cell>
          <cell r="T270">
            <v>8170.9999999999991</v>
          </cell>
          <cell r="U270">
            <v>8174</v>
          </cell>
          <cell r="V270">
            <v>8177</v>
          </cell>
          <cell r="W270">
            <v>8180</v>
          </cell>
          <cell r="X270">
            <v>8183</v>
          </cell>
          <cell r="Y270">
            <v>8186.0000000000009</v>
          </cell>
          <cell r="Z270">
            <v>8189</v>
          </cell>
          <cell r="AA270">
            <v>150410</v>
          </cell>
        </row>
        <row r="271">
          <cell r="B271" t="str">
            <v>1.1.3   Receitas Não Operacionais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</row>
        <row r="272">
          <cell r="B272" t="str">
            <v xml:space="preserve">1.1.4   Receitas Financeiras </v>
          </cell>
          <cell r="G272">
            <v>367</v>
          </cell>
          <cell r="H272">
            <v>482</v>
          </cell>
          <cell r="I272">
            <v>763</v>
          </cell>
          <cell r="J272">
            <v>1066</v>
          </cell>
          <cell r="K272">
            <v>1166</v>
          </cell>
          <cell r="L272">
            <v>1187</v>
          </cell>
          <cell r="M272">
            <v>1210</v>
          </cell>
          <cell r="N272">
            <v>1233</v>
          </cell>
          <cell r="O272">
            <v>1256</v>
          </cell>
          <cell r="P272">
            <v>1280</v>
          </cell>
          <cell r="Q272">
            <v>1301</v>
          </cell>
          <cell r="R272">
            <v>1321</v>
          </cell>
          <cell r="S272">
            <v>1343</v>
          </cell>
          <cell r="T272">
            <v>1364</v>
          </cell>
          <cell r="U272">
            <v>1386</v>
          </cell>
          <cell r="V272">
            <v>1409</v>
          </cell>
          <cell r="W272">
            <v>1432</v>
          </cell>
          <cell r="X272">
            <v>1455</v>
          </cell>
          <cell r="Y272">
            <v>1478</v>
          </cell>
          <cell r="Z272">
            <v>1502.0000000000002</v>
          </cell>
          <cell r="AA272">
            <v>24001</v>
          </cell>
        </row>
        <row r="273">
          <cell r="B273" t="str">
            <v>2.  DESEMBOLSOS     (2.1.+ ... + 2.4)</v>
          </cell>
          <cell r="G273">
            <v>148826.92388072691</v>
          </cell>
          <cell r="H273">
            <v>220374.23753478762</v>
          </cell>
          <cell r="I273">
            <v>229030.86067684711</v>
          </cell>
          <cell r="J273">
            <v>231783.11098257283</v>
          </cell>
          <cell r="K273">
            <v>149960.5918943373</v>
          </cell>
          <cell r="L273">
            <v>152611.87394570222</v>
          </cell>
          <cell r="M273">
            <v>141811.6823764795</v>
          </cell>
          <cell r="N273">
            <v>144688.10323180893</v>
          </cell>
          <cell r="O273">
            <v>191144.8028870275</v>
          </cell>
          <cell r="P273">
            <v>168771.24638235764</v>
          </cell>
          <cell r="Q273">
            <v>132985.26496600069</v>
          </cell>
          <cell r="R273">
            <v>132014.80908564222</v>
          </cell>
          <cell r="S273">
            <v>153006.16343129351</v>
          </cell>
          <cell r="T273">
            <v>142137.14264731971</v>
          </cell>
          <cell r="U273">
            <v>181275.39258293336</v>
          </cell>
          <cell r="V273">
            <v>198314.99342638504</v>
          </cell>
          <cell r="W273">
            <v>157208.37990446435</v>
          </cell>
          <cell r="X273">
            <v>142137.98021416541</v>
          </cell>
          <cell r="Y273">
            <v>155864.99891347936</v>
          </cell>
          <cell r="Z273">
            <v>143105.24775739125</v>
          </cell>
          <cell r="AA273">
            <v>3317053.8067217227</v>
          </cell>
        </row>
        <row r="274">
          <cell r="B274" t="str">
            <v>2.1.  OPERACIONAIS     (2.1.1.+ ... + 2.1.8)</v>
          </cell>
          <cell r="G274">
            <v>36270.368000000002</v>
          </cell>
          <cell r="H274">
            <v>51409.9355</v>
          </cell>
          <cell r="I274">
            <v>54750.620499999997</v>
          </cell>
          <cell r="J274">
            <v>61839.406999999999</v>
          </cell>
          <cell r="K274">
            <v>62209.801726600002</v>
          </cell>
          <cell r="L274">
            <v>62575.396787475693</v>
          </cell>
          <cell r="M274">
            <v>70673.083929921762</v>
          </cell>
          <cell r="N274">
            <v>71328.150918454281</v>
          </cell>
          <cell r="O274">
            <v>72121.792090872506</v>
          </cell>
          <cell r="P274">
            <v>72392.178975732939</v>
          </cell>
          <cell r="Q274">
            <v>72639.173369687574</v>
          </cell>
          <cell r="R274">
            <v>72894.297136974201</v>
          </cell>
          <cell r="S274">
            <v>73188.163815274427</v>
          </cell>
          <cell r="T274">
            <v>73466.382859184669</v>
          </cell>
          <cell r="U274">
            <v>73757.078437116201</v>
          </cell>
          <cell r="V274">
            <v>74038.2089504537</v>
          </cell>
          <cell r="W274">
            <v>74615.658898571302</v>
          </cell>
          <cell r="X274">
            <v>75323.514035848202</v>
          </cell>
          <cell r="Y274">
            <v>75648.570846923642</v>
          </cell>
          <cell r="Z274">
            <v>75973.851272331347</v>
          </cell>
          <cell r="AA274">
            <v>1357115.6350514225</v>
          </cell>
        </row>
        <row r="275">
          <cell r="B275" t="str">
            <v xml:space="preserve">2.1.1.  Pessoal / Administradores   </v>
          </cell>
          <cell r="G275">
            <v>20034</v>
          </cell>
          <cell r="H275">
            <v>27971</v>
          </cell>
          <cell r="I275">
            <v>31249</v>
          </cell>
          <cell r="J275">
            <v>34297</v>
          </cell>
          <cell r="K275">
            <v>34048</v>
          </cell>
          <cell r="L275">
            <v>34047</v>
          </cell>
          <cell r="M275">
            <v>34048</v>
          </cell>
          <cell r="N275">
            <v>34047</v>
          </cell>
          <cell r="O275">
            <v>34048</v>
          </cell>
          <cell r="P275">
            <v>34047</v>
          </cell>
          <cell r="Q275">
            <v>34048</v>
          </cell>
          <cell r="R275">
            <v>34047</v>
          </cell>
          <cell r="S275">
            <v>34048</v>
          </cell>
          <cell r="T275">
            <v>34047</v>
          </cell>
          <cell r="U275">
            <v>34048</v>
          </cell>
          <cell r="V275">
            <v>34047</v>
          </cell>
          <cell r="W275">
            <v>34047</v>
          </cell>
          <cell r="X275">
            <v>34047</v>
          </cell>
          <cell r="Y275">
            <v>34047</v>
          </cell>
          <cell r="Z275">
            <v>34047</v>
          </cell>
          <cell r="AA275">
            <v>658309</v>
          </cell>
        </row>
        <row r="276">
          <cell r="B276" t="str">
            <v xml:space="preserve">2.1.2.  Conservação de Rotina  </v>
          </cell>
          <cell r="G276">
            <v>2691</v>
          </cell>
          <cell r="H276">
            <v>5382</v>
          </cell>
          <cell r="I276">
            <v>5457</v>
          </cell>
          <cell r="J276">
            <v>5560</v>
          </cell>
          <cell r="K276">
            <v>6466</v>
          </cell>
          <cell r="L276">
            <v>6466</v>
          </cell>
          <cell r="M276">
            <v>6466</v>
          </cell>
          <cell r="N276">
            <v>6466</v>
          </cell>
          <cell r="O276">
            <v>6997</v>
          </cell>
          <cell r="P276">
            <v>6997</v>
          </cell>
          <cell r="Q276">
            <v>6997</v>
          </cell>
          <cell r="R276">
            <v>6997</v>
          </cell>
          <cell r="S276">
            <v>6997</v>
          </cell>
          <cell r="T276">
            <v>6997</v>
          </cell>
          <cell r="U276">
            <v>6997</v>
          </cell>
          <cell r="V276">
            <v>6997</v>
          </cell>
          <cell r="W276">
            <v>6997</v>
          </cell>
          <cell r="X276">
            <v>6997</v>
          </cell>
          <cell r="Y276">
            <v>6997</v>
          </cell>
          <cell r="Z276">
            <v>6997</v>
          </cell>
          <cell r="AA276">
            <v>128918</v>
          </cell>
        </row>
        <row r="277">
          <cell r="B277" t="str">
            <v xml:space="preserve">2.1.3.  Consumo   </v>
          </cell>
          <cell r="G277">
            <v>925</v>
          </cell>
          <cell r="H277">
            <v>987</v>
          </cell>
          <cell r="I277">
            <v>1000</v>
          </cell>
          <cell r="J277">
            <v>1135</v>
          </cell>
          <cell r="K277">
            <v>1135</v>
          </cell>
          <cell r="L277">
            <v>1135</v>
          </cell>
          <cell r="M277">
            <v>1135</v>
          </cell>
          <cell r="N277">
            <v>1135</v>
          </cell>
          <cell r="O277">
            <v>1135</v>
          </cell>
          <cell r="P277">
            <v>1135</v>
          </cell>
          <cell r="Q277">
            <v>1135</v>
          </cell>
          <cell r="R277">
            <v>1135</v>
          </cell>
          <cell r="S277">
            <v>1135</v>
          </cell>
          <cell r="T277">
            <v>1135</v>
          </cell>
          <cell r="U277">
            <v>1135</v>
          </cell>
          <cell r="V277">
            <v>1135</v>
          </cell>
          <cell r="W277">
            <v>1135</v>
          </cell>
          <cell r="X277">
            <v>1135</v>
          </cell>
          <cell r="Y277">
            <v>1135</v>
          </cell>
          <cell r="Z277">
            <v>1135</v>
          </cell>
          <cell r="AA277">
            <v>22207</v>
          </cell>
        </row>
        <row r="278">
          <cell r="B278" t="str">
            <v>2.1.4.  Transportes</v>
          </cell>
          <cell r="G278">
            <v>2399</v>
          </cell>
          <cell r="H278">
            <v>4565</v>
          </cell>
          <cell r="I278">
            <v>4981</v>
          </cell>
          <cell r="J278">
            <v>5230</v>
          </cell>
          <cell r="K278">
            <v>5306</v>
          </cell>
          <cell r="L278">
            <v>5307</v>
          </cell>
          <cell r="M278">
            <v>5306</v>
          </cell>
          <cell r="N278">
            <v>5307</v>
          </cell>
          <cell r="O278">
            <v>5306</v>
          </cell>
          <cell r="P278">
            <v>5307</v>
          </cell>
          <cell r="Q278">
            <v>5306</v>
          </cell>
          <cell r="R278">
            <v>5307</v>
          </cell>
          <cell r="S278">
            <v>5306</v>
          </cell>
          <cell r="T278">
            <v>5307</v>
          </cell>
          <cell r="U278">
            <v>5306</v>
          </cell>
          <cell r="V278">
            <v>5307</v>
          </cell>
          <cell r="W278">
            <v>5306</v>
          </cell>
          <cell r="X278">
            <v>5307</v>
          </cell>
          <cell r="Y278">
            <v>5306</v>
          </cell>
          <cell r="Z278">
            <v>5306</v>
          </cell>
          <cell r="AA278">
            <v>102078</v>
          </cell>
        </row>
        <row r="279">
          <cell r="B279" t="str">
            <v>2.1.5.  Diversas</v>
          </cell>
          <cell r="G279">
            <v>3376</v>
          </cell>
          <cell r="H279">
            <v>4638</v>
          </cell>
          <cell r="I279">
            <v>4059</v>
          </cell>
          <cell r="J279">
            <v>2441</v>
          </cell>
          <cell r="K279">
            <v>1745</v>
          </cell>
          <cell r="L279">
            <v>1745</v>
          </cell>
          <cell r="M279">
            <v>1745</v>
          </cell>
          <cell r="N279">
            <v>1745</v>
          </cell>
          <cell r="O279">
            <v>1745</v>
          </cell>
          <cell r="P279">
            <v>1745</v>
          </cell>
          <cell r="Q279">
            <v>1745</v>
          </cell>
          <cell r="R279">
            <v>1745</v>
          </cell>
          <cell r="S279">
            <v>1745</v>
          </cell>
          <cell r="T279">
            <v>1745</v>
          </cell>
          <cell r="U279">
            <v>1745</v>
          </cell>
          <cell r="V279">
            <v>1745</v>
          </cell>
          <cell r="W279">
            <v>1745</v>
          </cell>
          <cell r="X279">
            <v>1745</v>
          </cell>
          <cell r="Y279">
            <v>1745</v>
          </cell>
          <cell r="Z279">
            <v>1745</v>
          </cell>
          <cell r="AA279">
            <v>42434</v>
          </cell>
        </row>
        <row r="280">
          <cell r="B280" t="str">
            <v>2.1.6.  Tributos s/ Faturamento</v>
          </cell>
          <cell r="G280">
            <v>3457.3679999999999</v>
          </cell>
          <cell r="H280">
            <v>4628.9354999999996</v>
          </cell>
          <cell r="I280">
            <v>4958.6204999999991</v>
          </cell>
          <cell r="J280">
            <v>10276.406999999999</v>
          </cell>
          <cell r="K280">
            <v>10671.801726600001</v>
          </cell>
          <cell r="L280">
            <v>11063.396787475691</v>
          </cell>
          <cell r="M280">
            <v>19190.083929921766</v>
          </cell>
          <cell r="N280">
            <v>19875.150918454288</v>
          </cell>
          <cell r="O280">
            <v>20176.792090872506</v>
          </cell>
          <cell r="P280">
            <v>20492.178975732942</v>
          </cell>
          <cell r="Q280">
            <v>20764.173369687582</v>
          </cell>
          <cell r="R280">
            <v>21070.297136974208</v>
          </cell>
          <cell r="S280">
            <v>21381.163815274434</v>
          </cell>
          <cell r="T280">
            <v>21696.382859184665</v>
          </cell>
          <cell r="U280">
            <v>22016.078437116201</v>
          </cell>
          <cell r="V280">
            <v>22340.208950453693</v>
          </cell>
          <cell r="W280">
            <v>22938.658898571306</v>
          </cell>
          <cell r="X280">
            <v>23661.514035848195</v>
          </cell>
          <cell r="Y280">
            <v>24011.570846923642</v>
          </cell>
          <cell r="Z280">
            <v>24366.851272331354</v>
          </cell>
          <cell r="AA280">
            <v>349037.63505142246</v>
          </cell>
        </row>
        <row r="281">
          <cell r="B281" t="str">
            <v>2.1.7.  Seguros</v>
          </cell>
          <cell r="G281">
            <v>910</v>
          </cell>
          <cell r="H281">
            <v>910</v>
          </cell>
          <cell r="I281">
            <v>910</v>
          </cell>
          <cell r="J281">
            <v>910</v>
          </cell>
          <cell r="K281">
            <v>910</v>
          </cell>
          <cell r="L281">
            <v>910</v>
          </cell>
          <cell r="M281">
            <v>910</v>
          </cell>
          <cell r="N281">
            <v>910</v>
          </cell>
          <cell r="O281">
            <v>910</v>
          </cell>
          <cell r="P281">
            <v>910</v>
          </cell>
          <cell r="Q281">
            <v>910</v>
          </cell>
          <cell r="R281">
            <v>910</v>
          </cell>
          <cell r="S281">
            <v>910</v>
          </cell>
          <cell r="T281">
            <v>910</v>
          </cell>
          <cell r="U281">
            <v>910</v>
          </cell>
          <cell r="V281">
            <v>910</v>
          </cell>
          <cell r="W281">
            <v>910</v>
          </cell>
          <cell r="X281">
            <v>910</v>
          </cell>
          <cell r="Y281">
            <v>910</v>
          </cell>
          <cell r="Z281">
            <v>910</v>
          </cell>
          <cell r="AA281">
            <v>18200</v>
          </cell>
        </row>
        <row r="282">
          <cell r="B282" t="str">
            <v xml:space="preserve">2.1.8.  Garantias </v>
          </cell>
          <cell r="G282">
            <v>2478</v>
          </cell>
          <cell r="H282">
            <v>2328</v>
          </cell>
          <cell r="I282">
            <v>2136</v>
          </cell>
          <cell r="J282">
            <v>1990</v>
          </cell>
          <cell r="K282">
            <v>1928</v>
          </cell>
          <cell r="L282">
            <v>1902</v>
          </cell>
          <cell r="M282">
            <v>1873</v>
          </cell>
          <cell r="N282">
            <v>1843</v>
          </cell>
          <cell r="O282">
            <v>1804</v>
          </cell>
          <cell r="P282">
            <v>1759</v>
          </cell>
          <cell r="Q282">
            <v>1734</v>
          </cell>
          <cell r="R282">
            <v>1683</v>
          </cell>
          <cell r="S282">
            <v>1666</v>
          </cell>
          <cell r="T282">
            <v>1629</v>
          </cell>
          <cell r="U282">
            <v>1600</v>
          </cell>
          <cell r="V282">
            <v>1557</v>
          </cell>
          <cell r="W282">
            <v>1537</v>
          </cell>
          <cell r="X282">
            <v>1521</v>
          </cell>
          <cell r="Y282">
            <v>1497</v>
          </cell>
          <cell r="Z282">
            <v>1467</v>
          </cell>
          <cell r="AA282">
            <v>35932</v>
          </cell>
        </row>
        <row r="283">
          <cell r="B283" t="str">
            <v>2.2.  INVESTIMENTOS / IMOBILIZADO     (2.2.1.+ ... + 2.2.7)</v>
          </cell>
          <cell r="G283">
            <v>77642.7</v>
          </cell>
          <cell r="H283">
            <v>131178.44</v>
          </cell>
          <cell r="I283">
            <v>118033.92</v>
          </cell>
          <cell r="J283">
            <v>92210.27</v>
          </cell>
          <cell r="K283">
            <v>28172.539999999997</v>
          </cell>
          <cell r="L283">
            <v>29407.350000000002</v>
          </cell>
          <cell r="M283">
            <v>19503.780000000002</v>
          </cell>
          <cell r="N283">
            <v>24341.48</v>
          </cell>
          <cell r="O283">
            <v>69809.97</v>
          </cell>
          <cell r="P283">
            <v>47126.600000000006</v>
          </cell>
          <cell r="Q283">
            <v>4768.5</v>
          </cell>
          <cell r="R283">
            <v>654.63000000000034</v>
          </cell>
          <cell r="S283">
            <v>20131.39</v>
          </cell>
          <cell r="T283">
            <v>8298.4600000000009</v>
          </cell>
          <cell r="U283">
            <v>47432.810000000005</v>
          </cell>
          <cell r="V283">
            <v>66824.56</v>
          </cell>
          <cell r="W283">
            <v>26329.420000000002</v>
          </cell>
          <cell r="X283">
            <v>9427.6</v>
          </cell>
          <cell r="Y283">
            <v>24833.32</v>
          </cell>
          <cell r="Z283">
            <v>19641.18</v>
          </cell>
          <cell r="AA283">
            <v>865768.91999999993</v>
          </cell>
        </row>
        <row r="284">
          <cell r="B284" t="str">
            <v xml:space="preserve">2.2.1.  Ampliação Principal </v>
          </cell>
          <cell r="G284">
            <v>13858.4</v>
          </cell>
          <cell r="H284">
            <v>37111.25</v>
          </cell>
          <cell r="I284">
            <v>36050.32</v>
          </cell>
          <cell r="J284">
            <v>12038.28</v>
          </cell>
          <cell r="K284">
            <v>3053.3700000000003</v>
          </cell>
          <cell r="L284">
            <v>2336.0000000000009</v>
          </cell>
          <cell r="M284">
            <v>2742.6300000000006</v>
          </cell>
          <cell r="N284">
            <v>2692.6300000000006</v>
          </cell>
          <cell r="O284">
            <v>27657.599999999999</v>
          </cell>
          <cell r="P284">
            <v>11464.49</v>
          </cell>
          <cell r="Q284">
            <v>50</v>
          </cell>
          <cell r="R284">
            <v>38.82</v>
          </cell>
          <cell r="S284">
            <v>0</v>
          </cell>
          <cell r="T284">
            <v>3278.07</v>
          </cell>
          <cell r="U284">
            <v>33379.33</v>
          </cell>
          <cell r="V284">
            <v>46931.12</v>
          </cell>
          <cell r="W284">
            <v>19774.8</v>
          </cell>
          <cell r="X284">
            <v>0</v>
          </cell>
          <cell r="Y284">
            <v>0</v>
          </cell>
          <cell r="Z284">
            <v>0</v>
          </cell>
          <cell r="AA284">
            <v>252457.11</v>
          </cell>
        </row>
        <row r="285">
          <cell r="B285" t="str">
            <v>2.2.2.  Demais Obras de Ampliação/Melhoramentos</v>
          </cell>
          <cell r="G285">
            <v>16090.85</v>
          </cell>
          <cell r="H285">
            <v>29200.639999999999</v>
          </cell>
          <cell r="I285">
            <v>36249.01</v>
          </cell>
          <cell r="J285">
            <v>19933.34</v>
          </cell>
          <cell r="K285">
            <v>3939.89</v>
          </cell>
          <cell r="L285">
            <v>4060.4200000000005</v>
          </cell>
          <cell r="M285">
            <v>7584.3399999999992</v>
          </cell>
          <cell r="N285">
            <v>14452.34</v>
          </cell>
          <cell r="O285">
            <v>20397.32</v>
          </cell>
          <cell r="P285">
            <v>19914.62</v>
          </cell>
          <cell r="Q285">
            <v>3239.9</v>
          </cell>
          <cell r="R285">
            <v>241.78000000000034</v>
          </cell>
          <cell r="S285">
            <v>0</v>
          </cell>
          <cell r="T285">
            <v>700.45</v>
          </cell>
          <cell r="U285">
            <v>2705.51</v>
          </cell>
          <cell r="V285">
            <v>5544.21</v>
          </cell>
          <cell r="W285">
            <v>1829.92</v>
          </cell>
          <cell r="X285">
            <v>1594.18</v>
          </cell>
          <cell r="Y285">
            <v>1953.95</v>
          </cell>
          <cell r="Z285">
            <v>379.28</v>
          </cell>
          <cell r="AA285">
            <v>190011.95</v>
          </cell>
        </row>
        <row r="286">
          <cell r="B286" t="str">
            <v xml:space="preserve">2.2.3.  Equipamentos, Veiculos e Sist. Controle </v>
          </cell>
          <cell r="G286">
            <v>18270.07</v>
          </cell>
          <cell r="H286">
            <v>14890.93</v>
          </cell>
          <cell r="I286">
            <v>8116.82</v>
          </cell>
          <cell r="J286">
            <v>23857.84</v>
          </cell>
          <cell r="K286">
            <v>741.48</v>
          </cell>
          <cell r="L286">
            <v>6425.2</v>
          </cell>
          <cell r="M286">
            <v>415.54</v>
          </cell>
          <cell r="N286">
            <v>269.32</v>
          </cell>
          <cell r="O286">
            <v>12542.599999999999</v>
          </cell>
          <cell r="P286">
            <v>1045.97</v>
          </cell>
          <cell r="Q286">
            <v>209.85000000000036</v>
          </cell>
          <cell r="R286">
            <v>5.2799999999999914</v>
          </cell>
          <cell r="S286">
            <v>745.48999999999978</v>
          </cell>
          <cell r="T286">
            <v>872.88</v>
          </cell>
          <cell r="U286">
            <v>692.5</v>
          </cell>
          <cell r="V286">
            <v>755.88999999999942</v>
          </cell>
          <cell r="W286">
            <v>1355.19</v>
          </cell>
          <cell r="X286">
            <v>1189.67</v>
          </cell>
          <cell r="Y286">
            <v>9378.869999999999</v>
          </cell>
          <cell r="Z286">
            <v>3833.37</v>
          </cell>
          <cell r="AA286">
            <v>105614.76</v>
          </cell>
        </row>
        <row r="287">
          <cell r="B287" t="str">
            <v>2.2.4.  Desapropriações</v>
          </cell>
          <cell r="G287">
            <v>1765.1400000000008</v>
          </cell>
          <cell r="H287">
            <v>27575.53</v>
          </cell>
          <cell r="I287">
            <v>21168.94000000001</v>
          </cell>
          <cell r="J287">
            <v>24411.09</v>
          </cell>
          <cell r="K287">
            <v>15283.4</v>
          </cell>
          <cell r="L287">
            <v>5000</v>
          </cell>
          <cell r="M287">
            <v>2000</v>
          </cell>
          <cell r="N287">
            <v>2000</v>
          </cell>
          <cell r="O287">
            <v>1500</v>
          </cell>
          <cell r="P287">
            <v>1500</v>
          </cell>
          <cell r="Q287">
            <v>900</v>
          </cell>
          <cell r="R287">
            <v>0</v>
          </cell>
          <cell r="S287">
            <v>0</v>
          </cell>
          <cell r="T287">
            <v>0</v>
          </cell>
          <cell r="U287">
            <v>2000</v>
          </cell>
          <cell r="V287">
            <v>2000</v>
          </cell>
          <cell r="W287">
            <v>1387.9</v>
          </cell>
          <cell r="X287">
            <v>250</v>
          </cell>
          <cell r="Y287">
            <v>200</v>
          </cell>
          <cell r="Z287">
            <v>0</v>
          </cell>
          <cell r="AA287">
            <v>108942</v>
          </cell>
        </row>
        <row r="288">
          <cell r="B288" t="str">
            <v xml:space="preserve">2.2.5.  Conservação Especial </v>
          </cell>
          <cell r="G288">
            <v>27658.240000000002</v>
          </cell>
          <cell r="H288">
            <v>22400.09</v>
          </cell>
          <cell r="I288">
            <v>16448.830000000002</v>
          </cell>
          <cell r="J288">
            <v>11969.72</v>
          </cell>
          <cell r="K288">
            <v>5154.3999999999987</v>
          </cell>
          <cell r="L288">
            <v>11585.73</v>
          </cell>
          <cell r="M288">
            <v>6761.2700000000013</v>
          </cell>
          <cell r="N288">
            <v>4927.1899999999996</v>
          </cell>
          <cell r="O288">
            <v>7712.45</v>
          </cell>
          <cell r="P288">
            <v>13201.52</v>
          </cell>
          <cell r="Q288">
            <v>368.75</v>
          </cell>
          <cell r="R288">
            <v>368.75</v>
          </cell>
          <cell r="S288">
            <v>19385.900000000001</v>
          </cell>
          <cell r="T288">
            <v>3447.06</v>
          </cell>
          <cell r="U288">
            <v>8655.4699999999993</v>
          </cell>
          <cell r="V288">
            <v>11593.34</v>
          </cell>
          <cell r="W288">
            <v>1981.61</v>
          </cell>
          <cell r="X288">
            <v>6393.75</v>
          </cell>
          <cell r="Y288">
            <v>13300.5</v>
          </cell>
          <cell r="Z288">
            <v>15428.53</v>
          </cell>
          <cell r="AA288">
            <v>208743.09999999998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30214.560000000005</v>
          </cell>
          <cell r="H291">
            <v>32206.41</v>
          </cell>
          <cell r="I291">
            <v>51955.11</v>
          </cell>
          <cell r="J291">
            <v>41453.94</v>
          </cell>
          <cell r="K291">
            <v>22149.033372000002</v>
          </cell>
          <cell r="L291">
            <v>22308.925004781253</v>
          </cell>
          <cell r="M291">
            <v>15935.804686429628</v>
          </cell>
          <cell r="N291">
            <v>11696.099897216014</v>
          </cell>
          <cell r="O291">
            <v>11958.772495154992</v>
          </cell>
          <cell r="P291">
            <v>12068.196848285779</v>
          </cell>
          <cell r="Q291">
            <v>20842.659854814061</v>
          </cell>
          <cell r="R291">
            <v>22684.88918045348</v>
          </cell>
          <cell r="S291">
            <v>22792.745831887085</v>
          </cell>
          <cell r="T291">
            <v>22902.1119742837</v>
          </cell>
          <cell r="U291">
            <v>23013.03067183221</v>
          </cell>
          <cell r="V291">
            <v>23125.487497267175</v>
          </cell>
          <cell r="W291">
            <v>23333.084011065192</v>
          </cell>
          <cell r="X291">
            <v>23583.826833242143</v>
          </cell>
          <cell r="Y291">
            <v>23705.275438239412</v>
          </cell>
          <cell r="Z291">
            <v>23828.535701386594</v>
          </cell>
          <cell r="AA291">
            <v>481758.49929833878</v>
          </cell>
        </row>
        <row r="292">
          <cell r="B292" t="str">
            <v>2.3.1.  Valor Variável da Concessão</v>
          </cell>
          <cell r="G292">
            <v>2230.56</v>
          </cell>
          <cell r="H292">
            <v>2986.41</v>
          </cell>
          <cell r="I292">
            <v>3199.11</v>
          </cell>
          <cell r="J292">
            <v>6629.94</v>
          </cell>
          <cell r="K292">
            <v>6885.0333720000008</v>
          </cell>
          <cell r="L292">
            <v>7044.9250047812529</v>
          </cell>
          <cell r="M292">
            <v>6915.4923524281276</v>
          </cell>
          <cell r="N292">
            <v>7006.221127787614</v>
          </cell>
          <cell r="O292">
            <v>7110.8781818054922</v>
          </cell>
          <cell r="P292">
            <v>7220.3025349362797</v>
          </cell>
          <cell r="Q292">
            <v>7314.6774692558083</v>
          </cell>
          <cell r="R292">
            <v>7420.8891804534815</v>
          </cell>
          <cell r="S292">
            <v>7528.7458318870858</v>
          </cell>
          <cell r="T292">
            <v>7638.1119742837</v>
          </cell>
          <cell r="U292">
            <v>7749.0306718322099</v>
          </cell>
          <cell r="V292">
            <v>7861.4874972671769</v>
          </cell>
          <cell r="W292">
            <v>8069.0840110651907</v>
          </cell>
          <cell r="X292">
            <v>8319.8268332421449</v>
          </cell>
          <cell r="Y292">
            <v>8441.2754382394123</v>
          </cell>
          <cell r="Z292">
            <v>8564.5357013865942</v>
          </cell>
          <cell r="AA292">
            <v>136136.53718265161</v>
          </cell>
        </row>
        <row r="293">
          <cell r="B293" t="str">
            <v xml:space="preserve">2.3.2.  Valor Fixo da Concessão </v>
          </cell>
          <cell r="G293">
            <v>27984.000000000004</v>
          </cell>
          <cell r="H293">
            <v>29220</v>
          </cell>
          <cell r="I293">
            <v>48756</v>
          </cell>
          <cell r="J293">
            <v>34824</v>
          </cell>
          <cell r="K293">
            <v>15264</v>
          </cell>
          <cell r="L293">
            <v>15264</v>
          </cell>
          <cell r="M293">
            <v>9020.3123340015009</v>
          </cell>
          <cell r="N293">
            <v>4689.8787694284001</v>
          </cell>
          <cell r="O293">
            <v>4847.8943133494995</v>
          </cell>
          <cell r="P293">
            <v>4847.8943133494995</v>
          </cell>
          <cell r="Q293">
            <v>13527.982385558251</v>
          </cell>
          <cell r="R293">
            <v>15264</v>
          </cell>
          <cell r="S293">
            <v>15264</v>
          </cell>
          <cell r="T293">
            <v>15264</v>
          </cell>
          <cell r="U293">
            <v>15264</v>
          </cell>
          <cell r="V293">
            <v>15264</v>
          </cell>
          <cell r="W293">
            <v>15264</v>
          </cell>
          <cell r="X293">
            <v>15264</v>
          </cell>
          <cell r="Y293">
            <v>15264</v>
          </cell>
          <cell r="Z293">
            <v>15264</v>
          </cell>
          <cell r="AA293">
            <v>345621.9621156872</v>
          </cell>
        </row>
        <row r="294">
          <cell r="B294" t="str">
            <v>2.4.  DESEMBOLSOS  SOBRE O LUCRO     (2.4.1. + 2.4.2)</v>
          </cell>
          <cell r="G294">
            <v>4699.2958807269233</v>
          </cell>
          <cell r="H294">
            <v>5579.4520347876341</v>
          </cell>
          <cell r="I294">
            <v>4291.2101768471239</v>
          </cell>
          <cell r="J294">
            <v>36279.493982572843</v>
          </cell>
          <cell r="K294">
            <v>37429.216795737288</v>
          </cell>
          <cell r="L294">
            <v>38320.202153445265</v>
          </cell>
          <cell r="M294">
            <v>35699.013760128117</v>
          </cell>
          <cell r="N294">
            <v>37322.372416138649</v>
          </cell>
          <cell r="O294">
            <v>37254.268301000011</v>
          </cell>
          <cell r="P294">
            <v>37184.270558338903</v>
          </cell>
          <cell r="Q294">
            <v>34734.931741499058</v>
          </cell>
          <cell r="R294">
            <v>35780.992768214535</v>
          </cell>
          <cell r="S294">
            <v>36893.863784131987</v>
          </cell>
          <cell r="T294">
            <v>37470.187813851313</v>
          </cell>
          <cell r="U294">
            <v>37072.473473984937</v>
          </cell>
          <cell r="V294">
            <v>34326.736978664194</v>
          </cell>
          <cell r="W294">
            <v>32930.216994827875</v>
          </cell>
          <cell r="X294">
            <v>33803.039345075042</v>
          </cell>
          <cell r="Y294">
            <v>31677.832628316308</v>
          </cell>
          <cell r="Z294">
            <v>23661.680783673317</v>
          </cell>
          <cell r="AA294">
            <v>612410.75237196125</v>
          </cell>
        </row>
        <row r="295">
          <cell r="B295" t="str">
            <v xml:space="preserve">2.4.1.  Contribuição Social  </v>
          </cell>
          <cell r="G295">
            <v>1145.0414256307693</v>
          </cell>
          <cell r="H295">
            <v>1358.4126144939717</v>
          </cell>
          <cell r="I295">
            <v>1046.1115580235455</v>
          </cell>
          <cell r="J295">
            <v>8800.8470260782669</v>
          </cell>
          <cell r="K295">
            <v>9079.5677080575279</v>
          </cell>
          <cell r="L295">
            <v>9295.5641584109708</v>
          </cell>
          <cell r="M295">
            <v>8660.1245479098488</v>
          </cell>
          <cell r="N295">
            <v>9053.6660402760353</v>
          </cell>
          <cell r="O295">
            <v>9037.1559517575788</v>
          </cell>
          <cell r="P295">
            <v>9020.1868020215516</v>
          </cell>
          <cell r="Q295">
            <v>8426.4076949088612</v>
          </cell>
          <cell r="R295">
            <v>8679.9982468398866</v>
          </cell>
          <cell r="S295">
            <v>8949.7851597895751</v>
          </cell>
          <cell r="T295">
            <v>9089.500076085169</v>
          </cell>
          <cell r="U295">
            <v>8993.084478541803</v>
          </cell>
          <cell r="V295">
            <v>8327.4513887670819</v>
          </cell>
          <cell r="W295">
            <v>7988.9010896552427</v>
          </cell>
          <cell r="X295">
            <v>8200.4943866848607</v>
          </cell>
          <cell r="Y295">
            <v>7685.29275837971</v>
          </cell>
          <cell r="Z295">
            <v>5741.9832202844409</v>
          </cell>
          <cell r="AA295">
            <v>148579.57633259665</v>
          </cell>
        </row>
        <row r="296">
          <cell r="B296" t="str">
            <v xml:space="preserve">2.4.2.  Imposto de Renda  </v>
          </cell>
          <cell r="G296">
            <v>3554.2544550961538</v>
          </cell>
          <cell r="H296">
            <v>4221.0394202936623</v>
          </cell>
          <cell r="I296">
            <v>3245.0986188235784</v>
          </cell>
          <cell r="J296">
            <v>27478.646956494576</v>
          </cell>
          <cell r="K296">
            <v>28349.649087679762</v>
          </cell>
          <cell r="L296">
            <v>29024.637995034296</v>
          </cell>
          <cell r="M296">
            <v>27038.889212218266</v>
          </cell>
          <cell r="N296">
            <v>28268.70637586261</v>
          </cell>
          <cell r="O296">
            <v>28217.11234924243</v>
          </cell>
          <cell r="P296">
            <v>28164.083756317348</v>
          </cell>
          <cell r="Q296">
            <v>26308.524046590195</v>
          </cell>
          <cell r="R296">
            <v>27100.994521374651</v>
          </cell>
          <cell r="S296">
            <v>27944.078624342415</v>
          </cell>
          <cell r="T296">
            <v>28380.687737766144</v>
          </cell>
          <cell r="U296">
            <v>28079.388995443136</v>
          </cell>
          <cell r="V296">
            <v>25999.285589897114</v>
          </cell>
          <cell r="W296">
            <v>24941.315905172632</v>
          </cell>
          <cell r="X296">
            <v>25602.544958390183</v>
          </cell>
          <cell r="Y296">
            <v>23992.539869936598</v>
          </cell>
          <cell r="Z296">
            <v>17919.697563388876</v>
          </cell>
          <cell r="AA296">
            <v>463831.1760393646</v>
          </cell>
        </row>
        <row r="297">
          <cell r="B297" t="str">
            <v>3.  SALDO DO CAIXA     (1 - 2)</v>
          </cell>
          <cell r="G297">
            <v>-74107.923880726914</v>
          </cell>
          <cell r="H297">
            <v>-120345.23753478762</v>
          </cell>
          <cell r="I297">
            <v>-121630.86067684711</v>
          </cell>
          <cell r="J297">
            <v>-9719.1109825728345</v>
          </cell>
          <cell r="K297">
            <v>80706.520505662687</v>
          </cell>
          <cell r="L297">
            <v>83405.959547006205</v>
          </cell>
          <cell r="M297">
            <v>89914.729371124791</v>
          </cell>
          <cell r="N297">
            <v>90085.601027778204</v>
          </cell>
          <cell r="O297">
            <v>47140.469839822268</v>
          </cell>
          <cell r="P297">
            <v>73185.504782185017</v>
          </cell>
          <cell r="Q297">
            <v>112138.31734252622</v>
          </cell>
          <cell r="R297">
            <v>116669.16359614054</v>
          </cell>
          <cell r="S297">
            <v>99295.030964942707</v>
          </cell>
          <cell r="T297">
            <v>113830.58982880361</v>
          </cell>
          <cell r="U297">
            <v>78411.629811473627</v>
          </cell>
          <cell r="V297">
            <v>65143.589815854153</v>
          </cell>
          <cell r="W297">
            <v>113193.08713104203</v>
          </cell>
          <cell r="X297">
            <v>136644.58089390618</v>
          </cell>
          <cell r="Y297">
            <v>126988.8490278344</v>
          </cell>
          <cell r="Z297">
            <v>143881.27562216192</v>
          </cell>
          <cell r="AA297">
            <v>1244831.76603333</v>
          </cell>
        </row>
        <row r="298">
          <cell r="B298" t="str">
            <v xml:space="preserve">4. T.I.R. (Taxa Interna de Retorno) Anual do Projeto     </v>
          </cell>
          <cell r="G298">
            <v>0.18482198272984429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283242.32903350698</v>
          </cell>
          <cell r="H303">
            <v>287969.05948152556</v>
          </cell>
          <cell r="I303">
            <v>292775.11211849301</v>
          </cell>
          <cell r="J303">
            <v>297661.82668872463</v>
          </cell>
          <cell r="K303">
            <v>302630.5657302966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1464278.893052547</v>
          </cell>
        </row>
        <row r="304">
          <cell r="B304" t="str">
            <v>1.1.  RECEITAS     (1.1.1.+ ... + 1.1.4)</v>
          </cell>
          <cell r="G304">
            <v>283242.32903350698</v>
          </cell>
          <cell r="H304">
            <v>287969.05948152556</v>
          </cell>
          <cell r="I304">
            <v>292775.11211849301</v>
          </cell>
          <cell r="J304">
            <v>297661.82668872463</v>
          </cell>
          <cell r="K304">
            <v>302630.5657302966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1464278.893052547</v>
          </cell>
        </row>
        <row r="305">
          <cell r="B305" t="str">
            <v>1.1.1   Receitas de Pedágio</v>
          </cell>
          <cell r="G305">
            <v>274390.77790658275</v>
          </cell>
          <cell r="H305">
            <v>278969.79421749973</v>
          </cell>
          <cell r="I305">
            <v>283625.65383501293</v>
          </cell>
          <cell r="J305">
            <v>288359.6546353476</v>
          </cell>
          <cell r="K305">
            <v>293173.11657616671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1418518.9971706099</v>
          </cell>
        </row>
        <row r="306">
          <cell r="B306" t="str">
            <v>1.1.2   Outras Receitas Operacionais</v>
          </cell>
          <cell r="G306">
            <v>7479.656606994391</v>
          </cell>
          <cell r="H306">
            <v>7604.4766532976446</v>
          </cell>
          <cell r="I306">
            <v>7731.391382047118</v>
          </cell>
          <cell r="J306">
            <v>7860.436172232432</v>
          </cell>
          <cell r="K306">
            <v>7991.6470047642051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38667.60781933579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1371.8945199298544</v>
          </cell>
          <cell r="H308">
            <v>1394.7886107281797</v>
          </cell>
          <cell r="I308">
            <v>1418.0669014329922</v>
          </cell>
          <cell r="J308">
            <v>1441.7358811445981</v>
          </cell>
          <cell r="K308">
            <v>1465.8021493657147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7092.2880626013393</v>
          </cell>
        </row>
        <row r="309">
          <cell r="B309" t="str">
            <v>2.  DESEMBOLSOS     (2.1.+ ... + 2.4)</v>
          </cell>
          <cell r="G309">
            <v>150151.40143062337</v>
          </cell>
          <cell r="H309">
            <v>152091.30186380562</v>
          </cell>
          <cell r="I309">
            <v>154063.75696673157</v>
          </cell>
          <cell r="J309">
            <v>156069.31658471323</v>
          </cell>
          <cell r="K309">
            <v>158108.53991786425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770484.31676373794</v>
          </cell>
        </row>
        <row r="310">
          <cell r="B310" t="str">
            <v>2.1.  OPERACIONAIS     (2.1.1.+ ... + 2.1.8)</v>
          </cell>
          <cell r="G310">
            <v>76178.861366930083</v>
          </cell>
          <cell r="H310">
            <v>76605.028940894248</v>
          </cell>
          <cell r="I310">
            <v>77038.34829666563</v>
          </cell>
          <cell r="J310">
            <v>77478.940227166764</v>
          </cell>
          <cell r="K310">
            <v>77926.927580432341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385228.10641208902</v>
          </cell>
        </row>
        <row r="311">
          <cell r="B311" t="str">
            <v xml:space="preserve">2.1.1.  Pessoal / Administradores   </v>
          </cell>
          <cell r="G311">
            <v>34047</v>
          </cell>
          <cell r="H311">
            <v>34047</v>
          </cell>
          <cell r="I311">
            <v>34047</v>
          </cell>
          <cell r="J311">
            <v>34047</v>
          </cell>
          <cell r="K311">
            <v>34047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170235</v>
          </cell>
        </row>
        <row r="312">
          <cell r="B312" t="str">
            <v xml:space="preserve">2.1.2.  Conservação de Rotina  </v>
          </cell>
          <cell r="G312">
            <v>6997</v>
          </cell>
          <cell r="H312">
            <v>6997</v>
          </cell>
          <cell r="I312">
            <v>6997</v>
          </cell>
          <cell r="J312">
            <v>6997</v>
          </cell>
          <cell r="K312">
            <v>6997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34985</v>
          </cell>
        </row>
        <row r="313">
          <cell r="B313" t="str">
            <v xml:space="preserve">2.1.3.  Consumo   </v>
          </cell>
          <cell r="G313">
            <v>1135</v>
          </cell>
          <cell r="H313">
            <v>1135</v>
          </cell>
          <cell r="I313">
            <v>1135</v>
          </cell>
          <cell r="J313">
            <v>1135</v>
          </cell>
          <cell r="K313">
            <v>1135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5675</v>
          </cell>
        </row>
        <row r="314">
          <cell r="B314" t="str">
            <v>2.1.4.  Transportes</v>
          </cell>
          <cell r="G314">
            <v>5306</v>
          </cell>
          <cell r="H314">
            <v>5306</v>
          </cell>
          <cell r="I314">
            <v>5306</v>
          </cell>
          <cell r="J314">
            <v>5306</v>
          </cell>
          <cell r="K314">
            <v>5306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26530</v>
          </cell>
        </row>
        <row r="315">
          <cell r="B315" t="str">
            <v>2.1.5.  Diversas</v>
          </cell>
          <cell r="G315">
            <v>1745</v>
          </cell>
          <cell r="H315">
            <v>1745</v>
          </cell>
          <cell r="I315">
            <v>1745</v>
          </cell>
          <cell r="J315">
            <v>1745</v>
          </cell>
          <cell r="K315">
            <v>1745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8725</v>
          </cell>
        </row>
        <row r="316">
          <cell r="B316" t="str">
            <v>2.1.6.  Tributos s/ Faturamento</v>
          </cell>
          <cell r="G316">
            <v>25452.900236576013</v>
          </cell>
          <cell r="H316">
            <v>25877.656659633005</v>
          </cell>
          <cell r="I316">
            <v>26309.541183100519</v>
          </cell>
          <cell r="J316">
            <v>26748.67419992448</v>
          </cell>
          <cell r="K316">
            <v>27195.178151358057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131583.95043059209</v>
          </cell>
        </row>
        <row r="317">
          <cell r="B317" t="str">
            <v>2.1.7.  Seguros</v>
          </cell>
          <cell r="G317">
            <v>910</v>
          </cell>
          <cell r="H317">
            <v>910</v>
          </cell>
          <cell r="I317">
            <v>910</v>
          </cell>
          <cell r="J317">
            <v>910</v>
          </cell>
          <cell r="K317">
            <v>910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4550</v>
          </cell>
        </row>
        <row r="318">
          <cell r="B318" t="str">
            <v xml:space="preserve">2.1.8.  Garantias </v>
          </cell>
          <cell r="G318">
            <v>585.96113035407313</v>
          </cell>
          <cell r="H318">
            <v>587.37228126123932</v>
          </cell>
          <cell r="I318">
            <v>588.80711356511802</v>
          </cell>
          <cell r="J318">
            <v>590.26602724227405</v>
          </cell>
          <cell r="K318">
            <v>591.74942907427931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2944.1559814969837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8456.1130354073139</v>
          </cell>
          <cell r="H327">
            <v>8597.2281261239223</v>
          </cell>
          <cell r="I327">
            <v>8740.7113565117997</v>
          </cell>
          <cell r="J327">
            <v>8886.6027242274013</v>
          </cell>
          <cell r="K327">
            <v>9034.9429074279269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43715.598149698359</v>
          </cell>
        </row>
        <row r="328">
          <cell r="B328" t="str">
            <v>2.3.1.  Valor Variável da Concessão</v>
          </cell>
          <cell r="G328">
            <v>8456.1130354073139</v>
          </cell>
          <cell r="H328">
            <v>8597.2281261239223</v>
          </cell>
          <cell r="I328">
            <v>8740.7113565117997</v>
          </cell>
          <cell r="J328">
            <v>8886.6027242274013</v>
          </cell>
          <cell r="K328">
            <v>9034.9429074279269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43715.598149698359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65516.427028285972</v>
          </cell>
          <cell r="H330">
            <v>66889.044796787435</v>
          </cell>
          <cell r="I330">
            <v>68284.697313554134</v>
          </cell>
          <cell r="J330">
            <v>69703.77363331907</v>
          </cell>
          <cell r="K330">
            <v>71146.669430003996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341540.61220195063</v>
          </cell>
        </row>
        <row r="331">
          <cell r="B331" t="str">
            <v xml:space="preserve">2.4.1.  Contribuição Social  </v>
          </cell>
          <cell r="G331">
            <v>15888.58837049357</v>
          </cell>
          <cell r="H331">
            <v>16221.34419316059</v>
          </cell>
          <cell r="I331">
            <v>16559.684197225244</v>
          </cell>
          <cell r="J331">
            <v>16903.702698986439</v>
          </cell>
          <cell r="K331">
            <v>17253.495619394911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82826.815079260763</v>
          </cell>
        </row>
        <row r="332">
          <cell r="B332" t="str">
            <v xml:space="preserve">2.4.2.  Imposto de Renda  </v>
          </cell>
          <cell r="G332">
            <v>49627.838657792403</v>
          </cell>
          <cell r="H332">
            <v>50667.700603626843</v>
          </cell>
          <cell r="I332">
            <v>51725.01311632889</v>
          </cell>
          <cell r="J332">
            <v>52800.070934332623</v>
          </cell>
          <cell r="K332">
            <v>53893.173810609092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258713.79712268984</v>
          </cell>
        </row>
        <row r="333">
          <cell r="B333" t="str">
            <v>3.  SALDO DO CAIXA     (1 - 2)</v>
          </cell>
          <cell r="G333">
            <v>133090.9276028836</v>
          </cell>
          <cell r="H333">
            <v>135877.75761771994</v>
          </cell>
          <cell r="I333">
            <v>138711.35515176144</v>
          </cell>
          <cell r="J333">
            <v>141592.5101040114</v>
          </cell>
          <cell r="K333">
            <v>144522.02581243234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693794.57628880907</v>
          </cell>
        </row>
        <row r="334">
          <cell r="B334" t="str">
            <v xml:space="preserve">4. T.I.R. (Taxa Interna de Retorno) Anual do Projeto     </v>
          </cell>
          <cell r="G334">
            <v>0.19360997399325544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S"/>
      <sheetName val="Variance"/>
      <sheetName val="Segment ROCE"/>
      <sheetName val="Capex"/>
      <sheetName val="E&amp;P"/>
      <sheetName val="Relative"/>
      <sheetName val="ROGIC"/>
      <sheetName val="NEPS"/>
      <sheetName val="Hamaca"/>
      <sheetName val="Bohai"/>
      <sheetName val="Bayu Undan"/>
      <sheetName val="R&amp;M"/>
      <sheetName val="GPM"/>
      <sheetName val="ARCO - Alaska"/>
      <sheetName val="RefineryMaint"/>
      <sheetName val="TOSCO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MainCode"/>
      <sheetName val="NY UPLOAD"/>
      <sheetName val="NY UPLOAD shadow"/>
      <sheetName val="Disclaimer"/>
      <sheetName val="Quarterly"/>
      <sheetName val="IndexInformation"/>
      <sheetName val="NORM"/>
      <sheetName val="NY UPLOAD.bak"/>
      <sheetName val="NY UPLOAD Shadow.bak"/>
      <sheetName val="Normalized"/>
      <sheetName val="DDM"/>
      <sheetName val="B Sheet"/>
      <sheetName val="Ratios"/>
      <sheetName val="SOLP"/>
      <sheetName val="Liquids"/>
      <sheetName val="charts"/>
      <sheetName val="Apples-Ratios"/>
      <sheetName val="IS"/>
      <sheetName val="Quarterly Data"/>
      <sheetName val="Debt"/>
      <sheetName val="Sheet1"/>
      <sheetName val="A-Link Source"/>
      <sheetName val="DL"/>
      <sheetName val="US"/>
      <sheetName val="IBES"/>
      <sheetName val="Model"/>
      <sheetName val="Value-A"/>
      <sheetName val="Scenarios"/>
      <sheetName val="ACM"/>
      <sheetName val="MW Ratios"/>
      <sheetName val="Field"/>
      <sheetName val="REVS"/>
      <sheetName val="earnmodel"/>
      <sheetName val="O_fpage"/>
      <sheetName val="maturityprofile"/>
      <sheetName val="variables"/>
      <sheetName val="IP"/>
      <sheetName val="Vluation"/>
      <sheetName val="ChemiPal JV"/>
      <sheetName val="Old BKS"/>
      <sheetName val="Balance Sheet"/>
      <sheetName val="Plants"/>
      <sheetName val="VeraSun"/>
      <sheetName val="Forecast Change"/>
      <sheetName val="INPUTS"/>
      <sheetName val="AN"/>
      <sheetName val="COP"/>
      <sheetName val="HSCDS-Retail"/>
      <sheetName val="DVC"/>
      <sheetName val="XOM"/>
      <sheetName val="CY Link"/>
      <sheetName val="Links"/>
      <sheetName val="Income Statement"/>
      <sheetName val="Fin. Summary"/>
      <sheetName val="New Source"/>
      <sheetName val="INFAnnual"/>
      <sheetName val="BalanceSheet"/>
      <sheetName val="SectorPSales"/>
      <sheetName val="BMW"/>
      <sheetName val="Add"/>
      <sheetName val="Revenue Model"/>
      <sheetName val="LME 2010"/>
      <sheetName val="MERGER"/>
      <sheetName val="RD"/>
      <sheetName val="Input Income Statement"/>
      <sheetName val="Assumptions"/>
      <sheetName val="Annual"/>
      <sheetName val="GT"/>
      <sheetName val="Qtrly P&amp;L and BalSheet"/>
      <sheetName val="3Q05 Variance"/>
      <sheetName val="Reserve"/>
      <sheetName val="Scenario"/>
      <sheetName val="Ratings"/>
      <sheetName val="synthgraph"/>
      <sheetName val="Ex3"/>
      <sheetName val="MW ROE Analyzer"/>
      <sheetName val="Master"/>
      <sheetName val="model &amp; valuation"/>
      <sheetName val="New RGM"/>
      <sheetName val="__FDSCACHE__"/>
      <sheetName val="Cover"/>
      <sheetName val="Summary"/>
      <sheetName val="NAV Valuation"/>
      <sheetName val="Sensitivity"/>
      <sheetName val="Workings"/>
      <sheetName val="Inventory_and_Backlog"/>
      <sheetName val="PoC Curves"/>
      <sheetName val="Source"/>
      <sheetName val="DCF Valuation"/>
      <sheetName val="CashFlow Curves"/>
      <sheetName val="MW"/>
      <sheetName val="MacroData"/>
      <sheetName val="MS Disclaimers"/>
      <sheetName val="MS Disclosures"/>
      <sheetName val="SummaryMW"/>
      <sheetName val="MWA RR"/>
      <sheetName val="HIDE&gt;&gt;&gt;"/>
      <sheetName val="Consensus"/>
      <sheetName val="Quarterly Results"/>
      <sheetName val="&gt;&gt;"/>
      <sheetName val="LinkSheet"/>
      <sheetName val="Audit"/>
      <sheetName val="MW-Cache"/>
      <sheetName val="CenarioCal"/>
      <sheetName val="CenarioUpdate"/>
      <sheetName val="Graphs"/>
      <sheetName val="mwareDates"/>
      <sheetName val="mwareSettings"/>
      <sheetName val="Budget summary 2011"/>
      <sheetName val="B"/>
      <sheetName val="Print"/>
      <sheetName val="Revenue at Risk"/>
      <sheetName val="c1"/>
      <sheetName val="ｾｸﾞﾒﾝﾄ"/>
      <sheetName val="単独"/>
      <sheetName val="Distribution"/>
      <sheetName val="Q-Link Source"/>
      <sheetName val="Revenue&amp;EBIT"/>
      <sheetName val="SCF &amp; BS"/>
      <sheetName val="Segment_ROCE"/>
      <sheetName val="IQ_GEO_SEG_EARNINGS_OP"/>
      <sheetName val="RenewProb"/>
      <sheetName val="Sheet2"/>
      <sheetName val="Commodities"/>
      <sheetName val="US CLECS Input"/>
      <sheetName val="Data"/>
      <sheetName val="Prattmodel"/>
      <sheetName val="Otismodel"/>
      <sheetName val="Flightmodel"/>
      <sheetName val="Sum of the Parts Valuation"/>
      <sheetName val="Control Panel"/>
      <sheetName val="A"/>
      <sheetName val="P&amp;L"/>
      <sheetName val="Basic Co Info"/>
      <sheetName val="cpip"/>
      <sheetName val="Output_Q"/>
      <sheetName val="Cash Flow Statement"/>
      <sheetName val="Output_A"/>
      <sheetName val="YTD Summaries"/>
      <sheetName val="WY"/>
      <sheetName val="Capital Structure"/>
      <sheetName val="Trading Liquidity"/>
      <sheetName val="Dashboard (2)"/>
      <sheetName val="Headcount Input Scheudle"/>
      <sheetName val="Capital Expenses"/>
      <sheetName val="LBOSHELL"/>
      <sheetName val="Comps"/>
      <sheetName val="Raw Data"/>
      <sheetName val="FC Transfer"/>
      <sheetName val="Financials"/>
      <sheetName val="Model Inputs"/>
      <sheetName val="New Source Charts"/>
      <sheetName val="Modelware"/>
      <sheetName val="R&amp;MIS"/>
      <sheetName val="E&amp;P Growth &amp; Returns"/>
      <sheetName val="Global Product Sum"/>
      <sheetName val="Quarter"/>
      <sheetName val="COC"/>
      <sheetName val="Lookup"/>
      <sheetName val="IPASS"/>
      <sheetName val="Separation Codes"/>
      <sheetName val="Consol by Mth"/>
      <sheetName val="Planilha2"/>
      <sheetName val="Conferencia"/>
      <sheetName val="CLARO 9+3"/>
      <sheetName val="NEW 9+3"/>
      <sheetName val="TIM 9+3"/>
      <sheetName val="TRADE 9+3"/>
      <sheetName val="OI 9+3"/>
      <sheetName val="VIVO 9+3"/>
      <sheetName val="RESUMO"/>
      <sheetName val="SlideFinan"/>
      <sheetName val="SlideCG1"/>
      <sheetName val="SlideCG2"/>
      <sheetName val="BASE"/>
      <sheetName val="BD(FC_BDG)"/>
      <sheetName val="RESUMO RANKING"/>
      <sheetName val="CLIENTE MÊS"/>
      <sheetName val="Tab Din"/>
      <sheetName val="R&amp;O MONTH"/>
      <sheetName val="TOP 5"/>
      <sheetName val="CLIENT FY"/>
      <sheetName val="PROSPECT FY"/>
      <sheetName val="ACYS"/>
      <sheetName val="ICI"/>
      <sheetName val="KPN"/>
      <sheetName val="Unique Cost Centres"/>
      <sheetName val="Digital Roster"/>
      <sheetName val="Functional Groupings"/>
      <sheetName val="Interest rates"/>
      <sheetName val="Bayu_Undan"/>
      <sheetName val="ARCO_-_Alaska"/>
      <sheetName val="Chemical_JV"/>
      <sheetName val="GE_Data"/>
      <sheetName val="NY_UPLOAD"/>
      <sheetName val="NY_UPLOAD_shadow"/>
      <sheetName val="NY_UPLOAD_bak"/>
      <sheetName val="NY_UPLOAD_Shadow_bak"/>
      <sheetName val="B_Sheet"/>
      <sheetName val="Quarterly_Data"/>
      <sheetName val="A-Link_Source"/>
      <sheetName val="Graph"/>
      <sheetName val="Financial Overview ShortProfile"/>
      <sheetName val="Assumptions &amp; Switches"/>
      <sheetName val="GROUP P&amp;L"/>
      <sheetName val="Proj Sum"/>
      <sheetName val="Sputtering"/>
      <sheetName val="Capacity"/>
      <sheetName val="Upstream"/>
      <sheetName val="Segment"/>
      <sheetName val="Reserves &amp; Capex"/>
      <sheetName val="TV"/>
      <sheetName val="MW_Ratios"/>
      <sheetName val="CY_Link"/>
      <sheetName val="ChemiPal_JV"/>
      <sheetName val="Old_BKS"/>
      <sheetName val="Forecast_Change"/>
      <sheetName val="New_Source"/>
      <sheetName val="Balance_Sheet"/>
      <sheetName val="Income_Statement"/>
      <sheetName val="Fin__Summary"/>
      <sheetName val="P&amp;L by Yr"/>
      <sheetName val="P&amp;L by Qtr"/>
      <sheetName val="TRANSACTION"/>
      <sheetName val="Ranges"/>
      <sheetName val="New main"/>
      <sheetName val="ERPRO sheet"/>
      <sheetName val="GAAP Financial Statements"/>
      <sheetName val="Operating"/>
      <sheetName val="Revenue"/>
      <sheetName val="KMB"/>
      <sheetName val="CTWC"/>
      <sheetName val="Factset Profile"/>
      <sheetName val="cash"/>
      <sheetName val="Water Transfer"/>
      <sheetName val="Average Employee Costs"/>
      <sheetName val="CoA"/>
      <sheetName val="hiddenSheet"/>
      <sheetName val="Drop Down Lists"/>
      <sheetName val="Manual"/>
      <sheetName val="List"/>
      <sheetName val="MICAP"/>
      <sheetName val="CIP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lantaçao ater_"/>
    </sheet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p"/>
    </sheetNames>
    <sheetDataSet>
      <sheetData sheetId="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II"/>
      <sheetName val="J1 V100 2MW MJ"/>
      <sheetName val="J2 V100 2MW MJ"/>
      <sheetName val="C1 V100 2MW MJ"/>
      <sheetName val="C2 V100 2MW MJ"/>
      <sheetName val="Apresentação"/>
      <sheetName val="Incertezas MJ"/>
      <sheetName val="Resumo"/>
      <sheetName val="J1 V100 BRA"/>
      <sheetName val="J1 V100 VEST"/>
      <sheetName val="J1 V100 MJ"/>
      <sheetName val="J1 V100 2MW"/>
      <sheetName val="J1 V100 2MW corrigido"/>
      <sheetName val="J1 V112 94m"/>
      <sheetName val="J1 V112 119m"/>
      <sheetName val="J2 V100 BRA"/>
      <sheetName val="J2 V100 VEST"/>
      <sheetName val="J2 V100 MJ"/>
      <sheetName val="J2 V100 2MW"/>
      <sheetName val="J2 V100 2MW corrigido"/>
      <sheetName val="J2 V112 94"/>
      <sheetName val="J2 V112 119"/>
      <sheetName val="V112 - 119m"/>
      <sheetName val="C1 V100 BRA."/>
      <sheetName val="C1 V100 vestas."/>
      <sheetName val="C1 V100 MJ."/>
      <sheetName val="C1 V100 2MW"/>
      <sheetName val="C1 V112 94m"/>
      <sheetName val="C1 V112 119m."/>
      <sheetName val="C2 V100 BRA"/>
      <sheetName val="C2 V100 Vestas"/>
      <sheetName val="C2 V100 MJ"/>
      <sheetName val="C2 V112 94"/>
      <sheetName val="C2 V112 119"/>
      <sheetName val="C2 V100 2MW"/>
      <sheetName val="S97 100m"/>
      <sheetName val="Plan1"/>
      <sheetName val="Cenário Inter v.02"/>
    </sheetNames>
    <definedNames>
      <definedName name="Header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C_FEES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ummary"/>
      <sheetName val="Regions"/>
      <sheetName val="Presentation Tables"/>
      <sheetName val="Geography"/>
      <sheetName val="Cheap---&gt;"/>
      <sheetName val="Cheap - Sector"/>
      <sheetName val="Cheap - Company"/>
      <sheetName val="Company Reviews by Sector---&gt;"/>
      <sheetName val="AgriChem"/>
      <sheetName val="Commodity &amp; IGas"/>
      <sheetName val="Specialty"/>
      <sheetName val="Diversified"/>
      <sheetName val="Out of Favour"/>
      <sheetName val="Out of Favour List"/>
      <sheetName val="Cheap - Specailty"/>
      <sheetName val="Data---&gt;"/>
      <sheetName val="Company Data"/>
      <sheetName val="Brookfield Subcategories"/>
      <sheetName val="Definitions"/>
      <sheetName val="Obsolete Sheets---&gt;"/>
      <sheetName val="Europe Companies"/>
      <sheetName val="Developed Asia - ex Japan&amp;Korea"/>
      <sheetName val="Company Summaries"/>
      <sheetName val="Sectors - Worldwide"/>
      <sheetName val="Sectors - North America"/>
      <sheetName val="Sectors - Europe"/>
      <sheetName val="Sectors - Developed Asia"/>
      <sheetName val="Sectors - Developing Asia"/>
      <sheetName val="Sectors - MENA"/>
      <sheetName val="Sectors - LatAm"/>
      <sheetName val="Intrepid Potash"/>
      <sheetName val="LSB Industries"/>
      <sheetName val="OMNOVA"/>
      <sheetName val="Celense Corp"/>
      <sheetName val="Methonex"/>
      <sheetName val="EuroScreens"/>
      <sheetName val="K+S"/>
      <sheetName val="Tessenderlo Chemie"/>
      <sheetName val="EU Divestments"/>
      <sheetName val="Corporate Carveouts"/>
      <sheetName val="Potash"/>
      <sheetName val="Subsect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7">
          <cell r="AJ17">
            <v>0</v>
          </cell>
        </row>
      </sheetData>
      <sheetData sheetId="32"/>
      <sheetData sheetId="33"/>
      <sheetData sheetId="34"/>
      <sheetData sheetId="35"/>
      <sheetData sheetId="36"/>
      <sheetData sheetId="37">
        <row r="17">
          <cell r="AI17">
            <v>84.32</v>
          </cell>
          <cell r="AJ17">
            <v>39413</v>
          </cell>
        </row>
        <row r="18">
          <cell r="AI18">
            <v>87.77</v>
          </cell>
          <cell r="AJ18">
            <v>39414</v>
          </cell>
        </row>
        <row r="19">
          <cell r="AI19">
            <v>88.81</v>
          </cell>
          <cell r="AJ19">
            <v>39415</v>
          </cell>
        </row>
        <row r="20">
          <cell r="AI20">
            <v>89.51</v>
          </cell>
          <cell r="AJ20">
            <v>39416</v>
          </cell>
        </row>
        <row r="21">
          <cell r="AI21">
            <v>88.92</v>
          </cell>
          <cell r="AJ21">
            <v>39419</v>
          </cell>
        </row>
        <row r="22">
          <cell r="AI22">
            <v>89.95</v>
          </cell>
          <cell r="AJ22">
            <v>39420</v>
          </cell>
        </row>
        <row r="23">
          <cell r="AI23">
            <v>90.67</v>
          </cell>
          <cell r="AJ23">
            <v>39421</v>
          </cell>
        </row>
        <row r="24">
          <cell r="AI24">
            <v>90.54</v>
          </cell>
          <cell r="AJ24">
            <v>39422</v>
          </cell>
        </row>
        <row r="25">
          <cell r="AI25">
            <v>91.76</v>
          </cell>
          <cell r="AJ25">
            <v>39423</v>
          </cell>
        </row>
        <row r="26">
          <cell r="AI26">
            <v>89.64</v>
          </cell>
          <cell r="AJ26">
            <v>39426</v>
          </cell>
        </row>
        <row r="27">
          <cell r="AI27">
            <v>89.5</v>
          </cell>
          <cell r="AJ27">
            <v>39427</v>
          </cell>
        </row>
        <row r="28">
          <cell r="AI28">
            <v>90.29</v>
          </cell>
          <cell r="AJ28">
            <v>39428</v>
          </cell>
        </row>
        <row r="29">
          <cell r="AI29">
            <v>87.52</v>
          </cell>
          <cell r="AJ29">
            <v>39429</v>
          </cell>
        </row>
        <row r="30">
          <cell r="AI30">
            <v>88.35</v>
          </cell>
          <cell r="AJ30">
            <v>39430</v>
          </cell>
        </row>
        <row r="31">
          <cell r="AI31">
            <v>87.64</v>
          </cell>
          <cell r="AJ31">
            <v>39433</v>
          </cell>
        </row>
        <row r="32">
          <cell r="AI32">
            <v>89.06</v>
          </cell>
          <cell r="AJ32">
            <v>39434</v>
          </cell>
        </row>
        <row r="33">
          <cell r="AI33">
            <v>88.13</v>
          </cell>
          <cell r="AJ33">
            <v>39435</v>
          </cell>
        </row>
        <row r="34">
          <cell r="AI34">
            <v>88.66</v>
          </cell>
          <cell r="AJ34">
            <v>39436</v>
          </cell>
        </row>
        <row r="35">
          <cell r="AI35">
            <v>90.5</v>
          </cell>
          <cell r="AJ35">
            <v>39437</v>
          </cell>
        </row>
        <row r="36">
          <cell r="AI36">
            <v>89.91</v>
          </cell>
          <cell r="AJ36">
            <v>39443</v>
          </cell>
        </row>
        <row r="37">
          <cell r="AI37">
            <v>90.49</v>
          </cell>
          <cell r="AJ37">
            <v>39444</v>
          </cell>
        </row>
        <row r="38">
          <cell r="AI38">
            <v>90.32</v>
          </cell>
          <cell r="AJ38">
            <v>39449</v>
          </cell>
        </row>
        <row r="39">
          <cell r="AI39">
            <v>90.5</v>
          </cell>
          <cell r="AJ39">
            <v>39450</v>
          </cell>
        </row>
        <row r="40">
          <cell r="AI40">
            <v>94.5</v>
          </cell>
          <cell r="AJ40">
            <v>39451</v>
          </cell>
        </row>
        <row r="41">
          <cell r="AI41">
            <v>95.64</v>
          </cell>
          <cell r="AJ41">
            <v>39454</v>
          </cell>
        </row>
        <row r="42">
          <cell r="AI42">
            <v>95.84</v>
          </cell>
          <cell r="AJ42">
            <v>39455</v>
          </cell>
        </row>
        <row r="43">
          <cell r="AI43">
            <v>95.7</v>
          </cell>
          <cell r="AJ43">
            <v>39456</v>
          </cell>
        </row>
        <row r="44">
          <cell r="AI44">
            <v>93.48</v>
          </cell>
          <cell r="AJ44">
            <v>39457</v>
          </cell>
        </row>
        <row r="45">
          <cell r="AI45">
            <v>93.05</v>
          </cell>
          <cell r="AJ45">
            <v>39458</v>
          </cell>
        </row>
        <row r="46">
          <cell r="AI46">
            <v>94.55</v>
          </cell>
          <cell r="AJ46">
            <v>39461</v>
          </cell>
        </row>
        <row r="47">
          <cell r="AI47">
            <v>91.82</v>
          </cell>
          <cell r="AJ47">
            <v>39462</v>
          </cell>
        </row>
        <row r="48">
          <cell r="AI48">
            <v>94.31</v>
          </cell>
          <cell r="AJ48">
            <v>39463</v>
          </cell>
        </row>
        <row r="49">
          <cell r="AI49">
            <v>91.29</v>
          </cell>
          <cell r="AJ49">
            <v>39464</v>
          </cell>
        </row>
        <row r="50">
          <cell r="AI50">
            <v>91</v>
          </cell>
          <cell r="AJ50">
            <v>39465</v>
          </cell>
        </row>
        <row r="51">
          <cell r="AI51">
            <v>84.02</v>
          </cell>
          <cell r="AJ51">
            <v>39468</v>
          </cell>
        </row>
        <row r="52">
          <cell r="AI52">
            <v>84.01</v>
          </cell>
          <cell r="AJ52">
            <v>39469</v>
          </cell>
        </row>
        <row r="53">
          <cell r="AI53">
            <v>80.89</v>
          </cell>
          <cell r="AJ53">
            <v>39470</v>
          </cell>
        </row>
        <row r="54">
          <cell r="AI54">
            <v>85.02</v>
          </cell>
          <cell r="AJ54">
            <v>39471</v>
          </cell>
        </row>
        <row r="55">
          <cell r="AI55">
            <v>83.51</v>
          </cell>
          <cell r="AJ55">
            <v>39472</v>
          </cell>
        </row>
        <row r="56">
          <cell r="AI56">
            <v>84.57</v>
          </cell>
          <cell r="AJ56">
            <v>39475</v>
          </cell>
        </row>
        <row r="57">
          <cell r="AI57">
            <v>85.29</v>
          </cell>
          <cell r="AJ57">
            <v>39476</v>
          </cell>
        </row>
        <row r="58">
          <cell r="AI58">
            <v>85.39</v>
          </cell>
          <cell r="AJ58">
            <v>39477</v>
          </cell>
        </row>
        <row r="59">
          <cell r="AI59">
            <v>87.71</v>
          </cell>
          <cell r="AJ59">
            <v>39478</v>
          </cell>
        </row>
        <row r="60">
          <cell r="AI60">
            <v>87.91</v>
          </cell>
          <cell r="AJ60">
            <v>39479</v>
          </cell>
        </row>
        <row r="61">
          <cell r="AI61">
            <v>87.74</v>
          </cell>
          <cell r="AJ61">
            <v>39482</v>
          </cell>
        </row>
        <row r="62">
          <cell r="AI62">
            <v>83.77</v>
          </cell>
          <cell r="AJ62">
            <v>39483</v>
          </cell>
        </row>
        <row r="63">
          <cell r="AI63">
            <v>84.69</v>
          </cell>
          <cell r="AJ63">
            <v>39484</v>
          </cell>
        </row>
        <row r="64">
          <cell r="AI64">
            <v>83.79</v>
          </cell>
          <cell r="AJ64">
            <v>39485</v>
          </cell>
        </row>
        <row r="65">
          <cell r="AI65">
            <v>83.55</v>
          </cell>
          <cell r="AJ65">
            <v>39486</v>
          </cell>
        </row>
        <row r="66">
          <cell r="AI66">
            <v>84.05</v>
          </cell>
          <cell r="AJ66">
            <v>39489</v>
          </cell>
        </row>
        <row r="67">
          <cell r="AI67">
            <v>84.5</v>
          </cell>
          <cell r="AJ67">
            <v>39490</v>
          </cell>
        </row>
        <row r="68">
          <cell r="AI68">
            <v>84.7</v>
          </cell>
          <cell r="AJ68">
            <v>39491</v>
          </cell>
        </row>
        <row r="69">
          <cell r="AI69">
            <v>84.4</v>
          </cell>
          <cell r="AJ69">
            <v>39492</v>
          </cell>
        </row>
        <row r="70">
          <cell r="AI70">
            <v>83.67</v>
          </cell>
          <cell r="AJ70">
            <v>39493</v>
          </cell>
        </row>
        <row r="71">
          <cell r="AI71">
            <v>84.9</v>
          </cell>
          <cell r="AJ71">
            <v>39496</v>
          </cell>
        </row>
        <row r="72">
          <cell r="AI72">
            <v>84.56</v>
          </cell>
          <cell r="AJ72">
            <v>39497</v>
          </cell>
        </row>
        <row r="73">
          <cell r="AI73">
            <v>86.9</v>
          </cell>
          <cell r="AJ73">
            <v>39498</v>
          </cell>
        </row>
        <row r="74">
          <cell r="AI74">
            <v>85.26</v>
          </cell>
          <cell r="AJ74">
            <v>39499</v>
          </cell>
        </row>
        <row r="75">
          <cell r="AI75">
            <v>85.3</v>
          </cell>
          <cell r="AJ75">
            <v>39500</v>
          </cell>
        </row>
        <row r="76">
          <cell r="AI76">
            <v>87.5</v>
          </cell>
          <cell r="AJ76">
            <v>39503</v>
          </cell>
        </row>
        <row r="77">
          <cell r="AI77">
            <v>89.4</v>
          </cell>
          <cell r="AJ77">
            <v>39504</v>
          </cell>
        </row>
        <row r="78">
          <cell r="AI78">
            <v>89.1</v>
          </cell>
          <cell r="AJ78">
            <v>39505</v>
          </cell>
        </row>
        <row r="79">
          <cell r="AI79">
            <v>89.39</v>
          </cell>
          <cell r="AJ79">
            <v>39506</v>
          </cell>
        </row>
        <row r="80">
          <cell r="AI80">
            <v>87.74</v>
          </cell>
          <cell r="AJ80">
            <v>39507</v>
          </cell>
        </row>
        <row r="81">
          <cell r="AI81">
            <v>87.45</v>
          </cell>
          <cell r="AJ81">
            <v>39510</v>
          </cell>
        </row>
        <row r="82">
          <cell r="AI82">
            <v>85.1</v>
          </cell>
          <cell r="AJ82">
            <v>39511</v>
          </cell>
        </row>
        <row r="83">
          <cell r="AI83">
            <v>87.96</v>
          </cell>
          <cell r="AJ83">
            <v>39512</v>
          </cell>
        </row>
        <row r="84">
          <cell r="AI84">
            <v>87.24</v>
          </cell>
          <cell r="AJ84">
            <v>39513</v>
          </cell>
        </row>
        <row r="85">
          <cell r="AI85">
            <v>85.5</v>
          </cell>
          <cell r="AJ85">
            <v>39514</v>
          </cell>
        </row>
        <row r="86">
          <cell r="AI86">
            <v>84.01</v>
          </cell>
          <cell r="AJ86">
            <v>39517</v>
          </cell>
        </row>
        <row r="87">
          <cell r="AI87">
            <v>85.21</v>
          </cell>
          <cell r="AJ87">
            <v>39518</v>
          </cell>
        </row>
        <row r="88">
          <cell r="AI88">
            <v>87.16</v>
          </cell>
          <cell r="AJ88">
            <v>39519</v>
          </cell>
        </row>
        <row r="89">
          <cell r="AI89">
            <v>87</v>
          </cell>
          <cell r="AJ89">
            <v>39520</v>
          </cell>
        </row>
        <row r="90">
          <cell r="AI90">
            <v>86.45</v>
          </cell>
          <cell r="AJ90">
            <v>39521</v>
          </cell>
        </row>
        <row r="91">
          <cell r="AI91">
            <v>86.77</v>
          </cell>
          <cell r="AJ91">
            <v>39524</v>
          </cell>
        </row>
        <row r="92">
          <cell r="AI92">
            <v>90.31</v>
          </cell>
          <cell r="AJ92">
            <v>39525</v>
          </cell>
        </row>
        <row r="93">
          <cell r="AI93">
            <v>90.5</v>
          </cell>
          <cell r="AJ93">
            <v>39526</v>
          </cell>
        </row>
        <row r="94">
          <cell r="AI94">
            <v>89.2</v>
          </cell>
          <cell r="AJ94">
            <v>39527</v>
          </cell>
        </row>
        <row r="95">
          <cell r="AI95">
            <v>90.91</v>
          </cell>
          <cell r="AJ95">
            <v>39532</v>
          </cell>
        </row>
        <row r="96">
          <cell r="AI96">
            <v>89</v>
          </cell>
          <cell r="AJ96">
            <v>39533</v>
          </cell>
        </row>
        <row r="97">
          <cell r="AI97">
            <v>89.41</v>
          </cell>
          <cell r="AJ97">
            <v>39534</v>
          </cell>
        </row>
        <row r="98">
          <cell r="AI98">
            <v>88.1</v>
          </cell>
          <cell r="AJ98">
            <v>39535</v>
          </cell>
        </row>
        <row r="99">
          <cell r="AI99">
            <v>89.49</v>
          </cell>
          <cell r="AJ99">
            <v>39538</v>
          </cell>
        </row>
        <row r="100">
          <cell r="AI100">
            <v>90.43</v>
          </cell>
          <cell r="AJ100">
            <v>39539</v>
          </cell>
        </row>
        <row r="101">
          <cell r="AI101">
            <v>91.1</v>
          </cell>
          <cell r="AJ101">
            <v>39540</v>
          </cell>
        </row>
        <row r="102">
          <cell r="AI102">
            <v>93.01</v>
          </cell>
          <cell r="AJ102">
            <v>39541</v>
          </cell>
        </row>
        <row r="103">
          <cell r="AI103">
            <v>92.21</v>
          </cell>
          <cell r="AJ103">
            <v>39542</v>
          </cell>
        </row>
        <row r="104">
          <cell r="AI104">
            <v>93.49</v>
          </cell>
          <cell r="AJ104">
            <v>39545</v>
          </cell>
        </row>
        <row r="105">
          <cell r="AI105">
            <v>93.75</v>
          </cell>
          <cell r="AJ105">
            <v>39546</v>
          </cell>
        </row>
        <row r="106">
          <cell r="AI106">
            <v>92.7</v>
          </cell>
          <cell r="AJ106">
            <v>39547</v>
          </cell>
        </row>
        <row r="107">
          <cell r="AI107">
            <v>91.9</v>
          </cell>
          <cell r="AJ107">
            <v>39548</v>
          </cell>
        </row>
        <row r="108">
          <cell r="AI108">
            <v>91.4</v>
          </cell>
          <cell r="AJ108">
            <v>39549</v>
          </cell>
        </row>
        <row r="109">
          <cell r="AI109">
            <v>90.8</v>
          </cell>
          <cell r="AJ109">
            <v>39552</v>
          </cell>
        </row>
        <row r="110">
          <cell r="AI110">
            <v>91.4</v>
          </cell>
          <cell r="AJ110">
            <v>39553</v>
          </cell>
        </row>
        <row r="111">
          <cell r="AI111">
            <v>92.61</v>
          </cell>
          <cell r="AJ111">
            <v>39554</v>
          </cell>
        </row>
        <row r="112">
          <cell r="AI112">
            <v>92.6</v>
          </cell>
          <cell r="AJ112">
            <v>39555</v>
          </cell>
        </row>
        <row r="113">
          <cell r="AI113">
            <v>93.95</v>
          </cell>
          <cell r="AJ113">
            <v>39556</v>
          </cell>
        </row>
        <row r="114">
          <cell r="AI114">
            <v>94.37</v>
          </cell>
          <cell r="AJ114">
            <v>39559</v>
          </cell>
        </row>
        <row r="115">
          <cell r="AI115">
            <v>93.4</v>
          </cell>
          <cell r="AJ115">
            <v>39560</v>
          </cell>
        </row>
        <row r="116">
          <cell r="AI116">
            <v>96.41</v>
          </cell>
          <cell r="AJ116">
            <v>39561</v>
          </cell>
        </row>
        <row r="117">
          <cell r="AI117">
            <v>94.33</v>
          </cell>
          <cell r="AJ117">
            <v>39562</v>
          </cell>
        </row>
        <row r="118">
          <cell r="AI118">
            <v>94.21</v>
          </cell>
          <cell r="AJ118">
            <v>39563</v>
          </cell>
        </row>
        <row r="119">
          <cell r="AI119">
            <v>94.62</v>
          </cell>
          <cell r="AJ119">
            <v>39566</v>
          </cell>
        </row>
        <row r="120">
          <cell r="AI120">
            <v>93.84</v>
          </cell>
          <cell r="AJ120">
            <v>39567</v>
          </cell>
        </row>
        <row r="121">
          <cell r="AI121">
            <v>94.1</v>
          </cell>
          <cell r="AJ121">
            <v>39568</v>
          </cell>
        </row>
        <row r="122">
          <cell r="AI122">
            <v>95.43</v>
          </cell>
          <cell r="AJ122">
            <v>39570</v>
          </cell>
        </row>
        <row r="123">
          <cell r="AI123">
            <v>94.2</v>
          </cell>
          <cell r="AJ123">
            <v>39573</v>
          </cell>
        </row>
        <row r="124">
          <cell r="AI124">
            <v>94.71</v>
          </cell>
          <cell r="AJ124">
            <v>39574</v>
          </cell>
        </row>
        <row r="125">
          <cell r="AI125">
            <v>95</v>
          </cell>
          <cell r="AJ125">
            <v>39575</v>
          </cell>
        </row>
        <row r="126">
          <cell r="AI126">
            <v>96.47</v>
          </cell>
          <cell r="AJ126">
            <v>39576</v>
          </cell>
        </row>
        <row r="127">
          <cell r="AI127">
            <v>92.25</v>
          </cell>
          <cell r="AJ127">
            <v>39577</v>
          </cell>
        </row>
        <row r="128">
          <cell r="AI128">
            <v>92.5</v>
          </cell>
          <cell r="AJ128">
            <v>39580</v>
          </cell>
        </row>
        <row r="129">
          <cell r="AI129">
            <v>93.1</v>
          </cell>
          <cell r="AJ129">
            <v>39581</v>
          </cell>
        </row>
        <row r="130">
          <cell r="AI130">
            <v>94.56</v>
          </cell>
          <cell r="AJ130">
            <v>39582</v>
          </cell>
        </row>
        <row r="131">
          <cell r="AI131">
            <v>94.3</v>
          </cell>
          <cell r="AJ131">
            <v>39583</v>
          </cell>
        </row>
        <row r="132">
          <cell r="AI132">
            <v>93.71</v>
          </cell>
          <cell r="AJ132">
            <v>39584</v>
          </cell>
        </row>
        <row r="133">
          <cell r="AI133">
            <v>95.7</v>
          </cell>
          <cell r="AJ133">
            <v>39587</v>
          </cell>
        </row>
        <row r="134">
          <cell r="AI134">
            <v>94.46</v>
          </cell>
          <cell r="AJ134">
            <v>39588</v>
          </cell>
        </row>
        <row r="135">
          <cell r="AI135">
            <v>94.69</v>
          </cell>
          <cell r="AJ135">
            <v>39589</v>
          </cell>
        </row>
        <row r="136">
          <cell r="AI136">
            <v>94.27</v>
          </cell>
          <cell r="AJ136">
            <v>39590</v>
          </cell>
        </row>
        <row r="137">
          <cell r="AI137">
            <v>92.4</v>
          </cell>
          <cell r="AJ137">
            <v>39591</v>
          </cell>
        </row>
        <row r="138">
          <cell r="AI138">
            <v>92.81</v>
          </cell>
          <cell r="AJ138">
            <v>39594</v>
          </cell>
        </row>
        <row r="139">
          <cell r="AI139">
            <v>93.41</v>
          </cell>
          <cell r="AJ139">
            <v>39595</v>
          </cell>
        </row>
        <row r="140">
          <cell r="AI140">
            <v>95.1</v>
          </cell>
          <cell r="AJ140">
            <v>39596</v>
          </cell>
        </row>
        <row r="141">
          <cell r="AI141">
            <v>95.56</v>
          </cell>
          <cell r="AJ141">
            <v>39597</v>
          </cell>
        </row>
        <row r="142">
          <cell r="AI142">
            <v>96.5</v>
          </cell>
          <cell r="AJ142">
            <v>39598</v>
          </cell>
        </row>
        <row r="143">
          <cell r="AI143">
            <v>96.42</v>
          </cell>
          <cell r="AJ143">
            <v>39601</v>
          </cell>
        </row>
        <row r="144">
          <cell r="AI144">
            <v>96.23</v>
          </cell>
          <cell r="AJ144">
            <v>39602</v>
          </cell>
        </row>
        <row r="145">
          <cell r="AI145">
            <v>95.35</v>
          </cell>
          <cell r="AJ145">
            <v>39603</v>
          </cell>
        </row>
        <row r="146">
          <cell r="AI146">
            <v>96.23</v>
          </cell>
          <cell r="AJ146">
            <v>39604</v>
          </cell>
        </row>
        <row r="147">
          <cell r="AI147">
            <v>95.68</v>
          </cell>
          <cell r="AJ147">
            <v>39605</v>
          </cell>
        </row>
        <row r="148">
          <cell r="AI148">
            <v>95.63</v>
          </cell>
          <cell r="AJ148">
            <v>39608</v>
          </cell>
        </row>
        <row r="149">
          <cell r="AI149">
            <v>95.13</v>
          </cell>
          <cell r="AJ149">
            <v>39609</v>
          </cell>
        </row>
        <row r="150">
          <cell r="AI150">
            <v>94.18</v>
          </cell>
          <cell r="AJ150">
            <v>39610</v>
          </cell>
        </row>
        <row r="151">
          <cell r="AI151">
            <v>94.68</v>
          </cell>
          <cell r="AJ151">
            <v>39611</v>
          </cell>
        </row>
        <row r="152">
          <cell r="AI152">
            <v>94.32</v>
          </cell>
          <cell r="AJ152">
            <v>39612</v>
          </cell>
        </row>
        <row r="153">
          <cell r="AI153">
            <v>94.6</v>
          </cell>
          <cell r="AJ153">
            <v>39615</v>
          </cell>
        </row>
        <row r="154">
          <cell r="AI154">
            <v>95.44</v>
          </cell>
          <cell r="AJ154">
            <v>39616</v>
          </cell>
        </row>
        <row r="155">
          <cell r="AI155">
            <v>95.15</v>
          </cell>
          <cell r="AJ155">
            <v>39617</v>
          </cell>
        </row>
        <row r="156">
          <cell r="AI156">
            <v>95.6</v>
          </cell>
          <cell r="AJ156">
            <v>39618</v>
          </cell>
        </row>
        <row r="157">
          <cell r="AI157">
            <v>92.73</v>
          </cell>
          <cell r="AJ157">
            <v>39619</v>
          </cell>
        </row>
        <row r="158">
          <cell r="AI158">
            <v>93.08</v>
          </cell>
          <cell r="AJ158">
            <v>39622</v>
          </cell>
        </row>
        <row r="159">
          <cell r="AI159">
            <v>91.99</v>
          </cell>
          <cell r="AJ159">
            <v>39623</v>
          </cell>
        </row>
        <row r="160">
          <cell r="AI160">
            <v>92.5</v>
          </cell>
          <cell r="AJ160">
            <v>39624</v>
          </cell>
        </row>
        <row r="161">
          <cell r="AI161">
            <v>90.45</v>
          </cell>
          <cell r="AJ161">
            <v>39625</v>
          </cell>
        </row>
        <row r="162">
          <cell r="AI162">
            <v>89.85</v>
          </cell>
          <cell r="AJ162">
            <v>39626</v>
          </cell>
        </row>
        <row r="163">
          <cell r="AI163">
            <v>89.38</v>
          </cell>
          <cell r="AJ163">
            <v>39629</v>
          </cell>
        </row>
        <row r="164">
          <cell r="AI164">
            <v>90.14</v>
          </cell>
          <cell r="AJ164">
            <v>39630</v>
          </cell>
        </row>
        <row r="165">
          <cell r="AI165">
            <v>90.68</v>
          </cell>
          <cell r="AJ165">
            <v>39631</v>
          </cell>
        </row>
        <row r="166">
          <cell r="AI166">
            <v>91.48</v>
          </cell>
          <cell r="AJ166">
            <v>39632</v>
          </cell>
        </row>
        <row r="167">
          <cell r="AI167">
            <v>89.72</v>
          </cell>
          <cell r="AJ167">
            <v>39633</v>
          </cell>
        </row>
        <row r="168">
          <cell r="AI168">
            <v>90.75</v>
          </cell>
          <cell r="AJ168">
            <v>39636</v>
          </cell>
        </row>
        <row r="169">
          <cell r="AI169">
            <v>90.34</v>
          </cell>
          <cell r="AJ169">
            <v>39637</v>
          </cell>
        </row>
        <row r="170">
          <cell r="AI170">
            <v>90.83</v>
          </cell>
          <cell r="AJ170">
            <v>39638</v>
          </cell>
        </row>
        <row r="171">
          <cell r="AI171">
            <v>90</v>
          </cell>
          <cell r="AJ171">
            <v>39639</v>
          </cell>
        </row>
        <row r="172">
          <cell r="AI172">
            <v>87.13</v>
          </cell>
          <cell r="AJ172">
            <v>39640</v>
          </cell>
        </row>
        <row r="173">
          <cell r="AI173">
            <v>86.38</v>
          </cell>
          <cell r="AJ173">
            <v>39643</v>
          </cell>
        </row>
        <row r="174">
          <cell r="AI174">
            <v>86.02</v>
          </cell>
          <cell r="AJ174">
            <v>39644</v>
          </cell>
        </row>
        <row r="175">
          <cell r="AI175">
            <v>85.83</v>
          </cell>
          <cell r="AJ175">
            <v>39645</v>
          </cell>
        </row>
        <row r="176">
          <cell r="AI176">
            <v>87.59</v>
          </cell>
          <cell r="AJ176">
            <v>39646</v>
          </cell>
        </row>
        <row r="177">
          <cell r="AI177">
            <v>87.98</v>
          </cell>
          <cell r="AJ177">
            <v>39647</v>
          </cell>
        </row>
        <row r="178">
          <cell r="AI178">
            <v>87.98</v>
          </cell>
          <cell r="AJ178">
            <v>39650</v>
          </cell>
        </row>
        <row r="179">
          <cell r="AI179">
            <v>90.22</v>
          </cell>
          <cell r="AJ179">
            <v>39651</v>
          </cell>
        </row>
        <row r="180">
          <cell r="AI180">
            <v>90.58</v>
          </cell>
          <cell r="AJ180">
            <v>39652</v>
          </cell>
        </row>
        <row r="181">
          <cell r="AI181">
            <v>89.08</v>
          </cell>
          <cell r="AJ181">
            <v>39653</v>
          </cell>
        </row>
        <row r="182">
          <cell r="AI182">
            <v>91.83</v>
          </cell>
          <cell r="AJ182">
            <v>39654</v>
          </cell>
        </row>
        <row r="183">
          <cell r="AI183">
            <v>91.1</v>
          </cell>
          <cell r="AJ183">
            <v>39657</v>
          </cell>
        </row>
        <row r="184">
          <cell r="AI184">
            <v>90.9</v>
          </cell>
          <cell r="AJ184">
            <v>39658</v>
          </cell>
        </row>
        <row r="185">
          <cell r="AI185">
            <v>89.28</v>
          </cell>
          <cell r="AJ185">
            <v>39659</v>
          </cell>
        </row>
        <row r="186">
          <cell r="AI186">
            <v>89.3</v>
          </cell>
          <cell r="AJ186">
            <v>39660</v>
          </cell>
        </row>
        <row r="187">
          <cell r="AI187">
            <v>89.28</v>
          </cell>
          <cell r="AJ187">
            <v>39661</v>
          </cell>
        </row>
        <row r="188">
          <cell r="AI188">
            <v>87.54</v>
          </cell>
          <cell r="AJ188">
            <v>39664</v>
          </cell>
        </row>
        <row r="189">
          <cell r="AI189">
            <v>87.85</v>
          </cell>
          <cell r="AJ189">
            <v>39665</v>
          </cell>
        </row>
        <row r="190">
          <cell r="AI190">
            <v>88.09</v>
          </cell>
          <cell r="AJ190">
            <v>39666</v>
          </cell>
        </row>
        <row r="191">
          <cell r="AI191">
            <v>87.23</v>
          </cell>
          <cell r="AJ191">
            <v>39667</v>
          </cell>
        </row>
        <row r="192">
          <cell r="AI192">
            <v>87.35</v>
          </cell>
          <cell r="AJ192">
            <v>39668</v>
          </cell>
        </row>
        <row r="193">
          <cell r="AI193">
            <v>88.02</v>
          </cell>
          <cell r="AJ193">
            <v>39671</v>
          </cell>
        </row>
        <row r="194">
          <cell r="AI194">
            <v>87.08</v>
          </cell>
          <cell r="AJ194">
            <v>39672</v>
          </cell>
        </row>
        <row r="195">
          <cell r="AI195">
            <v>85.26</v>
          </cell>
          <cell r="AJ195">
            <v>39673</v>
          </cell>
        </row>
        <row r="196">
          <cell r="AI196">
            <v>85.83</v>
          </cell>
          <cell r="AJ196">
            <v>39674</v>
          </cell>
        </row>
        <row r="197">
          <cell r="AI197">
            <v>85.68</v>
          </cell>
          <cell r="AJ197">
            <v>39675</v>
          </cell>
        </row>
        <row r="198">
          <cell r="AI198">
            <v>86.29</v>
          </cell>
          <cell r="AJ198">
            <v>39678</v>
          </cell>
        </row>
        <row r="199">
          <cell r="AI199">
            <v>84.78</v>
          </cell>
          <cell r="AJ199">
            <v>39679</v>
          </cell>
        </row>
        <row r="200">
          <cell r="AI200">
            <v>85.23</v>
          </cell>
          <cell r="AJ200">
            <v>39680</v>
          </cell>
        </row>
        <row r="201">
          <cell r="AI201">
            <v>83.26</v>
          </cell>
          <cell r="AJ201">
            <v>39681</v>
          </cell>
        </row>
        <row r="202">
          <cell r="AI202">
            <v>84.87</v>
          </cell>
          <cell r="AJ202">
            <v>39682</v>
          </cell>
        </row>
        <row r="203">
          <cell r="AI203">
            <v>82.67</v>
          </cell>
          <cell r="AJ203">
            <v>39685</v>
          </cell>
        </row>
        <row r="204">
          <cell r="AI204">
            <v>83.8</v>
          </cell>
          <cell r="AJ204">
            <v>39686</v>
          </cell>
        </row>
        <row r="205">
          <cell r="AI205">
            <v>83.01</v>
          </cell>
          <cell r="AJ205">
            <v>39687</v>
          </cell>
        </row>
        <row r="206">
          <cell r="AI206">
            <v>83.84</v>
          </cell>
          <cell r="AJ206">
            <v>39688</v>
          </cell>
        </row>
        <row r="207">
          <cell r="AI207">
            <v>85.8</v>
          </cell>
          <cell r="AJ207">
            <v>39689</v>
          </cell>
        </row>
        <row r="208">
          <cell r="AI208">
            <v>86.28</v>
          </cell>
          <cell r="AJ208">
            <v>39692</v>
          </cell>
        </row>
        <row r="209">
          <cell r="AI209">
            <v>87.53</v>
          </cell>
          <cell r="AJ209">
            <v>39693</v>
          </cell>
        </row>
        <row r="210">
          <cell r="AI210">
            <v>88.04</v>
          </cell>
          <cell r="AJ210">
            <v>39694</v>
          </cell>
        </row>
        <row r="211">
          <cell r="AI211">
            <v>85.94</v>
          </cell>
          <cell r="AJ211">
            <v>39695</v>
          </cell>
        </row>
        <row r="212">
          <cell r="AI212">
            <v>83.51</v>
          </cell>
          <cell r="AJ212">
            <v>39696</v>
          </cell>
        </row>
        <row r="213">
          <cell r="AI213">
            <v>84.8</v>
          </cell>
          <cell r="AJ213">
            <v>39699</v>
          </cell>
        </row>
        <row r="214">
          <cell r="AI214">
            <v>84.08</v>
          </cell>
          <cell r="AJ214">
            <v>39700</v>
          </cell>
        </row>
        <row r="215">
          <cell r="AI215">
            <v>83.29</v>
          </cell>
          <cell r="AJ215">
            <v>39701</v>
          </cell>
        </row>
        <row r="216">
          <cell r="AI216">
            <v>82.43</v>
          </cell>
          <cell r="AJ216">
            <v>39702</v>
          </cell>
        </row>
        <row r="217">
          <cell r="AI217">
            <v>82.29</v>
          </cell>
          <cell r="AJ217">
            <v>39703</v>
          </cell>
        </row>
        <row r="218">
          <cell r="AI218">
            <v>81</v>
          </cell>
          <cell r="AJ218">
            <v>39706</v>
          </cell>
        </row>
        <row r="219">
          <cell r="AI219">
            <v>77.81</v>
          </cell>
          <cell r="AJ219">
            <v>39707</v>
          </cell>
        </row>
        <row r="220">
          <cell r="AI220">
            <v>77.53</v>
          </cell>
          <cell r="AJ220">
            <v>39708</v>
          </cell>
        </row>
        <row r="221">
          <cell r="AI221">
            <v>77.849999999999994</v>
          </cell>
          <cell r="AJ221">
            <v>39709</v>
          </cell>
        </row>
        <row r="222">
          <cell r="AI222">
            <v>84.51</v>
          </cell>
          <cell r="AJ222">
            <v>39710</v>
          </cell>
        </row>
        <row r="223">
          <cell r="AI223">
            <v>82.91</v>
          </cell>
          <cell r="AJ223">
            <v>39713</v>
          </cell>
        </row>
        <row r="224">
          <cell r="AI224">
            <v>79.39</v>
          </cell>
          <cell r="AJ224">
            <v>39714</v>
          </cell>
        </row>
        <row r="225">
          <cell r="AI225">
            <v>79.05</v>
          </cell>
          <cell r="AJ225">
            <v>39715</v>
          </cell>
        </row>
        <row r="226">
          <cell r="AI226">
            <v>79.95</v>
          </cell>
          <cell r="AJ226">
            <v>39716</v>
          </cell>
        </row>
        <row r="227">
          <cell r="AI227">
            <v>79.599999999999994</v>
          </cell>
          <cell r="AJ227">
            <v>39717</v>
          </cell>
        </row>
        <row r="228">
          <cell r="AI228">
            <v>73.63</v>
          </cell>
          <cell r="AJ228">
            <v>39720</v>
          </cell>
        </row>
        <row r="229">
          <cell r="AI229">
            <v>75.7</v>
          </cell>
          <cell r="AJ229">
            <v>39721</v>
          </cell>
        </row>
        <row r="230">
          <cell r="AI230">
            <v>72.709999999999994</v>
          </cell>
          <cell r="AJ230">
            <v>39722</v>
          </cell>
        </row>
        <row r="231">
          <cell r="AI231">
            <v>69</v>
          </cell>
          <cell r="AJ231">
            <v>39723</v>
          </cell>
        </row>
        <row r="232">
          <cell r="AI232">
            <v>65.900000000000006</v>
          </cell>
          <cell r="AJ232">
            <v>39724</v>
          </cell>
        </row>
        <row r="233">
          <cell r="AI233">
            <v>62.99</v>
          </cell>
          <cell r="AJ233">
            <v>39727</v>
          </cell>
        </row>
        <row r="234">
          <cell r="AI234">
            <v>64.28</v>
          </cell>
          <cell r="AJ234">
            <v>39728</v>
          </cell>
        </row>
        <row r="235">
          <cell r="AI235">
            <v>61.86</v>
          </cell>
          <cell r="AJ235">
            <v>39729</v>
          </cell>
        </row>
        <row r="236">
          <cell r="AI236">
            <v>63.29</v>
          </cell>
          <cell r="AJ236">
            <v>39730</v>
          </cell>
        </row>
        <row r="237">
          <cell r="AI237">
            <v>62.1</v>
          </cell>
          <cell r="AJ237">
            <v>39731</v>
          </cell>
        </row>
        <row r="238">
          <cell r="AI238">
            <v>66.86</v>
          </cell>
          <cell r="AJ238">
            <v>39734</v>
          </cell>
        </row>
        <row r="239">
          <cell r="AI239">
            <v>68.400000000000006</v>
          </cell>
          <cell r="AJ239">
            <v>39735</v>
          </cell>
        </row>
        <row r="240">
          <cell r="AI240">
            <v>63.1</v>
          </cell>
          <cell r="AJ240">
            <v>39736</v>
          </cell>
        </row>
        <row r="241">
          <cell r="AI241">
            <v>60.55</v>
          </cell>
          <cell r="AJ241">
            <v>39737</v>
          </cell>
        </row>
        <row r="242">
          <cell r="AI242">
            <v>63.91</v>
          </cell>
          <cell r="AJ242">
            <v>39738</v>
          </cell>
        </row>
        <row r="243">
          <cell r="AI243">
            <v>64.989999999999995</v>
          </cell>
          <cell r="AJ243">
            <v>39741</v>
          </cell>
        </row>
        <row r="244">
          <cell r="AI244">
            <v>64.650000000000006</v>
          </cell>
          <cell r="AJ244">
            <v>39742</v>
          </cell>
        </row>
        <row r="245">
          <cell r="AI245">
            <v>60.13</v>
          </cell>
          <cell r="AJ245">
            <v>39743</v>
          </cell>
        </row>
        <row r="246">
          <cell r="AI246">
            <v>60.59</v>
          </cell>
          <cell r="AJ246">
            <v>39744</v>
          </cell>
        </row>
        <row r="247">
          <cell r="AI247">
            <v>57.65</v>
          </cell>
          <cell r="AJ247">
            <v>39745</v>
          </cell>
        </row>
        <row r="248">
          <cell r="AI248">
            <v>53.63</v>
          </cell>
          <cell r="AJ248">
            <v>39748</v>
          </cell>
        </row>
        <row r="249">
          <cell r="AI249">
            <v>54</v>
          </cell>
          <cell r="AJ249">
            <v>39749</v>
          </cell>
        </row>
        <row r="250">
          <cell r="AI250">
            <v>60.49</v>
          </cell>
          <cell r="AJ250">
            <v>39750</v>
          </cell>
        </row>
        <row r="251">
          <cell r="AI251">
            <v>60.87</v>
          </cell>
          <cell r="AJ251">
            <v>39751</v>
          </cell>
        </row>
        <row r="252">
          <cell r="AI252">
            <v>66.19</v>
          </cell>
          <cell r="AJ252">
            <v>39752</v>
          </cell>
        </row>
        <row r="253">
          <cell r="AI253">
            <v>69.48</v>
          </cell>
          <cell r="AJ253">
            <v>39755</v>
          </cell>
        </row>
        <row r="254">
          <cell r="AI254">
            <v>74.290000000000006</v>
          </cell>
          <cell r="AJ254">
            <v>39756</v>
          </cell>
        </row>
        <row r="255">
          <cell r="AI255">
            <v>68.959999999999994</v>
          </cell>
          <cell r="AJ255">
            <v>39757</v>
          </cell>
        </row>
        <row r="256">
          <cell r="AI256">
            <v>63.52</v>
          </cell>
          <cell r="AJ256">
            <v>39758</v>
          </cell>
        </row>
        <row r="257">
          <cell r="AI257">
            <v>67.099999999999994</v>
          </cell>
          <cell r="AJ257">
            <v>39759</v>
          </cell>
        </row>
        <row r="258">
          <cell r="AI258">
            <v>66.89</v>
          </cell>
          <cell r="AJ258">
            <v>39762</v>
          </cell>
        </row>
        <row r="259">
          <cell r="AI259">
            <v>63.78</v>
          </cell>
          <cell r="AJ259">
            <v>39763</v>
          </cell>
        </row>
        <row r="260">
          <cell r="AI260">
            <v>63.81</v>
          </cell>
          <cell r="AJ260">
            <v>39764</v>
          </cell>
        </row>
        <row r="261">
          <cell r="AI261">
            <v>61.55</v>
          </cell>
          <cell r="AJ261">
            <v>39765</v>
          </cell>
        </row>
        <row r="262">
          <cell r="AI262">
            <v>62.14</v>
          </cell>
          <cell r="AJ262">
            <v>39766</v>
          </cell>
        </row>
        <row r="263">
          <cell r="AI263">
            <v>61.47</v>
          </cell>
          <cell r="AJ263">
            <v>39769</v>
          </cell>
        </row>
        <row r="264">
          <cell r="AI264">
            <v>61</v>
          </cell>
          <cell r="AJ264">
            <v>39770</v>
          </cell>
        </row>
        <row r="265">
          <cell r="AI265">
            <v>57.88</v>
          </cell>
          <cell r="AJ265">
            <v>39771</v>
          </cell>
        </row>
        <row r="266">
          <cell r="AI266">
            <v>55.08</v>
          </cell>
          <cell r="AJ266">
            <v>39772</v>
          </cell>
        </row>
        <row r="267">
          <cell r="AI267">
            <v>53.83</v>
          </cell>
          <cell r="AJ267">
            <v>39773</v>
          </cell>
        </row>
        <row r="268">
          <cell r="AI268">
            <v>54.25</v>
          </cell>
          <cell r="AJ268">
            <v>39776</v>
          </cell>
        </row>
        <row r="269">
          <cell r="AI269">
            <v>55.86</v>
          </cell>
          <cell r="AJ269">
            <v>39777</v>
          </cell>
        </row>
        <row r="270">
          <cell r="AI270">
            <v>56.28</v>
          </cell>
          <cell r="AJ270">
            <v>39778</v>
          </cell>
        </row>
        <row r="271">
          <cell r="AI271">
            <v>57</v>
          </cell>
          <cell r="AJ271">
            <v>39779</v>
          </cell>
        </row>
        <row r="272">
          <cell r="AI272">
            <v>57.05</v>
          </cell>
          <cell r="AJ272">
            <v>39780</v>
          </cell>
        </row>
        <row r="273">
          <cell r="AI273">
            <v>53.28</v>
          </cell>
          <cell r="AJ273">
            <v>39783</v>
          </cell>
        </row>
        <row r="274">
          <cell r="AI274">
            <v>54.7</v>
          </cell>
          <cell r="AJ274">
            <v>39784</v>
          </cell>
        </row>
        <row r="275">
          <cell r="AI275">
            <v>53.21</v>
          </cell>
          <cell r="AJ275">
            <v>39785</v>
          </cell>
        </row>
        <row r="276">
          <cell r="AI276">
            <v>52.95</v>
          </cell>
          <cell r="AJ276">
            <v>39786</v>
          </cell>
        </row>
        <row r="277">
          <cell r="AI277">
            <v>49.28</v>
          </cell>
          <cell r="AJ277">
            <v>39787</v>
          </cell>
        </row>
        <row r="278">
          <cell r="AI278">
            <v>56.04</v>
          </cell>
          <cell r="AJ278">
            <v>39790</v>
          </cell>
        </row>
        <row r="279">
          <cell r="AI279">
            <v>58.3</v>
          </cell>
          <cell r="AJ279">
            <v>39791</v>
          </cell>
        </row>
        <row r="280">
          <cell r="AI280">
            <v>57.25</v>
          </cell>
          <cell r="AJ280">
            <v>39792</v>
          </cell>
        </row>
        <row r="281">
          <cell r="AI281">
            <v>57.85</v>
          </cell>
          <cell r="AJ281">
            <v>39793</v>
          </cell>
        </row>
        <row r="282">
          <cell r="AI282">
            <v>55.06</v>
          </cell>
          <cell r="AJ282">
            <v>39794</v>
          </cell>
        </row>
        <row r="283">
          <cell r="AI283">
            <v>55.12</v>
          </cell>
          <cell r="AJ283">
            <v>39797</v>
          </cell>
        </row>
        <row r="284">
          <cell r="AI284">
            <v>56.46</v>
          </cell>
          <cell r="AJ284">
            <v>39798</v>
          </cell>
        </row>
        <row r="285">
          <cell r="AI285">
            <v>57.28</v>
          </cell>
          <cell r="AJ285">
            <v>39799</v>
          </cell>
        </row>
        <row r="286">
          <cell r="AI286">
            <v>60.34</v>
          </cell>
          <cell r="AJ286">
            <v>39800</v>
          </cell>
        </row>
        <row r="287">
          <cell r="AI287">
            <v>57.93</v>
          </cell>
          <cell r="AJ287">
            <v>39801</v>
          </cell>
        </row>
        <row r="288">
          <cell r="AI288">
            <v>59.12</v>
          </cell>
          <cell r="AJ288">
            <v>39804</v>
          </cell>
        </row>
        <row r="289">
          <cell r="AI289">
            <v>60.47</v>
          </cell>
          <cell r="AJ289">
            <v>39805</v>
          </cell>
        </row>
        <row r="290">
          <cell r="AI290">
            <v>61.1</v>
          </cell>
          <cell r="AJ290">
            <v>39811</v>
          </cell>
        </row>
        <row r="291">
          <cell r="AI291">
            <v>60.65</v>
          </cell>
          <cell r="AJ291">
            <v>39812</v>
          </cell>
        </row>
        <row r="292">
          <cell r="AI292">
            <v>62.85</v>
          </cell>
          <cell r="AJ292">
            <v>39815</v>
          </cell>
        </row>
        <row r="293">
          <cell r="AI293">
            <v>63.84</v>
          </cell>
          <cell r="AJ293">
            <v>39818</v>
          </cell>
        </row>
        <row r="294">
          <cell r="AI294">
            <v>64.650000000000006</v>
          </cell>
          <cell r="AJ294">
            <v>39819</v>
          </cell>
        </row>
        <row r="295">
          <cell r="AI295">
            <v>61.55</v>
          </cell>
          <cell r="AJ295">
            <v>39820</v>
          </cell>
        </row>
        <row r="296">
          <cell r="AI296">
            <v>63.9</v>
          </cell>
          <cell r="AJ296">
            <v>39821</v>
          </cell>
        </row>
        <row r="297">
          <cell r="AI297">
            <v>59.63</v>
          </cell>
          <cell r="AJ297">
            <v>39822</v>
          </cell>
        </row>
        <row r="298">
          <cell r="AI298">
            <v>60.07</v>
          </cell>
          <cell r="AJ298">
            <v>39825</v>
          </cell>
        </row>
        <row r="299">
          <cell r="AI299">
            <v>59.46</v>
          </cell>
          <cell r="AJ299">
            <v>39826</v>
          </cell>
        </row>
        <row r="300">
          <cell r="AI300">
            <v>56.06</v>
          </cell>
          <cell r="AJ300">
            <v>39827</v>
          </cell>
        </row>
        <row r="301">
          <cell r="AI301">
            <v>55.2</v>
          </cell>
          <cell r="AJ301">
            <v>39828</v>
          </cell>
        </row>
        <row r="302">
          <cell r="AI302">
            <v>54.65</v>
          </cell>
          <cell r="AJ302">
            <v>39829</v>
          </cell>
        </row>
        <row r="303">
          <cell r="AI303">
            <v>53.12</v>
          </cell>
          <cell r="AJ303">
            <v>39832</v>
          </cell>
        </row>
        <row r="304">
          <cell r="AI304">
            <v>51.74</v>
          </cell>
          <cell r="AJ304">
            <v>39833</v>
          </cell>
        </row>
        <row r="305">
          <cell r="AI305">
            <v>53.73</v>
          </cell>
          <cell r="AJ305">
            <v>39834</v>
          </cell>
        </row>
        <row r="306">
          <cell r="AI306">
            <v>51.5</v>
          </cell>
          <cell r="AJ306">
            <v>39835</v>
          </cell>
        </row>
        <row r="307">
          <cell r="AI307">
            <v>51.73</v>
          </cell>
          <cell r="AJ307">
            <v>39836</v>
          </cell>
        </row>
        <row r="308">
          <cell r="AI308">
            <v>54.22</v>
          </cell>
          <cell r="AJ308">
            <v>39839</v>
          </cell>
        </row>
        <row r="309">
          <cell r="AI309">
            <v>52.5</v>
          </cell>
          <cell r="AJ309">
            <v>39840</v>
          </cell>
        </row>
        <row r="310">
          <cell r="AI310">
            <v>54.67</v>
          </cell>
          <cell r="AJ310">
            <v>39841</v>
          </cell>
        </row>
        <row r="311">
          <cell r="AI311">
            <v>53.85</v>
          </cell>
          <cell r="AJ311">
            <v>39842</v>
          </cell>
        </row>
        <row r="312">
          <cell r="AI312">
            <v>52.62</v>
          </cell>
          <cell r="AJ312">
            <v>39843</v>
          </cell>
        </row>
        <row r="313">
          <cell r="AI313">
            <v>51.09</v>
          </cell>
          <cell r="AJ313">
            <v>39846</v>
          </cell>
        </row>
        <row r="314">
          <cell r="AI314">
            <v>51.8</v>
          </cell>
          <cell r="AJ314">
            <v>39847</v>
          </cell>
        </row>
        <row r="315">
          <cell r="AI315">
            <v>53.04</v>
          </cell>
          <cell r="AJ315">
            <v>39848</v>
          </cell>
        </row>
        <row r="316">
          <cell r="AI316">
            <v>52.67</v>
          </cell>
          <cell r="AJ316">
            <v>39849</v>
          </cell>
        </row>
        <row r="317">
          <cell r="AI317">
            <v>53.5</v>
          </cell>
          <cell r="AJ317">
            <v>39850</v>
          </cell>
        </row>
        <row r="318">
          <cell r="AI318">
            <v>56.89</v>
          </cell>
          <cell r="AJ318">
            <v>39853</v>
          </cell>
        </row>
        <row r="319">
          <cell r="AI319">
            <v>54.98</v>
          </cell>
          <cell r="AJ319">
            <v>39854</v>
          </cell>
        </row>
        <row r="320">
          <cell r="AI320">
            <v>54.94</v>
          </cell>
          <cell r="AJ320">
            <v>39855</v>
          </cell>
        </row>
        <row r="321">
          <cell r="AI321">
            <v>53.9</v>
          </cell>
          <cell r="AJ321">
            <v>39856</v>
          </cell>
        </row>
        <row r="322">
          <cell r="AI322">
            <v>55.23</v>
          </cell>
          <cell r="AJ322">
            <v>39857</v>
          </cell>
        </row>
        <row r="323">
          <cell r="AI323">
            <v>56.28</v>
          </cell>
          <cell r="AJ323">
            <v>39860</v>
          </cell>
        </row>
        <row r="324">
          <cell r="AI324">
            <v>53.95</v>
          </cell>
          <cell r="AJ324">
            <v>39861</v>
          </cell>
        </row>
        <row r="325">
          <cell r="AI325">
            <v>54.15</v>
          </cell>
          <cell r="AJ325">
            <v>39862</v>
          </cell>
        </row>
        <row r="326">
          <cell r="AI326">
            <v>53.55</v>
          </cell>
          <cell r="AJ326">
            <v>39863</v>
          </cell>
        </row>
        <row r="327">
          <cell r="AI327">
            <v>52.69</v>
          </cell>
          <cell r="AJ327">
            <v>39864</v>
          </cell>
        </row>
        <row r="328">
          <cell r="AI328">
            <v>51.7</v>
          </cell>
          <cell r="AJ328">
            <v>39867</v>
          </cell>
        </row>
        <row r="329">
          <cell r="AI329">
            <v>51.9</v>
          </cell>
          <cell r="AJ329">
            <v>39868</v>
          </cell>
        </row>
        <row r="330">
          <cell r="AI330">
            <v>51.22</v>
          </cell>
          <cell r="AJ330">
            <v>39869</v>
          </cell>
        </row>
        <row r="331">
          <cell r="AI331">
            <v>52.12</v>
          </cell>
          <cell r="AJ331">
            <v>39870</v>
          </cell>
        </row>
        <row r="332">
          <cell r="AI332">
            <v>51.04</v>
          </cell>
          <cell r="AJ332">
            <v>39871</v>
          </cell>
        </row>
        <row r="333">
          <cell r="AI333">
            <v>49.93</v>
          </cell>
          <cell r="AJ333">
            <v>39874</v>
          </cell>
        </row>
        <row r="334">
          <cell r="AI334">
            <v>50.8</v>
          </cell>
          <cell r="AJ334">
            <v>39875</v>
          </cell>
        </row>
        <row r="335">
          <cell r="AI335">
            <v>53.89</v>
          </cell>
          <cell r="AJ335">
            <v>39876</v>
          </cell>
        </row>
        <row r="336">
          <cell r="AI336">
            <v>51.37</v>
          </cell>
          <cell r="AJ336">
            <v>39877</v>
          </cell>
        </row>
        <row r="337">
          <cell r="AI337">
            <v>51.23</v>
          </cell>
          <cell r="AJ337">
            <v>39878</v>
          </cell>
        </row>
        <row r="338">
          <cell r="AI338">
            <v>50.95</v>
          </cell>
          <cell r="AJ338">
            <v>39881</v>
          </cell>
        </row>
        <row r="339">
          <cell r="AI339">
            <v>54.42</v>
          </cell>
          <cell r="AJ339">
            <v>39882</v>
          </cell>
        </row>
        <row r="340">
          <cell r="AI340">
            <v>53.37</v>
          </cell>
          <cell r="AJ340">
            <v>39883</v>
          </cell>
        </row>
        <row r="341">
          <cell r="AI341">
            <v>53.37</v>
          </cell>
          <cell r="AJ341">
            <v>39884</v>
          </cell>
        </row>
        <row r="342">
          <cell r="AI342">
            <v>53.22</v>
          </cell>
          <cell r="AJ342">
            <v>39885</v>
          </cell>
        </row>
        <row r="343">
          <cell r="AI343">
            <v>52.9</v>
          </cell>
          <cell r="AJ343">
            <v>39888</v>
          </cell>
        </row>
        <row r="344">
          <cell r="AI344">
            <v>52</v>
          </cell>
          <cell r="AJ344">
            <v>39889</v>
          </cell>
        </row>
        <row r="345">
          <cell r="AI345">
            <v>53.02</v>
          </cell>
          <cell r="AJ345">
            <v>39890</v>
          </cell>
        </row>
        <row r="346">
          <cell r="AI346">
            <v>52.51</v>
          </cell>
          <cell r="AJ346">
            <v>39891</v>
          </cell>
        </row>
        <row r="347">
          <cell r="AI347">
            <v>52.59</v>
          </cell>
          <cell r="AJ347">
            <v>39892</v>
          </cell>
        </row>
        <row r="348">
          <cell r="AI348">
            <v>53.75</v>
          </cell>
          <cell r="AJ348">
            <v>39895</v>
          </cell>
        </row>
        <row r="349">
          <cell r="AI349">
            <v>53.6</v>
          </cell>
          <cell r="AJ349">
            <v>39896</v>
          </cell>
        </row>
        <row r="350">
          <cell r="AI350">
            <v>51.85</v>
          </cell>
          <cell r="AJ350">
            <v>39897</v>
          </cell>
        </row>
        <row r="351">
          <cell r="AI351">
            <v>51.71</v>
          </cell>
          <cell r="AJ351">
            <v>39898</v>
          </cell>
        </row>
        <row r="352">
          <cell r="AI352">
            <v>50</v>
          </cell>
          <cell r="AJ352">
            <v>39899</v>
          </cell>
        </row>
        <row r="353">
          <cell r="AI353">
            <v>50</v>
          </cell>
          <cell r="AJ353">
            <v>39902</v>
          </cell>
        </row>
        <row r="354">
          <cell r="AI354">
            <v>51.2</v>
          </cell>
          <cell r="AJ354">
            <v>39903</v>
          </cell>
        </row>
        <row r="355">
          <cell r="AI355">
            <v>51.69</v>
          </cell>
          <cell r="AJ355">
            <v>39904</v>
          </cell>
        </row>
        <row r="356">
          <cell r="AI356">
            <v>54.28</v>
          </cell>
          <cell r="AJ356">
            <v>39905</v>
          </cell>
        </row>
        <row r="357">
          <cell r="AI357">
            <v>54.65</v>
          </cell>
          <cell r="AJ357">
            <v>39906</v>
          </cell>
        </row>
        <row r="358">
          <cell r="AI358">
            <v>55.26</v>
          </cell>
          <cell r="AJ358">
            <v>39909</v>
          </cell>
        </row>
        <row r="359">
          <cell r="AI359">
            <v>54.97</v>
          </cell>
          <cell r="AJ359">
            <v>39910</v>
          </cell>
        </row>
        <row r="360">
          <cell r="AI360">
            <v>54.7</v>
          </cell>
          <cell r="AJ360">
            <v>39911</v>
          </cell>
        </row>
        <row r="361">
          <cell r="AI361">
            <v>58.38</v>
          </cell>
          <cell r="AJ361">
            <v>39912</v>
          </cell>
        </row>
        <row r="362">
          <cell r="AI362">
            <v>57.95</v>
          </cell>
          <cell r="AJ362">
            <v>39917</v>
          </cell>
        </row>
        <row r="363">
          <cell r="AI363">
            <v>58.57</v>
          </cell>
          <cell r="AJ363">
            <v>39918</v>
          </cell>
        </row>
        <row r="364">
          <cell r="AI364">
            <v>58</v>
          </cell>
          <cell r="AJ364">
            <v>39919</v>
          </cell>
        </row>
        <row r="365">
          <cell r="AI365">
            <v>56.8</v>
          </cell>
          <cell r="AJ365">
            <v>39920</v>
          </cell>
        </row>
        <row r="366">
          <cell r="AI366">
            <v>55.52</v>
          </cell>
          <cell r="AJ366">
            <v>39923</v>
          </cell>
        </row>
        <row r="367">
          <cell r="AI367">
            <v>56.6</v>
          </cell>
          <cell r="AJ367">
            <v>39924</v>
          </cell>
        </row>
        <row r="368">
          <cell r="AI368">
            <v>56.79</v>
          </cell>
          <cell r="AJ368">
            <v>39925</v>
          </cell>
        </row>
        <row r="369">
          <cell r="AI369">
            <v>56.61</v>
          </cell>
          <cell r="AJ369">
            <v>39926</v>
          </cell>
        </row>
        <row r="370">
          <cell r="AI370">
            <v>58.7</v>
          </cell>
          <cell r="AJ370">
            <v>39927</v>
          </cell>
        </row>
        <row r="371">
          <cell r="AI371">
            <v>58.3</v>
          </cell>
          <cell r="AJ371">
            <v>39930</v>
          </cell>
        </row>
        <row r="372">
          <cell r="AI372">
            <v>57.3</v>
          </cell>
          <cell r="AJ372">
            <v>39931</v>
          </cell>
        </row>
        <row r="373">
          <cell r="AI373">
            <v>57.62</v>
          </cell>
          <cell r="AJ373">
            <v>39932</v>
          </cell>
        </row>
        <row r="374">
          <cell r="AI374">
            <v>60.32</v>
          </cell>
          <cell r="AJ374">
            <v>39933</v>
          </cell>
        </row>
        <row r="375">
          <cell r="AI375">
            <v>61.99</v>
          </cell>
          <cell r="AJ375">
            <v>39937</v>
          </cell>
        </row>
        <row r="376">
          <cell r="AI376">
            <v>61.05</v>
          </cell>
          <cell r="AJ376">
            <v>39938</v>
          </cell>
        </row>
        <row r="377">
          <cell r="AI377">
            <v>59.18</v>
          </cell>
          <cell r="AJ377">
            <v>39939</v>
          </cell>
        </row>
        <row r="378">
          <cell r="AI378">
            <v>57.01</v>
          </cell>
          <cell r="AJ378">
            <v>39940</v>
          </cell>
        </row>
        <row r="379">
          <cell r="AI379">
            <v>58.3</v>
          </cell>
          <cell r="AJ379">
            <v>39941</v>
          </cell>
        </row>
        <row r="380">
          <cell r="AI380">
            <v>58.44</v>
          </cell>
          <cell r="AJ380">
            <v>39944</v>
          </cell>
        </row>
        <row r="381">
          <cell r="AI381">
            <v>58.47</v>
          </cell>
          <cell r="AJ381">
            <v>39945</v>
          </cell>
        </row>
        <row r="382">
          <cell r="AI382">
            <v>58.83</v>
          </cell>
          <cell r="AJ382">
            <v>39946</v>
          </cell>
        </row>
        <row r="383">
          <cell r="AI383">
            <v>59.44</v>
          </cell>
          <cell r="AJ383">
            <v>39947</v>
          </cell>
        </row>
        <row r="384">
          <cell r="AI384">
            <v>57.99</v>
          </cell>
          <cell r="AJ384">
            <v>39948</v>
          </cell>
        </row>
        <row r="385">
          <cell r="AI385">
            <v>58.11</v>
          </cell>
          <cell r="AJ385">
            <v>39951</v>
          </cell>
        </row>
        <row r="386">
          <cell r="AI386">
            <v>58.15</v>
          </cell>
          <cell r="AJ386">
            <v>39952</v>
          </cell>
        </row>
        <row r="387">
          <cell r="AI387">
            <v>60</v>
          </cell>
          <cell r="AJ387">
            <v>39953</v>
          </cell>
        </row>
        <row r="388">
          <cell r="AI388">
            <v>58.53</v>
          </cell>
          <cell r="AJ388">
            <v>39954</v>
          </cell>
        </row>
        <row r="389">
          <cell r="AI389">
            <v>57.94</v>
          </cell>
          <cell r="AJ389">
            <v>39955</v>
          </cell>
        </row>
        <row r="390">
          <cell r="AI390">
            <v>57.85</v>
          </cell>
          <cell r="AJ390">
            <v>39958</v>
          </cell>
        </row>
        <row r="391">
          <cell r="AI391">
            <v>58.7</v>
          </cell>
          <cell r="AJ391">
            <v>39959</v>
          </cell>
        </row>
        <row r="392">
          <cell r="AI392">
            <v>58.06</v>
          </cell>
          <cell r="AJ392">
            <v>39960</v>
          </cell>
        </row>
        <row r="393">
          <cell r="AI393">
            <v>58.75</v>
          </cell>
          <cell r="AJ393">
            <v>39961</v>
          </cell>
        </row>
        <row r="394">
          <cell r="AI394">
            <v>58.64</v>
          </cell>
          <cell r="AJ394">
            <v>39962</v>
          </cell>
        </row>
        <row r="395">
          <cell r="AI395">
            <v>60</v>
          </cell>
          <cell r="AJ395">
            <v>39965</v>
          </cell>
        </row>
        <row r="396">
          <cell r="AI396">
            <v>60.91</v>
          </cell>
          <cell r="AJ396">
            <v>39966</v>
          </cell>
        </row>
        <row r="397">
          <cell r="AI397">
            <v>61.2</v>
          </cell>
          <cell r="AJ397">
            <v>39967</v>
          </cell>
        </row>
        <row r="398">
          <cell r="AI398">
            <v>60.55</v>
          </cell>
          <cell r="AJ398">
            <v>39968</v>
          </cell>
        </row>
        <row r="399">
          <cell r="AI399">
            <v>60.01</v>
          </cell>
          <cell r="AJ399">
            <v>39969</v>
          </cell>
        </row>
        <row r="400">
          <cell r="AI400">
            <v>59.95</v>
          </cell>
          <cell r="AJ400">
            <v>39972</v>
          </cell>
        </row>
        <row r="401">
          <cell r="AI401">
            <v>60.09</v>
          </cell>
          <cell r="AJ401">
            <v>39973</v>
          </cell>
        </row>
        <row r="402">
          <cell r="AI402">
            <v>61.51</v>
          </cell>
          <cell r="AJ402">
            <v>39974</v>
          </cell>
        </row>
        <row r="403">
          <cell r="AI403">
            <v>62.41</v>
          </cell>
          <cell r="AJ403">
            <v>39975</v>
          </cell>
        </row>
        <row r="404">
          <cell r="AI404">
            <v>62.22</v>
          </cell>
          <cell r="AJ404">
            <v>39976</v>
          </cell>
        </row>
        <row r="405">
          <cell r="AI405">
            <v>61.2</v>
          </cell>
          <cell r="AJ405">
            <v>39979</v>
          </cell>
        </row>
        <row r="406">
          <cell r="AI406">
            <v>60.81</v>
          </cell>
          <cell r="AJ406">
            <v>39980</v>
          </cell>
        </row>
        <row r="407">
          <cell r="AI407">
            <v>59.89</v>
          </cell>
          <cell r="AJ407">
            <v>39981</v>
          </cell>
        </row>
        <row r="408">
          <cell r="AI408">
            <v>59.62</v>
          </cell>
          <cell r="AJ408">
            <v>39982</v>
          </cell>
        </row>
        <row r="409">
          <cell r="AI409">
            <v>59.01</v>
          </cell>
          <cell r="AJ409">
            <v>39983</v>
          </cell>
        </row>
        <row r="410">
          <cell r="AI410">
            <v>57.26</v>
          </cell>
          <cell r="AJ410">
            <v>39986</v>
          </cell>
        </row>
        <row r="411">
          <cell r="AI411">
            <v>57.58</v>
          </cell>
          <cell r="AJ411">
            <v>39987</v>
          </cell>
        </row>
        <row r="412">
          <cell r="AI412">
            <v>57.77</v>
          </cell>
          <cell r="AJ412">
            <v>39988</v>
          </cell>
        </row>
        <row r="413">
          <cell r="AI413">
            <v>57.67</v>
          </cell>
          <cell r="AJ413">
            <v>39989</v>
          </cell>
        </row>
        <row r="414">
          <cell r="AI414">
            <v>58.13</v>
          </cell>
          <cell r="AJ414">
            <v>39990</v>
          </cell>
        </row>
        <row r="415">
          <cell r="AI415">
            <v>59.59</v>
          </cell>
          <cell r="AJ415">
            <v>39993</v>
          </cell>
        </row>
        <row r="416">
          <cell r="AI416">
            <v>58.27</v>
          </cell>
          <cell r="AJ416">
            <v>39994</v>
          </cell>
        </row>
        <row r="417">
          <cell r="AI417">
            <v>59.8</v>
          </cell>
          <cell r="AJ417">
            <v>39995</v>
          </cell>
        </row>
        <row r="418">
          <cell r="AI418">
            <v>58</v>
          </cell>
          <cell r="AJ418">
            <v>39996</v>
          </cell>
        </row>
        <row r="419">
          <cell r="AI419">
            <v>57.6</v>
          </cell>
          <cell r="AJ419">
            <v>39997</v>
          </cell>
        </row>
        <row r="420">
          <cell r="AI420">
            <v>56.79</v>
          </cell>
          <cell r="AJ420">
            <v>40000</v>
          </cell>
        </row>
        <row r="421">
          <cell r="AI421">
            <v>57</v>
          </cell>
          <cell r="AJ421">
            <v>40001</v>
          </cell>
        </row>
        <row r="422">
          <cell r="AI422">
            <v>56.85</v>
          </cell>
          <cell r="AJ422">
            <v>40002</v>
          </cell>
        </row>
        <row r="423">
          <cell r="AI423">
            <v>57.14</v>
          </cell>
          <cell r="AJ423">
            <v>40003</v>
          </cell>
        </row>
        <row r="424">
          <cell r="AI424">
            <v>56.84</v>
          </cell>
          <cell r="AJ424">
            <v>40004</v>
          </cell>
        </row>
        <row r="425">
          <cell r="AI425">
            <v>58.46</v>
          </cell>
          <cell r="AJ425">
            <v>40007</v>
          </cell>
        </row>
        <row r="426">
          <cell r="AI426">
            <v>58.45</v>
          </cell>
          <cell r="AJ426">
            <v>40008</v>
          </cell>
        </row>
        <row r="427">
          <cell r="AI427">
            <v>59.88</v>
          </cell>
          <cell r="AJ427">
            <v>40009</v>
          </cell>
        </row>
        <row r="428">
          <cell r="AI428">
            <v>59.67</v>
          </cell>
          <cell r="AJ428">
            <v>40010</v>
          </cell>
        </row>
        <row r="429">
          <cell r="AI429">
            <v>59.7</v>
          </cell>
          <cell r="AJ429">
            <v>40011</v>
          </cell>
        </row>
        <row r="430">
          <cell r="AI430">
            <v>60.34</v>
          </cell>
          <cell r="AJ430">
            <v>40014</v>
          </cell>
        </row>
        <row r="431">
          <cell r="AI431">
            <v>60.65</v>
          </cell>
          <cell r="AJ431">
            <v>40015</v>
          </cell>
        </row>
        <row r="432">
          <cell r="AI432">
            <v>61.93</v>
          </cell>
          <cell r="AJ432">
            <v>40016</v>
          </cell>
        </row>
        <row r="433">
          <cell r="AI433">
            <v>62.56</v>
          </cell>
          <cell r="AJ433">
            <v>40017</v>
          </cell>
        </row>
        <row r="434">
          <cell r="AI434">
            <v>62.44</v>
          </cell>
          <cell r="AJ434">
            <v>40018</v>
          </cell>
        </row>
        <row r="435">
          <cell r="AI435">
            <v>63.33</v>
          </cell>
          <cell r="AJ435">
            <v>40021</v>
          </cell>
        </row>
        <row r="436">
          <cell r="AI436">
            <v>63.45</v>
          </cell>
          <cell r="AJ436">
            <v>40022</v>
          </cell>
        </row>
        <row r="437">
          <cell r="AI437">
            <v>65.13</v>
          </cell>
          <cell r="AJ437">
            <v>40023</v>
          </cell>
        </row>
        <row r="438">
          <cell r="AI438">
            <v>65.28</v>
          </cell>
          <cell r="AJ438">
            <v>40024</v>
          </cell>
        </row>
        <row r="439">
          <cell r="AI439">
            <v>66.319999999999993</v>
          </cell>
          <cell r="AJ439">
            <v>40025</v>
          </cell>
        </row>
        <row r="440">
          <cell r="AI440">
            <v>68.22</v>
          </cell>
          <cell r="AJ440">
            <v>40028</v>
          </cell>
        </row>
        <row r="441">
          <cell r="AI441">
            <v>68.37</v>
          </cell>
          <cell r="AJ441">
            <v>40029</v>
          </cell>
        </row>
        <row r="442">
          <cell r="AI442">
            <v>68.87</v>
          </cell>
          <cell r="AJ442">
            <v>40030</v>
          </cell>
        </row>
        <row r="443">
          <cell r="AI443">
            <v>69.73</v>
          </cell>
          <cell r="AJ443">
            <v>40031</v>
          </cell>
        </row>
        <row r="444">
          <cell r="AI444">
            <v>70.75</v>
          </cell>
          <cell r="AJ444">
            <v>40032</v>
          </cell>
        </row>
        <row r="445">
          <cell r="AI445">
            <v>69.63</v>
          </cell>
          <cell r="AJ445">
            <v>40035</v>
          </cell>
        </row>
        <row r="446">
          <cell r="AI446">
            <v>69.510000000000005</v>
          </cell>
          <cell r="AJ446">
            <v>40036</v>
          </cell>
        </row>
        <row r="447">
          <cell r="AI447">
            <v>69.59</v>
          </cell>
          <cell r="AJ447">
            <v>40037</v>
          </cell>
        </row>
        <row r="448">
          <cell r="AI448">
            <v>70.819999999999993</v>
          </cell>
          <cell r="AJ448">
            <v>40038</v>
          </cell>
        </row>
        <row r="449">
          <cell r="AI449">
            <v>69.56</v>
          </cell>
          <cell r="AJ449">
            <v>40039</v>
          </cell>
        </row>
        <row r="450">
          <cell r="AI450">
            <v>68.72</v>
          </cell>
          <cell r="AJ450">
            <v>40042</v>
          </cell>
        </row>
        <row r="451">
          <cell r="AI451">
            <v>68.84</v>
          </cell>
          <cell r="AJ451">
            <v>40043</v>
          </cell>
        </row>
        <row r="452">
          <cell r="AI452">
            <v>68.92</v>
          </cell>
          <cell r="AJ452">
            <v>40044</v>
          </cell>
        </row>
        <row r="453">
          <cell r="AI453">
            <v>69.02</v>
          </cell>
          <cell r="AJ453">
            <v>40045</v>
          </cell>
        </row>
        <row r="454">
          <cell r="AI454">
            <v>70.28</v>
          </cell>
          <cell r="AJ454">
            <v>40046</v>
          </cell>
        </row>
        <row r="455">
          <cell r="AI455">
            <v>70.61</v>
          </cell>
          <cell r="AJ455">
            <v>40049</v>
          </cell>
        </row>
        <row r="456">
          <cell r="AI456">
            <v>70.17</v>
          </cell>
          <cell r="AJ456">
            <v>40050</v>
          </cell>
        </row>
        <row r="457">
          <cell r="AI457">
            <v>68.84</v>
          </cell>
          <cell r="AJ457">
            <v>40051</v>
          </cell>
        </row>
        <row r="458">
          <cell r="AI458">
            <v>69.12</v>
          </cell>
          <cell r="AJ458">
            <v>40052</v>
          </cell>
        </row>
        <row r="459">
          <cell r="AI459">
            <v>70.180000000000007</v>
          </cell>
          <cell r="AJ459">
            <v>40053</v>
          </cell>
        </row>
        <row r="460">
          <cell r="AI460">
            <v>70.38</v>
          </cell>
          <cell r="AJ460">
            <v>40056</v>
          </cell>
        </row>
        <row r="461">
          <cell r="AI461">
            <v>69</v>
          </cell>
          <cell r="AJ461">
            <v>40057</v>
          </cell>
        </row>
        <row r="462">
          <cell r="AI462">
            <v>67.87</v>
          </cell>
          <cell r="AJ462">
            <v>40058</v>
          </cell>
        </row>
        <row r="463">
          <cell r="AI463">
            <v>67.849999999999994</v>
          </cell>
          <cell r="AJ463">
            <v>40059</v>
          </cell>
        </row>
        <row r="464">
          <cell r="AI464">
            <v>68.2</v>
          </cell>
          <cell r="AJ464">
            <v>40060</v>
          </cell>
        </row>
        <row r="465">
          <cell r="AI465">
            <v>70.23</v>
          </cell>
          <cell r="AJ465">
            <v>40063</v>
          </cell>
        </row>
        <row r="466">
          <cell r="AI466">
            <v>70.69</v>
          </cell>
          <cell r="AJ466">
            <v>40064</v>
          </cell>
        </row>
        <row r="467">
          <cell r="AI467">
            <v>71.77</v>
          </cell>
          <cell r="AJ467">
            <v>40065</v>
          </cell>
        </row>
        <row r="468">
          <cell r="AI468">
            <v>71.69</v>
          </cell>
          <cell r="AJ468">
            <v>40066</v>
          </cell>
        </row>
        <row r="469">
          <cell r="AI469">
            <v>73.17</v>
          </cell>
          <cell r="AJ469">
            <v>40067</v>
          </cell>
        </row>
        <row r="470">
          <cell r="AI470">
            <v>73.760000000000005</v>
          </cell>
          <cell r="AJ470">
            <v>40070</v>
          </cell>
        </row>
        <row r="471">
          <cell r="AI471">
            <v>74.16</v>
          </cell>
          <cell r="AJ471">
            <v>40071</v>
          </cell>
        </row>
        <row r="472">
          <cell r="AI472">
            <v>75.66</v>
          </cell>
          <cell r="AJ472">
            <v>40072</v>
          </cell>
        </row>
        <row r="473">
          <cell r="AI473">
            <v>75.98</v>
          </cell>
          <cell r="AJ473">
            <v>40073</v>
          </cell>
        </row>
        <row r="474">
          <cell r="AI474">
            <v>75.61</v>
          </cell>
          <cell r="AJ474">
            <v>40074</v>
          </cell>
        </row>
        <row r="475">
          <cell r="AI475">
            <v>75.25</v>
          </cell>
          <cell r="AJ475">
            <v>40077</v>
          </cell>
        </row>
        <row r="476">
          <cell r="AI476">
            <v>74.28</v>
          </cell>
          <cell r="AJ476">
            <v>40078</v>
          </cell>
        </row>
        <row r="477">
          <cell r="AI477">
            <v>73.77</v>
          </cell>
          <cell r="AJ477">
            <v>40079</v>
          </cell>
        </row>
        <row r="478">
          <cell r="AI478">
            <v>73.739999999999995</v>
          </cell>
          <cell r="AJ478">
            <v>40080</v>
          </cell>
        </row>
        <row r="479">
          <cell r="AI479">
            <v>72.63</v>
          </cell>
          <cell r="AJ479">
            <v>40081</v>
          </cell>
        </row>
        <row r="480">
          <cell r="AI480">
            <v>74.760000000000005</v>
          </cell>
          <cell r="AJ480">
            <v>40084</v>
          </cell>
        </row>
        <row r="481">
          <cell r="AI481">
            <v>74.5</v>
          </cell>
          <cell r="AJ481">
            <v>40085</v>
          </cell>
        </row>
        <row r="482">
          <cell r="AI482">
            <v>74.23</v>
          </cell>
          <cell r="AJ482">
            <v>40086</v>
          </cell>
        </row>
        <row r="483">
          <cell r="AI483">
            <v>72.3</v>
          </cell>
          <cell r="AJ483">
            <v>40087</v>
          </cell>
        </row>
        <row r="484">
          <cell r="AI484">
            <v>71.7</v>
          </cell>
          <cell r="AJ484">
            <v>40088</v>
          </cell>
        </row>
        <row r="485">
          <cell r="AI485">
            <v>72.09</v>
          </cell>
          <cell r="AJ485">
            <v>40091</v>
          </cell>
        </row>
        <row r="486">
          <cell r="AI486">
            <v>74.61</v>
          </cell>
          <cell r="AJ486">
            <v>40092</v>
          </cell>
        </row>
        <row r="487">
          <cell r="AI487">
            <v>74.42</v>
          </cell>
          <cell r="AJ487">
            <v>40093</v>
          </cell>
        </row>
        <row r="488">
          <cell r="AI488">
            <v>74.09</v>
          </cell>
          <cell r="AJ488">
            <v>40094</v>
          </cell>
        </row>
        <row r="489">
          <cell r="AI489">
            <v>73.900000000000006</v>
          </cell>
          <cell r="AJ489">
            <v>40095</v>
          </cell>
        </row>
        <row r="490">
          <cell r="AI490">
            <v>75.150000000000006</v>
          </cell>
          <cell r="AJ490">
            <v>40098</v>
          </cell>
        </row>
        <row r="491">
          <cell r="AI491">
            <v>74.38</v>
          </cell>
          <cell r="AJ491">
            <v>40099</v>
          </cell>
        </row>
        <row r="492">
          <cell r="AI492">
            <v>75.77</v>
          </cell>
          <cell r="AJ492">
            <v>40100</v>
          </cell>
        </row>
        <row r="493">
          <cell r="AI493">
            <v>75.650000000000006</v>
          </cell>
          <cell r="AJ493">
            <v>40101</v>
          </cell>
        </row>
        <row r="494">
          <cell r="AI494">
            <v>75.05</v>
          </cell>
          <cell r="AJ494">
            <v>40102</v>
          </cell>
        </row>
        <row r="495">
          <cell r="AI495">
            <v>76.400000000000006</v>
          </cell>
          <cell r="AJ495">
            <v>40105</v>
          </cell>
        </row>
        <row r="496">
          <cell r="AI496">
            <v>75.45</v>
          </cell>
          <cell r="AJ496">
            <v>40106</v>
          </cell>
        </row>
        <row r="497">
          <cell r="AI497">
            <v>76</v>
          </cell>
          <cell r="AJ497">
            <v>40107</v>
          </cell>
        </row>
        <row r="498">
          <cell r="AI498">
            <v>75.3</v>
          </cell>
          <cell r="AJ498">
            <v>40108</v>
          </cell>
        </row>
        <row r="499">
          <cell r="AI499">
            <v>75</v>
          </cell>
          <cell r="AJ499">
            <v>40109</v>
          </cell>
        </row>
        <row r="500">
          <cell r="AI500">
            <v>74.5</v>
          </cell>
          <cell r="AJ500">
            <v>40112</v>
          </cell>
        </row>
        <row r="501">
          <cell r="AI501">
            <v>75.010000000000005</v>
          </cell>
          <cell r="AJ501">
            <v>40113</v>
          </cell>
        </row>
        <row r="502">
          <cell r="AI502">
            <v>73.2</v>
          </cell>
          <cell r="AJ502">
            <v>40114</v>
          </cell>
        </row>
        <row r="503">
          <cell r="AI503">
            <v>73.98</v>
          </cell>
          <cell r="AJ503">
            <v>40115</v>
          </cell>
        </row>
        <row r="504">
          <cell r="AI504">
            <v>70.709999999999994</v>
          </cell>
          <cell r="AJ504">
            <v>40116</v>
          </cell>
        </row>
        <row r="505">
          <cell r="AI505">
            <v>72.400000000000006</v>
          </cell>
          <cell r="AJ505">
            <v>40119</v>
          </cell>
        </row>
        <row r="506">
          <cell r="AI506">
            <v>73.290000000000006</v>
          </cell>
          <cell r="AJ506">
            <v>40120</v>
          </cell>
        </row>
        <row r="507">
          <cell r="AI507">
            <v>75.08</v>
          </cell>
          <cell r="AJ507">
            <v>40121</v>
          </cell>
        </row>
        <row r="508">
          <cell r="AI508">
            <v>76.650000000000006</v>
          </cell>
          <cell r="AJ508">
            <v>40122</v>
          </cell>
        </row>
        <row r="509">
          <cell r="AI509">
            <v>76.680000000000007</v>
          </cell>
          <cell r="AJ509">
            <v>40123</v>
          </cell>
        </row>
        <row r="510">
          <cell r="AI510">
            <v>77.91</v>
          </cell>
          <cell r="AJ510">
            <v>40126</v>
          </cell>
        </row>
        <row r="511">
          <cell r="AI511">
            <v>77.3</v>
          </cell>
          <cell r="AJ511">
            <v>40127</v>
          </cell>
        </row>
        <row r="512">
          <cell r="AI512">
            <v>77.650000000000006</v>
          </cell>
          <cell r="AJ512">
            <v>40128</v>
          </cell>
        </row>
        <row r="513">
          <cell r="AI513">
            <v>79.42</v>
          </cell>
          <cell r="AJ513">
            <v>40129</v>
          </cell>
        </row>
        <row r="514">
          <cell r="AI514">
            <v>79.39</v>
          </cell>
          <cell r="AJ514">
            <v>40130</v>
          </cell>
        </row>
        <row r="515">
          <cell r="AI515">
            <v>81.16</v>
          </cell>
          <cell r="AJ515">
            <v>40133</v>
          </cell>
        </row>
        <row r="516">
          <cell r="AI516">
            <v>81.040000000000006</v>
          </cell>
          <cell r="AJ516">
            <v>40134</v>
          </cell>
        </row>
        <row r="517">
          <cell r="AI517">
            <v>80.5</v>
          </cell>
          <cell r="AJ517">
            <v>40135</v>
          </cell>
        </row>
        <row r="518">
          <cell r="AI518">
            <v>79.25</v>
          </cell>
          <cell r="AJ518">
            <v>40136</v>
          </cell>
        </row>
        <row r="519">
          <cell r="AI519">
            <v>79.33</v>
          </cell>
          <cell r="AJ519">
            <v>40137</v>
          </cell>
        </row>
        <row r="520">
          <cell r="AI520">
            <v>82.64</v>
          </cell>
          <cell r="AJ520">
            <v>40140</v>
          </cell>
        </row>
        <row r="521">
          <cell r="AI521">
            <v>82.25</v>
          </cell>
          <cell r="AJ521">
            <v>40141</v>
          </cell>
        </row>
        <row r="522">
          <cell r="AI522">
            <v>83.35</v>
          </cell>
          <cell r="AJ522">
            <v>40142</v>
          </cell>
        </row>
        <row r="523">
          <cell r="AI523">
            <v>80.400000000000006</v>
          </cell>
          <cell r="AJ523">
            <v>40143</v>
          </cell>
        </row>
        <row r="524">
          <cell r="AI524">
            <v>82.11</v>
          </cell>
          <cell r="AJ524">
            <v>40144</v>
          </cell>
        </row>
        <row r="525">
          <cell r="AI525">
            <v>81.75</v>
          </cell>
          <cell r="AJ525">
            <v>40147</v>
          </cell>
        </row>
        <row r="526">
          <cell r="AI526">
            <v>83.4</v>
          </cell>
          <cell r="AJ526">
            <v>40148</v>
          </cell>
        </row>
        <row r="527">
          <cell r="AI527">
            <v>82.84</v>
          </cell>
          <cell r="AJ527">
            <v>40149</v>
          </cell>
        </row>
        <row r="528">
          <cell r="AI528">
            <v>83.42</v>
          </cell>
          <cell r="AJ528">
            <v>40150</v>
          </cell>
        </row>
        <row r="529">
          <cell r="AI529">
            <v>84</v>
          </cell>
          <cell r="AJ529">
            <v>40151</v>
          </cell>
        </row>
        <row r="530">
          <cell r="AI530">
            <v>83.77</v>
          </cell>
          <cell r="AJ530">
            <v>40154</v>
          </cell>
        </row>
        <row r="531">
          <cell r="AI531">
            <v>82.15</v>
          </cell>
          <cell r="AJ531">
            <v>40155</v>
          </cell>
        </row>
        <row r="532">
          <cell r="AI532">
            <v>81.790000000000006</v>
          </cell>
          <cell r="AJ532">
            <v>40156</v>
          </cell>
        </row>
        <row r="533">
          <cell r="AI533">
            <v>83.1</v>
          </cell>
          <cell r="AJ533">
            <v>40157</v>
          </cell>
        </row>
        <row r="534">
          <cell r="AI534">
            <v>85.79</v>
          </cell>
          <cell r="AJ534">
            <v>40158</v>
          </cell>
        </row>
        <row r="535">
          <cell r="AI535">
            <v>87.49</v>
          </cell>
          <cell r="AJ535">
            <v>40161</v>
          </cell>
        </row>
        <row r="536">
          <cell r="AI536">
            <v>86.5</v>
          </cell>
          <cell r="AJ536">
            <v>40162</v>
          </cell>
        </row>
        <row r="537">
          <cell r="AI537">
            <v>86.27</v>
          </cell>
          <cell r="AJ537">
            <v>40163</v>
          </cell>
        </row>
        <row r="538">
          <cell r="AI538">
            <v>85.58</v>
          </cell>
          <cell r="AJ538">
            <v>40164</v>
          </cell>
        </row>
        <row r="539">
          <cell r="AI539">
            <v>84.05</v>
          </cell>
          <cell r="AJ539">
            <v>40165</v>
          </cell>
        </row>
        <row r="540">
          <cell r="AI540">
            <v>84.64</v>
          </cell>
          <cell r="AJ540">
            <v>40168</v>
          </cell>
        </row>
        <row r="541">
          <cell r="AI541">
            <v>83.9</v>
          </cell>
          <cell r="AJ541">
            <v>40169</v>
          </cell>
        </row>
        <row r="542">
          <cell r="AI542">
            <v>84.02</v>
          </cell>
          <cell r="AJ542">
            <v>40170</v>
          </cell>
        </row>
        <row r="543">
          <cell r="AI543">
            <v>83.9</v>
          </cell>
          <cell r="AJ543">
            <v>40175</v>
          </cell>
        </row>
        <row r="544">
          <cell r="AI544">
            <v>83.61</v>
          </cell>
          <cell r="AJ544">
            <v>40176</v>
          </cell>
        </row>
        <row r="545">
          <cell r="AI545">
            <v>83.85</v>
          </cell>
          <cell r="AJ545">
            <v>40177</v>
          </cell>
        </row>
        <row r="546">
          <cell r="AI546">
            <v>84.72</v>
          </cell>
          <cell r="AJ546">
            <v>40182</v>
          </cell>
        </row>
        <row r="547">
          <cell r="AI547">
            <v>82.86</v>
          </cell>
          <cell r="AJ547">
            <v>40183</v>
          </cell>
        </row>
        <row r="548">
          <cell r="AI548">
            <v>84.36</v>
          </cell>
          <cell r="AJ548">
            <v>40184</v>
          </cell>
        </row>
        <row r="549">
          <cell r="AI549">
            <v>83.75</v>
          </cell>
          <cell r="AJ549">
            <v>40185</v>
          </cell>
        </row>
        <row r="550">
          <cell r="AI550">
            <v>83.26</v>
          </cell>
          <cell r="AJ550">
            <v>40186</v>
          </cell>
        </row>
        <row r="551">
          <cell r="AI551">
            <v>83.6</v>
          </cell>
          <cell r="AJ551">
            <v>40189</v>
          </cell>
        </row>
        <row r="552">
          <cell r="AI552">
            <v>82.94</v>
          </cell>
          <cell r="AJ552">
            <v>40190</v>
          </cell>
        </row>
        <row r="553">
          <cell r="AI553">
            <v>84.11</v>
          </cell>
          <cell r="AJ553">
            <v>40191</v>
          </cell>
        </row>
        <row r="554">
          <cell r="AI554">
            <v>84.48</v>
          </cell>
          <cell r="AJ554">
            <v>40192</v>
          </cell>
        </row>
        <row r="555">
          <cell r="AI555">
            <v>83.02</v>
          </cell>
          <cell r="AJ555">
            <v>40193</v>
          </cell>
        </row>
        <row r="556">
          <cell r="AI556">
            <v>83.28</v>
          </cell>
          <cell r="AJ556">
            <v>40196</v>
          </cell>
        </row>
        <row r="557">
          <cell r="AI557">
            <v>83.85</v>
          </cell>
          <cell r="AJ557">
            <v>40197</v>
          </cell>
        </row>
        <row r="558">
          <cell r="AI558">
            <v>82.02</v>
          </cell>
          <cell r="AJ558">
            <v>40198</v>
          </cell>
        </row>
        <row r="559">
          <cell r="AI559">
            <v>80.400000000000006</v>
          </cell>
          <cell r="AJ559">
            <v>40199</v>
          </cell>
        </row>
        <row r="560">
          <cell r="AI560">
            <v>78.91</v>
          </cell>
          <cell r="AJ560">
            <v>40200</v>
          </cell>
        </row>
        <row r="561">
          <cell r="AI561">
            <v>78.2</v>
          </cell>
          <cell r="AJ561">
            <v>40203</v>
          </cell>
        </row>
        <row r="562">
          <cell r="AI562">
            <v>78.59</v>
          </cell>
          <cell r="AJ562">
            <v>40204</v>
          </cell>
        </row>
        <row r="563">
          <cell r="AI563">
            <v>77.489999999999995</v>
          </cell>
          <cell r="AJ563">
            <v>40205</v>
          </cell>
        </row>
        <row r="564">
          <cell r="AI564">
            <v>76.959999999999994</v>
          </cell>
          <cell r="AJ564">
            <v>40206</v>
          </cell>
        </row>
        <row r="565">
          <cell r="AI565">
            <v>79.48</v>
          </cell>
          <cell r="AJ565">
            <v>40207</v>
          </cell>
        </row>
        <row r="566">
          <cell r="AI566">
            <v>80</v>
          </cell>
          <cell r="AJ566">
            <v>40210</v>
          </cell>
        </row>
        <row r="567">
          <cell r="AI567">
            <v>80.63</v>
          </cell>
          <cell r="AJ567">
            <v>40211</v>
          </cell>
        </row>
        <row r="568">
          <cell r="AI568">
            <v>80.53</v>
          </cell>
          <cell r="AJ568">
            <v>40212</v>
          </cell>
        </row>
        <row r="569">
          <cell r="AI569">
            <v>79.400000000000006</v>
          </cell>
          <cell r="AJ569">
            <v>40213</v>
          </cell>
        </row>
        <row r="570">
          <cell r="AI570">
            <v>79.099999999999994</v>
          </cell>
          <cell r="AJ570">
            <v>40214</v>
          </cell>
        </row>
        <row r="571">
          <cell r="AI571">
            <v>79.67</v>
          </cell>
          <cell r="AJ571">
            <v>40217</v>
          </cell>
        </row>
        <row r="572">
          <cell r="AI572">
            <v>81</v>
          </cell>
          <cell r="AJ572">
            <v>40218</v>
          </cell>
        </row>
        <row r="573">
          <cell r="AI573">
            <v>80.87</v>
          </cell>
          <cell r="AJ573">
            <v>40219</v>
          </cell>
        </row>
        <row r="574">
          <cell r="AI574">
            <v>81.58</v>
          </cell>
          <cell r="AJ574">
            <v>40220</v>
          </cell>
        </row>
        <row r="575">
          <cell r="AI575">
            <v>81.319999999999993</v>
          </cell>
          <cell r="AJ575">
            <v>40221</v>
          </cell>
        </row>
        <row r="576">
          <cell r="AI576">
            <v>81.66</v>
          </cell>
          <cell r="AJ576">
            <v>40224</v>
          </cell>
        </row>
        <row r="577">
          <cell r="AI577">
            <v>83.15</v>
          </cell>
          <cell r="AJ577">
            <v>40225</v>
          </cell>
        </row>
        <row r="578">
          <cell r="AI578">
            <v>83.6</v>
          </cell>
          <cell r="AJ578">
            <v>40226</v>
          </cell>
        </row>
        <row r="579">
          <cell r="AI579">
            <v>84</v>
          </cell>
          <cell r="AJ579">
            <v>40227</v>
          </cell>
        </row>
        <row r="580">
          <cell r="AI580">
            <v>84.9</v>
          </cell>
          <cell r="AJ580">
            <v>40228</v>
          </cell>
        </row>
        <row r="581">
          <cell r="AI581">
            <v>83.81</v>
          </cell>
          <cell r="AJ581">
            <v>40231</v>
          </cell>
        </row>
        <row r="582">
          <cell r="AI582">
            <v>82.74</v>
          </cell>
          <cell r="AJ582">
            <v>40232</v>
          </cell>
        </row>
        <row r="583">
          <cell r="AI583">
            <v>82.28</v>
          </cell>
          <cell r="AJ583">
            <v>40233</v>
          </cell>
        </row>
        <row r="584">
          <cell r="AI584">
            <v>81.06</v>
          </cell>
          <cell r="AJ584">
            <v>40234</v>
          </cell>
        </row>
        <row r="585">
          <cell r="AI585">
            <v>82.6</v>
          </cell>
          <cell r="AJ585">
            <v>40235</v>
          </cell>
        </row>
        <row r="586">
          <cell r="AI586">
            <v>84.3</v>
          </cell>
          <cell r="AJ586">
            <v>40238</v>
          </cell>
        </row>
        <row r="587">
          <cell r="AI587">
            <v>86.15</v>
          </cell>
          <cell r="AJ587">
            <v>40239</v>
          </cell>
        </row>
        <row r="588">
          <cell r="AI588">
            <v>85.8</v>
          </cell>
          <cell r="AJ588">
            <v>40240</v>
          </cell>
        </row>
        <row r="589">
          <cell r="AI589">
            <v>85.3</v>
          </cell>
          <cell r="AJ589">
            <v>40241</v>
          </cell>
        </row>
        <row r="590">
          <cell r="AI590">
            <v>85.24</v>
          </cell>
          <cell r="AJ590">
            <v>40242</v>
          </cell>
        </row>
        <row r="591">
          <cell r="AI591">
            <v>85.11</v>
          </cell>
          <cell r="AJ591">
            <v>40245</v>
          </cell>
        </row>
        <row r="592">
          <cell r="AI592">
            <v>86.05</v>
          </cell>
          <cell r="AJ592">
            <v>40246</v>
          </cell>
        </row>
        <row r="593">
          <cell r="AI593">
            <v>86.06</v>
          </cell>
          <cell r="AJ593">
            <v>40247</v>
          </cell>
        </row>
        <row r="594">
          <cell r="AI594">
            <v>85.7</v>
          </cell>
          <cell r="AJ594">
            <v>40248</v>
          </cell>
        </row>
        <row r="595">
          <cell r="AI595">
            <v>85.65</v>
          </cell>
          <cell r="AJ595">
            <v>40249</v>
          </cell>
        </row>
        <row r="596">
          <cell r="AI596">
            <v>85.3</v>
          </cell>
          <cell r="AJ596">
            <v>40252</v>
          </cell>
        </row>
        <row r="597">
          <cell r="AI597">
            <v>85.65</v>
          </cell>
          <cell r="AJ597">
            <v>40253</v>
          </cell>
        </row>
        <row r="598">
          <cell r="AI598">
            <v>86.5</v>
          </cell>
          <cell r="AJ598">
            <v>40254</v>
          </cell>
        </row>
        <row r="599">
          <cell r="AI599">
            <v>87.84</v>
          </cell>
          <cell r="AJ599">
            <v>40255</v>
          </cell>
        </row>
        <row r="600">
          <cell r="AI600">
            <v>88.29</v>
          </cell>
          <cell r="AJ600">
            <v>40256</v>
          </cell>
        </row>
        <row r="601">
          <cell r="AI601">
            <v>88.23</v>
          </cell>
          <cell r="AJ601">
            <v>40259</v>
          </cell>
        </row>
        <row r="602">
          <cell r="AI602">
            <v>88.6</v>
          </cell>
          <cell r="AJ602">
            <v>40260</v>
          </cell>
        </row>
        <row r="603">
          <cell r="AI603">
            <v>87.5</v>
          </cell>
          <cell r="AJ603">
            <v>40261</v>
          </cell>
        </row>
        <row r="604">
          <cell r="AI604">
            <v>88.4</v>
          </cell>
          <cell r="AJ604">
            <v>40262</v>
          </cell>
        </row>
        <row r="605">
          <cell r="AI605">
            <v>87.64</v>
          </cell>
          <cell r="AJ605">
            <v>40263</v>
          </cell>
        </row>
        <row r="606">
          <cell r="AI606">
            <v>88</v>
          </cell>
          <cell r="AJ606">
            <v>40266</v>
          </cell>
        </row>
        <row r="607">
          <cell r="AI607">
            <v>87.96</v>
          </cell>
          <cell r="AJ607">
            <v>40267</v>
          </cell>
        </row>
        <row r="608">
          <cell r="AI608">
            <v>88</v>
          </cell>
          <cell r="AJ608">
            <v>40268</v>
          </cell>
        </row>
        <row r="609">
          <cell r="AI609">
            <v>88.18</v>
          </cell>
          <cell r="AJ609">
            <v>40269</v>
          </cell>
        </row>
        <row r="610">
          <cell r="AI610">
            <v>88.32</v>
          </cell>
          <cell r="AJ610">
            <v>40274</v>
          </cell>
        </row>
        <row r="611">
          <cell r="AI611">
            <v>87.75</v>
          </cell>
          <cell r="AJ611">
            <v>40275</v>
          </cell>
        </row>
        <row r="612">
          <cell r="AI612">
            <v>87.02</v>
          </cell>
          <cell r="AJ612">
            <v>40276</v>
          </cell>
        </row>
        <row r="613">
          <cell r="AI613">
            <v>88.29</v>
          </cell>
          <cell r="AJ613">
            <v>40277</v>
          </cell>
        </row>
        <row r="614">
          <cell r="AI614">
            <v>88.01</v>
          </cell>
          <cell r="AJ614">
            <v>40280</v>
          </cell>
        </row>
        <row r="615">
          <cell r="AI615">
            <v>87.73</v>
          </cell>
          <cell r="AJ615">
            <v>40281</v>
          </cell>
        </row>
        <row r="616">
          <cell r="AI616">
            <v>88.28</v>
          </cell>
          <cell r="AJ616">
            <v>40282</v>
          </cell>
        </row>
        <row r="617">
          <cell r="AI617">
            <v>88</v>
          </cell>
          <cell r="AJ617">
            <v>40283</v>
          </cell>
        </row>
        <row r="618">
          <cell r="AI618">
            <v>87.36</v>
          </cell>
          <cell r="AJ618">
            <v>40284</v>
          </cell>
        </row>
        <row r="619">
          <cell r="AI619">
            <v>86.84</v>
          </cell>
          <cell r="AJ619">
            <v>40287</v>
          </cell>
        </row>
        <row r="620">
          <cell r="AI620">
            <v>87.16</v>
          </cell>
          <cell r="AJ620">
            <v>40288</v>
          </cell>
        </row>
        <row r="621">
          <cell r="AI621">
            <v>87.66</v>
          </cell>
          <cell r="AJ621">
            <v>40289</v>
          </cell>
        </row>
        <row r="622">
          <cell r="AI622">
            <v>87.13</v>
          </cell>
          <cell r="AJ622">
            <v>40290</v>
          </cell>
        </row>
        <row r="623">
          <cell r="AI623">
            <v>88.3</v>
          </cell>
          <cell r="AJ623">
            <v>40291</v>
          </cell>
        </row>
        <row r="624">
          <cell r="AI624">
            <v>90.15</v>
          </cell>
          <cell r="AJ624">
            <v>40294</v>
          </cell>
        </row>
        <row r="625">
          <cell r="AI625">
            <v>88.79</v>
          </cell>
          <cell r="AJ625">
            <v>40295</v>
          </cell>
        </row>
        <row r="626">
          <cell r="AI626">
            <v>87.4</v>
          </cell>
          <cell r="AJ626">
            <v>40296</v>
          </cell>
        </row>
        <row r="627">
          <cell r="AI627">
            <v>89.15</v>
          </cell>
          <cell r="AJ627">
            <v>40297</v>
          </cell>
        </row>
        <row r="628">
          <cell r="AI628">
            <v>89.99</v>
          </cell>
          <cell r="AJ628">
            <v>40298</v>
          </cell>
        </row>
        <row r="629">
          <cell r="AI629">
            <v>92</v>
          </cell>
          <cell r="AJ629">
            <v>40301</v>
          </cell>
        </row>
        <row r="630">
          <cell r="AI630">
            <v>87.68</v>
          </cell>
          <cell r="AJ630">
            <v>40302</v>
          </cell>
        </row>
        <row r="631">
          <cell r="AI631">
            <v>84.69</v>
          </cell>
          <cell r="AJ631">
            <v>40303</v>
          </cell>
        </row>
        <row r="632">
          <cell r="AI632">
            <v>84.54</v>
          </cell>
          <cell r="AJ632">
            <v>40304</v>
          </cell>
        </row>
        <row r="633">
          <cell r="AI633">
            <v>82.72</v>
          </cell>
          <cell r="AJ633">
            <v>40305</v>
          </cell>
        </row>
        <row r="634">
          <cell r="AI634">
            <v>84.19</v>
          </cell>
          <cell r="AJ634">
            <v>40308</v>
          </cell>
        </row>
        <row r="635">
          <cell r="AI635">
            <v>84.73</v>
          </cell>
          <cell r="AJ635">
            <v>40309</v>
          </cell>
        </row>
        <row r="636">
          <cell r="AI636">
            <v>86.56</v>
          </cell>
          <cell r="AJ636">
            <v>40310</v>
          </cell>
        </row>
        <row r="637">
          <cell r="AI637">
            <v>87.32</v>
          </cell>
          <cell r="AJ637">
            <v>40311</v>
          </cell>
        </row>
        <row r="638">
          <cell r="AI638">
            <v>85.83</v>
          </cell>
          <cell r="AJ638">
            <v>40312</v>
          </cell>
        </row>
        <row r="639">
          <cell r="AI639">
            <v>85.65</v>
          </cell>
          <cell r="AJ639">
            <v>40315</v>
          </cell>
        </row>
        <row r="640">
          <cell r="AI640">
            <v>86.55</v>
          </cell>
          <cell r="AJ640">
            <v>40316</v>
          </cell>
        </row>
        <row r="641">
          <cell r="AI641">
            <v>84.64</v>
          </cell>
          <cell r="AJ641">
            <v>40317</v>
          </cell>
        </row>
        <row r="642">
          <cell r="AI642">
            <v>82.53</v>
          </cell>
          <cell r="AJ642">
            <v>40318</v>
          </cell>
        </row>
        <row r="643">
          <cell r="AI643">
            <v>83.37</v>
          </cell>
          <cell r="AJ643">
            <v>40319</v>
          </cell>
        </row>
        <row r="644">
          <cell r="AI644">
            <v>82.8</v>
          </cell>
          <cell r="AJ644">
            <v>40322</v>
          </cell>
        </row>
        <row r="645">
          <cell r="AI645">
            <v>81.55</v>
          </cell>
          <cell r="AJ645">
            <v>40323</v>
          </cell>
        </row>
        <row r="646">
          <cell r="AI646">
            <v>82.45</v>
          </cell>
          <cell r="AJ646">
            <v>40324</v>
          </cell>
        </row>
        <row r="647">
          <cell r="AI647">
            <v>83.6</v>
          </cell>
          <cell r="AJ647">
            <v>40325</v>
          </cell>
        </row>
        <row r="648">
          <cell r="AI648">
            <v>83.37</v>
          </cell>
          <cell r="AJ648">
            <v>40326</v>
          </cell>
        </row>
        <row r="649">
          <cell r="AI649">
            <v>83.75</v>
          </cell>
          <cell r="AJ649">
            <v>40329</v>
          </cell>
        </row>
        <row r="650">
          <cell r="AI650">
            <v>84.41</v>
          </cell>
          <cell r="AJ650">
            <v>40330</v>
          </cell>
        </row>
        <row r="651">
          <cell r="AI651">
            <v>84.41</v>
          </cell>
          <cell r="AJ651">
            <v>40331</v>
          </cell>
        </row>
        <row r="652">
          <cell r="AI652">
            <v>85.5</v>
          </cell>
          <cell r="AJ652">
            <v>40332</v>
          </cell>
        </row>
        <row r="653">
          <cell r="AI653">
            <v>84.78</v>
          </cell>
          <cell r="AJ653">
            <v>40333</v>
          </cell>
        </row>
        <row r="654">
          <cell r="AI654">
            <v>85.08</v>
          </cell>
          <cell r="AJ654">
            <v>40336</v>
          </cell>
        </row>
        <row r="655">
          <cell r="AI655">
            <v>85.04</v>
          </cell>
          <cell r="AJ655">
            <v>40337</v>
          </cell>
        </row>
        <row r="656">
          <cell r="AI656">
            <v>86.6</v>
          </cell>
          <cell r="AJ656">
            <v>40338</v>
          </cell>
        </row>
        <row r="657">
          <cell r="AI657">
            <v>87.34</v>
          </cell>
          <cell r="AJ657">
            <v>40339</v>
          </cell>
        </row>
        <row r="658">
          <cell r="AI658">
            <v>87.21</v>
          </cell>
          <cell r="AJ658">
            <v>40340</v>
          </cell>
        </row>
        <row r="659">
          <cell r="AI659">
            <v>87.59</v>
          </cell>
          <cell r="AJ659">
            <v>40343</v>
          </cell>
        </row>
        <row r="660">
          <cell r="AI660">
            <v>87.02</v>
          </cell>
          <cell r="AJ660">
            <v>40344</v>
          </cell>
        </row>
        <row r="661">
          <cell r="AI661">
            <v>87.65</v>
          </cell>
          <cell r="AJ661">
            <v>40345</v>
          </cell>
        </row>
        <row r="662">
          <cell r="AI662">
            <v>87.32</v>
          </cell>
          <cell r="AJ662">
            <v>40346</v>
          </cell>
        </row>
        <row r="663">
          <cell r="AI663">
            <v>87.5</v>
          </cell>
          <cell r="AJ663">
            <v>40347</v>
          </cell>
        </row>
        <row r="664">
          <cell r="AI664">
            <v>88.59</v>
          </cell>
          <cell r="AJ664">
            <v>40350</v>
          </cell>
        </row>
        <row r="665">
          <cell r="AI665">
            <v>89.48</v>
          </cell>
          <cell r="AJ665">
            <v>40351</v>
          </cell>
        </row>
        <row r="666">
          <cell r="AI666">
            <v>88.44</v>
          </cell>
          <cell r="AJ666">
            <v>40352</v>
          </cell>
        </row>
        <row r="667">
          <cell r="AI667">
            <v>88.26</v>
          </cell>
          <cell r="AJ667">
            <v>40353</v>
          </cell>
        </row>
        <row r="668">
          <cell r="AI668">
            <v>88.3</v>
          </cell>
          <cell r="AJ668">
            <v>40354</v>
          </cell>
        </row>
        <row r="669">
          <cell r="AI669">
            <v>90</v>
          </cell>
          <cell r="AJ669">
            <v>40357</v>
          </cell>
        </row>
        <row r="670">
          <cell r="AI670">
            <v>87.23</v>
          </cell>
          <cell r="AJ670">
            <v>40358</v>
          </cell>
        </row>
        <row r="671">
          <cell r="AI671">
            <v>86.5</v>
          </cell>
          <cell r="AJ671">
            <v>40359</v>
          </cell>
        </row>
        <row r="672">
          <cell r="AI672">
            <v>84.22</v>
          </cell>
          <cell r="AJ672">
            <v>40360</v>
          </cell>
        </row>
        <row r="673">
          <cell r="AI673">
            <v>84.8</v>
          </cell>
          <cell r="AJ673">
            <v>40361</v>
          </cell>
        </row>
        <row r="674">
          <cell r="AI674">
            <v>84.29</v>
          </cell>
          <cell r="AJ674">
            <v>40364</v>
          </cell>
        </row>
        <row r="675">
          <cell r="AI675">
            <v>85.5</v>
          </cell>
          <cell r="AJ675">
            <v>40365</v>
          </cell>
        </row>
        <row r="676">
          <cell r="AI676">
            <v>84.47</v>
          </cell>
          <cell r="AJ676">
            <v>40366</v>
          </cell>
        </row>
        <row r="677">
          <cell r="AI677">
            <v>85.7</v>
          </cell>
          <cell r="AJ677">
            <v>40367</v>
          </cell>
        </row>
        <row r="678">
          <cell r="AI678">
            <v>86.97</v>
          </cell>
          <cell r="AJ678">
            <v>40368</v>
          </cell>
        </row>
        <row r="679">
          <cell r="AI679">
            <v>87.26</v>
          </cell>
          <cell r="AJ679">
            <v>40371</v>
          </cell>
        </row>
        <row r="680">
          <cell r="AI680">
            <v>88.84</v>
          </cell>
          <cell r="AJ680">
            <v>40372</v>
          </cell>
        </row>
        <row r="681">
          <cell r="AI681">
            <v>88.86</v>
          </cell>
          <cell r="AJ681">
            <v>40373</v>
          </cell>
        </row>
        <row r="682">
          <cell r="AI682">
            <v>88</v>
          </cell>
          <cell r="AJ682">
            <v>40374</v>
          </cell>
        </row>
        <row r="683">
          <cell r="AI683">
            <v>86.97</v>
          </cell>
          <cell r="AJ683">
            <v>40375</v>
          </cell>
        </row>
        <row r="684">
          <cell r="AI684">
            <v>86.48</v>
          </cell>
          <cell r="AJ684">
            <v>40378</v>
          </cell>
        </row>
        <row r="685">
          <cell r="AI685">
            <v>86.67</v>
          </cell>
          <cell r="AJ685">
            <v>40379</v>
          </cell>
        </row>
        <row r="686">
          <cell r="AI686">
            <v>87</v>
          </cell>
          <cell r="AJ686">
            <v>40380</v>
          </cell>
        </row>
        <row r="687">
          <cell r="AI687">
            <v>88.5</v>
          </cell>
          <cell r="AJ687">
            <v>40381</v>
          </cell>
        </row>
        <row r="688">
          <cell r="AI688">
            <v>89.79</v>
          </cell>
          <cell r="AJ688">
            <v>40382</v>
          </cell>
        </row>
        <row r="689">
          <cell r="AI689">
            <v>88.84</v>
          </cell>
          <cell r="AJ689">
            <v>40385</v>
          </cell>
        </row>
        <row r="690">
          <cell r="AI690">
            <v>90.1</v>
          </cell>
          <cell r="AJ690">
            <v>40386</v>
          </cell>
        </row>
        <row r="691">
          <cell r="AI691">
            <v>89.3</v>
          </cell>
          <cell r="AJ691">
            <v>40387</v>
          </cell>
        </row>
        <row r="692">
          <cell r="AI692">
            <v>89.25</v>
          </cell>
          <cell r="AJ692">
            <v>40388</v>
          </cell>
        </row>
        <row r="693">
          <cell r="AI693">
            <v>89.51</v>
          </cell>
          <cell r="AJ693">
            <v>40389</v>
          </cell>
        </row>
        <row r="694">
          <cell r="AI694">
            <v>93.24</v>
          </cell>
          <cell r="AJ694">
            <v>40392</v>
          </cell>
        </row>
        <row r="695">
          <cell r="AI695">
            <v>93.82</v>
          </cell>
          <cell r="AJ695">
            <v>40393</v>
          </cell>
        </row>
        <row r="696">
          <cell r="AI696">
            <v>93.45</v>
          </cell>
          <cell r="AJ696">
            <v>40394</v>
          </cell>
        </row>
        <row r="697">
          <cell r="AI697">
            <v>94.05</v>
          </cell>
          <cell r="AJ697">
            <v>40395</v>
          </cell>
        </row>
        <row r="698">
          <cell r="AI698">
            <v>92.64</v>
          </cell>
          <cell r="AJ698">
            <v>40396</v>
          </cell>
        </row>
        <row r="699">
          <cell r="AI699">
            <v>93.85</v>
          </cell>
          <cell r="AJ699">
            <v>40399</v>
          </cell>
        </row>
        <row r="700">
          <cell r="AI700">
            <v>92.57</v>
          </cell>
          <cell r="AJ700">
            <v>40400</v>
          </cell>
        </row>
        <row r="701">
          <cell r="AI701">
            <v>92.14</v>
          </cell>
          <cell r="AJ701">
            <v>40401</v>
          </cell>
        </row>
        <row r="702">
          <cell r="AI702">
            <v>91.96</v>
          </cell>
          <cell r="AJ702">
            <v>40402</v>
          </cell>
        </row>
        <row r="703">
          <cell r="AI703">
            <v>91.98</v>
          </cell>
          <cell r="AJ703">
            <v>40403</v>
          </cell>
        </row>
        <row r="704">
          <cell r="AI704">
            <v>92.67</v>
          </cell>
          <cell r="AJ704">
            <v>40406</v>
          </cell>
        </row>
        <row r="705">
          <cell r="AI705">
            <v>93.92</v>
          </cell>
          <cell r="AJ705">
            <v>40407</v>
          </cell>
        </row>
        <row r="706">
          <cell r="AI706">
            <v>92.9</v>
          </cell>
          <cell r="AJ706">
            <v>40408</v>
          </cell>
        </row>
        <row r="707">
          <cell r="AI707">
            <v>92.15</v>
          </cell>
          <cell r="AJ707">
            <v>40409</v>
          </cell>
        </row>
        <row r="708">
          <cell r="AI708">
            <v>91.45</v>
          </cell>
          <cell r="AJ708">
            <v>40410</v>
          </cell>
        </row>
        <row r="709">
          <cell r="AI709">
            <v>89.49</v>
          </cell>
          <cell r="AJ709">
            <v>40413</v>
          </cell>
        </row>
        <row r="710">
          <cell r="AI710">
            <v>89.62</v>
          </cell>
          <cell r="AJ710">
            <v>40414</v>
          </cell>
        </row>
        <row r="711">
          <cell r="AI711">
            <v>88.58</v>
          </cell>
          <cell r="AJ711">
            <v>40415</v>
          </cell>
        </row>
        <row r="712">
          <cell r="AI712">
            <v>89.19</v>
          </cell>
          <cell r="AJ712">
            <v>40416</v>
          </cell>
        </row>
        <row r="713">
          <cell r="AI713">
            <v>89.45</v>
          </cell>
          <cell r="AJ713">
            <v>40417</v>
          </cell>
        </row>
        <row r="714">
          <cell r="AI714">
            <v>88.32</v>
          </cell>
          <cell r="AJ714">
            <v>40420</v>
          </cell>
        </row>
        <row r="715">
          <cell r="AI715">
            <v>88.8</v>
          </cell>
          <cell r="AJ715">
            <v>40421</v>
          </cell>
        </row>
        <row r="716">
          <cell r="AI716">
            <v>90.9</v>
          </cell>
          <cell r="AJ716">
            <v>40422</v>
          </cell>
        </row>
        <row r="717">
          <cell r="AI717">
            <v>92.03</v>
          </cell>
          <cell r="AJ717">
            <v>40423</v>
          </cell>
        </row>
        <row r="718">
          <cell r="AI718">
            <v>92.23</v>
          </cell>
          <cell r="AJ718">
            <v>40424</v>
          </cell>
        </row>
        <row r="719">
          <cell r="AI719">
            <v>92.98</v>
          </cell>
          <cell r="AJ719">
            <v>40427</v>
          </cell>
        </row>
        <row r="720">
          <cell r="AI720">
            <v>92.6</v>
          </cell>
          <cell r="AJ720">
            <v>40428</v>
          </cell>
        </row>
        <row r="721">
          <cell r="AI721">
            <v>93.65</v>
          </cell>
          <cell r="AJ721">
            <v>40429</v>
          </cell>
        </row>
        <row r="722">
          <cell r="AI722">
            <v>93.9</v>
          </cell>
          <cell r="AJ722">
            <v>40430</v>
          </cell>
        </row>
        <row r="723">
          <cell r="AI723">
            <v>96.25</v>
          </cell>
          <cell r="AJ723">
            <v>40431</v>
          </cell>
        </row>
        <row r="724">
          <cell r="AI724">
            <v>96.05</v>
          </cell>
          <cell r="AJ724">
            <v>40434</v>
          </cell>
        </row>
        <row r="725">
          <cell r="AI725">
            <v>97.08</v>
          </cell>
          <cell r="AJ725">
            <v>40435</v>
          </cell>
        </row>
        <row r="726">
          <cell r="AI726">
            <v>96.79</v>
          </cell>
          <cell r="AJ726">
            <v>40436</v>
          </cell>
        </row>
        <row r="727">
          <cell r="AI727">
            <v>96.84</v>
          </cell>
          <cell r="AJ727">
            <v>40437</v>
          </cell>
        </row>
        <row r="728">
          <cell r="AI728">
            <v>97.7</v>
          </cell>
          <cell r="AJ728">
            <v>40438</v>
          </cell>
        </row>
        <row r="729">
          <cell r="AI729">
            <v>97.5</v>
          </cell>
          <cell r="AJ729">
            <v>40441</v>
          </cell>
        </row>
        <row r="730">
          <cell r="AI730">
            <v>97.63</v>
          </cell>
          <cell r="AJ730">
            <v>40442</v>
          </cell>
        </row>
        <row r="731">
          <cell r="AI731">
            <v>97.15</v>
          </cell>
          <cell r="AJ731">
            <v>40443</v>
          </cell>
        </row>
        <row r="732">
          <cell r="AI732">
            <v>97</v>
          </cell>
          <cell r="AJ732">
            <v>40444</v>
          </cell>
        </row>
        <row r="733">
          <cell r="AI733">
            <v>97.77</v>
          </cell>
          <cell r="AJ733">
            <v>40445</v>
          </cell>
        </row>
        <row r="734">
          <cell r="AI734">
            <v>97.78</v>
          </cell>
          <cell r="AJ734">
            <v>40448</v>
          </cell>
        </row>
        <row r="735">
          <cell r="AI735">
            <v>97.11</v>
          </cell>
          <cell r="AJ735">
            <v>40449</v>
          </cell>
        </row>
        <row r="736">
          <cell r="AI736">
            <v>97.42</v>
          </cell>
          <cell r="AJ736">
            <v>40450</v>
          </cell>
        </row>
        <row r="737">
          <cell r="AI737">
            <v>95.76</v>
          </cell>
          <cell r="AJ737">
            <v>40451</v>
          </cell>
        </row>
        <row r="738">
          <cell r="AI738">
            <v>95.58</v>
          </cell>
          <cell r="AJ738">
            <v>40452</v>
          </cell>
        </row>
        <row r="739">
          <cell r="AI739">
            <v>96.05</v>
          </cell>
          <cell r="AJ739">
            <v>40455</v>
          </cell>
        </row>
        <row r="740">
          <cell r="AI740">
            <v>97.4</v>
          </cell>
          <cell r="AJ740">
            <v>40456</v>
          </cell>
        </row>
        <row r="741">
          <cell r="AI741">
            <v>98.82</v>
          </cell>
          <cell r="AJ741">
            <v>40457</v>
          </cell>
        </row>
        <row r="742">
          <cell r="AI742">
            <v>97.03</v>
          </cell>
          <cell r="AJ742">
            <v>40458</v>
          </cell>
        </row>
        <row r="743">
          <cell r="AI743">
            <v>97.61</v>
          </cell>
          <cell r="AJ743">
            <v>40459</v>
          </cell>
        </row>
        <row r="744">
          <cell r="AI744">
            <v>98.2</v>
          </cell>
          <cell r="AJ744">
            <v>40462</v>
          </cell>
        </row>
        <row r="745">
          <cell r="AI745">
            <v>97.56</v>
          </cell>
          <cell r="AJ745">
            <v>40463</v>
          </cell>
        </row>
        <row r="746">
          <cell r="AI746">
            <v>99.16</v>
          </cell>
          <cell r="AJ746">
            <v>40464</v>
          </cell>
        </row>
        <row r="747">
          <cell r="AI747">
            <v>100.1</v>
          </cell>
          <cell r="AJ747">
            <v>40465</v>
          </cell>
        </row>
        <row r="748">
          <cell r="AI748">
            <v>100.55</v>
          </cell>
          <cell r="AJ748">
            <v>40466</v>
          </cell>
        </row>
        <row r="749">
          <cell r="AI749">
            <v>102.49</v>
          </cell>
          <cell r="AJ749">
            <v>40469</v>
          </cell>
        </row>
        <row r="750">
          <cell r="AI750">
            <v>101.8</v>
          </cell>
          <cell r="AJ750">
            <v>40470</v>
          </cell>
        </row>
        <row r="751">
          <cell r="AI751">
            <v>102.65</v>
          </cell>
          <cell r="AJ751">
            <v>40471</v>
          </cell>
        </row>
        <row r="752">
          <cell r="AI752">
            <v>104.3</v>
          </cell>
          <cell r="AJ752">
            <v>40472</v>
          </cell>
        </row>
        <row r="753">
          <cell r="AI753">
            <v>104.15</v>
          </cell>
          <cell r="AJ753">
            <v>40473</v>
          </cell>
        </row>
        <row r="754">
          <cell r="AI754">
            <v>104.3</v>
          </cell>
          <cell r="AJ754">
            <v>40476</v>
          </cell>
        </row>
        <row r="755">
          <cell r="AI755">
            <v>103.9</v>
          </cell>
          <cell r="AJ755">
            <v>40477</v>
          </cell>
        </row>
        <row r="756">
          <cell r="AI756">
            <v>103.3</v>
          </cell>
          <cell r="AJ756">
            <v>40478</v>
          </cell>
        </row>
        <row r="757">
          <cell r="AI757">
            <v>104.16</v>
          </cell>
          <cell r="AJ757">
            <v>40479</v>
          </cell>
        </row>
        <row r="758">
          <cell r="AI758">
            <v>103.5</v>
          </cell>
          <cell r="AJ758">
            <v>40480</v>
          </cell>
        </row>
        <row r="759">
          <cell r="AI759">
            <v>103.5</v>
          </cell>
          <cell r="AJ759">
            <v>40483</v>
          </cell>
        </row>
        <row r="760">
          <cell r="AI760">
            <v>103.06</v>
          </cell>
          <cell r="AJ760">
            <v>40484</v>
          </cell>
        </row>
        <row r="761">
          <cell r="AI761">
            <v>103.5</v>
          </cell>
          <cell r="AJ761">
            <v>40485</v>
          </cell>
        </row>
        <row r="762">
          <cell r="AI762">
            <v>104.5</v>
          </cell>
          <cell r="AJ762">
            <v>40486</v>
          </cell>
        </row>
        <row r="763">
          <cell r="AI763">
            <v>106.25</v>
          </cell>
          <cell r="AJ763">
            <v>40487</v>
          </cell>
        </row>
        <row r="764">
          <cell r="AI764">
            <v>105.9</v>
          </cell>
          <cell r="AJ764">
            <v>40490</v>
          </cell>
        </row>
        <row r="765">
          <cell r="AI765">
            <v>105.9</v>
          </cell>
          <cell r="AJ765">
            <v>40491</v>
          </cell>
        </row>
        <row r="766">
          <cell r="AI766">
            <v>105.8</v>
          </cell>
          <cell r="AJ766">
            <v>40492</v>
          </cell>
        </row>
        <row r="767">
          <cell r="AI767">
            <v>105.55</v>
          </cell>
          <cell r="AJ767">
            <v>40493</v>
          </cell>
        </row>
        <row r="768">
          <cell r="AI768">
            <v>105.05</v>
          </cell>
          <cell r="AJ768">
            <v>40494</v>
          </cell>
        </row>
        <row r="769">
          <cell r="AI769">
            <v>105.05</v>
          </cell>
          <cell r="AJ769">
            <v>40497</v>
          </cell>
        </row>
        <row r="770">
          <cell r="AI770">
            <v>103.85</v>
          </cell>
          <cell r="AJ770">
            <v>40498</v>
          </cell>
        </row>
        <row r="771">
          <cell r="AI771">
            <v>104.35</v>
          </cell>
          <cell r="AJ771">
            <v>40499</v>
          </cell>
        </row>
        <row r="772">
          <cell r="AI772">
            <v>106.3</v>
          </cell>
          <cell r="AJ772">
            <v>40500</v>
          </cell>
        </row>
        <row r="773">
          <cell r="AI773">
            <v>106.7</v>
          </cell>
          <cell r="AJ773">
            <v>40501</v>
          </cell>
        </row>
        <row r="774">
          <cell r="AI774">
            <v>106.8</v>
          </cell>
          <cell r="AJ774">
            <v>40504</v>
          </cell>
        </row>
        <row r="775">
          <cell r="AI775">
            <v>106.81</v>
          </cell>
          <cell r="AJ775">
            <v>40505</v>
          </cell>
        </row>
        <row r="776">
          <cell r="AI776">
            <v>108.04</v>
          </cell>
          <cell r="AJ776">
            <v>40506</v>
          </cell>
        </row>
        <row r="777">
          <cell r="AI777">
            <v>108.9</v>
          </cell>
          <cell r="AJ777">
            <v>40507</v>
          </cell>
        </row>
        <row r="778">
          <cell r="AI778">
            <v>109.2</v>
          </cell>
          <cell r="AJ778">
            <v>40508</v>
          </cell>
        </row>
        <row r="779">
          <cell r="AI779">
            <v>107.45</v>
          </cell>
          <cell r="AJ779">
            <v>40511</v>
          </cell>
        </row>
        <row r="780">
          <cell r="AI780">
            <v>107.8</v>
          </cell>
          <cell r="AJ780">
            <v>40512</v>
          </cell>
        </row>
        <row r="781">
          <cell r="AI781">
            <v>109.4</v>
          </cell>
          <cell r="AJ781">
            <v>40513</v>
          </cell>
        </row>
        <row r="782">
          <cell r="AI782">
            <v>109.5</v>
          </cell>
          <cell r="AJ782">
            <v>40514</v>
          </cell>
        </row>
        <row r="783">
          <cell r="AI783">
            <v>109.95</v>
          </cell>
          <cell r="AJ783">
            <v>40515</v>
          </cell>
        </row>
        <row r="784">
          <cell r="AI784">
            <v>112.5</v>
          </cell>
          <cell r="AJ784">
            <v>40518</v>
          </cell>
        </row>
        <row r="785">
          <cell r="AI785">
            <v>111.3</v>
          </cell>
          <cell r="AJ785">
            <v>40519</v>
          </cell>
        </row>
        <row r="786">
          <cell r="AI786">
            <v>111.45</v>
          </cell>
          <cell r="AJ786">
            <v>40520</v>
          </cell>
        </row>
        <row r="787">
          <cell r="AI787">
            <v>110.1</v>
          </cell>
          <cell r="AJ787">
            <v>40521</v>
          </cell>
        </row>
        <row r="788">
          <cell r="AI788">
            <v>111.3</v>
          </cell>
          <cell r="AJ788">
            <v>40522</v>
          </cell>
        </row>
        <row r="789">
          <cell r="AI789">
            <v>111.35</v>
          </cell>
          <cell r="AJ789">
            <v>40525</v>
          </cell>
        </row>
        <row r="790">
          <cell r="AI790">
            <v>111.75</v>
          </cell>
          <cell r="AJ790">
            <v>40526</v>
          </cell>
        </row>
        <row r="791">
          <cell r="AI791">
            <v>112.25</v>
          </cell>
          <cell r="AJ791">
            <v>40527</v>
          </cell>
        </row>
        <row r="792">
          <cell r="AI792">
            <v>111.95</v>
          </cell>
          <cell r="AJ792">
            <v>40528</v>
          </cell>
        </row>
        <row r="793">
          <cell r="AI793">
            <v>112.45</v>
          </cell>
          <cell r="AJ793">
            <v>40529</v>
          </cell>
        </row>
        <row r="794">
          <cell r="AI794">
            <v>113.95</v>
          </cell>
          <cell r="AJ794">
            <v>40532</v>
          </cell>
        </row>
        <row r="795">
          <cell r="AI795">
            <v>114.05</v>
          </cell>
          <cell r="AJ795">
            <v>40533</v>
          </cell>
        </row>
        <row r="796">
          <cell r="AI796">
            <v>114.35</v>
          </cell>
          <cell r="AJ796">
            <v>40534</v>
          </cell>
        </row>
        <row r="797">
          <cell r="AI797">
            <v>114</v>
          </cell>
          <cell r="AJ797">
            <v>40535</v>
          </cell>
        </row>
        <row r="798">
          <cell r="AI798">
            <v>114.05</v>
          </cell>
          <cell r="AJ798">
            <v>40539</v>
          </cell>
        </row>
        <row r="799">
          <cell r="AI799">
            <v>114.35</v>
          </cell>
          <cell r="AJ799">
            <v>40540</v>
          </cell>
        </row>
        <row r="800">
          <cell r="AI800">
            <v>115.25</v>
          </cell>
          <cell r="AJ800">
            <v>40541</v>
          </cell>
        </row>
        <row r="801">
          <cell r="AI801">
            <v>114.1</v>
          </cell>
          <cell r="AJ801">
            <v>40542</v>
          </cell>
        </row>
        <row r="802">
          <cell r="AI802">
            <v>112.35</v>
          </cell>
          <cell r="AJ802">
            <v>40546</v>
          </cell>
        </row>
        <row r="803">
          <cell r="AI803">
            <v>112.4</v>
          </cell>
          <cell r="AJ803">
            <v>40547</v>
          </cell>
        </row>
        <row r="804">
          <cell r="AI804">
            <v>109.2</v>
          </cell>
          <cell r="AJ804">
            <v>40548</v>
          </cell>
        </row>
        <row r="805">
          <cell r="AI805">
            <v>110.2</v>
          </cell>
          <cell r="AJ805">
            <v>40549</v>
          </cell>
        </row>
        <row r="806">
          <cell r="AI806">
            <v>109.7</v>
          </cell>
          <cell r="AJ806">
            <v>40550</v>
          </cell>
        </row>
        <row r="807">
          <cell r="AI807">
            <v>107.81</v>
          </cell>
          <cell r="AJ807">
            <v>40553</v>
          </cell>
        </row>
        <row r="808">
          <cell r="AI808">
            <v>109.8</v>
          </cell>
          <cell r="AJ808">
            <v>40554</v>
          </cell>
        </row>
        <row r="809">
          <cell r="AI809">
            <v>112.14</v>
          </cell>
          <cell r="AJ809">
            <v>40555</v>
          </cell>
        </row>
        <row r="810">
          <cell r="AI810">
            <v>108.8</v>
          </cell>
          <cell r="AJ810">
            <v>40556</v>
          </cell>
        </row>
        <row r="811">
          <cell r="AI811">
            <v>107.85</v>
          </cell>
          <cell r="AJ811">
            <v>40557</v>
          </cell>
        </row>
        <row r="812">
          <cell r="AI812">
            <v>107.4</v>
          </cell>
          <cell r="AJ812">
            <v>40560</v>
          </cell>
        </row>
        <row r="813">
          <cell r="AI813">
            <v>107.6</v>
          </cell>
          <cell r="AJ813">
            <v>40561</v>
          </cell>
        </row>
        <row r="814">
          <cell r="AI814">
            <v>107.85</v>
          </cell>
          <cell r="AJ814">
            <v>40562</v>
          </cell>
        </row>
        <row r="815">
          <cell r="AI815">
            <v>106.4</v>
          </cell>
          <cell r="AJ815">
            <v>40563</v>
          </cell>
        </row>
        <row r="816">
          <cell r="AI816">
            <v>105.45</v>
          </cell>
          <cell r="AJ816">
            <v>40564</v>
          </cell>
        </row>
        <row r="817">
          <cell r="AI817">
            <v>104.45</v>
          </cell>
          <cell r="AJ817">
            <v>40567</v>
          </cell>
        </row>
        <row r="818">
          <cell r="AI818">
            <v>104.75</v>
          </cell>
          <cell r="AJ818">
            <v>40568</v>
          </cell>
        </row>
        <row r="819">
          <cell r="AI819">
            <v>107.1</v>
          </cell>
          <cell r="AJ819">
            <v>40569</v>
          </cell>
        </row>
        <row r="820">
          <cell r="AI820">
            <v>106.65</v>
          </cell>
          <cell r="AJ820">
            <v>40570</v>
          </cell>
        </row>
        <row r="821">
          <cell r="AI821">
            <v>105.35</v>
          </cell>
          <cell r="AJ821">
            <v>40571</v>
          </cell>
        </row>
        <row r="822">
          <cell r="AI822">
            <v>106.6</v>
          </cell>
          <cell r="AJ822">
            <v>40574</v>
          </cell>
        </row>
        <row r="823">
          <cell r="AI823">
            <v>107</v>
          </cell>
          <cell r="AJ823">
            <v>40575</v>
          </cell>
        </row>
        <row r="824">
          <cell r="AI824">
            <v>108.35</v>
          </cell>
          <cell r="AJ824">
            <v>40576</v>
          </cell>
        </row>
        <row r="825">
          <cell r="AI825">
            <v>107.99</v>
          </cell>
          <cell r="AJ825">
            <v>40577</v>
          </cell>
        </row>
        <row r="826">
          <cell r="AI826">
            <v>109.25</v>
          </cell>
          <cell r="AJ826">
            <v>40578</v>
          </cell>
        </row>
        <row r="827">
          <cell r="AI827">
            <v>108.85</v>
          </cell>
          <cell r="AJ827">
            <v>40581</v>
          </cell>
        </row>
        <row r="828">
          <cell r="AI828">
            <v>108.01</v>
          </cell>
          <cell r="AJ828">
            <v>40582</v>
          </cell>
        </row>
        <row r="829">
          <cell r="AI829">
            <v>110.15</v>
          </cell>
          <cell r="AJ829">
            <v>40583</v>
          </cell>
        </row>
        <row r="830">
          <cell r="AI830">
            <v>109.75</v>
          </cell>
          <cell r="AJ830">
            <v>40584</v>
          </cell>
        </row>
        <row r="831">
          <cell r="AI831">
            <v>109.82</v>
          </cell>
          <cell r="AJ831">
            <v>40585</v>
          </cell>
        </row>
        <row r="832">
          <cell r="AI832">
            <v>111.65</v>
          </cell>
          <cell r="AJ832">
            <v>40588</v>
          </cell>
        </row>
        <row r="833">
          <cell r="AI833">
            <v>112.9</v>
          </cell>
          <cell r="AJ833">
            <v>40589</v>
          </cell>
        </row>
        <row r="834">
          <cell r="AI834">
            <v>111.45</v>
          </cell>
          <cell r="AJ834">
            <v>40590</v>
          </cell>
        </row>
        <row r="835">
          <cell r="AI835">
            <v>111</v>
          </cell>
          <cell r="AJ835">
            <v>40591</v>
          </cell>
        </row>
        <row r="836">
          <cell r="AI836">
            <v>111.75</v>
          </cell>
          <cell r="AJ836">
            <v>40592</v>
          </cell>
        </row>
        <row r="837">
          <cell r="AI837">
            <v>110.25</v>
          </cell>
          <cell r="AJ837">
            <v>40595</v>
          </cell>
        </row>
        <row r="838">
          <cell r="AI838">
            <v>110.45</v>
          </cell>
          <cell r="AJ838">
            <v>40596</v>
          </cell>
        </row>
        <row r="839">
          <cell r="AI839">
            <v>107.55</v>
          </cell>
          <cell r="AJ839">
            <v>40597</v>
          </cell>
        </row>
        <row r="840">
          <cell r="AI840">
            <v>107.85</v>
          </cell>
          <cell r="AJ840">
            <v>40598</v>
          </cell>
        </row>
        <row r="841">
          <cell r="AI841">
            <v>108.65</v>
          </cell>
          <cell r="AJ841">
            <v>40599</v>
          </cell>
        </row>
        <row r="842">
          <cell r="AI842">
            <v>110.8</v>
          </cell>
          <cell r="AJ842">
            <v>40602</v>
          </cell>
        </row>
        <row r="843">
          <cell r="AI843">
            <v>111.4</v>
          </cell>
          <cell r="AJ843">
            <v>40603</v>
          </cell>
        </row>
        <row r="844">
          <cell r="AI844">
            <v>111.15</v>
          </cell>
          <cell r="AJ844">
            <v>40604</v>
          </cell>
        </row>
        <row r="845">
          <cell r="AI845">
            <v>112.7</v>
          </cell>
          <cell r="AJ845">
            <v>40605</v>
          </cell>
        </row>
        <row r="846">
          <cell r="AI846">
            <v>112.35</v>
          </cell>
          <cell r="AJ846">
            <v>40606</v>
          </cell>
        </row>
        <row r="847">
          <cell r="AI847">
            <v>112.65</v>
          </cell>
          <cell r="AJ847">
            <v>40609</v>
          </cell>
        </row>
        <row r="848">
          <cell r="AI848">
            <v>111.55</v>
          </cell>
          <cell r="AJ848">
            <v>40610</v>
          </cell>
        </row>
        <row r="849">
          <cell r="AI849">
            <v>112.9</v>
          </cell>
          <cell r="AJ849">
            <v>40611</v>
          </cell>
        </row>
        <row r="850">
          <cell r="AI850">
            <v>111.89</v>
          </cell>
          <cell r="AJ850">
            <v>40612</v>
          </cell>
        </row>
        <row r="851">
          <cell r="AI851">
            <v>110.1</v>
          </cell>
          <cell r="AJ851">
            <v>40613</v>
          </cell>
        </row>
        <row r="852">
          <cell r="AI852">
            <v>109.3</v>
          </cell>
          <cell r="AJ852">
            <v>40616</v>
          </cell>
        </row>
        <row r="853">
          <cell r="AI853">
            <v>104.55</v>
          </cell>
          <cell r="AJ853">
            <v>40617</v>
          </cell>
        </row>
        <row r="854">
          <cell r="AI854">
            <v>102.65</v>
          </cell>
          <cell r="AJ854">
            <v>40618</v>
          </cell>
        </row>
        <row r="855">
          <cell r="AI855">
            <v>105.45</v>
          </cell>
          <cell r="AJ855">
            <v>40619</v>
          </cell>
        </row>
        <row r="856">
          <cell r="AI856">
            <v>107.31</v>
          </cell>
          <cell r="AJ856">
            <v>40620</v>
          </cell>
        </row>
        <row r="857">
          <cell r="AI857">
            <v>107.7</v>
          </cell>
          <cell r="AJ857">
            <v>40623</v>
          </cell>
        </row>
        <row r="858">
          <cell r="AI858">
            <v>107.5</v>
          </cell>
          <cell r="AJ858">
            <v>40624</v>
          </cell>
        </row>
        <row r="859">
          <cell r="AI859">
            <v>108.95</v>
          </cell>
          <cell r="AJ859">
            <v>40625</v>
          </cell>
        </row>
        <row r="860">
          <cell r="AI860">
            <v>109.4</v>
          </cell>
          <cell r="AJ860">
            <v>40626</v>
          </cell>
        </row>
        <row r="861">
          <cell r="AI861">
            <v>108.9</v>
          </cell>
          <cell r="AJ861">
            <v>40627</v>
          </cell>
        </row>
        <row r="862">
          <cell r="AI862">
            <v>109.2</v>
          </cell>
          <cell r="AJ862">
            <v>40630</v>
          </cell>
        </row>
        <row r="863">
          <cell r="AI863">
            <v>109.5</v>
          </cell>
          <cell r="AJ863">
            <v>40631</v>
          </cell>
        </row>
        <row r="864">
          <cell r="AI864">
            <v>111.25</v>
          </cell>
          <cell r="AJ864">
            <v>40632</v>
          </cell>
        </row>
        <row r="865">
          <cell r="AI865">
            <v>111.4</v>
          </cell>
          <cell r="AJ865">
            <v>40633</v>
          </cell>
        </row>
        <row r="866">
          <cell r="AI866">
            <v>112.9</v>
          </cell>
          <cell r="AJ866">
            <v>40634</v>
          </cell>
        </row>
        <row r="867">
          <cell r="AI867">
            <v>113.65</v>
          </cell>
          <cell r="AJ867">
            <v>40637</v>
          </cell>
        </row>
        <row r="868">
          <cell r="AI868">
            <v>114.3</v>
          </cell>
          <cell r="AJ868">
            <v>40638</v>
          </cell>
        </row>
        <row r="869">
          <cell r="AI869">
            <v>114.95</v>
          </cell>
          <cell r="AJ869">
            <v>40639</v>
          </cell>
        </row>
        <row r="870">
          <cell r="AI870">
            <v>114.45</v>
          </cell>
          <cell r="AJ870">
            <v>40640</v>
          </cell>
        </row>
        <row r="871">
          <cell r="AI871">
            <v>115</v>
          </cell>
          <cell r="AJ871">
            <v>40641</v>
          </cell>
        </row>
        <row r="872">
          <cell r="AI872">
            <v>115.35</v>
          </cell>
          <cell r="AJ872">
            <v>40644</v>
          </cell>
        </row>
        <row r="873">
          <cell r="AI873">
            <v>114</v>
          </cell>
          <cell r="AJ873">
            <v>40645</v>
          </cell>
        </row>
        <row r="874">
          <cell r="AI874">
            <v>115.45</v>
          </cell>
          <cell r="AJ874">
            <v>40646</v>
          </cell>
        </row>
        <row r="875">
          <cell r="AI875">
            <v>114.25</v>
          </cell>
          <cell r="AJ875">
            <v>40647</v>
          </cell>
        </row>
        <row r="876">
          <cell r="AI876">
            <v>115.35</v>
          </cell>
          <cell r="AJ876">
            <v>40648</v>
          </cell>
        </row>
        <row r="877">
          <cell r="AI877">
            <v>114.45</v>
          </cell>
          <cell r="AJ877">
            <v>40651</v>
          </cell>
        </row>
        <row r="878">
          <cell r="AI878">
            <v>113.2</v>
          </cell>
          <cell r="AJ878">
            <v>40652</v>
          </cell>
        </row>
        <row r="879">
          <cell r="AI879">
            <v>116.65</v>
          </cell>
          <cell r="AJ879">
            <v>40653</v>
          </cell>
        </row>
        <row r="880">
          <cell r="AI880">
            <v>119.35</v>
          </cell>
          <cell r="AJ880">
            <v>40654</v>
          </cell>
        </row>
        <row r="881">
          <cell r="AI881">
            <v>119.2</v>
          </cell>
          <cell r="AJ881">
            <v>40659</v>
          </cell>
        </row>
        <row r="882">
          <cell r="AI882">
            <v>119.8</v>
          </cell>
          <cell r="AJ882">
            <v>40660</v>
          </cell>
        </row>
        <row r="883">
          <cell r="AI883">
            <v>119.65</v>
          </cell>
          <cell r="AJ883">
            <v>40661</v>
          </cell>
        </row>
        <row r="884">
          <cell r="AI884">
            <v>121.55</v>
          </cell>
          <cell r="AJ884">
            <v>40662</v>
          </cell>
        </row>
        <row r="885">
          <cell r="AI885">
            <v>121.5</v>
          </cell>
          <cell r="AJ885">
            <v>40665</v>
          </cell>
        </row>
        <row r="886">
          <cell r="AI886">
            <v>122.05</v>
          </cell>
          <cell r="AJ886">
            <v>40666</v>
          </cell>
        </row>
        <row r="887">
          <cell r="AI887">
            <v>118.3</v>
          </cell>
          <cell r="AJ887">
            <v>40667</v>
          </cell>
        </row>
        <row r="888">
          <cell r="AI888">
            <v>118.84</v>
          </cell>
          <cell r="AJ888">
            <v>40668</v>
          </cell>
        </row>
        <row r="889">
          <cell r="AI889">
            <v>118.4</v>
          </cell>
          <cell r="AJ889">
            <v>40669</v>
          </cell>
        </row>
        <row r="890">
          <cell r="AI890">
            <v>120.35</v>
          </cell>
          <cell r="AJ890">
            <v>40672</v>
          </cell>
        </row>
        <row r="891">
          <cell r="AI891">
            <v>122.2</v>
          </cell>
          <cell r="AJ891">
            <v>40673</v>
          </cell>
        </row>
        <row r="892">
          <cell r="AI892">
            <v>121.5</v>
          </cell>
          <cell r="AJ892">
            <v>40674</v>
          </cell>
        </row>
        <row r="893">
          <cell r="AI893">
            <v>120.75</v>
          </cell>
          <cell r="AJ893">
            <v>40675</v>
          </cell>
        </row>
        <row r="894">
          <cell r="AI894">
            <v>119.65</v>
          </cell>
          <cell r="AJ894">
            <v>40676</v>
          </cell>
        </row>
        <row r="895">
          <cell r="AI895">
            <v>119.25</v>
          </cell>
          <cell r="AJ895">
            <v>40679</v>
          </cell>
        </row>
        <row r="896">
          <cell r="AI896">
            <v>117.1</v>
          </cell>
          <cell r="AJ896">
            <v>40680</v>
          </cell>
        </row>
        <row r="897">
          <cell r="AI897">
            <v>118</v>
          </cell>
          <cell r="AJ897">
            <v>40681</v>
          </cell>
        </row>
        <row r="898">
          <cell r="AI898">
            <v>118.9</v>
          </cell>
          <cell r="AJ898">
            <v>40682</v>
          </cell>
        </row>
        <row r="899">
          <cell r="AI899">
            <v>117.45</v>
          </cell>
          <cell r="AJ899">
            <v>40683</v>
          </cell>
        </row>
        <row r="900">
          <cell r="AI900">
            <v>115.26</v>
          </cell>
          <cell r="AJ900">
            <v>40686</v>
          </cell>
        </row>
        <row r="901">
          <cell r="AI901">
            <v>115.51</v>
          </cell>
          <cell r="AJ901">
            <v>40687</v>
          </cell>
        </row>
        <row r="902">
          <cell r="AI902">
            <v>115.35</v>
          </cell>
          <cell r="AJ902">
            <v>40688</v>
          </cell>
        </row>
        <row r="903">
          <cell r="AI903">
            <v>114.41</v>
          </cell>
          <cell r="AJ903">
            <v>40689</v>
          </cell>
        </row>
        <row r="904">
          <cell r="AI904">
            <v>114.94</v>
          </cell>
          <cell r="AJ904">
            <v>40690</v>
          </cell>
        </row>
        <row r="905">
          <cell r="AI905">
            <v>115.5</v>
          </cell>
          <cell r="AJ905">
            <v>40693</v>
          </cell>
        </row>
        <row r="906">
          <cell r="AI906">
            <v>117.61</v>
          </cell>
          <cell r="AJ906">
            <v>40694</v>
          </cell>
        </row>
        <row r="907">
          <cell r="AI907">
            <v>116.32</v>
          </cell>
          <cell r="AJ907">
            <v>40695</v>
          </cell>
        </row>
        <row r="908">
          <cell r="AI908">
            <v>114.35</v>
          </cell>
          <cell r="AJ908">
            <v>40696</v>
          </cell>
        </row>
        <row r="909">
          <cell r="AI909">
            <v>114.55</v>
          </cell>
          <cell r="AJ909">
            <v>40697</v>
          </cell>
        </row>
        <row r="910">
          <cell r="AI910">
            <v>115.34</v>
          </cell>
          <cell r="AJ910">
            <v>40700</v>
          </cell>
        </row>
        <row r="911">
          <cell r="AI911">
            <v>114.12</v>
          </cell>
          <cell r="AJ911">
            <v>40701</v>
          </cell>
        </row>
        <row r="912">
          <cell r="AI912">
            <v>113.36</v>
          </cell>
          <cell r="AJ912">
            <v>40702</v>
          </cell>
        </row>
        <row r="913">
          <cell r="AI913">
            <v>115.11</v>
          </cell>
          <cell r="AJ913">
            <v>40703</v>
          </cell>
        </row>
        <row r="914">
          <cell r="AI914">
            <v>113.89</v>
          </cell>
          <cell r="AJ914">
            <v>40704</v>
          </cell>
        </row>
        <row r="915">
          <cell r="AI915">
            <v>114.31</v>
          </cell>
          <cell r="AJ915">
            <v>40707</v>
          </cell>
        </row>
        <row r="916">
          <cell r="AI916">
            <v>116.68</v>
          </cell>
          <cell r="AJ916">
            <v>40708</v>
          </cell>
        </row>
        <row r="917">
          <cell r="AI917">
            <v>116.39</v>
          </cell>
          <cell r="AJ917">
            <v>40709</v>
          </cell>
        </row>
        <row r="918">
          <cell r="AI918">
            <v>115.74</v>
          </cell>
          <cell r="AJ918">
            <v>40710</v>
          </cell>
        </row>
        <row r="919">
          <cell r="AI919">
            <v>115.91</v>
          </cell>
          <cell r="AJ919">
            <v>40711</v>
          </cell>
        </row>
        <row r="920">
          <cell r="AI920">
            <v>116.19</v>
          </cell>
          <cell r="AJ920">
            <v>40714</v>
          </cell>
        </row>
        <row r="921">
          <cell r="AI921">
            <v>118.29</v>
          </cell>
          <cell r="AJ921">
            <v>40715</v>
          </cell>
        </row>
        <row r="922">
          <cell r="AI922">
            <v>119.49</v>
          </cell>
          <cell r="AJ922">
            <v>40716</v>
          </cell>
        </row>
        <row r="923">
          <cell r="AI923">
            <v>117.51</v>
          </cell>
          <cell r="AJ923">
            <v>40717</v>
          </cell>
        </row>
        <row r="924">
          <cell r="AI924">
            <v>118.18</v>
          </cell>
          <cell r="AJ924">
            <v>40718</v>
          </cell>
        </row>
        <row r="925">
          <cell r="AI925">
            <v>116.41</v>
          </cell>
          <cell r="AJ925">
            <v>40721</v>
          </cell>
        </row>
        <row r="926">
          <cell r="AI926">
            <v>118.49</v>
          </cell>
          <cell r="AJ926">
            <v>40722</v>
          </cell>
        </row>
        <row r="927">
          <cell r="AI927">
            <v>119.61</v>
          </cell>
          <cell r="AJ927">
            <v>40723</v>
          </cell>
        </row>
        <row r="928">
          <cell r="AI928">
            <v>120.74</v>
          </cell>
          <cell r="AJ928">
            <v>40724</v>
          </cell>
        </row>
        <row r="929">
          <cell r="AI929">
            <v>121.72</v>
          </cell>
          <cell r="AJ929">
            <v>40725</v>
          </cell>
        </row>
        <row r="930">
          <cell r="AI930">
            <v>122.39</v>
          </cell>
          <cell r="AJ930">
            <v>40728</v>
          </cell>
        </row>
        <row r="931">
          <cell r="AI931">
            <v>122.27</v>
          </cell>
          <cell r="AJ931">
            <v>40729</v>
          </cell>
        </row>
        <row r="932">
          <cell r="AI932">
            <v>121.59</v>
          </cell>
          <cell r="AJ932">
            <v>40730</v>
          </cell>
        </row>
        <row r="933">
          <cell r="AI933">
            <v>122.84</v>
          </cell>
          <cell r="AJ933">
            <v>40731</v>
          </cell>
        </row>
        <row r="934">
          <cell r="AI934">
            <v>123.88</v>
          </cell>
          <cell r="AJ934">
            <v>40732</v>
          </cell>
        </row>
        <row r="935">
          <cell r="AI935">
            <v>121.99</v>
          </cell>
          <cell r="AJ935">
            <v>40735</v>
          </cell>
        </row>
        <row r="936">
          <cell r="AI936">
            <v>121.11</v>
          </cell>
          <cell r="AJ936">
            <v>40736</v>
          </cell>
        </row>
        <row r="937">
          <cell r="AI937">
            <v>123.16</v>
          </cell>
          <cell r="AJ937">
            <v>40737</v>
          </cell>
        </row>
        <row r="938">
          <cell r="AI938">
            <v>121.06</v>
          </cell>
          <cell r="AJ938">
            <v>40738</v>
          </cell>
        </row>
        <row r="939">
          <cell r="AI939">
            <v>122.34</v>
          </cell>
          <cell r="AJ939">
            <v>40739</v>
          </cell>
        </row>
        <row r="940">
          <cell r="AI940">
            <v>122.48</v>
          </cell>
          <cell r="AJ940">
            <v>40742</v>
          </cell>
        </row>
        <row r="941">
          <cell r="AI941">
            <v>122.64</v>
          </cell>
          <cell r="AJ941">
            <v>40743</v>
          </cell>
        </row>
        <row r="942">
          <cell r="AI942">
            <v>124.13</v>
          </cell>
          <cell r="AJ942">
            <v>40744</v>
          </cell>
        </row>
        <row r="943">
          <cell r="AI943">
            <v>124.9</v>
          </cell>
          <cell r="AJ943">
            <v>40745</v>
          </cell>
        </row>
        <row r="944">
          <cell r="AI944">
            <v>123.49</v>
          </cell>
          <cell r="AJ944">
            <v>40746</v>
          </cell>
        </row>
        <row r="945">
          <cell r="AI945">
            <v>125.86</v>
          </cell>
          <cell r="AJ945">
            <v>40749</v>
          </cell>
        </row>
        <row r="946">
          <cell r="AI946">
            <v>124.94</v>
          </cell>
          <cell r="AJ946">
            <v>40750</v>
          </cell>
        </row>
        <row r="947">
          <cell r="AI947">
            <v>124.23</v>
          </cell>
          <cell r="AJ947">
            <v>40751</v>
          </cell>
        </row>
        <row r="948">
          <cell r="AI948">
            <v>121.39</v>
          </cell>
          <cell r="AJ948">
            <v>40752</v>
          </cell>
        </row>
        <row r="949">
          <cell r="AI949">
            <v>124.91</v>
          </cell>
          <cell r="AJ949">
            <v>40753</v>
          </cell>
        </row>
        <row r="950">
          <cell r="AI950">
            <v>122.53</v>
          </cell>
          <cell r="AJ950">
            <v>40756</v>
          </cell>
        </row>
        <row r="951">
          <cell r="AI951">
            <v>118.66</v>
          </cell>
          <cell r="AJ951">
            <v>40757</v>
          </cell>
        </row>
        <row r="952">
          <cell r="AI952">
            <v>116.26</v>
          </cell>
          <cell r="AJ952">
            <v>40758</v>
          </cell>
        </row>
        <row r="953">
          <cell r="AI953">
            <v>109.8</v>
          </cell>
          <cell r="AJ953">
            <v>40759</v>
          </cell>
        </row>
        <row r="954">
          <cell r="AI954">
            <v>110.6</v>
          </cell>
          <cell r="AJ954">
            <v>40760</v>
          </cell>
        </row>
        <row r="955">
          <cell r="AI955">
            <v>104.8</v>
          </cell>
          <cell r="AJ955">
            <v>40763</v>
          </cell>
        </row>
        <row r="956">
          <cell r="AI956">
            <v>106</v>
          </cell>
          <cell r="AJ956">
            <v>40764</v>
          </cell>
        </row>
        <row r="957">
          <cell r="AI957">
            <v>105</v>
          </cell>
          <cell r="AJ957">
            <v>40765</v>
          </cell>
        </row>
        <row r="958">
          <cell r="AI958">
            <v>110</v>
          </cell>
          <cell r="AJ958">
            <v>40766</v>
          </cell>
        </row>
        <row r="959">
          <cell r="AI959">
            <v>109.84</v>
          </cell>
          <cell r="AJ959">
            <v>40767</v>
          </cell>
        </row>
        <row r="960">
          <cell r="AI960">
            <v>110.79</v>
          </cell>
          <cell r="AJ960">
            <v>40770</v>
          </cell>
        </row>
        <row r="961">
          <cell r="AI961">
            <v>106.88</v>
          </cell>
          <cell r="AJ961">
            <v>40771</v>
          </cell>
        </row>
        <row r="962">
          <cell r="AI962">
            <v>107.75</v>
          </cell>
          <cell r="AJ962">
            <v>40772</v>
          </cell>
        </row>
        <row r="963">
          <cell r="AI963">
            <v>103.7</v>
          </cell>
          <cell r="AJ963">
            <v>40773</v>
          </cell>
        </row>
        <row r="964">
          <cell r="AI964">
            <v>99.91</v>
          </cell>
          <cell r="AJ964">
            <v>40774</v>
          </cell>
        </row>
        <row r="965">
          <cell r="AI965">
            <v>98.39</v>
          </cell>
          <cell r="AJ965">
            <v>40777</v>
          </cell>
        </row>
        <row r="966">
          <cell r="AI966">
            <v>100.5</v>
          </cell>
          <cell r="AJ966">
            <v>40778</v>
          </cell>
        </row>
        <row r="967">
          <cell r="AI967">
            <v>103.05</v>
          </cell>
          <cell r="AJ967">
            <v>40779</v>
          </cell>
        </row>
        <row r="968">
          <cell r="AI968">
            <v>100.35</v>
          </cell>
          <cell r="AJ968">
            <v>40780</v>
          </cell>
        </row>
        <row r="969">
          <cell r="AI969">
            <v>101.65</v>
          </cell>
          <cell r="AJ969">
            <v>40781</v>
          </cell>
        </row>
        <row r="970">
          <cell r="AI970">
            <v>103.33</v>
          </cell>
          <cell r="AJ970">
            <v>40784</v>
          </cell>
        </row>
        <row r="971">
          <cell r="AI971">
            <v>103.58</v>
          </cell>
          <cell r="AJ971">
            <v>40785</v>
          </cell>
        </row>
        <row r="972">
          <cell r="AI972">
            <v>106.18</v>
          </cell>
          <cell r="AJ972">
            <v>40786</v>
          </cell>
        </row>
        <row r="973">
          <cell r="AI973">
            <v>105</v>
          </cell>
          <cell r="AJ973">
            <v>40787</v>
          </cell>
        </row>
        <row r="974">
          <cell r="AI974">
            <v>102.23</v>
          </cell>
          <cell r="AJ974">
            <v>40788</v>
          </cell>
        </row>
        <row r="975">
          <cell r="AI975">
            <v>97.45</v>
          </cell>
          <cell r="AJ975">
            <v>40791</v>
          </cell>
        </row>
        <row r="976">
          <cell r="AI976">
            <v>98.75</v>
          </cell>
          <cell r="AJ976">
            <v>40792</v>
          </cell>
        </row>
        <row r="977">
          <cell r="AI977">
            <v>102.21</v>
          </cell>
          <cell r="AJ977">
            <v>40793</v>
          </cell>
        </row>
        <row r="978">
          <cell r="AI978">
            <v>101.1</v>
          </cell>
          <cell r="AJ978">
            <v>40794</v>
          </cell>
        </row>
        <row r="979">
          <cell r="AI979">
            <v>98.66</v>
          </cell>
          <cell r="AJ979">
            <v>40795</v>
          </cell>
        </row>
        <row r="980">
          <cell r="AI980">
            <v>98.16</v>
          </cell>
          <cell r="AJ980">
            <v>40798</v>
          </cell>
        </row>
        <row r="981">
          <cell r="AI981">
            <v>98.23</v>
          </cell>
          <cell r="AJ981">
            <v>40799</v>
          </cell>
        </row>
        <row r="982">
          <cell r="AI982">
            <v>102.12</v>
          </cell>
          <cell r="AJ982">
            <v>40800</v>
          </cell>
        </row>
        <row r="983">
          <cell r="AI983">
            <v>103.07</v>
          </cell>
          <cell r="AJ983">
            <v>40801</v>
          </cell>
        </row>
        <row r="984">
          <cell r="AI984">
            <v>103.59</v>
          </cell>
          <cell r="AJ984">
            <v>40802</v>
          </cell>
        </row>
        <row r="985">
          <cell r="AI985">
            <v>100.75</v>
          </cell>
          <cell r="AJ985">
            <v>40805</v>
          </cell>
        </row>
        <row r="986">
          <cell r="AI986">
            <v>104.26</v>
          </cell>
          <cell r="AJ986">
            <v>40806</v>
          </cell>
        </row>
        <row r="987">
          <cell r="AI987">
            <v>102.1</v>
          </cell>
          <cell r="AJ987">
            <v>40807</v>
          </cell>
        </row>
        <row r="988">
          <cell r="AI988">
            <v>99.31</v>
          </cell>
          <cell r="AJ988">
            <v>40808</v>
          </cell>
        </row>
        <row r="989">
          <cell r="AI989">
            <v>97.51</v>
          </cell>
          <cell r="AJ989">
            <v>40809</v>
          </cell>
        </row>
        <row r="990">
          <cell r="AI990">
            <v>98.96</v>
          </cell>
          <cell r="AJ990">
            <v>40812</v>
          </cell>
        </row>
        <row r="991">
          <cell r="AI991">
            <v>104.01</v>
          </cell>
          <cell r="AJ991">
            <v>40813</v>
          </cell>
        </row>
        <row r="992">
          <cell r="AI992">
            <v>103.37</v>
          </cell>
          <cell r="AJ992">
            <v>40814</v>
          </cell>
        </row>
        <row r="993">
          <cell r="AI993">
            <v>103</v>
          </cell>
          <cell r="AJ993">
            <v>40815</v>
          </cell>
        </row>
        <row r="994">
          <cell r="AI994">
            <v>100.71</v>
          </cell>
          <cell r="AJ994">
            <v>40816</v>
          </cell>
        </row>
        <row r="995">
          <cell r="AI995">
            <v>98.7</v>
          </cell>
          <cell r="AJ995">
            <v>40819</v>
          </cell>
        </row>
        <row r="996">
          <cell r="AI996">
            <v>96.74</v>
          </cell>
          <cell r="AJ996">
            <v>40820</v>
          </cell>
        </row>
        <row r="997">
          <cell r="AI997">
            <v>98.33</v>
          </cell>
          <cell r="AJ997">
            <v>40821</v>
          </cell>
        </row>
        <row r="998">
          <cell r="AI998">
            <v>102.81</v>
          </cell>
          <cell r="AJ998">
            <v>40822</v>
          </cell>
        </row>
        <row r="999">
          <cell r="AI999">
            <v>104.67</v>
          </cell>
          <cell r="AJ999">
            <v>40823</v>
          </cell>
        </row>
        <row r="1000">
          <cell r="AI1000">
            <v>107.56</v>
          </cell>
          <cell r="AJ1000">
            <v>40826</v>
          </cell>
        </row>
        <row r="1001">
          <cell r="AI1001">
            <v>109.81</v>
          </cell>
          <cell r="AJ1001">
            <v>40827</v>
          </cell>
        </row>
        <row r="1002">
          <cell r="AI1002">
            <v>110.5</v>
          </cell>
          <cell r="AJ1002">
            <v>40828</v>
          </cell>
        </row>
        <row r="1003">
          <cell r="AI1003">
            <v>109.61</v>
          </cell>
          <cell r="AJ1003">
            <v>40829</v>
          </cell>
        </row>
        <row r="1004">
          <cell r="AI1004">
            <v>110.15</v>
          </cell>
          <cell r="AJ1004">
            <v>40830</v>
          </cell>
        </row>
        <row r="1005">
          <cell r="AI1005">
            <v>107.69</v>
          </cell>
          <cell r="AJ1005">
            <v>40833</v>
          </cell>
        </row>
        <row r="1006">
          <cell r="AI1006">
            <v>111.98</v>
          </cell>
          <cell r="AJ1006">
            <v>40834</v>
          </cell>
        </row>
        <row r="1007">
          <cell r="AI1007">
            <v>110.87</v>
          </cell>
          <cell r="AJ1007">
            <v>40835</v>
          </cell>
        </row>
        <row r="1008">
          <cell r="AI1008">
            <v>110.02</v>
          </cell>
          <cell r="AJ1008">
            <v>40836</v>
          </cell>
        </row>
        <row r="1009">
          <cell r="AI1009">
            <v>113.52</v>
          </cell>
          <cell r="AJ1009">
            <v>40837</v>
          </cell>
        </row>
        <row r="1010">
          <cell r="AI1010">
            <v>114.12</v>
          </cell>
          <cell r="AJ1010">
            <v>40840</v>
          </cell>
        </row>
        <row r="1011">
          <cell r="AI1011">
            <v>114.54</v>
          </cell>
          <cell r="AJ1011">
            <v>40841</v>
          </cell>
        </row>
        <row r="1012">
          <cell r="AI1012">
            <v>113.4</v>
          </cell>
          <cell r="AJ1012">
            <v>40842</v>
          </cell>
        </row>
        <row r="1013">
          <cell r="AI1013">
            <v>117.34</v>
          </cell>
          <cell r="AJ1013">
            <v>40843</v>
          </cell>
        </row>
        <row r="1014">
          <cell r="AI1014">
            <v>117.28</v>
          </cell>
          <cell r="AJ1014">
            <v>40844</v>
          </cell>
        </row>
        <row r="1015">
          <cell r="AI1015">
            <v>115.11</v>
          </cell>
          <cell r="AJ1015">
            <v>40847</v>
          </cell>
        </row>
        <row r="1016">
          <cell r="AI1016">
            <v>111.5</v>
          </cell>
          <cell r="AJ1016">
            <v>40848</v>
          </cell>
        </row>
        <row r="1017">
          <cell r="AI1017">
            <v>112</v>
          </cell>
          <cell r="AJ1017">
            <v>40849</v>
          </cell>
        </row>
        <row r="1018">
          <cell r="AI1018">
            <v>112.99</v>
          </cell>
          <cell r="AJ1018">
            <v>40850</v>
          </cell>
        </row>
        <row r="1019">
          <cell r="AI1019">
            <v>111.91</v>
          </cell>
          <cell r="AJ1019">
            <v>40851</v>
          </cell>
        </row>
        <row r="1020">
          <cell r="AI1020">
            <v>110.15</v>
          </cell>
          <cell r="AJ1020">
            <v>40854</v>
          </cell>
        </row>
        <row r="1021">
          <cell r="AI1021">
            <v>110.96</v>
          </cell>
          <cell r="AJ1021">
            <v>40855</v>
          </cell>
        </row>
        <row r="1022">
          <cell r="AI1022">
            <v>106.58</v>
          </cell>
          <cell r="AJ1022">
            <v>40856</v>
          </cell>
        </row>
        <row r="1023">
          <cell r="AI1023">
            <v>108.05</v>
          </cell>
          <cell r="AJ1023">
            <v>40857</v>
          </cell>
        </row>
        <row r="1024">
          <cell r="AI1024">
            <v>110</v>
          </cell>
          <cell r="AJ1024">
            <v>40858</v>
          </cell>
        </row>
        <row r="1025">
          <cell r="AI1025">
            <v>109.18</v>
          </cell>
          <cell r="AJ1025">
            <v>40861</v>
          </cell>
        </row>
        <row r="1026">
          <cell r="AI1026">
            <v>109.95</v>
          </cell>
          <cell r="AJ1026">
            <v>40862</v>
          </cell>
        </row>
        <row r="1027">
          <cell r="AI1027">
            <v>108.75</v>
          </cell>
          <cell r="AJ1027">
            <v>40863</v>
          </cell>
        </row>
        <row r="1028">
          <cell r="AI1028">
            <v>107.41</v>
          </cell>
          <cell r="AJ1028">
            <v>40864</v>
          </cell>
        </row>
        <row r="1029">
          <cell r="AI1029">
            <v>106.4</v>
          </cell>
          <cell r="AJ1029">
            <v>40865</v>
          </cell>
        </row>
        <row r="1030">
          <cell r="AI1030">
            <v>104.14</v>
          </cell>
          <cell r="AJ1030">
            <v>40868</v>
          </cell>
        </row>
        <row r="1031">
          <cell r="AI1031">
            <v>107.07</v>
          </cell>
          <cell r="AJ1031">
            <v>40869</v>
          </cell>
        </row>
        <row r="1032">
          <cell r="AI1032">
            <v>104.73</v>
          </cell>
          <cell r="AJ1032">
            <v>40870</v>
          </cell>
        </row>
        <row r="1033">
          <cell r="AI1033">
            <v>103.31</v>
          </cell>
          <cell r="AJ1033">
            <v>40871</v>
          </cell>
        </row>
        <row r="1034">
          <cell r="AI1034">
            <v>104.54</v>
          </cell>
          <cell r="AJ1034">
            <v>40872</v>
          </cell>
        </row>
        <row r="1035">
          <cell r="AI1035">
            <v>107.92</v>
          </cell>
          <cell r="AJ1035">
            <v>40875</v>
          </cell>
        </row>
        <row r="1036">
          <cell r="AI1036">
            <v>110</v>
          </cell>
          <cell r="AJ1036">
            <v>40876</v>
          </cell>
        </row>
        <row r="1037">
          <cell r="AI1037">
            <v>113.83</v>
          </cell>
          <cell r="AJ1037">
            <v>40877</v>
          </cell>
        </row>
        <row r="1038">
          <cell r="AI1038">
            <v>112.97</v>
          </cell>
          <cell r="AJ1038">
            <v>40878</v>
          </cell>
        </row>
        <row r="1039">
          <cell r="AI1039">
            <v>112.15</v>
          </cell>
          <cell r="AJ1039">
            <v>40879</v>
          </cell>
        </row>
        <row r="1040">
          <cell r="AI1040">
            <v>112.51900000000001</v>
          </cell>
          <cell r="AJ1040">
            <v>40882</v>
          </cell>
        </row>
        <row r="1041">
          <cell r="AI1041">
            <v>112.181</v>
          </cell>
          <cell r="AJ1041">
            <v>40883</v>
          </cell>
        </row>
        <row r="1042">
          <cell r="AI1042">
            <v>111</v>
          </cell>
          <cell r="AJ1042">
            <v>40884</v>
          </cell>
        </row>
        <row r="1043">
          <cell r="AI1043">
            <v>109.59699999999999</v>
          </cell>
          <cell r="AJ1043">
            <v>40885</v>
          </cell>
        </row>
        <row r="1044">
          <cell r="AI1044">
            <v>110.33799999999999</v>
          </cell>
          <cell r="AJ1044">
            <v>40886</v>
          </cell>
        </row>
        <row r="1045">
          <cell r="AI1045">
            <v>108.5</v>
          </cell>
          <cell r="AJ1045">
            <v>40889</v>
          </cell>
        </row>
        <row r="1046">
          <cell r="AI1046">
            <v>107.883</v>
          </cell>
          <cell r="AJ1046">
            <v>40890</v>
          </cell>
        </row>
        <row r="1047">
          <cell r="AI1047">
            <v>107.634</v>
          </cell>
          <cell r="AJ1047">
            <v>40891</v>
          </cell>
        </row>
        <row r="1048">
          <cell r="AI1048">
            <v>108.95399999999999</v>
          </cell>
          <cell r="AJ1048">
            <v>40892</v>
          </cell>
        </row>
        <row r="1049">
          <cell r="AI1049">
            <v>109.252</v>
          </cell>
          <cell r="AJ1049">
            <v>40893</v>
          </cell>
        </row>
        <row r="1050">
          <cell r="AI1050">
            <v>110.768</v>
          </cell>
          <cell r="AJ1050">
            <v>40896</v>
          </cell>
        </row>
        <row r="1051">
          <cell r="AI1051">
            <v>113.66800000000001</v>
          </cell>
          <cell r="AJ1051">
            <v>40897</v>
          </cell>
        </row>
        <row r="1052">
          <cell r="AI1052">
            <v>113.107</v>
          </cell>
          <cell r="AJ1052">
            <v>40898</v>
          </cell>
        </row>
        <row r="1053">
          <cell r="AI1053">
            <v>113.539</v>
          </cell>
          <cell r="AJ1053">
            <v>40899</v>
          </cell>
        </row>
        <row r="1054">
          <cell r="AI1054">
            <v>113.05</v>
          </cell>
          <cell r="AJ1054">
            <v>40900</v>
          </cell>
        </row>
        <row r="1055">
          <cell r="AI1055">
            <v>114.467</v>
          </cell>
          <cell r="AJ1055">
            <v>40904</v>
          </cell>
        </row>
        <row r="1056">
          <cell r="AI1056">
            <v>114.09699999999999</v>
          </cell>
          <cell r="AJ1056">
            <v>40905</v>
          </cell>
        </row>
        <row r="1057">
          <cell r="AI1057">
            <v>114.29300000000001</v>
          </cell>
          <cell r="AJ1057">
            <v>40906</v>
          </cell>
        </row>
        <row r="1058">
          <cell r="AI1058">
            <v>114.928</v>
          </cell>
          <cell r="AJ1058">
            <v>40907</v>
          </cell>
        </row>
        <row r="1059">
          <cell r="AI1059">
            <v>116.402</v>
          </cell>
          <cell r="AJ1059">
            <v>40910</v>
          </cell>
        </row>
        <row r="1060">
          <cell r="AI1060">
            <v>117.291</v>
          </cell>
          <cell r="AJ1060">
            <v>40911</v>
          </cell>
        </row>
        <row r="1061">
          <cell r="AI1061">
            <v>118.86799999999999</v>
          </cell>
          <cell r="AJ1061">
            <v>40912</v>
          </cell>
        </row>
        <row r="1062">
          <cell r="AI1062">
            <v>120.2</v>
          </cell>
          <cell r="AJ1062">
            <v>40913</v>
          </cell>
        </row>
        <row r="1063">
          <cell r="AI1063">
            <v>118.444</v>
          </cell>
          <cell r="AJ1063">
            <v>40914</v>
          </cell>
        </row>
        <row r="1064">
          <cell r="AI1064">
            <v>117.569</v>
          </cell>
          <cell r="AJ1064">
            <v>40917</v>
          </cell>
        </row>
        <row r="1065">
          <cell r="AI1065">
            <v>119.592</v>
          </cell>
          <cell r="AJ1065">
            <v>40918</v>
          </cell>
        </row>
        <row r="1066">
          <cell r="AI1066">
            <v>118.92100000000001</v>
          </cell>
          <cell r="AJ1066">
            <v>40919</v>
          </cell>
        </row>
        <row r="1067">
          <cell r="AI1067">
            <v>119.16</v>
          </cell>
          <cell r="AJ1067">
            <v>40920</v>
          </cell>
        </row>
        <row r="1068">
          <cell r="AI1068">
            <v>117.96899999999999</v>
          </cell>
          <cell r="AJ1068">
            <v>40921</v>
          </cell>
        </row>
        <row r="1069">
          <cell r="AI1069">
            <v>118.343</v>
          </cell>
          <cell r="AJ1069">
            <v>40924</v>
          </cell>
        </row>
        <row r="1070">
          <cell r="AI1070">
            <v>118.694</v>
          </cell>
          <cell r="AJ1070">
            <v>40925</v>
          </cell>
        </row>
        <row r="1071">
          <cell r="AI1071">
            <v>119.852</v>
          </cell>
          <cell r="AJ1071">
            <v>40926</v>
          </cell>
        </row>
        <row r="1072">
          <cell r="AI1072">
            <v>119.5</v>
          </cell>
          <cell r="AJ1072">
            <v>40927</v>
          </cell>
        </row>
        <row r="1073">
          <cell r="AI1073">
            <v>119.79900000000001</v>
          </cell>
          <cell r="AJ1073">
            <v>40928</v>
          </cell>
        </row>
        <row r="1074">
          <cell r="AI1074">
            <v>119.41500000000001</v>
          </cell>
          <cell r="AJ1074">
            <v>40931</v>
          </cell>
        </row>
        <row r="1075">
          <cell r="AI1075">
            <v>120.2</v>
          </cell>
          <cell r="AJ1075">
            <v>40932</v>
          </cell>
        </row>
        <row r="1076">
          <cell r="AI1076">
            <v>118.529</v>
          </cell>
          <cell r="AJ1076">
            <v>40933</v>
          </cell>
        </row>
        <row r="1077">
          <cell r="AI1077">
            <v>119.38</v>
          </cell>
          <cell r="AJ1077">
            <v>40934</v>
          </cell>
        </row>
        <row r="1078">
          <cell r="AI1078">
            <v>118.7</v>
          </cell>
          <cell r="AJ1078">
            <v>40935</v>
          </cell>
        </row>
        <row r="1079">
          <cell r="AI1079">
            <v>118.55</v>
          </cell>
          <cell r="AJ1079">
            <v>40938</v>
          </cell>
        </row>
        <row r="1080">
          <cell r="AI1080">
            <v>121.099</v>
          </cell>
          <cell r="AJ1080">
            <v>40939</v>
          </cell>
        </row>
        <row r="1081">
          <cell r="AI1081">
            <v>122.54900000000001</v>
          </cell>
          <cell r="AJ1081">
            <v>40940</v>
          </cell>
        </row>
        <row r="1082">
          <cell r="AI1082">
            <v>123.029</v>
          </cell>
          <cell r="AJ1082">
            <v>40941</v>
          </cell>
        </row>
        <row r="1083">
          <cell r="AI1083">
            <v>125</v>
          </cell>
          <cell r="AJ1083">
            <v>40942</v>
          </cell>
        </row>
        <row r="1084">
          <cell r="AI1084">
            <v>124</v>
          </cell>
          <cell r="AJ1084">
            <v>40945</v>
          </cell>
        </row>
        <row r="1085">
          <cell r="AI1085">
            <v>124.44199999999999</v>
          </cell>
          <cell r="AJ1085">
            <v>40946</v>
          </cell>
        </row>
        <row r="1086">
          <cell r="AI1086">
            <v>124.2</v>
          </cell>
          <cell r="AJ1086">
            <v>40947</v>
          </cell>
        </row>
        <row r="1087">
          <cell r="AI1087">
            <v>123.61199999999999</v>
          </cell>
          <cell r="AJ1087">
            <v>40948</v>
          </cell>
        </row>
        <row r="1088">
          <cell r="AI1088">
            <v>122.999</v>
          </cell>
          <cell r="AJ1088">
            <v>40949</v>
          </cell>
        </row>
        <row r="1089">
          <cell r="AI1089">
            <v>123.45699999999999</v>
          </cell>
          <cell r="AJ1089">
            <v>40952</v>
          </cell>
        </row>
        <row r="1090">
          <cell r="AI1090">
            <v>123.042</v>
          </cell>
          <cell r="AJ1090">
            <v>40953</v>
          </cell>
        </row>
        <row r="1091">
          <cell r="AI1091">
            <v>123.67700000000001</v>
          </cell>
          <cell r="AJ1091">
            <v>40954</v>
          </cell>
        </row>
        <row r="1092">
          <cell r="AI1092">
            <v>124.54900000000001</v>
          </cell>
          <cell r="AJ1092">
            <v>40955</v>
          </cell>
        </row>
        <row r="1093">
          <cell r="AI1093">
            <v>124.62</v>
          </cell>
          <cell r="AJ1093">
            <v>40956</v>
          </cell>
        </row>
        <row r="1094">
          <cell r="AI1094">
            <v>125.877</v>
          </cell>
          <cell r="AJ1094">
            <v>40959</v>
          </cell>
        </row>
        <row r="1095">
          <cell r="AI1095">
            <v>125.288</v>
          </cell>
          <cell r="AJ1095">
            <v>40960</v>
          </cell>
        </row>
        <row r="1096">
          <cell r="AI1096">
            <v>125.3</v>
          </cell>
          <cell r="AJ1096">
            <v>40961</v>
          </cell>
        </row>
        <row r="1097">
          <cell r="AI1097">
            <v>125.369</v>
          </cell>
          <cell r="AJ1097">
            <v>40962</v>
          </cell>
        </row>
        <row r="1098">
          <cell r="AI1098">
            <v>126.52200000000001</v>
          </cell>
          <cell r="AJ1098">
            <v>40963</v>
          </cell>
        </row>
        <row r="1099">
          <cell r="AI1099">
            <v>125.73099999999999</v>
          </cell>
          <cell r="AJ1099">
            <v>40966</v>
          </cell>
        </row>
        <row r="1100">
          <cell r="AI1100">
            <v>125.869</v>
          </cell>
          <cell r="AJ1100">
            <v>40967</v>
          </cell>
        </row>
        <row r="1101">
          <cell r="AI1101">
            <v>125.226</v>
          </cell>
          <cell r="AJ1101">
            <v>40968</v>
          </cell>
        </row>
        <row r="1102">
          <cell r="AI1102">
            <v>125.282</v>
          </cell>
          <cell r="AJ1102">
            <v>40969</v>
          </cell>
        </row>
        <row r="1103">
          <cell r="AI1103">
            <v>125.327</v>
          </cell>
          <cell r="AJ1103">
            <v>40970</v>
          </cell>
        </row>
        <row r="1104">
          <cell r="AI1104">
            <v>125.20699999999999</v>
          </cell>
          <cell r="AJ1104">
            <v>40973</v>
          </cell>
        </row>
        <row r="1105">
          <cell r="AI1105">
            <v>123.119</v>
          </cell>
          <cell r="AJ1105">
            <v>40974</v>
          </cell>
        </row>
        <row r="1106">
          <cell r="AI1106">
            <v>123.85599999999999</v>
          </cell>
          <cell r="AJ1106">
            <v>40975</v>
          </cell>
        </row>
        <row r="1107">
          <cell r="AI1107">
            <v>125.904</v>
          </cell>
          <cell r="AJ1107">
            <v>40976</v>
          </cell>
        </row>
        <row r="1108">
          <cell r="AI1108">
            <v>132.93199999999999</v>
          </cell>
          <cell r="AJ1108">
            <v>40977</v>
          </cell>
        </row>
        <row r="1109">
          <cell r="AI1109">
            <v>132.626</v>
          </cell>
          <cell r="AJ1109">
            <v>40980</v>
          </cell>
        </row>
        <row r="1110">
          <cell r="AI1110">
            <v>134.08199999999999</v>
          </cell>
          <cell r="AJ1110">
            <v>40981</v>
          </cell>
        </row>
        <row r="1111">
          <cell r="AI1111">
            <v>133.601</v>
          </cell>
          <cell r="AJ1111">
            <v>40982</v>
          </cell>
        </row>
        <row r="1112">
          <cell r="AI1112">
            <v>134.084</v>
          </cell>
          <cell r="AJ1112">
            <v>40983</v>
          </cell>
        </row>
        <row r="1113">
          <cell r="AI1113">
            <v>133.584</v>
          </cell>
          <cell r="AJ1113">
            <v>40984</v>
          </cell>
        </row>
        <row r="1114">
          <cell r="AI1114">
            <v>132.47800000000001</v>
          </cell>
          <cell r="AJ1114">
            <v>40987</v>
          </cell>
        </row>
        <row r="1115">
          <cell r="AI1115">
            <v>131.35</v>
          </cell>
          <cell r="AJ1115">
            <v>40988</v>
          </cell>
        </row>
        <row r="1116">
          <cell r="AI1116">
            <v>132.035</v>
          </cell>
          <cell r="AJ1116">
            <v>40989</v>
          </cell>
        </row>
        <row r="1117">
          <cell r="AI1117">
            <v>130.79599999999999</v>
          </cell>
          <cell r="AJ1117">
            <v>40990</v>
          </cell>
        </row>
        <row r="1118">
          <cell r="AI1118">
            <v>130.81399999999999</v>
          </cell>
          <cell r="AJ1118">
            <v>40991</v>
          </cell>
        </row>
        <row r="1119">
          <cell r="AI1119">
            <v>134.56100000000001</v>
          </cell>
          <cell r="AJ1119">
            <v>40994</v>
          </cell>
        </row>
        <row r="1120">
          <cell r="AI1120">
            <v>133.702</v>
          </cell>
          <cell r="AJ1120">
            <v>40995</v>
          </cell>
        </row>
        <row r="1121">
          <cell r="AI1121">
            <v>132.14099999999999</v>
          </cell>
          <cell r="AJ1121">
            <v>40996</v>
          </cell>
        </row>
        <row r="1122">
          <cell r="AI1122">
            <v>132.261</v>
          </cell>
          <cell r="AJ1122">
            <v>40997</v>
          </cell>
        </row>
        <row r="1123">
          <cell r="AI1123">
            <v>134.56899999999999</v>
          </cell>
          <cell r="AJ1123">
            <v>40998</v>
          </cell>
        </row>
        <row r="1124">
          <cell r="AI1124">
            <v>136.63900000000001</v>
          </cell>
          <cell r="AJ1124">
            <v>41001</v>
          </cell>
        </row>
        <row r="1125">
          <cell r="AI1125">
            <v>135.21600000000001</v>
          </cell>
          <cell r="AJ1125">
            <v>41002</v>
          </cell>
        </row>
        <row r="1126">
          <cell r="AI1126">
            <v>130.19</v>
          </cell>
          <cell r="AJ1126">
            <v>41003</v>
          </cell>
        </row>
        <row r="1127">
          <cell r="AI1127">
            <v>130.85</v>
          </cell>
          <cell r="AJ1127">
            <v>41004</v>
          </cell>
        </row>
        <row r="1128">
          <cell r="AI1128">
            <v>128.41399999999999</v>
          </cell>
          <cell r="AJ1128">
            <v>41009</v>
          </cell>
        </row>
        <row r="1129">
          <cell r="AI1129">
            <v>129.167</v>
          </cell>
          <cell r="AJ1129">
            <v>41010</v>
          </cell>
        </row>
        <row r="1130">
          <cell r="AI1130">
            <v>131.09800000000001</v>
          </cell>
          <cell r="AJ1130">
            <v>41011</v>
          </cell>
        </row>
        <row r="1131">
          <cell r="AI1131">
            <v>127.949</v>
          </cell>
          <cell r="AJ1131">
            <v>41012</v>
          </cell>
        </row>
        <row r="1132">
          <cell r="AI1132">
            <v>129.9</v>
          </cell>
          <cell r="AJ1132">
            <v>41015</v>
          </cell>
        </row>
        <row r="1133">
          <cell r="AI1133">
            <v>130.62299999999999</v>
          </cell>
          <cell r="AJ1133">
            <v>41016</v>
          </cell>
        </row>
        <row r="1134">
          <cell r="AI1134">
            <v>130.55699999999999</v>
          </cell>
          <cell r="AJ1134">
            <v>41017</v>
          </cell>
        </row>
        <row r="1135">
          <cell r="AI1135">
            <v>128.80099999999999</v>
          </cell>
          <cell r="AJ1135">
            <v>41018</v>
          </cell>
        </row>
        <row r="1136">
          <cell r="AI1136">
            <v>129.797</v>
          </cell>
          <cell r="AJ1136">
            <v>41019</v>
          </cell>
        </row>
        <row r="1137">
          <cell r="AI1137">
            <v>127.32899999999999</v>
          </cell>
          <cell r="AJ1137">
            <v>41022</v>
          </cell>
        </row>
        <row r="1138">
          <cell r="AI1138">
            <v>122.4</v>
          </cell>
          <cell r="AJ1138">
            <v>41023</v>
          </cell>
        </row>
        <row r="1139">
          <cell r="AI1139">
            <v>128.06899999999999</v>
          </cell>
          <cell r="AJ1139">
            <v>41024</v>
          </cell>
        </row>
        <row r="1140">
          <cell r="AI1140">
            <v>128.17500000000001</v>
          </cell>
          <cell r="AJ1140">
            <v>41025</v>
          </cell>
        </row>
        <row r="1141">
          <cell r="AI1141">
            <v>130.26599999999999</v>
          </cell>
          <cell r="AJ1141">
            <v>41026</v>
          </cell>
        </row>
        <row r="1142">
          <cell r="AI1142">
            <v>129.49100000000001</v>
          </cell>
          <cell r="AJ1142">
            <v>41029</v>
          </cell>
        </row>
        <row r="1143">
          <cell r="AI1143">
            <v>128.40799999999999</v>
          </cell>
          <cell r="AJ1143">
            <v>41031</v>
          </cell>
        </row>
        <row r="1144">
          <cell r="AI1144">
            <v>129.04599999999999</v>
          </cell>
          <cell r="AJ1144">
            <v>41032</v>
          </cell>
        </row>
        <row r="1145">
          <cell r="AI1145">
            <v>127.402</v>
          </cell>
          <cell r="AJ1145">
            <v>41033</v>
          </cell>
        </row>
        <row r="1146">
          <cell r="AI1146">
            <v>124.066</v>
          </cell>
          <cell r="AJ1146">
            <v>41036</v>
          </cell>
        </row>
        <row r="1147">
          <cell r="AI1147">
            <v>121.57</v>
          </cell>
          <cell r="AJ1147">
            <v>41037</v>
          </cell>
        </row>
        <row r="1148">
          <cell r="AI1148">
            <v>124</v>
          </cell>
          <cell r="AJ1148">
            <v>41038</v>
          </cell>
        </row>
        <row r="1149">
          <cell r="AI1149">
            <v>124.274</v>
          </cell>
          <cell r="AJ1149">
            <v>41039</v>
          </cell>
        </row>
        <row r="1150">
          <cell r="AI1150">
            <v>125.11499999999999</v>
          </cell>
          <cell r="AJ1150">
            <v>41040</v>
          </cell>
        </row>
        <row r="1151">
          <cell r="AI1151">
            <v>123.913</v>
          </cell>
          <cell r="AJ1151">
            <v>41043</v>
          </cell>
        </row>
        <row r="1152">
          <cell r="AI1152">
            <v>123.033</v>
          </cell>
          <cell r="AJ1152">
            <v>41044</v>
          </cell>
        </row>
        <row r="1153">
          <cell r="AI1153">
            <v>122.896</v>
          </cell>
          <cell r="AJ1153">
            <v>41045</v>
          </cell>
        </row>
        <row r="1154">
          <cell r="AI1154">
            <v>122.05</v>
          </cell>
          <cell r="AJ1154">
            <v>41046</v>
          </cell>
        </row>
        <row r="1155">
          <cell r="AI1155">
            <v>121.03400000000001</v>
          </cell>
          <cell r="AJ1155">
            <v>41047</v>
          </cell>
        </row>
        <row r="1156">
          <cell r="AI1156">
            <v>122.843</v>
          </cell>
          <cell r="AJ1156">
            <v>41050</v>
          </cell>
        </row>
        <row r="1157">
          <cell r="AI1157">
            <v>123.574</v>
          </cell>
          <cell r="AJ1157">
            <v>41051</v>
          </cell>
        </row>
        <row r="1158">
          <cell r="AI1158">
            <v>121.753</v>
          </cell>
          <cell r="AJ1158">
            <v>41052</v>
          </cell>
        </row>
        <row r="1159">
          <cell r="AI1159">
            <v>122.012</v>
          </cell>
          <cell r="AJ1159">
            <v>41053</v>
          </cell>
        </row>
        <row r="1160">
          <cell r="AI1160">
            <v>121.337</v>
          </cell>
          <cell r="AJ1160">
            <v>41054</v>
          </cell>
        </row>
        <row r="1161">
          <cell r="AI1161">
            <v>123.5</v>
          </cell>
          <cell r="AJ1161">
            <v>41057</v>
          </cell>
        </row>
        <row r="1162">
          <cell r="AI1162">
            <v>125.19499999999999</v>
          </cell>
          <cell r="AJ1162">
            <v>41058</v>
          </cell>
        </row>
        <row r="1163">
          <cell r="AI1163">
            <v>123.63</v>
          </cell>
          <cell r="AJ1163">
            <v>41059</v>
          </cell>
        </row>
        <row r="1164">
          <cell r="AI1164">
            <v>124.708</v>
          </cell>
          <cell r="AJ1164">
            <v>41060</v>
          </cell>
        </row>
        <row r="1165">
          <cell r="AI1165">
            <v>121.244</v>
          </cell>
          <cell r="AJ1165">
            <v>41061</v>
          </cell>
        </row>
        <row r="1166">
          <cell r="AI1166">
            <v>116.4</v>
          </cell>
          <cell r="AJ1166">
            <v>41064</v>
          </cell>
        </row>
        <row r="1167">
          <cell r="AI1167">
            <v>116.009</v>
          </cell>
          <cell r="AJ1167">
            <v>41065</v>
          </cell>
        </row>
        <row r="1168">
          <cell r="AI1168">
            <v>119.001</v>
          </cell>
          <cell r="AJ1168">
            <v>41066</v>
          </cell>
        </row>
        <row r="1169">
          <cell r="AI1169">
            <v>120.46299999999999</v>
          </cell>
          <cell r="AJ1169">
            <v>41067</v>
          </cell>
        </row>
        <row r="1170">
          <cell r="AI1170">
            <v>119.629</v>
          </cell>
          <cell r="AJ1170">
            <v>41068</v>
          </cell>
        </row>
        <row r="1171">
          <cell r="AI1171">
            <v>119.923</v>
          </cell>
          <cell r="AJ1171">
            <v>41071</v>
          </cell>
        </row>
        <row r="1172">
          <cell r="AI1172">
            <v>120.23399999999999</v>
          </cell>
          <cell r="AJ1172">
            <v>41072</v>
          </cell>
        </row>
        <row r="1173">
          <cell r="AI1173">
            <v>118.961</v>
          </cell>
          <cell r="AJ1173">
            <v>41073</v>
          </cell>
        </row>
        <row r="1174">
          <cell r="AI1174">
            <v>119.15</v>
          </cell>
          <cell r="AJ1174">
            <v>41074</v>
          </cell>
        </row>
        <row r="1175">
          <cell r="AI1175">
            <v>119.209</v>
          </cell>
          <cell r="AJ1175">
            <v>41075</v>
          </cell>
        </row>
        <row r="1176">
          <cell r="AI1176">
            <v>121.322</v>
          </cell>
          <cell r="AJ1176">
            <v>41078</v>
          </cell>
        </row>
        <row r="1177">
          <cell r="AI1177">
            <v>122.196</v>
          </cell>
          <cell r="AJ1177">
            <v>41079</v>
          </cell>
        </row>
        <row r="1178">
          <cell r="AI1178">
            <v>121.6</v>
          </cell>
          <cell r="AJ1178">
            <v>41080</v>
          </cell>
        </row>
        <row r="1179">
          <cell r="AI1179">
            <v>121.875</v>
          </cell>
          <cell r="AJ1179">
            <v>41081</v>
          </cell>
        </row>
        <row r="1180">
          <cell r="AI1180">
            <v>119.88</v>
          </cell>
          <cell r="AJ1180">
            <v>41082</v>
          </cell>
        </row>
        <row r="1181">
          <cell r="AI1181">
            <v>117.89400000000001</v>
          </cell>
          <cell r="AJ1181">
            <v>41085</v>
          </cell>
        </row>
        <row r="1182">
          <cell r="AI1182">
            <v>118.648</v>
          </cell>
          <cell r="AJ1182">
            <v>41086</v>
          </cell>
        </row>
        <row r="1183">
          <cell r="AI1183">
            <v>119.05</v>
          </cell>
          <cell r="AJ1183">
            <v>41087</v>
          </cell>
        </row>
        <row r="1184">
          <cell r="AI1184">
            <v>117.383</v>
          </cell>
          <cell r="AJ1184">
            <v>41088</v>
          </cell>
        </row>
        <row r="1185">
          <cell r="AI1185">
            <v>122.679</v>
          </cell>
          <cell r="AJ1185">
            <v>41089</v>
          </cell>
        </row>
        <row r="1186">
          <cell r="AI1186">
            <v>120.78</v>
          </cell>
          <cell r="AJ1186">
            <v>41092</v>
          </cell>
        </row>
        <row r="1187">
          <cell r="AI1187">
            <v>121.999</v>
          </cell>
          <cell r="AJ1187">
            <v>41093</v>
          </cell>
        </row>
        <row r="1188">
          <cell r="AI1188">
            <v>120.429</v>
          </cell>
          <cell r="AJ1188">
            <v>41094</v>
          </cell>
        </row>
        <row r="1189">
          <cell r="AI1189">
            <v>117.05</v>
          </cell>
          <cell r="AJ1189">
            <v>41095</v>
          </cell>
        </row>
        <row r="1190">
          <cell r="AI1190">
            <v>117.444</v>
          </cell>
          <cell r="AJ1190">
            <v>41096</v>
          </cell>
        </row>
        <row r="1191">
          <cell r="AI1191">
            <v>114.5</v>
          </cell>
          <cell r="AJ1191">
            <v>41099</v>
          </cell>
        </row>
        <row r="1192">
          <cell r="AI1192">
            <v>114.301</v>
          </cell>
          <cell r="AJ1192">
            <v>41100</v>
          </cell>
        </row>
        <row r="1193">
          <cell r="AI1193">
            <v>115.85</v>
          </cell>
          <cell r="AJ1193">
            <v>41101</v>
          </cell>
        </row>
        <row r="1194">
          <cell r="AI1194">
            <v>117.209</v>
          </cell>
          <cell r="AJ1194">
            <v>41102</v>
          </cell>
        </row>
        <row r="1195">
          <cell r="AI1195">
            <v>117.876</v>
          </cell>
          <cell r="AJ1195">
            <v>41103</v>
          </cell>
        </row>
        <row r="1196">
          <cell r="AI1196">
            <v>117.801</v>
          </cell>
          <cell r="AJ1196">
            <v>41106</v>
          </cell>
        </row>
        <row r="1197">
          <cell r="AI1197">
            <v>119.2</v>
          </cell>
          <cell r="AJ1197">
            <v>41107</v>
          </cell>
        </row>
        <row r="1198">
          <cell r="AI1198">
            <v>120.95099999999999</v>
          </cell>
          <cell r="AJ1198">
            <v>41108</v>
          </cell>
        </row>
        <row r="1199">
          <cell r="AI1199">
            <v>122.471</v>
          </cell>
          <cell r="AJ1199">
            <v>41109</v>
          </cell>
        </row>
        <row r="1200">
          <cell r="AI1200">
            <v>120.28</v>
          </cell>
          <cell r="AJ1200">
            <v>41110</v>
          </cell>
        </row>
        <row r="1201">
          <cell r="AI1201">
            <v>117.833</v>
          </cell>
          <cell r="AJ1201">
            <v>41113</v>
          </cell>
        </row>
        <row r="1202">
          <cell r="AI1202">
            <v>116.066</v>
          </cell>
          <cell r="AJ1202">
            <v>41114</v>
          </cell>
        </row>
        <row r="1203">
          <cell r="AI1203">
            <v>117.5</v>
          </cell>
          <cell r="AJ1203">
            <v>41115</v>
          </cell>
        </row>
        <row r="1204">
          <cell r="AI1204">
            <v>118.54600000000001</v>
          </cell>
          <cell r="AJ1204">
            <v>41116</v>
          </cell>
        </row>
        <row r="1205">
          <cell r="AI1205">
            <v>122.396</v>
          </cell>
          <cell r="AJ1205">
            <v>41117</v>
          </cell>
        </row>
        <row r="1206">
          <cell r="AI1206">
            <v>121.877</v>
          </cell>
          <cell r="AJ1206">
            <v>41120</v>
          </cell>
        </row>
        <row r="1207">
          <cell r="AI1207">
            <v>121.05</v>
          </cell>
          <cell r="AJ1207">
            <v>41121</v>
          </cell>
        </row>
        <row r="1208">
          <cell r="AI1208">
            <v>122.21299999999999</v>
          </cell>
          <cell r="AJ1208">
            <v>41122</v>
          </cell>
        </row>
        <row r="1209">
          <cell r="AI1209">
            <v>119.193</v>
          </cell>
          <cell r="AJ1209">
            <v>41123</v>
          </cell>
        </row>
        <row r="1210">
          <cell r="AI1210">
            <v>123.85299999999999</v>
          </cell>
          <cell r="AJ1210">
            <v>41124</v>
          </cell>
        </row>
        <row r="1211">
          <cell r="AI1211">
            <v>123.655</v>
          </cell>
          <cell r="AJ1211">
            <v>41127</v>
          </cell>
        </row>
        <row r="1212">
          <cell r="AI1212">
            <v>123.506</v>
          </cell>
          <cell r="AJ1212">
            <v>41128</v>
          </cell>
        </row>
        <row r="1213">
          <cell r="AI1213">
            <v>124.631</v>
          </cell>
          <cell r="AJ1213">
            <v>41129</v>
          </cell>
        </row>
        <row r="1214">
          <cell r="AI1214">
            <v>124.483</v>
          </cell>
          <cell r="AJ1214">
            <v>41130</v>
          </cell>
        </row>
        <row r="1215">
          <cell r="AI1215">
            <v>123.94</v>
          </cell>
          <cell r="AJ1215">
            <v>41131</v>
          </cell>
        </row>
        <row r="1216">
          <cell r="AI1216">
            <v>123.276</v>
          </cell>
          <cell r="AJ1216">
            <v>41134</v>
          </cell>
        </row>
        <row r="1217">
          <cell r="AI1217">
            <v>124.45099999999999</v>
          </cell>
          <cell r="AJ1217">
            <v>41135</v>
          </cell>
        </row>
        <row r="1218">
          <cell r="AI1218">
            <v>123.7</v>
          </cell>
          <cell r="AJ1218">
            <v>41136</v>
          </cell>
        </row>
        <row r="1219">
          <cell r="AI1219">
            <v>124.6</v>
          </cell>
          <cell r="AJ1219">
            <v>41137</v>
          </cell>
        </row>
        <row r="1220">
          <cell r="AI1220">
            <v>124.59</v>
          </cell>
          <cell r="AJ1220">
            <v>41138</v>
          </cell>
        </row>
        <row r="1221">
          <cell r="AI1221">
            <v>123.22799999999999</v>
          </cell>
          <cell r="AJ1221">
            <v>41141</v>
          </cell>
        </row>
        <row r="1222">
          <cell r="AI1222">
            <v>124.372</v>
          </cell>
          <cell r="AJ1222">
            <v>41142</v>
          </cell>
        </row>
        <row r="1223">
          <cell r="AI1223">
            <v>123.928</v>
          </cell>
          <cell r="AJ1223">
            <v>41143</v>
          </cell>
        </row>
        <row r="1224">
          <cell r="AI1224">
            <v>123.64700000000001</v>
          </cell>
          <cell r="AJ1224">
            <v>41144</v>
          </cell>
        </row>
        <row r="1225">
          <cell r="AI1225">
            <v>125.345</v>
          </cell>
          <cell r="AJ1225">
            <v>41145</v>
          </cell>
        </row>
        <row r="1226">
          <cell r="AI1226">
            <v>126.58499999999999</v>
          </cell>
          <cell r="AJ1226">
            <v>41148</v>
          </cell>
        </row>
        <row r="1227">
          <cell r="AI1227">
            <v>125.807</v>
          </cell>
          <cell r="AJ1227">
            <v>41149</v>
          </cell>
        </row>
        <row r="1228">
          <cell r="AI1228">
            <v>126.6</v>
          </cell>
          <cell r="AJ1228">
            <v>41150</v>
          </cell>
        </row>
        <row r="1229">
          <cell r="AI1229">
            <v>124.959</v>
          </cell>
          <cell r="AJ1229">
            <v>41151</v>
          </cell>
        </row>
        <row r="1230">
          <cell r="AI1230">
            <v>124.878</v>
          </cell>
          <cell r="AJ1230">
            <v>41152</v>
          </cell>
        </row>
        <row r="1231">
          <cell r="AI1231">
            <v>126.422</v>
          </cell>
          <cell r="AJ1231">
            <v>41155</v>
          </cell>
        </row>
        <row r="1232">
          <cell r="AI1232">
            <v>124.509</v>
          </cell>
          <cell r="AJ1232">
            <v>41156</v>
          </cell>
        </row>
        <row r="1233">
          <cell r="AI1233">
            <v>126.57</v>
          </cell>
          <cell r="AJ1233">
            <v>41157</v>
          </cell>
        </row>
        <row r="1234">
          <cell r="AI1234">
            <v>130.30000000000001</v>
          </cell>
          <cell r="AJ1234">
            <v>41158</v>
          </cell>
        </row>
        <row r="1235">
          <cell r="AI1235">
            <v>129.65</v>
          </cell>
          <cell r="AJ1235">
            <v>41159</v>
          </cell>
        </row>
        <row r="1236">
          <cell r="AI1236">
            <v>129.25700000000001</v>
          </cell>
          <cell r="AJ1236">
            <v>41162</v>
          </cell>
        </row>
        <row r="1237">
          <cell r="AI1237">
            <v>129.75399999999999</v>
          </cell>
          <cell r="AJ1237">
            <v>41163</v>
          </cell>
        </row>
        <row r="1238">
          <cell r="AI1238">
            <v>130.87100000000001</v>
          </cell>
          <cell r="AJ1238">
            <v>41164</v>
          </cell>
        </row>
        <row r="1239">
          <cell r="AI1239">
            <v>131.19399999999999</v>
          </cell>
          <cell r="AJ1239">
            <v>41165</v>
          </cell>
        </row>
        <row r="1240">
          <cell r="AI1240">
            <v>130</v>
          </cell>
          <cell r="AJ1240">
            <v>41166</v>
          </cell>
        </row>
        <row r="1241">
          <cell r="AI1241">
            <v>131.905</v>
          </cell>
          <cell r="AJ1241">
            <v>41169</v>
          </cell>
        </row>
        <row r="1242">
          <cell r="AI1242">
            <v>132.83600000000001</v>
          </cell>
          <cell r="AJ1242">
            <v>41170</v>
          </cell>
        </row>
        <row r="1243">
          <cell r="AI1243">
            <v>132.898</v>
          </cell>
          <cell r="AJ1243">
            <v>41171</v>
          </cell>
        </row>
        <row r="1244">
          <cell r="AI1244">
            <v>133.983</v>
          </cell>
          <cell r="AJ1244">
            <v>41172</v>
          </cell>
        </row>
        <row r="1245">
          <cell r="AI1245">
            <v>135.024</v>
          </cell>
          <cell r="AJ1245">
            <v>41173</v>
          </cell>
        </row>
        <row r="1246">
          <cell r="AI1246">
            <v>133.964</v>
          </cell>
          <cell r="AJ1246">
            <v>41176</v>
          </cell>
        </row>
        <row r="1247">
          <cell r="AI1247">
            <v>133.035</v>
          </cell>
          <cell r="AJ1247">
            <v>41177</v>
          </cell>
        </row>
        <row r="1248">
          <cell r="AI1248">
            <v>133.078</v>
          </cell>
          <cell r="AJ1248">
            <v>41178</v>
          </cell>
        </row>
        <row r="1249">
          <cell r="AI1249">
            <v>134.99799999999999</v>
          </cell>
          <cell r="AJ1249">
            <v>41179</v>
          </cell>
        </row>
        <row r="1250">
          <cell r="AI1250">
            <v>134.18199999999999</v>
          </cell>
          <cell r="AJ1250">
            <v>41180</v>
          </cell>
        </row>
        <row r="1251">
          <cell r="AI1251">
            <v>135.595</v>
          </cell>
          <cell r="AJ1251">
            <v>41183</v>
          </cell>
        </row>
        <row r="1252">
          <cell r="AI1252">
            <v>135.05799999999999</v>
          </cell>
          <cell r="AJ1252">
            <v>41184</v>
          </cell>
        </row>
        <row r="1253">
          <cell r="AI1253">
            <v>135.20599999999999</v>
          </cell>
          <cell r="AJ1253">
            <v>41185</v>
          </cell>
        </row>
        <row r="1254">
          <cell r="AI1254">
            <v>134.56899999999999</v>
          </cell>
          <cell r="AJ1254">
            <v>41186</v>
          </cell>
        </row>
        <row r="1255">
          <cell r="AI1255">
            <v>134.762</v>
          </cell>
          <cell r="AJ1255">
            <v>41187</v>
          </cell>
        </row>
        <row r="1256">
          <cell r="AI1256">
            <v>133.08799999999999</v>
          </cell>
          <cell r="AJ1256">
            <v>41190</v>
          </cell>
        </row>
        <row r="1257">
          <cell r="AI1257">
            <v>132.251</v>
          </cell>
          <cell r="AJ1257">
            <v>41191</v>
          </cell>
        </row>
        <row r="1258">
          <cell r="AI1258">
            <v>131.1</v>
          </cell>
          <cell r="AJ1258">
            <v>41192</v>
          </cell>
        </row>
        <row r="1259">
          <cell r="AI1259">
            <v>132</v>
          </cell>
          <cell r="AJ1259">
            <v>41193</v>
          </cell>
        </row>
        <row r="1260">
          <cell r="AI1260">
            <v>131.983</v>
          </cell>
          <cell r="AJ1260">
            <v>41194</v>
          </cell>
        </row>
        <row r="1261">
          <cell r="AI1261">
            <v>132.11199999999999</v>
          </cell>
          <cell r="AJ1261">
            <v>41197</v>
          </cell>
        </row>
        <row r="1262">
          <cell r="AI1262">
            <v>134.18600000000001</v>
          </cell>
          <cell r="AJ1262">
            <v>41198</v>
          </cell>
        </row>
        <row r="1263">
          <cell r="AI1263">
            <v>133.60900000000001</v>
          </cell>
          <cell r="AJ1263">
            <v>41199</v>
          </cell>
        </row>
        <row r="1264">
          <cell r="AI1264">
            <v>132.55600000000001</v>
          </cell>
          <cell r="AJ1264">
            <v>41200</v>
          </cell>
        </row>
        <row r="1265">
          <cell r="AI1265">
            <v>132.126</v>
          </cell>
          <cell r="AJ1265">
            <v>41201</v>
          </cell>
        </row>
        <row r="1266">
          <cell r="AI1266">
            <v>130.161</v>
          </cell>
          <cell r="AJ1266">
            <v>41204</v>
          </cell>
        </row>
        <row r="1267">
          <cell r="AI1267">
            <v>127.79900000000001</v>
          </cell>
          <cell r="AJ1267">
            <v>41205</v>
          </cell>
        </row>
        <row r="1268">
          <cell r="AI1268">
            <v>126.95</v>
          </cell>
          <cell r="AJ1268">
            <v>41206</v>
          </cell>
        </row>
        <row r="1269">
          <cell r="AI1269">
            <v>129.19399999999999</v>
          </cell>
          <cell r="AJ1269">
            <v>41207</v>
          </cell>
        </row>
        <row r="1270">
          <cell r="AI1270">
            <v>129.05099999999999</v>
          </cell>
          <cell r="AJ1270">
            <v>41208</v>
          </cell>
        </row>
        <row r="1271">
          <cell r="AI1271">
            <v>132.13999999999999</v>
          </cell>
          <cell r="AJ1271">
            <v>41211</v>
          </cell>
        </row>
        <row r="1272">
          <cell r="AI1272">
            <v>131.364</v>
          </cell>
          <cell r="AJ1272">
            <v>41212</v>
          </cell>
        </row>
        <row r="1273">
          <cell r="AI1273">
            <v>129.393</v>
          </cell>
          <cell r="AJ1273">
            <v>41213</v>
          </cell>
        </row>
        <row r="1274">
          <cell r="AI1274">
            <v>131.64400000000001</v>
          </cell>
          <cell r="AJ1274">
            <v>41214</v>
          </cell>
        </row>
        <row r="1275">
          <cell r="AI1275">
            <v>131.93799999999999</v>
          </cell>
          <cell r="AJ1275">
            <v>41215</v>
          </cell>
        </row>
        <row r="1276">
          <cell r="AI1276">
            <v>131.15</v>
          </cell>
          <cell r="AJ1276">
            <v>41218</v>
          </cell>
        </row>
        <row r="1277">
          <cell r="AI1277">
            <v>132.797</v>
          </cell>
          <cell r="AJ1277">
            <v>41219</v>
          </cell>
        </row>
        <row r="1278">
          <cell r="AI1278">
            <v>131.41999999999999</v>
          </cell>
          <cell r="AJ1278">
            <v>41220</v>
          </cell>
        </row>
        <row r="1279">
          <cell r="AI1279">
            <v>129.26300000000001</v>
          </cell>
          <cell r="AJ1279">
            <v>41221</v>
          </cell>
        </row>
        <row r="1280">
          <cell r="AI1280">
            <v>128.25</v>
          </cell>
          <cell r="AJ1280">
            <v>41222</v>
          </cell>
        </row>
        <row r="1281">
          <cell r="AI1281">
            <v>129.30000000000001</v>
          </cell>
          <cell r="AJ1281">
            <v>41225</v>
          </cell>
        </row>
        <row r="1282">
          <cell r="AI1282">
            <v>129.23699999999999</v>
          </cell>
          <cell r="AJ1282">
            <v>41226</v>
          </cell>
        </row>
        <row r="1283">
          <cell r="AI1283">
            <v>127.646</v>
          </cell>
          <cell r="AJ1283">
            <v>41227</v>
          </cell>
        </row>
        <row r="1284">
          <cell r="AI1284">
            <v>126.7</v>
          </cell>
          <cell r="AJ1284">
            <v>41228</v>
          </cell>
        </row>
        <row r="1285">
          <cell r="AI1285">
            <v>126.05</v>
          </cell>
          <cell r="AJ1285">
            <v>41229</v>
          </cell>
        </row>
        <row r="1286">
          <cell r="AI1286">
            <v>126.965</v>
          </cell>
          <cell r="AJ1286">
            <v>41232</v>
          </cell>
        </row>
        <row r="1287">
          <cell r="AI1287">
            <v>128.363</v>
          </cell>
          <cell r="AJ1287">
            <v>41233</v>
          </cell>
        </row>
        <row r="1288">
          <cell r="AI1288">
            <v>127.932</v>
          </cell>
          <cell r="AJ1288">
            <v>41234</v>
          </cell>
        </row>
        <row r="1289">
          <cell r="AI1289">
            <v>129.261</v>
          </cell>
          <cell r="AJ1289">
            <v>41235</v>
          </cell>
        </row>
        <row r="1290">
          <cell r="AI1290">
            <v>131.56</v>
          </cell>
          <cell r="AJ1290">
            <v>41236</v>
          </cell>
        </row>
        <row r="1291">
          <cell r="AI1291">
            <v>132.995</v>
          </cell>
          <cell r="AJ1291">
            <v>41239</v>
          </cell>
        </row>
        <row r="1292">
          <cell r="AI1292">
            <v>134.61199999999999</v>
          </cell>
          <cell r="AJ1292">
            <v>41240</v>
          </cell>
        </row>
        <row r="1293">
          <cell r="AI1293">
            <v>134.22499999999999</v>
          </cell>
          <cell r="AJ1293">
            <v>41241</v>
          </cell>
        </row>
        <row r="1294">
          <cell r="AI1294">
            <v>133</v>
          </cell>
          <cell r="AJ1294">
            <v>41242</v>
          </cell>
        </row>
        <row r="1295">
          <cell r="AI1295">
            <v>133.24299999999999</v>
          </cell>
          <cell r="AJ1295">
            <v>41243</v>
          </cell>
        </row>
        <row r="1296">
          <cell r="AI1296">
            <v>132.858</v>
          </cell>
          <cell r="AJ1296">
            <v>41246</v>
          </cell>
        </row>
        <row r="1297">
          <cell r="AI1297">
            <v>131.636</v>
          </cell>
          <cell r="AJ1297">
            <v>41247</v>
          </cell>
        </row>
        <row r="1298">
          <cell r="AI1298">
            <v>132.15</v>
          </cell>
          <cell r="AJ1298">
            <v>41248</v>
          </cell>
        </row>
        <row r="1299">
          <cell r="AI1299">
            <v>134.08199999999999</v>
          </cell>
          <cell r="AJ1299">
            <v>41249</v>
          </cell>
        </row>
        <row r="1300">
          <cell r="AI1300">
            <v>133.6</v>
          </cell>
          <cell r="AJ1300">
            <v>41250</v>
          </cell>
        </row>
        <row r="1301">
          <cell r="AI1301">
            <v>134.44900000000001</v>
          </cell>
          <cell r="AJ1301">
            <v>41253</v>
          </cell>
        </row>
        <row r="1302">
          <cell r="AI1302">
            <v>134.77500000000001</v>
          </cell>
          <cell r="AJ1302">
            <v>41254</v>
          </cell>
        </row>
        <row r="1303">
          <cell r="AI1303">
            <v>134.69999999999999</v>
          </cell>
          <cell r="AJ1303">
            <v>41255</v>
          </cell>
        </row>
        <row r="1304">
          <cell r="AI1304">
            <v>133.892</v>
          </cell>
          <cell r="AJ1304">
            <v>41256</v>
          </cell>
        </row>
        <row r="1305">
          <cell r="AI1305">
            <v>133.85</v>
          </cell>
          <cell r="AJ1305">
            <v>41257</v>
          </cell>
        </row>
        <row r="1306">
          <cell r="AI1306">
            <v>133.934</v>
          </cell>
          <cell r="AJ1306">
            <v>41260</v>
          </cell>
        </row>
        <row r="1307">
          <cell r="AI1307">
            <v>133.48400000000001</v>
          </cell>
          <cell r="AJ1307">
            <v>41261</v>
          </cell>
        </row>
        <row r="1308">
          <cell r="AI1308">
            <v>134.00700000000001</v>
          </cell>
          <cell r="AJ1308">
            <v>41262</v>
          </cell>
        </row>
        <row r="1309">
          <cell r="AI1309">
            <v>133.53</v>
          </cell>
          <cell r="AJ1309">
            <v>41263</v>
          </cell>
        </row>
        <row r="1310">
          <cell r="AI1310">
            <v>132.55000000000001</v>
          </cell>
          <cell r="AJ1310">
            <v>41264</v>
          </cell>
        </row>
        <row r="1311">
          <cell r="AI1311">
            <v>131.94999999999999</v>
          </cell>
          <cell r="AJ1311">
            <v>41270</v>
          </cell>
        </row>
        <row r="1312">
          <cell r="AI1312">
            <v>131.79300000000001</v>
          </cell>
          <cell r="AJ1312">
            <v>41271</v>
          </cell>
        </row>
        <row r="1313">
          <cell r="AI1313">
            <v>132.04900000000001</v>
          </cell>
          <cell r="AJ1313">
            <v>41276</v>
          </cell>
        </row>
        <row r="1314">
          <cell r="AI1314">
            <v>131.30799999999999</v>
          </cell>
          <cell r="AJ1314">
            <v>41277</v>
          </cell>
        </row>
        <row r="1315">
          <cell r="AI1315">
            <v>132.86799999999999</v>
          </cell>
          <cell r="AJ1315">
            <v>41278</v>
          </cell>
        </row>
        <row r="1316">
          <cell r="AI1316">
            <v>132.28200000000001</v>
          </cell>
          <cell r="AJ1316">
            <v>41281</v>
          </cell>
        </row>
        <row r="1317">
          <cell r="AI1317">
            <v>132.16399999999999</v>
          </cell>
          <cell r="AJ1317">
            <v>41282</v>
          </cell>
        </row>
        <row r="1318">
          <cell r="AI1318">
            <v>130.96899999999999</v>
          </cell>
          <cell r="AJ1318">
            <v>41283</v>
          </cell>
        </row>
        <row r="1319">
          <cell r="AI1319">
            <v>129.85</v>
          </cell>
          <cell r="AJ1319">
            <v>41284</v>
          </cell>
        </row>
        <row r="1320">
          <cell r="AI1320">
            <v>127.91500000000001</v>
          </cell>
          <cell r="AJ1320">
            <v>41285</v>
          </cell>
        </row>
        <row r="1321">
          <cell r="AI1321">
            <v>130.35</v>
          </cell>
          <cell r="AJ1321">
            <v>41288</v>
          </cell>
        </row>
        <row r="1322">
          <cell r="AI1322">
            <v>129.989</v>
          </cell>
          <cell r="AJ1322">
            <v>41289</v>
          </cell>
        </row>
        <row r="1323">
          <cell r="AI1323">
            <v>131.34299999999999</v>
          </cell>
          <cell r="AJ1323">
            <v>41290</v>
          </cell>
        </row>
        <row r="1324">
          <cell r="AI1324">
            <v>132.625</v>
          </cell>
          <cell r="AJ1324">
            <v>41291</v>
          </cell>
        </row>
        <row r="1325">
          <cell r="AI1325">
            <v>131.97999999999999</v>
          </cell>
          <cell r="AJ1325">
            <v>41292</v>
          </cell>
        </row>
        <row r="1326">
          <cell r="AI1326">
            <v>133.20500000000001</v>
          </cell>
          <cell r="AJ1326">
            <v>41295</v>
          </cell>
        </row>
        <row r="1327">
          <cell r="AI1327">
            <v>132.15700000000001</v>
          </cell>
          <cell r="AJ1327">
            <v>41296</v>
          </cell>
        </row>
        <row r="1328">
          <cell r="AI1328">
            <v>134.17500000000001</v>
          </cell>
          <cell r="AJ1328">
            <v>41297</v>
          </cell>
        </row>
        <row r="1329">
          <cell r="AI1329">
            <v>134.93799999999999</v>
          </cell>
          <cell r="AJ1329">
            <v>41298</v>
          </cell>
        </row>
        <row r="1330">
          <cell r="AI1330">
            <v>136.488</v>
          </cell>
          <cell r="AJ1330">
            <v>41299</v>
          </cell>
        </row>
        <row r="1331">
          <cell r="AI1331">
            <v>135.565</v>
          </cell>
          <cell r="AJ1331">
            <v>41302</v>
          </cell>
        </row>
        <row r="1332">
          <cell r="AI1332">
            <v>136.20699999999999</v>
          </cell>
          <cell r="AJ1332">
            <v>41303</v>
          </cell>
        </row>
        <row r="1333">
          <cell r="AI1333">
            <v>134.30000000000001</v>
          </cell>
          <cell r="AJ1333">
            <v>41304</v>
          </cell>
        </row>
        <row r="1334">
          <cell r="AI1334">
            <v>134.679</v>
          </cell>
          <cell r="AJ1334">
            <v>41305</v>
          </cell>
        </row>
        <row r="1335">
          <cell r="AI1335">
            <v>135.631</v>
          </cell>
          <cell r="AJ1335">
            <v>41306</v>
          </cell>
        </row>
        <row r="1336">
          <cell r="AI1336">
            <v>132.82300000000001</v>
          </cell>
          <cell r="AJ1336">
            <v>41309</v>
          </cell>
        </row>
        <row r="1337">
          <cell r="AI1337">
            <v>132.11199999999999</v>
          </cell>
          <cell r="AJ1337">
            <v>41310</v>
          </cell>
        </row>
        <row r="1338">
          <cell r="AI1338">
            <v>129.96299999999999</v>
          </cell>
          <cell r="AJ1338">
            <v>41311</v>
          </cell>
        </row>
        <row r="1339">
          <cell r="AI1339">
            <v>129.96299999999999</v>
          </cell>
          <cell r="AJ1339">
            <v>41312</v>
          </cell>
        </row>
        <row r="1340">
          <cell r="AI1340">
            <v>130.35900000000001</v>
          </cell>
          <cell r="AJ1340">
            <v>41313</v>
          </cell>
        </row>
        <row r="1341">
          <cell r="AI1341">
            <v>130.929</v>
          </cell>
          <cell r="AJ1341">
            <v>41316</v>
          </cell>
        </row>
        <row r="1342">
          <cell r="AI1342">
            <v>131.13</v>
          </cell>
          <cell r="AJ1342">
            <v>41317</v>
          </cell>
        </row>
        <row r="1343">
          <cell r="AI1343">
            <v>132.55699999999999</v>
          </cell>
          <cell r="AJ1343">
            <v>41318</v>
          </cell>
        </row>
        <row r="1344">
          <cell r="AI1344">
            <v>131.56899999999999</v>
          </cell>
          <cell r="AJ1344">
            <v>41319</v>
          </cell>
        </row>
        <row r="1345">
          <cell r="AI1345">
            <v>132.38800000000001</v>
          </cell>
          <cell r="AJ1345">
            <v>41320</v>
          </cell>
        </row>
        <row r="1346">
          <cell r="AI1346">
            <v>132.255</v>
          </cell>
          <cell r="AJ1346">
            <v>41323</v>
          </cell>
        </row>
        <row r="1347">
          <cell r="AI1347">
            <v>133.90100000000001</v>
          </cell>
          <cell r="AJ1347">
            <v>41324</v>
          </cell>
        </row>
        <row r="1348">
          <cell r="AI1348">
            <v>134.85</v>
          </cell>
          <cell r="AJ1348">
            <v>41325</v>
          </cell>
        </row>
        <row r="1349">
          <cell r="AI1349">
            <v>134.85</v>
          </cell>
          <cell r="AJ1349">
            <v>41326</v>
          </cell>
        </row>
        <row r="1350">
          <cell r="AI1350">
            <v>135.58799999999999</v>
          </cell>
          <cell r="AJ1350">
            <v>41327</v>
          </cell>
        </row>
        <row r="1351">
          <cell r="AI1351">
            <v>138.35</v>
          </cell>
          <cell r="AJ1351">
            <v>41330</v>
          </cell>
        </row>
        <row r="1352">
          <cell r="AI1352">
            <v>138.001</v>
          </cell>
          <cell r="AJ1352">
            <v>41331</v>
          </cell>
        </row>
        <row r="1353">
          <cell r="AI1353">
            <v>137.542</v>
          </cell>
          <cell r="AJ1353">
            <v>41332</v>
          </cell>
        </row>
        <row r="1354">
          <cell r="AI1354">
            <v>138.93299999999999</v>
          </cell>
          <cell r="AJ1354">
            <v>41333</v>
          </cell>
        </row>
        <row r="1355">
          <cell r="AI1355">
            <v>138.226</v>
          </cell>
          <cell r="AJ1355">
            <v>41334</v>
          </cell>
        </row>
        <row r="1356">
          <cell r="AI1356">
            <v>138.1</v>
          </cell>
          <cell r="AJ1356">
            <v>41337</v>
          </cell>
        </row>
        <row r="1357">
          <cell r="AI1357">
            <v>140.453</v>
          </cell>
          <cell r="AJ1357">
            <v>41338</v>
          </cell>
        </row>
        <row r="1358">
          <cell r="AI1358">
            <v>140.50200000000001</v>
          </cell>
          <cell r="AJ1358">
            <v>41339</v>
          </cell>
        </row>
        <row r="1359">
          <cell r="AI1359">
            <v>139.46899999999999</v>
          </cell>
          <cell r="AJ1359">
            <v>41340</v>
          </cell>
        </row>
        <row r="1360">
          <cell r="AI1360">
            <v>140.227</v>
          </cell>
          <cell r="AJ1360">
            <v>41341</v>
          </cell>
        </row>
        <row r="1361">
          <cell r="AI1361">
            <v>142.30000000000001</v>
          </cell>
          <cell r="AJ1361">
            <v>41344</v>
          </cell>
        </row>
        <row r="1362">
          <cell r="AI1362">
            <v>144.53299999999999</v>
          </cell>
          <cell r="AJ1362">
            <v>41345</v>
          </cell>
        </row>
        <row r="1363">
          <cell r="AI1363">
            <v>145.19999999999999</v>
          </cell>
          <cell r="AJ1363">
            <v>41346</v>
          </cell>
        </row>
        <row r="1364">
          <cell r="AI1364">
            <v>146.78299999999999</v>
          </cell>
          <cell r="AJ1364">
            <v>41347</v>
          </cell>
        </row>
        <row r="1365">
          <cell r="AI1365">
            <v>145.77000000000001</v>
          </cell>
          <cell r="AJ1365">
            <v>41348</v>
          </cell>
        </row>
        <row r="1366">
          <cell r="AI1366">
            <v>146.5</v>
          </cell>
          <cell r="AJ1366">
            <v>41351</v>
          </cell>
        </row>
        <row r="1367">
          <cell r="AI1367">
            <v>145.714</v>
          </cell>
          <cell r="AJ1367">
            <v>41352</v>
          </cell>
        </row>
        <row r="1368">
          <cell r="AI1368">
            <v>147.35</v>
          </cell>
          <cell r="AJ1368">
            <v>41353</v>
          </cell>
        </row>
        <row r="1369">
          <cell r="AI1369">
            <v>145.54900000000001</v>
          </cell>
          <cell r="AJ1369">
            <v>41354</v>
          </cell>
        </row>
        <row r="1370">
          <cell r="AI1370">
            <v>143.83699999999999</v>
          </cell>
          <cell r="AJ1370">
            <v>41355</v>
          </cell>
        </row>
        <row r="1371">
          <cell r="AI1371">
            <v>143.97</v>
          </cell>
          <cell r="AJ1371">
            <v>41358</v>
          </cell>
        </row>
        <row r="1372">
          <cell r="AI1372">
            <v>145.27799999999999</v>
          </cell>
          <cell r="AJ1372">
            <v>41359</v>
          </cell>
        </row>
        <row r="1373">
          <cell r="AI1373">
            <v>143.899</v>
          </cell>
          <cell r="AJ1373">
            <v>41360</v>
          </cell>
        </row>
        <row r="1374">
          <cell r="AI1374">
            <v>145.471</v>
          </cell>
          <cell r="AJ1374">
            <v>41361</v>
          </cell>
        </row>
        <row r="1375">
          <cell r="AI1375">
            <v>146.99</v>
          </cell>
          <cell r="AJ1375">
            <v>41366</v>
          </cell>
        </row>
        <row r="1376">
          <cell r="AI1376">
            <v>145.80000000000001</v>
          </cell>
          <cell r="AJ1376">
            <v>41367</v>
          </cell>
        </row>
        <row r="1377">
          <cell r="AI1377">
            <v>144.01</v>
          </cell>
          <cell r="AJ1377">
            <v>41368</v>
          </cell>
        </row>
        <row r="1378">
          <cell r="AI1378">
            <v>141.94999999999999</v>
          </cell>
          <cell r="AJ1378">
            <v>41369</v>
          </cell>
        </row>
        <row r="1379">
          <cell r="AI1379">
            <v>139.6</v>
          </cell>
          <cell r="AJ1379">
            <v>41372</v>
          </cell>
        </row>
        <row r="1380">
          <cell r="AI1380">
            <v>140.357</v>
          </cell>
          <cell r="AJ1380">
            <v>41373</v>
          </cell>
        </row>
        <row r="1381">
          <cell r="AI1381">
            <v>140.75</v>
          </cell>
          <cell r="AJ1381">
            <v>41374</v>
          </cell>
        </row>
        <row r="1382">
          <cell r="AI1382">
            <v>143.55000000000001</v>
          </cell>
          <cell r="AJ1382">
            <v>41375</v>
          </cell>
        </row>
        <row r="1383">
          <cell r="AI1383">
            <v>143.482</v>
          </cell>
          <cell r="AJ1383">
            <v>41376</v>
          </cell>
        </row>
        <row r="1384">
          <cell r="AI1384">
            <v>142.446</v>
          </cell>
          <cell r="AJ1384">
            <v>41379</v>
          </cell>
        </row>
        <row r="1385">
          <cell r="AI1385">
            <v>142.70699999999999</v>
          </cell>
          <cell r="AJ1385">
            <v>41380</v>
          </cell>
        </row>
        <row r="1386">
          <cell r="AI1386">
            <v>140.864</v>
          </cell>
          <cell r="AJ1386">
            <v>41381</v>
          </cell>
        </row>
        <row r="1387">
          <cell r="AI1387">
            <v>139.94999999999999</v>
          </cell>
          <cell r="AJ1387">
            <v>41382</v>
          </cell>
        </row>
        <row r="1388">
          <cell r="AI1388">
            <v>140.11199999999999</v>
          </cell>
          <cell r="AJ1388">
            <v>41383</v>
          </cell>
        </row>
        <row r="1389">
          <cell r="AI1389">
            <v>139.80000000000001</v>
          </cell>
          <cell r="AJ1389">
            <v>41386</v>
          </cell>
        </row>
        <row r="1390">
          <cell r="AI1390">
            <v>141.334</v>
          </cell>
          <cell r="AJ1390">
            <v>41387</v>
          </cell>
        </row>
        <row r="1391">
          <cell r="AI1391">
            <v>142.13399999999999</v>
          </cell>
          <cell r="AJ1391">
            <v>41388</v>
          </cell>
        </row>
        <row r="1392">
          <cell r="AI1392">
            <v>141.78800000000001</v>
          </cell>
          <cell r="AJ1392">
            <v>41389</v>
          </cell>
        </row>
        <row r="1393">
          <cell r="AI1393">
            <v>141.637</v>
          </cell>
          <cell r="AJ1393">
            <v>41390</v>
          </cell>
        </row>
        <row r="1394">
          <cell r="AI1394">
            <v>143</v>
          </cell>
          <cell r="AJ1394">
            <v>41393</v>
          </cell>
        </row>
        <row r="1395">
          <cell r="AI1395">
            <v>144.059</v>
          </cell>
          <cell r="AJ1395">
            <v>41394</v>
          </cell>
        </row>
        <row r="1396">
          <cell r="AI1396">
            <v>142.261</v>
          </cell>
          <cell r="AJ1396">
            <v>41396</v>
          </cell>
        </row>
        <row r="1397">
          <cell r="AI1397">
            <v>143.13200000000001</v>
          </cell>
          <cell r="AJ1397">
            <v>41397</v>
          </cell>
        </row>
        <row r="1398">
          <cell r="AI1398">
            <v>146.999</v>
          </cell>
          <cell r="AJ1398">
            <v>41400</v>
          </cell>
        </row>
        <row r="1399">
          <cell r="AI1399">
            <v>148.13499999999999</v>
          </cell>
          <cell r="AJ1399">
            <v>41401</v>
          </cell>
        </row>
        <row r="1400">
          <cell r="AI1400">
            <v>148.06899999999999</v>
          </cell>
          <cell r="AJ1400">
            <v>41402</v>
          </cell>
        </row>
        <row r="1401">
          <cell r="AI1401">
            <v>148.619</v>
          </cell>
          <cell r="AJ1401">
            <v>41403</v>
          </cell>
        </row>
        <row r="1402">
          <cell r="AI1402">
            <v>149.1</v>
          </cell>
          <cell r="AJ1402">
            <v>41404</v>
          </cell>
        </row>
        <row r="1403">
          <cell r="AI1403">
            <v>151.04</v>
          </cell>
          <cell r="AJ1403">
            <v>41407</v>
          </cell>
        </row>
        <row r="1404">
          <cell r="AI1404">
            <v>151.624</v>
          </cell>
          <cell r="AJ1404">
            <v>41408</v>
          </cell>
        </row>
        <row r="1405">
          <cell r="AI1405">
            <v>151.30000000000001</v>
          </cell>
          <cell r="AJ1405">
            <v>41409</v>
          </cell>
        </row>
        <row r="1406">
          <cell r="AI1406">
            <v>152.69999999999999</v>
          </cell>
          <cell r="AJ1406">
            <v>41410</v>
          </cell>
        </row>
        <row r="1407">
          <cell r="AI1407">
            <v>151.78700000000001</v>
          </cell>
          <cell r="AJ1407">
            <v>41411</v>
          </cell>
        </row>
        <row r="1408">
          <cell r="AI1408">
            <v>151.41999999999999</v>
          </cell>
          <cell r="AJ1408">
            <v>41414</v>
          </cell>
        </row>
        <row r="1409">
          <cell r="AI1409">
            <v>153.41499999999999</v>
          </cell>
          <cell r="AJ1409">
            <v>41415</v>
          </cell>
        </row>
        <row r="1410">
          <cell r="AI1410">
            <v>153.31100000000001</v>
          </cell>
          <cell r="AJ1410">
            <v>41416</v>
          </cell>
        </row>
        <row r="1411">
          <cell r="AI1411">
            <v>150.70400000000001</v>
          </cell>
          <cell r="AJ1411">
            <v>41417</v>
          </cell>
        </row>
        <row r="1412">
          <cell r="AI1412">
            <v>152.52000000000001</v>
          </cell>
          <cell r="AJ1412">
            <v>41418</v>
          </cell>
        </row>
        <row r="1413">
          <cell r="AI1413">
            <v>152.934</v>
          </cell>
          <cell r="AJ1413">
            <v>41421</v>
          </cell>
        </row>
        <row r="1414">
          <cell r="AI1414">
            <v>153.715</v>
          </cell>
          <cell r="AJ1414">
            <v>41422</v>
          </cell>
        </row>
        <row r="1415">
          <cell r="AI1415">
            <v>152.214</v>
          </cell>
          <cell r="AJ1415">
            <v>41423</v>
          </cell>
        </row>
        <row r="1416">
          <cell r="AI1416">
            <v>149.999</v>
          </cell>
          <cell r="AJ1416">
            <v>41424</v>
          </cell>
        </row>
        <row r="1417">
          <cell r="AI1417">
            <v>147.73599999999999</v>
          </cell>
          <cell r="AJ1417">
            <v>41425</v>
          </cell>
        </row>
        <row r="1418">
          <cell r="AI1418">
            <v>148.28200000000001</v>
          </cell>
          <cell r="AJ1418">
            <v>41428</v>
          </cell>
        </row>
        <row r="1419">
          <cell r="AI1419">
            <v>144.364</v>
          </cell>
          <cell r="AJ1419">
            <v>41429</v>
          </cell>
        </row>
        <row r="1420">
          <cell r="AI1420">
            <v>144.18100000000001</v>
          </cell>
          <cell r="AJ1420">
            <v>41430</v>
          </cell>
        </row>
        <row r="1421">
          <cell r="AI1421">
            <v>142.9</v>
          </cell>
          <cell r="AJ1421">
            <v>41431</v>
          </cell>
        </row>
        <row r="1422">
          <cell r="AI1422">
            <v>145.34299999999999</v>
          </cell>
          <cell r="AJ1422">
            <v>41432</v>
          </cell>
        </row>
        <row r="1423">
          <cell r="AI1423">
            <v>146.495</v>
          </cell>
          <cell r="AJ1423">
            <v>41435</v>
          </cell>
        </row>
        <row r="1424">
          <cell r="AI1424">
            <v>145.40199999999999</v>
          </cell>
          <cell r="AJ1424">
            <v>41436</v>
          </cell>
        </row>
        <row r="1425">
          <cell r="AI1425">
            <v>144.982</v>
          </cell>
          <cell r="AJ1425">
            <v>41437</v>
          </cell>
        </row>
        <row r="1426">
          <cell r="AI1426">
            <v>144.673</v>
          </cell>
          <cell r="AJ1426">
            <v>41438</v>
          </cell>
        </row>
        <row r="1427">
          <cell r="AI1427">
            <v>143.786</v>
          </cell>
          <cell r="AJ1427">
            <v>41439</v>
          </cell>
        </row>
        <row r="1428">
          <cell r="AI1428">
            <v>145.39400000000001</v>
          </cell>
          <cell r="AJ1428">
            <v>41442</v>
          </cell>
        </row>
        <row r="1429">
          <cell r="AI1429">
            <v>144.94999999999999</v>
          </cell>
          <cell r="AJ1429">
            <v>41443</v>
          </cell>
        </row>
        <row r="1430">
          <cell r="AI1430">
            <v>144.94900000000001</v>
          </cell>
          <cell r="AJ1430">
            <v>41444</v>
          </cell>
        </row>
        <row r="1431">
          <cell r="AI1431">
            <v>141.29900000000001</v>
          </cell>
          <cell r="AJ1431">
            <v>41445</v>
          </cell>
        </row>
        <row r="1432">
          <cell r="AI1432">
            <v>139.69499999999999</v>
          </cell>
          <cell r="AJ1432">
            <v>41446</v>
          </cell>
        </row>
        <row r="1433">
          <cell r="AI1433">
            <v>139</v>
          </cell>
          <cell r="AJ1433">
            <v>41449</v>
          </cell>
        </row>
        <row r="1434">
          <cell r="AI1434">
            <v>140.61799999999999</v>
          </cell>
          <cell r="AJ1434">
            <v>41450</v>
          </cell>
        </row>
        <row r="1435">
          <cell r="AI1435">
            <v>142.11199999999999</v>
          </cell>
          <cell r="AJ1435">
            <v>41451</v>
          </cell>
        </row>
        <row r="1436">
          <cell r="AI1436">
            <v>142.89699999999999</v>
          </cell>
          <cell r="AJ1436">
            <v>41452</v>
          </cell>
        </row>
        <row r="1437">
          <cell r="AI1437">
            <v>143.49700000000001</v>
          </cell>
          <cell r="AJ1437">
            <v>41453</v>
          </cell>
        </row>
        <row r="1438">
          <cell r="AI1438">
            <v>143.13800000000001</v>
          </cell>
          <cell r="AJ1438">
            <v>41456</v>
          </cell>
        </row>
        <row r="1439">
          <cell r="AI1439">
            <v>142.916</v>
          </cell>
          <cell r="AJ1439">
            <v>41457</v>
          </cell>
        </row>
        <row r="1440">
          <cell r="AI1440">
            <v>143.214</v>
          </cell>
          <cell r="AJ1440">
            <v>41458</v>
          </cell>
        </row>
        <row r="1441">
          <cell r="AI1441">
            <v>144.749</v>
          </cell>
          <cell r="AJ1441">
            <v>41459</v>
          </cell>
        </row>
        <row r="1442">
          <cell r="AI1442">
            <v>140.28100000000001</v>
          </cell>
          <cell r="AJ1442">
            <v>41460</v>
          </cell>
        </row>
        <row r="1443">
          <cell r="AI1443">
            <v>142.596</v>
          </cell>
          <cell r="AJ1443">
            <v>41463</v>
          </cell>
        </row>
        <row r="1444">
          <cell r="AI1444">
            <v>145.03800000000001</v>
          </cell>
          <cell r="AJ1444">
            <v>41464</v>
          </cell>
        </row>
        <row r="1445">
          <cell r="AI1445">
            <v>144.54300000000001</v>
          </cell>
          <cell r="AJ1445">
            <v>41465</v>
          </cell>
        </row>
        <row r="1446">
          <cell r="AI1446">
            <v>146.04599999999999</v>
          </cell>
          <cell r="AJ1446">
            <v>41466</v>
          </cell>
        </row>
        <row r="1447">
          <cell r="AI1447">
            <v>145.77099999999999</v>
          </cell>
          <cell r="AJ1447">
            <v>41467</v>
          </cell>
        </row>
        <row r="1448">
          <cell r="AI1448">
            <v>146.69999999999999</v>
          </cell>
          <cell r="AJ1448">
            <v>41470</v>
          </cell>
        </row>
        <row r="1449">
          <cell r="AI1449">
            <v>145.06299999999999</v>
          </cell>
          <cell r="AJ1449">
            <v>41471</v>
          </cell>
        </row>
        <row r="1450">
          <cell r="AI1450">
            <v>145.5</v>
          </cell>
          <cell r="AJ1450">
            <v>41472</v>
          </cell>
        </row>
        <row r="1451">
          <cell r="AI1451">
            <v>146.91</v>
          </cell>
          <cell r="AJ1451">
            <v>41473</v>
          </cell>
        </row>
        <row r="1452">
          <cell r="AI1452">
            <v>146.732</v>
          </cell>
          <cell r="AJ1452">
            <v>41474</v>
          </cell>
        </row>
        <row r="1453">
          <cell r="AI1453">
            <v>145.52099999999999</v>
          </cell>
          <cell r="AJ1453">
            <v>41477</v>
          </cell>
        </row>
        <row r="1454">
          <cell r="AI1454">
            <v>144.22499999999999</v>
          </cell>
          <cell r="AJ1454">
            <v>41478</v>
          </cell>
        </row>
        <row r="1455">
          <cell r="AI1455">
            <v>144.69900000000001</v>
          </cell>
          <cell r="AJ1455">
            <v>41479</v>
          </cell>
        </row>
        <row r="1456">
          <cell r="AI1456">
            <v>144.279</v>
          </cell>
          <cell r="AJ1456">
            <v>41480</v>
          </cell>
        </row>
        <row r="1457">
          <cell r="AI1457">
            <v>142.51</v>
          </cell>
          <cell r="AJ1457">
            <v>41481</v>
          </cell>
        </row>
        <row r="1458">
          <cell r="AI1458">
            <v>143.03200000000001</v>
          </cell>
          <cell r="AJ1458">
            <v>41484</v>
          </cell>
        </row>
        <row r="1459">
          <cell r="AI1459">
            <v>144.84700000000001</v>
          </cell>
          <cell r="AJ1459">
            <v>41485</v>
          </cell>
        </row>
        <row r="1460">
          <cell r="AI1460">
            <v>144.78100000000001</v>
          </cell>
          <cell r="AJ1460">
            <v>41486</v>
          </cell>
        </row>
        <row r="1461">
          <cell r="AI1461">
            <v>145.88499999999999</v>
          </cell>
          <cell r="AJ1461">
            <v>41487</v>
          </cell>
        </row>
        <row r="1462">
          <cell r="AI1462">
            <v>145.86199999999999</v>
          </cell>
          <cell r="AJ1462">
            <v>41488</v>
          </cell>
        </row>
        <row r="1463">
          <cell r="AI1463">
            <v>144.96899999999999</v>
          </cell>
          <cell r="AJ1463">
            <v>41491</v>
          </cell>
        </row>
        <row r="1464">
          <cell r="AI1464">
            <v>144.11699999999999</v>
          </cell>
          <cell r="AJ1464">
            <v>41492</v>
          </cell>
        </row>
        <row r="1465">
          <cell r="AI1465">
            <v>143.1</v>
          </cell>
          <cell r="AJ1465">
            <v>41493</v>
          </cell>
        </row>
        <row r="1466">
          <cell r="AI1466">
            <v>143.476</v>
          </cell>
          <cell r="AJ1466">
            <v>41494</v>
          </cell>
        </row>
        <row r="1467">
          <cell r="AI1467">
            <v>143.357</v>
          </cell>
          <cell r="AJ1467">
            <v>41495</v>
          </cell>
        </row>
        <row r="1468">
          <cell r="AI1468">
            <v>142.654</v>
          </cell>
          <cell r="AJ1468">
            <v>41498</v>
          </cell>
        </row>
        <row r="1469">
          <cell r="AI1469">
            <v>145.02000000000001</v>
          </cell>
          <cell r="AJ1469">
            <v>41499</v>
          </cell>
        </row>
        <row r="1470">
          <cell r="AI1470">
            <v>144.679</v>
          </cell>
          <cell r="AJ1470">
            <v>41500</v>
          </cell>
        </row>
        <row r="1471">
          <cell r="AI1471">
            <v>145.12299999999999</v>
          </cell>
          <cell r="AJ1471">
            <v>41501</v>
          </cell>
        </row>
        <row r="1472">
          <cell r="AI1472">
            <v>145.69999999999999</v>
          </cell>
          <cell r="AJ1472">
            <v>41502</v>
          </cell>
        </row>
        <row r="1473">
          <cell r="AI1473">
            <v>146.29400000000001</v>
          </cell>
          <cell r="AJ1473">
            <v>41505</v>
          </cell>
        </row>
        <row r="1474">
          <cell r="AI1474">
            <v>146.071</v>
          </cell>
          <cell r="AJ1474">
            <v>41506</v>
          </cell>
        </row>
        <row r="1475">
          <cell r="AI1475">
            <v>148.94399999999999</v>
          </cell>
          <cell r="AJ1475">
            <v>41507</v>
          </cell>
        </row>
        <row r="1476">
          <cell r="AI1476">
            <v>150.34700000000001</v>
          </cell>
          <cell r="AJ1476">
            <v>41508</v>
          </cell>
        </row>
        <row r="1477">
          <cell r="AI1477">
            <v>150.22999999999999</v>
          </cell>
          <cell r="AJ1477">
            <v>41509</v>
          </cell>
        </row>
        <row r="1478">
          <cell r="AI1478">
            <v>151.27000000000001</v>
          </cell>
          <cell r="AJ1478">
            <v>41512</v>
          </cell>
        </row>
        <row r="1479">
          <cell r="AI1479">
            <v>148.32499999999999</v>
          </cell>
          <cell r="AJ1479">
            <v>41513</v>
          </cell>
        </row>
        <row r="1480">
          <cell r="AI1480">
            <v>147.59700000000001</v>
          </cell>
          <cell r="AJ1480">
            <v>41514</v>
          </cell>
        </row>
        <row r="1481">
          <cell r="AI1481">
            <v>147</v>
          </cell>
          <cell r="AJ1481">
            <v>41515</v>
          </cell>
        </row>
        <row r="1482">
          <cell r="AI1482">
            <v>145.90100000000001</v>
          </cell>
          <cell r="AJ1482">
            <v>41516</v>
          </cell>
        </row>
        <row r="1483">
          <cell r="AI1483">
            <v>147.29599999999999</v>
          </cell>
          <cell r="AJ1483">
            <v>41519</v>
          </cell>
        </row>
        <row r="1484">
          <cell r="AI1484">
            <v>145.684</v>
          </cell>
          <cell r="AJ1484">
            <v>41520</v>
          </cell>
        </row>
        <row r="1485">
          <cell r="AI1485">
            <v>146.54900000000001</v>
          </cell>
          <cell r="AJ1485">
            <v>41521</v>
          </cell>
        </row>
        <row r="1486">
          <cell r="AI1486">
            <v>145.69999999999999</v>
          </cell>
          <cell r="AJ1486">
            <v>41522</v>
          </cell>
        </row>
        <row r="1487">
          <cell r="AI1487">
            <v>145.69999999999999</v>
          </cell>
          <cell r="AJ1487">
            <v>41523</v>
          </cell>
        </row>
        <row r="1488">
          <cell r="AI1488">
            <v>145.25</v>
          </cell>
          <cell r="AJ1488">
            <v>41526</v>
          </cell>
        </row>
        <row r="1489">
          <cell r="AI1489">
            <v>148.64599999999999</v>
          </cell>
          <cell r="AJ1489">
            <v>41527</v>
          </cell>
        </row>
        <row r="1490">
          <cell r="AI1490">
            <v>148.22300000000001</v>
          </cell>
          <cell r="AJ1490">
            <v>41528</v>
          </cell>
        </row>
        <row r="1491">
          <cell r="AI1491">
            <v>147.37100000000001</v>
          </cell>
          <cell r="AJ1491">
            <v>41529</v>
          </cell>
        </row>
        <row r="1492">
          <cell r="AI1492">
            <v>147.69999999999999</v>
          </cell>
          <cell r="AJ1492">
            <v>41530</v>
          </cell>
        </row>
        <row r="1493">
          <cell r="AI1493">
            <v>148.20099999999999</v>
          </cell>
          <cell r="AJ1493">
            <v>41533</v>
          </cell>
        </row>
        <row r="1494">
          <cell r="AI1494">
            <v>147.30000000000001</v>
          </cell>
          <cell r="AJ1494">
            <v>41534</v>
          </cell>
        </row>
        <row r="1495">
          <cell r="AI1495">
            <v>148.999</v>
          </cell>
          <cell r="AJ1495">
            <v>41535</v>
          </cell>
        </row>
        <row r="1496">
          <cell r="AI1496">
            <v>149.93899999999999</v>
          </cell>
          <cell r="AJ1496">
            <v>41536</v>
          </cell>
        </row>
        <row r="1497">
          <cell r="AI1497">
            <v>148.64099999999999</v>
          </cell>
          <cell r="AJ1497">
            <v>41537</v>
          </cell>
        </row>
        <row r="1498">
          <cell r="AI1498">
            <v>149.501</v>
          </cell>
          <cell r="AJ1498">
            <v>41540</v>
          </cell>
        </row>
        <row r="1499">
          <cell r="AI1499">
            <v>147.51</v>
          </cell>
          <cell r="AJ1499">
            <v>41541</v>
          </cell>
        </row>
        <row r="1500">
          <cell r="AI1500">
            <v>148.71199999999999</v>
          </cell>
          <cell r="AJ1500">
            <v>41542</v>
          </cell>
        </row>
        <row r="1501">
          <cell r="AI1501">
            <v>148.68299999999999</v>
          </cell>
          <cell r="AJ1501">
            <v>41543</v>
          </cell>
        </row>
        <row r="1502">
          <cell r="AI1502">
            <v>147.21600000000001</v>
          </cell>
          <cell r="AJ1502">
            <v>41544</v>
          </cell>
        </row>
        <row r="1503">
          <cell r="AI1503">
            <v>146.30000000000001</v>
          </cell>
          <cell r="AJ1503">
            <v>41547</v>
          </cell>
        </row>
        <row r="1504">
          <cell r="AI1504">
            <v>148.29900000000001</v>
          </cell>
          <cell r="AJ1504">
            <v>41548</v>
          </cell>
        </row>
        <row r="1505">
          <cell r="AI1505">
            <v>146.47499999999999</v>
          </cell>
          <cell r="AJ1505">
            <v>41549</v>
          </cell>
        </row>
        <row r="1506">
          <cell r="AI1506">
            <v>147.065</v>
          </cell>
          <cell r="AJ1506">
            <v>41550</v>
          </cell>
        </row>
        <row r="1507">
          <cell r="AI1507">
            <v>147.01</v>
          </cell>
          <cell r="AJ1507">
            <v>41551</v>
          </cell>
        </row>
        <row r="1508">
          <cell r="AI1508">
            <v>145.39699999999999</v>
          </cell>
          <cell r="AJ1508">
            <v>41554</v>
          </cell>
        </row>
        <row r="1509">
          <cell r="AI1509">
            <v>144.6</v>
          </cell>
          <cell r="AJ1509">
            <v>41555</v>
          </cell>
        </row>
        <row r="1510">
          <cell r="AI1510">
            <v>142.45699999999999</v>
          </cell>
          <cell r="AJ1510">
            <v>41556</v>
          </cell>
        </row>
        <row r="1511">
          <cell r="AI1511">
            <v>142.208</v>
          </cell>
          <cell r="AJ1511">
            <v>41557</v>
          </cell>
        </row>
        <row r="1512">
          <cell r="AI1512">
            <v>143.69900000000001</v>
          </cell>
          <cell r="AJ1512">
            <v>41558</v>
          </cell>
        </row>
        <row r="1513">
          <cell r="AI1513">
            <v>143.01300000000001</v>
          </cell>
          <cell r="AJ1513">
            <v>41561</v>
          </cell>
        </row>
        <row r="1514">
          <cell r="AI1514">
            <v>143.154</v>
          </cell>
          <cell r="AJ1514">
            <v>41562</v>
          </cell>
        </row>
        <row r="1515">
          <cell r="AI1515">
            <v>142.92599999999999</v>
          </cell>
          <cell r="AJ1515">
            <v>41563</v>
          </cell>
        </row>
        <row r="1516">
          <cell r="AI1516">
            <v>143.16</v>
          </cell>
          <cell r="AJ1516">
            <v>41564</v>
          </cell>
        </row>
        <row r="1517">
          <cell r="AI1517">
            <v>142.18199999999999</v>
          </cell>
          <cell r="AJ1517">
            <v>41565</v>
          </cell>
        </row>
        <row r="1518">
          <cell r="AI1518">
            <v>141.92400000000001</v>
          </cell>
          <cell r="AJ1518">
            <v>41568</v>
          </cell>
        </row>
        <row r="1519">
          <cell r="AI1519">
            <v>145.441</v>
          </cell>
          <cell r="AJ1519">
            <v>41569</v>
          </cell>
        </row>
        <row r="1520">
          <cell r="AI1520">
            <v>144.98400000000001</v>
          </cell>
          <cell r="AJ1520">
            <v>41570</v>
          </cell>
        </row>
        <row r="1521">
          <cell r="AI1521">
            <v>144.898</v>
          </cell>
          <cell r="AJ1521">
            <v>41571</v>
          </cell>
        </row>
        <row r="1522">
          <cell r="AI1522">
            <v>145.24299999999999</v>
          </cell>
          <cell r="AJ1522">
            <v>41572</v>
          </cell>
        </row>
        <row r="1523">
          <cell r="AI1523">
            <v>146.03700000000001</v>
          </cell>
          <cell r="AJ1523">
            <v>41575</v>
          </cell>
        </row>
        <row r="1524">
          <cell r="AI1524">
            <v>145.21899999999999</v>
          </cell>
          <cell r="AJ1524">
            <v>41576</v>
          </cell>
        </row>
        <row r="1525">
          <cell r="AI1525">
            <v>141.12</v>
          </cell>
          <cell r="AJ1525">
            <v>41577</v>
          </cell>
        </row>
        <row r="1526">
          <cell r="AI1526">
            <v>140.41</v>
          </cell>
          <cell r="AJ1526">
            <v>41578</v>
          </cell>
        </row>
        <row r="1527">
          <cell r="AI1527">
            <v>140.327</v>
          </cell>
          <cell r="AJ1527">
            <v>41579</v>
          </cell>
        </row>
        <row r="1528">
          <cell r="AI1528">
            <v>142.09899999999999</v>
          </cell>
          <cell r="AJ1528">
            <v>41582</v>
          </cell>
        </row>
        <row r="1529">
          <cell r="AI1529">
            <v>141.71700000000001</v>
          </cell>
          <cell r="AJ1529">
            <v>41583</v>
          </cell>
        </row>
        <row r="1530">
          <cell r="AI1530">
            <v>141</v>
          </cell>
          <cell r="AJ1530">
            <v>41584</v>
          </cell>
        </row>
        <row r="1531">
          <cell r="AI1531">
            <v>141.39699999999999</v>
          </cell>
          <cell r="AJ1531">
            <v>41585</v>
          </cell>
        </row>
        <row r="1532">
          <cell r="AI1532">
            <v>141.90299999999999</v>
          </cell>
          <cell r="AJ1532">
            <v>41586</v>
          </cell>
        </row>
        <row r="1533">
          <cell r="AI1533">
            <v>144.1</v>
          </cell>
          <cell r="AJ1533">
            <v>41589</v>
          </cell>
        </row>
        <row r="1534">
          <cell r="AI1534">
            <v>144.21899999999999</v>
          </cell>
          <cell r="AJ1534">
            <v>41590</v>
          </cell>
        </row>
        <row r="1535">
          <cell r="AI1535">
            <v>144.32599999999999</v>
          </cell>
          <cell r="AJ1535">
            <v>41591</v>
          </cell>
        </row>
        <row r="1536">
          <cell r="AI1536">
            <v>145.34</v>
          </cell>
          <cell r="AJ1536">
            <v>41592</v>
          </cell>
        </row>
        <row r="1537">
          <cell r="AI1537">
            <v>146.43299999999999</v>
          </cell>
          <cell r="AJ1537">
            <v>41593</v>
          </cell>
        </row>
        <row r="1538">
          <cell r="AI1538">
            <v>145.845</v>
          </cell>
          <cell r="AJ1538">
            <v>41596</v>
          </cell>
        </row>
        <row r="1539">
          <cell r="AI1539">
            <v>145.994</v>
          </cell>
          <cell r="AJ1539">
            <v>41597</v>
          </cell>
        </row>
        <row r="1540">
          <cell r="AI1540">
            <v>147.05199999999999</v>
          </cell>
          <cell r="AJ1540">
            <v>41598</v>
          </cell>
        </row>
        <row r="1541">
          <cell r="AI1541">
            <v>145.696</v>
          </cell>
          <cell r="AJ1541">
            <v>41599</v>
          </cell>
        </row>
        <row r="1542">
          <cell r="AI1542">
            <v>146</v>
          </cell>
          <cell r="AJ1542">
            <v>41600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_PROP"/>
      <sheetName val="FLUXO_SIMULA"/>
      <sheetName val="BASE"/>
      <sheetName val="TRAFEGO"/>
      <sheetName val="SIMULADOR"/>
      <sheetName val="RELATA"/>
      <sheetName val="RELATA VÉIO"/>
      <sheetName val="ORIGINAL"/>
      <sheetName val="REALIZADO"/>
      <sheetName val="F01"/>
      <sheetName val="F02"/>
      <sheetName val="F03"/>
      <sheetName val="F04"/>
      <sheetName val="F05"/>
      <sheetName val="F06"/>
      <sheetName val="F07"/>
      <sheetName val="F08"/>
      <sheetName val="F0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4 ADEQ- AUX-F10"/>
      <sheetName val="PIS-AUX-F10"/>
      <sheetName val="REPASSE-AUX-F10"/>
      <sheetName val="cofins - aux-F10"/>
      <sheetName val="iss-aux-F10"/>
      <sheetName val="dIF vgs - AUX-F10"/>
      <sheetName val="TOTAL AUX-F10"/>
      <sheetName val="Comparativo de Mercado"/>
      <sheetName val="Capa Simulador"/>
      <sheetName val="FLUXO + DRE  Original 20 anos"/>
      <sheetName val="Fatores 20 anos"/>
      <sheetName val="Prorrogação 25 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4">
          <cell r="F54">
            <v>0</v>
          </cell>
        </row>
        <row r="55">
          <cell r="F55" t="e">
            <v>#REF!</v>
          </cell>
        </row>
        <row r="56">
          <cell r="F56">
            <v>0</v>
          </cell>
        </row>
        <row r="57">
          <cell r="F57">
            <v>0</v>
          </cell>
        </row>
        <row r="62">
          <cell r="A62" t="str">
            <v>***** NESTA PLANILHA SÓ ESTÃO CONTEMPLADOS OS 15 PRIMEIROS FATORES *****</v>
          </cell>
        </row>
        <row r="64">
          <cell r="B64" t="str">
            <v>RESUMO DOS DESEQUILIBRIOS NO CONTRATO EM VPL (Milhares de Reais)</v>
          </cell>
        </row>
        <row r="66">
          <cell r="B66" t="str">
            <v>FATOR</v>
          </cell>
          <cell r="C66" t="str">
            <v>DISCRIMINAÇÃO</v>
          </cell>
          <cell r="G66" t="str">
            <v>VPL (a)</v>
          </cell>
          <cell r="H66">
            <v>9</v>
          </cell>
          <cell r="I66" t="str">
            <v>TIR (b)</v>
          </cell>
        </row>
        <row r="67">
          <cell r="B67" t="str">
            <v>FATOR 1</v>
          </cell>
          <cell r="C67" t="str">
            <v>1ª Adequação - Investimentos</v>
          </cell>
          <cell r="G67">
            <v>2942.2342439565728</v>
          </cell>
          <cell r="H67">
            <v>13779.588393793019</v>
          </cell>
          <cell r="I67">
            <v>0.1929206088596252</v>
          </cell>
        </row>
        <row r="68">
          <cell r="B68" t="str">
            <v>FATOR 2</v>
          </cell>
          <cell r="C68" t="str">
            <v>2ª Adequação - Investimentos</v>
          </cell>
          <cell r="G68">
            <v>-2858.1343799323081</v>
          </cell>
          <cell r="H68">
            <v>-13385.717133335542</v>
          </cell>
          <cell r="I68">
            <v>0.18198652864778544</v>
          </cell>
        </row>
        <row r="69">
          <cell r="B69" t="str">
            <v>FATOR 3</v>
          </cell>
          <cell r="C69" t="str">
            <v>3ª Adequação - Investimentos</v>
          </cell>
          <cell r="G69">
            <v>10893.160356878618</v>
          </cell>
          <cell r="H69">
            <v>51016.762629857534</v>
          </cell>
          <cell r="I69">
            <v>0.20801699151630479</v>
          </cell>
        </row>
        <row r="70">
          <cell r="B70" t="str">
            <v>FATOR 4</v>
          </cell>
          <cell r="C70" t="str">
            <v>Perda de Receita - Mudança na local. Pças de Águas da Prata, Mococa e Aguaí</v>
          </cell>
          <cell r="G70">
            <v>-8619.9580449402256</v>
          </cell>
          <cell r="H70">
            <v>-40370.50213626508</v>
          </cell>
          <cell r="I70">
            <v>0.17166195069345008</v>
          </cell>
        </row>
        <row r="71">
          <cell r="B71" t="str">
            <v>FATOR 5</v>
          </cell>
          <cell r="C71" t="str">
            <v>Perda de Receita - Atraso no início da operação das Pças de AP, Mococa e Aguaí</v>
          </cell>
          <cell r="G71">
            <v>-1147.1859970057678</v>
          </cell>
          <cell r="H71">
            <v>-5372.7030342101725</v>
          </cell>
          <cell r="I71">
            <v>0.1851049757163141</v>
          </cell>
        </row>
        <row r="72">
          <cell r="B72" t="str">
            <v>FATOR 6</v>
          </cell>
          <cell r="C72" t="str">
            <v>Perda de Receita -Eliminação da Pça de VGSul</v>
          </cell>
          <cell r="G72">
            <v>-2390.9676829216119</v>
          </cell>
          <cell r="H72">
            <v>-11197.799971635133</v>
          </cell>
          <cell r="I72">
            <v>0.18279633462555153</v>
          </cell>
        </row>
        <row r="73">
          <cell r="B73" t="str">
            <v>FATOR 7</v>
          </cell>
          <cell r="C73" t="str">
            <v>Despesas de eliminação da Pça de VGSul</v>
          </cell>
          <cell r="G73">
            <v>1181.5965000743256</v>
          </cell>
          <cell r="H73">
            <v>5533.8603484797686</v>
          </cell>
          <cell r="I73">
            <v>0.18928978760184645</v>
          </cell>
        </row>
        <row r="74">
          <cell r="B74" t="str">
            <v>FATOR 8</v>
          </cell>
          <cell r="C74" t="str">
            <v>Inclusão da SP-342</v>
          </cell>
          <cell r="G74">
            <v>286.62129443290826</v>
          </cell>
          <cell r="H74">
            <v>1342.3552085609977</v>
          </cell>
          <cell r="I74">
            <v>0.18766844458258236</v>
          </cell>
        </row>
        <row r="75">
          <cell r="B75" t="str">
            <v>FATOR 9</v>
          </cell>
          <cell r="C75" t="str">
            <v>Melhoria Per. Urbano SJBV + Cred. ISS + Comp. Ônus</v>
          </cell>
          <cell r="G75">
            <v>-286.62498304556186</v>
          </cell>
          <cell r="H75">
            <v>-1342.3724837199063</v>
          </cell>
          <cell r="I75">
            <v>0.18660788476916476</v>
          </cell>
        </row>
        <row r="76">
          <cell r="B76" t="str">
            <v>FATOR 10</v>
          </cell>
          <cell r="C76" t="str">
            <v>ISSQN+COFINS+PIS + Dif. VGS+4ª adequação</v>
          </cell>
          <cell r="G76">
            <v>-4955.3649323851396</v>
          </cell>
          <cell r="H76">
            <v>-23207.835762756844</v>
          </cell>
          <cell r="I76">
            <v>0.17807877572825079</v>
          </cell>
        </row>
        <row r="77">
          <cell r="B77" t="str">
            <v>FATOR 11</v>
          </cell>
          <cell r="C77" t="str">
            <v>5ª Adequação de Investimentos</v>
          </cell>
          <cell r="G77">
            <v>-934.65049856871076</v>
          </cell>
          <cell r="H77">
            <v>-4377.3194431355278</v>
          </cell>
          <cell r="I77">
            <v>0.18546570303586915</v>
          </cell>
        </row>
        <row r="78">
          <cell r="B78" t="str">
            <v>FATOR 12</v>
          </cell>
          <cell r="C78" t="str">
            <v>Desconto Antec. SP-340 - Ônus Fixo</v>
          </cell>
          <cell r="G78">
            <v>648.58147454830078</v>
          </cell>
          <cell r="H78">
            <v>3037.5507244102487</v>
          </cell>
          <cell r="I78">
            <v>0.18832422896592715</v>
          </cell>
        </row>
        <row r="79">
          <cell r="B79" t="str">
            <v>FATOR 13</v>
          </cell>
          <cell r="C79" t="str">
            <v>6º Adequação de Investimentos</v>
          </cell>
          <cell r="G79">
            <v>-94.66807578594694</v>
          </cell>
          <cell r="H79">
            <v>-443.36616672931586</v>
          </cell>
          <cell r="I79">
            <v>0.18698144984267806</v>
          </cell>
        </row>
        <row r="80">
          <cell r="B80" t="str">
            <v>FATOR 14</v>
          </cell>
          <cell r="C80" t="str">
            <v>7º Adequação de Investimentos</v>
          </cell>
          <cell r="G80">
            <v>-1220.6388098121997</v>
          </cell>
          <cell r="H80">
            <v>-5716.710153601819</v>
          </cell>
          <cell r="I80">
            <v>0.18493538238564791</v>
          </cell>
        </row>
        <row r="81">
          <cell r="B81" t="str">
            <v>FATOR 15</v>
          </cell>
          <cell r="C81" t="str">
            <v>Desconto do Ônus Fixo</v>
          </cell>
          <cell r="G81">
            <v>2608.7483278709774</v>
          </cell>
          <cell r="H81">
            <v>12217.748554485401</v>
          </cell>
          <cell r="I81">
            <v>0.19176683911033335</v>
          </cell>
        </row>
        <row r="82">
          <cell r="B82" t="str">
            <v>TOTAL GERAL</v>
          </cell>
          <cell r="G82">
            <v>-3947.251206635769</v>
          </cell>
          <cell r="H82">
            <v>-18486.460425802376</v>
          </cell>
          <cell r="I82">
            <v>0.17863707739599149</v>
          </cell>
        </row>
        <row r="83">
          <cell r="B83" t="str">
            <v>(a) reperesenta apenas o VPL do fluxo de caixa do fator utilizando a tir original do projeto</v>
          </cell>
        </row>
        <row r="84">
          <cell r="B84" t="str">
            <v>(b) representa a tir do fluxo de caixa do projeto mais o fluxo de caixa do fator</v>
          </cell>
        </row>
        <row r="86">
          <cell r="B86" t="str">
            <v>ALTERNATIVAS UTILIZADAS PARA O REEQUILIBRIO DO CONTRATO</v>
          </cell>
        </row>
        <row r="88">
          <cell r="B88" t="str">
            <v>Projeta o Contrato Original até:</v>
          </cell>
          <cell r="F88">
            <v>25</v>
          </cell>
        </row>
        <row r="90">
          <cell r="B90" t="str">
            <v>Reajuste na Receita Base  de:</v>
          </cell>
          <cell r="F90">
            <v>0</v>
          </cell>
        </row>
        <row r="92">
          <cell r="B92" t="str">
            <v>Considera o Reajuste a Partir do:</v>
          </cell>
          <cell r="F92">
            <v>9</v>
          </cell>
        </row>
        <row r="94">
          <cell r="B94" t="str">
            <v>EFEITOS NOS RESULTADOS PROJETADOS</v>
          </cell>
        </row>
        <row r="96">
          <cell r="B96" t="str">
            <v>TIR Original do Contrato (ao ano)</v>
          </cell>
          <cell r="J96">
            <v>0.18715262042307898</v>
          </cell>
        </row>
        <row r="98">
          <cell r="B98" t="str">
            <v>TIR Resultante dos Desequilibrio no Contrato Original (ao ano)</v>
          </cell>
          <cell r="J98">
            <v>0.17863707739599149</v>
          </cell>
        </row>
        <row r="100">
          <cell r="B100" t="str">
            <v>Diferença entre a TIR Original x TIR Desequilibrios</v>
          </cell>
          <cell r="J100">
            <v>-8.5155430270874855E-3</v>
          </cell>
        </row>
        <row r="102">
          <cell r="B102" t="str">
            <v>TIR Resultante das Alternativas Utilizadas para o Reequilibrio (ao ano)</v>
          </cell>
          <cell r="J102">
            <v>0.18870041972201257</v>
          </cell>
        </row>
        <row r="104">
          <cell r="B104" t="str">
            <v>GRAFICOS COMPARATIVOS DOS AJUSTES NOS DESEQUILIBRIOS NO CONTRATO ORIGINAL</v>
          </cell>
        </row>
        <row r="133">
          <cell r="B133" t="str">
            <v>SALDO DO FLUXO DE CAIXA DOS FATORES DE DESEQUILIBRIO (MIlhares de Reais)</v>
          </cell>
        </row>
        <row r="135">
          <cell r="B135" t="str">
            <v>DISCRIMINAÇÃO</v>
          </cell>
          <cell r="F135" t="str">
            <v>VPL</v>
          </cell>
          <cell r="G135" t="str">
            <v>TIR</v>
          </cell>
          <cell r="H135">
            <v>1</v>
          </cell>
          <cell r="I135">
            <v>2</v>
          </cell>
          <cell r="J135">
            <v>3</v>
          </cell>
          <cell r="K135">
            <v>4</v>
          </cell>
          <cell r="L135">
            <v>5</v>
          </cell>
          <cell r="M135">
            <v>6</v>
          </cell>
          <cell r="N135">
            <v>7</v>
          </cell>
          <cell r="O135">
            <v>8</v>
          </cell>
          <cell r="P135">
            <v>9</v>
          </cell>
          <cell r="Q135">
            <v>10</v>
          </cell>
          <cell r="R135">
            <v>11</v>
          </cell>
          <cell r="S135">
            <v>12</v>
          </cell>
          <cell r="T135">
            <v>13</v>
          </cell>
          <cell r="U135">
            <v>14</v>
          </cell>
          <cell r="V135">
            <v>15</v>
          </cell>
          <cell r="W135">
            <v>16</v>
          </cell>
          <cell r="X135">
            <v>17</v>
          </cell>
          <cell r="Y135">
            <v>18</v>
          </cell>
          <cell r="Z135">
            <v>19</v>
          </cell>
          <cell r="AA135">
            <v>20</v>
          </cell>
        </row>
        <row r="136">
          <cell r="B136" t="str">
            <v>(=)Fluxo de Caixa do Projeto Original</v>
          </cell>
          <cell r="F136">
            <v>-1.1491715801235414E-11</v>
          </cell>
          <cell r="G136">
            <v>0.18715262042307898</v>
          </cell>
          <cell r="H136">
            <v>-36347.961760615988</v>
          </cell>
          <cell r="I136">
            <v>-5585.5403999999999</v>
          </cell>
          <cell r="J136">
            <v>-30191.959935000006</v>
          </cell>
          <cell r="K136">
            <v>-24719.396564999988</v>
          </cell>
          <cell r="L136">
            <v>-11320.944255</v>
          </cell>
          <cell r="M136">
            <v>7227.1481750000048</v>
          </cell>
          <cell r="N136">
            <v>26234.365624999991</v>
          </cell>
          <cell r="O136">
            <v>29306.897240000006</v>
          </cell>
          <cell r="P136">
            <v>36807.029714999997</v>
          </cell>
          <cell r="Q136">
            <v>21950.210380000008</v>
          </cell>
          <cell r="R136">
            <v>40564.205499999996</v>
          </cell>
          <cell r="S136">
            <v>46761.231954999988</v>
          </cell>
          <cell r="T136">
            <v>49560.351080000008</v>
          </cell>
          <cell r="U136">
            <v>53196.235584999995</v>
          </cell>
          <cell r="V136">
            <v>54187.037929999999</v>
          </cell>
          <cell r="W136">
            <v>53426.751534999989</v>
          </cell>
          <cell r="X136">
            <v>55125.760599999994</v>
          </cell>
          <cell r="Y136">
            <v>58688.514024999989</v>
          </cell>
          <cell r="Z136">
            <v>63084.716289999989</v>
          </cell>
          <cell r="AA136">
            <v>69696.823599999989</v>
          </cell>
        </row>
        <row r="137">
          <cell r="B137" t="str">
            <v>(+)Desequilibrio do Projeto Original (a)</v>
          </cell>
        </row>
        <row r="138">
          <cell r="B138" t="str">
            <v>1ª Adequação - Investimentos</v>
          </cell>
        </row>
        <row r="139">
          <cell r="B139" t="str">
            <v>Fluxo de Caixa do Fator</v>
          </cell>
          <cell r="H139">
            <v>19252.260000000002</v>
          </cell>
          <cell r="I139">
            <v>-14644.48</v>
          </cell>
          <cell r="J139">
            <v>-4874.08</v>
          </cell>
          <cell r="K139">
            <v>15518.5</v>
          </cell>
          <cell r="L139">
            <v>-12424.27</v>
          </cell>
          <cell r="M139">
            <v>-3917.66</v>
          </cell>
          <cell r="N139">
            <v>-1211.71</v>
          </cell>
          <cell r="O139">
            <v>448.29000000000087</v>
          </cell>
          <cell r="P139">
            <v>-4630</v>
          </cell>
          <cell r="Q139">
            <v>603</v>
          </cell>
          <cell r="R139">
            <v>12</v>
          </cell>
          <cell r="S139">
            <v>11</v>
          </cell>
          <cell r="T139">
            <v>12</v>
          </cell>
          <cell r="U139">
            <v>12</v>
          </cell>
          <cell r="V139">
            <v>12</v>
          </cell>
          <cell r="W139">
            <v>12</v>
          </cell>
          <cell r="X139">
            <v>52</v>
          </cell>
          <cell r="Y139">
            <v>51</v>
          </cell>
          <cell r="Z139">
            <v>52</v>
          </cell>
          <cell r="AA139">
            <v>51</v>
          </cell>
        </row>
        <row r="140">
          <cell r="B140" t="str">
            <v>Somatoria com Projeto Original</v>
          </cell>
          <cell r="F140">
            <v>2942.2342439565728</v>
          </cell>
          <cell r="G140">
            <v>0.1929206088596252</v>
          </cell>
          <cell r="H140">
            <v>-17095.701760615986</v>
          </cell>
          <cell r="I140">
            <v>-20230.020400000001</v>
          </cell>
          <cell r="J140">
            <v>-35066.039935000008</v>
          </cell>
          <cell r="K140">
            <v>-9200.8965649999882</v>
          </cell>
          <cell r="L140">
            <v>-23745.214254999999</v>
          </cell>
          <cell r="M140">
            <v>3309.488175000005</v>
          </cell>
          <cell r="N140">
            <v>25022.655624999992</v>
          </cell>
          <cell r="O140">
            <v>29755.187240000007</v>
          </cell>
          <cell r="P140">
            <v>32177.029714999997</v>
          </cell>
          <cell r="Q140">
            <v>22553.210380000008</v>
          </cell>
          <cell r="R140">
            <v>40576.205499999996</v>
          </cell>
          <cell r="S140">
            <v>46772.231954999988</v>
          </cell>
          <cell r="T140">
            <v>49572.351080000008</v>
          </cell>
          <cell r="U140">
            <v>53208.235584999995</v>
          </cell>
          <cell r="V140">
            <v>54199.037929999999</v>
          </cell>
          <cell r="W140">
            <v>53438.751534999989</v>
          </cell>
          <cell r="X140">
            <v>55177.760599999994</v>
          </cell>
          <cell r="Y140">
            <v>58739.514024999989</v>
          </cell>
          <cell r="Z140">
            <v>63136.716289999989</v>
          </cell>
          <cell r="AA140">
            <v>69747.823599999989</v>
          </cell>
        </row>
        <row r="141">
          <cell r="B141" t="str">
            <v>2ª Adequação - Investimentos</v>
          </cell>
        </row>
        <row r="142">
          <cell r="B142" t="str">
            <v>Fluxo de Caixa do Fator</v>
          </cell>
          <cell r="H142">
            <v>0.51000000000067303</v>
          </cell>
          <cell r="I142">
            <v>-1341.7060000000001</v>
          </cell>
          <cell r="J142">
            <v>8813.8780700000025</v>
          </cell>
          <cell r="K142">
            <v>-11246.497890000001</v>
          </cell>
          <cell r="L142">
            <v>2684.7239999999997</v>
          </cell>
          <cell r="M142">
            <v>299.97000000000003</v>
          </cell>
          <cell r="N142">
            <v>-5022.8</v>
          </cell>
          <cell r="O142">
            <v>-1082.19</v>
          </cell>
          <cell r="P142">
            <v>-4682.2</v>
          </cell>
          <cell r="Q142">
            <v>-73.039999999999964</v>
          </cell>
          <cell r="R142">
            <v>95.119999999999891</v>
          </cell>
          <cell r="S142">
            <v>95.329999999999927</v>
          </cell>
          <cell r="T142">
            <v>-72.96999999999997</v>
          </cell>
          <cell r="U142">
            <v>94.649999999999977</v>
          </cell>
          <cell r="V142">
            <v>94.779999999999973</v>
          </cell>
          <cell r="W142">
            <v>94.629999999999654</v>
          </cell>
          <cell r="X142">
            <v>0.47999999999956344</v>
          </cell>
          <cell r="Y142">
            <v>0.13999999999941792</v>
          </cell>
          <cell r="Z142">
            <v>-0.36999999999989086</v>
          </cell>
          <cell r="AA142">
            <v>1.999999999998181E-2</v>
          </cell>
        </row>
        <row r="143">
          <cell r="B143" t="str">
            <v>Somatoria com Projeto Original</v>
          </cell>
          <cell r="F143">
            <v>-2858.1343799323081</v>
          </cell>
          <cell r="G143">
            <v>0.18198652864778544</v>
          </cell>
          <cell r="H143">
            <v>-36347.451760615986</v>
          </cell>
          <cell r="I143">
            <v>-6927.2464</v>
          </cell>
          <cell r="J143">
            <v>-21378.081865000004</v>
          </cell>
          <cell r="K143">
            <v>-35965.894454999987</v>
          </cell>
          <cell r="L143">
            <v>-8636.2202550000002</v>
          </cell>
          <cell r="M143">
            <v>7527.1181750000051</v>
          </cell>
          <cell r="N143">
            <v>21211.565624999992</v>
          </cell>
          <cell r="O143">
            <v>28224.707240000007</v>
          </cell>
          <cell r="P143">
            <v>32124.829714999996</v>
          </cell>
          <cell r="Q143">
            <v>21877.170380000007</v>
          </cell>
          <cell r="R143">
            <v>40659.325499999999</v>
          </cell>
          <cell r="S143">
            <v>46856.56195499999</v>
          </cell>
          <cell r="T143">
            <v>49487.381080000006</v>
          </cell>
          <cell r="U143">
            <v>53290.885584999996</v>
          </cell>
          <cell r="V143">
            <v>54281.817929999997</v>
          </cell>
          <cell r="W143">
            <v>53521.381534999986</v>
          </cell>
          <cell r="X143">
            <v>55126.24059999999</v>
          </cell>
          <cell r="Y143">
            <v>58688.654024999989</v>
          </cell>
          <cell r="Z143">
            <v>63084.346289999987</v>
          </cell>
          <cell r="AA143">
            <v>69696.843599999993</v>
          </cell>
        </row>
        <row r="144">
          <cell r="B144" t="str">
            <v>3ª Adequação - Investimentos</v>
          </cell>
        </row>
        <row r="145">
          <cell r="B145" t="str">
            <v>Fluxo de Caixa do Fator</v>
          </cell>
          <cell r="H145">
            <v>-3273.0780520016669</v>
          </cell>
          <cell r="I145">
            <v>-757.19261472096741</v>
          </cell>
          <cell r="J145">
            <v>-10.784935282080987</v>
          </cell>
          <cell r="K145">
            <v>1048.4916214721975</v>
          </cell>
          <cell r="L145">
            <v>33793.169240090552</v>
          </cell>
          <cell r="M145">
            <v>11209.538175983558</v>
          </cell>
          <cell r="N145">
            <v>-7533.0392431861483</v>
          </cell>
          <cell r="O145">
            <v>1713.3823430151374</v>
          </cell>
          <cell r="P145">
            <v>216.85607911513813</v>
          </cell>
          <cell r="Q145">
            <v>-8556.0896760253909</v>
          </cell>
          <cell r="R145">
            <v>-3637.4357643274147</v>
          </cell>
          <cell r="S145">
            <v>-4105.1847691144512</v>
          </cell>
          <cell r="T145">
            <v>-4010.7914161369226</v>
          </cell>
          <cell r="U145">
            <v>338.72817249581499</v>
          </cell>
          <cell r="V145">
            <v>403.281122495815</v>
          </cell>
          <cell r="W145">
            <v>391.6587841758149</v>
          </cell>
          <cell r="X145">
            <v>501.08363917581545</v>
          </cell>
          <cell r="Y145">
            <v>420.15473917581443</v>
          </cell>
          <cell r="Z145">
            <v>438.59751337581514</v>
          </cell>
          <cell r="AA145">
            <v>355.83229337581497</v>
          </cell>
        </row>
        <row r="146">
          <cell r="B146" t="str">
            <v>Somatoria com Projeto Original</v>
          </cell>
          <cell r="F146">
            <v>10893.160356878618</v>
          </cell>
          <cell r="G146">
            <v>0.20801699151630479</v>
          </cell>
          <cell r="H146">
            <v>-39621.039812617659</v>
          </cell>
          <cell r="I146">
            <v>-6342.7330147209668</v>
          </cell>
          <cell r="J146">
            <v>-30202.744870282088</v>
          </cell>
          <cell r="K146">
            <v>-23670.904943527792</v>
          </cell>
          <cell r="L146">
            <v>22472.22498509055</v>
          </cell>
          <cell r="M146">
            <v>18436.686350983564</v>
          </cell>
          <cell r="N146">
            <v>18701.326381813844</v>
          </cell>
          <cell r="O146">
            <v>31020.279583015144</v>
          </cell>
          <cell r="P146">
            <v>37023.885794115136</v>
          </cell>
          <cell r="Q146">
            <v>13394.120703974617</v>
          </cell>
          <cell r="R146">
            <v>36926.769735672584</v>
          </cell>
          <cell r="S146">
            <v>42656.047185885538</v>
          </cell>
          <cell r="T146">
            <v>45549.559663863081</v>
          </cell>
          <cell r="U146">
            <v>53534.963757495811</v>
          </cell>
          <cell r="V146">
            <v>54590.319052495812</v>
          </cell>
          <cell r="W146">
            <v>53818.410319175804</v>
          </cell>
          <cell r="X146">
            <v>55626.844239175807</v>
          </cell>
          <cell r="Y146">
            <v>59108.668764175804</v>
          </cell>
          <cell r="Z146">
            <v>63523.313803375808</v>
          </cell>
          <cell r="AA146">
            <v>70052.655893375806</v>
          </cell>
        </row>
        <row r="147">
          <cell r="B147" t="str">
            <v>Perda de Receita - Mudança na local. Pças de Águas da Prata, Mococa e Aguaí</v>
          </cell>
        </row>
        <row r="148">
          <cell r="B148" t="str">
            <v>Fluxo de Caixa do Fator</v>
          </cell>
          <cell r="H148">
            <v>0</v>
          </cell>
          <cell r="I148">
            <v>-1382.0408974779361</v>
          </cell>
          <cell r="J148">
            <v>-1441.1149530966591</v>
          </cell>
          <cell r="K148">
            <v>-1501.6254320122725</v>
          </cell>
          <cell r="L148">
            <v>-1873.8548681076236</v>
          </cell>
          <cell r="M148">
            <v>-1948.4788740456402</v>
          </cell>
          <cell r="N148">
            <v>-2268.1382306918822</v>
          </cell>
          <cell r="O148">
            <v>-2353.2069174354929</v>
          </cell>
          <cell r="P148">
            <v>-2439.1646316000183</v>
          </cell>
          <cell r="Q148">
            <v>-2525.730183468047</v>
          </cell>
          <cell r="R148">
            <v>-2612.779209644058</v>
          </cell>
          <cell r="S148">
            <v>-2700.7181562644073</v>
          </cell>
          <cell r="T148">
            <v>-2788.1550829252164</v>
          </cell>
          <cell r="U148">
            <v>-2876.548220560549</v>
          </cell>
          <cell r="V148">
            <v>-2964.2404371199045</v>
          </cell>
          <cell r="W148">
            <v>-3051.7918133720405</v>
          </cell>
          <cell r="X148">
            <v>-3139.7245374324348</v>
          </cell>
          <cell r="Y148">
            <v>-3226.2776787899393</v>
          </cell>
          <cell r="Z148">
            <v>-3312.091512701239</v>
          </cell>
          <cell r="AA148">
            <v>-3397.4367820152474</v>
          </cell>
        </row>
        <row r="149">
          <cell r="B149" t="str">
            <v>Somatoria com Projeto Original</v>
          </cell>
          <cell r="F149">
            <v>-8619.9580449402256</v>
          </cell>
          <cell r="G149">
            <v>0.17166195069345008</v>
          </cell>
          <cell r="H149">
            <v>-36347.961760615988</v>
          </cell>
          <cell r="I149">
            <v>-6967.5812974779365</v>
          </cell>
          <cell r="J149">
            <v>-31633.074888096664</v>
          </cell>
          <cell r="K149">
            <v>-26221.02199701226</v>
          </cell>
          <cell r="L149">
            <v>-13194.799123107623</v>
          </cell>
          <cell r="M149">
            <v>5278.6693009543651</v>
          </cell>
          <cell r="N149">
            <v>23966.227394308109</v>
          </cell>
          <cell r="O149">
            <v>26953.690322564515</v>
          </cell>
          <cell r="P149">
            <v>34367.865083399978</v>
          </cell>
          <cell r="Q149">
            <v>19424.48019653196</v>
          </cell>
          <cell r="R149">
            <v>37951.426290355936</v>
          </cell>
          <cell r="S149">
            <v>44060.513798735585</v>
          </cell>
          <cell r="T149">
            <v>46772.195997074792</v>
          </cell>
          <cell r="U149">
            <v>50319.687364439444</v>
          </cell>
          <cell r="V149">
            <v>51222.797492880098</v>
          </cell>
          <cell r="W149">
            <v>50374.959721627951</v>
          </cell>
          <cell r="X149">
            <v>51986.03606256756</v>
          </cell>
          <cell r="Y149">
            <v>55462.236346210047</v>
          </cell>
          <cell r="Z149">
            <v>59772.624777298748</v>
          </cell>
          <cell r="AA149">
            <v>66299.386817984749</v>
          </cell>
        </row>
        <row r="150">
          <cell r="B150" t="str">
            <v>Perda de Receita - Atraso no início da operação das Pças de AP, Mococa e Aguaí</v>
          </cell>
        </row>
        <row r="151">
          <cell r="B151" t="str">
            <v>Fluxo de Caixa do Fator</v>
          </cell>
          <cell r="H151">
            <v>-1361.8848624580535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2">
          <cell r="B152" t="str">
            <v>Somatoria com Projeto Original</v>
          </cell>
          <cell r="F152">
            <v>-1147.1859970057678</v>
          </cell>
          <cell r="G152">
            <v>0.1851049757163141</v>
          </cell>
          <cell r="H152">
            <v>-37709.846623074045</v>
          </cell>
          <cell r="I152">
            <v>-5585.5403999999999</v>
          </cell>
          <cell r="J152">
            <v>-30191.959935000006</v>
          </cell>
          <cell r="K152">
            <v>-24719.396564999988</v>
          </cell>
          <cell r="L152">
            <v>-11320.944255</v>
          </cell>
          <cell r="M152">
            <v>7227.1481750000048</v>
          </cell>
          <cell r="N152">
            <v>26234.365624999991</v>
          </cell>
          <cell r="O152">
            <v>29306.897240000006</v>
          </cell>
          <cell r="P152">
            <v>36807.029714999997</v>
          </cell>
          <cell r="Q152">
            <v>21950.210380000008</v>
          </cell>
          <cell r="R152">
            <v>40564.205499999996</v>
          </cell>
          <cell r="S152">
            <v>46761.231954999988</v>
          </cell>
          <cell r="T152">
            <v>49560.351080000008</v>
          </cell>
          <cell r="U152">
            <v>53196.235584999995</v>
          </cell>
          <cell r="V152">
            <v>54187.037929999999</v>
          </cell>
          <cell r="W152">
            <v>53426.751534999989</v>
          </cell>
          <cell r="X152">
            <v>55125.760599999994</v>
          </cell>
          <cell r="Y152">
            <v>58688.514024999989</v>
          </cell>
          <cell r="Z152">
            <v>63084.716289999989</v>
          </cell>
          <cell r="AA152">
            <v>69696.823599999989</v>
          </cell>
        </row>
        <row r="153">
          <cell r="B153" t="str">
            <v>Perda de Receita -Eliminação da Pça de VGSul</v>
          </cell>
        </row>
        <row r="154">
          <cell r="B154" t="str">
            <v>Fluxo de Caixa do Fator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-114.03895800000001</v>
          </cell>
          <cell r="M154">
            <v>-969.71043000000009</v>
          </cell>
          <cell r="N154">
            <v>-1005.11055</v>
          </cell>
          <cell r="O154">
            <v>-1041.1428150000002</v>
          </cell>
          <cell r="P154">
            <v>-1077.807225</v>
          </cell>
          <cell r="Q154">
            <v>-1113.8394899999998</v>
          </cell>
          <cell r="R154">
            <v>-1151.76819</v>
          </cell>
          <cell r="S154">
            <v>-1187.8004550000001</v>
          </cell>
          <cell r="T154">
            <v>-1225.09701</v>
          </cell>
          <cell r="U154">
            <v>-1261.129275</v>
          </cell>
          <cell r="V154">
            <v>-1300.322265</v>
          </cell>
          <cell r="W154">
            <v>-1336.9866750000001</v>
          </cell>
          <cell r="X154">
            <v>-1373.651085</v>
          </cell>
          <cell r="Y154">
            <v>-1410.9476400000001</v>
          </cell>
          <cell r="Z154">
            <v>-1447.6120500000002</v>
          </cell>
          <cell r="AA154">
            <v>-1483.644315</v>
          </cell>
        </row>
        <row r="155">
          <cell r="B155" t="str">
            <v>Somatoria com Projeto Original</v>
          </cell>
          <cell r="F155">
            <v>-2390.9676829216119</v>
          </cell>
          <cell r="G155">
            <v>0.18279633462555153</v>
          </cell>
          <cell r="H155">
            <v>-36347.961760615988</v>
          </cell>
          <cell r="I155">
            <v>-5585.5403999999999</v>
          </cell>
          <cell r="J155">
            <v>-30191.959935000006</v>
          </cell>
          <cell r="K155">
            <v>-24719.396564999988</v>
          </cell>
          <cell r="L155">
            <v>-11434.983213</v>
          </cell>
          <cell r="M155">
            <v>6257.4377450000047</v>
          </cell>
          <cell r="N155">
            <v>25229.25507499999</v>
          </cell>
          <cell r="O155">
            <v>28265.754425000006</v>
          </cell>
          <cell r="P155">
            <v>35729.22249</v>
          </cell>
          <cell r="Q155">
            <v>20836.370890000009</v>
          </cell>
          <cell r="R155">
            <v>39412.437309999994</v>
          </cell>
          <cell r="S155">
            <v>45573.431499999992</v>
          </cell>
          <cell r="T155">
            <v>48335.25407000001</v>
          </cell>
          <cell r="U155">
            <v>51935.106309999996</v>
          </cell>
          <cell r="V155">
            <v>52886.715664999996</v>
          </cell>
          <cell r="W155">
            <v>52089.764859999988</v>
          </cell>
          <cell r="X155">
            <v>53752.109514999996</v>
          </cell>
          <cell r="Y155">
            <v>57277.566384999991</v>
          </cell>
          <cell r="Z155">
            <v>61637.104239999986</v>
          </cell>
          <cell r="AA155">
            <v>68213.179284999991</v>
          </cell>
        </row>
        <row r="156">
          <cell r="B156" t="str">
            <v>Despesas de eliminação da Pça de VGSul</v>
          </cell>
        </row>
        <row r="157">
          <cell r="B157" t="str">
            <v>Fluxo de Caixa do Fator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97.506411314784316</v>
          </cell>
          <cell r="M157">
            <v>1228.0653425051682</v>
          </cell>
          <cell r="N157">
            <v>1216.9886673385317</v>
          </cell>
          <cell r="O157">
            <v>226.1119020728917</v>
          </cell>
          <cell r="P157">
            <v>239.2201765978308</v>
          </cell>
          <cell r="Q157">
            <v>239.3858365978241</v>
          </cell>
          <cell r="R157">
            <v>239.38620326449848</v>
          </cell>
          <cell r="S157">
            <v>227.8779091501587</v>
          </cell>
          <cell r="T157">
            <v>227.92505200727686</v>
          </cell>
          <cell r="U157">
            <v>228.03615200727876</v>
          </cell>
          <cell r="V157">
            <v>228.04662298279541</v>
          </cell>
          <cell r="W157">
            <v>241.95990043027365</v>
          </cell>
          <cell r="X157">
            <v>241.83920945476922</v>
          </cell>
          <cell r="Y157">
            <v>241.68435043026062</v>
          </cell>
          <cell r="Z157">
            <v>230.4711327179659</v>
          </cell>
          <cell r="AA157">
            <v>230.54239881281313</v>
          </cell>
        </row>
        <row r="158">
          <cell r="B158" t="str">
            <v>Somatoria com Projeto Original</v>
          </cell>
          <cell r="F158">
            <v>1181.5965000743256</v>
          </cell>
          <cell r="G158">
            <v>0.18928978760184645</v>
          </cell>
          <cell r="H158">
            <v>-36347.961760615988</v>
          </cell>
          <cell r="I158">
            <v>-5585.5403999999999</v>
          </cell>
          <cell r="J158">
            <v>-30191.959935000006</v>
          </cell>
          <cell r="K158">
            <v>-24719.396564999988</v>
          </cell>
          <cell r="L158">
            <v>-11223.437843685217</v>
          </cell>
          <cell r="M158">
            <v>8455.2135175051735</v>
          </cell>
          <cell r="N158">
            <v>27451.354292338525</v>
          </cell>
          <cell r="O158">
            <v>29533.009142072897</v>
          </cell>
          <cell r="P158">
            <v>37046.249891597829</v>
          </cell>
          <cell r="Q158">
            <v>22189.596216597831</v>
          </cell>
          <cell r="R158">
            <v>40803.591703264494</v>
          </cell>
          <cell r="S158">
            <v>46989.109864150145</v>
          </cell>
          <cell r="T158">
            <v>49788.276132007282</v>
          </cell>
          <cell r="U158">
            <v>53424.271737007271</v>
          </cell>
          <cell r="V158">
            <v>54415.084552982793</v>
          </cell>
          <cell r="W158">
            <v>53668.711435430261</v>
          </cell>
          <cell r="X158">
            <v>55367.599809454761</v>
          </cell>
          <cell r="Y158">
            <v>58930.198375430249</v>
          </cell>
          <cell r="Z158">
            <v>63315.187422717958</v>
          </cell>
          <cell r="AA158">
            <v>69927.365998812806</v>
          </cell>
        </row>
        <row r="159">
          <cell r="B159" t="str">
            <v>Inclusão da SP-342</v>
          </cell>
        </row>
        <row r="160">
          <cell r="B160" t="str">
            <v>Fluxo de Caixa do Fator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-726.64790216326696</v>
          </cell>
          <cell r="O160">
            <v>233.40925531719131</v>
          </cell>
          <cell r="P160">
            <v>151.0600316049713</v>
          </cell>
          <cell r="Q160">
            <v>170.28482070161499</v>
          </cell>
          <cell r="R160">
            <v>250.5406578630782</v>
          </cell>
          <cell r="S160">
            <v>426.98582790577166</v>
          </cell>
          <cell r="T160">
            <v>479.54237751579058</v>
          </cell>
          <cell r="U160">
            <v>534.59810150217982</v>
          </cell>
          <cell r="V160">
            <v>585.85560004154468</v>
          </cell>
          <cell r="W160">
            <v>490.52868234480775</v>
          </cell>
          <cell r="X160">
            <v>545.1924538805406</v>
          </cell>
          <cell r="Y160">
            <v>604.30506438319571</v>
          </cell>
          <cell r="Z160">
            <v>783.53436933121702</v>
          </cell>
          <cell r="AA160">
            <v>849.17959650476223</v>
          </cell>
        </row>
        <row r="161">
          <cell r="B161" t="str">
            <v>Somatoria com Projeto Original</v>
          </cell>
          <cell r="F161">
            <v>286.62129443290826</v>
          </cell>
          <cell r="G161">
            <v>0.18766844458258236</v>
          </cell>
          <cell r="H161">
            <v>-36347.961760615988</v>
          </cell>
          <cell r="I161">
            <v>-5585.5403999999999</v>
          </cell>
          <cell r="J161">
            <v>-30191.959935000006</v>
          </cell>
          <cell r="K161">
            <v>-24719.396564999988</v>
          </cell>
          <cell r="L161">
            <v>-11320.944255</v>
          </cell>
          <cell r="M161">
            <v>7227.1481750000048</v>
          </cell>
          <cell r="N161">
            <v>25507.717722836725</v>
          </cell>
          <cell r="O161">
            <v>29540.306495317196</v>
          </cell>
          <cell r="P161">
            <v>36958.089746604965</v>
          </cell>
          <cell r="Q161">
            <v>22120.495200701622</v>
          </cell>
          <cell r="R161">
            <v>40814.746157863075</v>
          </cell>
          <cell r="S161">
            <v>47188.217782905762</v>
          </cell>
          <cell r="T161">
            <v>50039.893457515798</v>
          </cell>
          <cell r="U161">
            <v>53730.833686502177</v>
          </cell>
          <cell r="V161">
            <v>54772.893530041547</v>
          </cell>
          <cell r="W161">
            <v>53917.2802173448</v>
          </cell>
          <cell r="X161">
            <v>55670.953053880534</v>
          </cell>
          <cell r="Y161">
            <v>59292.819089383185</v>
          </cell>
          <cell r="Z161">
            <v>63868.250659331206</v>
          </cell>
          <cell r="AA161">
            <v>70546.003196504753</v>
          </cell>
        </row>
        <row r="162">
          <cell r="B162" t="str">
            <v>Melhoria Per. Urbano SJBV + Cred. ISS + Comp. Ônus</v>
          </cell>
        </row>
        <row r="163">
          <cell r="B163" t="str">
            <v>Fluxo de Caixa do Fator</v>
          </cell>
          <cell r="H163">
            <v>2144.7634133172628</v>
          </cell>
          <cell r="I163">
            <v>2114.9321803089315</v>
          </cell>
          <cell r="J163">
            <v>1424.5829664266853</v>
          </cell>
          <cell r="K163">
            <v>0</v>
          </cell>
          <cell r="L163">
            <v>0</v>
          </cell>
          <cell r="M163">
            <v>0</v>
          </cell>
          <cell r="N163">
            <v>-2594.6182055480558</v>
          </cell>
          <cell r="O163">
            <v>-3091.563102711124</v>
          </cell>
          <cell r="P163">
            <v>-3686.7701265261958</v>
          </cell>
          <cell r="Q163">
            <v>-2271.5362079468237</v>
          </cell>
          <cell r="R163">
            <v>-6112.2270059068233</v>
          </cell>
          <cell r="S163">
            <v>-1904.6803965461577</v>
          </cell>
          <cell r="T163">
            <v>-3962.425139743867</v>
          </cell>
          <cell r="U163">
            <v>-4198.3404083394707</v>
          </cell>
          <cell r="V163">
            <v>-1843.1914325029852</v>
          </cell>
          <cell r="W163">
            <v>2700.0975929024216</v>
          </cell>
          <cell r="X163">
            <v>2997.8415118213406</v>
          </cell>
          <cell r="Y163">
            <v>2997.8415118213406</v>
          </cell>
          <cell r="Z163">
            <v>2001.3413596817013</v>
          </cell>
          <cell r="AA163">
            <v>-3667.2169664588387</v>
          </cell>
        </row>
        <row r="164">
          <cell r="B164" t="str">
            <v>Somatoria com Projeto Original</v>
          </cell>
          <cell r="F164">
            <v>-286.62498304556186</v>
          </cell>
          <cell r="G164">
            <v>0.18660788476916476</v>
          </cell>
          <cell r="H164">
            <v>-34203.198347298727</v>
          </cell>
          <cell r="I164">
            <v>-3470.6082196910684</v>
          </cell>
          <cell r="J164">
            <v>-28767.37696857332</v>
          </cell>
          <cell r="K164">
            <v>-24719.396564999988</v>
          </cell>
          <cell r="L164">
            <v>-11320.944255</v>
          </cell>
          <cell r="M164">
            <v>7227.1481750000048</v>
          </cell>
          <cell r="N164">
            <v>23639.747419451935</v>
          </cell>
          <cell r="O164">
            <v>26215.334137288883</v>
          </cell>
          <cell r="P164">
            <v>33120.259588473804</v>
          </cell>
          <cell r="Q164">
            <v>19678.674172053183</v>
          </cell>
          <cell r="R164">
            <v>34451.978494093171</v>
          </cell>
          <cell r="S164">
            <v>44856.55155845383</v>
          </cell>
          <cell r="T164">
            <v>45597.925940256144</v>
          </cell>
          <cell r="U164">
            <v>48997.895176660524</v>
          </cell>
          <cell r="V164">
            <v>52343.846497497012</v>
          </cell>
          <cell r="W164">
            <v>56126.849127902409</v>
          </cell>
          <cell r="X164">
            <v>58123.602111821332</v>
          </cell>
          <cell r="Y164">
            <v>61686.355536821327</v>
          </cell>
          <cell r="Z164">
            <v>65086.057649681694</v>
          </cell>
          <cell r="AA164">
            <v>66029.606633541145</v>
          </cell>
        </row>
        <row r="165">
          <cell r="B165" t="str">
            <v>ISSQN+COFINS+PIS + Dif. VGS+4ª adequação</v>
          </cell>
        </row>
        <row r="166">
          <cell r="B166" t="str">
            <v>Fluxo de Caixa do Fator</v>
          </cell>
          <cell r="H166">
            <v>137.47505803655164</v>
          </cell>
          <cell r="I166">
            <v>-443.11453049706643</v>
          </cell>
          <cell r="J166">
            <v>-508.14373569332048</v>
          </cell>
          <cell r="K166">
            <v>-707.3446553083013</v>
          </cell>
          <cell r="L166">
            <v>-351.5675224232881</v>
          </cell>
          <cell r="M166">
            <v>-1494.635196267544</v>
          </cell>
          <cell r="N166">
            <v>8402.7013933768831</v>
          </cell>
          <cell r="O166">
            <v>-13762.832934728913</v>
          </cell>
          <cell r="P166">
            <v>-1530.3723438929728</v>
          </cell>
          <cell r="Q166">
            <v>-1647.7586458920609</v>
          </cell>
          <cell r="R166">
            <v>-1783.8539026015903</v>
          </cell>
          <cell r="S166">
            <v>-2522.070078103096</v>
          </cell>
          <cell r="T166">
            <v>-2291.4467800942557</v>
          </cell>
          <cell r="U166">
            <v>-2157.8071353423761</v>
          </cell>
          <cell r="V166">
            <v>-2292.4692283591944</v>
          </cell>
          <cell r="W166">
            <v>-2426.0453820536841</v>
          </cell>
          <cell r="X166">
            <v>-2558.3405750571983</v>
          </cell>
          <cell r="Y166">
            <v>-2688.6321942099321</v>
          </cell>
          <cell r="Z166">
            <v>-2825.331992623313</v>
          </cell>
          <cell r="AA166">
            <v>-2982.9687235709725</v>
          </cell>
        </row>
        <row r="167">
          <cell r="B167" t="str">
            <v>Somatoria com Projeto Original</v>
          </cell>
          <cell r="F167">
            <v>-4955.3649323851396</v>
          </cell>
          <cell r="G167">
            <v>0.17807877572825079</v>
          </cell>
          <cell r="H167">
            <v>-36210.486702579437</v>
          </cell>
          <cell r="I167">
            <v>-6028.6549304970667</v>
          </cell>
          <cell r="J167">
            <v>-30700.103670693326</v>
          </cell>
          <cell r="K167">
            <v>-25426.741220308289</v>
          </cell>
          <cell r="L167">
            <v>-11672.511777423288</v>
          </cell>
          <cell r="M167">
            <v>5732.5129787324604</v>
          </cell>
          <cell r="N167">
            <v>34637.067018376874</v>
          </cell>
          <cell r="O167">
            <v>15544.064305271093</v>
          </cell>
          <cell r="P167">
            <v>35276.657371107023</v>
          </cell>
          <cell r="Q167">
            <v>20302.451734107948</v>
          </cell>
          <cell r="R167">
            <v>38780.351597398403</v>
          </cell>
          <cell r="S167">
            <v>44239.161876896891</v>
          </cell>
          <cell r="T167">
            <v>47268.904299905749</v>
          </cell>
          <cell r="U167">
            <v>51038.428449657622</v>
          </cell>
          <cell r="V167">
            <v>51894.568701640805</v>
          </cell>
          <cell r="W167">
            <v>51000.706152946303</v>
          </cell>
          <cell r="X167">
            <v>52567.420024942796</v>
          </cell>
          <cell r="Y167">
            <v>55999.881830790058</v>
          </cell>
          <cell r="Z167">
            <v>60259.384297376673</v>
          </cell>
          <cell r="AA167">
            <v>66713.854876429017</v>
          </cell>
        </row>
        <row r="168">
          <cell r="B168" t="str">
            <v>5ª Adequação de Investimentos</v>
          </cell>
        </row>
        <row r="169">
          <cell r="B169" t="str">
            <v>Fluxo de Caixa do Fator</v>
          </cell>
          <cell r="H169">
            <v>0</v>
          </cell>
          <cell r="I169">
            <v>0</v>
          </cell>
          <cell r="J169">
            <v>1.8189894035458565E-12</v>
          </cell>
          <cell r="K169">
            <v>0</v>
          </cell>
          <cell r="L169">
            <v>0</v>
          </cell>
          <cell r="M169">
            <v>0</v>
          </cell>
          <cell r="N169">
            <v>-3470.044534248731</v>
          </cell>
          <cell r="O169">
            <v>2401.3628122052978</v>
          </cell>
          <cell r="P169">
            <v>-1864.9972889796315</v>
          </cell>
          <cell r="Q169">
            <v>-376.84541096437164</v>
          </cell>
          <cell r="R169">
            <v>-613.10852322048731</v>
          </cell>
          <cell r="S169">
            <v>-105.74363258115341</v>
          </cell>
          <cell r="T169">
            <v>239.57807311655461</v>
          </cell>
          <cell r="U169">
            <v>118.25412742644525</v>
          </cell>
          <cell r="V169">
            <v>118.26050158995892</v>
          </cell>
          <cell r="W169">
            <v>118.25231618455314</v>
          </cell>
          <cell r="X169">
            <v>118.24839726563391</v>
          </cell>
          <cell r="Y169">
            <v>118.24839726563391</v>
          </cell>
          <cell r="Z169">
            <v>118.2511994052735</v>
          </cell>
          <cell r="AA169">
            <v>118.24702554581535</v>
          </cell>
        </row>
        <row r="170">
          <cell r="B170" t="str">
            <v>Somatoria com Projeto Original</v>
          </cell>
          <cell r="F170">
            <v>-934.65049856871076</v>
          </cell>
          <cell r="G170">
            <v>0.18546570303586915</v>
          </cell>
          <cell r="H170">
            <v>-36347.961760615988</v>
          </cell>
          <cell r="I170">
            <v>-5585.5403999999999</v>
          </cell>
          <cell r="J170">
            <v>-30191.959935000006</v>
          </cell>
          <cell r="K170">
            <v>-24719.396564999988</v>
          </cell>
          <cell r="L170">
            <v>-11320.944255</v>
          </cell>
          <cell r="M170">
            <v>7227.1481750000048</v>
          </cell>
          <cell r="N170">
            <v>22764.321090751262</v>
          </cell>
          <cell r="O170">
            <v>31708.260052205304</v>
          </cell>
          <cell r="P170">
            <v>34942.032426020363</v>
          </cell>
          <cell r="Q170">
            <v>21573.364969035636</v>
          </cell>
          <cell r="R170">
            <v>39951.09697677951</v>
          </cell>
          <cell r="S170">
            <v>46655.488322418838</v>
          </cell>
          <cell r="T170">
            <v>49799.929153116565</v>
          </cell>
          <cell r="U170">
            <v>53314.489712426439</v>
          </cell>
          <cell r="V170">
            <v>54305.298431589959</v>
          </cell>
          <cell r="W170">
            <v>53545.003851184541</v>
          </cell>
          <cell r="X170">
            <v>55244.008997265628</v>
          </cell>
          <cell r="Y170">
            <v>58806.762422265623</v>
          </cell>
          <cell r="Z170">
            <v>63202.967489405266</v>
          </cell>
          <cell r="AA170">
            <v>69815.070625545806</v>
          </cell>
        </row>
        <row r="171">
          <cell r="B171" t="str">
            <v>Desconto Antec. SP-340 - Ônus Fixo</v>
          </cell>
        </row>
        <row r="172">
          <cell r="B172" t="str">
            <v>Fluxo de Caixa do Fator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811.35713150764991</v>
          </cell>
          <cell r="P172">
            <v>1390.8979397273997</v>
          </cell>
          <cell r="Q172">
            <v>811.35713150764991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B173" t="str">
            <v>Somatoria com Projeto Original</v>
          </cell>
          <cell r="F173">
            <v>648.58147454830078</v>
          </cell>
          <cell r="G173">
            <v>0.18832422896592715</v>
          </cell>
          <cell r="H173">
            <v>-36347.961760615988</v>
          </cell>
          <cell r="I173">
            <v>-5585.5403999999999</v>
          </cell>
          <cell r="J173">
            <v>-30191.959935000006</v>
          </cell>
          <cell r="K173">
            <v>-24719.396564999988</v>
          </cell>
          <cell r="L173">
            <v>-11320.944255</v>
          </cell>
          <cell r="M173">
            <v>7227.1481750000048</v>
          </cell>
          <cell r="N173">
            <v>26234.365624999991</v>
          </cell>
          <cell r="O173">
            <v>30118.254371507657</v>
          </cell>
          <cell r="P173">
            <v>38197.927654727398</v>
          </cell>
          <cell r="Q173">
            <v>22761.567511507659</v>
          </cell>
          <cell r="R173">
            <v>40564.205499999996</v>
          </cell>
          <cell r="S173">
            <v>46761.231954999988</v>
          </cell>
          <cell r="T173">
            <v>49560.351080000008</v>
          </cell>
          <cell r="U173">
            <v>53196.235584999995</v>
          </cell>
          <cell r="V173">
            <v>54187.037929999999</v>
          </cell>
          <cell r="W173">
            <v>53426.751534999989</v>
          </cell>
          <cell r="X173">
            <v>55125.760599999994</v>
          </cell>
          <cell r="Y173">
            <v>58688.514024999989</v>
          </cell>
          <cell r="Z173">
            <v>63084.716289999989</v>
          </cell>
          <cell r="AA173">
            <v>69696.823599999989</v>
          </cell>
        </row>
        <row r="174">
          <cell r="B174" t="str">
            <v>6º Adequação de Investimentos</v>
          </cell>
        </row>
        <row r="175">
          <cell r="B175" t="str">
            <v>Fluxo de Caixa do Fator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655.34113076923074</v>
          </cell>
          <cell r="P175">
            <v>-1019.4051692307693</v>
          </cell>
          <cell r="Q175">
            <v>-336.25676923076986</v>
          </cell>
          <cell r="R175">
            <v>22.023230769230793</v>
          </cell>
          <cell r="S175">
            <v>22.023230769230793</v>
          </cell>
          <cell r="T175">
            <v>22.023230769230793</v>
          </cell>
          <cell r="U175">
            <v>22.023230769230793</v>
          </cell>
          <cell r="V175">
            <v>22.023230769230793</v>
          </cell>
          <cell r="W175">
            <v>22.023230769230793</v>
          </cell>
          <cell r="X175">
            <v>22.023230769230793</v>
          </cell>
          <cell r="Y175">
            <v>22.023230769230793</v>
          </cell>
          <cell r="Z175">
            <v>22.023230769230793</v>
          </cell>
          <cell r="AA175">
            <v>22.023230769230793</v>
          </cell>
        </row>
        <row r="176">
          <cell r="B176" t="str">
            <v>Somatoria com Projeto Original</v>
          </cell>
          <cell r="F176">
            <v>-94.66807578594694</v>
          </cell>
          <cell r="G176">
            <v>0.18698144984267806</v>
          </cell>
          <cell r="H176">
            <v>-36347.961760615988</v>
          </cell>
          <cell r="I176">
            <v>-5585.5403999999999</v>
          </cell>
          <cell r="J176">
            <v>-30191.959935000006</v>
          </cell>
          <cell r="K176">
            <v>-24719.396564999988</v>
          </cell>
          <cell r="L176">
            <v>-11320.944255</v>
          </cell>
          <cell r="M176">
            <v>7227.1481750000048</v>
          </cell>
          <cell r="N176">
            <v>26234.365624999991</v>
          </cell>
          <cell r="O176">
            <v>29962.238370769235</v>
          </cell>
          <cell r="P176">
            <v>35787.624545769228</v>
          </cell>
          <cell r="Q176">
            <v>21613.953610769237</v>
          </cell>
          <cell r="R176">
            <v>40586.228730769224</v>
          </cell>
          <cell r="S176">
            <v>46783.255185769216</v>
          </cell>
          <cell r="T176">
            <v>49582.374310769235</v>
          </cell>
          <cell r="U176">
            <v>53218.258815769223</v>
          </cell>
          <cell r="V176">
            <v>54209.061160769226</v>
          </cell>
          <cell r="W176">
            <v>53448.774765769216</v>
          </cell>
          <cell r="X176">
            <v>55147.783830769222</v>
          </cell>
          <cell r="Y176">
            <v>58710.537255769217</v>
          </cell>
          <cell r="Z176">
            <v>63106.739520769217</v>
          </cell>
          <cell r="AA176">
            <v>69718.846830769224</v>
          </cell>
        </row>
        <row r="177">
          <cell r="B177" t="str">
            <v>7º Adequação de Investimentos</v>
          </cell>
        </row>
        <row r="178">
          <cell r="B178" t="str">
            <v>Fluxo de Caixa do Fator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-97.438140000000047</v>
          </cell>
          <cell r="N178">
            <v>-64.566561428571589</v>
          </cell>
          <cell r="O178">
            <v>270.77008472527461</v>
          </cell>
          <cell r="P178">
            <v>1696.1771347252748</v>
          </cell>
          <cell r="Q178">
            <v>-4091.6214652747253</v>
          </cell>
          <cell r="R178">
            <v>-1915.5345252747252</v>
          </cell>
          <cell r="S178">
            <v>-5399.601991941392</v>
          </cell>
          <cell r="T178">
            <v>-19.983479441392035</v>
          </cell>
          <cell r="U178">
            <v>-1.6651794413920697</v>
          </cell>
          <cell r="V178">
            <v>386.90482055860792</v>
          </cell>
          <cell r="W178">
            <v>386.90482055860792</v>
          </cell>
          <cell r="X178">
            <v>386.90482055860792</v>
          </cell>
          <cell r="Y178">
            <v>386.89592055860777</v>
          </cell>
          <cell r="Z178">
            <v>386.90592055860799</v>
          </cell>
          <cell r="AA178">
            <v>386.90592055860799</v>
          </cell>
        </row>
        <row r="179">
          <cell r="B179" t="str">
            <v>Somatoria com Projeto Original</v>
          </cell>
          <cell r="F179">
            <v>-1220.6388098121997</v>
          </cell>
          <cell r="G179">
            <v>0.18493538238564791</v>
          </cell>
          <cell r="H179">
            <v>-36347.961760615988</v>
          </cell>
          <cell r="I179">
            <v>-5585.5403999999999</v>
          </cell>
          <cell r="J179">
            <v>-30191.959935000006</v>
          </cell>
          <cell r="K179">
            <v>-24719.396564999988</v>
          </cell>
          <cell r="L179">
            <v>-11320.944255</v>
          </cell>
          <cell r="M179">
            <v>7129.7100350000046</v>
          </cell>
          <cell r="N179">
            <v>26169.79906357142</v>
          </cell>
          <cell r="O179">
            <v>29577.66732472528</v>
          </cell>
          <cell r="P179">
            <v>38503.206849725269</v>
          </cell>
          <cell r="Q179">
            <v>17858.588914725282</v>
          </cell>
          <cell r="R179">
            <v>38648.670974725268</v>
          </cell>
          <cell r="S179">
            <v>41361.6299630586</v>
          </cell>
          <cell r="T179">
            <v>49540.367600558617</v>
          </cell>
          <cell r="U179">
            <v>53194.570405558603</v>
          </cell>
          <cell r="V179">
            <v>54573.942750558606</v>
          </cell>
          <cell r="W179">
            <v>53813.656355558596</v>
          </cell>
          <cell r="X179">
            <v>55512.665420558602</v>
          </cell>
          <cell r="Y179">
            <v>59075.409945558597</v>
          </cell>
          <cell r="Z179">
            <v>63471.622210558598</v>
          </cell>
          <cell r="AA179">
            <v>70083.729520558598</v>
          </cell>
        </row>
        <row r="180">
          <cell r="B180" t="str">
            <v>Desconto do Ônus Fixo</v>
          </cell>
        </row>
        <row r="181">
          <cell r="B181" t="str">
            <v>Fluxo de Caixa do Fator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1019.4753499999999</v>
          </cell>
          <cell r="R181">
            <v>3077.1894000000002</v>
          </cell>
          <cell r="S181">
            <v>3077.1894000000002</v>
          </cell>
          <cell r="T181">
            <v>3077.1894000000002</v>
          </cell>
          <cell r="U181">
            <v>3077.1894000000002</v>
          </cell>
          <cell r="V181">
            <v>3077.1894000000002</v>
          </cell>
          <cell r="W181">
            <v>3077.1894000000002</v>
          </cell>
          <cell r="X181">
            <v>3077.1894000000002</v>
          </cell>
          <cell r="Y181">
            <v>3077.1894000000002</v>
          </cell>
          <cell r="Z181">
            <v>3077.1894000000002</v>
          </cell>
          <cell r="AA181">
            <v>3077.1894000000002</v>
          </cell>
        </row>
        <row r="182">
          <cell r="B182" t="str">
            <v>Somatoria com Projeto Original</v>
          </cell>
          <cell r="F182">
            <v>2608.7483278709774</v>
          </cell>
          <cell r="G182">
            <v>0.19176683911033335</v>
          </cell>
          <cell r="H182">
            <v>-36347.961760615988</v>
          </cell>
          <cell r="I182">
            <v>-5585.5403999999999</v>
          </cell>
          <cell r="J182">
            <v>-30191.959935000006</v>
          </cell>
          <cell r="K182">
            <v>-24719.396564999988</v>
          </cell>
          <cell r="L182">
            <v>-11320.944255</v>
          </cell>
          <cell r="M182">
            <v>7227.1481750000048</v>
          </cell>
          <cell r="N182">
            <v>26234.365624999991</v>
          </cell>
          <cell r="O182">
            <v>29306.897240000006</v>
          </cell>
          <cell r="P182">
            <v>36807.029714999997</v>
          </cell>
          <cell r="Q182">
            <v>22969.685730000008</v>
          </cell>
          <cell r="R182">
            <v>43641.394899999999</v>
          </cell>
          <cell r="S182">
            <v>49838.421354999991</v>
          </cell>
          <cell r="T182">
            <v>52637.540480000011</v>
          </cell>
          <cell r="U182">
            <v>56273.424984999998</v>
          </cell>
          <cell r="V182">
            <v>57264.227330000002</v>
          </cell>
          <cell r="W182">
            <v>56503.940934999991</v>
          </cell>
          <cell r="X182">
            <v>58202.95</v>
          </cell>
          <cell r="Y182">
            <v>61765.703424999992</v>
          </cell>
          <cell r="Z182">
            <v>66161.905689999985</v>
          </cell>
          <cell r="AA182">
            <v>72774.012999999992</v>
          </cell>
        </row>
        <row r="183">
          <cell r="B183" t="str">
            <v>(=)TOTAL GERAL</v>
          </cell>
        </row>
        <row r="184">
          <cell r="B184" t="str">
            <v>Fluxo de Caixa do Fator</v>
          </cell>
          <cell r="H184">
            <v>16900.045556894096</v>
          </cell>
          <cell r="I184">
            <v>-16453.601862387037</v>
          </cell>
          <cell r="J184">
            <v>3404.3374123546291</v>
          </cell>
          <cell r="K184">
            <v>3111.5236441516236</v>
          </cell>
          <cell r="L184">
            <v>21811.668302874423</v>
          </cell>
          <cell r="M184">
            <v>4309.6508781755438</v>
          </cell>
          <cell r="N184">
            <v>-14276.985166551245</v>
          </cell>
          <cell r="O184">
            <v>-14570.911110262856</v>
          </cell>
          <cell r="P184">
            <v>-17236.505423458973</v>
          </cell>
          <cell r="Q184">
            <v>-18149.2147099951</v>
          </cell>
          <cell r="R184">
            <v>-14130.447629078291</v>
          </cell>
          <cell r="S184">
            <v>-14065.393111725494</v>
          </cell>
          <cell r="T184">
            <v>-10312.6107749328</v>
          </cell>
          <cell r="U184">
            <v>-6070.0110344828381</v>
          </cell>
          <cell r="V184">
            <v>-3471.8820645441319</v>
          </cell>
          <cell r="W184">
            <v>720.42085693998479</v>
          </cell>
          <cell r="X184">
            <v>871.08646543630539</v>
          </cell>
          <cell r="Y184">
            <v>593.62510140421227</v>
          </cell>
          <cell r="Z184">
            <v>-475.09142948473982</v>
          </cell>
          <cell r="AA184">
            <v>-6440.3269214780148</v>
          </cell>
        </row>
        <row r="185">
          <cell r="B185" t="str">
            <v>Somatoria com Projeto Original</v>
          </cell>
          <cell r="F185">
            <v>-3947.251206635683</v>
          </cell>
          <cell r="G185">
            <v>0.17863707739599149</v>
          </cell>
          <cell r="H185">
            <v>-19447.916203721892</v>
          </cell>
          <cell r="I185">
            <v>-22039.142262387038</v>
          </cell>
          <cell r="J185">
            <v>-26787.622522645375</v>
          </cell>
          <cell r="K185">
            <v>-21607.872920848364</v>
          </cell>
          <cell r="L185">
            <v>10490.724047874422</v>
          </cell>
          <cell r="M185">
            <v>11536.799053175549</v>
          </cell>
          <cell r="N185">
            <v>11957.380458448746</v>
          </cell>
          <cell r="O185">
            <v>14735.98612973715</v>
          </cell>
          <cell r="P185">
            <v>19570.524291541024</v>
          </cell>
          <cell r="Q185">
            <v>3800.9956700049079</v>
          </cell>
          <cell r="R185">
            <v>26433.757870921705</v>
          </cell>
          <cell r="S185">
            <v>32695.838843274494</v>
          </cell>
          <cell r="T185">
            <v>39247.740305067207</v>
          </cell>
          <cell r="U185">
            <v>47126.22455051716</v>
          </cell>
          <cell r="V185">
            <v>50715.155865455868</v>
          </cell>
          <cell r="W185">
            <v>54147.172391939974</v>
          </cell>
          <cell r="X185">
            <v>55996.847065436297</v>
          </cell>
          <cell r="Y185">
            <v>59282.139126404203</v>
          </cell>
          <cell r="Z185">
            <v>62609.62486051525</v>
          </cell>
          <cell r="AA185">
            <v>63256.496678521973</v>
          </cell>
        </row>
        <row r="186">
          <cell r="B186" t="str">
            <v>(a) efeitos de cada fator de desequilibrio no fluxo de caixa e na taxa interna de retorno do projeto original</v>
          </cell>
        </row>
        <row r="188">
          <cell r="B188" t="str">
            <v>DEMONSTRATIVO DE RESULTADOS COM FATORES DE DESEQUILIBRIO NO PERIODO CONTRATUAL (MIlhares de Reais)</v>
          </cell>
        </row>
        <row r="190">
          <cell r="B190" t="str">
            <v>DISCRIMINAÇÃO</v>
          </cell>
          <cell r="G190">
            <v>1</v>
          </cell>
          <cell r="H190">
            <v>2</v>
          </cell>
          <cell r="I190">
            <v>3</v>
          </cell>
          <cell r="J190">
            <v>4</v>
          </cell>
          <cell r="K190">
            <v>5</v>
          </cell>
          <cell r="L190">
            <v>6</v>
          </cell>
          <cell r="M190">
            <v>7</v>
          </cell>
          <cell r="N190">
            <v>8</v>
          </cell>
          <cell r="O190">
            <v>9</v>
          </cell>
          <cell r="P190">
            <v>10</v>
          </cell>
          <cell r="Q190">
            <v>11</v>
          </cell>
          <cell r="R190">
            <v>12</v>
          </cell>
          <cell r="S190">
            <v>13</v>
          </cell>
          <cell r="T190">
            <v>14</v>
          </cell>
          <cell r="U190">
            <v>15</v>
          </cell>
          <cell r="V190">
            <v>16</v>
          </cell>
          <cell r="W190">
            <v>17</v>
          </cell>
          <cell r="X190">
            <v>18</v>
          </cell>
          <cell r="Y190">
            <v>19</v>
          </cell>
          <cell r="Z190">
            <v>20</v>
          </cell>
          <cell r="AA190" t="str">
            <v>TOTAL</v>
          </cell>
        </row>
        <row r="191">
          <cell r="B191" t="str">
            <v>1 -  RECEITA BRUTA    (1.1)</v>
          </cell>
          <cell r="G191">
            <v>45225.590166399845</v>
          </cell>
          <cell r="H191">
            <v>65191.528684683908</v>
          </cell>
          <cell r="I191">
            <v>68157.425197073477</v>
          </cell>
          <cell r="J191">
            <v>71177.810929603162</v>
          </cell>
          <cell r="K191">
            <v>78341.458236826322</v>
          </cell>
          <cell r="L191">
            <v>77806.692738306912</v>
          </cell>
          <cell r="M191">
            <v>85891.863778649742</v>
          </cell>
          <cell r="N191">
            <v>98407.794618329179</v>
          </cell>
          <cell r="O191">
            <v>102424.55413390552</v>
          </cell>
          <cell r="P191">
            <v>105923.81972479667</v>
          </cell>
          <cell r="Q191">
            <v>109449.79188343475</v>
          </cell>
          <cell r="R191">
            <v>112903.54484083348</v>
          </cell>
          <cell r="S191">
            <v>116348.18537449437</v>
          </cell>
          <cell r="T191">
            <v>119784.44945203738</v>
          </cell>
          <cell r="U191">
            <v>123192.10959128066</v>
          </cell>
          <cell r="V191">
            <v>126574.10344612873</v>
          </cell>
          <cell r="W191">
            <v>129913.27057359819</v>
          </cell>
          <cell r="X191">
            <v>133198.22003295869</v>
          </cell>
          <cell r="Y191">
            <v>136426.24482006804</v>
          </cell>
          <cell r="Z191">
            <v>139586.84809754303</v>
          </cell>
          <cell r="AA191">
            <v>2045925.306320952</v>
          </cell>
        </row>
        <row r="192">
          <cell r="B192" t="str">
            <v>1.1 - Operacionais    (1.1.1 + 1.1.2)</v>
          </cell>
          <cell r="G192">
            <v>45225.590166399845</v>
          </cell>
          <cell r="H192">
            <v>65191.528684683908</v>
          </cell>
          <cell r="I192">
            <v>68157.425197073477</v>
          </cell>
          <cell r="J192">
            <v>71177.810929603162</v>
          </cell>
          <cell r="K192">
            <v>78341.458236826322</v>
          </cell>
          <cell r="L192">
            <v>77806.692738306912</v>
          </cell>
          <cell r="M192">
            <v>85891.863778649742</v>
          </cell>
          <cell r="N192">
            <v>98407.794618329179</v>
          </cell>
          <cell r="O192">
            <v>102424.55413390552</v>
          </cell>
          <cell r="P192">
            <v>105923.81972479667</v>
          </cell>
          <cell r="Q192">
            <v>109449.79188343475</v>
          </cell>
          <cell r="R192">
            <v>112903.54484083348</v>
          </cell>
          <cell r="S192">
            <v>116348.18537449437</v>
          </cell>
          <cell r="T192">
            <v>119784.44945203738</v>
          </cell>
          <cell r="U192">
            <v>123192.10959128066</v>
          </cell>
          <cell r="V192">
            <v>126574.10344612873</v>
          </cell>
          <cell r="W192">
            <v>129913.27057359819</v>
          </cell>
          <cell r="X192">
            <v>133198.22003295869</v>
          </cell>
          <cell r="Y192">
            <v>136426.24482006804</v>
          </cell>
          <cell r="Z192">
            <v>139586.84809754303</v>
          </cell>
          <cell r="AA192">
            <v>2045925.306320952</v>
          </cell>
        </row>
        <row r="193">
          <cell r="B193" t="str">
            <v>1.1.1 - Receitas de  Pedágios    (Transp. Qd.2.1.1.2)</v>
          </cell>
          <cell r="G193">
            <v>45106.588082191774</v>
          </cell>
          <cell r="H193">
            <v>65023.528335370058</v>
          </cell>
          <cell r="I193">
            <v>67981.420470797922</v>
          </cell>
          <cell r="J193">
            <v>70993.83225887295</v>
          </cell>
          <cell r="K193">
            <v>78137.455731207097</v>
          </cell>
          <cell r="L193">
            <v>77594.692763306026</v>
          </cell>
          <cell r="M193">
            <v>84572.914255846626</v>
          </cell>
          <cell r="N193">
            <v>93797.999739954568</v>
          </cell>
          <cell r="O193">
            <v>97806.738500326392</v>
          </cell>
          <cell r="P193">
            <v>100307.78280284526</v>
          </cell>
          <cell r="Q193">
            <v>102457.06539173654</v>
          </cell>
          <cell r="R193">
            <v>105901.82062207442</v>
          </cell>
          <cell r="S193">
            <v>109337.44496931664</v>
          </cell>
          <cell r="T193">
            <v>112764.72106258676</v>
          </cell>
          <cell r="U193">
            <v>116163.3810768913</v>
          </cell>
          <cell r="V193">
            <v>119536.36500167643</v>
          </cell>
          <cell r="W193">
            <v>122866.54286028015</v>
          </cell>
          <cell r="X193">
            <v>126143.50648625659</v>
          </cell>
          <cell r="Y193">
            <v>129363.51765335015</v>
          </cell>
          <cell r="Z193">
            <v>132515.12673625132</v>
          </cell>
          <cell r="AA193">
            <v>1958372.4448011389</v>
          </cell>
        </row>
        <row r="194">
          <cell r="B194" t="str">
            <v>1.1.2 - Outras Receitas Operacionais    (calculado 2.1.2.)</v>
          </cell>
          <cell r="G194">
            <v>119.00208420806717</v>
          </cell>
          <cell r="H194">
            <v>168.00034931384781</v>
          </cell>
          <cell r="I194">
            <v>176.00472627555732</v>
          </cell>
          <cell r="J194">
            <v>183.97867073021396</v>
          </cell>
          <cell r="K194">
            <v>204.00250561921959</v>
          </cell>
          <cell r="L194">
            <v>211.9999750008844</v>
          </cell>
          <cell r="M194">
            <v>1318.949522803114</v>
          </cell>
          <cell r="N194">
            <v>4609.7948783746151</v>
          </cell>
          <cell r="O194">
            <v>4617.8156335791246</v>
          </cell>
          <cell r="P194">
            <v>5616.0369219514068</v>
          </cell>
          <cell r="Q194">
            <v>6992.7264916982058</v>
          </cell>
          <cell r="R194">
            <v>7001.7242187590637</v>
          </cell>
          <cell r="S194">
            <v>7010.7404051777285</v>
          </cell>
          <cell r="T194">
            <v>7019.7283894506318</v>
          </cell>
          <cell r="U194">
            <v>7028.7285143893732</v>
          </cell>
          <cell r="V194">
            <v>7037.7384444523013</v>
          </cell>
          <cell r="W194">
            <v>7046.7277133180378</v>
          </cell>
          <cell r="X194">
            <v>7054.713546702098</v>
          </cell>
          <cell r="Y194">
            <v>7062.7271667178757</v>
          </cell>
          <cell r="Z194">
            <v>7071.721361291713</v>
          </cell>
          <cell r="AA194">
            <v>87552.861519813072</v>
          </cell>
        </row>
        <row r="195">
          <cell r="B195" t="str">
            <v>2 -  DEDUÇÕES DA RECEITA    (2.1)</v>
          </cell>
          <cell r="G195">
            <v>1273.9479686304855</v>
          </cell>
          <cell r="H195">
            <v>2478.7046864174235</v>
          </cell>
          <cell r="I195">
            <v>3685.6856023138653</v>
          </cell>
          <cell r="J195">
            <v>6210.1200595145401</v>
          </cell>
          <cell r="K195">
            <v>6883.5197101766971</v>
          </cell>
          <cell r="L195">
            <v>7473.4231479569289</v>
          </cell>
          <cell r="M195">
            <v>8107.0096303780147</v>
          </cell>
          <cell r="N195">
            <v>8233.7810137399756</v>
          </cell>
          <cell r="O195">
            <v>8555.7769181981021</v>
          </cell>
          <cell r="P195">
            <v>8827.9992219952692</v>
          </cell>
          <cell r="Q195">
            <v>9129.0490619242028</v>
          </cell>
          <cell r="R195">
            <v>9427.3758489114971</v>
          </cell>
          <cell r="S195">
            <v>9724.6952276276152</v>
          </cell>
          <cell r="T195">
            <v>10021.625921802113</v>
          </cell>
          <cell r="U195">
            <v>10315.936972966743</v>
          </cell>
          <cell r="V195">
            <v>10607.900242648426</v>
          </cell>
          <cell r="W195">
            <v>10896.428041122859</v>
          </cell>
          <cell r="X195">
            <v>11180.369314107544</v>
          </cell>
          <cell r="Y195">
            <v>11472.473588494573</v>
          </cell>
          <cell r="Z195">
            <v>11793.667806559963</v>
          </cell>
          <cell r="AA195">
            <v>166299.48998548681</v>
          </cell>
        </row>
        <row r="196">
          <cell r="B196" t="str">
            <v>2.1 - Tributos sobre Faturamento    (2.1.1+ .... + 2.1.4)</v>
          </cell>
          <cell r="G196">
            <v>1273.9479686304855</v>
          </cell>
          <cell r="H196">
            <v>2478.7046864174235</v>
          </cell>
          <cell r="I196">
            <v>3685.6856023138653</v>
          </cell>
          <cell r="J196">
            <v>6210.1200595145401</v>
          </cell>
          <cell r="K196">
            <v>6883.5197101766971</v>
          </cell>
          <cell r="L196">
            <v>7473.4231479569289</v>
          </cell>
          <cell r="M196">
            <v>8107.0096303780147</v>
          </cell>
          <cell r="N196">
            <v>8233.7810137399756</v>
          </cell>
          <cell r="O196">
            <v>8555.7769181981021</v>
          </cell>
          <cell r="P196">
            <v>8827.9992219952692</v>
          </cell>
          <cell r="Q196">
            <v>9129.0490619242028</v>
          </cell>
          <cell r="R196">
            <v>9427.3758489114971</v>
          </cell>
          <cell r="S196">
            <v>9724.6952276276152</v>
          </cell>
          <cell r="T196">
            <v>10021.625921802113</v>
          </cell>
          <cell r="U196">
            <v>10315.936972966743</v>
          </cell>
          <cell r="V196">
            <v>10607.900242648426</v>
          </cell>
          <cell r="W196">
            <v>10896.428041122859</v>
          </cell>
          <cell r="X196">
            <v>11180.369314107544</v>
          </cell>
          <cell r="Y196">
            <v>11472.473588494573</v>
          </cell>
          <cell r="Z196">
            <v>11793.667806559963</v>
          </cell>
          <cell r="AA196">
            <v>166299.48998548681</v>
          </cell>
        </row>
        <row r="197">
          <cell r="B197" t="str">
            <v>2.1.1 - I.S.S    (transp. Qd  1.3.)</v>
          </cell>
          <cell r="G197">
            <v>9.5233750570059783E-2</v>
          </cell>
          <cell r="H197">
            <v>94.474307919599596</v>
          </cell>
          <cell r="I197">
            <v>1125.4885098834388</v>
          </cell>
          <cell r="J197">
            <v>3549.7273672913261</v>
          </cell>
          <cell r="K197">
            <v>3906.864135541527</v>
          </cell>
          <cell r="L197">
            <v>3879.7157857243733</v>
          </cell>
          <cell r="M197">
            <v>4228.6556294452803</v>
          </cell>
          <cell r="N197">
            <v>4625.0995939547065</v>
          </cell>
          <cell r="O197">
            <v>4779.0852736463421</v>
          </cell>
          <cell r="P197">
            <v>4950.5247700362233</v>
          </cell>
          <cell r="Q197">
            <v>5122.8674032018862</v>
          </cell>
          <cell r="R197">
            <v>5295.1230845147338</v>
          </cell>
          <cell r="S197">
            <v>5466.7780456164164</v>
          </cell>
          <cell r="T197">
            <v>5638.2368808033243</v>
          </cell>
          <cell r="U197">
            <v>5808.1688381349613</v>
          </cell>
          <cell r="V197">
            <v>5976.7291314153181</v>
          </cell>
          <cell r="W197">
            <v>6143.3343224257733</v>
          </cell>
          <cell r="X197">
            <v>6307.3180984776391</v>
          </cell>
          <cell r="Y197">
            <v>6468.1888893353362</v>
          </cell>
          <cell r="Z197">
            <v>6625.8280497186261</v>
          </cell>
          <cell r="AA197">
            <v>89992.303350837392</v>
          </cell>
        </row>
        <row r="198">
          <cell r="B198" t="str">
            <v>2.1.2 - Cofins    (transp. Qd 1.3.)</v>
          </cell>
          <cell r="G198">
            <v>979.88639879831646</v>
          </cell>
          <cell r="H198">
            <v>1959.6411570473786</v>
          </cell>
          <cell r="I198">
            <v>2104.2682086494488</v>
          </cell>
          <cell r="J198">
            <v>2186.6393411807931</v>
          </cell>
          <cell r="K198">
            <v>2356.7649071632495</v>
          </cell>
          <cell r="L198">
            <v>2757.6582645631152</v>
          </cell>
          <cell r="M198">
            <v>3220.5924446830436</v>
          </cell>
          <cell r="N198">
            <v>2966.0474497661294</v>
          </cell>
          <cell r="O198">
            <v>3104.1232276813744</v>
          </cell>
          <cell r="P198">
            <v>3186.9650887478683</v>
          </cell>
          <cell r="Q198">
            <v>3292.7534764799916</v>
          </cell>
          <cell r="R198">
            <v>3396.3751879313459</v>
          </cell>
          <cell r="S198">
            <v>3499.649442076985</v>
          </cell>
          <cell r="T198">
            <v>3602.7855845605468</v>
          </cell>
          <cell r="U198">
            <v>3705.0148874884585</v>
          </cell>
          <cell r="V198">
            <v>3806.4349038332707</v>
          </cell>
          <cell r="W198">
            <v>3906.6529249686969</v>
          </cell>
          <cell r="X198">
            <v>4005.2582504156717</v>
          </cell>
          <cell r="Y198">
            <v>4113.1116578287947</v>
          </cell>
          <cell r="Z198">
            <v>4247.5446142073069</v>
          </cell>
          <cell r="AA198">
            <v>62398.167418071782</v>
          </cell>
        </row>
        <row r="199">
          <cell r="B199" t="str">
            <v>2.1.3 - Pis / Pasep    (transp. Qd 1.3.)</v>
          </cell>
          <cell r="G199">
            <v>293.96633608159897</v>
          </cell>
          <cell r="H199">
            <v>424.58922145044545</v>
          </cell>
          <cell r="I199">
            <v>455.92888378097757</v>
          </cell>
          <cell r="J199">
            <v>473.75335104242055</v>
          </cell>
          <cell r="K199">
            <v>619.89066747192032</v>
          </cell>
          <cell r="L199">
            <v>836.0490976694407</v>
          </cell>
          <cell r="M199">
            <v>657.76155624969124</v>
          </cell>
          <cell r="N199">
            <v>642.6339700191395</v>
          </cell>
          <cell r="O199">
            <v>672.56841687038582</v>
          </cell>
          <cell r="P199">
            <v>690.50936321117808</v>
          </cell>
          <cell r="Q199">
            <v>713.42818224232576</v>
          </cell>
          <cell r="R199">
            <v>735.87757646541775</v>
          </cell>
          <cell r="S199">
            <v>758.26773993421341</v>
          </cell>
          <cell r="T199">
            <v>780.60345643824292</v>
          </cell>
          <cell r="U199">
            <v>802.75324734332446</v>
          </cell>
          <cell r="V199">
            <v>824.73620739983687</v>
          </cell>
          <cell r="W199">
            <v>846.44079372838814</v>
          </cell>
          <cell r="X199">
            <v>867.79296521423134</v>
          </cell>
          <cell r="Y199">
            <v>891.1730413304424</v>
          </cell>
          <cell r="Z199">
            <v>920.29514263403007</v>
          </cell>
          <cell r="AA199">
            <v>13909.019216577652</v>
          </cell>
        </row>
        <row r="200">
          <cell r="B200" t="str">
            <v>2.1.4 - CPMF    (transp Qd 1.3.)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</row>
        <row r="201">
          <cell r="B201" t="str">
            <v>3 -  RECEITA LIQUIDA    (1 - 2)</v>
          </cell>
          <cell r="G201">
            <v>43951.642197769361</v>
          </cell>
          <cell r="H201">
            <v>62712.823998266482</v>
          </cell>
          <cell r="I201">
            <v>64471.739594759609</v>
          </cell>
          <cell r="J201">
            <v>64967.69087008862</v>
          </cell>
          <cell r="K201">
            <v>71457.938526649625</v>
          </cell>
          <cell r="L201">
            <v>70333.269590349984</v>
          </cell>
          <cell r="M201">
            <v>77784.854148271726</v>
          </cell>
          <cell r="N201">
            <v>90174.0136045892</v>
          </cell>
          <cell r="O201">
            <v>93868.777215707421</v>
          </cell>
          <cell r="P201">
            <v>97095.820502801405</v>
          </cell>
          <cell r="Q201">
            <v>100320.74282151055</v>
          </cell>
          <cell r="R201">
            <v>103476.16899192198</v>
          </cell>
          <cell r="S201">
            <v>106623.49014686675</v>
          </cell>
          <cell r="T201">
            <v>109762.82353023527</v>
          </cell>
          <cell r="U201">
            <v>112876.17261831393</v>
          </cell>
          <cell r="V201">
            <v>115966.20320348031</v>
          </cell>
          <cell r="W201">
            <v>119016.84253247533</v>
          </cell>
          <cell r="X201">
            <v>122017.85071885114</v>
          </cell>
          <cell r="Y201">
            <v>124953.77123157347</v>
          </cell>
          <cell r="Z201">
            <v>127793.18029098306</v>
          </cell>
          <cell r="AA201">
            <v>1879625.8163354653</v>
          </cell>
        </row>
        <row r="202">
          <cell r="B202" t="str">
            <v>4 -  DESPESAS    (4.1)</v>
          </cell>
          <cell r="G202">
            <v>34282.39671824508</v>
          </cell>
          <cell r="H202">
            <v>40926.131563571231</v>
          </cell>
          <cell r="I202">
            <v>44920.068535952618</v>
          </cell>
          <cell r="J202">
            <v>48335.226602177216</v>
          </cell>
          <cell r="K202">
            <v>51724.087007701964</v>
          </cell>
          <cell r="L202">
            <v>52929.73732818896</v>
          </cell>
          <cell r="M202">
            <v>55235.798172900846</v>
          </cell>
          <cell r="N202">
            <v>60831.545035139119</v>
          </cell>
          <cell r="O202">
            <v>63533.89853329851</v>
          </cell>
          <cell r="P202">
            <v>66481.957424929657</v>
          </cell>
          <cell r="Q202">
            <v>66855.976807255327</v>
          </cell>
          <cell r="R202">
            <v>67079.534222289381</v>
          </cell>
          <cell r="S202">
            <v>68398.982600398303</v>
          </cell>
          <cell r="T202">
            <v>78935.287296417053</v>
          </cell>
          <cell r="U202">
            <v>62981.126712452082</v>
          </cell>
          <cell r="V202">
            <v>65466.103539704774</v>
          </cell>
          <cell r="W202">
            <v>67036.102538777559</v>
          </cell>
          <cell r="X202">
            <v>68769.72944049431</v>
          </cell>
          <cell r="Y202">
            <v>69860.108237685577</v>
          </cell>
          <cell r="Z202">
            <v>70790.199567520453</v>
          </cell>
          <cell r="AA202">
            <v>1205373.9978851003</v>
          </cell>
        </row>
        <row r="203">
          <cell r="B203" t="str">
            <v>4.1 - Operacionais    (4.1.1+ .... + 4.1.10)</v>
          </cell>
          <cell r="G203">
            <v>34282.39671824508</v>
          </cell>
          <cell r="H203">
            <v>40926.131563571231</v>
          </cell>
          <cell r="I203">
            <v>44920.068535952618</v>
          </cell>
          <cell r="J203">
            <v>48335.226602177216</v>
          </cell>
          <cell r="K203">
            <v>51724.087007701964</v>
          </cell>
          <cell r="L203">
            <v>52929.73732818896</v>
          </cell>
          <cell r="M203">
            <v>55235.798172900846</v>
          </cell>
          <cell r="N203">
            <v>60831.545035139119</v>
          </cell>
          <cell r="O203">
            <v>63533.89853329851</v>
          </cell>
          <cell r="P203">
            <v>66481.957424929657</v>
          </cell>
          <cell r="Q203">
            <v>66855.976807255327</v>
          </cell>
          <cell r="R203">
            <v>67079.534222289381</v>
          </cell>
          <cell r="S203">
            <v>68398.982600398303</v>
          </cell>
          <cell r="T203">
            <v>78935.287296417053</v>
          </cell>
          <cell r="U203">
            <v>62981.126712452082</v>
          </cell>
          <cell r="V203">
            <v>65466.103539704774</v>
          </cell>
          <cell r="W203">
            <v>67036.102538777559</v>
          </cell>
          <cell r="X203">
            <v>68769.72944049431</v>
          </cell>
          <cell r="Y203">
            <v>69860.108237685577</v>
          </cell>
          <cell r="Z203">
            <v>70790.199567520453</v>
          </cell>
          <cell r="AA203">
            <v>1205373.9978851003</v>
          </cell>
        </row>
        <row r="204">
          <cell r="B204" t="str">
            <v>4.1.1  -  Pessoal e Administradores    (Transp. Qd. 1.3.)</v>
          </cell>
          <cell r="G204">
            <v>9990</v>
          </cell>
          <cell r="H204">
            <v>19202</v>
          </cell>
          <cell r="I204">
            <v>19202</v>
          </cell>
          <cell r="J204">
            <v>19202</v>
          </cell>
          <cell r="K204">
            <v>19130.660100762907</v>
          </cell>
          <cell r="L204">
            <v>18864.07416150851</v>
          </cell>
          <cell r="M204">
            <v>19562.272160306587</v>
          </cell>
          <cell r="N204">
            <v>21257.895871673347</v>
          </cell>
          <cell r="O204">
            <v>21257.895871673347</v>
          </cell>
          <cell r="P204">
            <v>21257.895871673347</v>
          </cell>
          <cell r="Q204">
            <v>21257.895871673347</v>
          </cell>
          <cell r="R204">
            <v>21257.895871673347</v>
          </cell>
          <cell r="S204">
            <v>21257.895871673347</v>
          </cell>
          <cell r="T204">
            <v>21257.895871673347</v>
          </cell>
          <cell r="U204">
            <v>21257.895871673347</v>
          </cell>
          <cell r="V204">
            <v>21257.895871673347</v>
          </cell>
          <cell r="W204">
            <v>21256.91347014426</v>
          </cell>
          <cell r="X204">
            <v>21257.895871673347</v>
          </cell>
          <cell r="Y204">
            <v>21258.878273202434</v>
          </cell>
          <cell r="Z204">
            <v>21258.878273202434</v>
          </cell>
          <cell r="AA204">
            <v>401506.6351558608</v>
          </cell>
        </row>
        <row r="205">
          <cell r="B205" t="str">
            <v>4.1.2  -  Conservação de Rotina    (Transp. Qd. 1.3.)</v>
          </cell>
          <cell r="G205">
            <v>3346</v>
          </cell>
          <cell r="H205">
            <v>3150</v>
          </cell>
          <cell r="I205">
            <v>3150</v>
          </cell>
          <cell r="J205">
            <v>3150</v>
          </cell>
          <cell r="K205">
            <v>3129.8970448037585</v>
          </cell>
          <cell r="L205">
            <v>3006.1460437363903</v>
          </cell>
          <cell r="M205">
            <v>3134.1157392091836</v>
          </cell>
          <cell r="N205">
            <v>3525.9985143634544</v>
          </cell>
          <cell r="O205">
            <v>4838.4732271186431</v>
          </cell>
          <cell r="P205">
            <v>4838.3075671186498</v>
          </cell>
          <cell r="Q205">
            <v>4838.3072004519754</v>
          </cell>
          <cell r="R205">
            <v>3721.6537861072379</v>
          </cell>
          <cell r="S205">
            <v>3721.6066432501198</v>
          </cell>
          <cell r="T205">
            <v>3721.4955432501179</v>
          </cell>
          <cell r="U205">
            <v>3721.4968632501136</v>
          </cell>
          <cell r="V205">
            <v>5082.5730840754804</v>
          </cell>
          <cell r="W205">
            <v>5082.6819840754724</v>
          </cell>
          <cell r="X205">
            <v>5082.8486340754935</v>
          </cell>
          <cell r="Y205">
            <v>3969.5170529401776</v>
          </cell>
          <cell r="Z205">
            <v>3969.4575778208427</v>
          </cell>
          <cell r="AA205">
            <v>78180.576505647099</v>
          </cell>
        </row>
        <row r="206">
          <cell r="B206" t="str">
            <v>4.1.3  -  Consumo    (Transp. Qd. 1.3.)</v>
          </cell>
          <cell r="G206">
            <v>571</v>
          </cell>
          <cell r="H206">
            <v>1189</v>
          </cell>
          <cell r="I206">
            <v>1189</v>
          </cell>
          <cell r="J206">
            <v>1189</v>
          </cell>
          <cell r="K206">
            <v>1184.582588262009</v>
          </cell>
          <cell r="L206">
            <v>1168.0754180832007</v>
          </cell>
          <cell r="M206">
            <v>1221.1539637562776</v>
          </cell>
          <cell r="N206">
            <v>1350.0590032480359</v>
          </cell>
          <cell r="O206">
            <v>1350.0590032480359</v>
          </cell>
          <cell r="P206">
            <v>1350.0590032480359</v>
          </cell>
          <cell r="Q206">
            <v>1350.0590032480359</v>
          </cell>
          <cell r="R206">
            <v>1350.0590032480359</v>
          </cell>
          <cell r="S206">
            <v>1350.0590032480359</v>
          </cell>
          <cell r="T206">
            <v>1350.0590032480359</v>
          </cell>
          <cell r="U206">
            <v>1350.0590032480359</v>
          </cell>
          <cell r="V206">
            <v>1352.0238063062077</v>
          </cell>
          <cell r="W206">
            <v>1352.0238063062077</v>
          </cell>
          <cell r="X206">
            <v>1352.0238063062077</v>
          </cell>
          <cell r="Y206">
            <v>1352.0238063062077</v>
          </cell>
          <cell r="Z206">
            <v>1353.0062078352937</v>
          </cell>
          <cell r="AA206">
            <v>25273.385429145892</v>
          </cell>
        </row>
        <row r="207">
          <cell r="B207" t="str">
            <v>4.1.4  -  Transportes    (Transp. Qd. 1.3.)</v>
          </cell>
          <cell r="G207">
            <v>417</v>
          </cell>
          <cell r="H207">
            <v>1111</v>
          </cell>
          <cell r="I207">
            <v>1111</v>
          </cell>
          <cell r="J207">
            <v>1111</v>
          </cell>
          <cell r="K207">
            <v>1106.8723764163935</v>
          </cell>
          <cell r="L207">
            <v>1091.4480988144962</v>
          </cell>
          <cell r="M207">
            <v>1131.9907537590946</v>
          </cell>
          <cell r="N207">
            <v>1230.4514871959761</v>
          </cell>
          <cell r="O207">
            <v>1230.4514871959761</v>
          </cell>
          <cell r="P207">
            <v>1230.4514871959761</v>
          </cell>
          <cell r="Q207">
            <v>1230.4514871959761</v>
          </cell>
          <cell r="R207">
            <v>1230.4514871959761</v>
          </cell>
          <cell r="S207">
            <v>1230.4514871959761</v>
          </cell>
          <cell r="T207">
            <v>1230.4514871959761</v>
          </cell>
          <cell r="U207">
            <v>1231.4338887250619</v>
          </cell>
          <cell r="V207">
            <v>1231.4338887250619</v>
          </cell>
          <cell r="W207">
            <v>1231.4338887250619</v>
          </cell>
          <cell r="X207">
            <v>1231.4338887250619</v>
          </cell>
          <cell r="Y207">
            <v>1231.4338887250619</v>
          </cell>
          <cell r="Z207">
            <v>1231.4338887250619</v>
          </cell>
          <cell r="AA207">
            <v>23082.074971712198</v>
          </cell>
        </row>
        <row r="208">
          <cell r="B208" t="str">
            <v>4.1.5  -  Diversas    (Transp. Qd. 1.3.)</v>
          </cell>
          <cell r="G208">
            <v>178.40452068191715</v>
          </cell>
          <cell r="H208">
            <v>363.06917804059987</v>
          </cell>
          <cell r="I208">
            <v>381.00736624816597</v>
          </cell>
          <cell r="J208">
            <v>359.53180395132728</v>
          </cell>
          <cell r="K208">
            <v>364.17263145880213</v>
          </cell>
          <cell r="L208">
            <v>321.51536368231962</v>
          </cell>
          <cell r="M208">
            <v>286.43165500778235</v>
          </cell>
          <cell r="N208">
            <v>416.51506534289922</v>
          </cell>
          <cell r="O208">
            <v>417.87092927703861</v>
          </cell>
          <cell r="P208">
            <v>417.87092927703861</v>
          </cell>
          <cell r="Q208">
            <v>417.87092927703861</v>
          </cell>
          <cell r="R208">
            <v>417.87092927703861</v>
          </cell>
          <cell r="S208">
            <v>417.87092927703861</v>
          </cell>
          <cell r="T208">
            <v>417.87092927703861</v>
          </cell>
          <cell r="U208">
            <v>417.87092927703861</v>
          </cell>
          <cell r="V208">
            <v>417.87092927703861</v>
          </cell>
          <cell r="W208">
            <v>417.87092927703861</v>
          </cell>
          <cell r="X208">
            <v>417.87092927703861</v>
          </cell>
          <cell r="Y208">
            <v>417.87092927703861</v>
          </cell>
          <cell r="Z208">
            <v>417.87092927703861</v>
          </cell>
          <cell r="AA208">
            <v>7685.0987357382728</v>
          </cell>
        </row>
        <row r="209">
          <cell r="B209" t="str">
            <v>4.1.6  -  Depreciação/Amortização    (Transp. Qd. 1.3.)</v>
          </cell>
          <cell r="G209">
            <v>2458.2990173711678</v>
          </cell>
          <cell r="H209">
            <v>4195.5612783501074</v>
          </cell>
          <cell r="I209">
            <v>7690.9535947522427</v>
          </cell>
          <cell r="J209">
            <v>11108.565606097798</v>
          </cell>
          <cell r="K209">
            <v>14465.703496653307</v>
          </cell>
          <cell r="L209">
            <v>16602.889018342452</v>
          </cell>
          <cell r="M209">
            <v>17645.412630558734</v>
          </cell>
          <cell r="N209">
            <v>20112.454268010486</v>
          </cell>
          <cell r="O209">
            <v>21453.551883850592</v>
          </cell>
          <cell r="P209">
            <v>23989.938677528866</v>
          </cell>
          <cell r="Q209">
            <v>24519.969814322387</v>
          </cell>
          <cell r="R209">
            <v>25786.218188698651</v>
          </cell>
          <cell r="S209">
            <v>26983.256941811229</v>
          </cell>
          <cell r="T209">
            <v>37411.515032338895</v>
          </cell>
          <cell r="U209">
            <v>21303.331716872512</v>
          </cell>
          <cell r="V209">
            <v>22256.331837088728</v>
          </cell>
          <cell r="W209">
            <v>23688.331837088728</v>
          </cell>
          <cell r="X209">
            <v>25315.335170422059</v>
          </cell>
          <cell r="Y209">
            <v>27411.335752494135</v>
          </cell>
          <cell r="Z209">
            <v>28279.336973395035</v>
          </cell>
          <cell r="AA209">
            <v>402678.29273604811</v>
          </cell>
        </row>
        <row r="210">
          <cell r="B210" t="str">
            <v>4.1.7  -  Seguros    (transp. Qd 1.3.)</v>
          </cell>
          <cell r="G210">
            <v>1418.53</v>
          </cell>
          <cell r="H210">
            <v>1337.01</v>
          </cell>
          <cell r="I210">
            <v>1765.14</v>
          </cell>
          <cell r="J210">
            <v>1759.68</v>
          </cell>
          <cell r="K210">
            <v>1735.2</v>
          </cell>
          <cell r="L210">
            <v>1559.53</v>
          </cell>
          <cell r="M210">
            <v>1466.8663148473761</v>
          </cell>
          <cell r="N210">
            <v>1686.3879792459181</v>
          </cell>
          <cell r="O210">
            <v>1639.387556103746</v>
          </cell>
          <cell r="P210">
            <v>1965.6123042788611</v>
          </cell>
          <cell r="Q210">
            <v>1744.309686830409</v>
          </cell>
          <cell r="R210">
            <v>1735.3949224158885</v>
          </cell>
          <cell r="S210">
            <v>1771.3423349214295</v>
          </cell>
          <cell r="T210">
            <v>1792.6871880801395</v>
          </cell>
          <cell r="U210">
            <v>1858.1366421212497</v>
          </cell>
          <cell r="V210">
            <v>1941.9292741418885</v>
          </cell>
          <cell r="W210">
            <v>2000.0168157402813</v>
          </cell>
          <cell r="X210">
            <v>2027.5228873705466</v>
          </cell>
          <cell r="Y210">
            <v>2056.9417651758981</v>
          </cell>
          <cell r="Z210">
            <v>2041.9718068332193</v>
          </cell>
          <cell r="AA210">
            <v>35303.597478106851</v>
          </cell>
        </row>
        <row r="211">
          <cell r="B211" t="str">
            <v xml:space="preserve">4.1.8  -  Garantias  (transp. Qd 1.3.)  </v>
          </cell>
          <cell r="G211">
            <v>1175.8654751999998</v>
          </cell>
          <cell r="H211">
            <v>1129.73524664</v>
          </cell>
          <cell r="I211">
            <v>1093.2348190399998</v>
          </cell>
          <cell r="J211">
            <v>1027.1048642399999</v>
          </cell>
          <cell r="K211">
            <v>963.74502223999991</v>
          </cell>
          <cell r="L211">
            <v>909.16931143999989</v>
          </cell>
          <cell r="M211">
            <v>917.78904209631071</v>
          </cell>
          <cell r="N211">
            <v>1006.5390075091218</v>
          </cell>
          <cell r="O211">
            <v>980.46195081394865</v>
          </cell>
          <cell r="P211">
            <v>961.09699286498449</v>
          </cell>
          <cell r="Q211">
            <v>920.60905775311426</v>
          </cell>
          <cell r="R211">
            <v>899.87368844821117</v>
          </cell>
          <cell r="S211">
            <v>883.04382778629724</v>
          </cell>
          <cell r="T211">
            <v>866.76875779238276</v>
          </cell>
          <cell r="U211">
            <v>852.12850954628811</v>
          </cell>
          <cell r="V211">
            <v>835.81174503315594</v>
          </cell>
          <cell r="W211">
            <v>816.42169021256234</v>
          </cell>
          <cell r="X211">
            <v>795.84165165579157</v>
          </cell>
          <cell r="Y211">
            <v>776.30942496258967</v>
          </cell>
          <cell r="Z211">
            <v>757.62846750522317</v>
          </cell>
          <cell r="AA211">
            <v>18569.178552779984</v>
          </cell>
        </row>
        <row r="212">
          <cell r="B212" t="str">
            <v xml:space="preserve">4.1.9  -  Parc.Variável da Concessão   </v>
          </cell>
          <cell r="G212">
            <v>1356.7677049919953</v>
          </cell>
          <cell r="H212">
            <v>1955.7458605405172</v>
          </cell>
          <cell r="I212">
            <v>2044.7227559122041</v>
          </cell>
          <cell r="J212">
            <v>2135.3343278880948</v>
          </cell>
          <cell r="K212">
            <v>2350.2437471047892</v>
          </cell>
          <cell r="L212">
            <v>2334.200782149207</v>
          </cell>
          <cell r="M212">
            <v>2576.7559133594928</v>
          </cell>
          <cell r="N212">
            <v>2952.2338385498751</v>
          </cell>
          <cell r="O212">
            <v>3072.7366240171659</v>
          </cell>
          <cell r="P212">
            <v>3177.7145917438997</v>
          </cell>
          <cell r="Q212">
            <v>3283.4937565030423</v>
          </cell>
          <cell r="R212">
            <v>3387.106345225005</v>
          </cell>
          <cell r="S212">
            <v>3490.4455612348306</v>
          </cell>
          <cell r="T212">
            <v>3593.5334835611216</v>
          </cell>
          <cell r="U212">
            <v>3695.7632877384208</v>
          </cell>
          <cell r="V212">
            <v>3797.2231033838621</v>
          </cell>
          <cell r="W212">
            <v>3897.3981172079457</v>
          </cell>
          <cell r="X212">
            <v>3995.9466009887606</v>
          </cell>
          <cell r="Y212">
            <v>4092.7873446020412</v>
          </cell>
          <cell r="Z212">
            <v>4187.6054429262922</v>
          </cell>
          <cell r="AA212">
            <v>61377.759189628567</v>
          </cell>
        </row>
        <row r="213">
          <cell r="B213" t="str">
            <v xml:space="preserve">4.1.10 - Parcela Fixa da Concessão   </v>
          </cell>
          <cell r="G213">
            <v>13370.53</v>
          </cell>
          <cell r="H213">
            <v>7293.01</v>
          </cell>
          <cell r="I213">
            <v>7293.01</v>
          </cell>
          <cell r="J213">
            <v>7293.01</v>
          </cell>
          <cell r="K213">
            <v>7293.01</v>
          </cell>
          <cell r="L213">
            <v>7072.689130432389</v>
          </cell>
          <cell r="M213">
            <v>7293.01</v>
          </cell>
          <cell r="N213">
            <v>7293.01</v>
          </cell>
          <cell r="O213">
            <v>7293.01</v>
          </cell>
          <cell r="P213">
            <v>7293.01</v>
          </cell>
          <cell r="Q213">
            <v>7293.01</v>
          </cell>
          <cell r="R213">
            <v>7293.01</v>
          </cell>
          <cell r="S213">
            <v>7293.01</v>
          </cell>
          <cell r="T213">
            <v>7293.01</v>
          </cell>
          <cell r="U213">
            <v>7293.01</v>
          </cell>
          <cell r="V213">
            <v>7293.01</v>
          </cell>
          <cell r="W213">
            <v>7293.01</v>
          </cell>
          <cell r="X213">
            <v>7293.01</v>
          </cell>
          <cell r="Y213">
            <v>7293.01</v>
          </cell>
          <cell r="Z213">
            <v>7293.01</v>
          </cell>
          <cell r="AA213">
            <v>151717.39913043237</v>
          </cell>
        </row>
        <row r="214">
          <cell r="B214" t="str">
            <v>5 -  RESULTADO BRUTO OPERACIONAL     (3 - 4)</v>
          </cell>
          <cell r="G214">
            <v>9669.2454795242811</v>
          </cell>
          <cell r="H214">
            <v>21786.692434695251</v>
          </cell>
          <cell r="I214">
            <v>19551.671058806991</v>
          </cell>
          <cell r="J214">
            <v>16632.464267911404</v>
          </cell>
          <cell r="K214">
            <v>19733.85151894766</v>
          </cell>
          <cell r="L214">
            <v>17403.532262161025</v>
          </cell>
          <cell r="M214">
            <v>22549.05597537088</v>
          </cell>
          <cell r="N214">
            <v>29342.46856945008</v>
          </cell>
          <cell r="O214">
            <v>30334.878682408911</v>
          </cell>
          <cell r="P214">
            <v>30613.863077871749</v>
          </cell>
          <cell r="Q214">
            <v>33464.766014255219</v>
          </cell>
          <cell r="R214">
            <v>36396.634769632597</v>
          </cell>
          <cell r="S214">
            <v>38224.507546468449</v>
          </cell>
          <cell r="T214">
            <v>30827.536233818217</v>
          </cell>
          <cell r="U214">
            <v>49895.045905861843</v>
          </cell>
          <cell r="V214">
            <v>50500.099663775538</v>
          </cell>
          <cell r="W214">
            <v>51980.739993697774</v>
          </cell>
          <cell r="X214">
            <v>53248.121278356833</v>
          </cell>
          <cell r="Y214">
            <v>55093.66299388789</v>
          </cell>
          <cell r="Z214">
            <v>57002.980723462606</v>
          </cell>
          <cell r="AA214">
            <v>674251.81845036498</v>
          </cell>
        </row>
        <row r="215">
          <cell r="B215" t="str">
            <v>6 -  RESULTADO FINANCEIRO    (6.1)</v>
          </cell>
          <cell r="G215">
            <v>0</v>
          </cell>
          <cell r="H215">
            <v>129.89027007366479</v>
          </cell>
          <cell r="I215">
            <v>1985.5333177590542</v>
          </cell>
          <cell r="J215">
            <v>1707.1220875603744</v>
          </cell>
          <cell r="K215">
            <v>77.07094660820222</v>
          </cell>
          <cell r="L215">
            <v>946.51988838602392</v>
          </cell>
          <cell r="M215">
            <v>256.97774177753058</v>
          </cell>
          <cell r="N215">
            <v>458.94818592990651</v>
          </cell>
          <cell r="O215">
            <v>1047.5516994647551</v>
          </cell>
          <cell r="P215">
            <v>308.39036810599509</v>
          </cell>
          <cell r="Q215">
            <v>308.38763050326548</v>
          </cell>
          <cell r="R215">
            <v>308.38510401169805</v>
          </cell>
          <cell r="S215">
            <v>308.40321837697462</v>
          </cell>
          <cell r="T215">
            <v>308.38989260877901</v>
          </cell>
          <cell r="U215">
            <v>308.39002604249356</v>
          </cell>
          <cell r="V215">
            <v>308.40006570716258</v>
          </cell>
          <cell r="W215">
            <v>308.38923779041028</v>
          </cell>
          <cell r="X215">
            <v>308.37568889285518</v>
          </cell>
          <cell r="Y215">
            <v>677.29728530915338</v>
          </cell>
          <cell r="Z215">
            <v>1996.9780089640767</v>
          </cell>
          <cell r="AA215">
            <v>12059.400663872377</v>
          </cell>
        </row>
        <row r="216">
          <cell r="B216" t="str">
            <v>6.1 - Receitas    (Transp. Qd. 2B)</v>
          </cell>
          <cell r="G216">
            <v>0</v>
          </cell>
          <cell r="H216">
            <v>129.89027007366479</v>
          </cell>
          <cell r="I216">
            <v>1985.5333177590542</v>
          </cell>
          <cell r="J216">
            <v>1707.1220875603744</v>
          </cell>
          <cell r="K216">
            <v>77.07094660820222</v>
          </cell>
          <cell r="L216">
            <v>946.51988838602392</v>
          </cell>
          <cell r="M216">
            <v>256.97774177753058</v>
          </cell>
          <cell r="N216">
            <v>458.94818592990651</v>
          </cell>
          <cell r="O216">
            <v>1047.5516994647551</v>
          </cell>
          <cell r="P216">
            <v>308.39036810599509</v>
          </cell>
          <cell r="Q216">
            <v>308.38763050326548</v>
          </cell>
          <cell r="R216">
            <v>308.38510401169805</v>
          </cell>
          <cell r="S216">
            <v>308.40321837697462</v>
          </cell>
          <cell r="T216">
            <v>308.38989260877901</v>
          </cell>
          <cell r="U216">
            <v>308.39002604249356</v>
          </cell>
          <cell r="V216">
            <v>308.40006570716258</v>
          </cell>
          <cell r="W216">
            <v>308.38923779041028</v>
          </cell>
          <cell r="X216">
            <v>308.37568889285518</v>
          </cell>
          <cell r="Y216">
            <v>677.29728530915338</v>
          </cell>
          <cell r="Z216">
            <v>1996.9780089640767</v>
          </cell>
          <cell r="AA216">
            <v>12059.400663872377</v>
          </cell>
        </row>
        <row r="217">
          <cell r="B217" t="str">
            <v>7 -  RESULTADO OPERACIONAL    (5 + 6)</v>
          </cell>
          <cell r="G217">
            <v>9669.2454795242811</v>
          </cell>
          <cell r="H217">
            <v>21916.582704768916</v>
          </cell>
          <cell r="I217">
            <v>21537.204376566046</v>
          </cell>
          <cell r="J217">
            <v>18339.58635547178</v>
          </cell>
          <cell r="K217">
            <v>19810.922465555861</v>
          </cell>
          <cell r="L217">
            <v>18350.05215054705</v>
          </cell>
          <cell r="M217">
            <v>22806.03371714841</v>
          </cell>
          <cell r="N217">
            <v>29801.416755379985</v>
          </cell>
          <cell r="O217">
            <v>31382.430381873666</v>
          </cell>
          <cell r="P217">
            <v>30922.253445977745</v>
          </cell>
          <cell r="Q217">
            <v>33773.153644758488</v>
          </cell>
          <cell r="R217">
            <v>36705.019873644298</v>
          </cell>
          <cell r="S217">
            <v>38532.910764845423</v>
          </cell>
          <cell r="T217">
            <v>31135.926126426995</v>
          </cell>
          <cell r="U217">
            <v>50203.435931904336</v>
          </cell>
          <cell r="V217">
            <v>50808.499729482697</v>
          </cell>
          <cell r="W217">
            <v>52289.129231488187</v>
          </cell>
          <cell r="X217">
            <v>53556.496967249688</v>
          </cell>
          <cell r="Y217">
            <v>55770.960279197046</v>
          </cell>
          <cell r="Z217">
            <v>58999.958732426683</v>
          </cell>
          <cell r="AA217">
            <v>686311.21911423735</v>
          </cell>
        </row>
        <row r="218">
          <cell r="B218" t="str">
            <v>8 -  RESULTADO NÃO OPERACIONAL    (Tr. item 2, Qd. 3A)</v>
          </cell>
          <cell r="G218">
            <v>48.000840688968268</v>
          </cell>
          <cell r="H218">
            <v>67.000139309689288</v>
          </cell>
          <cell r="I218">
            <v>70.001879768687573</v>
          </cell>
          <cell r="J218">
            <v>73.991421924107797</v>
          </cell>
          <cell r="K218">
            <v>81.000994878219558</v>
          </cell>
          <cell r="L218">
            <v>84.999989976769669</v>
          </cell>
          <cell r="M218">
            <v>89.999209121245826</v>
          </cell>
          <cell r="N218">
            <v>92.995579866835087</v>
          </cell>
          <cell r="O218">
            <v>97.003861393286229</v>
          </cell>
          <cell r="P218">
            <v>101.00012055742891</v>
          </cell>
          <cell r="Q218">
            <v>103.99920092201307</v>
          </cell>
          <cell r="R218">
            <v>107.99828539597065</v>
          </cell>
          <cell r="S218">
            <v>111.00475774131516</v>
          </cell>
          <cell r="T218">
            <v>114.99995995333694</v>
          </cell>
          <cell r="U218">
            <v>118.00000996470135</v>
          </cell>
          <cell r="V218">
            <v>122.00398202365136</v>
          </cell>
          <cell r="W218">
            <v>124.99969105289173</v>
          </cell>
          <cell r="X218">
            <v>128.9940136423954</v>
          </cell>
          <cell r="Y218">
            <v>131.99947092988077</v>
          </cell>
          <cell r="Z218">
            <v>135.99714034867677</v>
          </cell>
          <cell r="AA218">
            <v>2005.9905494600714</v>
          </cell>
        </row>
        <row r="219">
          <cell r="B219" t="str">
            <v>9 -  RESULTADO ANTES CONTRIBUIÇÃO SOCIAL   (7 + 8)</v>
          </cell>
          <cell r="G219">
            <v>9717.2463202132494</v>
          </cell>
          <cell r="H219">
            <v>21983.582844078606</v>
          </cell>
          <cell r="I219">
            <v>21607.206256334732</v>
          </cell>
          <cell r="J219">
            <v>18413.577777395887</v>
          </cell>
          <cell r="K219">
            <v>19891.923460434082</v>
          </cell>
          <cell r="L219">
            <v>18435.052140523818</v>
          </cell>
          <cell r="M219">
            <v>22896.032926269654</v>
          </cell>
          <cell r="N219">
            <v>29894.41233524682</v>
          </cell>
          <cell r="O219">
            <v>31479.434243266951</v>
          </cell>
          <cell r="P219">
            <v>31023.253566535175</v>
          </cell>
          <cell r="Q219">
            <v>33877.152845680503</v>
          </cell>
          <cell r="R219">
            <v>36813.018159040272</v>
          </cell>
          <cell r="S219">
            <v>38643.915522586736</v>
          </cell>
          <cell r="T219">
            <v>31250.926086380332</v>
          </cell>
          <cell r="U219">
            <v>50321.435941869036</v>
          </cell>
          <cell r="V219">
            <v>50930.503711506346</v>
          </cell>
          <cell r="W219">
            <v>52414.12892254108</v>
          </cell>
          <cell r="X219">
            <v>53685.490980892086</v>
          </cell>
          <cell r="Y219">
            <v>55902.959750126931</v>
          </cell>
          <cell r="Z219">
            <v>59135.955872775361</v>
          </cell>
          <cell r="AA219">
            <v>688317.2096636974</v>
          </cell>
        </row>
        <row r="220">
          <cell r="B220" t="str">
            <v>10- CONTRIBUIÇÃO SOCIAL (Legislação vigente)</v>
          </cell>
          <cell r="G220">
            <v>861.55926700675298</v>
          </cell>
          <cell r="H220">
            <v>1809.5713803206145</v>
          </cell>
          <cell r="I220">
            <v>1842.7773052799405</v>
          </cell>
          <cell r="J220">
            <v>1650.7639878724774</v>
          </cell>
          <cell r="K220">
            <v>1969.5560152087467</v>
          </cell>
          <cell r="L220">
            <v>2006.3376291785376</v>
          </cell>
          <cell r="M220">
            <v>2331.0756225434861</v>
          </cell>
          <cell r="N220">
            <v>2863.5649539596252</v>
          </cell>
          <cell r="O220">
            <v>2950.6694785351101</v>
          </cell>
          <cell r="P220">
            <v>2823.6035514544642</v>
          </cell>
          <cell r="Q220">
            <v>2958.849315396239</v>
          </cell>
          <cell r="R220">
            <v>3120.8962878595662</v>
          </cell>
          <cell r="S220">
            <v>3207.4045057637195</v>
          </cell>
          <cell r="T220">
            <v>3357.4743672522782</v>
          </cell>
          <cell r="U220">
            <v>3502.2064627207315</v>
          </cell>
          <cell r="V220">
            <v>3548.9734139090097</v>
          </cell>
          <cell r="W220">
            <v>3672.7171427917897</v>
          </cell>
          <cell r="X220">
            <v>3779.5325061265371</v>
          </cell>
          <cell r="Y220">
            <v>3919.249654231091</v>
          </cell>
          <cell r="Z220">
            <v>3378.607883705492</v>
          </cell>
          <cell r="AA220">
            <v>55555.390731116218</v>
          </cell>
        </row>
        <row r="221">
          <cell r="B221" t="str">
            <v>11- RESULTADO ANTES IMPOSTO DE RENDA    (9 - 10)</v>
          </cell>
          <cell r="G221">
            <v>8855.6870532064968</v>
          </cell>
          <cell r="H221">
            <v>20174.01146375799</v>
          </cell>
          <cell r="I221">
            <v>19764.42895105479</v>
          </cell>
          <cell r="J221">
            <v>16762.81378952341</v>
          </cell>
          <cell r="K221">
            <v>17922.367445225336</v>
          </cell>
          <cell r="L221">
            <v>16428.714511345279</v>
          </cell>
          <cell r="M221">
            <v>20564.957303726169</v>
          </cell>
          <cell r="N221">
            <v>27030.847381287196</v>
          </cell>
          <cell r="O221">
            <v>28528.764764731841</v>
          </cell>
          <cell r="P221">
            <v>28199.650015080711</v>
          </cell>
          <cell r="Q221">
            <v>30918.303530284262</v>
          </cell>
          <cell r="R221">
            <v>33692.121871180709</v>
          </cell>
          <cell r="S221">
            <v>35436.511016823017</v>
          </cell>
          <cell r="T221">
            <v>27893.451719128054</v>
          </cell>
          <cell r="U221">
            <v>46819.229479148307</v>
          </cell>
          <cell r="V221">
            <v>47381.530297597339</v>
          </cell>
          <cell r="W221">
            <v>48741.411779749287</v>
          </cell>
          <cell r="X221">
            <v>49905.958474765546</v>
          </cell>
          <cell r="Y221">
            <v>51983.71009589584</v>
          </cell>
          <cell r="Z221">
            <v>55757.347989069865</v>
          </cell>
          <cell r="AA221">
            <v>632761.81893258123</v>
          </cell>
        </row>
        <row r="222">
          <cell r="B222" t="str">
            <v>12- IMPOSTO DE RENDA (Legislação vigente)</v>
          </cell>
          <cell r="G222">
            <v>2668.3727093961033</v>
          </cell>
          <cell r="H222">
            <v>5630.9105635019187</v>
          </cell>
          <cell r="I222">
            <v>5734.679078999814</v>
          </cell>
          <cell r="J222">
            <v>5134.637462101492</v>
          </cell>
          <cell r="K222">
            <v>6130.8625475273329</v>
          </cell>
          <cell r="L222">
            <v>6238.6242824479295</v>
          </cell>
          <cell r="M222">
            <v>7260.6113204483945</v>
          </cell>
          <cell r="N222">
            <v>8924.6404811238281</v>
          </cell>
          <cell r="O222">
            <v>9235.3290014597696</v>
          </cell>
          <cell r="P222">
            <v>8842.4768706243758</v>
          </cell>
          <cell r="Q222">
            <v>9269.4563374311547</v>
          </cell>
          <cell r="R222">
            <v>9781.3009448079865</v>
          </cell>
          <cell r="S222">
            <v>10057.503853358512</v>
          </cell>
          <cell r="T222">
            <v>10532.783509767116</v>
          </cell>
          <cell r="U222">
            <v>10991.845688278307</v>
          </cell>
          <cell r="V222">
            <v>11145.262821985134</v>
          </cell>
          <cell r="W222">
            <v>11539.747517089345</v>
          </cell>
          <cell r="X222">
            <v>11881.869972502454</v>
          </cell>
          <cell r="Y222">
            <v>12327.3790995212</v>
          </cell>
          <cell r="Z222">
            <v>10647.358563016936</v>
          </cell>
          <cell r="AA222">
            <v>173975.65262538911</v>
          </cell>
        </row>
        <row r="223">
          <cell r="B223" t="str">
            <v>13- RESULTADO DE EXERCÍCIO    (11 - 12)</v>
          </cell>
          <cell r="G223">
            <v>6187.3143438103934</v>
          </cell>
          <cell r="H223">
            <v>14543.100900256071</v>
          </cell>
          <cell r="I223">
            <v>14029.749872054976</v>
          </cell>
          <cell r="J223">
            <v>11628.176327421919</v>
          </cell>
          <cell r="K223">
            <v>11791.504897698003</v>
          </cell>
          <cell r="L223">
            <v>10190.090228897348</v>
          </cell>
          <cell r="M223">
            <v>13304.345983277773</v>
          </cell>
          <cell r="N223">
            <v>18106.206900163368</v>
          </cell>
          <cell r="O223">
            <v>19293.435763272071</v>
          </cell>
          <cell r="P223">
            <v>19357.173144456334</v>
          </cell>
          <cell r="Q223">
            <v>21648.847192853107</v>
          </cell>
          <cell r="R223">
            <v>23910.820926372722</v>
          </cell>
          <cell r="S223">
            <v>25379.007163464506</v>
          </cell>
          <cell r="T223">
            <v>17360.668209360938</v>
          </cell>
          <cell r="U223">
            <v>35827.383790870001</v>
          </cell>
          <cell r="V223">
            <v>36236.267475612207</v>
          </cell>
          <cell r="W223">
            <v>37201.664262659942</v>
          </cell>
          <cell r="X223">
            <v>38024.08850226309</v>
          </cell>
          <cell r="Y223">
            <v>39656.330996374643</v>
          </cell>
          <cell r="Z223">
            <v>45109.989426052925</v>
          </cell>
          <cell r="AA223">
            <v>458786.16630719212</v>
          </cell>
        </row>
        <row r="224">
          <cell r="B224" t="str">
            <v>Obs.: este demonstrativo de resultados retrata o projeto original mais os fatores de desequilibrio do contrato original</v>
          </cell>
        </row>
        <row r="226">
          <cell r="B226" t="str">
            <v>DEMONSTRATIVO DE RESULTADOS COM FATORES DE DESEQUILIBRIO NA EXTENSÃO DO PERIODO CONTRATUAL (MIlhares de Reais)</v>
          </cell>
        </row>
        <row r="228">
          <cell r="B228" t="str">
            <v>DISCRIMINAÇÃO</v>
          </cell>
          <cell r="G228">
            <v>21</v>
          </cell>
          <cell r="H228">
            <v>22</v>
          </cell>
          <cell r="I228">
            <v>23</v>
          </cell>
          <cell r="J228">
            <v>24</v>
          </cell>
          <cell r="K228">
            <v>25</v>
          </cell>
          <cell r="L228">
            <v>26</v>
          </cell>
          <cell r="M228">
            <v>27</v>
          </cell>
          <cell r="N228">
            <v>28</v>
          </cell>
          <cell r="O228">
            <v>29</v>
          </cell>
          <cell r="P228">
            <v>30</v>
          </cell>
          <cell r="Q228">
            <v>31</v>
          </cell>
          <cell r="R228">
            <v>32</v>
          </cell>
          <cell r="S228">
            <v>33</v>
          </cell>
          <cell r="T228">
            <v>34</v>
          </cell>
          <cell r="U228">
            <v>35</v>
          </cell>
          <cell r="V228">
            <v>36</v>
          </cell>
          <cell r="W228">
            <v>37</v>
          </cell>
          <cell r="X228">
            <v>38</v>
          </cell>
          <cell r="Y228">
            <v>39</v>
          </cell>
          <cell r="Z228">
            <v>40</v>
          </cell>
          <cell r="AA228" t="str">
            <v>TOTAL</v>
          </cell>
        </row>
        <row r="229">
          <cell r="B229" t="str">
            <v>1 -  RECEITA BRUTA    (1.1)</v>
          </cell>
          <cell r="G229">
            <v>136008.47411252346</v>
          </cell>
          <cell r="H229">
            <v>139083.46466782322</v>
          </cell>
          <cell r="I229">
            <v>142063.36189175968</v>
          </cell>
          <cell r="J229">
            <v>144940.61144094629</v>
          </cell>
          <cell r="K229">
            <v>147708.3695844688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709804.28169752157</v>
          </cell>
        </row>
        <row r="230">
          <cell r="B230" t="str">
            <v>1.1 - Operacionais    (1.1.1 + 1.1.2)</v>
          </cell>
          <cell r="G230">
            <v>136008.47411252346</v>
          </cell>
          <cell r="H230">
            <v>139083.46466782322</v>
          </cell>
          <cell r="I230">
            <v>142063.36189175968</v>
          </cell>
          <cell r="J230">
            <v>144940.61144094629</v>
          </cell>
          <cell r="K230">
            <v>147708.3695844688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709804.28169752157</v>
          </cell>
        </row>
        <row r="231">
          <cell r="B231" t="str">
            <v>1.1.1 - Receitas de  Pedágios    (Transp. Qd.2.1.1.2)</v>
          </cell>
          <cell r="G231">
            <v>135669.15358908995</v>
          </cell>
          <cell r="H231">
            <v>138736.47250913622</v>
          </cell>
          <cell r="I231">
            <v>141708.93534126432</v>
          </cell>
          <cell r="J231">
            <v>144579.0065890293</v>
          </cell>
          <cell r="K231">
            <v>147339.85959558791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708033.4276241078</v>
          </cell>
        </row>
        <row r="232">
          <cell r="B232" t="str">
            <v>1.1.2 - Outras Receitas Operacionais    (calculado 2.1.2.)</v>
          </cell>
          <cell r="G232">
            <v>339.32052343351086</v>
          </cell>
          <cell r="H232">
            <v>346.99215868701856</v>
          </cell>
          <cell r="I232">
            <v>354.42655049533801</v>
          </cell>
          <cell r="J232">
            <v>361.60485191699144</v>
          </cell>
          <cell r="K232">
            <v>368.50998888088702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1770.8540734137459</v>
          </cell>
        </row>
        <row r="233">
          <cell r="B233" t="str">
            <v>2 -  DEDUÇÕES DA RECEITA    (2.1)</v>
          </cell>
          <cell r="G233">
            <v>11764.733010733278</v>
          </cell>
          <cell r="H233">
            <v>12030.719693766709</v>
          </cell>
          <cell r="I233">
            <v>12288.480803637212</v>
          </cell>
          <cell r="J233">
            <v>12537.362889641856</v>
          </cell>
          <cell r="K233">
            <v>12776.77396905655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61398.070366835607</v>
          </cell>
        </row>
        <row r="234">
          <cell r="B234" t="str">
            <v>2.1 - Tributos sobre Faturamento    (2.1.1+ .... + 2.1.4)</v>
          </cell>
          <cell r="G234">
            <v>11764.733010733278</v>
          </cell>
          <cell r="H234">
            <v>12030.719693766709</v>
          </cell>
          <cell r="I234">
            <v>12288.480803637212</v>
          </cell>
          <cell r="J234">
            <v>12537.362889641856</v>
          </cell>
          <cell r="K234">
            <v>12776.77396905655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61398.070366835607</v>
          </cell>
        </row>
        <row r="235">
          <cell r="B235" t="str">
            <v>2.1.1 - I.S.S    (transp. Qd  1.3.)</v>
          </cell>
          <cell r="G235">
            <v>6800.4237056261736</v>
          </cell>
          <cell r="H235">
            <v>6954.1732333911614</v>
          </cell>
          <cell r="I235">
            <v>7103.1680945879843</v>
          </cell>
          <cell r="J235">
            <v>7247.0305720473152</v>
          </cell>
          <cell r="K235">
            <v>7385.418479223441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35490.214084876076</v>
          </cell>
        </row>
        <row r="236">
          <cell r="B236" t="str">
            <v>2.1.2 - Cofins    (transp. Qd 1.3.)</v>
          </cell>
          <cell r="G236">
            <v>4080.2542233757035</v>
          </cell>
          <cell r="H236">
            <v>4172.5039400346968</v>
          </cell>
          <cell r="I236">
            <v>4261.9008567527899</v>
          </cell>
          <cell r="J236">
            <v>4348.2183432283882</v>
          </cell>
          <cell r="K236">
            <v>4431.251087534064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21294.128450925644</v>
          </cell>
        </row>
        <row r="237">
          <cell r="B237" t="str">
            <v>2.1.3 - Pis / Pasep    (transp. Qd 1.3.)</v>
          </cell>
          <cell r="G237">
            <v>884.05508173140242</v>
          </cell>
          <cell r="H237">
            <v>904.04252034085096</v>
          </cell>
          <cell r="I237">
            <v>923.41185229643781</v>
          </cell>
          <cell r="J237">
            <v>942.11397436615084</v>
          </cell>
          <cell r="K237">
            <v>960.10440229904714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4613.7278310338888</v>
          </cell>
        </row>
        <row r="238">
          <cell r="B238" t="str">
            <v>2.1.4 - CPMF    (transp Qd 1.3.)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</row>
        <row r="239">
          <cell r="B239" t="str">
            <v>3 -  RECEITA LIQUIDA    (1 - 2)</v>
          </cell>
          <cell r="G239">
            <v>124243.74110179018</v>
          </cell>
          <cell r="H239">
            <v>127052.74497405652</v>
          </cell>
          <cell r="I239">
            <v>129774.88108812246</v>
          </cell>
          <cell r="J239">
            <v>132403.24855130442</v>
          </cell>
          <cell r="K239">
            <v>134931.59561541225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648406.211330686</v>
          </cell>
        </row>
        <row r="240">
          <cell r="B240" t="str">
            <v>4 -  DESPESAS    (4.1)</v>
          </cell>
          <cell r="G240">
            <v>34377.45403687848</v>
          </cell>
          <cell r="H240">
            <v>34502.329393489235</v>
          </cell>
          <cell r="I240">
            <v>34623.343010217628</v>
          </cell>
          <cell r="J240">
            <v>34740.188105202891</v>
          </cell>
          <cell r="K240">
            <v>34852.586754554519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173095.90130034275</v>
          </cell>
        </row>
        <row r="241">
          <cell r="B241" t="str">
            <v>4.1 - Operacionais    (4.1.1+ .... + 4.1.10)</v>
          </cell>
          <cell r="G241">
            <v>34377.45403687848</v>
          </cell>
          <cell r="H241">
            <v>34502.329393489235</v>
          </cell>
          <cell r="I241">
            <v>34623.343010217628</v>
          </cell>
          <cell r="J241">
            <v>34740.188105202891</v>
          </cell>
          <cell r="K241">
            <v>34852.586754554519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173095.90130034275</v>
          </cell>
        </row>
        <row r="242">
          <cell r="B242" t="str">
            <v>4.1.1  -  Pessoal e Administradores    (Transp. Qd. 1.3.)</v>
          </cell>
          <cell r="G242">
            <v>21258.878273202434</v>
          </cell>
          <cell r="H242">
            <v>21258.878273202434</v>
          </cell>
          <cell r="I242">
            <v>21258.878273202434</v>
          </cell>
          <cell r="J242">
            <v>21258.878273202434</v>
          </cell>
          <cell r="K242">
            <v>21258.878273202434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106294.39136601216</v>
          </cell>
        </row>
        <row r="243">
          <cell r="B243" t="str">
            <v>4.1.2  -  Conservação de Rotina    (Transp. Qd. 1.3.)</v>
          </cell>
          <cell r="G243">
            <v>3969.4575778208427</v>
          </cell>
          <cell r="H243">
            <v>3969.4575778208427</v>
          </cell>
          <cell r="I243">
            <v>3969.4575778208427</v>
          </cell>
          <cell r="J243">
            <v>3969.4575778208427</v>
          </cell>
          <cell r="K243">
            <v>3969.4575778208427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19847.287889104213</v>
          </cell>
        </row>
        <row r="244">
          <cell r="B244" t="str">
            <v>4.1.3  -  Consumo    (Transp. Qd. 1.3.)</v>
          </cell>
          <cell r="G244">
            <v>1353.0062078352937</v>
          </cell>
          <cell r="H244">
            <v>1353.0062078352937</v>
          </cell>
          <cell r="I244">
            <v>1353.0062078352937</v>
          </cell>
          <cell r="J244">
            <v>1353.0062078352937</v>
          </cell>
          <cell r="K244">
            <v>1353.0062078352937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6765.0310391764688</v>
          </cell>
        </row>
        <row r="245">
          <cell r="B245" t="str">
            <v>4.1.4  -  Transportes    (Transp. Qd. 1.3.)</v>
          </cell>
          <cell r="G245">
            <v>1231.4338887250619</v>
          </cell>
          <cell r="H245">
            <v>1231.4338887250619</v>
          </cell>
          <cell r="I245">
            <v>1231.4338887250619</v>
          </cell>
          <cell r="J245">
            <v>1231.4338887250619</v>
          </cell>
          <cell r="K245">
            <v>1231.4338887250619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6157.1694436253092</v>
          </cell>
        </row>
        <row r="246">
          <cell r="B246" t="str">
            <v>4.1.5  -  Diversas    (Transp. Qd. 1.3.)</v>
          </cell>
          <cell r="G246">
            <v>417.87092927703861</v>
          </cell>
          <cell r="H246">
            <v>417.87092927703861</v>
          </cell>
          <cell r="I246">
            <v>417.87092927703861</v>
          </cell>
          <cell r="J246">
            <v>417.87092927703861</v>
          </cell>
          <cell r="K246">
            <v>417.87092927703861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2089.3546463851931</v>
          </cell>
        </row>
        <row r="247">
          <cell r="B247" t="str">
            <v>4.1.6  -  Depreciação/Amortização    (Transp. Qd. 1.3.)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B248" t="str">
            <v>4.1.7  -  Seguros    (transp. Qd 1.3.)</v>
          </cell>
          <cell r="G248">
            <v>1712.707408154839</v>
          </cell>
          <cell r="H248">
            <v>1744.0477118944541</v>
          </cell>
          <cell r="I248">
            <v>1774.4188244008146</v>
          </cell>
          <cell r="J248">
            <v>1803.7437518061247</v>
          </cell>
          <cell r="K248">
            <v>1831.9527428049059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8866.8704390611383</v>
          </cell>
        </row>
        <row r="249">
          <cell r="B249" t="str">
            <v xml:space="preserve">4.1.8  -  Garantias  (transp. Qd 1.3.)  </v>
          </cell>
          <cell r="G249">
            <v>353.84552848726855</v>
          </cell>
          <cell r="H249">
            <v>355.13086469941413</v>
          </cell>
          <cell r="I249">
            <v>356.37645220334844</v>
          </cell>
          <cell r="J249">
            <v>357.57913330770992</v>
          </cell>
          <cell r="K249">
            <v>358.73604735487629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1781.6680260526175</v>
          </cell>
        </row>
        <row r="250">
          <cell r="B250" t="str">
            <v xml:space="preserve">4.1.9  -  Parc.Variável da Concessão   </v>
          </cell>
          <cell r="G250">
            <v>4080.2542233757035</v>
          </cell>
          <cell r="H250">
            <v>4172.5039400346968</v>
          </cell>
          <cell r="I250">
            <v>4261.9008567527899</v>
          </cell>
          <cell r="J250">
            <v>4348.2183432283882</v>
          </cell>
          <cell r="K250">
            <v>4431.251087534064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21294.128450925644</v>
          </cell>
        </row>
        <row r="251">
          <cell r="B251" t="str">
            <v xml:space="preserve">4.1.10 - Parcela Fixa da Concessão   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B252" t="str">
            <v>5 -  RESULTADO BRUTO OPERACIONAL     (3 - 4)</v>
          </cell>
          <cell r="G252">
            <v>89866.287064911696</v>
          </cell>
          <cell r="H252">
            <v>92550.415580567293</v>
          </cell>
          <cell r="I252">
            <v>95151.538077904843</v>
          </cell>
          <cell r="J252">
            <v>97663.060446101532</v>
          </cell>
          <cell r="K252">
            <v>100079.00886085774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475310.31003034324</v>
          </cell>
        </row>
        <row r="253">
          <cell r="B253" t="str">
            <v>6 -  RESULTADO FINANCEIRO    (6.1)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B254" t="str">
            <v>6.1 - Receitas    (Transp. Qd. 2B)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B255" t="str">
            <v>7 -  RESULTADO OPERACIONAL    (5 + 6)</v>
          </cell>
          <cell r="G255">
            <v>89866.287064911696</v>
          </cell>
          <cell r="H255">
            <v>92550.415580567293</v>
          </cell>
          <cell r="I255">
            <v>95151.538077904843</v>
          </cell>
          <cell r="J255">
            <v>97663.060446101532</v>
          </cell>
          <cell r="K255">
            <v>100079.00886085774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475310.31003034324</v>
          </cell>
        </row>
        <row r="256">
          <cell r="B256" t="str">
            <v>8 -  RESULTADO NÃO OPERACIONAL    (Tr. item 2, Qd. 3A)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</row>
        <row r="257">
          <cell r="B257" t="str">
            <v>9 -  RESULTADO ANTES CONTRIBUIÇÃO SOCIAL   (7 + 8)</v>
          </cell>
          <cell r="G257">
            <v>89866.287064911696</v>
          </cell>
          <cell r="H257">
            <v>92550.415580567293</v>
          </cell>
          <cell r="I257">
            <v>95151.538077904843</v>
          </cell>
          <cell r="J257">
            <v>97663.060446101532</v>
          </cell>
          <cell r="K257">
            <v>100079.00886085774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475310.31003034324</v>
          </cell>
        </row>
        <row r="258">
          <cell r="B258" t="str">
            <v>10- CONTRIBUIÇÃO SOCIAL (Legislação vigente)</v>
          </cell>
          <cell r="G258">
            <v>7189.3029651929355</v>
          </cell>
          <cell r="H258">
            <v>7404.0332464453832</v>
          </cell>
          <cell r="I258">
            <v>7612.1230462323874</v>
          </cell>
          <cell r="J258">
            <v>7813.0448356881225</v>
          </cell>
          <cell r="K258">
            <v>8006.3207088686186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38024.824802427444</v>
          </cell>
        </row>
        <row r="259">
          <cell r="B259" t="str">
            <v>11- RESULTADO ANTES IMPOSTO DE RENDA    (9 - 10)</v>
          </cell>
          <cell r="G259">
            <v>82676.984099718757</v>
          </cell>
          <cell r="H259">
            <v>85146.38233412191</v>
          </cell>
          <cell r="I259">
            <v>87539.415031672455</v>
          </cell>
          <cell r="J259">
            <v>89850.015610413408</v>
          </cell>
          <cell r="K259">
            <v>92072.688151989118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437285.48522791581</v>
          </cell>
        </row>
        <row r="260">
          <cell r="B260" t="str">
            <v>12- IMPOSTO DE RENDA (Legislação vigente)</v>
          </cell>
          <cell r="G260">
            <v>22442.571766227924</v>
          </cell>
          <cell r="H260">
            <v>23113.603895141823</v>
          </cell>
          <cell r="I260">
            <v>23763.884519476211</v>
          </cell>
          <cell r="J260">
            <v>24391.765111525383</v>
          </cell>
          <cell r="K260">
            <v>24995.752215214434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118707.57750758578</v>
          </cell>
        </row>
        <row r="261">
          <cell r="B261" t="str">
            <v>13- RESULTADO DE EXERCÍCIO    (11 - 12)</v>
          </cell>
          <cell r="G261">
            <v>60234.412333490836</v>
          </cell>
          <cell r="H261">
            <v>62032.778438980087</v>
          </cell>
          <cell r="I261">
            <v>63775.530512196245</v>
          </cell>
          <cell r="J261">
            <v>65458.250498888025</v>
          </cell>
          <cell r="K261">
            <v>67076.93593677468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318577.90772033005</v>
          </cell>
        </row>
        <row r="262">
          <cell r="B262" t="str">
            <v>Obs.: este demonstrativo de resultados retrata a extensão necessaria para o reestabelecimento do equilibrio do contrato original</v>
          </cell>
        </row>
        <row r="264">
          <cell r="B264" t="str">
            <v>FLUXO DE CAIXA COM FATORES DE DESEQUILIBRIO NO PERIODO CONTRATUAL (MIlhares de Reais)</v>
          </cell>
        </row>
        <row r="266">
          <cell r="B266" t="str">
            <v>DISCRIMINAÇÃO</v>
          </cell>
          <cell r="G266">
            <v>1</v>
          </cell>
          <cell r="H266">
            <v>2</v>
          </cell>
          <cell r="I266">
            <v>3</v>
          </cell>
          <cell r="J266">
            <v>4</v>
          </cell>
          <cell r="K266">
            <v>5</v>
          </cell>
          <cell r="L266">
            <v>6</v>
          </cell>
          <cell r="M266">
            <v>7</v>
          </cell>
          <cell r="N266">
            <v>8</v>
          </cell>
          <cell r="O266">
            <v>9</v>
          </cell>
          <cell r="P266">
            <v>10</v>
          </cell>
          <cell r="Q266">
            <v>11</v>
          </cell>
          <cell r="R266">
            <v>12</v>
          </cell>
          <cell r="S266">
            <v>13</v>
          </cell>
          <cell r="T266">
            <v>14</v>
          </cell>
          <cell r="U266">
            <v>15</v>
          </cell>
          <cell r="V266">
            <v>16</v>
          </cell>
          <cell r="W266">
            <v>17</v>
          </cell>
          <cell r="X266">
            <v>18</v>
          </cell>
          <cell r="Y266">
            <v>19</v>
          </cell>
          <cell r="Z266">
            <v>20</v>
          </cell>
          <cell r="AA266" t="str">
            <v>TOTAL</v>
          </cell>
        </row>
        <row r="267">
          <cell r="B267" t="str">
            <v xml:space="preserve">1.  INGRESSOS     (1.1.) </v>
          </cell>
          <cell r="G267">
            <v>45273.591007088813</v>
          </cell>
          <cell r="H267">
            <v>65388.419094067263</v>
          </cell>
          <cell r="I267">
            <v>70212.960394601221</v>
          </cell>
          <cell r="J267">
            <v>72958.924439087641</v>
          </cell>
          <cell r="K267">
            <v>78499.530178312751</v>
          </cell>
          <cell r="L267">
            <v>78838.212616669713</v>
          </cell>
          <cell r="M267">
            <v>86238.840729548523</v>
          </cell>
          <cell r="N267">
            <v>98959.738384125929</v>
          </cell>
          <cell r="O267">
            <v>103569.10969476355</v>
          </cell>
          <cell r="P267">
            <v>106333.21021346009</v>
          </cell>
          <cell r="Q267">
            <v>109862.17871486003</v>
          </cell>
          <cell r="R267">
            <v>113319.92823024114</v>
          </cell>
          <cell r="S267">
            <v>116767.59335061266</v>
          </cell>
          <cell r="T267">
            <v>120207.8393045995</v>
          </cell>
          <cell r="U267">
            <v>123618.49962728786</v>
          </cell>
          <cell r="V267">
            <v>127004.50749385955</v>
          </cell>
          <cell r="W267">
            <v>130346.65950244149</v>
          </cell>
          <cell r="X267">
            <v>133635.58973549394</v>
          </cell>
          <cell r="Y267">
            <v>137235.54157630706</v>
          </cell>
          <cell r="Z267">
            <v>141719.82324685578</v>
          </cell>
          <cell r="AA267">
            <v>2059990.6975342846</v>
          </cell>
        </row>
        <row r="268">
          <cell r="B268" t="str">
            <v>1.1.  RECEITAS     (1.1.1.+ ... + 1.1.4)</v>
          </cell>
          <cell r="G268">
            <v>45273.591007088813</v>
          </cell>
          <cell r="H268">
            <v>65388.419094067263</v>
          </cell>
          <cell r="I268">
            <v>70212.960394601221</v>
          </cell>
          <cell r="J268">
            <v>72958.924439087641</v>
          </cell>
          <cell r="K268">
            <v>78499.530178312751</v>
          </cell>
          <cell r="L268">
            <v>78838.212616669713</v>
          </cell>
          <cell r="M268">
            <v>86238.840729548523</v>
          </cell>
          <cell r="N268">
            <v>98959.738384125929</v>
          </cell>
          <cell r="O268">
            <v>103569.10969476355</v>
          </cell>
          <cell r="P268">
            <v>106333.21021346009</v>
          </cell>
          <cell r="Q268">
            <v>109862.17871486003</v>
          </cell>
          <cell r="R268">
            <v>113319.92823024114</v>
          </cell>
          <cell r="S268">
            <v>116767.59335061266</v>
          </cell>
          <cell r="T268">
            <v>120207.8393045995</v>
          </cell>
          <cell r="U268">
            <v>123618.49962728786</v>
          </cell>
          <cell r="V268">
            <v>127004.50749385955</v>
          </cell>
          <cell r="W268">
            <v>130346.65950244149</v>
          </cell>
          <cell r="X268">
            <v>133635.58973549394</v>
          </cell>
          <cell r="Y268">
            <v>137235.54157630706</v>
          </cell>
          <cell r="Z268">
            <v>141719.82324685578</v>
          </cell>
          <cell r="AA268">
            <v>2059990.6975342846</v>
          </cell>
        </row>
        <row r="269">
          <cell r="B269" t="str">
            <v>1.1.1   Receitas de Pedágio</v>
          </cell>
          <cell r="G269">
            <v>45106.588082191774</v>
          </cell>
          <cell r="H269">
            <v>65023.528335370058</v>
          </cell>
          <cell r="I269">
            <v>67981.420470797922</v>
          </cell>
          <cell r="J269">
            <v>70993.83225887295</v>
          </cell>
          <cell r="K269">
            <v>78137.455731207097</v>
          </cell>
          <cell r="L269">
            <v>77594.692763306026</v>
          </cell>
          <cell r="M269">
            <v>84572.914255846626</v>
          </cell>
          <cell r="N269">
            <v>93797.999739954568</v>
          </cell>
          <cell r="O269">
            <v>97806.738500326392</v>
          </cell>
          <cell r="P269">
            <v>100307.78280284526</v>
          </cell>
          <cell r="Q269">
            <v>102457.06539173654</v>
          </cell>
          <cell r="R269">
            <v>105901.82062207442</v>
          </cell>
          <cell r="S269">
            <v>109337.44496931664</v>
          </cell>
          <cell r="T269">
            <v>112764.72106258676</v>
          </cell>
          <cell r="U269">
            <v>116163.3810768913</v>
          </cell>
          <cell r="V269">
            <v>119536.36500167643</v>
          </cell>
          <cell r="W269">
            <v>122866.54286028015</v>
          </cell>
          <cell r="X269">
            <v>126143.50648625659</v>
          </cell>
          <cell r="Y269">
            <v>129363.51765335015</v>
          </cell>
          <cell r="Z269">
            <v>132515.12673625132</v>
          </cell>
          <cell r="AA269">
            <v>1958372.4448011389</v>
          </cell>
        </row>
        <row r="270">
          <cell r="B270" t="str">
            <v>1.1.2   Outras Receitas Operacionais</v>
          </cell>
          <cell r="G270">
            <v>119.00208420806717</v>
          </cell>
          <cell r="H270">
            <v>168.00034931384781</v>
          </cell>
          <cell r="I270">
            <v>176.00472627555732</v>
          </cell>
          <cell r="J270">
            <v>183.97867073021396</v>
          </cell>
          <cell r="K270">
            <v>204.00250561921959</v>
          </cell>
          <cell r="L270">
            <v>211.9999750008844</v>
          </cell>
          <cell r="M270">
            <v>1318.949522803114</v>
          </cell>
          <cell r="N270">
            <v>4609.7948783746151</v>
          </cell>
          <cell r="O270">
            <v>4617.8156335791246</v>
          </cell>
          <cell r="P270">
            <v>5616.0369219514068</v>
          </cell>
          <cell r="Q270">
            <v>6992.7264916982058</v>
          </cell>
          <cell r="R270">
            <v>7001.7242187590637</v>
          </cell>
          <cell r="S270">
            <v>7010.7404051777285</v>
          </cell>
          <cell r="T270">
            <v>7019.7283894506318</v>
          </cell>
          <cell r="U270">
            <v>7028.7285143893732</v>
          </cell>
          <cell r="V270">
            <v>7037.7384444523013</v>
          </cell>
          <cell r="W270">
            <v>7046.7277133180378</v>
          </cell>
          <cell r="X270">
            <v>7054.713546702098</v>
          </cell>
          <cell r="Y270">
            <v>7062.7271667178757</v>
          </cell>
          <cell r="Z270">
            <v>7071.721361291713</v>
          </cell>
          <cell r="AA270">
            <v>87552.861519813072</v>
          </cell>
        </row>
        <row r="271">
          <cell r="B271" t="str">
            <v>1.1.3   Receitas Não Operacionais</v>
          </cell>
          <cell r="G271">
            <v>48.000840688968268</v>
          </cell>
          <cell r="H271">
            <v>67.000139309689288</v>
          </cell>
          <cell r="I271">
            <v>70.001879768687573</v>
          </cell>
          <cell r="J271">
            <v>73.991421924107797</v>
          </cell>
          <cell r="K271">
            <v>81.000994878219558</v>
          </cell>
          <cell r="L271">
            <v>84.999989976769669</v>
          </cell>
          <cell r="M271">
            <v>89.999209121245826</v>
          </cell>
          <cell r="N271">
            <v>92.995579866835087</v>
          </cell>
          <cell r="O271">
            <v>97.003861393286229</v>
          </cell>
          <cell r="P271">
            <v>101.00012055742891</v>
          </cell>
          <cell r="Q271">
            <v>103.99920092201307</v>
          </cell>
          <cell r="R271">
            <v>107.99828539597065</v>
          </cell>
          <cell r="S271">
            <v>111.00475774131516</v>
          </cell>
          <cell r="T271">
            <v>114.99995995333694</v>
          </cell>
          <cell r="U271">
            <v>118.00000996470135</v>
          </cell>
          <cell r="V271">
            <v>122.00398202365136</v>
          </cell>
          <cell r="W271">
            <v>124.99969105289173</v>
          </cell>
          <cell r="X271">
            <v>128.9940136423954</v>
          </cell>
          <cell r="Y271">
            <v>131.99947092988077</v>
          </cell>
          <cell r="Z271">
            <v>135.99714034867677</v>
          </cell>
          <cell r="AA271">
            <v>2005.9905494600714</v>
          </cell>
        </row>
        <row r="272">
          <cell r="B272" t="str">
            <v xml:space="preserve">1.1.4   Receitas Financeiras </v>
          </cell>
          <cell r="G272">
            <v>0</v>
          </cell>
          <cell r="H272">
            <v>129.89027007366479</v>
          </cell>
          <cell r="I272">
            <v>1985.5333177590542</v>
          </cell>
          <cell r="J272">
            <v>1707.1220875603744</v>
          </cell>
          <cell r="K272">
            <v>77.07094660820222</v>
          </cell>
          <cell r="L272">
            <v>946.51988838602392</v>
          </cell>
          <cell r="M272">
            <v>256.97774177753058</v>
          </cell>
          <cell r="N272">
            <v>458.94818592990651</v>
          </cell>
          <cell r="O272">
            <v>1047.5516994647551</v>
          </cell>
          <cell r="P272">
            <v>308.39036810599509</v>
          </cell>
          <cell r="Q272">
            <v>308.38763050326548</v>
          </cell>
          <cell r="R272">
            <v>308.38510401169805</v>
          </cell>
          <cell r="S272">
            <v>308.40321837697462</v>
          </cell>
          <cell r="T272">
            <v>308.38989260877901</v>
          </cell>
          <cell r="U272">
            <v>308.39002604249356</v>
          </cell>
          <cell r="V272">
            <v>308.40006570716258</v>
          </cell>
          <cell r="W272">
            <v>308.38923779041028</v>
          </cell>
          <cell r="X272">
            <v>308.37568889285518</v>
          </cell>
          <cell r="Y272">
            <v>677.29728530915338</v>
          </cell>
          <cell r="Z272">
            <v>1996.9780089640767</v>
          </cell>
          <cell r="AA272">
            <v>12059.400663872377</v>
          </cell>
        </row>
        <row r="273">
          <cell r="B273" t="str">
            <v>2.  DESEMBOLSOS     (2.1.+ ... + 2.4)</v>
          </cell>
          <cell r="G273">
            <v>64746.381645907248</v>
          </cell>
          <cell r="H273">
            <v>87573.306915461086</v>
          </cell>
          <cell r="I273">
            <v>97281.796927793985</v>
          </cell>
          <cell r="J273">
            <v>94714.532505567928</v>
          </cell>
          <cell r="K273">
            <v>68667.175613473024</v>
          </cell>
          <cell r="L273">
            <v>67424.413779857365</v>
          </cell>
          <cell r="M273">
            <v>74360.817300446361</v>
          </cell>
          <cell r="N273">
            <v>84864.577215952042</v>
          </cell>
          <cell r="O273">
            <v>84787.742047640902</v>
          </cell>
          <cell r="P273">
            <v>99602.714391474903</v>
          </cell>
          <cell r="Q273">
            <v>86065.851707684531</v>
          </cell>
          <cell r="R273">
            <v>83133.009115169785</v>
          </cell>
          <cell r="S273">
            <v>77954.089245336931</v>
          </cell>
          <cell r="T273">
            <v>73551.766062899667</v>
          </cell>
          <cell r="U273">
            <v>73408.834119545339</v>
          </cell>
          <cell r="V273">
            <v>73398.648181158613</v>
          </cell>
          <cell r="W273">
            <v>74933.413402692822</v>
          </cell>
          <cell r="X273">
            <v>74985.526062808785</v>
          </cell>
          <cell r="Y273">
            <v>75300.754827438301</v>
          </cell>
          <cell r="Z273">
            <v>79189.926847407798</v>
          </cell>
          <cell r="AA273">
            <v>1595945.2779157176</v>
          </cell>
        </row>
        <row r="274">
          <cell r="B274" t="str">
            <v>2.1.  OPERACIONAIS     (2.1.1.+ ... + 2.1.8)</v>
          </cell>
          <cell r="G274">
            <v>18370.747964512404</v>
          </cell>
          <cell r="H274">
            <v>29960.519111098023</v>
          </cell>
          <cell r="I274">
            <v>31577.067787602031</v>
          </cell>
          <cell r="J274">
            <v>34008.436727705863</v>
          </cell>
          <cell r="K274">
            <v>34498.649474120568</v>
          </cell>
          <cell r="L274">
            <v>34393.38154522184</v>
          </cell>
          <cell r="M274">
            <v>35827.629259360627</v>
          </cell>
          <cell r="N274">
            <v>38707.62794231873</v>
          </cell>
          <cell r="O274">
            <v>40270.376943628842</v>
          </cell>
          <cell r="P274">
            <v>40849.29337765216</v>
          </cell>
          <cell r="Q274">
            <v>40888.552298354094</v>
          </cell>
          <cell r="R274">
            <v>40040.575537277233</v>
          </cell>
          <cell r="S274">
            <v>40356.965324979865</v>
          </cell>
          <cell r="T274">
            <v>40658.854702319157</v>
          </cell>
          <cell r="U274">
            <v>41004.958680807882</v>
          </cell>
          <cell r="V274">
            <v>42727.438841880612</v>
          </cell>
          <cell r="W274">
            <v>43053.790625603746</v>
          </cell>
          <cell r="X274">
            <v>43345.806983191032</v>
          </cell>
          <cell r="Y274">
            <v>42535.448729083975</v>
          </cell>
          <cell r="Z274">
            <v>42823.91495775908</v>
          </cell>
          <cell r="AA274">
            <v>755900.03681447799</v>
          </cell>
        </row>
        <row r="275">
          <cell r="B275" t="str">
            <v xml:space="preserve">2.1.1.  Pessoal / Administradores   </v>
          </cell>
          <cell r="G275">
            <v>9990</v>
          </cell>
          <cell r="H275">
            <v>19202</v>
          </cell>
          <cell r="I275">
            <v>19202</v>
          </cell>
          <cell r="J275">
            <v>19202</v>
          </cell>
          <cell r="K275">
            <v>19130.660100762907</v>
          </cell>
          <cell r="L275">
            <v>18864.07416150851</v>
          </cell>
          <cell r="M275">
            <v>19562.272160306587</v>
          </cell>
          <cell r="N275">
            <v>21257.895871673347</v>
          </cell>
          <cell r="O275">
            <v>21257.895871673347</v>
          </cell>
          <cell r="P275">
            <v>21257.895871673347</v>
          </cell>
          <cell r="Q275">
            <v>21257.895871673347</v>
          </cell>
          <cell r="R275">
            <v>21257.895871673347</v>
          </cell>
          <cell r="S275">
            <v>21257.895871673347</v>
          </cell>
          <cell r="T275">
            <v>21257.895871673347</v>
          </cell>
          <cell r="U275">
            <v>21257.895871673347</v>
          </cell>
          <cell r="V275">
            <v>21257.895871673347</v>
          </cell>
          <cell r="W275">
            <v>21256.91347014426</v>
          </cell>
          <cell r="X275">
            <v>21257.895871673347</v>
          </cell>
          <cell r="Y275">
            <v>21258.878273202434</v>
          </cell>
          <cell r="Z275">
            <v>21258.878273202434</v>
          </cell>
          <cell r="AA275">
            <v>401506.6351558608</v>
          </cell>
        </row>
        <row r="276">
          <cell r="B276" t="str">
            <v xml:space="preserve">2.1.2.  Conservação de Rotina  </v>
          </cell>
          <cell r="G276">
            <v>3346</v>
          </cell>
          <cell r="H276">
            <v>3150</v>
          </cell>
          <cell r="I276">
            <v>3150</v>
          </cell>
          <cell r="J276">
            <v>3150</v>
          </cell>
          <cell r="K276">
            <v>3129.8970448037585</v>
          </cell>
          <cell r="L276">
            <v>3006.1460437363903</v>
          </cell>
          <cell r="M276">
            <v>3134.1157392091836</v>
          </cell>
          <cell r="N276">
            <v>3525.9985143634544</v>
          </cell>
          <cell r="O276">
            <v>4838.4732271186431</v>
          </cell>
          <cell r="P276">
            <v>4838.3075671186498</v>
          </cell>
          <cell r="Q276">
            <v>4838.3072004519754</v>
          </cell>
          <cell r="R276">
            <v>3721.6537861072379</v>
          </cell>
          <cell r="S276">
            <v>3721.6066432501198</v>
          </cell>
          <cell r="T276">
            <v>3721.4955432501179</v>
          </cell>
          <cell r="U276">
            <v>3721.4968632501136</v>
          </cell>
          <cell r="V276">
            <v>5082.5730840754804</v>
          </cell>
          <cell r="W276">
            <v>5082.6819840754724</v>
          </cell>
          <cell r="X276">
            <v>5082.8486340754935</v>
          </cell>
          <cell r="Y276">
            <v>3969.5170529401776</v>
          </cell>
          <cell r="Z276">
            <v>3969.4575778208427</v>
          </cell>
          <cell r="AA276">
            <v>78180.576505647099</v>
          </cell>
        </row>
        <row r="277">
          <cell r="B277" t="str">
            <v xml:space="preserve">2.1.3.  Consumo   </v>
          </cell>
          <cell r="G277">
            <v>571</v>
          </cell>
          <cell r="H277">
            <v>1189</v>
          </cell>
          <cell r="I277">
            <v>1189</v>
          </cell>
          <cell r="J277">
            <v>1189</v>
          </cell>
          <cell r="K277">
            <v>1184.582588262009</v>
          </cell>
          <cell r="L277">
            <v>1168.0754180832007</v>
          </cell>
          <cell r="M277">
            <v>1221.1539637562776</v>
          </cell>
          <cell r="N277">
            <v>1350.0590032480359</v>
          </cell>
          <cell r="O277">
            <v>1350.0590032480359</v>
          </cell>
          <cell r="P277">
            <v>1350.0590032480359</v>
          </cell>
          <cell r="Q277">
            <v>1350.0590032480359</v>
          </cell>
          <cell r="R277">
            <v>1350.0590032480359</v>
          </cell>
          <cell r="S277">
            <v>1350.0590032480359</v>
          </cell>
          <cell r="T277">
            <v>1350.0590032480359</v>
          </cell>
          <cell r="U277">
            <v>1350.0590032480359</v>
          </cell>
          <cell r="V277">
            <v>1352.0238063062077</v>
          </cell>
          <cell r="W277">
            <v>1352.0238063062077</v>
          </cell>
          <cell r="X277">
            <v>1352.0238063062077</v>
          </cell>
          <cell r="Y277">
            <v>1352.0238063062077</v>
          </cell>
          <cell r="Z277">
            <v>1353.0062078352937</v>
          </cell>
          <cell r="AA277">
            <v>25273.385429145892</v>
          </cell>
        </row>
        <row r="278">
          <cell r="B278" t="str">
            <v>2.1.4.  Transportes</v>
          </cell>
          <cell r="G278">
            <v>417</v>
          </cell>
          <cell r="H278">
            <v>1111</v>
          </cell>
          <cell r="I278">
            <v>1111</v>
          </cell>
          <cell r="J278">
            <v>1111</v>
          </cell>
          <cell r="K278">
            <v>1106.8723764163935</v>
          </cell>
          <cell r="L278">
            <v>1091.4480988144962</v>
          </cell>
          <cell r="M278">
            <v>1131.9907537590946</v>
          </cell>
          <cell r="N278">
            <v>1230.4514871959761</v>
          </cell>
          <cell r="O278">
            <v>1230.4514871959761</v>
          </cell>
          <cell r="P278">
            <v>1230.4514871959761</v>
          </cell>
          <cell r="Q278">
            <v>1230.4514871959761</v>
          </cell>
          <cell r="R278">
            <v>1230.4514871959761</v>
          </cell>
          <cell r="S278">
            <v>1230.4514871959761</v>
          </cell>
          <cell r="T278">
            <v>1230.4514871959761</v>
          </cell>
          <cell r="U278">
            <v>1231.4338887250619</v>
          </cell>
          <cell r="V278">
            <v>1231.4338887250619</v>
          </cell>
          <cell r="W278">
            <v>1231.4338887250619</v>
          </cell>
          <cell r="X278">
            <v>1231.4338887250619</v>
          </cell>
          <cell r="Y278">
            <v>1231.4338887250619</v>
          </cell>
          <cell r="Z278">
            <v>1231.4338887250619</v>
          </cell>
          <cell r="AA278">
            <v>23082.074971712198</v>
          </cell>
        </row>
        <row r="279">
          <cell r="B279" t="str">
            <v>2.1.5.  Diversas</v>
          </cell>
          <cell r="G279">
            <v>178.40452068191715</v>
          </cell>
          <cell r="H279">
            <v>363.06917804059987</v>
          </cell>
          <cell r="I279">
            <v>381.00736624816597</v>
          </cell>
          <cell r="J279">
            <v>359.53180395132728</v>
          </cell>
          <cell r="K279">
            <v>364.17263145880213</v>
          </cell>
          <cell r="L279">
            <v>321.51536368231962</v>
          </cell>
          <cell r="M279">
            <v>286.43165500778235</v>
          </cell>
          <cell r="N279">
            <v>416.51506534289922</v>
          </cell>
          <cell r="O279">
            <v>417.87092927703861</v>
          </cell>
          <cell r="P279">
            <v>417.87092927703861</v>
          </cell>
          <cell r="Q279">
            <v>417.87092927703861</v>
          </cell>
          <cell r="R279">
            <v>417.87092927703861</v>
          </cell>
          <cell r="S279">
            <v>417.87092927703861</v>
          </cell>
          <cell r="T279">
            <v>417.87092927703861</v>
          </cell>
          <cell r="U279">
            <v>417.87092927703861</v>
          </cell>
          <cell r="V279">
            <v>417.87092927703861</v>
          </cell>
          <cell r="W279">
            <v>417.87092927703861</v>
          </cell>
          <cell r="X279">
            <v>417.87092927703861</v>
          </cell>
          <cell r="Y279">
            <v>417.87092927703861</v>
          </cell>
          <cell r="Z279">
            <v>417.87092927703861</v>
          </cell>
          <cell r="AA279">
            <v>7685.0987357382728</v>
          </cell>
        </row>
        <row r="280">
          <cell r="B280" t="str">
            <v>2.1.6.  Tributos s/ Faturamento</v>
          </cell>
          <cell r="G280">
            <v>1273.9479686304855</v>
          </cell>
          <cell r="H280">
            <v>2478.7046864174235</v>
          </cell>
          <cell r="I280">
            <v>3685.6856023138653</v>
          </cell>
          <cell r="J280">
            <v>6210.1200595145401</v>
          </cell>
          <cell r="K280">
            <v>6883.5197101766971</v>
          </cell>
          <cell r="L280">
            <v>7473.4231479569289</v>
          </cell>
          <cell r="M280">
            <v>8107.0096303780147</v>
          </cell>
          <cell r="N280">
            <v>8233.7810137399756</v>
          </cell>
          <cell r="O280">
            <v>8555.7769181981021</v>
          </cell>
          <cell r="P280">
            <v>8827.9992219952692</v>
          </cell>
          <cell r="Q280">
            <v>9129.0490619242028</v>
          </cell>
          <cell r="R280">
            <v>9427.3758489114971</v>
          </cell>
          <cell r="S280">
            <v>9724.6952276276152</v>
          </cell>
          <cell r="T280">
            <v>10021.625921802113</v>
          </cell>
          <cell r="U280">
            <v>10315.936972966743</v>
          </cell>
          <cell r="V280">
            <v>10607.900242648426</v>
          </cell>
          <cell r="W280">
            <v>10896.428041122859</v>
          </cell>
          <cell r="X280">
            <v>11180.369314107544</v>
          </cell>
          <cell r="Y280">
            <v>11472.473588494573</v>
          </cell>
          <cell r="Z280">
            <v>11793.667806559963</v>
          </cell>
          <cell r="AA280">
            <v>166299.48998548684</v>
          </cell>
        </row>
        <row r="281">
          <cell r="B281" t="str">
            <v>2.1.7.  Seguros</v>
          </cell>
          <cell r="G281">
            <v>1418.53</v>
          </cell>
          <cell r="H281">
            <v>1337.01</v>
          </cell>
          <cell r="I281">
            <v>1765.14</v>
          </cell>
          <cell r="J281">
            <v>1759.68</v>
          </cell>
          <cell r="K281">
            <v>1735.2</v>
          </cell>
          <cell r="L281">
            <v>1559.53</v>
          </cell>
          <cell r="M281">
            <v>1466.8663148473761</v>
          </cell>
          <cell r="N281">
            <v>1686.3879792459181</v>
          </cell>
          <cell r="O281">
            <v>1639.387556103746</v>
          </cell>
          <cell r="P281">
            <v>1965.6123042788611</v>
          </cell>
          <cell r="Q281">
            <v>1744.309686830409</v>
          </cell>
          <cell r="R281">
            <v>1735.3949224158885</v>
          </cell>
          <cell r="S281">
            <v>1771.3423349214295</v>
          </cell>
          <cell r="T281">
            <v>1792.6871880801395</v>
          </cell>
          <cell r="U281">
            <v>1858.1366421212497</v>
          </cell>
          <cell r="V281">
            <v>1941.9292741418885</v>
          </cell>
          <cell r="W281">
            <v>2000.0168157402813</v>
          </cell>
          <cell r="X281">
            <v>2027.5228873705466</v>
          </cell>
          <cell r="Y281">
            <v>2056.9417651758981</v>
          </cell>
          <cell r="Z281">
            <v>2041.9718068332193</v>
          </cell>
          <cell r="AA281">
            <v>35303.597478106851</v>
          </cell>
        </row>
        <row r="282">
          <cell r="B282" t="str">
            <v xml:space="preserve">2.1.8.  Garantias </v>
          </cell>
          <cell r="G282">
            <v>1175.8654751999998</v>
          </cell>
          <cell r="H282">
            <v>1129.73524664</v>
          </cell>
          <cell r="I282">
            <v>1093.2348190399998</v>
          </cell>
          <cell r="J282">
            <v>1027.1048642399999</v>
          </cell>
          <cell r="K282">
            <v>963.74502223999991</v>
          </cell>
          <cell r="L282">
            <v>909.16931143999989</v>
          </cell>
          <cell r="M282">
            <v>917.78904209631071</v>
          </cell>
          <cell r="N282">
            <v>1006.5390075091218</v>
          </cell>
          <cell r="O282">
            <v>980.46195081394865</v>
          </cell>
          <cell r="P282">
            <v>961.09699286498449</v>
          </cell>
          <cell r="Q282">
            <v>920.60905775311426</v>
          </cell>
          <cell r="R282">
            <v>899.87368844821117</v>
          </cell>
          <cell r="S282">
            <v>883.04382778629724</v>
          </cell>
          <cell r="T282">
            <v>866.76875779238276</v>
          </cell>
          <cell r="U282">
            <v>852.12850954628811</v>
          </cell>
          <cell r="V282">
            <v>835.81174503315594</v>
          </cell>
          <cell r="W282">
            <v>816.42169021256234</v>
          </cell>
          <cell r="X282">
            <v>795.84165165579157</v>
          </cell>
          <cell r="Y282">
            <v>776.30942496258967</v>
          </cell>
          <cell r="Z282">
            <v>757.62846750522317</v>
          </cell>
          <cell r="AA282">
            <v>18569.178552779984</v>
          </cell>
        </row>
        <row r="283">
          <cell r="B283" t="str">
            <v>2.2.  INVESTIMENTOS / IMOBILIZADO     (2.2.1.+ ... + 2.2.7)</v>
          </cell>
          <cell r="G283">
            <v>28118.403999999995</v>
          </cell>
          <cell r="H283">
            <v>40923.550000000003</v>
          </cell>
          <cell r="I283">
            <v>48789.54</v>
          </cell>
          <cell r="J283">
            <v>44492.35</v>
          </cell>
          <cell r="K283">
            <v>16565.489999999998</v>
          </cell>
          <cell r="L283">
            <v>16380.919999999998</v>
          </cell>
          <cell r="M283">
            <v>20062.75</v>
          </cell>
          <cell r="N283">
            <v>24123.499999999996</v>
          </cell>
          <cell r="O283">
            <v>21965.620000000003</v>
          </cell>
          <cell r="P283">
            <v>36616.616000000002</v>
          </cell>
          <cell r="Q283">
            <v>22372.489999999998</v>
          </cell>
          <cell r="R283">
            <v>19510.12</v>
          </cell>
          <cell r="S283">
            <v>13548.759999999998</v>
          </cell>
          <cell r="T283">
            <v>8116.1100000000006</v>
          </cell>
          <cell r="U283">
            <v>6921.05</v>
          </cell>
          <cell r="V283">
            <v>4886.7400000000007</v>
          </cell>
          <cell r="W283">
            <v>5476.75</v>
          </cell>
          <cell r="X283">
            <v>4689.3600000000015</v>
          </cell>
          <cell r="Y283">
            <v>5132.88</v>
          </cell>
          <cell r="Z283">
            <v>10859.43</v>
          </cell>
          <cell r="AA283">
            <v>399552.43000000005</v>
          </cell>
        </row>
        <row r="284">
          <cell r="B284" t="str">
            <v xml:space="preserve">2.2.1.  Ampliação Principal </v>
          </cell>
          <cell r="G284">
            <v>41</v>
          </cell>
          <cell r="H284">
            <v>13364.33</v>
          </cell>
          <cell r="I284">
            <v>13288.289999999995</v>
          </cell>
          <cell r="J284">
            <v>17522.46</v>
          </cell>
          <cell r="K284">
            <v>9628.08</v>
          </cell>
          <cell r="L284">
            <v>11888.039999999999</v>
          </cell>
          <cell r="M284">
            <v>5811.58</v>
          </cell>
          <cell r="N284">
            <v>4790.1899999999996</v>
          </cell>
          <cell r="O284">
            <v>600</v>
          </cell>
          <cell r="P284">
            <v>487.74</v>
          </cell>
          <cell r="Q284">
            <v>543.87</v>
          </cell>
          <cell r="R284">
            <v>3318.15</v>
          </cell>
          <cell r="S284">
            <v>4245.8799999999992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85529.61</v>
          </cell>
        </row>
        <row r="285">
          <cell r="B285" t="str">
            <v>2.2.2.  Demais Obras de Ampliação/Melhoramentos</v>
          </cell>
          <cell r="G285">
            <v>13363.88</v>
          </cell>
          <cell r="H285">
            <v>12538.52</v>
          </cell>
          <cell r="I285">
            <v>20649.500000000004</v>
          </cell>
          <cell r="J285">
            <v>16723.559999999998</v>
          </cell>
          <cell r="K285">
            <v>4962.8199999999988</v>
          </cell>
          <cell r="L285">
            <v>3711.9799999999987</v>
          </cell>
          <cell r="M285">
            <v>9556.7899999999991</v>
          </cell>
          <cell r="N285">
            <v>15025.32</v>
          </cell>
          <cell r="O285">
            <v>15304.140000000003</v>
          </cell>
          <cell r="P285">
            <v>14140.27</v>
          </cell>
          <cell r="Q285">
            <v>12556.199999999999</v>
          </cell>
          <cell r="R285">
            <v>11832.529999999999</v>
          </cell>
          <cell r="S285">
            <v>6826.9599999999991</v>
          </cell>
          <cell r="T285">
            <v>556.62</v>
          </cell>
          <cell r="U285">
            <v>93.800000000000011</v>
          </cell>
          <cell r="V285">
            <v>94.800000000000011</v>
          </cell>
          <cell r="W285">
            <v>-0.75</v>
          </cell>
          <cell r="X285">
            <v>0.25</v>
          </cell>
          <cell r="Y285">
            <v>-0.75</v>
          </cell>
          <cell r="Z285">
            <v>0.25</v>
          </cell>
          <cell r="AA285">
            <v>157936.68999999997</v>
          </cell>
        </row>
        <row r="286">
          <cell r="B286" t="str">
            <v xml:space="preserve">2.2.3.  Equipamentos, Veiculos e Sist. Controle </v>
          </cell>
          <cell r="G286">
            <v>8443.5639999999985</v>
          </cell>
          <cell r="H286">
            <v>2255.65</v>
          </cell>
          <cell r="I286">
            <v>4332.67</v>
          </cell>
          <cell r="J286">
            <v>3398.35</v>
          </cell>
          <cell r="K286">
            <v>288.42</v>
          </cell>
          <cell r="L286">
            <v>93.199999999999989</v>
          </cell>
          <cell r="M286">
            <v>2478.92</v>
          </cell>
          <cell r="N286">
            <v>472.8</v>
          </cell>
          <cell r="O286">
            <v>18.72</v>
          </cell>
          <cell r="P286">
            <v>15723.436000000002</v>
          </cell>
          <cell r="Q286">
            <v>1317.05</v>
          </cell>
          <cell r="R286">
            <v>1342.5</v>
          </cell>
          <cell r="S286">
            <v>2211.7299999999996</v>
          </cell>
          <cell r="T286">
            <v>0</v>
          </cell>
          <cell r="U286">
            <v>853.41</v>
          </cell>
          <cell r="V286">
            <v>1715.48</v>
          </cell>
          <cell r="W286">
            <v>0</v>
          </cell>
          <cell r="X286">
            <v>0</v>
          </cell>
          <cell r="Y286">
            <v>2568.8900000000003</v>
          </cell>
          <cell r="Z286">
            <v>0</v>
          </cell>
          <cell r="AA286">
            <v>47514.79</v>
          </cell>
        </row>
        <row r="287">
          <cell r="B287" t="str">
            <v>2.2.4.  Desapropriações</v>
          </cell>
          <cell r="G287">
            <v>832.38000000000011</v>
          </cell>
          <cell r="H287">
            <v>857.78000000000009</v>
          </cell>
          <cell r="I287">
            <v>904.08</v>
          </cell>
          <cell r="J287">
            <v>856.32999999999993</v>
          </cell>
          <cell r="K287">
            <v>100.01</v>
          </cell>
          <cell r="L287">
            <v>56.02</v>
          </cell>
          <cell r="M287">
            <v>341.14</v>
          </cell>
          <cell r="N287">
            <v>812.16</v>
          </cell>
          <cell r="O287">
            <v>450.19</v>
          </cell>
          <cell r="P287">
            <v>450.19</v>
          </cell>
          <cell r="Q287">
            <v>436.18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6096.46</v>
          </cell>
        </row>
        <row r="288">
          <cell r="B288" t="str">
            <v xml:space="preserve">2.2.5.  Conservação Especial </v>
          </cell>
          <cell r="G288">
            <v>5437.58</v>
          </cell>
          <cell r="H288">
            <v>11907.27</v>
          </cell>
          <cell r="I288">
            <v>9615</v>
          </cell>
          <cell r="J288">
            <v>5991.6500000000005</v>
          </cell>
          <cell r="K288">
            <v>1586.16</v>
          </cell>
          <cell r="L288">
            <v>631.67999999999995</v>
          </cell>
          <cell r="M288">
            <v>1874.32</v>
          </cell>
          <cell r="N288">
            <v>3023.03</v>
          </cell>
          <cell r="O288">
            <v>5592.5699999999988</v>
          </cell>
          <cell r="P288">
            <v>5814.98</v>
          </cell>
          <cell r="Q288">
            <v>7519.19</v>
          </cell>
          <cell r="R288">
            <v>3016.94</v>
          </cell>
          <cell r="S288">
            <v>264.19</v>
          </cell>
          <cell r="T288">
            <v>7559.4900000000007</v>
          </cell>
          <cell r="U288">
            <v>5973.84</v>
          </cell>
          <cell r="V288">
            <v>3076.4600000000005</v>
          </cell>
          <cell r="W288">
            <v>5477.5</v>
          </cell>
          <cell r="X288">
            <v>4689.1100000000015</v>
          </cell>
          <cell r="Y288">
            <v>2564.7399999999998</v>
          </cell>
          <cell r="Z288">
            <v>10859.18</v>
          </cell>
          <cell r="AA288">
            <v>102474.88000000003</v>
          </cell>
        </row>
        <row r="289">
          <cell r="B289" t="str">
            <v>2.2.6.  Contratos Sub-rogados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</row>
        <row r="290">
          <cell r="B290" t="str">
            <v xml:space="preserve">2.2.7.  Indenizações 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</row>
        <row r="291">
          <cell r="B291" t="str">
            <v>2.3.  DIREITO DE CONCESSÃO     (2.3.1.+ ... + 2.3.2)</v>
          </cell>
          <cell r="G291">
            <v>14727.297704991995</v>
          </cell>
          <cell r="H291">
            <v>9248.7558605405175</v>
          </cell>
          <cell r="I291">
            <v>9337.7327559122041</v>
          </cell>
          <cell r="J291">
            <v>9428.344327888095</v>
          </cell>
          <cell r="K291">
            <v>9502.6175766163742</v>
          </cell>
          <cell r="L291">
            <v>8405.1503230090602</v>
          </cell>
          <cell r="M291">
            <v>8878.7510980938587</v>
          </cell>
          <cell r="N291">
            <v>10245.243838549875</v>
          </cell>
          <cell r="O291">
            <v>10365.746624017167</v>
          </cell>
          <cell r="P291">
            <v>10470.7245917439</v>
          </cell>
          <cell r="Q291">
            <v>10576.503756503043</v>
          </cell>
          <cell r="R291">
            <v>10680.116345225006</v>
          </cell>
          <cell r="S291">
            <v>10783.45556123483</v>
          </cell>
          <cell r="T291">
            <v>10886.543483561121</v>
          </cell>
          <cell r="U291">
            <v>10988.773287738421</v>
          </cell>
          <cell r="V291">
            <v>11090.233103383862</v>
          </cell>
          <cell r="W291">
            <v>11190.408117207946</v>
          </cell>
          <cell r="X291">
            <v>11288.95660098876</v>
          </cell>
          <cell r="Y291">
            <v>11385.797344602041</v>
          </cell>
          <cell r="Z291">
            <v>11480.615442926293</v>
          </cell>
          <cell r="AA291">
            <v>210961.76774473436</v>
          </cell>
        </row>
        <row r="292">
          <cell r="B292" t="str">
            <v>2.3.1.  Valor Variável da Concessão</v>
          </cell>
          <cell r="G292">
            <v>1356.7677049919953</v>
          </cell>
          <cell r="H292">
            <v>1955.7458605405172</v>
          </cell>
          <cell r="I292">
            <v>2044.7227559122041</v>
          </cell>
          <cell r="J292">
            <v>2135.3343278880948</v>
          </cell>
          <cell r="K292">
            <v>2209.6075766163735</v>
          </cell>
          <cell r="L292">
            <v>1332.4611925766708</v>
          </cell>
          <cell r="M292">
            <v>1585.7410980938585</v>
          </cell>
          <cell r="N292">
            <v>2952.2338385498751</v>
          </cell>
          <cell r="O292">
            <v>3072.7366240171659</v>
          </cell>
          <cell r="P292">
            <v>3177.7145917438997</v>
          </cell>
          <cell r="Q292">
            <v>3283.4937565030423</v>
          </cell>
          <cell r="R292">
            <v>3387.106345225005</v>
          </cell>
          <cell r="S292">
            <v>3490.4455612348306</v>
          </cell>
          <cell r="T292">
            <v>3593.5334835611216</v>
          </cell>
          <cell r="U292">
            <v>3695.7632877384208</v>
          </cell>
          <cell r="V292">
            <v>3797.2231033838621</v>
          </cell>
          <cell r="W292">
            <v>3897.3981172079457</v>
          </cell>
          <cell r="X292">
            <v>3995.9466009887606</v>
          </cell>
          <cell r="Y292">
            <v>4092.7873446020412</v>
          </cell>
          <cell r="Z292">
            <v>4187.6054429262922</v>
          </cell>
          <cell r="AA292">
            <v>59244.36861430198</v>
          </cell>
        </row>
        <row r="293">
          <cell r="B293" t="str">
            <v xml:space="preserve">2.3.2.  Valor Fixo da Concessão </v>
          </cell>
          <cell r="G293">
            <v>13370.53</v>
          </cell>
          <cell r="H293">
            <v>7293.01</v>
          </cell>
          <cell r="I293">
            <v>7293.01</v>
          </cell>
          <cell r="J293">
            <v>7293.01</v>
          </cell>
          <cell r="K293">
            <v>7293.01</v>
          </cell>
          <cell r="L293">
            <v>7072.689130432389</v>
          </cell>
          <cell r="M293">
            <v>7293.01</v>
          </cell>
          <cell r="N293">
            <v>7293.01</v>
          </cell>
          <cell r="O293">
            <v>7293.01</v>
          </cell>
          <cell r="P293">
            <v>7293.01</v>
          </cell>
          <cell r="Q293">
            <v>7293.01</v>
          </cell>
          <cell r="R293">
            <v>7293.01</v>
          </cell>
          <cell r="S293">
            <v>7293.01</v>
          </cell>
          <cell r="T293">
            <v>7293.01</v>
          </cell>
          <cell r="U293">
            <v>7293.01</v>
          </cell>
          <cell r="V293">
            <v>7293.01</v>
          </cell>
          <cell r="W293">
            <v>7293.01</v>
          </cell>
          <cell r="X293">
            <v>7293.01</v>
          </cell>
          <cell r="Y293">
            <v>7293.01</v>
          </cell>
          <cell r="Z293">
            <v>7293.01</v>
          </cell>
          <cell r="AA293">
            <v>151717.39913043237</v>
          </cell>
        </row>
        <row r="294">
          <cell r="B294" t="str">
            <v>2.4.  DESEMBOLSOS  SOBRE O LUCRO     (2.4.1. + 2.4.2)</v>
          </cell>
          <cell r="G294">
            <v>3529.9319764028564</v>
          </cell>
          <cell r="H294">
            <v>7440.4819438225331</v>
          </cell>
          <cell r="I294">
            <v>7577.4563842797543</v>
          </cell>
          <cell r="J294">
            <v>6785.4014499739696</v>
          </cell>
          <cell r="K294">
            <v>8100.4185627360794</v>
          </cell>
          <cell r="L294">
            <v>8244.9619116264676</v>
          </cell>
          <cell r="M294">
            <v>9591.6869429918806</v>
          </cell>
          <cell r="N294">
            <v>11788.205435083453</v>
          </cell>
          <cell r="O294">
            <v>12185.99847999488</v>
          </cell>
          <cell r="P294">
            <v>11666.08042207884</v>
          </cell>
          <cell r="Q294">
            <v>12228.305652827394</v>
          </cell>
          <cell r="R294">
            <v>12902.197232667553</v>
          </cell>
          <cell r="S294">
            <v>13264.908359122232</v>
          </cell>
          <cell r="T294">
            <v>13890.257877019394</v>
          </cell>
          <cell r="U294">
            <v>14494.052150999038</v>
          </cell>
          <cell r="V294">
            <v>14694.236235894143</v>
          </cell>
          <cell r="W294">
            <v>15212.464659881134</v>
          </cell>
          <cell r="X294">
            <v>15661.402478628992</v>
          </cell>
          <cell r="Y294">
            <v>16246.628753752291</v>
          </cell>
          <cell r="Z294">
            <v>14025.966446722428</v>
          </cell>
          <cell r="AA294">
            <v>229531.04335650534</v>
          </cell>
        </row>
        <row r="295">
          <cell r="B295" t="str">
            <v xml:space="preserve">2.4.1.  Contribuição Social  </v>
          </cell>
          <cell r="G295">
            <v>861.55926700675298</v>
          </cell>
          <cell r="H295">
            <v>1809.5713803206145</v>
          </cell>
          <cell r="I295">
            <v>1842.7773052799405</v>
          </cell>
          <cell r="J295">
            <v>1650.7639878724774</v>
          </cell>
          <cell r="K295">
            <v>1969.5560152087467</v>
          </cell>
          <cell r="L295">
            <v>2006.3376291785376</v>
          </cell>
          <cell r="M295">
            <v>2331.0756225434861</v>
          </cell>
          <cell r="N295">
            <v>2863.5649539596252</v>
          </cell>
          <cell r="O295">
            <v>2950.6694785351101</v>
          </cell>
          <cell r="P295">
            <v>2823.6035514544642</v>
          </cell>
          <cell r="Q295">
            <v>2958.849315396239</v>
          </cell>
          <cell r="R295">
            <v>3120.8962878595662</v>
          </cell>
          <cell r="S295">
            <v>3207.4045057637195</v>
          </cell>
          <cell r="T295">
            <v>3357.4743672522782</v>
          </cell>
          <cell r="U295">
            <v>3502.2064627207315</v>
          </cell>
          <cell r="V295">
            <v>3548.9734139090097</v>
          </cell>
          <cell r="W295">
            <v>3672.7171427917897</v>
          </cell>
          <cell r="X295">
            <v>3779.5325061265371</v>
          </cell>
          <cell r="Y295">
            <v>3919.249654231091</v>
          </cell>
          <cell r="Z295">
            <v>3378.607883705492</v>
          </cell>
          <cell r="AA295">
            <v>55555.390731116218</v>
          </cell>
        </row>
        <row r="296">
          <cell r="B296" t="str">
            <v xml:space="preserve">2.4.2.  Imposto de Renda  </v>
          </cell>
          <cell r="G296">
            <v>2668.3727093961033</v>
          </cell>
          <cell r="H296">
            <v>5630.9105635019187</v>
          </cell>
          <cell r="I296">
            <v>5734.679078999814</v>
          </cell>
          <cell r="J296">
            <v>5134.637462101492</v>
          </cell>
          <cell r="K296">
            <v>6130.8625475273329</v>
          </cell>
          <cell r="L296">
            <v>6238.6242824479295</v>
          </cell>
          <cell r="M296">
            <v>7260.6113204483945</v>
          </cell>
          <cell r="N296">
            <v>8924.6404811238281</v>
          </cell>
          <cell r="O296">
            <v>9235.3290014597696</v>
          </cell>
          <cell r="P296">
            <v>8842.4768706243758</v>
          </cell>
          <cell r="Q296">
            <v>9269.4563374311547</v>
          </cell>
          <cell r="R296">
            <v>9781.3009448079865</v>
          </cell>
          <cell r="S296">
            <v>10057.503853358512</v>
          </cell>
          <cell r="T296">
            <v>10532.783509767116</v>
          </cell>
          <cell r="U296">
            <v>10991.845688278307</v>
          </cell>
          <cell r="V296">
            <v>11145.262821985134</v>
          </cell>
          <cell r="W296">
            <v>11539.747517089345</v>
          </cell>
          <cell r="X296">
            <v>11881.869972502454</v>
          </cell>
          <cell r="Y296">
            <v>12327.3790995212</v>
          </cell>
          <cell r="Z296">
            <v>10647.358563016936</v>
          </cell>
          <cell r="AA296">
            <v>173975.65262538911</v>
          </cell>
        </row>
        <row r="297">
          <cell r="B297" t="str">
            <v>3.  SALDO DO CAIXA     (1 - 2)</v>
          </cell>
          <cell r="G297">
            <v>-19472.790638818435</v>
          </cell>
          <cell r="H297">
            <v>-22184.887821393822</v>
          </cell>
          <cell r="I297">
            <v>-27068.836533192763</v>
          </cell>
          <cell r="J297">
            <v>-21755.608066480287</v>
          </cell>
          <cell r="K297">
            <v>9832.3545648397267</v>
          </cell>
          <cell r="L297">
            <v>11413.798836812348</v>
          </cell>
          <cell r="M297">
            <v>11878.023429102162</v>
          </cell>
          <cell r="N297">
            <v>14095.161168173887</v>
          </cell>
          <cell r="O297">
            <v>18781.36764712265</v>
          </cell>
          <cell r="P297">
            <v>6730.4958219851833</v>
          </cell>
          <cell r="Q297">
            <v>23796.327007175496</v>
          </cell>
          <cell r="R297">
            <v>30186.91911507136</v>
          </cell>
          <cell r="S297">
            <v>38813.50410527573</v>
          </cell>
          <cell r="T297">
            <v>46656.073241699836</v>
          </cell>
          <cell r="U297">
            <v>50209.665507742524</v>
          </cell>
          <cell r="V297">
            <v>53605.859312700937</v>
          </cell>
          <cell r="W297">
            <v>55413.246099748663</v>
          </cell>
          <cell r="X297">
            <v>58650.063672685152</v>
          </cell>
          <cell r="Y297">
            <v>61934.786748868763</v>
          </cell>
          <cell r="Z297">
            <v>62529.896399447985</v>
          </cell>
          <cell r="AA297">
            <v>464045.41961856699</v>
          </cell>
        </row>
        <row r="298">
          <cell r="B298" t="str">
            <v xml:space="preserve">4. T.I.R. (Taxa Interna de Retorno) Anual do Projeto     </v>
          </cell>
          <cell r="G298">
            <v>0.17538656432356484</v>
          </cell>
        </row>
        <row r="300">
          <cell r="B300" t="str">
            <v>FLUXO DE CAIXA COM FATORES DE DESEQUILIBRIO NA EXTENSÃO DO PERIODO CONTRATUAL (MIlhares de Reais)</v>
          </cell>
        </row>
        <row r="302">
          <cell r="B302" t="str">
            <v>DISCRIMINAÇÃO</v>
          </cell>
          <cell r="G302">
            <v>21</v>
          </cell>
          <cell r="H302">
            <v>22</v>
          </cell>
          <cell r="I302">
            <v>23</v>
          </cell>
          <cell r="J302">
            <v>24</v>
          </cell>
          <cell r="K302">
            <v>25</v>
          </cell>
          <cell r="L302">
            <v>26</v>
          </cell>
          <cell r="M302">
            <v>27</v>
          </cell>
          <cell r="N302">
            <v>28</v>
          </cell>
          <cell r="O302">
            <v>29</v>
          </cell>
          <cell r="P302">
            <v>30</v>
          </cell>
          <cell r="Q302">
            <v>31</v>
          </cell>
          <cell r="R302">
            <v>32</v>
          </cell>
          <cell r="S302">
            <v>33</v>
          </cell>
          <cell r="T302">
            <v>34</v>
          </cell>
          <cell r="U302">
            <v>35</v>
          </cell>
          <cell r="V302">
            <v>36</v>
          </cell>
          <cell r="W302">
            <v>37</v>
          </cell>
          <cell r="X302">
            <v>38</v>
          </cell>
          <cell r="Y302">
            <v>39</v>
          </cell>
          <cell r="Z302">
            <v>40</v>
          </cell>
          <cell r="AA302" t="str">
            <v>TOTAL</v>
          </cell>
        </row>
        <row r="303">
          <cell r="B303" t="str">
            <v xml:space="preserve">1.  INGRESSOS     (1.1.) </v>
          </cell>
          <cell r="G303">
            <v>136008.47411252346</v>
          </cell>
          <cell r="H303">
            <v>139083.46466782322</v>
          </cell>
          <cell r="I303">
            <v>142063.36189175968</v>
          </cell>
          <cell r="J303">
            <v>144940.61144094629</v>
          </cell>
          <cell r="K303">
            <v>147708.3695844688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709804.28169752157</v>
          </cell>
        </row>
        <row r="304">
          <cell r="B304" t="str">
            <v>1.1.  RECEITAS     (1.1.1.+ ... + 1.1.4)</v>
          </cell>
          <cell r="G304">
            <v>136008.47411252346</v>
          </cell>
          <cell r="H304">
            <v>139083.46466782322</v>
          </cell>
          <cell r="I304">
            <v>142063.36189175968</v>
          </cell>
          <cell r="J304">
            <v>144940.61144094629</v>
          </cell>
          <cell r="K304">
            <v>147708.3695844688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709804.28169752157</v>
          </cell>
        </row>
        <row r="305">
          <cell r="B305" t="str">
            <v>1.1.1   Receitas de Pedágio</v>
          </cell>
          <cell r="G305">
            <v>135669.15358908995</v>
          </cell>
          <cell r="H305">
            <v>138736.47250913622</v>
          </cell>
          <cell r="I305">
            <v>141708.93534126432</v>
          </cell>
          <cell r="J305">
            <v>144579.0065890293</v>
          </cell>
          <cell r="K305">
            <v>147339.85959558791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708033.4276241078</v>
          </cell>
        </row>
        <row r="306">
          <cell r="B306" t="str">
            <v>1.1.2   Outras Receitas Operacionais</v>
          </cell>
          <cell r="G306">
            <v>339.32052343351086</v>
          </cell>
          <cell r="H306">
            <v>346.99215868701856</v>
          </cell>
          <cell r="I306">
            <v>354.42655049533801</v>
          </cell>
          <cell r="J306">
            <v>361.60485191699144</v>
          </cell>
          <cell r="K306">
            <v>368.50998888088702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1770.8540734137459</v>
          </cell>
        </row>
        <row r="307">
          <cell r="B307" t="str">
            <v>1.1.3   Receitas Não Operacionais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B308" t="str">
            <v xml:space="preserve">1.1.4   Receitas Financeiras 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</row>
        <row r="309">
          <cell r="B309" t="str">
            <v>2.  DESEMBOLSOS     (2.1.+ ... + 2.4)</v>
          </cell>
          <cell r="G309">
            <v>75774.061779032636</v>
          </cell>
          <cell r="H309">
            <v>77050.686228843144</v>
          </cell>
          <cell r="I309">
            <v>78287.831379563431</v>
          </cell>
          <cell r="J309">
            <v>79482.360942058251</v>
          </cell>
          <cell r="K309">
            <v>80631.433647694124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391226.37397719157</v>
          </cell>
        </row>
        <row r="310">
          <cell r="B310" t="str">
            <v>2.1.  OPERACIONAIS     (2.1.1.+ ... + 2.1.8)</v>
          </cell>
          <cell r="G310">
            <v>42061.932824236064</v>
          </cell>
          <cell r="H310">
            <v>42360.545147221252</v>
          </cell>
          <cell r="I310">
            <v>42649.922957102041</v>
          </cell>
          <cell r="J310">
            <v>42929.332651616358</v>
          </cell>
          <cell r="K310">
            <v>43198.109636077003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213199.84321625272</v>
          </cell>
        </row>
        <row r="311">
          <cell r="B311" t="str">
            <v xml:space="preserve">2.1.1.  Pessoal / Administradores   </v>
          </cell>
          <cell r="G311">
            <v>21258.878273202434</v>
          </cell>
          <cell r="H311">
            <v>21258.878273202434</v>
          </cell>
          <cell r="I311">
            <v>21258.878273202434</v>
          </cell>
          <cell r="J311">
            <v>21258.878273202434</v>
          </cell>
          <cell r="K311">
            <v>21258.878273202434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106294.39136601216</v>
          </cell>
        </row>
        <row r="312">
          <cell r="B312" t="str">
            <v xml:space="preserve">2.1.2.  Conservação de Rotina  </v>
          </cell>
          <cell r="G312">
            <v>3969.4575778208427</v>
          </cell>
          <cell r="H312">
            <v>3969.4575778208427</v>
          </cell>
          <cell r="I312">
            <v>3969.4575778208427</v>
          </cell>
          <cell r="J312">
            <v>3969.4575778208427</v>
          </cell>
          <cell r="K312">
            <v>3969.4575778208427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19847.287889104213</v>
          </cell>
        </row>
        <row r="313">
          <cell r="B313" t="str">
            <v xml:space="preserve">2.1.3.  Consumo   </v>
          </cell>
          <cell r="G313">
            <v>1353.0062078352937</v>
          </cell>
          <cell r="H313">
            <v>1353.0062078352937</v>
          </cell>
          <cell r="I313">
            <v>1353.0062078352937</v>
          </cell>
          <cell r="J313">
            <v>1353.0062078352937</v>
          </cell>
          <cell r="K313">
            <v>1353.0062078352937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6765.0310391764688</v>
          </cell>
        </row>
        <row r="314">
          <cell r="B314" t="str">
            <v>2.1.4.  Transportes</v>
          </cell>
          <cell r="G314">
            <v>1231.4338887250619</v>
          </cell>
          <cell r="H314">
            <v>1231.4338887250619</v>
          </cell>
          <cell r="I314">
            <v>1231.4338887250619</v>
          </cell>
          <cell r="J314">
            <v>1231.4338887250619</v>
          </cell>
          <cell r="K314">
            <v>1231.4338887250619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6157.1694436253092</v>
          </cell>
        </row>
        <row r="315">
          <cell r="B315" t="str">
            <v>2.1.5.  Diversas</v>
          </cell>
          <cell r="G315">
            <v>417.87092927703861</v>
          </cell>
          <cell r="H315">
            <v>417.87092927703861</v>
          </cell>
          <cell r="I315">
            <v>417.87092927703861</v>
          </cell>
          <cell r="J315">
            <v>417.87092927703861</v>
          </cell>
          <cell r="K315">
            <v>417.87092927703861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2089.3546463851931</v>
          </cell>
        </row>
        <row r="316">
          <cell r="B316" t="str">
            <v>2.1.6.  Tributos s/ Faturamento</v>
          </cell>
          <cell r="G316">
            <v>11764.733010733278</v>
          </cell>
          <cell r="H316">
            <v>12030.719693766709</v>
          </cell>
          <cell r="I316">
            <v>12288.480803637212</v>
          </cell>
          <cell r="J316">
            <v>12537.362889641856</v>
          </cell>
          <cell r="K316">
            <v>12776.77396905655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61398.0703668356</v>
          </cell>
        </row>
        <row r="317">
          <cell r="B317" t="str">
            <v>2.1.7.  Seguros</v>
          </cell>
          <cell r="G317">
            <v>1712.707408154839</v>
          </cell>
          <cell r="H317">
            <v>1744.0477118944541</v>
          </cell>
          <cell r="I317">
            <v>1774.4188244008146</v>
          </cell>
          <cell r="J317">
            <v>1803.7437518061247</v>
          </cell>
          <cell r="K317">
            <v>1831.9527428049059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8866.8704390611383</v>
          </cell>
        </row>
        <row r="318">
          <cell r="B318" t="str">
            <v xml:space="preserve">2.1.8.  Garantias </v>
          </cell>
          <cell r="G318">
            <v>353.84552848726855</v>
          </cell>
          <cell r="H318">
            <v>355.13086469941413</v>
          </cell>
          <cell r="I318">
            <v>356.37645220334844</v>
          </cell>
          <cell r="J318">
            <v>357.57913330770992</v>
          </cell>
          <cell r="K318">
            <v>358.73604735487629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1781.6680260526175</v>
          </cell>
        </row>
        <row r="319">
          <cell r="B319" t="str">
            <v>2.2.  INVESTIMENTOS / IMOBILIZADO     (2.2.1.+ ... + 2.2.7)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B320" t="str">
            <v xml:space="preserve">2.2.1.  Ampliação Principal 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1">
          <cell r="B321" t="str">
            <v>2.2.2.  Demais Obras de Ampliação/Melhoramentos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</row>
        <row r="322">
          <cell r="B322" t="str">
            <v xml:space="preserve">2.2.3.  Equipamentos, Veiculos e Sist. Controle 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</row>
        <row r="323">
          <cell r="B323" t="str">
            <v>2.2.4.  Desapropriações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</row>
        <row r="324">
          <cell r="B324" t="str">
            <v xml:space="preserve">2.2.5.  Conservação Especial 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</row>
        <row r="325">
          <cell r="B325" t="str">
            <v>2.2.6.  Contratos Sub-rogados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</row>
        <row r="326">
          <cell r="B326" t="str">
            <v xml:space="preserve">2.2.7.  Indenizações 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</row>
        <row r="327">
          <cell r="B327" t="str">
            <v>2.3.  DIREITO DE CONCESSÃO     (2.3.1.+ ... + 2.3.2)</v>
          </cell>
          <cell r="G327">
            <v>4080.2542233757035</v>
          </cell>
          <cell r="H327">
            <v>4172.5039400346968</v>
          </cell>
          <cell r="I327">
            <v>4261.9008567527899</v>
          </cell>
          <cell r="J327">
            <v>4348.2183432283882</v>
          </cell>
          <cell r="K327">
            <v>4431.251087534064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21294.128450925644</v>
          </cell>
        </row>
        <row r="328">
          <cell r="B328" t="str">
            <v>2.3.1.  Valor Variável da Concessão</v>
          </cell>
          <cell r="G328">
            <v>4080.2542233757035</v>
          </cell>
          <cell r="H328">
            <v>4172.5039400346968</v>
          </cell>
          <cell r="I328">
            <v>4261.9008567527899</v>
          </cell>
          <cell r="J328">
            <v>4348.2183432283882</v>
          </cell>
          <cell r="K328">
            <v>4431.251087534064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21294.128450925644</v>
          </cell>
        </row>
        <row r="329">
          <cell r="B329" t="str">
            <v xml:space="preserve">2.3.2.  Valor Fixo da Concessão 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</row>
        <row r="330">
          <cell r="B330" t="str">
            <v>2.4.  DESEMBOLSOS  SOBRE O LUCRO     (2.4.1. + 2.4.2)</v>
          </cell>
          <cell r="G330">
            <v>29631.874731420859</v>
          </cell>
          <cell r="H330">
            <v>30517.637141587205</v>
          </cell>
          <cell r="I330">
            <v>31376.007565708598</v>
          </cell>
          <cell r="J330">
            <v>32204.809947213507</v>
          </cell>
          <cell r="K330">
            <v>33002.072924083055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156732.40231001322</v>
          </cell>
        </row>
        <row r="331">
          <cell r="B331" t="str">
            <v xml:space="preserve">2.4.1.  Contribuição Social  </v>
          </cell>
          <cell r="G331">
            <v>7189.3029651929355</v>
          </cell>
          <cell r="H331">
            <v>7404.0332464453832</v>
          </cell>
          <cell r="I331">
            <v>7612.1230462323874</v>
          </cell>
          <cell r="J331">
            <v>7813.0448356881225</v>
          </cell>
          <cell r="K331">
            <v>8006.3207088686186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38024.824802427444</v>
          </cell>
        </row>
        <row r="332">
          <cell r="B332" t="str">
            <v xml:space="preserve">2.4.2.  Imposto de Renda  </v>
          </cell>
          <cell r="G332">
            <v>22442.571766227924</v>
          </cell>
          <cell r="H332">
            <v>23113.603895141823</v>
          </cell>
          <cell r="I332">
            <v>23763.884519476211</v>
          </cell>
          <cell r="J332">
            <v>24391.765111525383</v>
          </cell>
          <cell r="K332">
            <v>24995.752215214434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118707.57750758578</v>
          </cell>
        </row>
        <row r="333">
          <cell r="B333" t="str">
            <v>3.  SALDO DO CAIXA     (1 - 2)</v>
          </cell>
          <cell r="G333">
            <v>60234.412333490822</v>
          </cell>
          <cell r="H333">
            <v>62032.77843898008</v>
          </cell>
          <cell r="I333">
            <v>63775.530512196245</v>
          </cell>
          <cell r="J333">
            <v>65458.250498888039</v>
          </cell>
          <cell r="K333">
            <v>67076.93593677468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318577.90772033</v>
          </cell>
        </row>
        <row r="334">
          <cell r="B334" t="str">
            <v xml:space="preserve">4. T.I.R. (Taxa Interna de Retorno) Anual do Projeto     </v>
          </cell>
          <cell r="G334">
            <v>0.18870041972201257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ograma"/>
      <sheetName val="Dimensiomento Pessoal e Carros"/>
      <sheetName val="Salários"/>
      <sheetName val="RECURSOS HUMANOS"/>
      <sheetName val="GERENCIAL"/>
      <sheetName val="ESTRUTURA"/>
      <sheetName val="TB_SAL_PROPOSTA"/>
    </sheetNames>
    <sheetDataSet>
      <sheetData sheetId="0" refreshError="1"/>
      <sheetData sheetId="1" refreshError="1"/>
      <sheetData sheetId="2" refreshError="1"/>
      <sheetData sheetId="3" refreshError="1">
        <row r="4">
          <cell r="T4" t="str">
            <v>AMOXARIFE</v>
          </cell>
        </row>
        <row r="5">
          <cell r="T5" t="str">
            <v>ANALIS DE CONTRATOS</v>
          </cell>
        </row>
        <row r="6">
          <cell r="T6" t="str">
            <v>ANALIST ADM FINANC</v>
          </cell>
        </row>
        <row r="7">
          <cell r="T7" t="str">
            <v>ANALIST CONTABIL</v>
          </cell>
        </row>
        <row r="8">
          <cell r="T8" t="str">
            <v>ANALISTA DE RH</v>
          </cell>
        </row>
        <row r="9">
          <cell r="T9" t="str">
            <v>ANALISTA QUALIDADE</v>
          </cell>
        </row>
        <row r="10">
          <cell r="T10" t="str">
            <v>ANALISTA SUPORTE</v>
          </cell>
        </row>
        <row r="11">
          <cell r="T11" t="str">
            <v>ASSISTENTE ADM</v>
          </cell>
        </row>
        <row r="12">
          <cell r="T12" t="str">
            <v>COMPRADOR</v>
          </cell>
        </row>
        <row r="13">
          <cell r="T13" t="str">
            <v>COORD ADM FINANC</v>
          </cell>
        </row>
        <row r="14">
          <cell r="T14" t="str">
            <v>COORD TEC OP</v>
          </cell>
        </row>
        <row r="15">
          <cell r="T15" t="str">
            <v>DIRETOR</v>
          </cell>
        </row>
        <row r="16">
          <cell r="T16" t="str">
            <v>ELETRICISTA</v>
          </cell>
        </row>
        <row r="17">
          <cell r="T17" t="str">
            <v>ELETROMECANICO</v>
          </cell>
        </row>
        <row r="18">
          <cell r="T18" t="str">
            <v>ENGENHEIRO</v>
          </cell>
        </row>
        <row r="19">
          <cell r="T19" t="str">
            <v>GERENTE GERAL</v>
          </cell>
        </row>
        <row r="20">
          <cell r="T20" t="str">
            <v>MEC MANUTENCAO</v>
          </cell>
        </row>
        <row r="21">
          <cell r="T21" t="str">
            <v>OP CCO</v>
          </cell>
        </row>
        <row r="22">
          <cell r="T22" t="str">
            <v>OP SIST TRAT AGUA</v>
          </cell>
        </row>
        <row r="23">
          <cell r="T23" t="str">
            <v>OP SIST TRAT AGUA 2</v>
          </cell>
        </row>
        <row r="24">
          <cell r="T24" t="str">
            <v>OP SIST TRAT AGUA 3</v>
          </cell>
        </row>
        <row r="25">
          <cell r="T25" t="str">
            <v>PROG DE MANUTECAO</v>
          </cell>
        </row>
        <row r="26">
          <cell r="T26" t="str">
            <v>SUP MANUTENCAO</v>
          </cell>
        </row>
        <row r="27">
          <cell r="T27" t="str">
            <v>SUP OPERACIONAL</v>
          </cell>
        </row>
        <row r="28">
          <cell r="T28" t="str">
            <v>TEC SEG TRABALHO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W Model -&gt;"/>
      <sheetName val="WW.Asset.Assumptions"/>
      <sheetName val="WW.Consolidated"/>
      <sheetName val="WW.Model"/>
      <sheetName val="WW.Model.Vertical"/>
      <sheetName val="WW.Pivot"/>
      <sheetName val="WW.Listing"/>
      <sheetName val="WW.Valuation"/>
      <sheetName val="WW.Value.Comparison"/>
      <sheetName val="WW.Asset.1-Pager"/>
      <sheetName val="WW.Valuation.1-Pager"/>
      <sheetName val="Debt -&gt;"/>
      <sheetName val="Macro Assumptions"/>
      <sheetName val="Debt Single Model"/>
      <sheetName val="Debt Assumptions"/>
      <sheetName val="Debt Models"/>
      <sheetName val="Other -&gt;"/>
      <sheetName val="Macro.Assumptions"/>
      <sheetName val="WW.Depreciation"/>
      <sheetName val="Vertical.Notes"/>
      <sheetName val="Assets Issues List"/>
    </sheetNames>
    <sheetDataSet>
      <sheetData sheetId="0" refreshError="1"/>
      <sheetData sheetId="1">
        <row r="1">
          <cell r="B1" t="str">
            <v>Project Fiji - Water and Wastewater Assumptions</v>
          </cell>
        </row>
      </sheetData>
      <sheetData sheetId="2" refreshError="1"/>
      <sheetData sheetId="3" refreshError="1"/>
      <sheetData sheetId="4">
        <row r="1">
          <cell r="B1" t="str">
            <v>Project Fiji - Water and Wastewater Model</v>
          </cell>
        </row>
      </sheetData>
      <sheetData sheetId="5" refreshError="1"/>
      <sheetData sheetId="6"/>
      <sheetData sheetId="7">
        <row r="1">
          <cell r="B1" t="str">
            <v>Project Fiji - Water and Wastewater Valuation</v>
          </cell>
        </row>
      </sheetData>
      <sheetData sheetId="8">
        <row r="2">
          <cell r="B2" t="str">
            <v>Fiji - Equity Valuation Comparison vs. OA Model</v>
          </cell>
        </row>
        <row r="4">
          <cell r="G4" t="str">
            <v>Ke = 21.0%</v>
          </cell>
          <cell r="K4" t="str">
            <v>[Different DATES Now]</v>
          </cell>
        </row>
        <row r="5">
          <cell r="G5" t="str">
            <v>OA Model Value - On Equity FCF</v>
          </cell>
          <cell r="K5" t="str">
            <v>BCP Model Value - On Equity FCF</v>
          </cell>
          <cell r="Q5" t="str">
            <v>BCP Model Value - On Equity Distributions</v>
          </cell>
        </row>
        <row r="6">
          <cell r="B6" t="str">
            <v>Asset</v>
          </cell>
          <cell r="E6" t="str">
            <v>Accounting Treatment</v>
          </cell>
          <cell r="G6" t="str">
            <v>OA % Interest</v>
          </cell>
          <cell r="H6" t="str">
            <v>Equity Value 100% Basis - Per OA</v>
          </cell>
          <cell r="I6" t="str">
            <v>Equity Value OA Interest - Per OA</v>
          </cell>
          <cell r="K6" t="str">
            <v>OA % Interest</v>
          </cell>
          <cell r="L6" t="str">
            <v>Ke</v>
          </cell>
          <cell r="M6" t="str">
            <v>Equity Value 100% Basis - Per BCP FCF</v>
          </cell>
          <cell r="N6" t="str">
            <v>Equity Value OA Interest - Per BCP FCF</v>
          </cell>
          <cell r="O6" t="str">
            <v>∆ vs. OA Equity Value</v>
          </cell>
          <cell r="Q6" t="str">
            <v>OA % Interest</v>
          </cell>
          <cell r="R6" t="str">
            <v>Ke</v>
          </cell>
          <cell r="S6" t="str">
            <v>Equity Value 100% Basis - Per BCP Distributions</v>
          </cell>
          <cell r="T6" t="str">
            <v>Equity Value OA Interest - Per BCP Distributions</v>
          </cell>
          <cell r="U6" t="str">
            <v>∆ vs. OA Equity Value</v>
          </cell>
          <cell r="Y6" t="str">
            <v>Comments</v>
          </cell>
        </row>
        <row r="8">
          <cell r="B8" t="str">
            <v>Existing</v>
          </cell>
        </row>
        <row r="9">
          <cell r="B9" t="str">
            <v>LIM</v>
          </cell>
          <cell r="C9" t="str">
            <v>Limeira</v>
          </cell>
          <cell r="E9" t="str">
            <v>Intangible</v>
          </cell>
          <cell r="G9">
            <v>1</v>
          </cell>
          <cell r="H9">
            <v>126.35725869895491</v>
          </cell>
          <cell r="I9">
            <v>126.35725869895491</v>
          </cell>
          <cell r="K9">
            <v>1</v>
          </cell>
          <cell r="L9">
            <v>0.21</v>
          </cell>
          <cell r="M9">
            <v>109.40989672614107</v>
          </cell>
          <cell r="N9">
            <v>109.40989672614107</v>
          </cell>
          <cell r="O9">
            <v>-16.947361972813837</v>
          </cell>
          <cell r="Q9">
            <v>1</v>
          </cell>
          <cell r="R9">
            <v>0.21</v>
          </cell>
          <cell r="S9">
            <v>111.36450742267564</v>
          </cell>
          <cell r="T9">
            <v>111.36450742267564</v>
          </cell>
          <cell r="U9">
            <v>-14.992751276279265</v>
          </cell>
        </row>
        <row r="10">
          <cell r="B10" t="str">
            <v>CIT</v>
          </cell>
          <cell r="C10" t="str">
            <v>Cachoeiro de Itapemirim</v>
          </cell>
          <cell r="E10" t="str">
            <v>Intangible</v>
          </cell>
          <cell r="G10">
            <v>1</v>
          </cell>
          <cell r="H10">
            <v>163.58744089963332</v>
          </cell>
          <cell r="I10">
            <v>163.58744089963332</v>
          </cell>
          <cell r="K10">
            <v>1</v>
          </cell>
          <cell r="L10">
            <v>0.21</v>
          </cell>
          <cell r="M10">
            <v>141.25117495284465</v>
          </cell>
          <cell r="N10">
            <v>141.25117495284465</v>
          </cell>
          <cell r="O10">
            <v>-22.336265946788671</v>
          </cell>
          <cell r="Q10">
            <v>1</v>
          </cell>
          <cell r="R10">
            <v>0.21</v>
          </cell>
          <cell r="S10">
            <v>123.93570641729818</v>
          </cell>
          <cell r="T10">
            <v>123.93570641729818</v>
          </cell>
          <cell r="U10">
            <v>-39.651734482335144</v>
          </cell>
        </row>
        <row r="11">
          <cell r="B11" t="str">
            <v>SNT</v>
          </cell>
          <cell r="C11" t="str">
            <v>Tocantins (Saneatins)</v>
          </cell>
          <cell r="E11" t="str">
            <v>Intangible</v>
          </cell>
          <cell r="G11">
            <v>0.51</v>
          </cell>
          <cell r="H11">
            <v>575.73671710902033</v>
          </cell>
          <cell r="I11">
            <v>293.62572572560038</v>
          </cell>
          <cell r="K11">
            <v>0.51</v>
          </cell>
          <cell r="L11">
            <v>0.21</v>
          </cell>
          <cell r="M11">
            <v>550.87842506911761</v>
          </cell>
          <cell r="N11">
            <v>280.94799678524998</v>
          </cell>
          <cell r="O11">
            <v>-12.677728940350391</v>
          </cell>
          <cell r="Q11">
            <v>0.51</v>
          </cell>
          <cell r="R11">
            <v>0.21</v>
          </cell>
          <cell r="S11">
            <v>580.79481062019806</v>
          </cell>
          <cell r="T11">
            <v>296.20535341630102</v>
          </cell>
          <cell r="U11">
            <v>2.5796276907006472</v>
          </cell>
        </row>
        <row r="12">
          <cell r="B12" t="str">
            <v>MAU</v>
          </cell>
          <cell r="C12" t="str">
            <v>Mauá</v>
          </cell>
          <cell r="E12" t="str">
            <v>Intangible</v>
          </cell>
          <cell r="G12">
            <v>1</v>
          </cell>
          <cell r="H12">
            <v>97.751730857895339</v>
          </cell>
          <cell r="I12">
            <v>97.751730857895339</v>
          </cell>
          <cell r="K12">
            <v>1</v>
          </cell>
          <cell r="L12">
            <v>0.21</v>
          </cell>
          <cell r="M12">
            <v>97.683464500950421</v>
          </cell>
          <cell r="N12">
            <v>97.683464500950421</v>
          </cell>
          <cell r="O12">
            <v>-6.8266356944917561E-2</v>
          </cell>
          <cell r="Q12">
            <v>1</v>
          </cell>
          <cell r="R12">
            <v>0.21</v>
          </cell>
          <cell r="S12">
            <v>96.361603805739691</v>
          </cell>
          <cell r="T12">
            <v>96.361603805739691</v>
          </cell>
          <cell r="U12">
            <v>-1.3901270521556484</v>
          </cell>
        </row>
        <row r="13">
          <cell r="B13" t="str">
            <v>PAR</v>
          </cell>
          <cell r="C13" t="str">
            <v>Pará (Saneatins)</v>
          </cell>
          <cell r="E13" t="str">
            <v>Intangible</v>
          </cell>
          <cell r="G13">
            <v>0.51</v>
          </cell>
          <cell r="H13">
            <v>29.916447511208116</v>
          </cell>
          <cell r="I13">
            <v>15.257388230716138</v>
          </cell>
          <cell r="K13">
            <v>0.51</v>
          </cell>
          <cell r="L13">
            <v>0.21</v>
          </cell>
          <cell r="M13">
            <v>25.162970612405424</v>
          </cell>
          <cell r="N13">
            <v>12.833115012326767</v>
          </cell>
          <cell r="O13">
            <v>-2.4242732183893718</v>
          </cell>
          <cell r="Q13">
            <v>0.51</v>
          </cell>
          <cell r="R13">
            <v>0.21</v>
          </cell>
          <cell r="S13">
            <v>17.181142840012349</v>
          </cell>
          <cell r="T13">
            <v>8.7623828484062987</v>
          </cell>
          <cell r="U13">
            <v>-6.4950053823098397</v>
          </cell>
        </row>
        <row r="14">
          <cell r="B14" t="str">
            <v>JAG</v>
          </cell>
          <cell r="C14" t="str">
            <v>Jaguaribe</v>
          </cell>
          <cell r="E14" t="str">
            <v>Financial Asset</v>
          </cell>
          <cell r="G14">
            <v>1</v>
          </cell>
          <cell r="H14">
            <v>102.27675832535623</v>
          </cell>
          <cell r="I14">
            <v>102.27675832535623</v>
          </cell>
          <cell r="K14">
            <v>1</v>
          </cell>
          <cell r="L14">
            <v>0.21</v>
          </cell>
          <cell r="M14">
            <v>108.85631309077229</v>
          </cell>
          <cell r="N14">
            <v>108.85631309077229</v>
          </cell>
          <cell r="O14">
            <v>6.5795547654160629</v>
          </cell>
          <cell r="Q14">
            <v>1</v>
          </cell>
          <cell r="R14">
            <v>0.21</v>
          </cell>
          <cell r="S14">
            <v>88.63507419202169</v>
          </cell>
          <cell r="T14">
            <v>88.63507419202169</v>
          </cell>
          <cell r="U14">
            <v>-13.641684133334536</v>
          </cell>
        </row>
        <row r="15">
          <cell r="B15" t="str">
            <v>CAP</v>
          </cell>
          <cell r="C15" t="str">
            <v>Campinas</v>
          </cell>
          <cell r="E15" t="str">
            <v>Financial Asset</v>
          </cell>
          <cell r="G15">
            <v>1</v>
          </cell>
          <cell r="H15">
            <v>19.087588469720995</v>
          </cell>
          <cell r="I15">
            <v>19.087588469720995</v>
          </cell>
          <cell r="K15">
            <v>1</v>
          </cell>
          <cell r="L15">
            <v>0.21</v>
          </cell>
          <cell r="M15">
            <v>15.478716578684645</v>
          </cell>
          <cell r="N15">
            <v>15.478716578684645</v>
          </cell>
          <cell r="O15">
            <v>-3.6088718910363493</v>
          </cell>
          <cell r="Q15">
            <v>1</v>
          </cell>
          <cell r="R15">
            <v>0.21</v>
          </cell>
          <cell r="S15">
            <v>10.474579335579049</v>
          </cell>
          <cell r="T15">
            <v>10.474579335579049</v>
          </cell>
          <cell r="U15">
            <v>-8.6130091341419455</v>
          </cell>
        </row>
        <row r="16">
          <cell r="B16" t="str">
            <v>RDO</v>
          </cell>
          <cell r="C16" t="str">
            <v xml:space="preserve">Rio das Ostras </v>
          </cell>
          <cell r="E16" t="str">
            <v>Financial Asset</v>
          </cell>
          <cell r="G16">
            <v>1</v>
          </cell>
          <cell r="H16">
            <v>93.396629522790676</v>
          </cell>
          <cell r="I16">
            <v>93.396629522790676</v>
          </cell>
          <cell r="K16">
            <v>1</v>
          </cell>
          <cell r="L16">
            <v>0.21</v>
          </cell>
          <cell r="M16">
            <v>111.59811580118375</v>
          </cell>
          <cell r="N16">
            <v>111.59811580118375</v>
          </cell>
          <cell r="O16">
            <v>18.201486278393077</v>
          </cell>
          <cell r="Q16">
            <v>1</v>
          </cell>
          <cell r="R16">
            <v>0.21</v>
          </cell>
          <cell r="S16">
            <v>88.205942078351995</v>
          </cell>
          <cell r="T16">
            <v>88.205942078351995</v>
          </cell>
          <cell r="U16">
            <v>-5.1906874444386801</v>
          </cell>
        </row>
        <row r="17">
          <cell r="B17" t="str">
            <v>RCL</v>
          </cell>
          <cell r="C17" t="str">
            <v>Rio Claro</v>
          </cell>
          <cell r="E17" t="str">
            <v>Intangible</v>
          </cell>
          <cell r="G17">
            <v>1</v>
          </cell>
          <cell r="H17">
            <v>45.58060330087708</v>
          </cell>
          <cell r="I17">
            <v>45.58060330087708</v>
          </cell>
          <cell r="K17">
            <v>1</v>
          </cell>
          <cell r="L17">
            <v>0.21</v>
          </cell>
          <cell r="M17">
            <v>37.912611516518488</v>
          </cell>
          <cell r="N17">
            <v>37.912611516518488</v>
          </cell>
          <cell r="O17">
            <v>-7.6679917843585912</v>
          </cell>
          <cell r="Q17">
            <v>1</v>
          </cell>
          <cell r="R17">
            <v>0.21</v>
          </cell>
          <cell r="S17">
            <v>43.611677871020284</v>
          </cell>
          <cell r="T17">
            <v>43.611677871020284</v>
          </cell>
          <cell r="U17">
            <v>-1.968925429856796</v>
          </cell>
        </row>
        <row r="18">
          <cell r="B18" t="str">
            <v>BLU</v>
          </cell>
          <cell r="C18" t="str">
            <v>Blumenau</v>
          </cell>
          <cell r="E18" t="str">
            <v>Intangible</v>
          </cell>
          <cell r="G18">
            <v>1</v>
          </cell>
          <cell r="H18">
            <v>94.214050941867583</v>
          </cell>
          <cell r="I18">
            <v>94.214050941867583</v>
          </cell>
          <cell r="K18">
            <v>1</v>
          </cell>
          <cell r="L18">
            <v>0.21</v>
          </cell>
          <cell r="M18">
            <v>71.464060184795471</v>
          </cell>
          <cell r="N18">
            <v>71.464060184795471</v>
          </cell>
          <cell r="O18">
            <v>-22.749990757072112</v>
          </cell>
          <cell r="Q18">
            <v>1</v>
          </cell>
          <cell r="R18">
            <v>0.21</v>
          </cell>
          <cell r="S18">
            <v>83.18237313867985</v>
          </cell>
          <cell r="T18">
            <v>83.18237313867985</v>
          </cell>
          <cell r="U18">
            <v>-11.031677803187733</v>
          </cell>
        </row>
        <row r="19">
          <cell r="B19" t="str">
            <v>SGR</v>
          </cell>
          <cell r="C19" t="str">
            <v>Santa Gertrudes</v>
          </cell>
          <cell r="E19" t="str">
            <v>Intangible</v>
          </cell>
          <cell r="G19">
            <v>1</v>
          </cell>
          <cell r="H19">
            <v>14.121568703843968</v>
          </cell>
          <cell r="I19">
            <v>14.121568703843968</v>
          </cell>
          <cell r="K19">
            <v>1</v>
          </cell>
          <cell r="L19">
            <v>0.21</v>
          </cell>
          <cell r="M19">
            <v>17.090898732193828</v>
          </cell>
          <cell r="N19">
            <v>17.090898732193828</v>
          </cell>
          <cell r="O19">
            <v>2.9693300283498605</v>
          </cell>
          <cell r="Q19">
            <v>1</v>
          </cell>
          <cell r="R19">
            <v>0.21</v>
          </cell>
          <cell r="S19">
            <v>15.566918125069032</v>
          </cell>
          <cell r="T19">
            <v>15.566918125069032</v>
          </cell>
          <cell r="U19">
            <v>1.4453494212250639</v>
          </cell>
        </row>
        <row r="20">
          <cell r="B20" t="str">
            <v>MRQ</v>
          </cell>
          <cell r="C20" t="str">
            <v>Mairinque</v>
          </cell>
          <cell r="E20" t="str">
            <v>Intangible</v>
          </cell>
          <cell r="G20">
            <v>0.7</v>
          </cell>
          <cell r="H20">
            <v>12.934099546912499</v>
          </cell>
          <cell r="I20">
            <v>9.0538696828387479</v>
          </cell>
          <cell r="K20">
            <v>0.7</v>
          </cell>
          <cell r="L20">
            <v>0.21</v>
          </cell>
          <cell r="M20">
            <v>10.860500103586356</v>
          </cell>
          <cell r="N20">
            <v>7.6023500725104487</v>
          </cell>
          <cell r="O20">
            <v>-1.4515196103282992</v>
          </cell>
          <cell r="Q20">
            <v>0.7</v>
          </cell>
          <cell r="R20">
            <v>0.21</v>
          </cell>
          <cell r="S20">
            <v>11.482944785653618</v>
          </cell>
          <cell r="T20">
            <v>8.0380613499575322</v>
          </cell>
          <cell r="U20">
            <v>-1.0158083328812157</v>
          </cell>
        </row>
        <row r="21">
          <cell r="B21" t="str">
            <v>URU</v>
          </cell>
          <cell r="C21" t="str">
            <v>Uruguaiana</v>
          </cell>
          <cell r="E21" t="str">
            <v>Intangible</v>
          </cell>
          <cell r="G21">
            <v>1</v>
          </cell>
          <cell r="H21">
            <v>83.812304410129457</v>
          </cell>
          <cell r="I21">
            <v>83.812304410129457</v>
          </cell>
          <cell r="K21">
            <v>1</v>
          </cell>
          <cell r="L21">
            <v>0.21</v>
          </cell>
          <cell r="M21">
            <v>78.390977216467533</v>
          </cell>
          <cell r="N21">
            <v>78.390977216467533</v>
          </cell>
          <cell r="O21">
            <v>-5.4213271936619236</v>
          </cell>
          <cell r="Q21">
            <v>1</v>
          </cell>
          <cell r="R21">
            <v>0.21</v>
          </cell>
          <cell r="S21">
            <v>77.225088438103725</v>
          </cell>
          <cell r="T21">
            <v>77.225088438103725</v>
          </cell>
          <cell r="U21">
            <v>-6.5872159720257315</v>
          </cell>
        </row>
        <row r="22">
          <cell r="B22" t="str">
            <v>PFR</v>
          </cell>
          <cell r="C22" t="str">
            <v>Porto Ferreira</v>
          </cell>
          <cell r="E22" t="str">
            <v>Intangible</v>
          </cell>
          <cell r="G22">
            <v>1</v>
          </cell>
          <cell r="H22">
            <v>7.02175714560203</v>
          </cell>
          <cell r="I22">
            <v>7.02175714560203</v>
          </cell>
          <cell r="K22">
            <v>1</v>
          </cell>
          <cell r="L22">
            <v>0.21</v>
          </cell>
          <cell r="M22">
            <v>9.8171490215987323</v>
          </cell>
          <cell r="N22">
            <v>9.8171490215987323</v>
          </cell>
          <cell r="O22">
            <v>2.7953918759967022</v>
          </cell>
          <cell r="Q22">
            <v>1</v>
          </cell>
          <cell r="R22">
            <v>0.21</v>
          </cell>
          <cell r="S22">
            <v>10.287794955083198</v>
          </cell>
          <cell r="T22">
            <v>10.287794955083198</v>
          </cell>
          <cell r="U22">
            <v>3.2660378094811682</v>
          </cell>
        </row>
        <row r="23">
          <cell r="B23" t="str">
            <v>AP5</v>
          </cell>
          <cell r="C23" t="str">
            <v>Rio de Janeiro</v>
          </cell>
          <cell r="E23" t="str">
            <v>Intangible</v>
          </cell>
          <cell r="G23">
            <v>0.5</v>
          </cell>
          <cell r="H23">
            <v>360.86647550320816</v>
          </cell>
          <cell r="I23">
            <v>180.43323775160408</v>
          </cell>
          <cell r="K23">
            <v>0.5</v>
          </cell>
          <cell r="L23">
            <v>0.21</v>
          </cell>
          <cell r="M23">
            <v>256.76305257060864</v>
          </cell>
          <cell r="N23">
            <v>128.38152628530432</v>
          </cell>
          <cell r="O23">
            <v>-52.051711466299764</v>
          </cell>
          <cell r="Q23">
            <v>0.5</v>
          </cell>
          <cell r="R23">
            <v>0.21</v>
          </cell>
          <cell r="S23">
            <v>305.83755135488951</v>
          </cell>
          <cell r="T23">
            <v>152.91877567744476</v>
          </cell>
          <cell r="U23">
            <v>-27.514462074159326</v>
          </cell>
        </row>
        <row r="24">
          <cell r="B24" t="str">
            <v>RED</v>
          </cell>
          <cell r="C24" t="str">
            <v>Araguaia</v>
          </cell>
          <cell r="E24" t="str">
            <v>Intangible</v>
          </cell>
          <cell r="G24">
            <v>1</v>
          </cell>
          <cell r="H24">
            <v>35.033118680358697</v>
          </cell>
          <cell r="I24">
            <v>35.033118680358697</v>
          </cell>
          <cell r="K24">
            <v>1</v>
          </cell>
          <cell r="L24">
            <v>0.21</v>
          </cell>
          <cell r="M24">
            <v>33.046870891854297</v>
          </cell>
          <cell r="N24">
            <v>33.046870891854297</v>
          </cell>
          <cell r="O24">
            <v>-1.9862477885044001</v>
          </cell>
          <cell r="Q24">
            <v>1</v>
          </cell>
          <cell r="R24">
            <v>0.21</v>
          </cell>
          <cell r="S24">
            <v>32.948390254953253</v>
          </cell>
          <cell r="T24">
            <v>32.948390254953253</v>
          </cell>
          <cell r="U24">
            <v>-2.0847284254054443</v>
          </cell>
        </row>
        <row r="25">
          <cell r="B25" t="str">
            <v>MCE</v>
          </cell>
          <cell r="C25" t="str">
            <v>Macaé</v>
          </cell>
          <cell r="E25" t="str">
            <v>Intangible</v>
          </cell>
          <cell r="G25">
            <v>1</v>
          </cell>
          <cell r="H25">
            <v>148.93646761740251</v>
          </cell>
          <cell r="I25">
            <v>148.93646761740251</v>
          </cell>
          <cell r="K25">
            <v>1</v>
          </cell>
          <cell r="L25">
            <v>0.21</v>
          </cell>
          <cell r="M25">
            <v>166.17086631641988</v>
          </cell>
          <cell r="N25">
            <v>166.17086631641988</v>
          </cell>
          <cell r="O25">
            <v>17.234398699017362</v>
          </cell>
          <cell r="Q25">
            <v>1</v>
          </cell>
          <cell r="R25">
            <v>0.21</v>
          </cell>
          <cell r="S25">
            <v>134.36534974802481</v>
          </cell>
          <cell r="T25">
            <v>134.36534974802481</v>
          </cell>
          <cell r="U25">
            <v>-14.571117869377701</v>
          </cell>
        </row>
        <row r="26">
          <cell r="B26" t="str">
            <v>RMR</v>
          </cell>
          <cell r="C26" t="str">
            <v>Pernambuco</v>
          </cell>
          <cell r="E26" t="str">
            <v>Financial Asset</v>
          </cell>
          <cell r="G26">
            <v>0.9</v>
          </cell>
          <cell r="H26">
            <v>444.94475801041546</v>
          </cell>
          <cell r="I26">
            <v>400.45028220937394</v>
          </cell>
          <cell r="K26">
            <v>0.9</v>
          </cell>
          <cell r="L26">
            <v>0.21</v>
          </cell>
          <cell r="M26">
            <v>269.08812642463477</v>
          </cell>
          <cell r="N26">
            <v>242.17931378217131</v>
          </cell>
          <cell r="O26">
            <v>-158.27096842720263</v>
          </cell>
          <cell r="Q26">
            <v>0.9</v>
          </cell>
          <cell r="R26">
            <v>0.21</v>
          </cell>
          <cell r="S26">
            <v>290.65864394009492</v>
          </cell>
          <cell r="T26">
            <v>261.59277954608541</v>
          </cell>
          <cell r="U26">
            <v>-138.85750266328853</v>
          </cell>
        </row>
        <row r="27">
          <cell r="B27" t="str">
            <v>GOI</v>
          </cell>
          <cell r="C27" t="str">
            <v>Goiás</v>
          </cell>
          <cell r="E27" t="str">
            <v>Intangible</v>
          </cell>
          <cell r="G27">
            <v>0.65</v>
          </cell>
          <cell r="H27">
            <v>185.33706283379726</v>
          </cell>
          <cell r="I27">
            <v>120.46909084196822</v>
          </cell>
          <cell r="K27">
            <v>0.66639999999999999</v>
          </cell>
          <cell r="L27">
            <v>0.21</v>
          </cell>
          <cell r="M27">
            <v>190.95152887160455</v>
          </cell>
          <cell r="N27">
            <v>127.25009884003727</v>
          </cell>
          <cell r="O27">
            <v>6.7810079980690432</v>
          </cell>
          <cell r="Q27">
            <v>0.66639999999999999</v>
          </cell>
          <cell r="R27">
            <v>0.21</v>
          </cell>
          <cell r="S27">
            <v>171.69927693469151</v>
          </cell>
          <cell r="T27">
            <v>114.42039814927843</v>
          </cell>
          <cell r="U27">
            <v>-6.0486926926897979</v>
          </cell>
        </row>
        <row r="28">
          <cell r="B28" t="str">
            <v>MSO</v>
          </cell>
          <cell r="C28" t="str">
            <v>Rio Manso</v>
          </cell>
          <cell r="E28" t="str">
            <v>Financial Asset</v>
          </cell>
          <cell r="G28">
            <v>1</v>
          </cell>
          <cell r="H28">
            <v>84.255524943049366</v>
          </cell>
          <cell r="I28">
            <v>84.255524943049366</v>
          </cell>
          <cell r="K28">
            <v>1</v>
          </cell>
          <cell r="L28">
            <v>0.21</v>
          </cell>
          <cell r="M28">
            <v>89.262138209503902</v>
          </cell>
          <cell r="N28">
            <v>89.262138209503902</v>
          </cell>
          <cell r="O28">
            <v>5.0066132664545364</v>
          </cell>
          <cell r="Q28">
            <v>1</v>
          </cell>
          <cell r="R28">
            <v>0.21</v>
          </cell>
          <cell r="S28">
            <v>89.799975731065558</v>
          </cell>
          <cell r="T28">
            <v>89.799975731065558</v>
          </cell>
          <cell r="U28">
            <v>5.5444507880161922</v>
          </cell>
        </row>
        <row r="29">
          <cell r="B29" t="str">
            <v>MRN</v>
          </cell>
          <cell r="C29" t="str">
            <v>Maranhão</v>
          </cell>
          <cell r="E29" t="str">
            <v>Intangible</v>
          </cell>
          <cell r="G29">
            <v>1</v>
          </cell>
          <cell r="H29">
            <v>85.097497670532576</v>
          </cell>
          <cell r="I29">
            <v>85.097497670532576</v>
          </cell>
          <cell r="K29">
            <v>1</v>
          </cell>
          <cell r="L29">
            <v>0.21</v>
          </cell>
          <cell r="M29">
            <v>121.54586584963405</v>
          </cell>
          <cell r="N29">
            <v>121.54586584963405</v>
          </cell>
          <cell r="O29">
            <v>36.448368179101479</v>
          </cell>
          <cell r="Q29">
            <v>1</v>
          </cell>
          <cell r="R29">
            <v>0.21</v>
          </cell>
          <cell r="S29">
            <v>119.91316576886427</v>
          </cell>
          <cell r="T29">
            <v>119.91316576886427</v>
          </cell>
          <cell r="U29">
            <v>34.815668098331699</v>
          </cell>
        </row>
        <row r="30">
          <cell r="B30" t="str">
            <v>SUM</v>
          </cell>
          <cell r="C30" t="str">
            <v>Sumaré</v>
          </cell>
          <cell r="E30" t="str">
            <v>Intangible</v>
          </cell>
          <cell r="G30">
            <v>1</v>
          </cell>
          <cell r="H30">
            <v>76.913808282474207</v>
          </cell>
          <cell r="I30">
            <v>76.913808282474207</v>
          </cell>
          <cell r="K30">
            <v>1</v>
          </cell>
          <cell r="L30">
            <v>0.21</v>
          </cell>
          <cell r="M30">
            <v>85.040528410030021</v>
          </cell>
          <cell r="N30">
            <v>85.040528410030021</v>
          </cell>
          <cell r="O30">
            <v>8.1267201275558136</v>
          </cell>
          <cell r="Q30">
            <v>1</v>
          </cell>
          <cell r="R30">
            <v>0.21</v>
          </cell>
          <cell r="S30">
            <v>82.761684977898611</v>
          </cell>
          <cell r="T30">
            <v>82.761684977898611</v>
          </cell>
          <cell r="U30">
            <v>5.8478766954244037</v>
          </cell>
        </row>
        <row r="31">
          <cell r="B31" t="str">
            <v>VCZ</v>
          </cell>
          <cell r="C31" t="str">
            <v>Veracruz</v>
          </cell>
          <cell r="E31" t="str">
            <v>Intangible</v>
          </cell>
          <cell r="G31">
            <v>0.8</v>
          </cell>
          <cell r="H31">
            <v>204.11533407397653</v>
          </cell>
          <cell r="I31">
            <v>163.29226725918124</v>
          </cell>
          <cell r="K31">
            <v>0.8</v>
          </cell>
          <cell r="L31">
            <v>0.21</v>
          </cell>
          <cell r="M31">
            <v>209.2728621231681</v>
          </cell>
          <cell r="N31">
            <v>167.41828969853449</v>
          </cell>
          <cell r="O31">
            <v>4.1260224393532496</v>
          </cell>
          <cell r="Q31">
            <v>0.8</v>
          </cell>
          <cell r="R31">
            <v>0.21</v>
          </cell>
          <cell r="S31">
            <v>203.68719720911625</v>
          </cell>
          <cell r="T31">
            <v>162.94975776729302</v>
          </cell>
          <cell r="U31">
            <v>-0.34250949188822233</v>
          </cell>
        </row>
        <row r="32">
          <cell r="B32" t="str">
            <v>BEN</v>
          </cell>
          <cell r="C32" t="str">
            <v>Benguela</v>
          </cell>
          <cell r="E32" t="str">
            <v>n.a.</v>
          </cell>
          <cell r="G32">
            <v>1</v>
          </cell>
          <cell r="H32">
            <v>249.0803856240862</v>
          </cell>
          <cell r="I32">
            <v>249.0803856240862</v>
          </cell>
          <cell r="K32" t="str">
            <v>n.a.</v>
          </cell>
          <cell r="L32" t="str">
            <v>n.a.</v>
          </cell>
          <cell r="M32" t="str">
            <v>n.a.</v>
          </cell>
          <cell r="N32" t="str">
            <v>n.a.</v>
          </cell>
          <cell r="O32" t="str">
            <v>n.a.</v>
          </cell>
          <cell r="Q32" t="str">
            <v>n.a.</v>
          </cell>
          <cell r="R32" t="str">
            <v>n.a.</v>
          </cell>
          <cell r="S32" t="str">
            <v>n.a.</v>
          </cell>
          <cell r="T32" t="str">
            <v>n.a.</v>
          </cell>
          <cell r="U32" t="str">
            <v>n.a.</v>
          </cell>
        </row>
        <row r="33">
          <cell r="B33" t="str">
            <v>OLM</v>
          </cell>
          <cell r="C33" t="str">
            <v>Olmos</v>
          </cell>
          <cell r="E33" t="str">
            <v>n.a.</v>
          </cell>
          <cell r="G33">
            <v>1</v>
          </cell>
          <cell r="H33">
            <v>16.067956896147138</v>
          </cell>
          <cell r="I33">
            <v>16.067956896147138</v>
          </cell>
          <cell r="K33" t="str">
            <v>n.a.</v>
          </cell>
          <cell r="L33" t="str">
            <v>n.a.</v>
          </cell>
          <cell r="M33" t="str">
            <v>n.a.</v>
          </cell>
          <cell r="N33" t="str">
            <v>n.a.</v>
          </cell>
          <cell r="O33" t="str">
            <v>n.a.</v>
          </cell>
          <cell r="Q33" t="str">
            <v>n.a.</v>
          </cell>
          <cell r="R33" t="str">
            <v>n.a.</v>
          </cell>
          <cell r="S33" t="str">
            <v>n.a.</v>
          </cell>
          <cell r="T33" t="str">
            <v>n.a.</v>
          </cell>
          <cell r="U33" t="str">
            <v>n.a.</v>
          </cell>
        </row>
        <row r="34">
          <cell r="B34" t="str">
            <v>OAD</v>
          </cell>
          <cell r="C34" t="str">
            <v>Odebrecht Ambiental Digital</v>
          </cell>
          <cell r="E34" t="str">
            <v>n.a.</v>
          </cell>
          <cell r="G34">
            <v>1</v>
          </cell>
          <cell r="H34">
            <v>122.42239329817627</v>
          </cell>
          <cell r="I34">
            <v>122.42239329817627</v>
          </cell>
          <cell r="K34" t="str">
            <v>n.a.</v>
          </cell>
          <cell r="L34" t="str">
            <v>n.a.</v>
          </cell>
          <cell r="M34" t="str">
            <v>n.a.</v>
          </cell>
          <cell r="N34" t="str">
            <v>n.a.</v>
          </cell>
          <cell r="O34" t="str">
            <v>n.a.</v>
          </cell>
          <cell r="Q34" t="str">
            <v>n.a.</v>
          </cell>
          <cell r="R34" t="str">
            <v>n.a.</v>
          </cell>
          <cell r="S34" t="str">
            <v>n.a.</v>
          </cell>
          <cell r="T34" t="str">
            <v>n.a.</v>
          </cell>
          <cell r="U34" t="str">
            <v>n.a.</v>
          </cell>
        </row>
        <row r="35">
          <cell r="B35" t="str">
            <v>ECA</v>
          </cell>
          <cell r="C35" t="str">
            <v>Mauá Água</v>
          </cell>
          <cell r="E35" t="str">
            <v>Financial Asset</v>
          </cell>
          <cell r="G35">
            <v>1</v>
          </cell>
          <cell r="H35">
            <v>24.302887481086522</v>
          </cell>
          <cell r="I35">
            <v>24.302887481086522</v>
          </cell>
          <cell r="K35">
            <v>1</v>
          </cell>
          <cell r="L35">
            <v>0.21</v>
          </cell>
          <cell r="M35">
            <v>30.798328767755972</v>
          </cell>
          <cell r="N35">
            <v>30.798328767755972</v>
          </cell>
          <cell r="O35">
            <v>6.4954412866694504</v>
          </cell>
          <cell r="Q35">
            <v>1</v>
          </cell>
          <cell r="R35">
            <v>0.21</v>
          </cell>
          <cell r="S35">
            <v>30.687072725854978</v>
          </cell>
          <cell r="T35">
            <v>30.687072725854978</v>
          </cell>
          <cell r="U35">
            <v>6.3841852447684566</v>
          </cell>
        </row>
        <row r="36">
          <cell r="B36" t="str">
            <v>SAD</v>
          </cell>
          <cell r="C36" t="str">
            <v>Santo André</v>
          </cell>
          <cell r="E36" t="str">
            <v>Financial Asset</v>
          </cell>
          <cell r="G36">
            <v>1</v>
          </cell>
          <cell r="H36">
            <v>89.087235161894213</v>
          </cell>
          <cell r="I36">
            <v>89.087235161894213</v>
          </cell>
          <cell r="K36">
            <v>1</v>
          </cell>
          <cell r="L36">
            <v>0.21</v>
          </cell>
          <cell r="M36">
            <v>113.61731833458877</v>
          </cell>
          <cell r="N36">
            <v>113.61731833458877</v>
          </cell>
          <cell r="O36">
            <v>24.53008317269456</v>
          </cell>
          <cell r="Q36">
            <v>1</v>
          </cell>
          <cell r="R36">
            <v>0.21</v>
          </cell>
          <cell r="S36">
            <v>112.59610446833801</v>
          </cell>
          <cell r="T36">
            <v>112.59610446833801</v>
          </cell>
          <cell r="U36">
            <v>23.508869306443799</v>
          </cell>
        </row>
        <row r="37">
          <cell r="B37" t="str">
            <v>ROT</v>
          </cell>
          <cell r="C37" t="str">
            <v>Navegantes</v>
          </cell>
          <cell r="E37" t="str">
            <v>Intangible</v>
          </cell>
          <cell r="G37">
            <v>1</v>
          </cell>
          <cell r="H37">
            <v>23.606548641525741</v>
          </cell>
          <cell r="I37">
            <v>23.606548641525741</v>
          </cell>
          <cell r="K37">
            <v>1</v>
          </cell>
          <cell r="L37">
            <v>0.21</v>
          </cell>
          <cell r="M37">
            <v>26.213824972823023</v>
          </cell>
          <cell r="N37">
            <v>26.213824972823023</v>
          </cell>
          <cell r="O37">
            <v>2.6072763312972818</v>
          </cell>
          <cell r="Q37">
            <v>1</v>
          </cell>
          <cell r="R37">
            <v>0.21</v>
          </cell>
          <cell r="S37">
            <v>25.815466366135706</v>
          </cell>
          <cell r="T37">
            <v>25.815466366135706</v>
          </cell>
          <cell r="U37">
            <v>2.2089177246099645</v>
          </cell>
        </row>
        <row r="38">
          <cell r="B38" t="str">
            <v>TRS</v>
          </cell>
          <cell r="C38" t="str">
            <v>Teresina</v>
          </cell>
          <cell r="E38" t="str">
            <v>Intangible</v>
          </cell>
          <cell r="G38">
            <v>0.8</v>
          </cell>
          <cell r="H38">
            <v>154.38376736907622</v>
          </cell>
          <cell r="I38">
            <v>123.50701389526098</v>
          </cell>
          <cell r="K38">
            <v>0.8</v>
          </cell>
          <cell r="L38">
            <v>0.21</v>
          </cell>
          <cell r="M38">
            <v>231.94826427696361</v>
          </cell>
          <cell r="N38">
            <v>185.5586114215709</v>
          </cell>
          <cell r="O38">
            <v>62.051597526309919</v>
          </cell>
          <cell r="Q38">
            <v>0.8</v>
          </cell>
          <cell r="R38">
            <v>0.21</v>
          </cell>
          <cell r="S38">
            <v>227.30409684154074</v>
          </cell>
          <cell r="T38">
            <v>181.8432774732326</v>
          </cell>
          <cell r="U38">
            <v>58.336263577971621</v>
          </cell>
        </row>
        <row r="39">
          <cell r="B39" t="str">
            <v>PAY</v>
          </cell>
          <cell r="C39" t="str">
            <v>Paraguai</v>
          </cell>
          <cell r="E39" t="str">
            <v>n.a.</v>
          </cell>
          <cell r="G39">
            <v>1</v>
          </cell>
          <cell r="H39">
            <v>9.6690546019010455</v>
          </cell>
          <cell r="I39">
            <v>9.6690546019010455</v>
          </cell>
          <cell r="K39" t="str">
            <v>n.a.</v>
          </cell>
          <cell r="L39" t="str">
            <v>n.a.</v>
          </cell>
          <cell r="M39" t="str">
            <v>n.a.</v>
          </cell>
          <cell r="N39" t="str">
            <v>n.a.</v>
          </cell>
          <cell r="O39" t="str">
            <v>n.a.</v>
          </cell>
          <cell r="Q39" t="str">
            <v>n.a.</v>
          </cell>
          <cell r="R39" t="str">
            <v>n.a.</v>
          </cell>
          <cell r="S39" t="str">
            <v>n.a.</v>
          </cell>
          <cell r="T39" t="str">
            <v>n.a.</v>
          </cell>
          <cell r="U39" t="str">
            <v>n.a.</v>
          </cell>
        </row>
        <row r="40">
          <cell r="B40" t="str">
            <v>IPA</v>
          </cell>
          <cell r="C40" t="str">
            <v>Sul de Lima</v>
          </cell>
          <cell r="E40" t="str">
            <v>n.a.</v>
          </cell>
          <cell r="G40">
            <v>0.6</v>
          </cell>
          <cell r="H40">
            <v>63.984661897271678</v>
          </cell>
          <cell r="I40">
            <v>38.390797138363006</v>
          </cell>
          <cell r="K40" t="str">
            <v>n.a.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>n.a.</v>
          </cell>
          <cell r="Q40" t="str">
            <v>n.a.</v>
          </cell>
          <cell r="R40" t="str">
            <v>n.a.</v>
          </cell>
          <cell r="S40" t="str">
            <v>n.a.</v>
          </cell>
          <cell r="T40" t="str">
            <v>n.a.</v>
          </cell>
          <cell r="U40" t="str">
            <v>n.a.</v>
          </cell>
        </row>
        <row r="41">
          <cell r="B41" t="str">
            <v>PAN</v>
          </cell>
          <cell r="C41" t="str">
            <v>Panamá</v>
          </cell>
          <cell r="E41" t="str">
            <v>n.a.</v>
          </cell>
          <cell r="G41">
            <v>0.34</v>
          </cell>
          <cell r="H41">
            <v>26.667283284235399</v>
          </cell>
          <cell r="I41">
            <v>9.0668763166400357</v>
          </cell>
          <cell r="K41" t="str">
            <v>n.a.</v>
          </cell>
          <cell r="L41" t="str">
            <v>n.a.</v>
          </cell>
          <cell r="M41" t="str">
            <v>n.a.</v>
          </cell>
          <cell r="N41" t="str">
            <v>n.a.</v>
          </cell>
          <cell r="O41" t="str">
            <v>n.a.</v>
          </cell>
          <cell r="Q41" t="str">
            <v>n.a.</v>
          </cell>
          <cell r="R41" t="str">
            <v>n.a.</v>
          </cell>
          <cell r="S41" t="str">
            <v>n.a.</v>
          </cell>
          <cell r="T41" t="str">
            <v>n.a.</v>
          </cell>
          <cell r="U41" t="str">
            <v>n.a.</v>
          </cell>
        </row>
        <row r="42">
          <cell r="B42" t="str">
            <v>Sub-Total - Existing Assets</v>
          </cell>
          <cell r="H42">
            <v>3870.5671773144277</v>
          </cell>
          <cell r="I42">
            <v>3165.2271192268531</v>
          </cell>
          <cell r="M42">
            <v>3209.5748501268504</v>
          </cell>
          <cell r="N42">
            <v>2616.8204219724662</v>
          </cell>
          <cell r="O42">
            <v>-103.70923337907287</v>
          </cell>
          <cell r="S42">
            <v>3186.3841403469551</v>
          </cell>
          <cell r="T42">
            <v>2564.4692620487576</v>
          </cell>
          <cell r="U42">
            <v>-156.06039330278253</v>
          </cell>
        </row>
        <row r="44">
          <cell r="B44" t="str">
            <v>Pipeline</v>
          </cell>
        </row>
        <row r="45">
          <cell r="B45" t="str">
            <v>A13</v>
          </cell>
          <cell r="C45" t="str">
            <v>Área 1.3</v>
          </cell>
          <cell r="E45" t="str">
            <v>Intangible</v>
          </cell>
          <cell r="G45">
            <v>1</v>
          </cell>
          <cell r="H45">
            <v>26.343027561347316</v>
          </cell>
          <cell r="I45">
            <v>26.343027561347316</v>
          </cell>
          <cell r="K45">
            <v>1</v>
          </cell>
          <cell r="L45">
            <v>0.21</v>
          </cell>
          <cell r="M45">
            <v>29.381014734964925</v>
          </cell>
          <cell r="N45">
            <v>29.381014734964925</v>
          </cell>
          <cell r="O45">
            <v>3.0379871736176085</v>
          </cell>
          <cell r="Q45">
            <v>1</v>
          </cell>
          <cell r="R45">
            <v>0.21</v>
          </cell>
          <cell r="S45">
            <v>29.083861383442478</v>
          </cell>
          <cell r="T45">
            <v>29.083861383442478</v>
          </cell>
          <cell r="U45">
            <v>2.740833822095162</v>
          </cell>
        </row>
        <row r="46">
          <cell r="B46" t="str">
            <v>A21</v>
          </cell>
          <cell r="C46" t="str">
            <v>Área 2.1</v>
          </cell>
          <cell r="E46" t="str">
            <v>Intangible</v>
          </cell>
          <cell r="G46">
            <v>1</v>
          </cell>
          <cell r="H46">
            <v>36.620708269884851</v>
          </cell>
          <cell r="I46">
            <v>36.620708269884851</v>
          </cell>
          <cell r="K46">
            <v>1</v>
          </cell>
          <cell r="L46">
            <v>0.21</v>
          </cell>
          <cell r="M46">
            <v>43.839417577375187</v>
          </cell>
          <cell r="N46">
            <v>43.839417577375187</v>
          </cell>
          <cell r="O46">
            <v>7.2187093074903359</v>
          </cell>
          <cell r="Q46">
            <v>1</v>
          </cell>
          <cell r="R46">
            <v>0.21</v>
          </cell>
          <cell r="S46">
            <v>43.425987591970078</v>
          </cell>
          <cell r="T46">
            <v>43.425987591970078</v>
          </cell>
          <cell r="U46">
            <v>6.8052793220852266</v>
          </cell>
        </row>
        <row r="47">
          <cell r="B47" t="str">
            <v>A14</v>
          </cell>
          <cell r="C47" t="str">
            <v>Área 1.4</v>
          </cell>
          <cell r="E47" t="str">
            <v>Intangible</v>
          </cell>
          <cell r="G47">
            <v>1</v>
          </cell>
          <cell r="H47">
            <v>42.56338247788058</v>
          </cell>
          <cell r="I47">
            <v>42.56338247788058</v>
          </cell>
          <cell r="K47">
            <v>1</v>
          </cell>
          <cell r="L47">
            <v>0.21</v>
          </cell>
          <cell r="M47">
            <v>68.189046072574072</v>
          </cell>
          <cell r="N47">
            <v>68.189046072574072</v>
          </cell>
          <cell r="O47">
            <v>25.625663594693492</v>
          </cell>
          <cell r="Q47">
            <v>1</v>
          </cell>
          <cell r="R47">
            <v>0.21</v>
          </cell>
          <cell r="S47">
            <v>68.189046072574072</v>
          </cell>
          <cell r="T47">
            <v>68.189046072574072</v>
          </cell>
          <cell r="U47">
            <v>25.625663594693492</v>
          </cell>
        </row>
        <row r="48">
          <cell r="B48" t="str">
            <v>A53</v>
          </cell>
          <cell r="C48" t="str">
            <v>Área 5.3</v>
          </cell>
          <cell r="E48" t="str">
            <v>n.a.</v>
          </cell>
          <cell r="G48">
            <v>0.7</v>
          </cell>
          <cell r="H48">
            <v>104.32570055826538</v>
          </cell>
          <cell r="I48">
            <v>73.02799039078576</v>
          </cell>
          <cell r="K48" t="str">
            <v>n.a.</v>
          </cell>
          <cell r="L48" t="str">
            <v>n.a.</v>
          </cell>
          <cell r="M48" t="str">
            <v>n.a.</v>
          </cell>
          <cell r="N48" t="str">
            <v>n.a.</v>
          </cell>
          <cell r="O48" t="str">
            <v>n.a.</v>
          </cell>
          <cell r="Q48" t="str">
            <v>n.a.</v>
          </cell>
          <cell r="R48" t="str">
            <v>n.a.</v>
          </cell>
          <cell r="S48" t="str">
            <v>n.a.</v>
          </cell>
          <cell r="T48" t="str">
            <v>n.a.</v>
          </cell>
          <cell r="U48" t="str">
            <v>n.a.</v>
          </cell>
        </row>
        <row r="49">
          <cell r="B49" t="str">
            <v>A34</v>
          </cell>
          <cell r="C49" t="str">
            <v>Área 3.4</v>
          </cell>
          <cell r="E49" t="str">
            <v>Intangible</v>
          </cell>
          <cell r="G49">
            <v>1</v>
          </cell>
          <cell r="H49">
            <v>217.41476382864539</v>
          </cell>
          <cell r="I49">
            <v>217.41476382864539</v>
          </cell>
          <cell r="K49">
            <v>1</v>
          </cell>
          <cell r="L49">
            <v>0.21</v>
          </cell>
          <cell r="M49">
            <v>7.9355814272499794</v>
          </cell>
          <cell r="N49">
            <v>7.9355814272499794</v>
          </cell>
          <cell r="O49">
            <v>-209.47918240139541</v>
          </cell>
          <cell r="Q49">
            <v>1</v>
          </cell>
          <cell r="R49">
            <v>0.21</v>
          </cell>
          <cell r="S49">
            <v>4.8726307282515222</v>
          </cell>
          <cell r="T49">
            <v>4.8726307282515222</v>
          </cell>
          <cell r="U49">
            <v>-212.54213310039387</v>
          </cell>
        </row>
        <row r="50">
          <cell r="B50" t="str">
            <v>A32</v>
          </cell>
          <cell r="C50" t="str">
            <v>Área 3.2</v>
          </cell>
          <cell r="E50" t="str">
            <v>Intangible</v>
          </cell>
          <cell r="G50">
            <v>1</v>
          </cell>
          <cell r="H50">
            <v>33.132025460692283</v>
          </cell>
          <cell r="I50">
            <v>33.132025460692283</v>
          </cell>
          <cell r="K50">
            <v>1</v>
          </cell>
          <cell r="L50">
            <v>0.21</v>
          </cell>
          <cell r="M50">
            <v>92.257557577304851</v>
          </cell>
          <cell r="N50">
            <v>92.257557577304851</v>
          </cell>
          <cell r="O50">
            <v>59.125532116612568</v>
          </cell>
          <cell r="Q50">
            <v>1</v>
          </cell>
          <cell r="R50">
            <v>0.21</v>
          </cell>
          <cell r="S50">
            <v>92.257557577304851</v>
          </cell>
          <cell r="T50">
            <v>92.257557577304851</v>
          </cell>
          <cell r="U50">
            <v>59.125532116612568</v>
          </cell>
        </row>
        <row r="51">
          <cell r="B51" t="str">
            <v>A31</v>
          </cell>
          <cell r="C51" t="str">
            <v>Área 3.1</v>
          </cell>
          <cell r="E51" t="str">
            <v>Intangible</v>
          </cell>
          <cell r="G51">
            <v>1</v>
          </cell>
          <cell r="H51">
            <v>27.802127202631219</v>
          </cell>
          <cell r="I51">
            <v>27.802127202631219</v>
          </cell>
          <cell r="K51">
            <v>1</v>
          </cell>
          <cell r="L51">
            <v>0.21</v>
          </cell>
          <cell r="M51">
            <v>23.925936442022991</v>
          </cell>
          <cell r="N51">
            <v>23.925936442022991</v>
          </cell>
          <cell r="O51">
            <v>-3.8761907606082282</v>
          </cell>
          <cell r="Q51">
            <v>1</v>
          </cell>
          <cell r="R51">
            <v>0.21</v>
          </cell>
          <cell r="S51">
            <v>23.773291413033608</v>
          </cell>
          <cell r="T51">
            <v>23.773291413033608</v>
          </cell>
          <cell r="U51">
            <v>-4.0288357895976112</v>
          </cell>
        </row>
        <row r="52">
          <cell r="B52" t="str">
            <v>A12</v>
          </cell>
          <cell r="C52" t="str">
            <v>Área 1.2</v>
          </cell>
          <cell r="E52" t="str">
            <v>Intangible</v>
          </cell>
          <cell r="G52">
            <v>0.7</v>
          </cell>
          <cell r="H52">
            <v>110.68782977443914</v>
          </cell>
          <cell r="I52">
            <v>77.481480842107388</v>
          </cell>
          <cell r="K52">
            <v>0.7</v>
          </cell>
          <cell r="L52">
            <v>0.21</v>
          </cell>
          <cell r="M52">
            <v>128.19769746631124</v>
          </cell>
          <cell r="N52">
            <v>89.738388226417868</v>
          </cell>
          <cell r="O52">
            <v>12.25690738431048</v>
          </cell>
          <cell r="Q52">
            <v>0.7</v>
          </cell>
          <cell r="R52">
            <v>0.21</v>
          </cell>
          <cell r="S52">
            <v>128.19769746631124</v>
          </cell>
          <cell r="T52">
            <v>89.738388226417868</v>
          </cell>
          <cell r="U52">
            <v>12.25690738431048</v>
          </cell>
        </row>
        <row r="53">
          <cell r="B53" t="str">
            <v>A15</v>
          </cell>
          <cell r="C53" t="str">
            <v>Área 1.5</v>
          </cell>
          <cell r="E53" t="str">
            <v>Intangible</v>
          </cell>
          <cell r="G53">
            <v>1</v>
          </cell>
          <cell r="H53">
            <v>38.714689282151156</v>
          </cell>
          <cell r="I53">
            <v>38.714689282151156</v>
          </cell>
          <cell r="K53">
            <v>1</v>
          </cell>
          <cell r="L53">
            <v>0.21</v>
          </cell>
          <cell r="M53">
            <v>76.547621425853762</v>
          </cell>
          <cell r="N53">
            <v>76.547621425853762</v>
          </cell>
          <cell r="O53">
            <v>37.832932143702607</v>
          </cell>
          <cell r="Q53">
            <v>1</v>
          </cell>
          <cell r="R53">
            <v>0.21</v>
          </cell>
          <cell r="S53">
            <v>75.907349891062481</v>
          </cell>
          <cell r="T53">
            <v>75.907349891062481</v>
          </cell>
          <cell r="U53">
            <v>37.192660608911325</v>
          </cell>
        </row>
        <row r="54">
          <cell r="B54" t="str">
            <v>Sub-Total - Pipeline Assets</v>
          </cell>
          <cell r="H54">
            <v>637.60425441593736</v>
          </cell>
          <cell r="I54">
            <v>573.10019531612591</v>
          </cell>
          <cell r="M54">
            <v>470.27387272365701</v>
          </cell>
          <cell r="N54">
            <v>431.81456348376366</v>
          </cell>
          <cell r="O54">
            <v>-68.257641441576538</v>
          </cell>
          <cell r="S54">
            <v>465.70742212395038</v>
          </cell>
          <cell r="T54">
            <v>427.24811288405704</v>
          </cell>
          <cell r="U54">
            <v>-72.824092041283222</v>
          </cell>
        </row>
        <row r="56">
          <cell r="B56" t="str">
            <v>TOTAL</v>
          </cell>
          <cell r="H56">
            <v>4508.1714317303649</v>
          </cell>
          <cell r="I56">
            <v>3738.3273145429789</v>
          </cell>
          <cell r="M56">
            <v>3679.8487228505073</v>
          </cell>
          <cell r="N56">
            <v>3048.63498545623</v>
          </cell>
          <cell r="O56">
            <v>-171.96687482064942</v>
          </cell>
          <cell r="S56">
            <v>3652.0915624709055</v>
          </cell>
          <cell r="T56">
            <v>2991.7173749328149</v>
          </cell>
          <cell r="U56">
            <v>-228.88448534406575</v>
          </cell>
        </row>
      </sheetData>
      <sheetData sheetId="9">
        <row r="354">
          <cell r="F354" t="str">
            <v>FFO</v>
          </cell>
        </row>
      </sheetData>
      <sheetData sheetId="10"/>
      <sheetData sheetId="11" refreshError="1"/>
      <sheetData sheetId="12">
        <row r="1">
          <cell r="B1" t="str">
            <v>Project Fiji</v>
          </cell>
          <cell r="BA1" t="str">
            <v>END</v>
          </cell>
        </row>
        <row r="2">
          <cell r="B2" t="str">
            <v>Macro Assumptions</v>
          </cell>
          <cell r="BA2" t="str">
            <v>END</v>
          </cell>
        </row>
        <row r="3">
          <cell r="BA3" t="str">
            <v>END</v>
          </cell>
        </row>
        <row r="4">
          <cell r="D4" t="str">
            <v>FX 2015</v>
          </cell>
          <cell r="E4" t="str">
            <v>FX 2016</v>
          </cell>
          <cell r="F4" t="str">
            <v>FX 2017</v>
          </cell>
          <cell r="G4" t="str">
            <v>FX 2018</v>
          </cell>
          <cell r="H4" t="str">
            <v>FX 2019</v>
          </cell>
          <cell r="I4" t="str">
            <v>FX 2020</v>
          </cell>
          <cell r="J4" t="str">
            <v>FX 2021</v>
          </cell>
          <cell r="K4" t="str">
            <v>FX 2022</v>
          </cell>
          <cell r="L4" t="str">
            <v>FX 2023</v>
          </cell>
          <cell r="M4" t="str">
            <v>FX 2024</v>
          </cell>
          <cell r="N4" t="str">
            <v>FX 2025</v>
          </cell>
          <cell r="O4" t="str">
            <v>FX 2026</v>
          </cell>
          <cell r="P4" t="str">
            <v>FX 2027</v>
          </cell>
          <cell r="Q4" t="str">
            <v>FX 2028</v>
          </cell>
          <cell r="R4" t="str">
            <v>FX 2029</v>
          </cell>
          <cell r="S4" t="str">
            <v>FX 2030</v>
          </cell>
          <cell r="T4" t="str">
            <v>FX 2031</v>
          </cell>
          <cell r="U4" t="str">
            <v>FX 2032</v>
          </cell>
          <cell r="V4" t="str">
            <v>FX 2033</v>
          </cell>
          <cell r="W4" t="str">
            <v>FX 2034</v>
          </cell>
          <cell r="X4" t="str">
            <v>FX 2035</v>
          </cell>
          <cell r="Y4" t="str">
            <v>FX 2036</v>
          </cell>
          <cell r="Z4" t="str">
            <v>FX 2037</v>
          </cell>
          <cell r="AA4" t="str">
            <v>FX 2038</v>
          </cell>
          <cell r="AB4" t="str">
            <v>FX 2039</v>
          </cell>
          <cell r="AC4" t="str">
            <v>FX 2040</v>
          </cell>
          <cell r="AD4" t="str">
            <v>FX 2041</v>
          </cell>
          <cell r="AE4" t="str">
            <v>FX 2042</v>
          </cell>
          <cell r="AF4" t="str">
            <v>FX 2043</v>
          </cell>
          <cell r="AG4" t="str">
            <v>FX 2044</v>
          </cell>
          <cell r="AH4" t="str">
            <v>FX 2045</v>
          </cell>
          <cell r="AI4" t="str">
            <v>FX 2046</v>
          </cell>
          <cell r="AJ4" t="str">
            <v>FX 2047</v>
          </cell>
          <cell r="AK4" t="str">
            <v>FX 2048</v>
          </cell>
          <cell r="AL4" t="str">
            <v>FX 2049</v>
          </cell>
          <cell r="AM4" t="str">
            <v>FX 2050</v>
          </cell>
          <cell r="AN4" t="str">
            <v>FX 2051</v>
          </cell>
          <cell r="AO4" t="str">
            <v>FX 2052</v>
          </cell>
          <cell r="AP4" t="str">
            <v>FX 2053</v>
          </cell>
          <cell r="AQ4" t="str">
            <v>FX 2054</v>
          </cell>
          <cell r="AR4" t="str">
            <v>FX 2055</v>
          </cell>
          <cell r="AS4" t="str">
            <v>FX 2056</v>
          </cell>
          <cell r="AT4" t="str">
            <v>FX 2057</v>
          </cell>
          <cell r="AU4" t="str">
            <v>FX 2058</v>
          </cell>
          <cell r="AV4" t="str">
            <v>FX 2059</v>
          </cell>
          <cell r="AW4" t="str">
            <v>FX 2060</v>
          </cell>
          <cell r="AX4" t="str">
            <v>FX 2061</v>
          </cell>
          <cell r="AY4" t="str">
            <v>FX 2062</v>
          </cell>
          <cell r="BA4" t="str">
            <v>END</v>
          </cell>
        </row>
        <row r="5">
          <cell r="D5" t="str">
            <v>Adjustment Factor for the Principal 2015</v>
          </cell>
          <cell r="E5" t="str">
            <v>Adjustment Factor for the Principal 2016</v>
          </cell>
          <cell r="F5" t="str">
            <v>Adjustment Factor for the Principal 2017</v>
          </cell>
          <cell r="G5" t="str">
            <v>Adjustment Factor for the Principal 2018</v>
          </cell>
          <cell r="H5" t="str">
            <v>Adjustment Factor for the Principal 2019</v>
          </cell>
          <cell r="I5" t="str">
            <v>Adjustment Factor for the Principal 2020</v>
          </cell>
          <cell r="J5" t="str">
            <v>Adjustment Factor for the Principal 2021</v>
          </cell>
          <cell r="K5" t="str">
            <v>Adjustment Factor for the Principal 2022</v>
          </cell>
          <cell r="L5" t="str">
            <v>Adjustment Factor for the Principal 2023</v>
          </cell>
          <cell r="M5" t="str">
            <v>Adjustment Factor for the Principal 2024</v>
          </cell>
          <cell r="N5" t="str">
            <v>Adjustment Factor for the Principal 2025</v>
          </cell>
          <cell r="O5" t="str">
            <v>Adjustment Factor for the Principal 2026</v>
          </cell>
          <cell r="P5" t="str">
            <v>Adjustment Factor for the Principal 2027</v>
          </cell>
          <cell r="Q5" t="str">
            <v>Adjustment Factor for the Principal 2028</v>
          </cell>
          <cell r="R5" t="str">
            <v>Adjustment Factor for the Principal 2029</v>
          </cell>
          <cell r="S5" t="str">
            <v>Adjustment Factor for the Principal 2030</v>
          </cell>
          <cell r="T5" t="str">
            <v>Adjustment Factor for the Principal 2031</v>
          </cell>
          <cell r="U5" t="str">
            <v>Adjustment Factor for the Principal 2032</v>
          </cell>
          <cell r="V5" t="str">
            <v>Adjustment Factor for the Principal 2033</v>
          </cell>
          <cell r="W5" t="str">
            <v>Adjustment Factor for the Principal 2034</v>
          </cell>
          <cell r="X5" t="str">
            <v>Adjustment Factor for the Principal 2035</v>
          </cell>
          <cell r="Y5" t="str">
            <v>Adjustment Factor for the Principal 2036</v>
          </cell>
          <cell r="Z5" t="str">
            <v>Adjustment Factor for the Principal 2037</v>
          </cell>
          <cell r="AA5" t="str">
            <v>Adjustment Factor for the Principal 2038</v>
          </cell>
          <cell r="AB5" t="str">
            <v>Adjustment Factor for the Principal 2039</v>
          </cell>
          <cell r="AC5" t="str">
            <v>Adjustment Factor for the Principal 2040</v>
          </cell>
          <cell r="AD5" t="str">
            <v>Adjustment Factor for the Principal 2041</v>
          </cell>
          <cell r="AE5" t="str">
            <v>Adjustment Factor for the Principal 2042</v>
          </cell>
          <cell r="AF5" t="str">
            <v>Adjustment Factor for the Principal 2043</v>
          </cell>
          <cell r="AG5" t="str">
            <v>Adjustment Factor for the Principal 2044</v>
          </cell>
          <cell r="AH5" t="str">
            <v>Adjustment Factor for the Principal 2045</v>
          </cell>
          <cell r="AI5" t="str">
            <v>Adjustment Factor for the Principal 2046</v>
          </cell>
          <cell r="AJ5" t="str">
            <v>Adjustment Factor for the Principal 2047</v>
          </cell>
          <cell r="AK5" t="str">
            <v>Adjustment Factor for the Principal 2048</v>
          </cell>
          <cell r="AL5" t="str">
            <v>Adjustment Factor for the Principal 2049</v>
          </cell>
          <cell r="AM5" t="str">
            <v>Adjustment Factor for the Principal 2050</v>
          </cell>
          <cell r="AN5" t="str">
            <v>Adjustment Factor for the Principal 2051</v>
          </cell>
          <cell r="AO5" t="str">
            <v>Adjustment Factor for the Principal 2052</v>
          </cell>
          <cell r="AP5" t="str">
            <v>Adjustment Factor for the Principal 2053</v>
          </cell>
          <cell r="AQ5" t="str">
            <v>Adjustment Factor for the Principal 2054</v>
          </cell>
          <cell r="AR5" t="str">
            <v>Adjustment Factor for the Principal 2055</v>
          </cell>
          <cell r="AS5" t="str">
            <v>Adjustment Factor for the Principal 2056</v>
          </cell>
          <cell r="AT5" t="str">
            <v>Adjustment Factor for the Principal 2057</v>
          </cell>
          <cell r="AU5" t="str">
            <v>Adjustment Factor for the Principal 2058</v>
          </cell>
          <cell r="AV5" t="str">
            <v>Adjustment Factor for the Principal 2059</v>
          </cell>
          <cell r="AW5" t="str">
            <v>Adjustment Factor for the Principal 2060</v>
          </cell>
          <cell r="AX5" t="str">
            <v>Adjustment Factor for the Principal 2061</v>
          </cell>
          <cell r="AY5" t="str">
            <v>Adjustment Factor for the Principal 2062</v>
          </cell>
          <cell r="BA5" t="str">
            <v>END</v>
          </cell>
        </row>
        <row r="6">
          <cell r="D6" t="str">
            <v>Index Rate 2015</v>
          </cell>
          <cell r="E6" t="str">
            <v>Index Rate 2016</v>
          </cell>
          <cell r="F6" t="str">
            <v>Index Rate 2017</v>
          </cell>
          <cell r="G6" t="str">
            <v>Index Rate 2018</v>
          </cell>
          <cell r="H6" t="str">
            <v>Index Rate 2019</v>
          </cell>
          <cell r="I6" t="str">
            <v>Index Rate 2020</v>
          </cell>
          <cell r="J6" t="str">
            <v>Index Rate 2021</v>
          </cell>
          <cell r="K6" t="str">
            <v>Index Rate 2022</v>
          </cell>
          <cell r="L6" t="str">
            <v>Index Rate 2023</v>
          </cell>
          <cell r="M6" t="str">
            <v>Index Rate 2024</v>
          </cell>
          <cell r="N6" t="str">
            <v>Index Rate 2025</v>
          </cell>
          <cell r="O6" t="str">
            <v>Index Rate 2026</v>
          </cell>
          <cell r="P6" t="str">
            <v>Index Rate 2027</v>
          </cell>
          <cell r="Q6" t="str">
            <v>Index Rate 2028</v>
          </cell>
          <cell r="R6" t="str">
            <v>Index Rate 2029</v>
          </cell>
          <cell r="S6" t="str">
            <v>Index Rate 2030</v>
          </cell>
          <cell r="T6" t="str">
            <v>Index Rate 2031</v>
          </cell>
          <cell r="U6" t="str">
            <v>Index Rate 2032</v>
          </cell>
          <cell r="V6" t="str">
            <v>Index Rate 2033</v>
          </cell>
          <cell r="W6" t="str">
            <v>Index Rate 2034</v>
          </cell>
          <cell r="X6" t="str">
            <v>Index Rate 2035</v>
          </cell>
          <cell r="Y6" t="str">
            <v>Index Rate 2036</v>
          </cell>
          <cell r="Z6" t="str">
            <v>Index Rate 2037</v>
          </cell>
          <cell r="AA6" t="str">
            <v>Index Rate 2038</v>
          </cell>
          <cell r="AB6" t="str">
            <v>Index Rate 2039</v>
          </cell>
          <cell r="AC6" t="str">
            <v>Index Rate 2040</v>
          </cell>
          <cell r="AD6" t="str">
            <v>Index Rate 2041</v>
          </cell>
          <cell r="AE6" t="str">
            <v>Index Rate 2042</v>
          </cell>
          <cell r="AF6" t="str">
            <v>Index Rate 2043</v>
          </cell>
          <cell r="AG6" t="str">
            <v>Index Rate 2044</v>
          </cell>
          <cell r="AH6" t="str">
            <v>Index Rate 2045</v>
          </cell>
          <cell r="AI6" t="str">
            <v>Index Rate 2046</v>
          </cell>
          <cell r="AJ6" t="str">
            <v>Index Rate 2047</v>
          </cell>
          <cell r="AK6" t="str">
            <v>Index Rate 2048</v>
          </cell>
          <cell r="AL6" t="str">
            <v>Index Rate 2049</v>
          </cell>
          <cell r="AM6" t="str">
            <v>Index Rate 2050</v>
          </cell>
          <cell r="AN6" t="str">
            <v>Index Rate 2051</v>
          </cell>
          <cell r="AO6" t="str">
            <v>Index Rate 2052</v>
          </cell>
          <cell r="AP6" t="str">
            <v>Index Rate 2053</v>
          </cell>
          <cell r="AQ6" t="str">
            <v>Index Rate 2054</v>
          </cell>
          <cell r="AR6" t="str">
            <v>Index Rate 2055</v>
          </cell>
          <cell r="AS6" t="str">
            <v>Index Rate 2056</v>
          </cell>
          <cell r="AT6" t="str">
            <v>Index Rate 2057</v>
          </cell>
          <cell r="AU6" t="str">
            <v>Index Rate 2058</v>
          </cell>
          <cell r="AV6" t="str">
            <v>Index Rate 2059</v>
          </cell>
          <cell r="AW6" t="str">
            <v>Index Rate 2060</v>
          </cell>
          <cell r="AX6" t="str">
            <v>Index Rate 2061</v>
          </cell>
          <cell r="AY6" t="str">
            <v>Index Rate 2062</v>
          </cell>
          <cell r="BA6" t="str">
            <v>END</v>
          </cell>
        </row>
        <row r="7">
          <cell r="C7" t="str">
            <v>Source</v>
          </cell>
          <cell r="D7" t="str">
            <v>2015</v>
          </cell>
          <cell r="E7" t="str">
            <v>2016</v>
          </cell>
          <cell r="F7" t="str">
            <v>2017</v>
          </cell>
          <cell r="G7" t="str">
            <v>2018</v>
          </cell>
          <cell r="H7" t="str">
            <v>2019</v>
          </cell>
          <cell r="I7" t="str">
            <v>2020</v>
          </cell>
          <cell r="J7" t="str">
            <v>2021</v>
          </cell>
          <cell r="K7" t="str">
            <v>2022</v>
          </cell>
          <cell r="L7" t="str">
            <v>2023</v>
          </cell>
          <cell r="M7" t="str">
            <v>2024</v>
          </cell>
          <cell r="N7" t="str">
            <v>2025</v>
          </cell>
          <cell r="O7" t="str">
            <v>2026</v>
          </cell>
          <cell r="P7" t="str">
            <v>2027</v>
          </cell>
          <cell r="Q7" t="str">
            <v>2028</v>
          </cell>
          <cell r="R7" t="str">
            <v>2029</v>
          </cell>
          <cell r="S7" t="str">
            <v>2030</v>
          </cell>
          <cell r="T7" t="str">
            <v>2031</v>
          </cell>
          <cell r="U7" t="str">
            <v>2032</v>
          </cell>
          <cell r="V7" t="str">
            <v>2033</v>
          </cell>
          <cell r="W7" t="str">
            <v>2034</v>
          </cell>
          <cell r="X7" t="str">
            <v>2035</v>
          </cell>
          <cell r="Y7" t="str">
            <v>2036</v>
          </cell>
          <cell r="Z7" t="str">
            <v>2037</v>
          </cell>
          <cell r="AA7" t="str">
            <v>2038</v>
          </cell>
          <cell r="AB7" t="str">
            <v>2039</v>
          </cell>
          <cell r="AC7" t="str">
            <v>2040</v>
          </cell>
          <cell r="AD7" t="str">
            <v>2041</v>
          </cell>
          <cell r="AE7" t="str">
            <v>2042</v>
          </cell>
          <cell r="AF7" t="str">
            <v>2043</v>
          </cell>
          <cell r="AG7" t="str">
            <v>2044</v>
          </cell>
          <cell r="AH7" t="str">
            <v>2045</v>
          </cell>
          <cell r="AI7" t="str">
            <v>2046</v>
          </cell>
          <cell r="AJ7" t="str">
            <v>2047</v>
          </cell>
          <cell r="AK7" t="str">
            <v>2048</v>
          </cell>
          <cell r="AL7" t="str">
            <v>2049</v>
          </cell>
          <cell r="AM7" t="str">
            <v>2050</v>
          </cell>
          <cell r="AN7" t="str">
            <v>2051</v>
          </cell>
          <cell r="AO7" t="str">
            <v>2052</v>
          </cell>
          <cell r="AP7" t="str">
            <v>2053</v>
          </cell>
          <cell r="AQ7" t="str">
            <v>2054</v>
          </cell>
          <cell r="AR7" t="str">
            <v>2055</v>
          </cell>
          <cell r="AS7" t="str">
            <v>2056</v>
          </cell>
          <cell r="AT7" t="str">
            <v>2057</v>
          </cell>
          <cell r="AU7" t="str">
            <v>2058</v>
          </cell>
          <cell r="AV7" t="str">
            <v>2059</v>
          </cell>
          <cell r="AW7" t="str">
            <v>2060</v>
          </cell>
          <cell r="AX7" t="str">
            <v>2061</v>
          </cell>
          <cell r="AY7" t="str">
            <v>2062</v>
          </cell>
          <cell r="BA7" t="str">
            <v>END</v>
          </cell>
        </row>
        <row r="8">
          <cell r="B8" t="str">
            <v>TR</v>
          </cell>
          <cell r="C8" t="str">
            <v>Mgmt Model</v>
          </cell>
          <cell r="E8">
            <v>1.8970053858027525E-2</v>
          </cell>
          <cell r="F8">
            <v>1.1173492019352249E-2</v>
          </cell>
          <cell r="G8">
            <v>7.8444344402350819E-3</v>
          </cell>
          <cell r="H8">
            <v>7.9912658527097058E-3</v>
          </cell>
          <cell r="I8">
            <v>2.70238164131964E-3</v>
          </cell>
          <cell r="J8">
            <v>2.396662420121709E-3</v>
          </cell>
          <cell r="K8">
            <v>2.3361914532824546E-3</v>
          </cell>
          <cell r="L8">
            <v>2.3361914532824546E-3</v>
          </cell>
          <cell r="M8">
            <v>2.3361914532824546E-3</v>
          </cell>
          <cell r="N8">
            <v>2.3361914532824546E-3</v>
          </cell>
          <cell r="O8">
            <v>2.3361914532824546E-3</v>
          </cell>
          <cell r="P8">
            <v>2.3361914532824546E-3</v>
          </cell>
          <cell r="Q8">
            <v>2.3361914532824546E-3</v>
          </cell>
          <cell r="R8">
            <v>2.3361914532824546E-3</v>
          </cell>
          <cell r="S8">
            <v>2.3361914532824546E-3</v>
          </cell>
          <cell r="T8">
            <v>2.3361914532824546E-3</v>
          </cell>
          <cell r="U8">
            <v>2.3361914532824546E-3</v>
          </cell>
          <cell r="V8">
            <v>2.3361914532824546E-3</v>
          </cell>
          <cell r="W8">
            <v>2.3361914532824546E-3</v>
          </cell>
          <cell r="X8">
            <v>2.3361914532824546E-3</v>
          </cell>
          <cell r="Y8">
            <v>2.3361914532824546E-3</v>
          </cell>
          <cell r="Z8">
            <v>2.3361914532824546E-3</v>
          </cell>
          <cell r="AA8">
            <v>2.3361914532824546E-3</v>
          </cell>
          <cell r="AB8">
            <v>2.3361914532824546E-3</v>
          </cell>
          <cell r="AC8">
            <v>2.3361914532824546E-3</v>
          </cell>
          <cell r="AD8">
            <v>2.3361914532824546E-3</v>
          </cell>
          <cell r="AE8">
            <v>2.3361914532824546E-3</v>
          </cell>
          <cell r="AF8">
            <v>2.3361914532824546E-3</v>
          </cell>
          <cell r="AG8">
            <v>2.3361914532824546E-3</v>
          </cell>
          <cell r="AH8">
            <v>2.3361914532824546E-3</v>
          </cell>
          <cell r="AI8">
            <v>2.3361914532824546E-3</v>
          </cell>
          <cell r="AJ8">
            <v>2.3361914532824546E-3</v>
          </cell>
          <cell r="AK8">
            <v>2.3361914532824546E-3</v>
          </cell>
          <cell r="AL8">
            <v>2.3361914532824546E-3</v>
          </cell>
          <cell r="AM8">
            <v>2.3361914532824546E-3</v>
          </cell>
          <cell r="AN8">
            <v>2.3361914532824546E-3</v>
          </cell>
          <cell r="AO8">
            <v>2.3361914532824546E-3</v>
          </cell>
          <cell r="AP8">
            <v>2.3361914532824546E-3</v>
          </cell>
          <cell r="AQ8">
            <v>2.3361914532824546E-3</v>
          </cell>
          <cell r="AR8">
            <v>2.3361914532824546E-3</v>
          </cell>
          <cell r="AS8">
            <v>2.3361914532824546E-3</v>
          </cell>
          <cell r="AT8">
            <v>2.3361914532824546E-3</v>
          </cell>
          <cell r="AU8">
            <v>2.3361914532824546E-3</v>
          </cell>
          <cell r="AV8">
            <v>2.3361914532824546E-3</v>
          </cell>
          <cell r="AW8">
            <v>2.3361914532824546E-3</v>
          </cell>
          <cell r="AX8">
            <v>2.3361914532824546E-3</v>
          </cell>
          <cell r="AY8">
            <v>2.3361914532824546E-3</v>
          </cell>
          <cell r="BA8" t="str">
            <v>END</v>
          </cell>
        </row>
        <row r="9">
          <cell r="B9" t="str">
            <v>CDI</v>
          </cell>
          <cell r="C9" t="str">
            <v>Mgmt Model</v>
          </cell>
          <cell r="E9">
            <v>0.13366999425370363</v>
          </cell>
          <cell r="F9">
            <v>0.12139999999999841</v>
          </cell>
          <cell r="G9">
            <v>0.11140000000000105</v>
          </cell>
          <cell r="H9">
            <v>9.9256795132114828E-2</v>
          </cell>
          <cell r="I9">
            <v>9.3899999999998318E-2</v>
          </cell>
          <cell r="J9">
            <v>9.3900000000000747E-2</v>
          </cell>
          <cell r="K9">
            <v>9.3900000000003883E-2</v>
          </cell>
          <cell r="L9">
            <v>9.3900000000003883E-2</v>
          </cell>
          <cell r="M9">
            <v>9.3900000000003883E-2</v>
          </cell>
          <cell r="N9">
            <v>9.3900000000003883E-2</v>
          </cell>
          <cell r="O9">
            <v>9.3900000000003883E-2</v>
          </cell>
          <cell r="P9">
            <v>9.3900000000003883E-2</v>
          </cell>
          <cell r="Q9">
            <v>9.3900000000003883E-2</v>
          </cell>
          <cell r="R9">
            <v>9.3900000000003883E-2</v>
          </cell>
          <cell r="S9">
            <v>9.3900000000003883E-2</v>
          </cell>
          <cell r="T9">
            <v>9.3900000000003883E-2</v>
          </cell>
          <cell r="U9">
            <v>9.3900000000003883E-2</v>
          </cell>
          <cell r="V9">
            <v>9.3900000000003883E-2</v>
          </cell>
          <cell r="W9">
            <v>9.3900000000003883E-2</v>
          </cell>
          <cell r="X9">
            <v>9.3900000000003883E-2</v>
          </cell>
          <cell r="Y9">
            <v>9.3900000000003883E-2</v>
          </cell>
          <cell r="Z9">
            <v>9.3900000000003883E-2</v>
          </cell>
          <cell r="AA9">
            <v>9.3900000000003883E-2</v>
          </cell>
          <cell r="AB9">
            <v>9.3900000000003883E-2</v>
          </cell>
          <cell r="AC9">
            <v>9.3900000000003883E-2</v>
          </cell>
          <cell r="AD9">
            <v>9.3900000000003883E-2</v>
          </cell>
          <cell r="AE9">
            <v>9.3900000000003883E-2</v>
          </cell>
          <cell r="AF9">
            <v>9.3900000000003883E-2</v>
          </cell>
          <cell r="AG9">
            <v>9.3900000000003883E-2</v>
          </cell>
          <cell r="AH9">
            <v>9.3900000000003883E-2</v>
          </cell>
          <cell r="AI9">
            <v>9.3900000000003883E-2</v>
          </cell>
          <cell r="AJ9">
            <v>9.3900000000003883E-2</v>
          </cell>
          <cell r="AK9">
            <v>9.3900000000003883E-2</v>
          </cell>
          <cell r="AL9">
            <v>9.3900000000003883E-2</v>
          </cell>
          <cell r="AM9">
            <v>9.3900000000003883E-2</v>
          </cell>
          <cell r="AN9">
            <v>9.3900000000003883E-2</v>
          </cell>
          <cell r="AO9">
            <v>9.3900000000003883E-2</v>
          </cell>
          <cell r="AP9">
            <v>9.3900000000003883E-2</v>
          </cell>
          <cell r="AQ9">
            <v>9.3900000000003883E-2</v>
          </cell>
          <cell r="AR9">
            <v>9.3900000000003883E-2</v>
          </cell>
          <cell r="AS9">
            <v>9.3900000000003883E-2</v>
          </cell>
          <cell r="AT9">
            <v>9.3900000000003883E-2</v>
          </cell>
          <cell r="AU9">
            <v>9.3900000000003883E-2</v>
          </cell>
          <cell r="AV9">
            <v>9.3900000000003883E-2</v>
          </cell>
          <cell r="AW9">
            <v>9.3900000000003883E-2</v>
          </cell>
          <cell r="AX9">
            <v>9.3900000000003883E-2</v>
          </cell>
          <cell r="AY9">
            <v>9.3900000000003883E-2</v>
          </cell>
          <cell r="BA9" t="str">
            <v>END</v>
          </cell>
        </row>
        <row r="10">
          <cell r="B10" t="str">
            <v>% of CDI</v>
          </cell>
          <cell r="C10" t="str">
            <v>Mgmt Model</v>
          </cell>
          <cell r="E10">
            <v>0.13366999425370363</v>
          </cell>
          <cell r="F10">
            <v>0.12139999999999841</v>
          </cell>
          <cell r="G10">
            <v>0.11140000000000105</v>
          </cell>
          <cell r="H10">
            <v>9.9256795132114828E-2</v>
          </cell>
          <cell r="I10">
            <v>9.3899999999998318E-2</v>
          </cell>
          <cell r="J10">
            <v>9.3900000000000747E-2</v>
          </cell>
          <cell r="K10">
            <v>9.3900000000003883E-2</v>
          </cell>
          <cell r="L10">
            <v>9.3900000000003883E-2</v>
          </cell>
          <cell r="M10">
            <v>9.3900000000003883E-2</v>
          </cell>
          <cell r="N10">
            <v>9.3900000000003883E-2</v>
          </cell>
          <cell r="O10">
            <v>9.3900000000003883E-2</v>
          </cell>
          <cell r="P10">
            <v>9.3900000000003883E-2</v>
          </cell>
          <cell r="Q10">
            <v>9.3900000000003883E-2</v>
          </cell>
          <cell r="R10">
            <v>9.3900000000003883E-2</v>
          </cell>
          <cell r="S10">
            <v>9.3900000000003883E-2</v>
          </cell>
          <cell r="T10">
            <v>9.3900000000003883E-2</v>
          </cell>
          <cell r="U10">
            <v>9.3900000000003883E-2</v>
          </cell>
          <cell r="V10">
            <v>9.3900000000003883E-2</v>
          </cell>
          <cell r="W10">
            <v>9.3900000000003883E-2</v>
          </cell>
          <cell r="X10">
            <v>9.3900000000003883E-2</v>
          </cell>
          <cell r="Y10">
            <v>9.3900000000003883E-2</v>
          </cell>
          <cell r="Z10">
            <v>9.3900000000003883E-2</v>
          </cell>
          <cell r="AA10">
            <v>9.3900000000003883E-2</v>
          </cell>
          <cell r="AB10">
            <v>9.3900000000003883E-2</v>
          </cell>
          <cell r="AC10">
            <v>9.3900000000003883E-2</v>
          </cell>
          <cell r="AD10">
            <v>9.3900000000003883E-2</v>
          </cell>
          <cell r="AE10">
            <v>9.3900000000003883E-2</v>
          </cell>
          <cell r="AF10">
            <v>9.3900000000003883E-2</v>
          </cell>
          <cell r="AG10">
            <v>9.3900000000003883E-2</v>
          </cell>
          <cell r="AH10">
            <v>9.3900000000003883E-2</v>
          </cell>
          <cell r="AI10">
            <v>9.3900000000003883E-2</v>
          </cell>
          <cell r="AJ10">
            <v>9.3900000000003883E-2</v>
          </cell>
          <cell r="AK10">
            <v>9.3900000000003883E-2</v>
          </cell>
          <cell r="AL10">
            <v>9.3900000000003883E-2</v>
          </cell>
          <cell r="AM10">
            <v>9.3900000000003883E-2</v>
          </cell>
          <cell r="AN10">
            <v>9.3900000000003883E-2</v>
          </cell>
          <cell r="AO10">
            <v>9.3900000000003883E-2</v>
          </cell>
          <cell r="AP10">
            <v>9.3900000000003883E-2</v>
          </cell>
          <cell r="AQ10">
            <v>9.3900000000003883E-2</v>
          </cell>
          <cell r="AR10">
            <v>9.3900000000003883E-2</v>
          </cell>
          <cell r="AS10">
            <v>9.3900000000003883E-2</v>
          </cell>
          <cell r="AT10">
            <v>9.3900000000003883E-2</v>
          </cell>
          <cell r="AU10">
            <v>9.3900000000003883E-2</v>
          </cell>
          <cell r="AV10">
            <v>9.3900000000003883E-2</v>
          </cell>
          <cell r="AW10">
            <v>9.3900000000003883E-2</v>
          </cell>
          <cell r="AX10">
            <v>9.3900000000003883E-2</v>
          </cell>
          <cell r="AY10">
            <v>9.3900000000003883E-2</v>
          </cell>
          <cell r="BA10" t="str">
            <v>END</v>
          </cell>
        </row>
        <row r="11">
          <cell r="B11" t="str">
            <v>TJLP</v>
          </cell>
          <cell r="C11" t="str">
            <v>Mgmt Model</v>
          </cell>
          <cell r="E11">
            <v>7.4999999999999734E-2</v>
          </cell>
          <cell r="F11">
            <v>7.4999999999999734E-2</v>
          </cell>
          <cell r="G11">
            <v>7.4999999999999734E-2</v>
          </cell>
          <cell r="H11">
            <v>7.0416261611448094E-2</v>
          </cell>
          <cell r="I11">
            <v>6.999999999999984E-2</v>
          </cell>
          <cell r="J11">
            <v>6.999999999999984E-2</v>
          </cell>
          <cell r="K11">
            <v>6.999999999999984E-2</v>
          </cell>
          <cell r="L11">
            <v>6.999999999999984E-2</v>
          </cell>
          <cell r="M11">
            <v>6.999999999999984E-2</v>
          </cell>
          <cell r="N11">
            <v>6.999999999999984E-2</v>
          </cell>
          <cell r="O11">
            <v>6.999999999999984E-2</v>
          </cell>
          <cell r="P11">
            <v>6.999999999999984E-2</v>
          </cell>
          <cell r="Q11">
            <v>6.999999999999984E-2</v>
          </cell>
          <cell r="R11">
            <v>6.999999999999984E-2</v>
          </cell>
          <cell r="S11">
            <v>6.999999999999984E-2</v>
          </cell>
          <cell r="T11">
            <v>6.999999999999984E-2</v>
          </cell>
          <cell r="U11">
            <v>6.999999999999984E-2</v>
          </cell>
          <cell r="V11">
            <v>6.999999999999984E-2</v>
          </cell>
          <cell r="W11">
            <v>6.999999999999984E-2</v>
          </cell>
          <cell r="X11">
            <v>6.999999999999984E-2</v>
          </cell>
          <cell r="Y11">
            <v>6.999999999999984E-2</v>
          </cell>
          <cell r="Z11">
            <v>6.999999999999984E-2</v>
          </cell>
          <cell r="AA11">
            <v>6.999999999999984E-2</v>
          </cell>
          <cell r="AB11">
            <v>6.999999999999984E-2</v>
          </cell>
          <cell r="AC11">
            <v>6.999999999999984E-2</v>
          </cell>
          <cell r="AD11">
            <v>6.999999999999984E-2</v>
          </cell>
          <cell r="AE11">
            <v>6.999999999999984E-2</v>
          </cell>
          <cell r="AF11">
            <v>6.999999999999984E-2</v>
          </cell>
          <cell r="AG11">
            <v>6.999999999999984E-2</v>
          </cell>
          <cell r="AH11">
            <v>6.999999999999984E-2</v>
          </cell>
          <cell r="AI11">
            <v>6.999999999999984E-2</v>
          </cell>
          <cell r="AJ11">
            <v>6.999999999999984E-2</v>
          </cell>
          <cell r="AK11">
            <v>6.999999999999984E-2</v>
          </cell>
          <cell r="AL11">
            <v>6.999999999999984E-2</v>
          </cell>
          <cell r="AM11">
            <v>6.999999999999984E-2</v>
          </cell>
          <cell r="AN11">
            <v>6.999999999999984E-2</v>
          </cell>
          <cell r="AO11">
            <v>6.999999999999984E-2</v>
          </cell>
          <cell r="AP11">
            <v>6.999999999999984E-2</v>
          </cell>
          <cell r="AQ11">
            <v>6.999999999999984E-2</v>
          </cell>
          <cell r="AR11">
            <v>6.999999999999984E-2</v>
          </cell>
          <cell r="AS11">
            <v>6.999999999999984E-2</v>
          </cell>
          <cell r="AT11">
            <v>6.999999999999984E-2</v>
          </cell>
          <cell r="AU11">
            <v>6.999999999999984E-2</v>
          </cell>
          <cell r="AV11">
            <v>6.999999999999984E-2</v>
          </cell>
          <cell r="AW11">
            <v>6.999999999999984E-2</v>
          </cell>
          <cell r="AX11">
            <v>6.999999999999984E-2</v>
          </cell>
          <cell r="AY11">
            <v>6.999999999999984E-2</v>
          </cell>
          <cell r="BA11" t="str">
            <v>END</v>
          </cell>
        </row>
        <row r="12">
          <cell r="B12" t="str">
            <v>IPCA</v>
          </cell>
          <cell r="C12" t="str">
            <v>Mgmt Model</v>
          </cell>
          <cell r="E12">
            <v>6.8954476526068564E-2</v>
          </cell>
          <cell r="F12">
            <v>5.4000000000000006E-2</v>
          </cell>
          <cell r="G12">
            <v>5.0000352027526951E-2</v>
          </cell>
          <cell r="H12">
            <v>4.499341640746124E-2</v>
          </cell>
          <cell r="I12">
            <v>4.499341640746124E-2</v>
          </cell>
          <cell r="J12">
            <v>4.5010262629484155E-2</v>
          </cell>
          <cell r="K12">
            <v>4.5010262629484155E-2</v>
          </cell>
          <cell r="L12">
            <v>4.5010262629484155E-2</v>
          </cell>
          <cell r="M12">
            <v>4.5010262629484155E-2</v>
          </cell>
          <cell r="N12">
            <v>4.5010262629484155E-2</v>
          </cell>
          <cell r="O12">
            <v>4.5010262629484155E-2</v>
          </cell>
          <cell r="P12">
            <v>4.5010262629484155E-2</v>
          </cell>
          <cell r="Q12">
            <v>4.5010262629484155E-2</v>
          </cell>
          <cell r="R12">
            <v>4.5010262629484155E-2</v>
          </cell>
          <cell r="S12">
            <v>4.5010262629484155E-2</v>
          </cell>
          <cell r="T12">
            <v>4.5010262629484155E-2</v>
          </cell>
          <cell r="U12">
            <v>4.5010262629484155E-2</v>
          </cell>
          <cell r="V12">
            <v>4.5010262629484155E-2</v>
          </cell>
          <cell r="W12">
            <v>4.5010262629484155E-2</v>
          </cell>
          <cell r="X12">
            <v>4.5010262629484155E-2</v>
          </cell>
          <cell r="Y12">
            <v>4.5010262629484155E-2</v>
          </cell>
          <cell r="Z12">
            <v>4.5010262629484155E-2</v>
          </cell>
          <cell r="AA12">
            <v>4.5010262629484155E-2</v>
          </cell>
          <cell r="AB12">
            <v>4.5010262629484155E-2</v>
          </cell>
          <cell r="AC12">
            <v>4.5010262629484155E-2</v>
          </cell>
          <cell r="AD12">
            <v>4.5010262629484155E-2</v>
          </cell>
          <cell r="AE12">
            <v>4.5010262629484155E-2</v>
          </cell>
          <cell r="AF12">
            <v>4.5010262629484155E-2</v>
          </cell>
          <cell r="AG12">
            <v>4.5010262629484155E-2</v>
          </cell>
          <cell r="AH12">
            <v>4.5010262629484155E-2</v>
          </cell>
          <cell r="AI12">
            <v>4.5010262629484155E-2</v>
          </cell>
          <cell r="AJ12">
            <v>4.5010262629484155E-2</v>
          </cell>
          <cell r="AK12">
            <v>4.5010262629484155E-2</v>
          </cell>
          <cell r="AL12">
            <v>4.5010262629484155E-2</v>
          </cell>
          <cell r="AM12">
            <v>4.5010262629484155E-2</v>
          </cell>
          <cell r="AN12">
            <v>4.5010262629484155E-2</v>
          </cell>
          <cell r="AO12">
            <v>4.5010262629484155E-2</v>
          </cell>
          <cell r="AP12">
            <v>4.5010262629484155E-2</v>
          </cell>
          <cell r="AQ12">
            <v>4.5010262629484155E-2</v>
          </cell>
          <cell r="AR12">
            <v>4.5010262629484155E-2</v>
          </cell>
          <cell r="AS12">
            <v>4.5010262629484155E-2</v>
          </cell>
          <cell r="AT12">
            <v>4.5010262629484155E-2</v>
          </cell>
          <cell r="AU12">
            <v>4.5010262629484155E-2</v>
          </cell>
          <cell r="AV12">
            <v>4.5010262629484155E-2</v>
          </cell>
          <cell r="AW12">
            <v>4.5010262629484155E-2</v>
          </cell>
          <cell r="AX12">
            <v>4.5010262629484155E-2</v>
          </cell>
          <cell r="AY12">
            <v>4.5010262629484155E-2</v>
          </cell>
          <cell r="BA12" t="str">
            <v>END</v>
          </cell>
        </row>
        <row r="13">
          <cell r="B13" t="str">
            <v>IGP-M</v>
          </cell>
          <cell r="C13" t="str">
            <v>Mgmt Model</v>
          </cell>
          <cell r="E13">
            <v>6.0030112030563521E-2</v>
          </cell>
          <cell r="F13">
            <v>5.0000557201535845E-2</v>
          </cell>
          <cell r="G13">
            <v>5.0000557201535845E-2</v>
          </cell>
          <cell r="H13">
            <v>5.0000557201535845E-2</v>
          </cell>
          <cell r="I13">
            <v>5.0000557201535845E-2</v>
          </cell>
          <cell r="J13">
            <v>5.0000557201535845E-2</v>
          </cell>
          <cell r="K13">
            <v>5.0000557201535845E-2</v>
          </cell>
          <cell r="L13">
            <v>5.0000557201535845E-2</v>
          </cell>
          <cell r="M13">
            <v>5.0000557201535845E-2</v>
          </cell>
          <cell r="N13">
            <v>5.0000557201535845E-2</v>
          </cell>
          <cell r="O13">
            <v>5.0000557201535845E-2</v>
          </cell>
          <cell r="P13">
            <v>5.0000557201535845E-2</v>
          </cell>
          <cell r="Q13">
            <v>5.0000557201535845E-2</v>
          </cell>
          <cell r="R13">
            <v>5.0000557201535845E-2</v>
          </cell>
          <cell r="S13">
            <v>5.0000557201535845E-2</v>
          </cell>
          <cell r="T13">
            <v>5.0000557201535845E-2</v>
          </cell>
          <cell r="U13">
            <v>5.0000557201535845E-2</v>
          </cell>
          <cell r="V13">
            <v>5.0000557201535845E-2</v>
          </cell>
          <cell r="W13">
            <v>5.0000557201535845E-2</v>
          </cell>
          <cell r="X13">
            <v>5.0000557201535845E-2</v>
          </cell>
          <cell r="Y13">
            <v>5.0000557201535845E-2</v>
          </cell>
          <cell r="Z13">
            <v>5.0000557201535845E-2</v>
          </cell>
          <cell r="AA13">
            <v>5.0000557201535845E-2</v>
          </cell>
          <cell r="AB13">
            <v>5.0000557201535845E-2</v>
          </cell>
          <cell r="AC13">
            <v>5.0000557201535845E-2</v>
          </cell>
          <cell r="AD13">
            <v>5.0000557201535845E-2</v>
          </cell>
          <cell r="AE13">
            <v>5.0000557201535845E-2</v>
          </cell>
          <cell r="AF13">
            <v>5.0000557201535845E-2</v>
          </cell>
          <cell r="AG13">
            <v>5.0000557201535845E-2</v>
          </cell>
          <cell r="AH13">
            <v>5.0000557201535845E-2</v>
          </cell>
          <cell r="AI13">
            <v>5.0000557201535845E-2</v>
          </cell>
          <cell r="AJ13">
            <v>5.0000557201535845E-2</v>
          </cell>
          <cell r="AK13">
            <v>5.0000557201535845E-2</v>
          </cell>
          <cell r="AL13">
            <v>5.0000557201535845E-2</v>
          </cell>
          <cell r="AM13">
            <v>5.0000557201535845E-2</v>
          </cell>
          <cell r="AN13">
            <v>5.0000557201535845E-2</v>
          </cell>
          <cell r="AO13">
            <v>5.0000557201535845E-2</v>
          </cell>
          <cell r="AP13">
            <v>5.0000557201535845E-2</v>
          </cell>
          <cell r="AQ13">
            <v>5.0000557201535845E-2</v>
          </cell>
          <cell r="AR13">
            <v>5.0000557201535845E-2</v>
          </cell>
          <cell r="AS13">
            <v>5.0000557201535845E-2</v>
          </cell>
          <cell r="AT13">
            <v>5.0000557201535845E-2</v>
          </cell>
          <cell r="AU13">
            <v>5.0000557201535845E-2</v>
          </cell>
          <cell r="AV13">
            <v>5.0000557201535845E-2</v>
          </cell>
          <cell r="AW13">
            <v>5.0000557201535845E-2</v>
          </cell>
          <cell r="AX13">
            <v>5.0000557201535845E-2</v>
          </cell>
          <cell r="AY13">
            <v>5.0000557201535845E-2</v>
          </cell>
          <cell r="BA13" t="str">
            <v>END</v>
          </cell>
        </row>
        <row r="14">
          <cell r="B14" t="str">
            <v>TIEE</v>
          </cell>
          <cell r="C14" t="str">
            <v>Mgmt Model</v>
          </cell>
          <cell r="E14">
            <v>0.04</v>
          </cell>
          <cell r="F14">
            <v>4.4999999999999998E-2</v>
          </cell>
          <cell r="G14">
            <v>5.5E-2</v>
          </cell>
          <cell r="H14">
            <v>5.5E-2</v>
          </cell>
          <cell r="I14">
            <v>5.5E-2</v>
          </cell>
          <cell r="J14">
            <v>5.5E-2</v>
          </cell>
          <cell r="K14">
            <v>5.5E-2</v>
          </cell>
          <cell r="L14">
            <v>5.5E-2</v>
          </cell>
          <cell r="M14">
            <v>5.5E-2</v>
          </cell>
          <cell r="N14">
            <v>5.5E-2</v>
          </cell>
          <cell r="O14">
            <v>5.5E-2</v>
          </cell>
          <cell r="P14">
            <v>5.5E-2</v>
          </cell>
          <cell r="Q14">
            <v>5.5E-2</v>
          </cell>
          <cell r="R14">
            <v>5.5E-2</v>
          </cell>
          <cell r="S14">
            <v>5.5E-2</v>
          </cell>
          <cell r="T14">
            <v>5.5E-2</v>
          </cell>
          <cell r="U14">
            <v>5.5E-2</v>
          </cell>
          <cell r="V14">
            <v>5.5E-2</v>
          </cell>
          <cell r="W14">
            <v>5.5E-2</v>
          </cell>
          <cell r="X14">
            <v>5.5E-2</v>
          </cell>
          <cell r="Y14">
            <v>5.5E-2</v>
          </cell>
          <cell r="Z14">
            <v>5.5E-2</v>
          </cell>
          <cell r="AA14">
            <v>5.5E-2</v>
          </cell>
          <cell r="AB14">
            <v>5.5E-2</v>
          </cell>
          <cell r="AC14">
            <v>5.5E-2</v>
          </cell>
          <cell r="AD14">
            <v>5.5E-2</v>
          </cell>
          <cell r="AE14">
            <v>5.5E-2</v>
          </cell>
          <cell r="AF14">
            <v>5.5E-2</v>
          </cell>
          <cell r="AG14">
            <v>5.5E-2</v>
          </cell>
          <cell r="AH14">
            <v>5.5E-2</v>
          </cell>
          <cell r="AI14">
            <v>5.5E-2</v>
          </cell>
          <cell r="AJ14">
            <v>5.5E-2</v>
          </cell>
          <cell r="AK14">
            <v>5.5E-2</v>
          </cell>
          <cell r="AL14">
            <v>5.5E-2</v>
          </cell>
          <cell r="AM14">
            <v>5.5E-2</v>
          </cell>
          <cell r="AN14">
            <v>5.5E-2</v>
          </cell>
          <cell r="AO14">
            <v>5.5E-2</v>
          </cell>
          <cell r="AP14">
            <v>5.5E-2</v>
          </cell>
          <cell r="AQ14">
            <v>5.5E-2</v>
          </cell>
          <cell r="AR14">
            <v>5.5E-2</v>
          </cell>
          <cell r="AS14">
            <v>5.5E-2</v>
          </cell>
          <cell r="AT14">
            <v>5.5E-2</v>
          </cell>
          <cell r="AU14">
            <v>5.5E-2</v>
          </cell>
          <cell r="AV14">
            <v>5.5E-2</v>
          </cell>
          <cell r="AW14">
            <v>5.5E-2</v>
          </cell>
          <cell r="AX14">
            <v>5.5E-2</v>
          </cell>
          <cell r="AY14">
            <v>5.5E-2</v>
          </cell>
          <cell r="BA14" t="str">
            <v>END</v>
          </cell>
        </row>
        <row r="15">
          <cell r="B15" t="str">
            <v>Swap TIEE</v>
          </cell>
          <cell r="C15" t="str">
            <v>Mgmt Model</v>
          </cell>
          <cell r="E15">
            <v>4.2500000000000003E-2</v>
          </cell>
          <cell r="F15">
            <v>4.7500000000000001E-2</v>
          </cell>
          <cell r="G15">
            <v>5.7500000000000002E-2</v>
          </cell>
          <cell r="H15">
            <v>5.7500000000000002E-2</v>
          </cell>
          <cell r="I15">
            <v>5.7500000000000002E-2</v>
          </cell>
          <cell r="J15">
            <v>5.7500000000000002E-2</v>
          </cell>
          <cell r="K15">
            <v>5.7500000000000002E-2</v>
          </cell>
          <cell r="L15">
            <v>5.7500000000000002E-2</v>
          </cell>
          <cell r="M15">
            <v>5.7500000000000002E-2</v>
          </cell>
          <cell r="N15">
            <v>5.7500000000000002E-2</v>
          </cell>
          <cell r="O15">
            <v>5.7500000000000002E-2</v>
          </cell>
          <cell r="P15">
            <v>5.7500000000000002E-2</v>
          </cell>
          <cell r="Q15">
            <v>5.7500000000000002E-2</v>
          </cell>
          <cell r="R15">
            <v>5.7500000000000002E-2</v>
          </cell>
          <cell r="S15">
            <v>5.7500000000000002E-2</v>
          </cell>
          <cell r="T15">
            <v>5.7500000000000002E-2</v>
          </cell>
          <cell r="U15">
            <v>5.7500000000000002E-2</v>
          </cell>
          <cell r="V15">
            <v>5.7500000000000002E-2</v>
          </cell>
          <cell r="W15">
            <v>5.7500000000000002E-2</v>
          </cell>
          <cell r="X15">
            <v>5.7500000000000002E-2</v>
          </cell>
          <cell r="Y15">
            <v>5.7500000000000002E-2</v>
          </cell>
          <cell r="Z15">
            <v>5.7500000000000002E-2</v>
          </cell>
          <cell r="AA15">
            <v>5.7500000000000002E-2</v>
          </cell>
          <cell r="AB15">
            <v>5.7500000000000002E-2</v>
          </cell>
          <cell r="AC15">
            <v>5.7500000000000002E-2</v>
          </cell>
          <cell r="AD15">
            <v>5.7500000000000002E-2</v>
          </cell>
          <cell r="AE15">
            <v>5.7500000000000002E-2</v>
          </cell>
          <cell r="AF15">
            <v>5.7500000000000002E-2</v>
          </cell>
          <cell r="AG15">
            <v>5.7500000000000002E-2</v>
          </cell>
          <cell r="AH15">
            <v>5.7500000000000002E-2</v>
          </cell>
          <cell r="AI15">
            <v>5.7500000000000002E-2</v>
          </cell>
          <cell r="AJ15">
            <v>5.7500000000000002E-2</v>
          </cell>
          <cell r="AK15">
            <v>5.7500000000000002E-2</v>
          </cell>
          <cell r="AL15">
            <v>5.7500000000000002E-2</v>
          </cell>
          <cell r="AM15">
            <v>5.7500000000000002E-2</v>
          </cell>
          <cell r="AN15">
            <v>5.7500000000000002E-2</v>
          </cell>
          <cell r="AO15">
            <v>5.7500000000000002E-2</v>
          </cell>
          <cell r="AP15">
            <v>5.7500000000000002E-2</v>
          </cell>
          <cell r="AQ15">
            <v>5.7500000000000002E-2</v>
          </cell>
          <cell r="AR15">
            <v>5.7500000000000002E-2</v>
          </cell>
          <cell r="AS15">
            <v>5.7500000000000002E-2</v>
          </cell>
          <cell r="AT15">
            <v>5.7500000000000002E-2</v>
          </cell>
          <cell r="AU15">
            <v>5.7500000000000002E-2</v>
          </cell>
          <cell r="AV15">
            <v>5.7500000000000002E-2</v>
          </cell>
          <cell r="AW15">
            <v>5.7500000000000002E-2</v>
          </cell>
          <cell r="AX15">
            <v>5.7500000000000002E-2</v>
          </cell>
          <cell r="AY15">
            <v>5.7500000000000002E-2</v>
          </cell>
          <cell r="BA15" t="str">
            <v>END</v>
          </cell>
        </row>
        <row r="16">
          <cell r="B16" t="str">
            <v>Libor</v>
          </cell>
          <cell r="C16" t="str">
            <v>Mgmt Model</v>
          </cell>
          <cell r="E16">
            <v>2.2000000000001352E-2</v>
          </cell>
          <cell r="F16">
            <v>2.2000000000001352E-2</v>
          </cell>
          <cell r="G16">
            <v>2.200000000000113E-2</v>
          </cell>
          <cell r="H16">
            <v>2.200000000000113E-2</v>
          </cell>
          <cell r="I16">
            <v>2.2000000000001352E-2</v>
          </cell>
          <cell r="J16">
            <v>2.2000000000001352E-2</v>
          </cell>
          <cell r="K16">
            <v>2.200000000000113E-2</v>
          </cell>
          <cell r="L16">
            <v>2.200000000000113E-2</v>
          </cell>
          <cell r="M16">
            <v>2.2000000000001352E-2</v>
          </cell>
          <cell r="N16">
            <v>2.2000000000000908E-2</v>
          </cell>
          <cell r="O16">
            <v>2.2000000000001352E-2</v>
          </cell>
          <cell r="P16">
            <v>2.200000000000113E-2</v>
          </cell>
          <cell r="Q16">
            <v>2.200000000000113E-2</v>
          </cell>
          <cell r="R16">
            <v>2.2000000000000908E-2</v>
          </cell>
          <cell r="S16">
            <v>2.2000000000001352E-2</v>
          </cell>
          <cell r="T16">
            <v>2.200000000000113E-2</v>
          </cell>
          <cell r="U16">
            <v>2.2000000000001574E-2</v>
          </cell>
          <cell r="V16">
            <v>2.2000000000001574E-2</v>
          </cell>
          <cell r="W16">
            <v>2.200000000000113E-2</v>
          </cell>
          <cell r="X16">
            <v>2.2000000000001352E-2</v>
          </cell>
          <cell r="Y16">
            <v>2.200000000000113E-2</v>
          </cell>
          <cell r="Z16">
            <v>2.200000000000113E-2</v>
          </cell>
          <cell r="AA16">
            <v>2.200000000000113E-2</v>
          </cell>
          <cell r="AB16">
            <v>2.2000000000001574E-2</v>
          </cell>
          <cell r="AC16">
            <v>2.200000000000113E-2</v>
          </cell>
          <cell r="AD16">
            <v>2.2000000000001352E-2</v>
          </cell>
          <cell r="AE16">
            <v>2.200000000000113E-2</v>
          </cell>
          <cell r="AF16">
            <v>2.2000000000000908E-2</v>
          </cell>
          <cell r="AG16">
            <v>2.2000000000000908E-2</v>
          </cell>
          <cell r="AH16">
            <v>2.2000000000000908E-2</v>
          </cell>
          <cell r="AI16">
            <v>2.200000000000113E-2</v>
          </cell>
          <cell r="AJ16">
            <v>2.200000000000113E-2</v>
          </cell>
          <cell r="AK16">
            <v>2.2000000000001352E-2</v>
          </cell>
          <cell r="AL16">
            <v>2.2000000000001352E-2</v>
          </cell>
          <cell r="AM16">
            <v>2.2000000000001352E-2</v>
          </cell>
          <cell r="AN16">
            <v>2.2000000000001352E-2</v>
          </cell>
          <cell r="AO16">
            <v>2.2000000000001352E-2</v>
          </cell>
          <cell r="AP16">
            <v>2.2000000000001352E-2</v>
          </cell>
          <cell r="AQ16">
            <v>2.2000000000001352E-2</v>
          </cell>
          <cell r="AR16">
            <v>2.2000000000001352E-2</v>
          </cell>
          <cell r="AS16">
            <v>2.2000000000001352E-2</v>
          </cell>
          <cell r="AT16">
            <v>2.2000000000001352E-2</v>
          </cell>
          <cell r="AU16">
            <v>2.2000000000001352E-2</v>
          </cell>
          <cell r="AV16">
            <v>2.2000000000001352E-2</v>
          </cell>
          <cell r="AW16">
            <v>2.2000000000001352E-2</v>
          </cell>
          <cell r="AX16">
            <v>2.2000000000001352E-2</v>
          </cell>
          <cell r="AY16">
            <v>2.2000000000001352E-2</v>
          </cell>
          <cell r="BA16" t="str">
            <v>END</v>
          </cell>
        </row>
        <row r="17">
          <cell r="B17" t="str">
            <v>CPI</v>
          </cell>
          <cell r="C17" t="str">
            <v>Mgmt Model</v>
          </cell>
          <cell r="E17">
            <v>0.02</v>
          </cell>
          <cell r="F17">
            <v>0.02</v>
          </cell>
          <cell r="G17">
            <v>0.02</v>
          </cell>
          <cell r="H17">
            <v>0.02</v>
          </cell>
          <cell r="I17">
            <v>0.02</v>
          </cell>
          <cell r="J17">
            <v>0.02</v>
          </cell>
          <cell r="K17">
            <v>0.02</v>
          </cell>
          <cell r="L17">
            <v>0.02</v>
          </cell>
          <cell r="M17">
            <v>0.02</v>
          </cell>
          <cell r="N17">
            <v>0.02</v>
          </cell>
          <cell r="O17">
            <v>0.02</v>
          </cell>
          <cell r="P17">
            <v>0.02</v>
          </cell>
          <cell r="Q17">
            <v>0.02</v>
          </cell>
          <cell r="R17">
            <v>0.02</v>
          </cell>
          <cell r="S17">
            <v>0.02</v>
          </cell>
          <cell r="T17">
            <v>0.02</v>
          </cell>
          <cell r="U17">
            <v>0.02</v>
          </cell>
          <cell r="V17">
            <v>0.02</v>
          </cell>
          <cell r="W17">
            <v>0.02</v>
          </cell>
          <cell r="X17">
            <v>0.02</v>
          </cell>
          <cell r="Y17">
            <v>0.02</v>
          </cell>
          <cell r="Z17">
            <v>0.02</v>
          </cell>
          <cell r="AA17">
            <v>0.02</v>
          </cell>
          <cell r="AB17">
            <v>0.02</v>
          </cell>
          <cell r="AC17">
            <v>0.02</v>
          </cell>
          <cell r="AD17">
            <v>0.02</v>
          </cell>
          <cell r="AE17">
            <v>0.02</v>
          </cell>
          <cell r="AF17">
            <v>0.02</v>
          </cell>
          <cell r="AG17">
            <v>0.02</v>
          </cell>
          <cell r="AH17">
            <v>0.02</v>
          </cell>
          <cell r="AI17">
            <v>0.02</v>
          </cell>
          <cell r="AJ17">
            <v>0.02</v>
          </cell>
          <cell r="AK17">
            <v>0.02</v>
          </cell>
          <cell r="AL17">
            <v>0.02</v>
          </cell>
          <cell r="AM17">
            <v>0.02</v>
          </cell>
          <cell r="AN17">
            <v>0.02</v>
          </cell>
          <cell r="AO17">
            <v>0.02</v>
          </cell>
          <cell r="AP17">
            <v>0.02</v>
          </cell>
          <cell r="AQ17">
            <v>0.02</v>
          </cell>
          <cell r="AR17">
            <v>0.02</v>
          </cell>
          <cell r="AS17">
            <v>0.02</v>
          </cell>
          <cell r="AT17">
            <v>0.02</v>
          </cell>
          <cell r="AU17">
            <v>0.02</v>
          </cell>
          <cell r="AV17">
            <v>0.02</v>
          </cell>
          <cell r="AW17">
            <v>0.02</v>
          </cell>
          <cell r="AX17">
            <v>0.02</v>
          </cell>
          <cell r="AY17">
            <v>0.02</v>
          </cell>
          <cell r="BA17" t="str">
            <v>END</v>
          </cell>
        </row>
        <row r="18">
          <cell r="BA18" t="str">
            <v>END</v>
          </cell>
        </row>
        <row r="19">
          <cell r="B19" t="str">
            <v>FX</v>
          </cell>
          <cell r="BA19" t="str">
            <v>END</v>
          </cell>
        </row>
        <row r="20">
          <cell r="B20" t="str">
            <v>BRL</v>
          </cell>
          <cell r="C20" t="str">
            <v>Mgmt Model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 t="str">
            <v>END</v>
          </cell>
        </row>
        <row r="21">
          <cell r="B21" t="str">
            <v>MXN</v>
          </cell>
          <cell r="C21" t="str">
            <v>Mgmt Model</v>
          </cell>
          <cell r="D21">
            <v>0.22692430626180443</v>
          </cell>
          <cell r="E21">
            <v>0.23809523809523808</v>
          </cell>
          <cell r="F21">
            <v>0.25</v>
          </cell>
          <cell r="G21">
            <v>0.23952095808383234</v>
          </cell>
          <cell r="H21">
            <v>0.2430075963972933</v>
          </cell>
          <cell r="I21">
            <v>0.24654498871084726</v>
          </cell>
          <cell r="J21">
            <v>0.25231286978285705</v>
          </cell>
          <cell r="K21">
            <v>0.2582156895215782</v>
          </cell>
          <cell r="L21">
            <v>0.26425660479580626</v>
          </cell>
          <cell r="M21">
            <v>0.26425660479580626</v>
          </cell>
          <cell r="N21">
            <v>0.26425660479580626</v>
          </cell>
          <cell r="O21">
            <v>0.26425660479580626</v>
          </cell>
          <cell r="P21">
            <v>0.26425660479580626</v>
          </cell>
          <cell r="Q21">
            <v>0.26425660479580626</v>
          </cell>
          <cell r="R21">
            <v>0.26425660479580626</v>
          </cell>
          <cell r="S21">
            <v>0.26425660479580626</v>
          </cell>
          <cell r="T21">
            <v>0.26425660479580626</v>
          </cell>
          <cell r="U21">
            <v>0.26425660479580626</v>
          </cell>
          <cell r="V21">
            <v>0.26425660479580626</v>
          </cell>
          <cell r="W21">
            <v>0.26425660479580626</v>
          </cell>
          <cell r="X21">
            <v>0.26425660479580626</v>
          </cell>
          <cell r="Y21">
            <v>0.26425660479580626</v>
          </cell>
          <cell r="Z21">
            <v>0.26425660479580626</v>
          </cell>
          <cell r="AA21">
            <v>0.26425660479580626</v>
          </cell>
          <cell r="AB21">
            <v>0.26425660479580626</v>
          </cell>
          <cell r="AC21">
            <v>0.26425660479580626</v>
          </cell>
          <cell r="AD21">
            <v>0.26425660479580626</v>
          </cell>
          <cell r="AE21">
            <v>0.26425660479580626</v>
          </cell>
          <cell r="AF21">
            <v>0.26425660479580626</v>
          </cell>
          <cell r="AG21">
            <v>0.26425660479580626</v>
          </cell>
          <cell r="AH21">
            <v>0.26425660479580626</v>
          </cell>
          <cell r="AI21">
            <v>0.26425660479580626</v>
          </cell>
          <cell r="AJ21">
            <v>0.26425660479580626</v>
          </cell>
          <cell r="AK21">
            <v>0.26425660479580626</v>
          </cell>
          <cell r="AL21">
            <v>0.26425660479580626</v>
          </cell>
          <cell r="AM21">
            <v>0.26425660479580626</v>
          </cell>
          <cell r="AN21">
            <v>0.26425660479580626</v>
          </cell>
          <cell r="AO21">
            <v>0.26425660479580626</v>
          </cell>
          <cell r="AP21">
            <v>0.26425660479580626</v>
          </cell>
          <cell r="AQ21">
            <v>0.26425660479580626</v>
          </cell>
          <cell r="AR21">
            <v>0.26425660479580626</v>
          </cell>
          <cell r="AS21">
            <v>0.26425660479580626</v>
          </cell>
          <cell r="AT21">
            <v>0.26425660479580626</v>
          </cell>
          <cell r="AU21">
            <v>0.26425660479580626</v>
          </cell>
          <cell r="AV21">
            <v>0.26425660479580626</v>
          </cell>
          <cell r="AW21">
            <v>0.26425660479580626</v>
          </cell>
          <cell r="AX21">
            <v>0.26425660479580626</v>
          </cell>
          <cell r="AY21">
            <v>0.26425660479580626</v>
          </cell>
          <cell r="BA21" t="str">
            <v>END</v>
          </cell>
        </row>
        <row r="22">
          <cell r="B22" t="str">
            <v>PEN</v>
          </cell>
          <cell r="C22" t="str">
            <v>Mgmt Model</v>
          </cell>
          <cell r="D22">
            <v>1.1438950082024841</v>
          </cell>
          <cell r="E22">
            <v>1.1204481792717087</v>
          </cell>
          <cell r="F22">
            <v>1.1699164345403901</v>
          </cell>
          <cell r="G22">
            <v>1.1111111111111112</v>
          </cell>
          <cell r="H22">
            <v>1.128929310654633</v>
          </cell>
          <cell r="I22">
            <v>1.1629995711589054</v>
          </cell>
          <cell r="J22">
            <v>1.2018764659974419</v>
          </cell>
          <cell r="K22">
            <v>1.2420529425295335</v>
          </cell>
          <cell r="L22">
            <v>1.2835724433342532</v>
          </cell>
          <cell r="M22">
            <v>1.2835724433342532</v>
          </cell>
          <cell r="N22">
            <v>1.2835724433342532</v>
          </cell>
          <cell r="O22">
            <v>1.2835724433342532</v>
          </cell>
          <cell r="P22">
            <v>1.2835724433342532</v>
          </cell>
          <cell r="Q22">
            <v>1.2835724433342532</v>
          </cell>
          <cell r="R22">
            <v>1.2835724433342532</v>
          </cell>
          <cell r="S22">
            <v>1.2835724433342532</v>
          </cell>
          <cell r="T22">
            <v>1.2835724433342532</v>
          </cell>
          <cell r="U22">
            <v>1.2835724433342532</v>
          </cell>
          <cell r="V22">
            <v>1.2835724433342532</v>
          </cell>
          <cell r="W22">
            <v>1.2835724433342532</v>
          </cell>
          <cell r="X22">
            <v>1.2835724433342532</v>
          </cell>
          <cell r="Y22">
            <v>1.2835724433342532</v>
          </cell>
          <cell r="Z22">
            <v>1.2835724433342532</v>
          </cell>
          <cell r="AA22">
            <v>1.2835724433342532</v>
          </cell>
          <cell r="AB22">
            <v>1.2835724433342532</v>
          </cell>
          <cell r="AC22">
            <v>1.2835724433342532</v>
          </cell>
          <cell r="AD22">
            <v>1.2835724433342532</v>
          </cell>
          <cell r="AE22">
            <v>1.2835724433342532</v>
          </cell>
          <cell r="AF22">
            <v>1.2835724433342532</v>
          </cell>
          <cell r="AG22">
            <v>1.2835724433342532</v>
          </cell>
          <cell r="AH22">
            <v>1.2835724433342532</v>
          </cell>
          <cell r="AI22">
            <v>1.2835724433342532</v>
          </cell>
          <cell r="AJ22">
            <v>1.2835724433342532</v>
          </cell>
          <cell r="AK22">
            <v>1.2835724433342532</v>
          </cell>
          <cell r="AL22">
            <v>1.2835724433342532</v>
          </cell>
          <cell r="AM22">
            <v>1.2835724433342532</v>
          </cell>
          <cell r="AN22">
            <v>1.2835724433342532</v>
          </cell>
          <cell r="AO22">
            <v>1.2835724433342532</v>
          </cell>
          <cell r="AP22">
            <v>1.2835724433342532</v>
          </cell>
          <cell r="AQ22">
            <v>1.2835724433342532</v>
          </cell>
          <cell r="AR22">
            <v>1.2835724433342532</v>
          </cell>
          <cell r="AS22">
            <v>1.2835724433342532</v>
          </cell>
          <cell r="AT22">
            <v>1.2835724433342532</v>
          </cell>
          <cell r="AU22">
            <v>1.2835724433342532</v>
          </cell>
          <cell r="AV22">
            <v>1.2835724433342532</v>
          </cell>
          <cell r="AW22">
            <v>1.2835724433342532</v>
          </cell>
          <cell r="AX22">
            <v>1.2835724433342532</v>
          </cell>
          <cell r="AY22">
            <v>1.2835724433342532</v>
          </cell>
          <cell r="BA22" t="str">
            <v>END</v>
          </cell>
        </row>
        <row r="23">
          <cell r="B23" t="str">
            <v>USD</v>
          </cell>
          <cell r="C23" t="str">
            <v>Mgmt Model</v>
          </cell>
          <cell r="D23">
            <v>3.9</v>
          </cell>
          <cell r="E23">
            <v>4</v>
          </cell>
          <cell r="F23">
            <v>4.2</v>
          </cell>
          <cell r="G23">
            <v>4</v>
          </cell>
          <cell r="H23">
            <v>4.0980133976763176</v>
          </cell>
          <cell r="I23">
            <v>4.1984284518836485</v>
          </cell>
          <cell r="J23">
            <v>4.3387740422507655</v>
          </cell>
          <cell r="K23">
            <v>4.4838111225316153</v>
          </cell>
          <cell r="L23">
            <v>4.6336965204366543</v>
          </cell>
          <cell r="M23">
            <v>4.6336965204366543</v>
          </cell>
          <cell r="N23">
            <v>4.6336965204366543</v>
          </cell>
          <cell r="O23">
            <v>4.6336965204366543</v>
          </cell>
          <cell r="P23">
            <v>4.6336965204366543</v>
          </cell>
          <cell r="Q23">
            <v>4.6336965204366543</v>
          </cell>
          <cell r="R23">
            <v>4.6336965204366543</v>
          </cell>
          <cell r="S23">
            <v>4.6336965204366543</v>
          </cell>
          <cell r="T23">
            <v>4.6336965204366543</v>
          </cell>
          <cell r="U23">
            <v>4.6336965204366543</v>
          </cell>
          <cell r="V23">
            <v>4.6336965204366543</v>
          </cell>
          <cell r="W23">
            <v>4.6336965204366543</v>
          </cell>
          <cell r="X23">
            <v>4.6336965204366543</v>
          </cell>
          <cell r="Y23">
            <v>4.6336965204366543</v>
          </cell>
          <cell r="Z23">
            <v>4.6336965204366543</v>
          </cell>
          <cell r="AA23">
            <v>4.6336965204366543</v>
          </cell>
          <cell r="AB23">
            <v>4.6336965204366543</v>
          </cell>
          <cell r="AC23">
            <v>4.6336965204366543</v>
          </cell>
          <cell r="AD23">
            <v>4.6336965204366543</v>
          </cell>
          <cell r="AE23">
            <v>4.6336965204366543</v>
          </cell>
          <cell r="AF23">
            <v>4.6336965204366543</v>
          </cell>
          <cell r="AG23">
            <v>4.6336965204366543</v>
          </cell>
          <cell r="AH23">
            <v>4.6336965204366543</v>
          </cell>
          <cell r="AI23">
            <v>4.6336965204366543</v>
          </cell>
          <cell r="AJ23">
            <v>4.6336965204366543</v>
          </cell>
          <cell r="AK23">
            <v>4.6336965204366543</v>
          </cell>
          <cell r="AL23">
            <v>4.6336965204366543</v>
          </cell>
          <cell r="AM23">
            <v>4.6336965204366543</v>
          </cell>
          <cell r="AN23">
            <v>4.6336965204366543</v>
          </cell>
          <cell r="AO23">
            <v>4.6336965204366543</v>
          </cell>
          <cell r="AP23">
            <v>4.6336965204366543</v>
          </cell>
          <cell r="AQ23">
            <v>4.6336965204366543</v>
          </cell>
          <cell r="AR23">
            <v>4.6336965204366543</v>
          </cell>
          <cell r="AS23">
            <v>4.6336965204366543</v>
          </cell>
          <cell r="AT23">
            <v>4.6336965204366543</v>
          </cell>
          <cell r="AU23">
            <v>4.6336965204366543</v>
          </cell>
          <cell r="AV23">
            <v>4.6336965204366543</v>
          </cell>
          <cell r="AW23">
            <v>4.6336965204366543</v>
          </cell>
          <cell r="AX23">
            <v>4.6336965204366543</v>
          </cell>
          <cell r="AY23">
            <v>4.6336965204366543</v>
          </cell>
          <cell r="BA23" t="str">
            <v>END</v>
          </cell>
        </row>
        <row r="24">
          <cell r="BA24" t="str">
            <v>END</v>
          </cell>
        </row>
        <row r="25">
          <cell r="A25" t="str">
            <v>END</v>
          </cell>
          <cell r="B25" t="str">
            <v>END</v>
          </cell>
          <cell r="C25" t="str">
            <v>END</v>
          </cell>
          <cell r="D25" t="str">
            <v>END</v>
          </cell>
          <cell r="E25" t="str">
            <v>END</v>
          </cell>
          <cell r="F25" t="str">
            <v>END</v>
          </cell>
          <cell r="G25" t="str">
            <v>END</v>
          </cell>
          <cell r="H25" t="str">
            <v>END</v>
          </cell>
          <cell r="I25" t="str">
            <v>END</v>
          </cell>
          <cell r="J25" t="str">
            <v>END</v>
          </cell>
          <cell r="K25" t="str">
            <v>END</v>
          </cell>
          <cell r="L25" t="str">
            <v>END</v>
          </cell>
          <cell r="M25" t="str">
            <v>END</v>
          </cell>
          <cell r="N25" t="str">
            <v>END</v>
          </cell>
          <cell r="O25" t="str">
            <v>END</v>
          </cell>
          <cell r="P25" t="str">
            <v>END</v>
          </cell>
          <cell r="Q25" t="str">
            <v>END</v>
          </cell>
          <cell r="R25" t="str">
            <v>END</v>
          </cell>
          <cell r="S25" t="str">
            <v>END</v>
          </cell>
          <cell r="T25" t="str">
            <v>END</v>
          </cell>
          <cell r="U25" t="str">
            <v>END</v>
          </cell>
          <cell r="V25" t="str">
            <v>END</v>
          </cell>
          <cell r="W25" t="str">
            <v>END</v>
          </cell>
          <cell r="X25" t="str">
            <v>END</v>
          </cell>
          <cell r="Y25" t="str">
            <v>END</v>
          </cell>
          <cell r="Z25" t="str">
            <v>END</v>
          </cell>
          <cell r="AA25" t="str">
            <v>END</v>
          </cell>
          <cell r="AB25" t="str">
            <v>END</v>
          </cell>
          <cell r="AC25" t="str">
            <v>END</v>
          </cell>
          <cell r="AD25" t="str">
            <v>END</v>
          </cell>
          <cell r="AE25" t="str">
            <v>END</v>
          </cell>
          <cell r="AF25" t="str">
            <v>END</v>
          </cell>
          <cell r="AG25" t="str">
            <v>END</v>
          </cell>
          <cell r="AH25" t="str">
            <v>END</v>
          </cell>
          <cell r="AI25" t="str">
            <v>END</v>
          </cell>
          <cell r="AJ25" t="str">
            <v>END</v>
          </cell>
          <cell r="AK25" t="str">
            <v>END</v>
          </cell>
          <cell r="AL25" t="str">
            <v>END</v>
          </cell>
          <cell r="AM25" t="str">
            <v>END</v>
          </cell>
          <cell r="AN25" t="str">
            <v>END</v>
          </cell>
          <cell r="AO25" t="str">
            <v>END</v>
          </cell>
          <cell r="AP25" t="str">
            <v>END</v>
          </cell>
          <cell r="AQ25" t="str">
            <v>END</v>
          </cell>
          <cell r="AR25" t="str">
            <v>END</v>
          </cell>
          <cell r="AS25" t="str">
            <v>END</v>
          </cell>
          <cell r="AT25" t="str">
            <v>END</v>
          </cell>
          <cell r="AU25" t="str">
            <v>END</v>
          </cell>
          <cell r="AV25" t="str">
            <v>END</v>
          </cell>
          <cell r="AW25" t="str">
            <v>END</v>
          </cell>
          <cell r="AX25" t="str">
            <v>END</v>
          </cell>
          <cell r="AY25" t="str">
            <v>END</v>
          </cell>
          <cell r="AZ25" t="str">
            <v>END</v>
          </cell>
          <cell r="BA25" t="str">
            <v>END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B1" t="str">
            <v>Project Fiji - Water and Wastewater Model</v>
          </cell>
        </row>
      </sheetData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RAPH4"/>
    </sheetNames>
    <sheetDataSet>
      <sheetData sheetId="0">
        <row r="8">
          <cell r="K8">
            <v>32.700000000000003</v>
          </cell>
        </row>
        <row r="9">
          <cell r="K9">
            <v>32.200000000000003</v>
          </cell>
        </row>
        <row r="10">
          <cell r="K10">
            <v>30.299999999999997</v>
          </cell>
        </row>
        <row r="11">
          <cell r="K11">
            <v>29.200000000000003</v>
          </cell>
        </row>
        <row r="12">
          <cell r="K12">
            <v>28.7</v>
          </cell>
        </row>
        <row r="13">
          <cell r="K13">
            <v>24</v>
          </cell>
        </row>
        <row r="14">
          <cell r="K14">
            <v>23.8</v>
          </cell>
        </row>
        <row r="15">
          <cell r="K15">
            <v>20.399999999999999</v>
          </cell>
        </row>
        <row r="16">
          <cell r="K16">
            <v>19</v>
          </cell>
        </row>
        <row r="17">
          <cell r="K17">
            <v>16.3</v>
          </cell>
        </row>
        <row r="18">
          <cell r="K18">
            <v>16</v>
          </cell>
        </row>
        <row r="19">
          <cell r="K19">
            <v>15.8</v>
          </cell>
        </row>
        <row r="20">
          <cell r="K20">
            <v>14.600000000000001</v>
          </cell>
        </row>
        <row r="21">
          <cell r="K21">
            <v>13.100000000000001</v>
          </cell>
        </row>
        <row r="22">
          <cell r="K22">
            <v>13</v>
          </cell>
        </row>
        <row r="23">
          <cell r="K23">
            <v>11.3</v>
          </cell>
        </row>
        <row r="24">
          <cell r="K24">
            <v>10.4</v>
          </cell>
        </row>
        <row r="25">
          <cell r="K25">
            <v>10.1</v>
          </cell>
        </row>
        <row r="26">
          <cell r="K26">
            <v>10</v>
          </cell>
        </row>
        <row r="27">
          <cell r="K27">
            <v>9.6</v>
          </cell>
        </row>
        <row r="28">
          <cell r="K28">
            <v>8.1</v>
          </cell>
        </row>
        <row r="29">
          <cell r="K29">
            <v>6</v>
          </cell>
        </row>
        <row r="30">
          <cell r="K30">
            <v>5.0999999999999996</v>
          </cell>
        </row>
        <row r="31">
          <cell r="K31">
            <v>3.5999999999999996</v>
          </cell>
        </row>
        <row r="32">
          <cell r="K32">
            <v>3.0999999999999996</v>
          </cell>
        </row>
        <row r="33">
          <cell r="K33">
            <v>1</v>
          </cell>
        </row>
        <row r="34">
          <cell r="K34">
            <v>0.5</v>
          </cell>
        </row>
        <row r="35">
          <cell r="K35">
            <v>0</v>
          </cell>
        </row>
        <row r="36">
          <cell r="K36">
            <v>-0.60000000000000009</v>
          </cell>
        </row>
        <row r="37">
          <cell r="K37">
            <v>-2.6</v>
          </cell>
        </row>
        <row r="38">
          <cell r="K38">
            <v>-2.8</v>
          </cell>
        </row>
        <row r="69">
          <cell r="O69">
            <v>12.5</v>
          </cell>
          <cell r="Q69">
            <v>0</v>
          </cell>
        </row>
        <row r="70">
          <cell r="O70">
            <v>12.5</v>
          </cell>
          <cell r="Q70">
            <v>0.14473255055446838</v>
          </cell>
        </row>
        <row r="71">
          <cell r="O71">
            <v>9.8000000000000007</v>
          </cell>
          <cell r="Q71">
            <v>0.14473255055446838</v>
          </cell>
        </row>
        <row r="72">
          <cell r="O72">
            <v>9.8000000000000007</v>
          </cell>
          <cell r="Q72">
            <v>0.21709882583170254</v>
          </cell>
        </row>
        <row r="73">
          <cell r="O73">
            <v>9</v>
          </cell>
          <cell r="Q73">
            <v>0.21709882583170254</v>
          </cell>
        </row>
        <row r="74">
          <cell r="O74">
            <v>9</v>
          </cell>
          <cell r="Q74">
            <v>0.45831974342248316</v>
          </cell>
        </row>
        <row r="75">
          <cell r="O75">
            <v>8</v>
          </cell>
          <cell r="Q75">
            <v>0.45831974342248316</v>
          </cell>
        </row>
        <row r="76">
          <cell r="O76">
            <v>8</v>
          </cell>
          <cell r="Q76">
            <v>0.54515927375516415</v>
          </cell>
        </row>
        <row r="77">
          <cell r="O77">
            <v>6.3</v>
          </cell>
          <cell r="Q77">
            <v>0.54515927375516415</v>
          </cell>
        </row>
        <row r="78">
          <cell r="O78">
            <v>6.3</v>
          </cell>
          <cell r="Q78">
            <v>0.66576973255055449</v>
          </cell>
        </row>
        <row r="79">
          <cell r="O79">
            <v>6.2</v>
          </cell>
          <cell r="Q79">
            <v>0.66576973255055449</v>
          </cell>
        </row>
        <row r="80">
          <cell r="O80">
            <v>6.2</v>
          </cell>
          <cell r="Q80">
            <v>0.72142041748206132</v>
          </cell>
        </row>
        <row r="81">
          <cell r="O81">
            <v>4.5</v>
          </cell>
          <cell r="Q81">
            <v>0.72142041748206132</v>
          </cell>
        </row>
        <row r="82">
          <cell r="O82">
            <v>4.5</v>
          </cell>
          <cell r="Q82">
            <v>0.86615296803652964</v>
          </cell>
        </row>
        <row r="83">
          <cell r="O83">
            <v>2.7</v>
          </cell>
          <cell r="Q83">
            <v>0.86615296803652964</v>
          </cell>
        </row>
        <row r="84">
          <cell r="O84">
            <v>2.7</v>
          </cell>
          <cell r="Q84">
            <v>0.95890410958904104</v>
          </cell>
        </row>
        <row r="85">
          <cell r="O85">
            <v>0</v>
          </cell>
          <cell r="Q85">
            <v>0.95890410958904104</v>
          </cell>
        </row>
        <row r="86">
          <cell r="O86">
            <v>0</v>
          </cell>
          <cell r="Q86">
            <v>1</v>
          </cell>
        </row>
        <row r="133">
          <cell r="O133">
            <v>10.75</v>
          </cell>
          <cell r="Q133">
            <v>0</v>
          </cell>
        </row>
        <row r="134">
          <cell r="O134">
            <v>10.75</v>
          </cell>
          <cell r="Q134">
            <v>0.14473255055446838</v>
          </cell>
        </row>
        <row r="135">
          <cell r="O135">
            <v>9</v>
          </cell>
          <cell r="Q135">
            <v>0.14473255055446838</v>
          </cell>
        </row>
        <row r="136">
          <cell r="O136">
            <v>9</v>
          </cell>
          <cell r="Q136">
            <v>0.38595346814524895</v>
          </cell>
        </row>
        <row r="137">
          <cell r="O137">
            <v>8.0500000000000007</v>
          </cell>
          <cell r="Q137">
            <v>0.38595346814524895</v>
          </cell>
        </row>
        <row r="138">
          <cell r="O138">
            <v>8.0500000000000007</v>
          </cell>
          <cell r="Q138">
            <v>0.45831974342248316</v>
          </cell>
        </row>
        <row r="139">
          <cell r="O139">
            <v>6.3</v>
          </cell>
          <cell r="Q139">
            <v>0.45831974342248316</v>
          </cell>
        </row>
        <row r="140">
          <cell r="O140">
            <v>6.3</v>
          </cell>
          <cell r="Q140">
            <v>0.5789302022178735</v>
          </cell>
        </row>
        <row r="141">
          <cell r="O141">
            <v>6.25</v>
          </cell>
          <cell r="Q141">
            <v>0.5789302022178735</v>
          </cell>
        </row>
        <row r="142">
          <cell r="O142">
            <v>6.25</v>
          </cell>
          <cell r="Q142">
            <v>0.66576973255055449</v>
          </cell>
        </row>
        <row r="143">
          <cell r="O143">
            <v>4.5</v>
          </cell>
          <cell r="Q143">
            <v>0.66576973255055449</v>
          </cell>
        </row>
        <row r="144">
          <cell r="O144">
            <v>4.5</v>
          </cell>
          <cell r="Q144">
            <v>0.81050228310502281</v>
          </cell>
        </row>
        <row r="145">
          <cell r="O145">
            <v>4.45</v>
          </cell>
          <cell r="Q145">
            <v>0.81050228310502281</v>
          </cell>
        </row>
        <row r="146">
          <cell r="O146">
            <v>4.45</v>
          </cell>
          <cell r="Q146">
            <v>0.86615296803652964</v>
          </cell>
        </row>
        <row r="147">
          <cell r="O147">
            <v>2.7</v>
          </cell>
          <cell r="Q147">
            <v>0.86615296803652964</v>
          </cell>
        </row>
        <row r="148">
          <cell r="O148">
            <v>2.7</v>
          </cell>
          <cell r="Q148">
            <v>0.95890410958904104</v>
          </cell>
        </row>
        <row r="149">
          <cell r="O149">
            <v>0</v>
          </cell>
          <cell r="Q149">
            <v>0.95890410958904104</v>
          </cell>
        </row>
        <row r="150">
          <cell r="O150">
            <v>0</v>
          </cell>
          <cell r="Q150">
            <v>1</v>
          </cell>
        </row>
        <row r="294">
          <cell r="H294">
            <v>0</v>
          </cell>
          <cell r="J294">
            <v>10410.076234615382</v>
          </cell>
        </row>
        <row r="295">
          <cell r="H295">
            <v>0.15093537414965988</v>
          </cell>
          <cell r="J295">
            <v>10410.076234615382</v>
          </cell>
          <cell r="K295">
            <v>0</v>
          </cell>
        </row>
        <row r="296">
          <cell r="H296">
            <v>0.15093537414965988</v>
          </cell>
          <cell r="J296">
            <v>9000</v>
          </cell>
          <cell r="K296">
            <v>1410.0762346153824</v>
          </cell>
        </row>
        <row r="297">
          <cell r="H297">
            <v>0.4024943310657596</v>
          </cell>
          <cell r="J297">
            <v>9000</v>
          </cell>
          <cell r="K297">
            <v>1410.0762346153824</v>
          </cell>
        </row>
        <row r="298">
          <cell r="H298">
            <v>0.4024943310657596</v>
          </cell>
          <cell r="J298">
            <v>8050.0000000000009</v>
          </cell>
          <cell r="K298">
            <v>2360.0762346153815</v>
          </cell>
        </row>
        <row r="299">
          <cell r="H299">
            <v>0.47796201814058953</v>
          </cell>
          <cell r="J299">
            <v>8050.0000000000009</v>
          </cell>
          <cell r="K299">
            <v>2360.0762346153815</v>
          </cell>
        </row>
        <row r="300">
          <cell r="H300">
            <v>0.47796201814058953</v>
          </cell>
          <cell r="J300">
            <v>6300</v>
          </cell>
          <cell r="K300">
            <v>4000</v>
          </cell>
        </row>
        <row r="301">
          <cell r="H301">
            <v>0.6037414965986394</v>
          </cell>
          <cell r="J301">
            <v>6300</v>
          </cell>
          <cell r="K301">
            <v>4000</v>
          </cell>
        </row>
        <row r="302">
          <cell r="H302">
            <v>0.6037414965986394</v>
          </cell>
          <cell r="J302">
            <v>6250</v>
          </cell>
          <cell r="K302">
            <v>4000</v>
          </cell>
        </row>
        <row r="303">
          <cell r="H303">
            <v>0.69430272108843527</v>
          </cell>
          <cell r="J303">
            <v>6250</v>
          </cell>
          <cell r="K303">
            <v>4000</v>
          </cell>
        </row>
        <row r="304">
          <cell r="H304">
            <v>0.69430272108843527</v>
          </cell>
          <cell r="J304">
            <v>4500</v>
          </cell>
          <cell r="K304">
            <v>4000</v>
          </cell>
        </row>
        <row r="305">
          <cell r="H305">
            <v>0.84523809523809512</v>
          </cell>
          <cell r="J305">
            <v>4500</v>
          </cell>
          <cell r="K305">
            <v>4000</v>
          </cell>
        </row>
        <row r="306">
          <cell r="H306">
            <v>0.84523809523809512</v>
          </cell>
          <cell r="J306">
            <v>4450</v>
          </cell>
          <cell r="K306">
            <v>4000</v>
          </cell>
        </row>
        <row r="307">
          <cell r="H307">
            <v>0.90327380952380942</v>
          </cell>
          <cell r="J307">
            <v>4450</v>
          </cell>
          <cell r="K307">
            <v>4000</v>
          </cell>
        </row>
        <row r="308">
          <cell r="H308">
            <v>0.90327380952380942</v>
          </cell>
          <cell r="J308">
            <v>2700</v>
          </cell>
          <cell r="K308">
            <v>4000</v>
          </cell>
        </row>
        <row r="309">
          <cell r="H309">
            <v>0.99999999999999989</v>
          </cell>
          <cell r="J309">
            <v>2700</v>
          </cell>
          <cell r="K309">
            <v>4000</v>
          </cell>
        </row>
      </sheetData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es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ECs"/>
    </sheet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"/>
      <sheetName val="Conciliação Bancária"/>
      <sheetName val="Contas a Pagar"/>
      <sheetName val="Contas a Receber"/>
      <sheetName val="Cópia de Cheque"/>
      <sheetName val="Fluxo de Caixa Realizado"/>
      <sheetName val="Previsão de Fluxo de Caixa"/>
      <sheetName val="Contas de Arrecadação"/>
      <sheetName val="Conta Debentures"/>
      <sheetName val="Fluxo de Informações"/>
    </sheetNames>
    <sheetDataSet>
      <sheetData sheetId="0" refreshError="1"/>
      <sheetData sheetId="1">
        <row r="5">
          <cell r="C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>
            <v>0</v>
          </cell>
          <cell r="I5">
            <v>0</v>
          </cell>
          <cell r="K5">
            <v>3369.72</v>
          </cell>
          <cell r="L5">
            <v>3369.72</v>
          </cell>
        </row>
        <row r="6">
          <cell r="C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>
            <v>0</v>
          </cell>
          <cell r="I6">
            <v>0</v>
          </cell>
          <cell r="K6">
            <v>3369.72</v>
          </cell>
          <cell r="L6">
            <v>3369.72</v>
          </cell>
        </row>
        <row r="7">
          <cell r="C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>
            <v>0</v>
          </cell>
          <cell r="I7">
            <v>0</v>
          </cell>
          <cell r="K7">
            <v>3369.72</v>
          </cell>
          <cell r="L7">
            <v>3369.72</v>
          </cell>
        </row>
        <row r="8">
          <cell r="C8" t="str">
            <v>1.2.4.31.</v>
          </cell>
          <cell r="D8">
            <v>40603</v>
          </cell>
          <cell r="E8" t="str">
            <v>SANESALTO SANEAMENTO S.A</v>
          </cell>
          <cell r="F8" t="str">
            <v>Cheque caixa despesas internas (março - 2011)</v>
          </cell>
          <cell r="G8" t="str">
            <v>D</v>
          </cell>
          <cell r="H8">
            <v>4999</v>
          </cell>
          <cell r="I8">
            <v>0</v>
          </cell>
          <cell r="J8" t="str">
            <v>X</v>
          </cell>
          <cell r="K8">
            <v>-1629.2800000000002</v>
          </cell>
          <cell r="L8">
            <v>-1629.2800000000002</v>
          </cell>
        </row>
        <row r="9">
          <cell r="C9" t="str">
            <v>1.2.4.2.</v>
          </cell>
          <cell r="D9">
            <v>40603</v>
          </cell>
          <cell r="E9" t="str">
            <v>COMPANHIA PIRATININGA DE FORÇA E LUZ</v>
          </cell>
          <cell r="F9" t="str">
            <v>CONSUMO DE ENERGIA ELÉTRIA ELEVATORIA  II REF 02/2011</v>
          </cell>
          <cell r="G9" t="str">
            <v>D</v>
          </cell>
          <cell r="H9">
            <v>264.72000000000003</v>
          </cell>
          <cell r="I9">
            <v>0</v>
          </cell>
          <cell r="J9" t="str">
            <v>X</v>
          </cell>
          <cell r="K9">
            <v>-1894.0000000000002</v>
          </cell>
          <cell r="L9">
            <v>-1894.0000000000002</v>
          </cell>
        </row>
        <row r="10">
          <cell r="C10" t="str">
            <v>1.2.4.14.</v>
          </cell>
          <cell r="D10">
            <v>40603</v>
          </cell>
          <cell r="E10" t="str">
            <v>NEXTEL TELECOMUNICAÇÕES</v>
          </cell>
          <cell r="F10" t="str">
            <v>SERVIÇOS DE TELECOMUNICAÇÕES DE 07/01/11 A 06/02/11</v>
          </cell>
          <cell r="G10" t="str">
            <v>D</v>
          </cell>
          <cell r="H10">
            <v>507.3</v>
          </cell>
          <cell r="I10">
            <v>0</v>
          </cell>
          <cell r="J10" t="str">
            <v>X</v>
          </cell>
          <cell r="K10">
            <v>-2401.3000000000002</v>
          </cell>
          <cell r="L10">
            <v>-2401.3000000000002</v>
          </cell>
        </row>
        <row r="11">
          <cell r="C11" t="str">
            <v>1.2.4.14.</v>
          </cell>
          <cell r="D11">
            <v>40603</v>
          </cell>
          <cell r="E11" t="str">
            <v>NEXTEL TELECOMUNICAÇÕES</v>
          </cell>
          <cell r="F11" t="str">
            <v>SERVIÇOS DE TELECOMUNICAÇÕES DE 07/01/11 A 06/02/11</v>
          </cell>
          <cell r="G11" t="str">
            <v>D</v>
          </cell>
          <cell r="H11">
            <v>484</v>
          </cell>
          <cell r="I11">
            <v>0</v>
          </cell>
          <cell r="J11" t="str">
            <v>X</v>
          </cell>
          <cell r="K11">
            <v>-2885.3</v>
          </cell>
          <cell r="L11">
            <v>-2885.3</v>
          </cell>
        </row>
        <row r="12">
          <cell r="C12" t="str">
            <v>1.2.3.7.</v>
          </cell>
          <cell r="D12">
            <v>40603</v>
          </cell>
          <cell r="E12" t="str">
            <v>SODEXO PASS DO BRASIL SERVIÇOS E COMÉRCIOS LTDA</v>
          </cell>
          <cell r="F12" t="str">
            <v>VALE ALIMENTAÇÃO DOS FUNCIONARIOS NO MÊS DE 03/2011</v>
          </cell>
          <cell r="G12" t="str">
            <v>D</v>
          </cell>
          <cell r="H12">
            <v>3531.03</v>
          </cell>
          <cell r="I12">
            <v>0</v>
          </cell>
          <cell r="J12" t="str">
            <v>X</v>
          </cell>
          <cell r="K12">
            <v>-6416.33</v>
          </cell>
          <cell r="L12">
            <v>-6416.33</v>
          </cell>
        </row>
        <row r="13">
          <cell r="C13" t="str">
            <v>1.2.5.17.</v>
          </cell>
          <cell r="D13">
            <v>40603</v>
          </cell>
          <cell r="E13" t="str">
            <v>NET SERV LTDA</v>
          </cell>
          <cell r="F13" t="str">
            <v>MENSALIDADE DE CONEXÃO ETE DE 28/02/11 A 30/03/11</v>
          </cell>
          <cell r="G13" t="str">
            <v>D</v>
          </cell>
          <cell r="H13">
            <v>134</v>
          </cell>
          <cell r="I13">
            <v>0</v>
          </cell>
          <cell r="J13" t="str">
            <v>X</v>
          </cell>
          <cell r="K13">
            <v>-6550.33</v>
          </cell>
          <cell r="L13">
            <v>-6550.33</v>
          </cell>
        </row>
        <row r="14">
          <cell r="C14" t="str">
            <v>1.2.4.5.</v>
          </cell>
          <cell r="D14">
            <v>40603</v>
          </cell>
          <cell r="E14" t="str">
            <v>NET SERV LTDA</v>
          </cell>
          <cell r="F14" t="str">
            <v>MENSALIDADE DE CONEXÃO ESCRITÓRIO DE 28/02/11 A 30/03/11</v>
          </cell>
          <cell r="G14" t="str">
            <v>D</v>
          </cell>
          <cell r="H14">
            <v>307</v>
          </cell>
          <cell r="I14">
            <v>0</v>
          </cell>
          <cell r="J14" t="str">
            <v>X</v>
          </cell>
          <cell r="K14">
            <v>-6857.33</v>
          </cell>
          <cell r="L14">
            <v>-6857.33</v>
          </cell>
        </row>
        <row r="15">
          <cell r="C15" t="str">
            <v>1.2.3.7.</v>
          </cell>
          <cell r="D15">
            <v>40603</v>
          </cell>
          <cell r="E15" t="str">
            <v>FERNANDO APARECIDO BERGAMINI ME</v>
          </cell>
          <cell r="F15" t="str">
            <v>MARMITEX DOS FUNCIONÁRIOS DA ETE NO MÊS 02/2011</v>
          </cell>
          <cell r="G15" t="str">
            <v>D</v>
          </cell>
          <cell r="H15">
            <v>1120</v>
          </cell>
          <cell r="I15">
            <v>0</v>
          </cell>
          <cell r="J15" t="str">
            <v>X</v>
          </cell>
          <cell r="K15">
            <v>-7977.33</v>
          </cell>
          <cell r="L15">
            <v>-7977.33</v>
          </cell>
        </row>
        <row r="16">
          <cell r="C16" t="str">
            <v>1.2.3.8.</v>
          </cell>
          <cell r="D16">
            <v>40603</v>
          </cell>
          <cell r="E16" t="str">
            <v>AUTO ONIBUS NARDELLI</v>
          </cell>
          <cell r="F16" t="str">
            <v>VALE TRANSPORTE FUNCIONÁRIOS OPERACIONAIS REF MÊS 02/11</v>
          </cell>
          <cell r="G16" t="str">
            <v>D</v>
          </cell>
          <cell r="H16">
            <v>1648.44</v>
          </cell>
          <cell r="I16">
            <v>0</v>
          </cell>
          <cell r="J16" t="str">
            <v>X</v>
          </cell>
          <cell r="K16">
            <v>-9625.77</v>
          </cell>
          <cell r="L16">
            <v>-9625.77</v>
          </cell>
        </row>
        <row r="17">
          <cell r="C17" t="str">
            <v>1.2.5.13.</v>
          </cell>
          <cell r="D17">
            <v>40603</v>
          </cell>
          <cell r="E17" t="str">
            <v>GARRA COMÉRCIO E SERVIÇOS PROFISSIONALIZANTES LTDA ME</v>
          </cell>
          <cell r="F17" t="str">
            <v>SERVIÇOS DE AUXILIAR DE LIMPEZA E PORTEIRO VIGIA REF 02/11</v>
          </cell>
          <cell r="G17" t="str">
            <v>D</v>
          </cell>
          <cell r="H17">
            <v>12522.38</v>
          </cell>
          <cell r="I17">
            <v>0</v>
          </cell>
          <cell r="J17" t="str">
            <v>X</v>
          </cell>
          <cell r="K17">
            <v>-22148.15</v>
          </cell>
          <cell r="L17">
            <v>-22148.15</v>
          </cell>
        </row>
        <row r="18">
          <cell r="C18" t="str">
            <v>1.2.5.13.</v>
          </cell>
          <cell r="D18">
            <v>40603</v>
          </cell>
          <cell r="E18" t="str">
            <v>GARRA COMÉRCIO E SERVIÇOS PROFISSIONALIZANTES LTDA ME</v>
          </cell>
          <cell r="F18" t="str">
            <v>SERVIÇOS DE PORTEIROREF 02/11</v>
          </cell>
          <cell r="G18" t="str">
            <v>D</v>
          </cell>
          <cell r="H18">
            <v>4751.6000000000004</v>
          </cell>
          <cell r="I18">
            <v>0</v>
          </cell>
          <cell r="J18" t="str">
            <v>X</v>
          </cell>
          <cell r="K18">
            <v>-26899.75</v>
          </cell>
          <cell r="L18">
            <v>-26899.75</v>
          </cell>
        </row>
        <row r="19">
          <cell r="C19" t="str">
            <v>1.2.5.4.</v>
          </cell>
          <cell r="D19">
            <v>40603</v>
          </cell>
          <cell r="E19" t="str">
            <v>WILSON BENEDITO RIZZI CIA LTDA</v>
          </cell>
          <cell r="F19" t="str">
            <v>TRANSPORTE E FORNECIMENTO DE ÁGUA PARA ETE</v>
          </cell>
          <cell r="G19" t="str">
            <v>D</v>
          </cell>
          <cell r="H19">
            <v>150</v>
          </cell>
          <cell r="I19">
            <v>0</v>
          </cell>
          <cell r="J19" t="str">
            <v>X</v>
          </cell>
          <cell r="K19">
            <v>-27049.75</v>
          </cell>
          <cell r="L19">
            <v>-27049.75</v>
          </cell>
        </row>
        <row r="20">
          <cell r="C20" t="str">
            <v>1.2.5.10.</v>
          </cell>
          <cell r="D20">
            <v>40603</v>
          </cell>
          <cell r="E20" t="str">
            <v>CARLOS ALBERTO PROGIANTI</v>
          </cell>
          <cell r="F20" t="str">
            <v>ASSISTÊNCIA TÉCNICA PARA LEITURA DE DADOS</v>
          </cell>
          <cell r="G20" t="str">
            <v>D</v>
          </cell>
          <cell r="H20">
            <v>111.79</v>
          </cell>
          <cell r="I20">
            <v>0</v>
          </cell>
          <cell r="J20" t="str">
            <v>X</v>
          </cell>
          <cell r="K20">
            <v>-27161.54</v>
          </cell>
          <cell r="L20">
            <v>-27161.54</v>
          </cell>
        </row>
        <row r="21">
          <cell r="C21" t="str">
            <v>1.2.5.10.</v>
          </cell>
          <cell r="D21">
            <v>40603</v>
          </cell>
          <cell r="E21" t="str">
            <v>CARLOS ALBERTO PROGIANTI</v>
          </cell>
          <cell r="F21" t="str">
            <v>ASSISTÊNCIA TÉCNICA PARA LEITURA DE DADOS</v>
          </cell>
          <cell r="G21" t="str">
            <v>D</v>
          </cell>
          <cell r="H21">
            <v>111.79</v>
          </cell>
          <cell r="I21">
            <v>0</v>
          </cell>
          <cell r="J21" t="str">
            <v>X</v>
          </cell>
          <cell r="K21">
            <v>-27273.33</v>
          </cell>
          <cell r="L21">
            <v>-27273.33</v>
          </cell>
        </row>
        <row r="22">
          <cell r="C22" t="str">
            <v>1.2.5.10.</v>
          </cell>
          <cell r="D22">
            <v>40603</v>
          </cell>
          <cell r="E22" t="str">
            <v>CARLOS ALBERTO PROGIANTI</v>
          </cell>
          <cell r="F22" t="str">
            <v>ASSISTÊNCIA TÉCNICA PARA LEITURA DE DADOS</v>
          </cell>
          <cell r="G22" t="str">
            <v>D</v>
          </cell>
          <cell r="H22">
            <v>111.79</v>
          </cell>
          <cell r="I22">
            <v>0</v>
          </cell>
          <cell r="J22" t="str">
            <v>X</v>
          </cell>
          <cell r="K22">
            <v>-27385.120000000003</v>
          </cell>
          <cell r="L22">
            <v>-27385.120000000003</v>
          </cell>
        </row>
        <row r="23">
          <cell r="C23" t="str">
            <v>1.2.5.10.</v>
          </cell>
          <cell r="D23">
            <v>40603</v>
          </cell>
          <cell r="E23" t="str">
            <v>CARLOS ALBERTO PROGIANTI</v>
          </cell>
          <cell r="F23" t="str">
            <v>ASSISTÊNCIA TÉCNICA PARA LEITURA DE DADOS</v>
          </cell>
          <cell r="G23" t="str">
            <v>D</v>
          </cell>
          <cell r="H23">
            <v>111.79</v>
          </cell>
          <cell r="I23">
            <v>0</v>
          </cell>
          <cell r="J23" t="str">
            <v>X</v>
          </cell>
          <cell r="K23">
            <v>-27496.910000000003</v>
          </cell>
          <cell r="L23">
            <v>-27496.910000000003</v>
          </cell>
        </row>
        <row r="24">
          <cell r="C24" t="str">
            <v>4.1.1.9.</v>
          </cell>
          <cell r="D24">
            <v>40603</v>
          </cell>
          <cell r="E24" t="str">
            <v>VIA COMERCIO DE NO BREAK´S LTDA</v>
          </cell>
          <cell r="F24" t="str">
            <v>COMPRA DE 2 NO BREAK SERIES DX 1000 VA PARA ESCRITÓRIO</v>
          </cell>
          <cell r="G24" t="str">
            <v>D</v>
          </cell>
          <cell r="H24">
            <v>1571.4</v>
          </cell>
          <cell r="I24">
            <v>0</v>
          </cell>
          <cell r="J24" t="str">
            <v>X</v>
          </cell>
          <cell r="K24">
            <v>-29068.310000000005</v>
          </cell>
          <cell r="L24">
            <v>-29068.310000000005</v>
          </cell>
        </row>
        <row r="25">
          <cell r="C25" t="str">
            <v>1.2.5.4.</v>
          </cell>
          <cell r="D25">
            <v>40603</v>
          </cell>
          <cell r="E25" t="str">
            <v>A.F.S - AUTO FOSSA SOROCABA</v>
          </cell>
          <cell r="F25" t="str">
            <v>COLETA E TRANSPORTE DE RESÍFUOS ETE</v>
          </cell>
          <cell r="G25" t="str">
            <v>D</v>
          </cell>
          <cell r="H25">
            <v>14820</v>
          </cell>
          <cell r="I25">
            <v>0</v>
          </cell>
          <cell r="J25" t="str">
            <v>X</v>
          </cell>
          <cell r="K25">
            <v>-43888.310000000005</v>
          </cell>
          <cell r="L25">
            <v>-43888.310000000005</v>
          </cell>
        </row>
        <row r="26">
          <cell r="C26" t="str">
            <v>1.2.4.30.</v>
          </cell>
          <cell r="D26">
            <v>40603</v>
          </cell>
          <cell r="E26" t="str">
            <v>BANCO ITAU S.A</v>
          </cell>
          <cell r="F26" t="str">
            <v>TARIFA DOC</v>
          </cell>
          <cell r="G26" t="str">
            <v>D</v>
          </cell>
          <cell r="H26">
            <v>42.9</v>
          </cell>
          <cell r="I26">
            <v>0</v>
          </cell>
          <cell r="J26" t="str">
            <v>X</v>
          </cell>
          <cell r="K26">
            <v>-43931.210000000006</v>
          </cell>
          <cell r="L26">
            <v>-43931.210000000006</v>
          </cell>
        </row>
        <row r="27">
          <cell r="C27" t="str">
            <v>1.2.4.30.</v>
          </cell>
          <cell r="D27">
            <v>40603</v>
          </cell>
          <cell r="E27" t="str">
            <v>BANCO ITAU S.A</v>
          </cell>
          <cell r="F27" t="str">
            <v>TARIFA DOC</v>
          </cell>
          <cell r="G27" t="str">
            <v>D</v>
          </cell>
          <cell r="H27">
            <v>3.9</v>
          </cell>
          <cell r="I27">
            <v>0</v>
          </cell>
          <cell r="J27" t="str">
            <v>X</v>
          </cell>
          <cell r="K27">
            <v>-43935.110000000008</v>
          </cell>
          <cell r="L27">
            <v>-43935.110000000008</v>
          </cell>
        </row>
        <row r="28">
          <cell r="C28" t="str">
            <v>1.2.4.30.</v>
          </cell>
          <cell r="D28">
            <v>40603</v>
          </cell>
          <cell r="E28" t="str">
            <v>BANCO ITAU S.A</v>
          </cell>
          <cell r="F28" t="str">
            <v>TARIFA TED</v>
          </cell>
          <cell r="G28" t="str">
            <v>D</v>
          </cell>
          <cell r="H28">
            <v>31.2</v>
          </cell>
          <cell r="I28">
            <v>0</v>
          </cell>
          <cell r="J28" t="str">
            <v>X</v>
          </cell>
          <cell r="K28">
            <v>-43966.310000000005</v>
          </cell>
          <cell r="L28">
            <v>-43966.310000000005</v>
          </cell>
        </row>
        <row r="29">
          <cell r="C29" t="str">
            <v>1.2.4.30.</v>
          </cell>
          <cell r="D29">
            <v>40603</v>
          </cell>
          <cell r="E29" t="str">
            <v>BANCO ITAU S.A</v>
          </cell>
          <cell r="F29" t="str">
            <v>TARIFA TED</v>
          </cell>
          <cell r="G29" t="str">
            <v>D</v>
          </cell>
          <cell r="H29">
            <v>3.9</v>
          </cell>
          <cell r="I29">
            <v>0</v>
          </cell>
          <cell r="J29" t="str">
            <v>X</v>
          </cell>
          <cell r="K29">
            <v>-43970.210000000006</v>
          </cell>
          <cell r="L29">
            <v>-43970.210000000006</v>
          </cell>
        </row>
        <row r="30">
          <cell r="C30" t="str">
            <v>1.2.4.30.</v>
          </cell>
          <cell r="D30">
            <v>40603</v>
          </cell>
          <cell r="E30" t="str">
            <v>BANCO ITAU S.A</v>
          </cell>
          <cell r="F30" t="str">
            <v>TARIFA/CUSTAS DE COBRANÇA</v>
          </cell>
          <cell r="G30" t="str">
            <v>D</v>
          </cell>
          <cell r="H30">
            <v>4.0999999999999996</v>
          </cell>
          <cell r="I30">
            <v>0</v>
          </cell>
          <cell r="J30" t="str">
            <v>X</v>
          </cell>
          <cell r="K30">
            <v>-43974.310000000005</v>
          </cell>
          <cell r="L30">
            <v>-43974.310000000005</v>
          </cell>
        </row>
        <row r="31">
          <cell r="C31" t="str">
            <v>1.2.5.3.</v>
          </cell>
          <cell r="D31">
            <v>40603</v>
          </cell>
          <cell r="E31" t="str">
            <v>MATESA MOTORES ACIONAMENTOS E SERVIÇOS EPP</v>
          </cell>
          <cell r="F31" t="str">
            <v>PARCELA 2/3 SERVIÇO DE MANUTENÇÃO ETE</v>
          </cell>
          <cell r="G31" t="str">
            <v>D</v>
          </cell>
          <cell r="H31">
            <v>3465.03</v>
          </cell>
          <cell r="I31">
            <v>0</v>
          </cell>
          <cell r="J31" t="str">
            <v>X</v>
          </cell>
          <cell r="K31">
            <v>-47439.340000000004</v>
          </cell>
          <cell r="L31">
            <v>-47439.340000000004</v>
          </cell>
        </row>
        <row r="32">
          <cell r="C32" t="str">
            <v>1.1.1.1.</v>
          </cell>
          <cell r="D32">
            <v>40603</v>
          </cell>
          <cell r="E32" t="str">
            <v>SANESALTO SANEAMENTO S.A</v>
          </cell>
          <cell r="F32" t="str">
            <v xml:space="preserve"> Medição no período de 23 a 28 de fevereiro</v>
          </cell>
          <cell r="G32" t="str">
            <v>C</v>
          </cell>
          <cell r="H32">
            <v>0</v>
          </cell>
          <cell r="I32">
            <v>53108.88</v>
          </cell>
          <cell r="J32" t="str">
            <v>X</v>
          </cell>
          <cell r="K32">
            <v>5669.5399999999936</v>
          </cell>
          <cell r="L32">
            <v>5669.5399999999936</v>
          </cell>
        </row>
        <row r="33">
          <cell r="C33" t="str">
            <v>1.1.1.3.</v>
          </cell>
          <cell r="D33">
            <v>40603</v>
          </cell>
          <cell r="E33" t="str">
            <v>SANETRAT SANEAMENTO S.A</v>
          </cell>
          <cell r="F33" t="str">
            <v>Tratamento de esgoto SANETRAT (ref. janeiro -2011)</v>
          </cell>
          <cell r="G33" t="str">
            <v>C</v>
          </cell>
          <cell r="H33">
            <v>0</v>
          </cell>
          <cell r="I33">
            <v>11055.87</v>
          </cell>
          <cell r="J33" t="str">
            <v>X</v>
          </cell>
          <cell r="K33">
            <v>16725.409999999996</v>
          </cell>
          <cell r="L33">
            <v>16725.409999999996</v>
          </cell>
        </row>
        <row r="34">
          <cell r="C34" t="str">
            <v>1.2.4.16.</v>
          </cell>
          <cell r="D34">
            <v>40604</v>
          </cell>
          <cell r="E34" t="str">
            <v>JUCESP</v>
          </cell>
          <cell r="F34" t="str">
            <v>PAGAMENTO DE ATAS CHEQUE 102842 EMITIDO POR SP</v>
          </cell>
          <cell r="G34" t="str">
            <v>D</v>
          </cell>
          <cell r="H34">
            <v>149</v>
          </cell>
          <cell r="I34">
            <v>0</v>
          </cell>
          <cell r="J34" t="str">
            <v>X</v>
          </cell>
          <cell r="K34">
            <v>16576.409999999996</v>
          </cell>
          <cell r="L34">
            <v>16576.409999999996</v>
          </cell>
        </row>
        <row r="35">
          <cell r="C35" t="str">
            <v>1.1.1.2.</v>
          </cell>
          <cell r="D35">
            <v>40605</v>
          </cell>
          <cell r="E35" t="str">
            <v>SANESALTO SANEAMENTO S.A</v>
          </cell>
          <cell r="F35" t="str">
            <v>Adiantamento medição de 01 a 14 de março/2011</v>
          </cell>
          <cell r="G35" t="str">
            <v>C</v>
          </cell>
          <cell r="H35">
            <v>0</v>
          </cell>
          <cell r="I35">
            <v>145000</v>
          </cell>
          <cell r="J35" t="str">
            <v>X</v>
          </cell>
          <cell r="K35">
            <v>161576.41</v>
          </cell>
          <cell r="L35">
            <v>161576.41</v>
          </cell>
        </row>
        <row r="36">
          <cell r="C36" t="str">
            <v>1.2.5.11.</v>
          </cell>
          <cell r="D36">
            <v>40605</v>
          </cell>
          <cell r="E36" t="str">
            <v>ARAUJO DE ARAUJO CONSULTORIA EM SANEAMENTO BÁSICO</v>
          </cell>
          <cell r="F36" t="str">
            <v>SERVIÇOS DE CONSULTORIA PRESTADOS NO MÊS 02/2011</v>
          </cell>
          <cell r="G36" t="str">
            <v>D</v>
          </cell>
          <cell r="H36">
            <v>27288.21</v>
          </cell>
          <cell r="I36">
            <v>0</v>
          </cell>
          <cell r="J36" t="str">
            <v>X</v>
          </cell>
          <cell r="K36">
            <v>134288.20000000001</v>
          </cell>
          <cell r="L36">
            <v>134288.20000000001</v>
          </cell>
        </row>
        <row r="37">
          <cell r="C37" t="str">
            <v>1.2.3.2.</v>
          </cell>
          <cell r="D37">
            <v>40605</v>
          </cell>
          <cell r="E37" t="str">
            <v>LILIAN STEFANE HONORIO</v>
          </cell>
          <cell r="F37" t="str">
            <v>FÉRIAS PERÍODO 30/06/2009 A 29/06/2010</v>
          </cell>
          <cell r="G37" t="str">
            <v>D</v>
          </cell>
          <cell r="H37">
            <v>966</v>
          </cell>
          <cell r="I37">
            <v>0</v>
          </cell>
          <cell r="J37" t="str">
            <v>X</v>
          </cell>
          <cell r="K37">
            <v>133322.20000000001</v>
          </cell>
          <cell r="L37">
            <v>133322.20000000001</v>
          </cell>
        </row>
        <row r="38">
          <cell r="C38" t="str">
            <v>1.2.5.4.</v>
          </cell>
          <cell r="D38">
            <v>40605</v>
          </cell>
          <cell r="E38" t="str">
            <v>HF ANDRADE SERVIÇOS TEMPORÁRIOS</v>
          </cell>
          <cell r="F38" t="str">
            <v>SERVIÇO DE MÃO DE OBRA TEMPORÁRIA NO MÊS 02/2011</v>
          </cell>
          <cell r="G38" t="str">
            <v>D</v>
          </cell>
          <cell r="H38">
            <v>8911.34</v>
          </cell>
          <cell r="I38">
            <v>0</v>
          </cell>
          <cell r="J38" t="str">
            <v>X</v>
          </cell>
          <cell r="K38">
            <v>124410.86000000002</v>
          </cell>
          <cell r="L38">
            <v>124410.86000000002</v>
          </cell>
        </row>
        <row r="39">
          <cell r="C39" t="str">
            <v>1.2.3.4.</v>
          </cell>
          <cell r="D39">
            <v>40605</v>
          </cell>
          <cell r="E39" t="str">
            <v>SECRETARIA DA RECEITA FEDERAL DO BRASIL</v>
          </cell>
          <cell r="F39" t="str">
            <v>GRF FUNDO DE GARANTIA  DE FUNCIONÁRIOS REF A 02/2011</v>
          </cell>
          <cell r="G39" t="str">
            <v>D</v>
          </cell>
          <cell r="H39">
            <v>2200.83</v>
          </cell>
          <cell r="I39">
            <v>0</v>
          </cell>
          <cell r="J39" t="str">
            <v>X</v>
          </cell>
          <cell r="K39">
            <v>122210.03000000001</v>
          </cell>
          <cell r="L39">
            <v>122210.03000000001</v>
          </cell>
        </row>
        <row r="40">
          <cell r="C40" t="str">
            <v>1.2.3.7.</v>
          </cell>
          <cell r="D40">
            <v>40605</v>
          </cell>
          <cell r="E40" t="str">
            <v>MARCUS YURI DINIZ COHEN</v>
          </cell>
          <cell r="F40" t="str">
            <v>VALE REFEIÇÃO E VALE TRANSPORTE</v>
          </cell>
          <cell r="G40" t="str">
            <v>D</v>
          </cell>
          <cell r="H40">
            <v>315</v>
          </cell>
          <cell r="I40">
            <v>0</v>
          </cell>
          <cell r="J40" t="str">
            <v>X</v>
          </cell>
          <cell r="K40">
            <v>121895.03000000001</v>
          </cell>
          <cell r="L40">
            <v>121895.03000000001</v>
          </cell>
        </row>
        <row r="41">
          <cell r="C41" t="str">
            <v>1.2.3.1.</v>
          </cell>
          <cell r="D41">
            <v>40605</v>
          </cell>
          <cell r="E41" t="str">
            <v>Naedson Luiz de Souza</v>
          </cell>
          <cell r="F41" t="str">
            <v>Pagamento de salário fevereiro -2011</v>
          </cell>
          <cell r="G41" t="str">
            <v>D</v>
          </cell>
          <cell r="H41">
            <v>1979</v>
          </cell>
          <cell r="I41">
            <v>0</v>
          </cell>
          <cell r="J41" t="str">
            <v>X</v>
          </cell>
          <cell r="K41">
            <v>119916.03000000001</v>
          </cell>
          <cell r="L41">
            <v>119916.03000000001</v>
          </cell>
        </row>
        <row r="42">
          <cell r="C42" t="str">
            <v>1.2.3.1.</v>
          </cell>
          <cell r="D42">
            <v>40605</v>
          </cell>
          <cell r="E42" t="str">
            <v>Albertino M. da Silva</v>
          </cell>
          <cell r="F42" t="str">
            <v>Pagamento de salário fevereiro -2011</v>
          </cell>
          <cell r="G42" t="str">
            <v>D</v>
          </cell>
          <cell r="H42">
            <v>821</v>
          </cell>
          <cell r="I42">
            <v>0</v>
          </cell>
          <cell r="J42" t="str">
            <v>X</v>
          </cell>
          <cell r="K42">
            <v>119095.03000000001</v>
          </cell>
          <cell r="L42">
            <v>119095.03000000001</v>
          </cell>
        </row>
        <row r="43">
          <cell r="C43" t="str">
            <v>1.2.3.1.</v>
          </cell>
          <cell r="D43">
            <v>40605</v>
          </cell>
          <cell r="E43" t="str">
            <v>Lilian Stefane Honorio</v>
          </cell>
          <cell r="F43" t="str">
            <v>Pagamento de salário fevereiro -2011</v>
          </cell>
          <cell r="G43" t="str">
            <v>D</v>
          </cell>
          <cell r="H43">
            <v>724</v>
          </cell>
          <cell r="I43">
            <v>0</v>
          </cell>
          <cell r="J43" t="str">
            <v>X</v>
          </cell>
          <cell r="K43">
            <v>118371.03000000001</v>
          </cell>
          <cell r="L43">
            <v>118371.03000000001</v>
          </cell>
        </row>
        <row r="44">
          <cell r="C44" t="str">
            <v>1.2.3.1.</v>
          </cell>
          <cell r="D44">
            <v>40605</v>
          </cell>
          <cell r="E44" t="str">
            <v>Gilberto Silva Roque</v>
          </cell>
          <cell r="F44" t="str">
            <v>Pagamento de salário fevereiro -2011</v>
          </cell>
          <cell r="G44" t="str">
            <v>D</v>
          </cell>
          <cell r="H44">
            <v>795</v>
          </cell>
          <cell r="I44">
            <v>0</v>
          </cell>
          <cell r="J44" t="str">
            <v>X</v>
          </cell>
          <cell r="K44">
            <v>117576.03000000001</v>
          </cell>
          <cell r="L44">
            <v>117576.03000000001</v>
          </cell>
        </row>
        <row r="45">
          <cell r="C45" t="str">
            <v>1.2.3.1.</v>
          </cell>
          <cell r="D45">
            <v>40605</v>
          </cell>
          <cell r="E45" t="str">
            <v>Aloisio Borin</v>
          </cell>
          <cell r="F45" t="str">
            <v>Pagamento de salário fevereiro -2011</v>
          </cell>
          <cell r="G45" t="str">
            <v>D</v>
          </cell>
          <cell r="H45">
            <v>995</v>
          </cell>
          <cell r="I45">
            <v>0</v>
          </cell>
          <cell r="J45" t="str">
            <v>X</v>
          </cell>
          <cell r="K45">
            <v>116581.03000000001</v>
          </cell>
          <cell r="L45">
            <v>116581.03000000001</v>
          </cell>
        </row>
        <row r="46">
          <cell r="C46" t="str">
            <v>1.2.3.1.</v>
          </cell>
          <cell r="D46">
            <v>40605</v>
          </cell>
          <cell r="E46" t="str">
            <v>Weverton E. Pereira</v>
          </cell>
          <cell r="F46" t="str">
            <v>Pagamento de salário fevereiro -2011</v>
          </cell>
          <cell r="G46" t="str">
            <v>D</v>
          </cell>
          <cell r="H46">
            <v>719</v>
          </cell>
          <cell r="I46">
            <v>0</v>
          </cell>
          <cell r="J46" t="str">
            <v>X</v>
          </cell>
          <cell r="K46">
            <v>115862.03000000001</v>
          </cell>
          <cell r="L46">
            <v>115862.03000000001</v>
          </cell>
        </row>
        <row r="47">
          <cell r="C47" t="str">
            <v>1.2.3.1.</v>
          </cell>
          <cell r="D47">
            <v>40605</v>
          </cell>
          <cell r="E47" t="str">
            <v>Leandro M de Campos</v>
          </cell>
          <cell r="F47" t="str">
            <v>Pagamento de salário fevereiro -2011</v>
          </cell>
          <cell r="G47" t="str">
            <v>D</v>
          </cell>
          <cell r="H47">
            <v>923</v>
          </cell>
          <cell r="I47">
            <v>0</v>
          </cell>
          <cell r="J47" t="str">
            <v>X</v>
          </cell>
          <cell r="K47">
            <v>114939.03000000001</v>
          </cell>
          <cell r="L47">
            <v>114939.03000000001</v>
          </cell>
        </row>
        <row r="48">
          <cell r="C48" t="str">
            <v>1.2.3.1.</v>
          </cell>
          <cell r="D48">
            <v>40605</v>
          </cell>
          <cell r="E48" t="str">
            <v>Emerson Bedin</v>
          </cell>
          <cell r="F48" t="str">
            <v>Pagamento de salário fevereiro -2011</v>
          </cell>
          <cell r="G48" t="str">
            <v>D</v>
          </cell>
          <cell r="H48">
            <v>885</v>
          </cell>
          <cell r="I48">
            <v>0</v>
          </cell>
          <cell r="J48" t="str">
            <v>X</v>
          </cell>
          <cell r="K48">
            <v>114054.03000000001</v>
          </cell>
          <cell r="L48">
            <v>114054.03000000001</v>
          </cell>
        </row>
        <row r="49">
          <cell r="C49" t="str">
            <v>1.2.3.1.</v>
          </cell>
          <cell r="D49">
            <v>40605</v>
          </cell>
          <cell r="E49" t="str">
            <v>Cleber Cleidson da Silva</v>
          </cell>
          <cell r="F49" t="str">
            <v>Pagamento de salário fevereiro -2011</v>
          </cell>
          <cell r="G49" t="str">
            <v>D</v>
          </cell>
          <cell r="H49">
            <v>1803</v>
          </cell>
          <cell r="I49">
            <v>0</v>
          </cell>
          <cell r="J49" t="str">
            <v>X</v>
          </cell>
          <cell r="K49">
            <v>112251.03000000001</v>
          </cell>
          <cell r="L49">
            <v>112251.03000000001</v>
          </cell>
        </row>
        <row r="50">
          <cell r="C50" t="str">
            <v>1.2.3.1.</v>
          </cell>
          <cell r="D50">
            <v>40605</v>
          </cell>
          <cell r="E50" t="str">
            <v>Fabio Luis Vecchiato</v>
          </cell>
          <cell r="F50" t="str">
            <v>Pagamento de salário fevereiro -2011</v>
          </cell>
          <cell r="G50" t="str">
            <v>D</v>
          </cell>
          <cell r="H50">
            <v>2544</v>
          </cell>
          <cell r="I50">
            <v>0</v>
          </cell>
          <cell r="J50" t="str">
            <v>X</v>
          </cell>
          <cell r="K50">
            <v>109707.03000000001</v>
          </cell>
          <cell r="L50">
            <v>109707.03000000001</v>
          </cell>
        </row>
        <row r="51">
          <cell r="C51" t="str">
            <v>1.2.3.1.</v>
          </cell>
          <cell r="D51">
            <v>40605</v>
          </cell>
          <cell r="E51" t="str">
            <v>Glaucia Ellen Granado</v>
          </cell>
          <cell r="F51" t="str">
            <v>Pagamento de salário fevereiro -2011</v>
          </cell>
          <cell r="G51" t="str">
            <v>D</v>
          </cell>
          <cell r="H51">
            <v>633</v>
          </cell>
          <cell r="I51">
            <v>0</v>
          </cell>
          <cell r="J51" t="str">
            <v>X</v>
          </cell>
          <cell r="K51">
            <v>109074.03000000001</v>
          </cell>
          <cell r="L51">
            <v>109074.03000000001</v>
          </cell>
        </row>
        <row r="52">
          <cell r="C52" t="str">
            <v>1.2.3.1.</v>
          </cell>
          <cell r="D52">
            <v>40605</v>
          </cell>
          <cell r="E52" t="str">
            <v>Jessica Maria M. Candido</v>
          </cell>
          <cell r="F52" t="str">
            <v>Pagamento de salário fevereiro -2011</v>
          </cell>
          <cell r="G52" t="str">
            <v>D</v>
          </cell>
          <cell r="H52">
            <v>677</v>
          </cell>
          <cell r="I52">
            <v>0</v>
          </cell>
          <cell r="J52" t="str">
            <v>X</v>
          </cell>
          <cell r="K52">
            <v>108397.03000000001</v>
          </cell>
          <cell r="L52">
            <v>108397.03000000001</v>
          </cell>
        </row>
        <row r="53">
          <cell r="C53" t="str">
            <v>1.2.3.1.</v>
          </cell>
          <cell r="D53">
            <v>40605</v>
          </cell>
          <cell r="E53" t="str">
            <v>Andre Carlos R. Almeida</v>
          </cell>
          <cell r="F53" t="str">
            <v>Pagamento de salário fevereiro -2011</v>
          </cell>
          <cell r="G53" t="str">
            <v>D</v>
          </cell>
          <cell r="H53">
            <v>730</v>
          </cell>
          <cell r="I53">
            <v>0</v>
          </cell>
          <cell r="J53" t="str">
            <v>X</v>
          </cell>
          <cell r="K53">
            <v>107667.03000000001</v>
          </cell>
          <cell r="L53">
            <v>107667.03000000001</v>
          </cell>
        </row>
        <row r="54">
          <cell r="C54" t="str">
            <v>1.2.3.1.</v>
          </cell>
          <cell r="D54">
            <v>40605</v>
          </cell>
          <cell r="E54" t="str">
            <v>Thiago Ribeiro</v>
          </cell>
          <cell r="F54" t="str">
            <v>Pagamento de salário fevereiro -2011</v>
          </cell>
          <cell r="G54" t="str">
            <v>D</v>
          </cell>
          <cell r="H54">
            <v>896</v>
          </cell>
          <cell r="I54">
            <v>0</v>
          </cell>
          <cell r="J54" t="str">
            <v>X</v>
          </cell>
          <cell r="K54">
            <v>106771.03000000001</v>
          </cell>
          <cell r="L54">
            <v>106771.03000000001</v>
          </cell>
        </row>
        <row r="55">
          <cell r="C55" t="str">
            <v>1.2.3.1.</v>
          </cell>
          <cell r="D55">
            <v>40605</v>
          </cell>
          <cell r="E55" t="str">
            <v>Erica Aparecida da Silva de Moraes</v>
          </cell>
          <cell r="F55" t="str">
            <v>Pagamento de salário fevereiro -2011</v>
          </cell>
          <cell r="G55" t="str">
            <v>D</v>
          </cell>
          <cell r="H55">
            <v>654</v>
          </cell>
          <cell r="I55">
            <v>0</v>
          </cell>
          <cell r="J55" t="str">
            <v>X</v>
          </cell>
          <cell r="K55">
            <v>106117.03000000001</v>
          </cell>
          <cell r="L55">
            <v>106117.03000000001</v>
          </cell>
        </row>
        <row r="56">
          <cell r="C56" t="str">
            <v>1.2.3.1.</v>
          </cell>
          <cell r="D56">
            <v>40605</v>
          </cell>
          <cell r="E56" t="str">
            <v>Cleber Pereira Lima</v>
          </cell>
          <cell r="F56" t="str">
            <v>Pagamento de salário fevereiro -2011</v>
          </cell>
          <cell r="G56" t="str">
            <v>D</v>
          </cell>
          <cell r="H56">
            <v>782</v>
          </cell>
          <cell r="I56">
            <v>0</v>
          </cell>
          <cell r="J56" t="str">
            <v>X</v>
          </cell>
          <cell r="K56">
            <v>105335.03000000001</v>
          </cell>
          <cell r="L56">
            <v>105335.03000000001</v>
          </cell>
        </row>
        <row r="57">
          <cell r="C57" t="str">
            <v>1.2.3.1.</v>
          </cell>
          <cell r="D57">
            <v>40605</v>
          </cell>
          <cell r="E57" t="str">
            <v>Alessandro Helbas Mazetto</v>
          </cell>
          <cell r="F57" t="str">
            <v>Pagamento de salário fevereiro -2011</v>
          </cell>
          <cell r="G57" t="str">
            <v>D</v>
          </cell>
          <cell r="H57">
            <v>795</v>
          </cell>
          <cell r="I57">
            <v>0</v>
          </cell>
          <cell r="J57" t="str">
            <v>X</v>
          </cell>
          <cell r="K57">
            <v>104540.03000000001</v>
          </cell>
          <cell r="L57">
            <v>104540.03000000001</v>
          </cell>
        </row>
        <row r="58">
          <cell r="C58" t="str">
            <v>1.2.3.1.</v>
          </cell>
          <cell r="D58">
            <v>40605</v>
          </cell>
          <cell r="E58" t="str">
            <v>Julio Cesar da Silva Oliveira</v>
          </cell>
          <cell r="F58" t="str">
            <v>Pagamento de salário fevereiro -2011</v>
          </cell>
          <cell r="G58" t="str">
            <v>D</v>
          </cell>
          <cell r="H58">
            <v>743</v>
          </cell>
          <cell r="I58">
            <v>0</v>
          </cell>
          <cell r="J58" t="str">
            <v>X</v>
          </cell>
          <cell r="K58">
            <v>103797.03000000001</v>
          </cell>
          <cell r="L58">
            <v>103797.03000000001</v>
          </cell>
        </row>
        <row r="59">
          <cell r="C59" t="str">
            <v>1.2.3.1.</v>
          </cell>
          <cell r="D59">
            <v>40605</v>
          </cell>
          <cell r="E59" t="str">
            <v>Francisco Marcio da Silva</v>
          </cell>
          <cell r="F59" t="str">
            <v>Pagamento de salário fevereiro -2011</v>
          </cell>
          <cell r="G59" t="str">
            <v>D</v>
          </cell>
          <cell r="H59">
            <v>866</v>
          </cell>
          <cell r="I59">
            <v>0</v>
          </cell>
          <cell r="J59" t="str">
            <v>X</v>
          </cell>
          <cell r="K59">
            <v>102931.03000000001</v>
          </cell>
          <cell r="L59">
            <v>102931.03000000001</v>
          </cell>
        </row>
        <row r="60">
          <cell r="C60" t="str">
            <v>1.2.3.1.</v>
          </cell>
          <cell r="D60">
            <v>40605</v>
          </cell>
          <cell r="E60" t="str">
            <v>Sérgio Jose de Souza Junior</v>
          </cell>
          <cell r="F60" t="str">
            <v>Pagamento de salário fevereiro -2011</v>
          </cell>
          <cell r="G60" t="str">
            <v>D</v>
          </cell>
          <cell r="H60">
            <v>248</v>
          </cell>
          <cell r="I60">
            <v>0</v>
          </cell>
          <cell r="J60" t="str">
            <v>X</v>
          </cell>
          <cell r="K60">
            <v>102683.03000000001</v>
          </cell>
          <cell r="L60">
            <v>102683.03000000001</v>
          </cell>
        </row>
        <row r="61">
          <cell r="C61" t="str">
            <v>1.2.3.1.</v>
          </cell>
          <cell r="D61">
            <v>40605</v>
          </cell>
          <cell r="E61" t="str">
            <v>Rafael Savickas Moya</v>
          </cell>
          <cell r="F61" t="str">
            <v>Pagamento de salário fevereiro -2011</v>
          </cell>
          <cell r="G61" t="str">
            <v>D</v>
          </cell>
          <cell r="H61">
            <v>247</v>
          </cell>
          <cell r="I61">
            <v>0</v>
          </cell>
          <cell r="J61" t="str">
            <v>X</v>
          </cell>
          <cell r="K61">
            <v>102436.03000000001</v>
          </cell>
          <cell r="L61">
            <v>102436.03000000001</v>
          </cell>
        </row>
        <row r="62">
          <cell r="C62" t="str">
            <v>1.2.3.1.</v>
          </cell>
          <cell r="D62">
            <v>40605</v>
          </cell>
          <cell r="E62" t="str">
            <v>Elizangela Regina Pinto Dias</v>
          </cell>
          <cell r="F62" t="str">
            <v>Pagamento de salário fevereiro -2011</v>
          </cell>
          <cell r="G62" t="str">
            <v>D</v>
          </cell>
          <cell r="H62">
            <v>2386</v>
          </cell>
          <cell r="I62">
            <v>0</v>
          </cell>
          <cell r="J62" t="str">
            <v>X</v>
          </cell>
          <cell r="K62">
            <v>100050.03000000001</v>
          </cell>
          <cell r="L62">
            <v>100050.03000000001</v>
          </cell>
        </row>
        <row r="63">
          <cell r="C63" t="str">
            <v>1.2.3.1.</v>
          </cell>
          <cell r="D63">
            <v>40605</v>
          </cell>
          <cell r="E63" t="str">
            <v>Marcos Yuri Fernandes Diniz Cohen</v>
          </cell>
          <cell r="F63" t="str">
            <v>Pagamento de salário fevereiro -2011</v>
          </cell>
          <cell r="G63" t="str">
            <v>D</v>
          </cell>
          <cell r="H63">
            <v>1547</v>
          </cell>
          <cell r="I63">
            <v>0</v>
          </cell>
          <cell r="J63" t="str">
            <v>X</v>
          </cell>
          <cell r="K63">
            <v>98503.030000000013</v>
          </cell>
          <cell r="L63">
            <v>98503.030000000013</v>
          </cell>
        </row>
        <row r="64">
          <cell r="C64" t="str">
            <v>1.2.2.1.</v>
          </cell>
          <cell r="D64">
            <v>40605</v>
          </cell>
          <cell r="E64" t="str">
            <v>Paulo André Gil Boschiero</v>
          </cell>
          <cell r="F64" t="str">
            <v>Pro - labore referente ao mês de fevereiro-2011</v>
          </cell>
          <cell r="G64" t="str">
            <v>D</v>
          </cell>
          <cell r="H64">
            <v>9259</v>
          </cell>
          <cell r="I64">
            <v>0</v>
          </cell>
          <cell r="J64" t="str">
            <v>X</v>
          </cell>
          <cell r="K64">
            <v>89244.030000000013</v>
          </cell>
          <cell r="L64">
            <v>89244.030000000013</v>
          </cell>
        </row>
        <row r="65">
          <cell r="C65" t="str">
            <v>1.2.2.1.</v>
          </cell>
          <cell r="D65">
            <v>40605</v>
          </cell>
          <cell r="E65" t="str">
            <v xml:space="preserve">Pedro P. Bergamaschi </v>
          </cell>
          <cell r="F65" t="str">
            <v>Pro - labore referente ao mês de fevereiro-2011</v>
          </cell>
          <cell r="G65" t="str">
            <v>D</v>
          </cell>
          <cell r="H65">
            <v>2171</v>
          </cell>
          <cell r="I65">
            <v>0</v>
          </cell>
          <cell r="J65" t="str">
            <v>X</v>
          </cell>
          <cell r="K65">
            <v>87073.030000000013</v>
          </cell>
          <cell r="L65">
            <v>87073.030000000013</v>
          </cell>
        </row>
        <row r="66">
          <cell r="C66" t="str">
            <v>1.2.2.1.</v>
          </cell>
          <cell r="D66">
            <v>40605</v>
          </cell>
          <cell r="E66" t="str">
            <v>Ricardo Kassardjian</v>
          </cell>
          <cell r="F66" t="str">
            <v>Pro - labore referente ao mês de fevereiro-2011</v>
          </cell>
          <cell r="G66" t="str">
            <v>D</v>
          </cell>
          <cell r="H66">
            <v>2171</v>
          </cell>
          <cell r="I66">
            <v>0</v>
          </cell>
          <cell r="J66" t="str">
            <v>X</v>
          </cell>
          <cell r="K66">
            <v>84902.030000000013</v>
          </cell>
          <cell r="L66">
            <v>84902.030000000013</v>
          </cell>
        </row>
        <row r="67">
          <cell r="C67" t="str">
            <v>1.2.2.1.</v>
          </cell>
          <cell r="D67">
            <v>40605</v>
          </cell>
          <cell r="E67" t="str">
            <v>João Mauro Boschiero</v>
          </cell>
          <cell r="F67" t="str">
            <v>Pro - labore referente ao mês de fevereiro-2011</v>
          </cell>
          <cell r="G67" t="str">
            <v>D</v>
          </cell>
          <cell r="H67">
            <v>2171</v>
          </cell>
          <cell r="I67">
            <v>0</v>
          </cell>
          <cell r="J67" t="str">
            <v>X</v>
          </cell>
          <cell r="K67">
            <v>82731.030000000013</v>
          </cell>
          <cell r="L67">
            <v>82731.030000000013</v>
          </cell>
        </row>
        <row r="68">
          <cell r="C68" t="str">
            <v>1.2.2.1.</v>
          </cell>
          <cell r="D68">
            <v>40605</v>
          </cell>
          <cell r="E68" t="str">
            <v>Roberto Felipe Tesch</v>
          </cell>
          <cell r="F68" t="str">
            <v>Pro - labore referente ao mês de fevereiro-2011</v>
          </cell>
          <cell r="G68" t="str">
            <v>D</v>
          </cell>
          <cell r="H68">
            <v>9099</v>
          </cell>
          <cell r="I68">
            <v>0</v>
          </cell>
          <cell r="J68" t="str">
            <v>X</v>
          </cell>
          <cell r="K68">
            <v>73632.030000000013</v>
          </cell>
          <cell r="L68">
            <v>73632.030000000013</v>
          </cell>
        </row>
        <row r="69">
          <cell r="C69" t="str">
            <v>1.2.4.7.</v>
          </cell>
          <cell r="D69">
            <v>40606</v>
          </cell>
          <cell r="E69" t="str">
            <v>ITAU SEGUROS DE AUTOS E RESIDÊNCIA S/A</v>
          </cell>
          <cell r="F69" t="str">
            <v>SEGURO LOGAN - USO SR. PADUA 4/4</v>
          </cell>
          <cell r="G69" t="str">
            <v>D</v>
          </cell>
          <cell r="H69">
            <v>397.73</v>
          </cell>
          <cell r="I69">
            <v>0</v>
          </cell>
          <cell r="J69" t="str">
            <v>X</v>
          </cell>
          <cell r="K69">
            <v>73234.300000000017</v>
          </cell>
          <cell r="L69">
            <v>73234.300000000017</v>
          </cell>
        </row>
        <row r="70">
          <cell r="C70" t="str">
            <v>1.2.5.1.</v>
          </cell>
          <cell r="D70">
            <v>40606</v>
          </cell>
          <cell r="E70" t="str">
            <v>COMPANHIA PIRATININGA DE FORÇA E LUZ</v>
          </cell>
          <cell r="F70" t="str">
            <v>CONTA DE ENERGIA ELÉTRICA ELEVATÓRIA GUARAU I - REF 02/2011</v>
          </cell>
          <cell r="G70" t="str">
            <v>D</v>
          </cell>
          <cell r="H70">
            <v>4346.83</v>
          </cell>
          <cell r="I70">
            <v>0</v>
          </cell>
          <cell r="J70" t="str">
            <v>X</v>
          </cell>
          <cell r="K70">
            <v>68887.470000000016</v>
          </cell>
          <cell r="L70">
            <v>68887.470000000016</v>
          </cell>
        </row>
        <row r="71">
          <cell r="C71" t="str">
            <v>1.2.5.1.</v>
          </cell>
          <cell r="D71">
            <v>40606</v>
          </cell>
          <cell r="E71" t="str">
            <v>COMPANHIA PIRATININGA DE FORÇA E LUZ</v>
          </cell>
          <cell r="F71" t="str">
            <v>CONTA DE ENERGIA ELÉTRICA ETE - REF 02/2011</v>
          </cell>
          <cell r="G71" t="str">
            <v>D</v>
          </cell>
          <cell r="H71">
            <v>8188.91</v>
          </cell>
          <cell r="I71">
            <v>0</v>
          </cell>
          <cell r="J71" t="str">
            <v>X</v>
          </cell>
          <cell r="K71">
            <v>60698.560000000012</v>
          </cell>
          <cell r="L71">
            <v>60698.560000000012</v>
          </cell>
        </row>
        <row r="72">
          <cell r="C72" t="str">
            <v>1.2.5.1.</v>
          </cell>
          <cell r="D72">
            <v>40606</v>
          </cell>
          <cell r="E72" t="str">
            <v>COMPANHIA PIRATININGA DE FORÇA E LUZ</v>
          </cell>
          <cell r="F72" t="str">
            <v>CONTA DE ENERGIA ELÉTRICA ELEVATÓRIA BURU I - REF 02/2011</v>
          </cell>
          <cell r="G72" t="str">
            <v>D</v>
          </cell>
          <cell r="H72">
            <v>7100.86</v>
          </cell>
          <cell r="I72">
            <v>0</v>
          </cell>
          <cell r="J72" t="str">
            <v>X</v>
          </cell>
          <cell r="K72">
            <v>53597.700000000012</v>
          </cell>
          <cell r="L72">
            <v>53597.700000000012</v>
          </cell>
        </row>
        <row r="73">
          <cell r="C73" t="str">
            <v>1.2.5.1.</v>
          </cell>
          <cell r="D73">
            <v>40606</v>
          </cell>
          <cell r="E73" t="str">
            <v>COMPANHIA PIRATININGA DE FORÇA E LUZ</v>
          </cell>
          <cell r="F73" t="str">
            <v>CONTA DE ENERGIA ELÉTRICA ELEVATÓRIA BURU II - REF 02/2011</v>
          </cell>
          <cell r="G73" t="str">
            <v>D</v>
          </cell>
          <cell r="H73">
            <v>6326.44</v>
          </cell>
          <cell r="I73">
            <v>0</v>
          </cell>
          <cell r="J73" t="str">
            <v>X</v>
          </cell>
          <cell r="K73">
            <v>47271.260000000009</v>
          </cell>
          <cell r="L73">
            <v>47271.260000000009</v>
          </cell>
        </row>
        <row r="74">
          <cell r="C74" t="str">
            <v>1.2.5.1.</v>
          </cell>
          <cell r="D74">
            <v>40606</v>
          </cell>
          <cell r="E74" t="str">
            <v>COMPANHIA PIRATININGA DE FORÇA E LUZ</v>
          </cell>
          <cell r="F74" t="str">
            <v>CONTA DE ENERGIA ELÉTRICA ELEVATÓRIA 03 - REF 02/2011</v>
          </cell>
          <cell r="G74" t="str">
            <v>D</v>
          </cell>
          <cell r="H74">
            <v>2645.82</v>
          </cell>
          <cell r="I74">
            <v>0</v>
          </cell>
          <cell r="J74" t="str">
            <v>X</v>
          </cell>
          <cell r="K74">
            <v>44625.44000000001</v>
          </cell>
          <cell r="L74">
            <v>44625.44000000001</v>
          </cell>
        </row>
        <row r="75">
          <cell r="C75" t="str">
            <v>1.2.4.2.</v>
          </cell>
          <cell r="D75">
            <v>40606</v>
          </cell>
          <cell r="E75" t="str">
            <v>COMPANHIA PIRATININGA DE FORÇA E LUZ</v>
          </cell>
          <cell r="F75" t="str">
            <v>CONTA DE ENERGIA ELÉTRICA ESCRITÓRIO - REF 02/2011</v>
          </cell>
          <cell r="G75" t="str">
            <v>D</v>
          </cell>
          <cell r="H75">
            <v>1530.46</v>
          </cell>
          <cell r="I75">
            <v>0</v>
          </cell>
          <cell r="J75" t="str">
            <v>X</v>
          </cell>
          <cell r="K75">
            <v>43094.98000000001</v>
          </cell>
          <cell r="L75">
            <v>43094.98000000001</v>
          </cell>
        </row>
        <row r="76">
          <cell r="C76" t="str">
            <v>1.2.4.14.</v>
          </cell>
          <cell r="D76">
            <v>40606</v>
          </cell>
          <cell r="E76" t="str">
            <v>TELEFONICA TELECOMUNICAÇÕES DE SÃO PAULO S.A</v>
          </cell>
          <cell r="F76" t="str">
            <v>CONTA TELEFONICA 4021-5766 - REFERÊNCIA 02/2011</v>
          </cell>
          <cell r="G76" t="str">
            <v>D</v>
          </cell>
          <cell r="H76">
            <v>509.85</v>
          </cell>
          <cell r="I76">
            <v>0</v>
          </cell>
          <cell r="J76" t="str">
            <v>X</v>
          </cell>
          <cell r="K76">
            <v>42585.130000000012</v>
          </cell>
          <cell r="L76">
            <v>42585.130000000012</v>
          </cell>
        </row>
        <row r="77">
          <cell r="C77" t="str">
            <v>1.2.4.14.</v>
          </cell>
          <cell r="D77">
            <v>40606</v>
          </cell>
          <cell r="E77" t="str">
            <v>TELEFONICA TELECOMUNICAÇÕES DE SÃO PAULO S.A</v>
          </cell>
          <cell r="F77" t="str">
            <v>CONTA TELEFONICA 4029-3700 - REFERÊNCIA 02/2011</v>
          </cell>
          <cell r="G77" t="str">
            <v>D</v>
          </cell>
          <cell r="H77">
            <v>421.54</v>
          </cell>
          <cell r="I77">
            <v>0</v>
          </cell>
          <cell r="J77" t="str">
            <v>X</v>
          </cell>
          <cell r="K77">
            <v>42163.590000000011</v>
          </cell>
          <cell r="L77">
            <v>42163.590000000011</v>
          </cell>
        </row>
        <row r="78">
          <cell r="C78" t="str">
            <v>1.2.5.4.</v>
          </cell>
          <cell r="D78">
            <v>40606</v>
          </cell>
          <cell r="E78" t="str">
            <v>HEXIS CIENTÍFICA S.A</v>
          </cell>
          <cell r="F78" t="str">
            <v>COMPRA DE MATERIAL PARA ETE</v>
          </cell>
          <cell r="G78" t="str">
            <v>D</v>
          </cell>
          <cell r="H78">
            <v>962</v>
          </cell>
          <cell r="I78">
            <v>0</v>
          </cell>
          <cell r="J78" t="str">
            <v>X</v>
          </cell>
          <cell r="K78">
            <v>41201.590000000011</v>
          </cell>
          <cell r="L78">
            <v>41201.590000000011</v>
          </cell>
        </row>
        <row r="79">
          <cell r="C79" t="str">
            <v>1.2.5.3.</v>
          </cell>
          <cell r="D79">
            <v>40611</v>
          </cell>
          <cell r="E79" t="str">
            <v>MATESA MOTORES ACIONAMENTOS E SERVIÇOS EPP</v>
          </cell>
          <cell r="F79" t="str">
            <v>Revisão e Conserto Bomba Submersa ETE - Parc 03/03</v>
          </cell>
          <cell r="G79" t="str">
            <v>D</v>
          </cell>
          <cell r="H79">
            <v>7172.75</v>
          </cell>
          <cell r="I79">
            <v>0</v>
          </cell>
          <cell r="J79" t="str">
            <v>X</v>
          </cell>
          <cell r="K79">
            <v>34028.840000000011</v>
          </cell>
          <cell r="L79">
            <v>34028.840000000011</v>
          </cell>
        </row>
        <row r="80">
          <cell r="C80" t="str">
            <v>1.2.5.6.</v>
          </cell>
          <cell r="D80">
            <v>40606</v>
          </cell>
          <cell r="E80" t="str">
            <v>ACQUALAB LABORATÓRIO CONS AMB. S/S LTDA</v>
          </cell>
          <cell r="F80" t="str">
            <v>SERV DE ANÁLISE AGUA CAVALETE SUPERFICIAL, LAUDO E SERV TÉCN.</v>
          </cell>
          <cell r="G80" t="str">
            <v>D</v>
          </cell>
          <cell r="H80">
            <v>2287.5100000000002</v>
          </cell>
          <cell r="I80">
            <v>0</v>
          </cell>
          <cell r="J80" t="str">
            <v>X</v>
          </cell>
          <cell r="K80">
            <v>31741.330000000009</v>
          </cell>
          <cell r="L80">
            <v>31741.330000000009</v>
          </cell>
        </row>
        <row r="81">
          <cell r="C81" t="str">
            <v>1.2.5.3.</v>
          </cell>
          <cell r="D81">
            <v>40606</v>
          </cell>
          <cell r="E81" t="str">
            <v>DISMOTOR COMERCIO DE MOTORES ELÉTRICOS</v>
          </cell>
          <cell r="F81" t="str">
            <v>PEÇA DE MANUTENÇÃO ETE</v>
          </cell>
          <cell r="G81" t="str">
            <v>D</v>
          </cell>
          <cell r="H81">
            <v>1110</v>
          </cell>
          <cell r="I81">
            <v>0</v>
          </cell>
          <cell r="J81" t="str">
            <v>X</v>
          </cell>
          <cell r="K81">
            <v>30631.330000000009</v>
          </cell>
          <cell r="L81">
            <v>30631.330000000009</v>
          </cell>
        </row>
        <row r="82">
          <cell r="C82" t="str">
            <v>1.2.4.11.</v>
          </cell>
          <cell r="D82">
            <v>40606</v>
          </cell>
          <cell r="E82" t="str">
            <v>COSTA REIS GARAGENS E ESTACIONAMENTOS</v>
          </cell>
          <cell r="F82" t="str">
            <v>ESTACIONAMENTO MENSAL DO SR MARCOS COHEN NO MÊS 03/2011</v>
          </cell>
          <cell r="G82" t="str">
            <v>D</v>
          </cell>
          <cell r="H82">
            <v>275</v>
          </cell>
          <cell r="I82">
            <v>0</v>
          </cell>
          <cell r="J82" t="str">
            <v>X</v>
          </cell>
          <cell r="K82">
            <v>30356.330000000009</v>
          </cell>
          <cell r="L82">
            <v>30356.330000000009</v>
          </cell>
        </row>
        <row r="83">
          <cell r="C83" t="str">
            <v>1.2.4.8.</v>
          </cell>
          <cell r="D83">
            <v>40606</v>
          </cell>
          <cell r="E83" t="str">
            <v>CASLANO ADM DE ATIVOS  E CONSULTORIA</v>
          </cell>
          <cell r="F83" t="str">
            <v>HONORÁRIOS REF A SERVIÇOS DE AUDITORIA INDEPENDENTE 02/2011</v>
          </cell>
          <cell r="G83" t="str">
            <v>D</v>
          </cell>
          <cell r="H83">
            <v>1699.13</v>
          </cell>
          <cell r="I83">
            <v>0</v>
          </cell>
          <cell r="J83" t="str">
            <v>X</v>
          </cell>
          <cell r="K83">
            <v>28657.200000000008</v>
          </cell>
          <cell r="L83">
            <v>28657.200000000008</v>
          </cell>
        </row>
        <row r="84">
          <cell r="C84" t="str">
            <v>1.2.5.14.</v>
          </cell>
          <cell r="D84">
            <v>40606</v>
          </cell>
          <cell r="E84" t="str">
            <v>TREVO COMERCIO DE EXTINTORES LTDA - ME</v>
          </cell>
          <cell r="F84" t="str">
            <v>COMPRA DE 6 EXTINTORES PARA AS ELEVATÓRIAS</v>
          </cell>
          <cell r="G84" t="str">
            <v>D</v>
          </cell>
          <cell r="H84">
            <v>665</v>
          </cell>
          <cell r="I84">
            <v>0</v>
          </cell>
          <cell r="J84" t="str">
            <v>X</v>
          </cell>
          <cell r="K84">
            <v>27992.200000000008</v>
          </cell>
          <cell r="L84">
            <v>27992.200000000008</v>
          </cell>
        </row>
        <row r="85">
          <cell r="C85" t="str">
            <v>4.1.1.7.</v>
          </cell>
          <cell r="D85">
            <v>40612</v>
          </cell>
          <cell r="E85" t="str">
            <v>MARILENA TONCHE BOZZA EPP</v>
          </cell>
          <cell r="F85" t="str">
            <v>PRATELEIRA PARA ARQUIVO MORTO</v>
          </cell>
          <cell r="G85" t="str">
            <v>D</v>
          </cell>
          <cell r="H85">
            <v>342</v>
          </cell>
          <cell r="I85">
            <v>0</v>
          </cell>
          <cell r="J85" t="str">
            <v>X</v>
          </cell>
          <cell r="K85">
            <v>27650.200000000008</v>
          </cell>
          <cell r="L85">
            <v>27650.200000000008</v>
          </cell>
        </row>
        <row r="86">
          <cell r="C86" t="str">
            <v>1.2.5.8.</v>
          </cell>
          <cell r="D86">
            <v>40612</v>
          </cell>
          <cell r="E86" t="str">
            <v>SANESALTO SANEAMENTO S.A</v>
          </cell>
          <cell r="F86" t="str">
            <v>CONTA DE ÁGUA REF. 02/11 DA ELEVATÓRIA BURU II</v>
          </cell>
          <cell r="G86" t="str">
            <v>D</v>
          </cell>
          <cell r="H86">
            <v>20.079999999999998</v>
          </cell>
          <cell r="I86">
            <v>0</v>
          </cell>
          <cell r="J86" t="str">
            <v>X</v>
          </cell>
          <cell r="K86">
            <v>27630.120000000006</v>
          </cell>
          <cell r="L86">
            <v>27630.120000000006</v>
          </cell>
        </row>
        <row r="87">
          <cell r="C87" t="str">
            <v>1.2.5.8.</v>
          </cell>
          <cell r="D87">
            <v>40612</v>
          </cell>
          <cell r="E87" t="str">
            <v>SANESALTO SANEAMENTO S.A</v>
          </cell>
          <cell r="F87" t="str">
            <v>CONTA DE ÁGUA REF. 02/11 DA ELEVATÓRIA BURU I</v>
          </cell>
          <cell r="G87" t="str">
            <v>D</v>
          </cell>
          <cell r="H87">
            <v>14.43</v>
          </cell>
          <cell r="I87">
            <v>0</v>
          </cell>
          <cell r="J87" t="str">
            <v>X</v>
          </cell>
          <cell r="K87">
            <v>27615.690000000006</v>
          </cell>
          <cell r="L87">
            <v>27615.690000000006</v>
          </cell>
        </row>
        <row r="88">
          <cell r="C88" t="str">
            <v>1.2.5.8.</v>
          </cell>
          <cell r="D88">
            <v>40612</v>
          </cell>
          <cell r="E88" t="str">
            <v>SANESALTO SANEAMENTO S.A</v>
          </cell>
          <cell r="F88" t="str">
            <v>CONTA DE ÁGUA REF. 02/11 DA ELEVATÓRIA FINAL</v>
          </cell>
          <cell r="G88" t="str">
            <v>D</v>
          </cell>
          <cell r="H88">
            <v>17.86</v>
          </cell>
          <cell r="I88">
            <v>0</v>
          </cell>
          <cell r="J88" t="str">
            <v>X</v>
          </cell>
          <cell r="K88">
            <v>27597.830000000005</v>
          </cell>
          <cell r="L88">
            <v>27597.830000000005</v>
          </cell>
        </row>
        <row r="89">
          <cell r="C89" t="str">
            <v>1.2.5.8.</v>
          </cell>
          <cell r="D89">
            <v>40612</v>
          </cell>
          <cell r="E89" t="str">
            <v>SANESALTO SANEAMENTO S.A</v>
          </cell>
          <cell r="F89" t="str">
            <v>CONTA DE ÁGUA REF. 02/11 DA ELEVATÓRIA GUARAÚ I</v>
          </cell>
          <cell r="G89" t="str">
            <v>D</v>
          </cell>
          <cell r="H89">
            <v>26.47</v>
          </cell>
          <cell r="I89">
            <v>0</v>
          </cell>
          <cell r="J89" t="str">
            <v>X</v>
          </cell>
          <cell r="K89">
            <v>27571.360000000004</v>
          </cell>
          <cell r="L89">
            <v>27571.360000000004</v>
          </cell>
        </row>
        <row r="90">
          <cell r="C90" t="str">
            <v>1.2.5.8.</v>
          </cell>
          <cell r="D90">
            <v>40612</v>
          </cell>
          <cell r="E90" t="str">
            <v>SANESALTO SANEAMENTO S.A</v>
          </cell>
          <cell r="F90" t="str">
            <v>CONTA DE ÁGUA REF. 02/11 DA ELEVATÓRIA GUARAÚ II</v>
          </cell>
          <cell r="G90" t="str">
            <v>D</v>
          </cell>
          <cell r="H90">
            <v>26.47</v>
          </cell>
          <cell r="I90">
            <v>0</v>
          </cell>
          <cell r="J90" t="str">
            <v>X</v>
          </cell>
          <cell r="K90">
            <v>27544.890000000003</v>
          </cell>
          <cell r="L90">
            <v>27544.890000000003</v>
          </cell>
        </row>
        <row r="91">
          <cell r="C91" t="str">
            <v>1.2.5.8.</v>
          </cell>
          <cell r="D91">
            <v>40612</v>
          </cell>
          <cell r="E91" t="str">
            <v>SANESALTO SANEAMENTO S.A</v>
          </cell>
          <cell r="F91" t="str">
            <v>CONTA DE ÁGUA REF. 02/11 DA ELEVATÓRIA BURU I</v>
          </cell>
          <cell r="G91" t="str">
            <v>D</v>
          </cell>
          <cell r="H91">
            <v>14.43</v>
          </cell>
          <cell r="I91">
            <v>0</v>
          </cell>
          <cell r="J91" t="str">
            <v>X</v>
          </cell>
          <cell r="K91">
            <v>27530.460000000003</v>
          </cell>
          <cell r="L91">
            <v>27530.460000000003</v>
          </cell>
        </row>
        <row r="92">
          <cell r="C92" t="str">
            <v>1.2.4.2.</v>
          </cell>
          <cell r="D92">
            <v>40612</v>
          </cell>
          <cell r="E92" t="str">
            <v>SAAE/Sanesalto</v>
          </cell>
          <cell r="F92" t="str">
            <v>Conta de Água Escritório ref 02/2011</v>
          </cell>
          <cell r="G92" t="str">
            <v>D</v>
          </cell>
          <cell r="H92">
            <v>29.36</v>
          </cell>
          <cell r="I92">
            <v>0</v>
          </cell>
          <cell r="J92" t="str">
            <v>X</v>
          </cell>
          <cell r="K92">
            <v>27501.100000000002</v>
          </cell>
          <cell r="L92">
            <v>27501.100000000002</v>
          </cell>
        </row>
        <row r="93">
          <cell r="C93" t="str">
            <v>1.2.5.10.</v>
          </cell>
          <cell r="D93">
            <v>40612</v>
          </cell>
          <cell r="E93" t="str">
            <v>CARLOS ALBERTO PROGIANTI</v>
          </cell>
          <cell r="F93" t="str">
            <v>ASSISTÊNCIA TÉCNICA PARA LEITURA DE DADOS</v>
          </cell>
          <cell r="G93" t="str">
            <v>D</v>
          </cell>
          <cell r="H93">
            <v>69.91</v>
          </cell>
          <cell r="I93">
            <v>0</v>
          </cell>
          <cell r="J93" t="str">
            <v>X</v>
          </cell>
          <cell r="K93">
            <v>27431.190000000002</v>
          </cell>
          <cell r="L93">
            <v>27431.190000000002</v>
          </cell>
        </row>
        <row r="94">
          <cell r="C94" t="str">
            <v>1.2.4.3.</v>
          </cell>
          <cell r="D94">
            <v>40612</v>
          </cell>
          <cell r="E94" t="str">
            <v>SOS COMÉRCIO DE CARTUCHOS DE SALTO LTDA</v>
          </cell>
          <cell r="F94" t="str">
            <v>CARTUCHO HP ORIGINAL PARA ESCRITÓRIO</v>
          </cell>
          <cell r="G94" t="str">
            <v>D</v>
          </cell>
          <cell r="H94">
            <v>218</v>
          </cell>
          <cell r="I94">
            <v>0</v>
          </cell>
          <cell r="J94" t="str">
            <v>X</v>
          </cell>
          <cell r="K94">
            <v>27213.190000000002</v>
          </cell>
          <cell r="L94">
            <v>27213.190000000002</v>
          </cell>
        </row>
        <row r="95">
          <cell r="C95" t="str">
            <v>1.2.3.5.</v>
          </cell>
          <cell r="D95">
            <v>40612</v>
          </cell>
          <cell r="E95" t="str">
            <v>UNIMED SALTO ITU COOP TRAB MÉDICO</v>
          </cell>
          <cell r="F95" t="str">
            <v>CONVÊNIO DOS FUNCIONÁRIOS REF 03/2011</v>
          </cell>
          <cell r="G95" t="str">
            <v>D</v>
          </cell>
          <cell r="H95">
            <v>3673.74</v>
          </cell>
          <cell r="I95">
            <v>0</v>
          </cell>
          <cell r="J95" t="str">
            <v>X</v>
          </cell>
          <cell r="K95">
            <v>23539.450000000004</v>
          </cell>
          <cell r="L95">
            <v>23539.450000000004</v>
          </cell>
        </row>
        <row r="96">
          <cell r="C96" t="str">
            <v>1.2.5.1.</v>
          </cell>
          <cell r="D96">
            <v>40616</v>
          </cell>
          <cell r="E96" t="str">
            <v>COMPANHIA PIRATININGA DE FORÇA E LUZ</v>
          </cell>
          <cell r="F96" t="str">
            <v>CONTA DE ENERGIA - ELEVATÓRIA FINAL REF 02/2011</v>
          </cell>
          <cell r="G96" t="str">
            <v>D</v>
          </cell>
          <cell r="H96">
            <v>16578.5</v>
          </cell>
          <cell r="I96">
            <v>0</v>
          </cell>
          <cell r="J96" t="str">
            <v>X</v>
          </cell>
          <cell r="K96">
            <v>6960.9500000000044</v>
          </cell>
          <cell r="L96">
            <v>6960.9500000000044</v>
          </cell>
        </row>
        <row r="97">
          <cell r="C97" t="str">
            <v>1.2.5.1.</v>
          </cell>
          <cell r="D97">
            <v>40616</v>
          </cell>
          <cell r="E97" t="str">
            <v>COMPANHIA PIRATININGA DE FORÇA E LUZ</v>
          </cell>
          <cell r="F97" t="str">
            <v>CONTA DE ENERGIA - ELEVATÓRIA 01 REF 02/2011</v>
          </cell>
          <cell r="G97" t="str">
            <v>D</v>
          </cell>
          <cell r="H97">
            <v>4624.08</v>
          </cell>
          <cell r="I97">
            <v>0</v>
          </cell>
          <cell r="J97" t="str">
            <v>X</v>
          </cell>
          <cell r="K97">
            <v>2336.8700000000044</v>
          </cell>
          <cell r="L97">
            <v>2336.8700000000044</v>
          </cell>
        </row>
        <row r="98">
          <cell r="C98" t="str">
            <v>1.2.4.22.</v>
          </cell>
          <cell r="D98">
            <v>40616</v>
          </cell>
          <cell r="E98" t="str">
            <v>M.MIRANDA DOS SANTOS</v>
          </cell>
          <cell r="F98" t="str">
            <v>SERVIÇOS DE MOTOBOY - ENVIADO VIA EMAIL PARA SANETE EM ATRASO</v>
          </cell>
          <cell r="G98" t="str">
            <v>D</v>
          </cell>
          <cell r="H98">
            <v>210</v>
          </cell>
          <cell r="I98">
            <v>0</v>
          </cell>
          <cell r="J98" t="str">
            <v>X</v>
          </cell>
          <cell r="K98">
            <v>2126.8700000000044</v>
          </cell>
          <cell r="L98">
            <v>2126.8700000000044</v>
          </cell>
        </row>
        <row r="99">
          <cell r="C99" t="str">
            <v>1.2.3.9.</v>
          </cell>
          <cell r="D99">
            <v>40616</v>
          </cell>
          <cell r="E99" t="str">
            <v>FRANCISCO MARCIO DA SILVA</v>
          </cell>
          <cell r="F99" t="str">
            <v>ADICIONAL NOTURNO REF A 186 HRS MÊS 02/2011</v>
          </cell>
          <cell r="G99" t="str">
            <v>D</v>
          </cell>
          <cell r="H99">
            <v>124.6</v>
          </cell>
          <cell r="I99">
            <v>0</v>
          </cell>
          <cell r="J99" t="str">
            <v>X</v>
          </cell>
          <cell r="K99">
            <v>2002.2700000000045</v>
          </cell>
          <cell r="L99">
            <v>2002.2700000000045</v>
          </cell>
        </row>
        <row r="100">
          <cell r="C100" t="str">
            <v>1.2.4.22.</v>
          </cell>
          <cell r="D100">
            <v>40616</v>
          </cell>
          <cell r="E100" t="str">
            <v>POSTSHOP COM E SERVIÇOS LTDA</v>
          </cell>
          <cell r="F100" t="str">
            <v>SERVIÇOS DE MOTOBOY - ENVIADO VIA EMAIL PARA SANETE EM ATRASO</v>
          </cell>
          <cell r="G100" t="str">
            <v>D</v>
          </cell>
          <cell r="H100">
            <v>12.5</v>
          </cell>
          <cell r="I100">
            <v>0</v>
          </cell>
          <cell r="J100" t="str">
            <v>X</v>
          </cell>
          <cell r="K100">
            <v>1989.7700000000045</v>
          </cell>
          <cell r="L100">
            <v>1989.7700000000045</v>
          </cell>
        </row>
        <row r="101">
          <cell r="C101" t="str">
            <v>1.2.4.6.</v>
          </cell>
          <cell r="D101">
            <v>40616</v>
          </cell>
          <cell r="E101" t="str">
            <v>4° TABELIONATO DE NOTAS DA CAPITAL</v>
          </cell>
          <cell r="F101" t="str">
            <v>AUTENTICAÇÃO DE CÓPIAS CONTRATAÇÃO SÃO PAULO</v>
          </cell>
          <cell r="G101" t="str">
            <v>D</v>
          </cell>
          <cell r="H101">
            <v>37.799999999999997</v>
          </cell>
          <cell r="I101">
            <v>0</v>
          </cell>
          <cell r="J101" t="str">
            <v>X</v>
          </cell>
          <cell r="K101">
            <v>1951.9700000000046</v>
          </cell>
          <cell r="L101">
            <v>1951.9700000000046</v>
          </cell>
        </row>
        <row r="102">
          <cell r="C102" t="str">
            <v>1.2.3.8.</v>
          </cell>
          <cell r="D102">
            <v>40616</v>
          </cell>
          <cell r="E102" t="str">
            <v>TRANS TRIP LOC VEICULOS LTDA EPP</v>
          </cell>
          <cell r="F102" t="str">
            <v>LOCAÇÃO DE KOMBI + KM EXCEDIDOS NO MÊS 02/2011</v>
          </cell>
          <cell r="G102" t="str">
            <v>D</v>
          </cell>
          <cell r="H102">
            <v>6904.6</v>
          </cell>
          <cell r="I102">
            <v>0</v>
          </cell>
          <cell r="J102" t="str">
            <v>X</v>
          </cell>
          <cell r="K102">
            <v>-4952.6299999999956</v>
          </cell>
          <cell r="L102">
            <v>-4952.6299999999956</v>
          </cell>
        </row>
        <row r="103">
          <cell r="C103" t="str">
            <v>1.2.5.12.</v>
          </cell>
          <cell r="D103">
            <v>40617</v>
          </cell>
          <cell r="E103" t="str">
            <v>SECRETARIA DA RECEITA FEDERAL DO BRASIL</v>
          </cell>
          <cell r="F103" t="str">
            <v>DARF REF A PCC S/NFS 1719 GMF</v>
          </cell>
          <cell r="G103" t="str">
            <v>D</v>
          </cell>
          <cell r="H103">
            <v>699.56</v>
          </cell>
          <cell r="I103">
            <v>0</v>
          </cell>
          <cell r="J103" t="str">
            <v>X</v>
          </cell>
          <cell r="K103">
            <v>-5652.1899999999951</v>
          </cell>
          <cell r="L103">
            <v>-5652.1899999999951</v>
          </cell>
        </row>
        <row r="104">
          <cell r="C104" t="str">
            <v>1.2.4.28.</v>
          </cell>
          <cell r="D104">
            <v>40617</v>
          </cell>
          <cell r="E104" t="str">
            <v>SECRETARIA DA RECEITA FEDERAL DO BRASIL</v>
          </cell>
          <cell r="F104" t="str">
            <v>DARF REF A PCC S/NFS 1614DW</v>
          </cell>
          <cell r="G104" t="str">
            <v>D</v>
          </cell>
          <cell r="H104">
            <v>240.87</v>
          </cell>
          <cell r="I104">
            <v>0</v>
          </cell>
          <cell r="J104" t="str">
            <v>X</v>
          </cell>
          <cell r="K104">
            <v>-5893.0599999999949</v>
          </cell>
          <cell r="L104">
            <v>-5893.0599999999949</v>
          </cell>
        </row>
        <row r="105">
          <cell r="C105" t="str">
            <v>1.2.4.18.</v>
          </cell>
          <cell r="D105">
            <v>40617</v>
          </cell>
          <cell r="E105" t="str">
            <v>APAE - ASSOCIAÇÃO DE PAIS E AMIGOS DO EXCEPCIONAL</v>
          </cell>
          <cell r="F105" t="str">
            <v>DOAÇÃO MENSAL REF. A 02/2011</v>
          </cell>
          <cell r="G105" t="str">
            <v>D</v>
          </cell>
          <cell r="H105">
            <v>1500</v>
          </cell>
          <cell r="I105">
            <v>0</v>
          </cell>
          <cell r="J105" t="str">
            <v>X</v>
          </cell>
          <cell r="K105">
            <v>-7393.0599999999949</v>
          </cell>
          <cell r="L105">
            <v>-7393.0599999999949</v>
          </cell>
        </row>
        <row r="106">
          <cell r="C106" t="str">
            <v>1.2.5.4.</v>
          </cell>
          <cell r="D106">
            <v>40617</v>
          </cell>
          <cell r="E106" t="str">
            <v>WILSON BENEDITO RIZZI CIA LTDA</v>
          </cell>
          <cell r="F106" t="str">
            <v>TRANSPORTE E FORNECIMENTO DE ÁGUA PARA ETE</v>
          </cell>
          <cell r="G106" t="str">
            <v>D</v>
          </cell>
          <cell r="H106">
            <v>150</v>
          </cell>
          <cell r="I106">
            <v>0</v>
          </cell>
          <cell r="J106" t="str">
            <v>X</v>
          </cell>
          <cell r="K106">
            <v>-7543.0599999999949</v>
          </cell>
          <cell r="L106">
            <v>-7543.0599999999949</v>
          </cell>
        </row>
        <row r="107">
          <cell r="C107" t="str">
            <v>1.2.4.30.</v>
          </cell>
          <cell r="D107">
            <v>40617</v>
          </cell>
          <cell r="E107" t="str">
            <v>BANCO ITAU S.A</v>
          </cell>
          <cell r="F107" t="str">
            <v>TARIFA CHEQUE SUPERIOR 102844</v>
          </cell>
          <cell r="G107" t="str">
            <v>D</v>
          </cell>
          <cell r="H107">
            <v>18.23</v>
          </cell>
          <cell r="I107">
            <v>0</v>
          </cell>
          <cell r="J107" t="str">
            <v>X</v>
          </cell>
          <cell r="K107">
            <v>-7561.2899999999945</v>
          </cell>
          <cell r="L107">
            <v>-7561.2899999999945</v>
          </cell>
        </row>
        <row r="108">
          <cell r="C108" t="str">
            <v>1.1.1.1.</v>
          </cell>
          <cell r="D108">
            <v>40617</v>
          </cell>
          <cell r="E108" t="str">
            <v>SANESALTO SANEAMENTO S.A</v>
          </cell>
          <cell r="F108" t="str">
            <v xml:space="preserve"> Medição no período de 01 a 14/março - Bco Brasil</v>
          </cell>
          <cell r="G108" t="str">
            <v>C</v>
          </cell>
          <cell r="H108">
            <v>0</v>
          </cell>
          <cell r="I108">
            <v>62174.5</v>
          </cell>
          <cell r="J108" t="str">
            <v>X</v>
          </cell>
          <cell r="K108">
            <v>54613.210000000006</v>
          </cell>
          <cell r="L108">
            <v>54613.210000000006</v>
          </cell>
        </row>
        <row r="109">
          <cell r="C109" t="str">
            <v>1.1.1.1.</v>
          </cell>
          <cell r="D109">
            <v>40617</v>
          </cell>
          <cell r="E109" t="str">
            <v>SANESALTO SANEAMENTO S.A</v>
          </cell>
          <cell r="F109" t="str">
            <v xml:space="preserve"> Medição no período de 01 a 14/março</v>
          </cell>
          <cell r="G109" t="str">
            <v>C</v>
          </cell>
          <cell r="H109">
            <v>0</v>
          </cell>
          <cell r="I109">
            <v>313337</v>
          </cell>
          <cell r="J109" t="str">
            <v>X</v>
          </cell>
          <cell r="K109">
            <v>367950.21</v>
          </cell>
          <cell r="L109">
            <v>367950.21</v>
          </cell>
        </row>
        <row r="110">
          <cell r="C110" t="str">
            <v>1.2.5.12.</v>
          </cell>
          <cell r="D110">
            <v>40618</v>
          </cell>
          <cell r="E110" t="str">
            <v>SECRETARIA DA RECEITA FEDERAL DO BRASIL</v>
          </cell>
          <cell r="F110" t="str">
            <v>GPS REF A NF 111 DA MARTITERRA</v>
          </cell>
          <cell r="G110" t="str">
            <v>D</v>
          </cell>
          <cell r="H110">
            <v>149.87</v>
          </cell>
          <cell r="I110">
            <v>0</v>
          </cell>
          <cell r="J110" t="str">
            <v>X</v>
          </cell>
          <cell r="K110">
            <v>367800.34</v>
          </cell>
          <cell r="L110">
            <v>367800.34</v>
          </cell>
        </row>
        <row r="111">
          <cell r="C111" t="str">
            <v>1.2.4.14.</v>
          </cell>
          <cell r="D111">
            <v>40618</v>
          </cell>
          <cell r="E111" t="str">
            <v>VIVO S.A</v>
          </cell>
          <cell r="F111" t="str">
            <v>USO DE CELULAR NO PERÍODO 23/01/11 A 22/02/11</v>
          </cell>
          <cell r="G111" t="str">
            <v>D</v>
          </cell>
          <cell r="H111">
            <v>557.55999999999995</v>
          </cell>
          <cell r="I111">
            <v>0</v>
          </cell>
          <cell r="J111" t="str">
            <v>X</v>
          </cell>
          <cell r="K111">
            <v>367242.78</v>
          </cell>
          <cell r="L111">
            <v>367242.78</v>
          </cell>
        </row>
        <row r="112">
          <cell r="C112" t="str">
            <v>1.2.4.14.</v>
          </cell>
          <cell r="D112">
            <v>40618</v>
          </cell>
          <cell r="E112" t="str">
            <v>VIVO S.A</v>
          </cell>
          <cell r="F112" t="str">
            <v>USO DE GPRS NO PERÍODO 23/01/11 A 22/02/11</v>
          </cell>
          <cell r="G112" t="str">
            <v>D</v>
          </cell>
          <cell r="H112">
            <v>499</v>
          </cell>
          <cell r="I112">
            <v>0</v>
          </cell>
          <cell r="J112" t="str">
            <v>X</v>
          </cell>
          <cell r="K112">
            <v>366743.78</v>
          </cell>
          <cell r="L112">
            <v>366743.78</v>
          </cell>
        </row>
        <row r="113">
          <cell r="C113" t="str">
            <v>1.2.4.3.</v>
          </cell>
          <cell r="D113">
            <v>40618</v>
          </cell>
          <cell r="E113" t="str">
            <v>CODEQ SUPRIMENTOS PARA ESCRITÓRIOS LTDA</v>
          </cell>
          <cell r="F113" t="str">
            <v>COMPRA DE MATERIAIS DIVERSOS PARA ESCRITÓRIO</v>
          </cell>
          <cell r="G113" t="str">
            <v>D</v>
          </cell>
          <cell r="H113">
            <v>293.74</v>
          </cell>
          <cell r="I113">
            <v>0</v>
          </cell>
          <cell r="J113" t="str">
            <v>X</v>
          </cell>
          <cell r="K113">
            <v>366450.04000000004</v>
          </cell>
          <cell r="L113">
            <v>366450.04000000004</v>
          </cell>
        </row>
        <row r="114">
          <cell r="C114" t="str">
            <v>1.2.5.2.</v>
          </cell>
          <cell r="D114">
            <v>40619</v>
          </cell>
          <cell r="E114" t="str">
            <v>MARTITERRA TERRAPLANAGEM PAVIMENTAÇÃO E COMÉRCIO</v>
          </cell>
          <cell r="F114" t="str">
            <v>EXECUÇÃO DE SERVIÇOS PARA OBRAS DE CONSTRUÇÃO CIVIL</v>
          </cell>
          <cell r="G114" t="str">
            <v>D</v>
          </cell>
          <cell r="H114">
            <v>12793.88</v>
          </cell>
          <cell r="I114">
            <v>0</v>
          </cell>
          <cell r="J114" t="str">
            <v>X</v>
          </cell>
          <cell r="K114">
            <v>353656.16000000003</v>
          </cell>
          <cell r="L114">
            <v>353656.16000000003</v>
          </cell>
        </row>
        <row r="115">
          <cell r="C115" t="str">
            <v>1.2.4.26.</v>
          </cell>
          <cell r="D115">
            <v>40619</v>
          </cell>
          <cell r="E115" t="str">
            <v>FUNDAÇÃO GETÚLIO VARGAS</v>
          </cell>
          <cell r="F115" t="str">
            <v>SERVIÇO DE CONSULTORIA PARA TARIFA DE TRATAMENTO DE ESGOTOS</v>
          </cell>
          <cell r="G115" t="str">
            <v>D</v>
          </cell>
          <cell r="H115">
            <v>50000</v>
          </cell>
          <cell r="I115">
            <v>0</v>
          </cell>
          <cell r="J115" t="str">
            <v>X</v>
          </cell>
          <cell r="K115">
            <v>303656.16000000003</v>
          </cell>
          <cell r="L115">
            <v>303656.16000000003</v>
          </cell>
        </row>
        <row r="116">
          <cell r="C116" t="str">
            <v>1.2.2.4.</v>
          </cell>
          <cell r="D116">
            <v>40620</v>
          </cell>
          <cell r="E116" t="str">
            <v>SECRETARIA DA RECEITA FEDERAL DO BRASIL</v>
          </cell>
          <cell r="F116" t="str">
            <v>DARF REF IR FONTE PROLABORE</v>
          </cell>
          <cell r="G116" t="str">
            <v>D</v>
          </cell>
          <cell r="H116">
            <v>5215.04</v>
          </cell>
          <cell r="I116">
            <v>0</v>
          </cell>
          <cell r="J116" t="str">
            <v>X</v>
          </cell>
          <cell r="K116">
            <v>298441.12000000005</v>
          </cell>
          <cell r="L116">
            <v>298441.12000000005</v>
          </cell>
        </row>
        <row r="117">
          <cell r="C117" t="str">
            <v>1.2.3.11.</v>
          </cell>
          <cell r="D117">
            <v>40620</v>
          </cell>
          <cell r="E117" t="str">
            <v>SECRETARIA DA RECEITA FEDERAL DO BRASIL</v>
          </cell>
          <cell r="F117" t="str">
            <v>DARF REF IR FONTE ASSALARIADO</v>
          </cell>
          <cell r="G117" t="str">
            <v>D</v>
          </cell>
          <cell r="H117">
            <v>197.46</v>
          </cell>
          <cell r="I117">
            <v>0</v>
          </cell>
          <cell r="J117" t="str">
            <v>X</v>
          </cell>
          <cell r="K117">
            <v>298243.66000000003</v>
          </cell>
          <cell r="L117">
            <v>298243.66000000003</v>
          </cell>
        </row>
        <row r="118">
          <cell r="C118" t="str">
            <v>1.2.5.12.</v>
          </cell>
          <cell r="D118">
            <v>40620</v>
          </cell>
          <cell r="E118" t="str">
            <v>SECRETARIA DA RECEITA FEDERAL DO BRASIL</v>
          </cell>
          <cell r="F118" t="str">
            <v>DARF REF A IR S/NFS 12 ARAUJO DE ARAUJO</v>
          </cell>
          <cell r="G118" t="str">
            <v>D</v>
          </cell>
          <cell r="H118">
            <v>414</v>
          </cell>
          <cell r="I118">
            <v>0</v>
          </cell>
          <cell r="J118" t="str">
            <v>X</v>
          </cell>
          <cell r="K118">
            <v>297829.66000000003</v>
          </cell>
          <cell r="L118">
            <v>297829.66000000003</v>
          </cell>
        </row>
        <row r="119">
          <cell r="C119" t="str">
            <v>1.2.5.12.</v>
          </cell>
          <cell r="D119">
            <v>40620</v>
          </cell>
          <cell r="E119" t="str">
            <v>SECRETARIA DA RECEITA FEDERAL DO BRASIL</v>
          </cell>
          <cell r="F119" t="str">
            <v>DARF REF A IR S/NFS 1719 GMF</v>
          </cell>
          <cell r="G119" t="str">
            <v>D</v>
          </cell>
          <cell r="H119">
            <v>225.66</v>
          </cell>
          <cell r="I119">
            <v>0</v>
          </cell>
          <cell r="J119" t="str">
            <v>X</v>
          </cell>
          <cell r="K119">
            <v>297604.00000000006</v>
          </cell>
          <cell r="L119">
            <v>297604.00000000006</v>
          </cell>
        </row>
        <row r="120">
          <cell r="C120" t="str">
            <v>1.2.4.28.</v>
          </cell>
          <cell r="D120">
            <v>40620</v>
          </cell>
          <cell r="E120" t="str">
            <v>SECRETARIA DA RECEITA FEDERAL DO BRASIL</v>
          </cell>
          <cell r="F120" t="str">
            <v>DARF REF IR NF 1642 CB&amp;A</v>
          </cell>
          <cell r="G120" t="str">
            <v>D</v>
          </cell>
          <cell r="H120">
            <v>25.88</v>
          </cell>
          <cell r="I120">
            <v>0</v>
          </cell>
          <cell r="J120" t="str">
            <v>X</v>
          </cell>
          <cell r="K120">
            <v>297578.12000000005</v>
          </cell>
          <cell r="L120">
            <v>297578.12000000005</v>
          </cell>
        </row>
        <row r="121">
          <cell r="C121" t="str">
            <v>1.2.4.28.</v>
          </cell>
          <cell r="D121">
            <v>40620</v>
          </cell>
          <cell r="E121" t="str">
            <v>SECRETARIA DA RECEITA FEDERAL DO BRASIL</v>
          </cell>
          <cell r="F121" t="str">
            <v>DARF REF A IR S/NFS 1614DW</v>
          </cell>
          <cell r="G121" t="str">
            <v>D</v>
          </cell>
          <cell r="H121">
            <v>77.7</v>
          </cell>
          <cell r="I121">
            <v>0</v>
          </cell>
          <cell r="J121" t="str">
            <v>X</v>
          </cell>
          <cell r="K121">
            <v>297500.42000000004</v>
          </cell>
          <cell r="L121">
            <v>297500.42000000004</v>
          </cell>
        </row>
        <row r="122">
          <cell r="C122" t="str">
            <v>1.2.5.12.</v>
          </cell>
          <cell r="D122">
            <v>40620</v>
          </cell>
          <cell r="E122" t="str">
            <v>SECRETARIA DA RECEITA FEDERAL DO BRASIL</v>
          </cell>
          <cell r="F122" t="str">
            <v>DARF REF IR NF 5750 CORPUS</v>
          </cell>
          <cell r="G122" t="str">
            <v>D</v>
          </cell>
          <cell r="H122">
            <v>86.58</v>
          </cell>
          <cell r="I122">
            <v>0</v>
          </cell>
          <cell r="J122" t="str">
            <v>X</v>
          </cell>
          <cell r="K122">
            <v>297413.84000000003</v>
          </cell>
          <cell r="L122">
            <v>297413.84000000003</v>
          </cell>
        </row>
        <row r="123">
          <cell r="C123" t="str">
            <v>1.2.5.12.</v>
          </cell>
          <cell r="D123">
            <v>40620</v>
          </cell>
          <cell r="E123" t="str">
            <v>SECRETARIA DA RECEITA FEDERAL DO BRASIL</v>
          </cell>
          <cell r="F123" t="str">
            <v>DARF REF IR NF 1694/1696 GMF</v>
          </cell>
          <cell r="G123" t="str">
            <v>D</v>
          </cell>
          <cell r="H123">
            <v>49.43</v>
          </cell>
          <cell r="I123">
            <v>0</v>
          </cell>
          <cell r="J123" t="str">
            <v>X</v>
          </cell>
          <cell r="K123">
            <v>297364.41000000003</v>
          </cell>
          <cell r="L123">
            <v>297364.41000000003</v>
          </cell>
        </row>
        <row r="124">
          <cell r="C124" t="str">
            <v>1.2.3.3.</v>
          </cell>
          <cell r="D124">
            <v>40620</v>
          </cell>
          <cell r="E124" t="str">
            <v>SECRETARIA DA RECEITA FEDERAL DO BRASIL</v>
          </cell>
          <cell r="F124" t="str">
            <v>GPS REF INSS DOS FUNCIONÁRIOS COMPET. 02/2011</v>
          </cell>
          <cell r="G124" t="str">
            <v>D</v>
          </cell>
          <cell r="H124">
            <v>18349.330000000002</v>
          </cell>
          <cell r="I124">
            <v>0</v>
          </cell>
          <cell r="J124" t="str">
            <v>X</v>
          </cell>
          <cell r="K124">
            <v>279015.08</v>
          </cell>
          <cell r="L124">
            <v>279015.08</v>
          </cell>
        </row>
        <row r="125">
          <cell r="C125" t="str">
            <v>1.2.4.28.</v>
          </cell>
          <cell r="D125">
            <v>40620</v>
          </cell>
          <cell r="E125" t="str">
            <v>SECRETARIA DA RECEITA FEDERAL DO BRASIL</v>
          </cell>
          <cell r="F125" t="str">
            <v>DARF REF IR FAT 375 UNIMED</v>
          </cell>
          <cell r="G125" t="str">
            <v>D</v>
          </cell>
          <cell r="H125">
            <v>28.88</v>
          </cell>
          <cell r="I125">
            <v>0</v>
          </cell>
          <cell r="J125" t="str">
            <v>X</v>
          </cell>
          <cell r="K125">
            <v>278986.2</v>
          </cell>
          <cell r="L125">
            <v>278986.2</v>
          </cell>
        </row>
        <row r="126">
          <cell r="C126" t="str">
            <v>1.2.4.19.</v>
          </cell>
          <cell r="D126">
            <v>40620</v>
          </cell>
          <cell r="E126" t="str">
            <v>FRANCISCO CARLOS ROCHA</v>
          </cell>
          <cell r="F126" t="str">
            <v>Aluguel mês março/2011 prédio Rua Nove de Julho</v>
          </cell>
          <cell r="G126" t="str">
            <v>D</v>
          </cell>
          <cell r="H126">
            <v>3145</v>
          </cell>
          <cell r="I126">
            <v>0</v>
          </cell>
          <cell r="J126" t="str">
            <v>X</v>
          </cell>
          <cell r="K126">
            <v>275841.2</v>
          </cell>
          <cell r="L126">
            <v>275841.2</v>
          </cell>
        </row>
        <row r="127">
          <cell r="C127" t="str">
            <v>1.2.4.14.</v>
          </cell>
          <cell r="D127">
            <v>40623</v>
          </cell>
          <cell r="E127" t="str">
            <v>Vivo S.A.</v>
          </cell>
          <cell r="F127" t="str">
            <v>Conta telefone black barry - referência 03-2011</v>
          </cell>
          <cell r="G127" t="str">
            <v>D</v>
          </cell>
          <cell r="H127">
            <v>311.14</v>
          </cell>
          <cell r="I127">
            <v>0</v>
          </cell>
          <cell r="J127" t="str">
            <v>X</v>
          </cell>
          <cell r="K127">
            <v>275530.06</v>
          </cell>
          <cell r="L127">
            <v>275530.06</v>
          </cell>
        </row>
        <row r="128">
          <cell r="C128" t="str">
            <v>1.2.5.2.</v>
          </cell>
          <cell r="D128">
            <v>40623</v>
          </cell>
          <cell r="E128" t="str">
            <v>EXTRA PAVIMENTAÇÃO COM LTDA</v>
          </cell>
          <cell r="F128" t="str">
            <v>MATERIAL - OBRA DA RUA CORUBATAS - ASFALTAMENTO</v>
          </cell>
          <cell r="G128" t="str">
            <v>D</v>
          </cell>
          <cell r="H128">
            <v>816.62</v>
          </cell>
          <cell r="I128">
            <v>0</v>
          </cell>
          <cell r="J128" t="str">
            <v>X</v>
          </cell>
          <cell r="K128">
            <v>274713.44</v>
          </cell>
          <cell r="L128">
            <v>274713.44</v>
          </cell>
        </row>
        <row r="129">
          <cell r="C129" t="str">
            <v>1.2.5.2.</v>
          </cell>
          <cell r="D129">
            <v>40623</v>
          </cell>
          <cell r="E129" t="str">
            <v>EXTRA PAVIMENTAÇÃO COM LTDA</v>
          </cell>
          <cell r="F129" t="str">
            <v>MATERIAL - OBRA DA RUA CORUBATAS - ASFALTAMENTO</v>
          </cell>
          <cell r="G129" t="str">
            <v>D</v>
          </cell>
          <cell r="H129">
            <v>1449.14</v>
          </cell>
          <cell r="I129">
            <v>0</v>
          </cell>
          <cell r="J129" t="str">
            <v>X</v>
          </cell>
          <cell r="K129">
            <v>273264.3</v>
          </cell>
          <cell r="L129">
            <v>273264.3</v>
          </cell>
        </row>
        <row r="130">
          <cell r="C130" t="str">
            <v>1.2.4.26.</v>
          </cell>
          <cell r="D130">
            <v>40623</v>
          </cell>
          <cell r="E130" t="str">
            <v>MERCOLINEIT TEC CONSULT E DESENVOLVIMENTO LTDA</v>
          </cell>
          <cell r="F130" t="str">
            <v>ATUALIZAÇÃO MENSAL DE LEGISLAÇÃO AMBIENTAL</v>
          </cell>
          <cell r="G130" t="str">
            <v>D</v>
          </cell>
          <cell r="H130">
            <v>300</v>
          </cell>
          <cell r="I130">
            <v>0</v>
          </cell>
          <cell r="J130" t="str">
            <v>X</v>
          </cell>
          <cell r="K130">
            <v>272964.3</v>
          </cell>
          <cell r="L130">
            <v>272964.3</v>
          </cell>
        </row>
        <row r="131">
          <cell r="C131" t="str">
            <v>1.2.5.10.</v>
          </cell>
          <cell r="D131">
            <v>40623</v>
          </cell>
          <cell r="E131" t="str">
            <v>GESTÃO DE MEDIÇÃO E FATURAMENTO LTDA</v>
          </cell>
          <cell r="F131" t="str">
            <v>LICENÇA SOFTWARE TINOS REF 01/2011</v>
          </cell>
          <cell r="G131" t="str">
            <v>D</v>
          </cell>
          <cell r="H131">
            <v>2528.56</v>
          </cell>
          <cell r="I131">
            <v>0</v>
          </cell>
          <cell r="J131" t="str">
            <v>X</v>
          </cell>
          <cell r="K131">
            <v>270435.74</v>
          </cell>
          <cell r="L131">
            <v>270435.74</v>
          </cell>
        </row>
        <row r="132">
          <cell r="C132" t="str">
            <v>1.2.3.3.</v>
          </cell>
          <cell r="D132">
            <v>40623</v>
          </cell>
          <cell r="E132" t="str">
            <v>SECRETARIA DA RECEITA FEDERAL DO BRASIL</v>
          </cell>
          <cell r="F132" t="str">
            <v>GPS REF INSS DOS FUNCIONÁRIOS COMPET. 02/2011</v>
          </cell>
          <cell r="G132" t="str">
            <v>D</v>
          </cell>
          <cell r="H132">
            <v>1171.9100000000001</v>
          </cell>
          <cell r="I132">
            <v>0</v>
          </cell>
          <cell r="J132" t="str">
            <v>X</v>
          </cell>
          <cell r="K132">
            <v>269263.83</v>
          </cell>
          <cell r="L132">
            <v>269263.83</v>
          </cell>
        </row>
        <row r="133">
          <cell r="C133" t="str">
            <v>1.2.5.12.</v>
          </cell>
          <cell r="D133">
            <v>40623</v>
          </cell>
          <cell r="E133" t="str">
            <v>SECRETARIA DA RECEITA FEDERAL DO BRASIL</v>
          </cell>
          <cell r="F133" t="str">
            <v>GPS REF A NF 1321 GARRA</v>
          </cell>
          <cell r="G133" t="str">
            <v>D</v>
          </cell>
          <cell r="H133">
            <v>241.5</v>
          </cell>
          <cell r="I133">
            <v>0</v>
          </cell>
          <cell r="J133" t="str">
            <v>X</v>
          </cell>
          <cell r="K133">
            <v>269022.33</v>
          </cell>
          <cell r="L133">
            <v>269022.33</v>
          </cell>
        </row>
        <row r="134">
          <cell r="C134" t="str">
            <v>1.2.5.12.</v>
          </cell>
          <cell r="D134">
            <v>40623</v>
          </cell>
          <cell r="E134" t="str">
            <v>SECRETARIA DA RECEITA FEDERAL DO BRASIL</v>
          </cell>
          <cell r="F134" t="str">
            <v>GPS - REF GARRA COMPETENCIA 02/2011 - NF 1322</v>
          </cell>
          <cell r="G134" t="str">
            <v>D</v>
          </cell>
          <cell r="H134">
            <v>676.02</v>
          </cell>
          <cell r="I134">
            <v>0</v>
          </cell>
          <cell r="J134" t="str">
            <v>X</v>
          </cell>
          <cell r="K134">
            <v>268346.31</v>
          </cell>
          <cell r="L134">
            <v>268346.31</v>
          </cell>
        </row>
        <row r="135">
          <cell r="C135" t="str">
            <v>1.2.5.10.</v>
          </cell>
          <cell r="D135">
            <v>40623</v>
          </cell>
          <cell r="E135" t="str">
            <v>GESTÃO DE MEDIÇÃO E FATURAMENTO LTDA</v>
          </cell>
          <cell r="F135" t="str">
            <v>LICENÇA INTELIGEST E LICENÇA ORACLE 9/12</v>
          </cell>
          <cell r="G135" t="str">
            <v>D</v>
          </cell>
          <cell r="H135">
            <v>14119.07</v>
          </cell>
          <cell r="I135">
            <v>0</v>
          </cell>
          <cell r="J135" t="str">
            <v>X</v>
          </cell>
          <cell r="K135">
            <v>254227.24</v>
          </cell>
          <cell r="L135">
            <v>254227.24</v>
          </cell>
        </row>
        <row r="136">
          <cell r="C136" t="str">
            <v>1.2.4.12.</v>
          </cell>
          <cell r="D136">
            <v>40623</v>
          </cell>
          <cell r="E136" t="str">
            <v>EDITORA TAPERÁ LTDA - EPP</v>
          </cell>
          <cell r="F136" t="str">
            <v>PUBLICAÇÃO NO CADERNO NOBRE DE NATAL PARC 3/5</v>
          </cell>
          <cell r="G136" t="str">
            <v>D</v>
          </cell>
          <cell r="H136">
            <v>200</v>
          </cell>
          <cell r="I136">
            <v>0</v>
          </cell>
          <cell r="J136" t="str">
            <v>X</v>
          </cell>
          <cell r="K136">
            <v>254027.24</v>
          </cell>
          <cell r="L136">
            <v>254027.24</v>
          </cell>
        </row>
        <row r="137">
          <cell r="C137" t="str">
            <v>1.1.2.1.</v>
          </cell>
          <cell r="D137">
            <v>40623</v>
          </cell>
          <cell r="E137" t="str">
            <v>DW De Martino&amp; Watanabe Assessoria Consultoria E Auditoria Contabil Ltda.</v>
          </cell>
          <cell r="F137" t="str">
            <v>Devolução de Valores</v>
          </cell>
          <cell r="G137" t="str">
            <v>C</v>
          </cell>
          <cell r="H137">
            <v>0</v>
          </cell>
          <cell r="I137">
            <v>22.5</v>
          </cell>
          <cell r="J137" t="str">
            <v>X</v>
          </cell>
          <cell r="K137">
            <v>254049.74</v>
          </cell>
          <cell r="L137">
            <v>254049.74</v>
          </cell>
        </row>
        <row r="138">
          <cell r="C138" t="str">
            <v>4.1.1.10.</v>
          </cell>
          <cell r="D138">
            <v>40624</v>
          </cell>
          <cell r="E138" t="str">
            <v xml:space="preserve">COMERCIAL DE PARAFUSOS SALTENSE LTDA </v>
          </cell>
          <cell r="F138" t="str">
            <v>COMPRA DE MATERIAIS E FERRAMENTAS</v>
          </cell>
          <cell r="G138" t="str">
            <v>D</v>
          </cell>
          <cell r="H138">
            <v>185.08</v>
          </cell>
          <cell r="I138">
            <v>0</v>
          </cell>
          <cell r="J138" t="str">
            <v>X</v>
          </cell>
          <cell r="K138">
            <v>253864.66</v>
          </cell>
          <cell r="L138">
            <v>253864.66</v>
          </cell>
        </row>
        <row r="139">
          <cell r="C139" t="str">
            <v>1.2.4.3.</v>
          </cell>
          <cell r="D139">
            <v>40624</v>
          </cell>
          <cell r="E139" t="str">
            <v>BR CONECTION COMÉRCIO E SERVIÇOS DE INFORMATICA</v>
          </cell>
          <cell r="F139" t="str">
            <v>SERVIÇOS DE ATUALIZAÇÃO DE PROGRAMAS DE COMPUTADORES</v>
          </cell>
          <cell r="G139" t="str">
            <v>D</v>
          </cell>
          <cell r="H139">
            <v>538.69000000000005</v>
          </cell>
          <cell r="I139">
            <v>0</v>
          </cell>
          <cell r="J139" t="str">
            <v>X</v>
          </cell>
          <cell r="K139">
            <v>253325.97</v>
          </cell>
          <cell r="L139">
            <v>253325.97</v>
          </cell>
        </row>
        <row r="140">
          <cell r="C140" t="str">
            <v>1.2.4.3.</v>
          </cell>
          <cell r="D140">
            <v>40627</v>
          </cell>
          <cell r="E140" t="str">
            <v>TAMAROSSI &amp; CIA LTDA EPP</v>
          </cell>
          <cell r="F140" t="str">
            <v>COMPRA DE MATERIAL PARA ESTOQUE</v>
          </cell>
          <cell r="G140" t="str">
            <v>D</v>
          </cell>
          <cell r="H140">
            <v>377</v>
          </cell>
          <cell r="I140">
            <v>0</v>
          </cell>
          <cell r="J140" t="str">
            <v>X</v>
          </cell>
          <cell r="K140">
            <v>252948.97</v>
          </cell>
          <cell r="L140">
            <v>252948.97</v>
          </cell>
        </row>
        <row r="141">
          <cell r="C141" t="str">
            <v>1.2.3.5.</v>
          </cell>
          <cell r="D141">
            <v>40627</v>
          </cell>
          <cell r="E141" t="str">
            <v>UNIMED SALTO ITU COOP TRAB MÉDICO</v>
          </cell>
          <cell r="F141" t="str">
            <v>CONSULTA DOS FUNCIONÁRIOS NO MÊS 02/2011</v>
          </cell>
          <cell r="G141" t="str">
            <v>D</v>
          </cell>
          <cell r="H141">
            <v>188.16</v>
          </cell>
          <cell r="I141">
            <v>0</v>
          </cell>
          <cell r="J141" t="str">
            <v>x</v>
          </cell>
          <cell r="K141">
            <v>252760.81</v>
          </cell>
          <cell r="L141">
            <v>252760.81</v>
          </cell>
        </row>
        <row r="142">
          <cell r="C142" t="str">
            <v>1.2.5.11.</v>
          </cell>
          <cell r="D142">
            <v>40627</v>
          </cell>
          <cell r="E142" t="str">
            <v>BERZIN ASSISTENCIA TÉCNICA E DE INFORMÁTICA LTDA</v>
          </cell>
          <cell r="F142" t="str">
            <v>PRESTAÇÃO DE SERVIÇOS NO MÊS DE 02/2011</v>
          </cell>
          <cell r="G142" t="str">
            <v>D</v>
          </cell>
          <cell r="H142">
            <v>3059.99</v>
          </cell>
          <cell r="I142">
            <v>0</v>
          </cell>
          <cell r="J142" t="str">
            <v>x</v>
          </cell>
          <cell r="K142">
            <v>249700.82</v>
          </cell>
          <cell r="L142">
            <v>249700.82</v>
          </cell>
        </row>
        <row r="143">
          <cell r="C143" t="str">
            <v>1.1.1.1.</v>
          </cell>
          <cell r="D143">
            <v>40627</v>
          </cell>
          <cell r="E143" t="str">
            <v>SANESALTO SANEAMENTO S.A</v>
          </cell>
          <cell r="F143" t="str">
            <v>Medição do período de 14 a 23 de Março</v>
          </cell>
          <cell r="G143" t="str">
            <v>C</v>
          </cell>
          <cell r="H143">
            <v>0</v>
          </cell>
          <cell r="I143">
            <v>121915.32</v>
          </cell>
          <cell r="J143" t="str">
            <v>X</v>
          </cell>
          <cell r="K143">
            <v>371616.14</v>
          </cell>
          <cell r="L143">
            <v>371616.14</v>
          </cell>
        </row>
        <row r="144">
          <cell r="C144" t="str">
            <v>1.2.5.12.</v>
          </cell>
          <cell r="D144">
            <v>40631</v>
          </cell>
          <cell r="E144" t="str">
            <v>SECRETARIA DA RECEITA FEDERAL DO BRASIL</v>
          </cell>
          <cell r="F144" t="str">
            <v xml:space="preserve">Darf ref a IR nf 239 HF Andrade </v>
          </cell>
          <cell r="G144" t="str">
            <v>D</v>
          </cell>
          <cell r="H144">
            <v>59.37</v>
          </cell>
          <cell r="I144">
            <v>0</v>
          </cell>
          <cell r="J144" t="str">
            <v>X</v>
          </cell>
          <cell r="K144">
            <v>371556.77</v>
          </cell>
          <cell r="L144">
            <v>371556.77</v>
          </cell>
        </row>
        <row r="145">
          <cell r="C145" t="str">
            <v>1.2.5.12.</v>
          </cell>
          <cell r="D145">
            <v>40631</v>
          </cell>
          <cell r="E145" t="str">
            <v>SECRETARIA DA RECEITA FEDERAL DO BRASIL</v>
          </cell>
          <cell r="F145" t="str">
            <v>Darf ref a pcc nf 239 HF Andrade</v>
          </cell>
          <cell r="G145" t="str">
            <v>D</v>
          </cell>
          <cell r="H145">
            <v>462.8</v>
          </cell>
          <cell r="I145">
            <v>0</v>
          </cell>
          <cell r="J145" t="str">
            <v>X</v>
          </cell>
          <cell r="K145">
            <v>371093.97000000003</v>
          </cell>
          <cell r="L145">
            <v>371093.97000000003</v>
          </cell>
        </row>
        <row r="146">
          <cell r="C146" t="str">
            <v>1.2.5.12.</v>
          </cell>
          <cell r="D146">
            <v>40631</v>
          </cell>
          <cell r="E146" t="str">
            <v>SECRETARIA DA RECEITA FEDERAL DO BRASIL</v>
          </cell>
          <cell r="F146" t="str">
            <v>Darf ref a IR nf 13840 Acqualab</v>
          </cell>
          <cell r="G146" t="str">
            <v>D</v>
          </cell>
          <cell r="H146">
            <v>16.7</v>
          </cell>
          <cell r="I146">
            <v>0</v>
          </cell>
          <cell r="J146" t="str">
            <v>X</v>
          </cell>
          <cell r="K146">
            <v>371077.27</v>
          </cell>
          <cell r="L146">
            <v>371077.27</v>
          </cell>
        </row>
        <row r="147">
          <cell r="C147" t="str">
            <v>1.2.4.29.</v>
          </cell>
          <cell r="D147">
            <v>40631</v>
          </cell>
          <cell r="E147" t="str">
            <v xml:space="preserve">CAPITAL EMBALAGENS DESCARTÁVEIS </v>
          </cell>
          <cell r="F147" t="str">
            <v>COMPRA DE MATERIAL PARA LIMPEZA</v>
          </cell>
          <cell r="G147" t="str">
            <v>D</v>
          </cell>
          <cell r="H147">
            <v>125.16</v>
          </cell>
          <cell r="I147">
            <v>0</v>
          </cell>
          <cell r="J147" t="str">
            <v>X</v>
          </cell>
          <cell r="K147">
            <v>370952.11000000004</v>
          </cell>
          <cell r="L147">
            <v>370952.11000000004</v>
          </cell>
        </row>
        <row r="148">
          <cell r="C148" t="str">
            <v>1.2.4.5.</v>
          </cell>
          <cell r="D148">
            <v>40631</v>
          </cell>
          <cell r="E148" t="str">
            <v>Vivo S.A</v>
          </cell>
          <cell r="F148" t="str">
            <v>Conta de internet de periodo 13/02/11 a 12/03/2011</v>
          </cell>
          <cell r="G148" t="str">
            <v>D</v>
          </cell>
          <cell r="H148">
            <v>135.80000000000001</v>
          </cell>
          <cell r="I148">
            <v>0</v>
          </cell>
          <cell r="J148" t="str">
            <v>X</v>
          </cell>
          <cell r="K148">
            <v>370816.31000000006</v>
          </cell>
          <cell r="L148">
            <v>370816.31000000006</v>
          </cell>
        </row>
        <row r="149">
          <cell r="C149" t="str">
            <v>1.2.4.31.</v>
          </cell>
          <cell r="D149">
            <v>40632</v>
          </cell>
          <cell r="E149" t="str">
            <v>SANESALTO SANEAMENTO S.A</v>
          </cell>
          <cell r="F149" t="str">
            <v>PEDIDO DE REEMBOLSO DE CAIXA</v>
          </cell>
          <cell r="G149" t="str">
            <v>D</v>
          </cell>
          <cell r="H149">
            <v>3000</v>
          </cell>
          <cell r="I149">
            <v>0</v>
          </cell>
          <cell r="J149" t="str">
            <v>X</v>
          </cell>
          <cell r="K149">
            <v>367816.31000000006</v>
          </cell>
          <cell r="L149">
            <v>367816.31000000006</v>
          </cell>
        </row>
        <row r="150">
          <cell r="C150" t="str">
            <v>1.2.5.2.</v>
          </cell>
          <cell r="D150">
            <v>40632</v>
          </cell>
          <cell r="E150" t="str">
            <v>EXTRA PAVIMENTAÇÃO COM LTDA</v>
          </cell>
          <cell r="F150" t="str">
            <v>MATERIAL - OBRA DA RUA CORUBATAS - ASFALTAMENTO</v>
          </cell>
          <cell r="G150" t="str">
            <v>D</v>
          </cell>
          <cell r="H150">
            <v>5178.74</v>
          </cell>
          <cell r="I150">
            <v>0</v>
          </cell>
          <cell r="J150" t="str">
            <v>X</v>
          </cell>
          <cell r="K150">
            <v>362637.57000000007</v>
          </cell>
          <cell r="L150">
            <v>362637.57000000007</v>
          </cell>
        </row>
        <row r="151">
          <cell r="C151" t="str">
            <v>1.2.4.5.</v>
          </cell>
          <cell r="D151">
            <v>40632</v>
          </cell>
          <cell r="E151" t="str">
            <v>NET SERV LTDA</v>
          </cell>
          <cell r="F151" t="str">
            <v>MENSALIDADE DE CONEXÃO ESCRITÓRIO DE 30/03 A 30/04</v>
          </cell>
          <cell r="G151" t="str">
            <v>D</v>
          </cell>
          <cell r="H151">
            <v>307</v>
          </cell>
          <cell r="I151">
            <v>0</v>
          </cell>
          <cell r="J151" t="str">
            <v>X</v>
          </cell>
          <cell r="K151">
            <v>362330.57000000007</v>
          </cell>
          <cell r="L151">
            <v>362330.57000000007</v>
          </cell>
        </row>
        <row r="152">
          <cell r="C152" t="str">
            <v>1.2.5.17.</v>
          </cell>
          <cell r="D152">
            <v>40632</v>
          </cell>
          <cell r="E152" t="str">
            <v>NET SERV LTDA</v>
          </cell>
          <cell r="F152" t="str">
            <v>MENSALIDADE DE CONEXÃO ETE DE 30/03 A 30/04</v>
          </cell>
          <cell r="G152" t="str">
            <v>D</v>
          </cell>
          <cell r="H152">
            <v>134</v>
          </cell>
          <cell r="I152">
            <v>0</v>
          </cell>
          <cell r="J152" t="str">
            <v>X</v>
          </cell>
          <cell r="K152">
            <v>362196.57000000007</v>
          </cell>
          <cell r="L152">
            <v>362196.57000000007</v>
          </cell>
        </row>
        <row r="153">
          <cell r="C153" t="str">
            <v>1.2.3.12.</v>
          </cell>
          <cell r="D153">
            <v>40632</v>
          </cell>
          <cell r="E153" t="str">
            <v>CASSOMED COM SEG S OCUPACIONAL LTDA ME</v>
          </cell>
          <cell r="F153" t="str">
            <v>SERVIÇOS PRESTADOS NO MÊS 02/2011</v>
          </cell>
          <cell r="G153" t="str">
            <v>D</v>
          </cell>
          <cell r="H153">
            <v>237.78</v>
          </cell>
          <cell r="I153">
            <v>0</v>
          </cell>
          <cell r="J153" t="str">
            <v>X</v>
          </cell>
          <cell r="K153">
            <v>361958.79000000004</v>
          </cell>
          <cell r="L153">
            <v>361958.79000000004</v>
          </cell>
        </row>
        <row r="154">
          <cell r="C154" t="str">
            <v>1.2.5.2.</v>
          </cell>
          <cell r="D154">
            <v>40632</v>
          </cell>
          <cell r="E154" t="str">
            <v>EXTRA PAVIMENTAÇÃO COM LTDA</v>
          </cell>
          <cell r="F154" t="str">
            <v>MATERIAL - OBRA DA RUA CORUBATAS - ASFALTAMENTO</v>
          </cell>
          <cell r="G154" t="str">
            <v>D</v>
          </cell>
          <cell r="H154">
            <v>1002.82</v>
          </cell>
          <cell r="I154">
            <v>0</v>
          </cell>
          <cell r="J154" t="str">
            <v>X</v>
          </cell>
          <cell r="K154">
            <v>360955.97000000003</v>
          </cell>
          <cell r="L154">
            <v>360955.97000000003</v>
          </cell>
        </row>
        <row r="155">
          <cell r="C155" t="str">
            <v>1.2.4.9.</v>
          </cell>
          <cell r="D155">
            <v>40632</v>
          </cell>
          <cell r="E155" t="str">
            <v>ARCOSERV AR CONDICIONADO LTDA</v>
          </cell>
          <cell r="F155" t="str">
            <v>MANUTENÇÃO MENSAL DO AR CONDICIONADO</v>
          </cell>
          <cell r="G155" t="str">
            <v>D</v>
          </cell>
          <cell r="H155">
            <v>66.8</v>
          </cell>
          <cell r="I155">
            <v>0</v>
          </cell>
          <cell r="J155" t="str">
            <v>X</v>
          </cell>
          <cell r="K155">
            <v>360889.17000000004</v>
          </cell>
          <cell r="L155">
            <v>360889.17000000004</v>
          </cell>
        </row>
        <row r="156">
          <cell r="C156" t="str">
            <v>1.2.3.8.</v>
          </cell>
          <cell r="D156">
            <v>40632</v>
          </cell>
          <cell r="E156" t="str">
            <v>Wilson Benedito Rizzi Cia Ltda.</v>
          </cell>
          <cell r="F156" t="str">
            <v>Transporte e fornecimento de água para ETE</v>
          </cell>
          <cell r="G156" t="str">
            <v>D</v>
          </cell>
          <cell r="H156">
            <v>180</v>
          </cell>
          <cell r="I156">
            <v>0</v>
          </cell>
          <cell r="J156" t="str">
            <v>X</v>
          </cell>
          <cell r="K156">
            <v>360709.17000000004</v>
          </cell>
          <cell r="L156">
            <v>360709.17000000004</v>
          </cell>
        </row>
        <row r="157">
          <cell r="C157" t="str">
            <v>1.2.4.30.</v>
          </cell>
          <cell r="D157">
            <v>40632</v>
          </cell>
          <cell r="E157" t="str">
            <v>BANCO ITAU S.A</v>
          </cell>
          <cell r="F157" t="str">
            <v>TARIFA/CUSTAS DE COBRANÇA</v>
          </cell>
          <cell r="G157" t="str">
            <v>D</v>
          </cell>
          <cell r="H157">
            <v>4.0999999999999996</v>
          </cell>
          <cell r="I157">
            <v>0</v>
          </cell>
          <cell r="J157" t="str">
            <v>X</v>
          </cell>
          <cell r="K157">
            <v>360705.07000000007</v>
          </cell>
          <cell r="L157">
            <v>360705.07000000007</v>
          </cell>
        </row>
        <row r="158">
          <cell r="C158" t="str">
            <v>5.1.2.</v>
          </cell>
          <cell r="D158">
            <v>40632</v>
          </cell>
          <cell r="E158" t="str">
            <v>Gpi participações Investimentos AS</v>
          </cell>
          <cell r="F158" t="str">
            <v>Emprestimo entre mutuos</v>
          </cell>
          <cell r="G158" t="str">
            <v>C</v>
          </cell>
          <cell r="H158">
            <v>0</v>
          </cell>
          <cell r="I158">
            <v>81875</v>
          </cell>
          <cell r="J158" t="str">
            <v>X</v>
          </cell>
          <cell r="K158">
            <v>442580.07000000007</v>
          </cell>
          <cell r="L158">
            <v>442580.07000000007</v>
          </cell>
        </row>
        <row r="159">
          <cell r="C159" t="str">
            <v>1.1.1.3.</v>
          </cell>
          <cell r="D159">
            <v>40632</v>
          </cell>
          <cell r="E159" t="str">
            <v>SANETRAT SANEAMENTO S.A</v>
          </cell>
          <cell r="F159" t="str">
            <v>Tratamento de esgoto SANETRAT ( Ref a fev/2011)</v>
          </cell>
          <cell r="G159" t="str">
            <v>C</v>
          </cell>
          <cell r="H159">
            <v>0</v>
          </cell>
          <cell r="I159">
            <v>7699.98</v>
          </cell>
          <cell r="J159" t="str">
            <v>X</v>
          </cell>
          <cell r="K159">
            <v>450280.05000000005</v>
          </cell>
          <cell r="L159">
            <v>450280.05000000005</v>
          </cell>
        </row>
        <row r="160">
          <cell r="C160" t="str">
            <v>1.2.5.4.</v>
          </cell>
          <cell r="D160">
            <v>40633</v>
          </cell>
          <cell r="E160" t="str">
            <v>HEXIS CIENTÍFICA S.A</v>
          </cell>
          <cell r="F160" t="str">
            <v>COMPRA DE MATERIAL PARA ETE</v>
          </cell>
          <cell r="G160" t="str">
            <v>D</v>
          </cell>
          <cell r="H160">
            <v>817.5</v>
          </cell>
          <cell r="I160">
            <v>0</v>
          </cell>
          <cell r="J160" t="str">
            <v>X</v>
          </cell>
          <cell r="K160">
            <v>449462.55000000005</v>
          </cell>
          <cell r="L160">
            <v>449462.55000000005</v>
          </cell>
        </row>
        <row r="161">
          <cell r="C161" t="str">
            <v>1.2.5.12.</v>
          </cell>
          <cell r="D161">
            <v>40633</v>
          </cell>
          <cell r="E161" t="str">
            <v>SECRETARIA DA RECEITA FEDERAL DO BRASIL</v>
          </cell>
          <cell r="F161" t="str">
            <v>Darf ref  IR nf 14016 Acqualab</v>
          </cell>
          <cell r="G161" t="str">
            <v>D</v>
          </cell>
          <cell r="H161">
            <v>36.090000000000003</v>
          </cell>
          <cell r="I161">
            <v>0</v>
          </cell>
          <cell r="J161" t="str">
            <v>X</v>
          </cell>
          <cell r="K161">
            <v>449426.46</v>
          </cell>
          <cell r="L161">
            <v>449426.46</v>
          </cell>
        </row>
        <row r="162">
          <cell r="C162" t="str">
            <v>1.2.5.12.</v>
          </cell>
          <cell r="D162">
            <v>40633</v>
          </cell>
          <cell r="E162" t="str">
            <v>SECRETARIA DA RECEITA FEDERAL DO BRASIL</v>
          </cell>
          <cell r="F162" t="str">
            <v>Darf ref IR nf 241 HF andrade</v>
          </cell>
          <cell r="G162" t="str">
            <v>D</v>
          </cell>
          <cell r="H162">
            <v>64.319999999999993</v>
          </cell>
          <cell r="I162">
            <v>0</v>
          </cell>
          <cell r="J162" t="str">
            <v>X</v>
          </cell>
          <cell r="K162">
            <v>449362.14</v>
          </cell>
          <cell r="L162">
            <v>449362.14</v>
          </cell>
        </row>
        <row r="163">
          <cell r="C163" t="str">
            <v>1.2.5.12.</v>
          </cell>
          <cell r="D163">
            <v>40633</v>
          </cell>
          <cell r="E163" t="str">
            <v>SECRETARIA DA RECEITA FEDERAL DO BRASIL</v>
          </cell>
          <cell r="F163" t="str">
            <v>DARF REF PCC NF 1694/1696 GMF</v>
          </cell>
          <cell r="G163" t="str">
            <v>D</v>
          </cell>
          <cell r="H163">
            <v>153.22999999999999</v>
          </cell>
          <cell r="I163">
            <v>0</v>
          </cell>
          <cell r="J163" t="str">
            <v>X</v>
          </cell>
          <cell r="K163">
            <v>449208.91000000003</v>
          </cell>
          <cell r="L163">
            <v>449208.91000000003</v>
          </cell>
        </row>
        <row r="164">
          <cell r="C164" t="str">
            <v>1.2.5.12.</v>
          </cell>
          <cell r="D164">
            <v>40633</v>
          </cell>
          <cell r="E164" t="str">
            <v>SECRETARIA DA RECEITA FEDERAL DO BRASIL</v>
          </cell>
          <cell r="F164" t="str">
            <v>DARF REF PCC NF 5750 - CORPUS</v>
          </cell>
          <cell r="G164" t="str">
            <v>D</v>
          </cell>
          <cell r="H164">
            <v>402.6</v>
          </cell>
          <cell r="I164">
            <v>0</v>
          </cell>
          <cell r="J164" t="str">
            <v>X</v>
          </cell>
          <cell r="K164">
            <v>448806.31000000006</v>
          </cell>
          <cell r="L164">
            <v>448806.31000000006</v>
          </cell>
        </row>
        <row r="165">
          <cell r="C165" t="str">
            <v>1.2.5.12.</v>
          </cell>
          <cell r="D165">
            <v>40633</v>
          </cell>
          <cell r="E165" t="str">
            <v>SECRETARIA DA RECEITA FEDERAL DO BRASIL</v>
          </cell>
          <cell r="F165" t="str">
            <v>Darf ref Pcc nf 241 Hf Andrade</v>
          </cell>
          <cell r="G165" t="str">
            <v>D</v>
          </cell>
          <cell r="H165">
            <v>495.4</v>
          </cell>
          <cell r="I165">
            <v>0</v>
          </cell>
          <cell r="J165" t="str">
            <v>X</v>
          </cell>
          <cell r="K165">
            <v>448310.91000000003</v>
          </cell>
          <cell r="L165">
            <v>448310.91000000003</v>
          </cell>
        </row>
        <row r="166">
          <cell r="C166" t="str">
            <v>1.2.5.12.</v>
          </cell>
          <cell r="D166">
            <v>40633</v>
          </cell>
          <cell r="E166" t="str">
            <v>SECRETARIA DA RECEITA FEDERAL DO BRASIL</v>
          </cell>
          <cell r="F166" t="str">
            <v>DARF REF A PCC S/NFS 12 ARAUJO DE ARAUJO</v>
          </cell>
          <cell r="G166" t="str">
            <v>D</v>
          </cell>
          <cell r="H166">
            <v>1283.4000000000001</v>
          </cell>
          <cell r="I166">
            <v>0</v>
          </cell>
          <cell r="J166" t="str">
            <v>X</v>
          </cell>
          <cell r="K166">
            <v>447027.51</v>
          </cell>
          <cell r="L166">
            <v>447027.51</v>
          </cell>
        </row>
        <row r="167">
          <cell r="C167" t="str">
            <v>3.2.3.</v>
          </cell>
          <cell r="D167">
            <v>40633</v>
          </cell>
          <cell r="E167" t="str">
            <v>Credito Operações Sup Serv Emp</v>
          </cell>
          <cell r="F167" t="str">
            <v>Ref a pagamento de Debentures mês MARÇO/2011</v>
          </cell>
          <cell r="G167" t="str">
            <v>D</v>
          </cell>
          <cell r="H167">
            <v>425096.68</v>
          </cell>
          <cell r="I167">
            <v>0</v>
          </cell>
          <cell r="J167" t="str">
            <v>X</v>
          </cell>
          <cell r="K167">
            <v>21930.830000000016</v>
          </cell>
          <cell r="L167">
            <v>21930.830000000016</v>
          </cell>
        </row>
        <row r="168">
          <cell r="C168" t="str">
            <v>1.2.4.32.</v>
          </cell>
          <cell r="D168">
            <v>40633</v>
          </cell>
          <cell r="E168" t="str">
            <v>Crea - Conselho Regional Eng, Arq e Agr</v>
          </cell>
          <cell r="F168" t="str">
            <v>Referente a anuidade do Registro de Engenharia</v>
          </cell>
          <cell r="G168" t="str">
            <v>D</v>
          </cell>
          <cell r="H168">
            <v>393.5</v>
          </cell>
          <cell r="I168">
            <v>0</v>
          </cell>
          <cell r="J168" t="str">
            <v>X</v>
          </cell>
          <cell r="K168">
            <v>21537.330000000016</v>
          </cell>
          <cell r="L168">
            <v>21537.330000000016</v>
          </cell>
        </row>
        <row r="169">
          <cell r="C169" t="str">
            <v>1.2.3.7.</v>
          </cell>
          <cell r="D169">
            <v>40633</v>
          </cell>
          <cell r="E169" t="str">
            <v>ROCA DISTRIBUIDORA DE PRODUTOS ALIMENTÍCIOS</v>
          </cell>
          <cell r="F169" t="str">
            <v>COMPRA DE CESTA BÁSICA PARA FUNCIONÁRIOS</v>
          </cell>
          <cell r="G169" t="str">
            <v>D</v>
          </cell>
          <cell r="H169">
            <v>560</v>
          </cell>
          <cell r="I169">
            <v>0</v>
          </cell>
          <cell r="J169" t="str">
            <v>X</v>
          </cell>
          <cell r="K169">
            <v>20977.330000000016</v>
          </cell>
          <cell r="L169">
            <v>20977.330000000016</v>
          </cell>
        </row>
        <row r="170">
          <cell r="D170">
            <v>40634</v>
          </cell>
          <cell r="E170" t="str">
            <v>BANCO ITAU S.A</v>
          </cell>
          <cell r="F170" t="str">
            <v>TARIFA DOC</v>
          </cell>
          <cell r="G170" t="str">
            <v>D</v>
          </cell>
          <cell r="H170">
            <v>35.1</v>
          </cell>
          <cell r="I170">
            <v>0</v>
          </cell>
          <cell r="J170" t="str">
            <v>x</v>
          </cell>
          <cell r="K170">
            <v>20942.230000000018</v>
          </cell>
          <cell r="L170">
            <v>20942.230000000018</v>
          </cell>
        </row>
        <row r="171">
          <cell r="D171">
            <v>40634</v>
          </cell>
          <cell r="E171" t="str">
            <v>BANCO ITAU S.A</v>
          </cell>
          <cell r="F171" t="str">
            <v>TARIFA TED</v>
          </cell>
          <cell r="G171" t="str">
            <v>D</v>
          </cell>
          <cell r="H171">
            <v>39</v>
          </cell>
          <cell r="I171">
            <v>0</v>
          </cell>
          <cell r="J171" t="str">
            <v>x</v>
          </cell>
          <cell r="K171">
            <v>20903.230000000018</v>
          </cell>
          <cell r="L171">
            <v>20903.230000000018</v>
          </cell>
        </row>
        <row r="172">
          <cell r="D172">
            <v>40634</v>
          </cell>
          <cell r="E172" t="str">
            <v>SODEXO PASS DO BRASIL SERVIÇOS E COMÉRCIOS LTDA</v>
          </cell>
          <cell r="F172" t="str">
            <v>VALE ALIMENTAÇÃO DOS FUNCIONARIOS NO MÊS DE 04/2011</v>
          </cell>
          <cell r="G172" t="str">
            <v>D</v>
          </cell>
          <cell r="H172">
            <v>3051.03</v>
          </cell>
          <cell r="I172">
            <v>0</v>
          </cell>
          <cell r="J172" t="str">
            <v>x</v>
          </cell>
          <cell r="K172">
            <v>17852.200000000019</v>
          </cell>
          <cell r="L172">
            <v>17852.200000000019</v>
          </cell>
        </row>
        <row r="173">
          <cell r="D173">
            <v>40634</v>
          </cell>
          <cell r="E173" t="str">
            <v xml:space="preserve">CAPITAL EMBALAGENS DESCARTÁVEIS </v>
          </cell>
          <cell r="F173" t="str">
            <v>COMPRA DE MATERIAL DE HIGIENE E LIMPEZA PARA ESCRITÓRIO</v>
          </cell>
          <cell r="G173" t="str">
            <v>D</v>
          </cell>
          <cell r="H173">
            <v>170.76</v>
          </cell>
          <cell r="I173">
            <v>0</v>
          </cell>
          <cell r="J173" t="str">
            <v>x</v>
          </cell>
          <cell r="K173">
            <v>17681.440000000021</v>
          </cell>
          <cell r="L173">
            <v>17681.440000000021</v>
          </cell>
        </row>
        <row r="174">
          <cell r="D174">
            <v>40634</v>
          </cell>
          <cell r="E174" t="str">
            <v>Companhia Piratininga de Força e Luz</v>
          </cell>
          <cell r="F174" t="str">
            <v>Conta de Energia Elétrica do Escritorio- ref 03/2011</v>
          </cell>
          <cell r="G174" t="str">
            <v>D</v>
          </cell>
          <cell r="H174">
            <v>1071.83</v>
          </cell>
          <cell r="I174">
            <v>0</v>
          </cell>
          <cell r="J174" t="str">
            <v>x</v>
          </cell>
          <cell r="K174">
            <v>16609.610000000022</v>
          </cell>
          <cell r="L174">
            <v>16609.610000000022</v>
          </cell>
        </row>
        <row r="175">
          <cell r="D175">
            <v>40634</v>
          </cell>
          <cell r="E175" t="str">
            <v>NEXTEL TELECOMUNICAÇÕES</v>
          </cell>
          <cell r="F175" t="str">
            <v>SERVIÇOS DE TELECOMUNICAÇÕES DE 07/02/2011 a 06/03/2011</v>
          </cell>
          <cell r="G175" t="str">
            <v>D</v>
          </cell>
          <cell r="H175">
            <v>578.70000000000005</v>
          </cell>
          <cell r="I175">
            <v>0</v>
          </cell>
          <cell r="J175" t="str">
            <v>X</v>
          </cell>
          <cell r="K175">
            <v>16030.910000000022</v>
          </cell>
          <cell r="L175">
            <v>16030.910000000022</v>
          </cell>
        </row>
        <row r="176">
          <cell r="D176">
            <v>40634</v>
          </cell>
          <cell r="E176" t="str">
            <v>NEXTEL TELECOMUNICAÇÕES</v>
          </cell>
          <cell r="F176" t="str">
            <v>SERVIÇOS DE TELECOMUNICAÇÕES DE 07/02/2011 a 06/03/2011</v>
          </cell>
          <cell r="G176" t="str">
            <v>D</v>
          </cell>
          <cell r="H176">
            <v>484</v>
          </cell>
          <cell r="I176">
            <v>0</v>
          </cell>
          <cell r="J176" t="str">
            <v>X</v>
          </cell>
          <cell r="K176">
            <v>15546.910000000022</v>
          </cell>
          <cell r="L176">
            <v>15546.910000000022</v>
          </cell>
        </row>
        <row r="177">
          <cell r="D177">
            <v>40634</v>
          </cell>
          <cell r="E177" t="str">
            <v>AUTO ONIBUS NARDELLI</v>
          </cell>
          <cell r="F177" t="str">
            <v>VALE TRANSPORTE FUNCIONÁRIOS OPERACIONAIS REF MÊS 04/11</v>
          </cell>
          <cell r="G177" t="str">
            <v>D</v>
          </cell>
          <cell r="H177">
            <v>1520.76</v>
          </cell>
          <cell r="I177">
            <v>0</v>
          </cell>
          <cell r="J177" t="str">
            <v>X</v>
          </cell>
          <cell r="K177">
            <v>14026.150000000021</v>
          </cell>
          <cell r="L177">
            <v>14026.150000000021</v>
          </cell>
        </row>
        <row r="178">
          <cell r="D178">
            <v>40634</v>
          </cell>
          <cell r="E178" t="str">
            <v>Weverton E. Pereira</v>
          </cell>
          <cell r="F178" t="str">
            <v>Pagamento de Férias periodo 04/04/2011 a 03/05/2011</v>
          </cell>
          <cell r="G178" t="str">
            <v>D</v>
          </cell>
          <cell r="H178">
            <v>1049</v>
          </cell>
          <cell r="I178">
            <v>0</v>
          </cell>
          <cell r="J178" t="str">
            <v>X</v>
          </cell>
          <cell r="K178">
            <v>12977.150000000021</v>
          </cell>
          <cell r="L178">
            <v>12977.150000000021</v>
          </cell>
        </row>
        <row r="179">
          <cell r="D179">
            <v>40634</v>
          </cell>
          <cell r="E179" t="str">
            <v>MATESA MOTORES ACIONAMENTOS E SERVIÇOS EPP</v>
          </cell>
          <cell r="F179" t="str">
            <v>PARCELA 3/3 SERVIÇO DE MANUTENÇÃO ETE</v>
          </cell>
          <cell r="G179" t="str">
            <v>D</v>
          </cell>
          <cell r="H179">
            <v>3486.46</v>
          </cell>
          <cell r="I179">
            <v>0</v>
          </cell>
          <cell r="J179" t="str">
            <v>X</v>
          </cell>
          <cell r="K179">
            <v>9490.6900000000205</v>
          </cell>
          <cell r="L179">
            <v>9490.6900000000205</v>
          </cell>
        </row>
        <row r="180">
          <cell r="D180">
            <v>40634</v>
          </cell>
          <cell r="E180" t="str">
            <v xml:space="preserve">Kalunga Comercio e Industria Grafica </v>
          </cell>
          <cell r="F180" t="str">
            <v>Compra de material para escrito</v>
          </cell>
          <cell r="G180" t="str">
            <v>D</v>
          </cell>
          <cell r="H180">
            <v>184.52</v>
          </cell>
          <cell r="I180">
            <v>0</v>
          </cell>
          <cell r="J180" t="str">
            <v>X</v>
          </cell>
          <cell r="K180">
            <v>9306.1700000000201</v>
          </cell>
          <cell r="L180">
            <v>9306.1700000000201</v>
          </cell>
        </row>
        <row r="181">
          <cell r="D181">
            <v>40634</v>
          </cell>
          <cell r="E181" t="str">
            <v>BANCO ITAU S.A</v>
          </cell>
          <cell r="F181" t="str">
            <v>TARIFA TED</v>
          </cell>
          <cell r="G181" t="str">
            <v>D</v>
          </cell>
          <cell r="H181">
            <v>3.9</v>
          </cell>
          <cell r="I181">
            <v>0</v>
          </cell>
          <cell r="J181" t="str">
            <v>X</v>
          </cell>
          <cell r="K181">
            <v>9302.2700000000204</v>
          </cell>
          <cell r="L181">
            <v>9302.2700000000204</v>
          </cell>
        </row>
        <row r="182">
          <cell r="D182">
            <v>40634</v>
          </cell>
          <cell r="E182" t="str">
            <v>SANESALTO SANEAMENTO S.A</v>
          </cell>
          <cell r="F182" t="str">
            <v>Medição do período de 14 a 31 de Março</v>
          </cell>
          <cell r="G182" t="str">
            <v>C</v>
          </cell>
          <cell r="H182">
            <v>0</v>
          </cell>
          <cell r="I182">
            <v>93376.16</v>
          </cell>
          <cell r="J182" t="str">
            <v>X</v>
          </cell>
          <cell r="K182">
            <v>102678.43000000002</v>
          </cell>
          <cell r="L182">
            <v>102678.43000000002</v>
          </cell>
        </row>
        <row r="183">
          <cell r="E183" t="e">
            <v>#N/A</v>
          </cell>
          <cell r="F183" t="e">
            <v>#N/A</v>
          </cell>
          <cell r="G183" t="e">
            <v>#N/A</v>
          </cell>
          <cell r="H183">
            <v>0</v>
          </cell>
          <cell r="I183">
            <v>0</v>
          </cell>
          <cell r="K183">
            <v>102678.43000000002</v>
          </cell>
          <cell r="L183">
            <v>102678.43000000002</v>
          </cell>
        </row>
        <row r="184">
          <cell r="C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H184">
            <v>0</v>
          </cell>
          <cell r="I184">
            <v>0</v>
          </cell>
          <cell r="K184">
            <v>102678.43000000002</v>
          </cell>
          <cell r="L184">
            <v>102678.43000000002</v>
          </cell>
        </row>
        <row r="185">
          <cell r="C185" t="e">
            <v>#N/A</v>
          </cell>
          <cell r="E185" t="e">
            <v>#N/A</v>
          </cell>
          <cell r="F185" t="e">
            <v>#N/A</v>
          </cell>
          <cell r="G185" t="e">
            <v>#N/A</v>
          </cell>
          <cell r="H185">
            <v>0</v>
          </cell>
          <cell r="I185">
            <v>0</v>
          </cell>
          <cell r="K185">
            <v>102678.43000000002</v>
          </cell>
          <cell r="L185">
            <v>102678.43000000002</v>
          </cell>
        </row>
        <row r="186">
          <cell r="C186" t="e">
            <v>#N/A</v>
          </cell>
          <cell r="E186" t="e">
            <v>#N/A</v>
          </cell>
          <cell r="F186" t="e">
            <v>#N/A</v>
          </cell>
          <cell r="G186" t="e">
            <v>#N/A</v>
          </cell>
          <cell r="H186">
            <v>0</v>
          </cell>
          <cell r="I186">
            <v>0</v>
          </cell>
          <cell r="K186">
            <v>102678.43000000002</v>
          </cell>
          <cell r="L186">
            <v>102678.43000000002</v>
          </cell>
        </row>
        <row r="187">
          <cell r="C187" t="e">
            <v>#N/A</v>
          </cell>
          <cell r="E187" t="e">
            <v>#N/A</v>
          </cell>
          <cell r="F187" t="e">
            <v>#N/A</v>
          </cell>
          <cell r="G187" t="e">
            <v>#N/A</v>
          </cell>
          <cell r="H187">
            <v>0</v>
          </cell>
          <cell r="I187">
            <v>0</v>
          </cell>
          <cell r="K187">
            <v>102678.43000000002</v>
          </cell>
          <cell r="L187">
            <v>102678.43000000002</v>
          </cell>
        </row>
        <row r="188">
          <cell r="C188" t="e">
            <v>#N/A</v>
          </cell>
          <cell r="E188" t="e">
            <v>#N/A</v>
          </cell>
          <cell r="F188" t="e">
            <v>#N/A</v>
          </cell>
          <cell r="G188" t="e">
            <v>#N/A</v>
          </cell>
          <cell r="H188">
            <v>0</v>
          </cell>
          <cell r="I188">
            <v>0</v>
          </cell>
          <cell r="K188">
            <v>102678.43000000002</v>
          </cell>
          <cell r="L188">
            <v>102678.43000000002</v>
          </cell>
        </row>
        <row r="189">
          <cell r="C189" t="e">
            <v>#N/A</v>
          </cell>
          <cell r="E189" t="e">
            <v>#N/A</v>
          </cell>
          <cell r="F189" t="e">
            <v>#N/A</v>
          </cell>
          <cell r="G189" t="e">
            <v>#N/A</v>
          </cell>
          <cell r="H189">
            <v>0</v>
          </cell>
          <cell r="I189">
            <v>0</v>
          </cell>
          <cell r="K189">
            <v>102678.43000000002</v>
          </cell>
          <cell r="L189">
            <v>102678.43000000002</v>
          </cell>
        </row>
        <row r="190">
          <cell r="C190" t="e">
            <v>#N/A</v>
          </cell>
          <cell r="E190" t="e">
            <v>#N/A</v>
          </cell>
          <cell r="F190" t="e">
            <v>#N/A</v>
          </cell>
          <cell r="G190" t="e">
            <v>#N/A</v>
          </cell>
          <cell r="H190">
            <v>0</v>
          </cell>
          <cell r="I190">
            <v>0</v>
          </cell>
          <cell r="K190">
            <v>102678.43000000002</v>
          </cell>
          <cell r="L190">
            <v>102678.43000000002</v>
          </cell>
        </row>
        <row r="191">
          <cell r="C191" t="e">
            <v>#N/A</v>
          </cell>
          <cell r="E191" t="e">
            <v>#N/A</v>
          </cell>
          <cell r="F191" t="e">
            <v>#N/A</v>
          </cell>
          <cell r="G191" t="e">
            <v>#N/A</v>
          </cell>
          <cell r="H191">
            <v>0</v>
          </cell>
          <cell r="I191">
            <v>0</v>
          </cell>
          <cell r="K191">
            <v>102678.43000000002</v>
          </cell>
          <cell r="L191">
            <v>102678.43000000002</v>
          </cell>
        </row>
        <row r="192">
          <cell r="C192" t="e">
            <v>#N/A</v>
          </cell>
          <cell r="E192" t="e">
            <v>#N/A</v>
          </cell>
          <cell r="F192" t="e">
            <v>#N/A</v>
          </cell>
          <cell r="G192" t="e">
            <v>#N/A</v>
          </cell>
          <cell r="H192">
            <v>0</v>
          </cell>
          <cell r="I192">
            <v>0</v>
          </cell>
          <cell r="K192">
            <v>102678.43000000002</v>
          </cell>
          <cell r="L192">
            <v>102678.43000000002</v>
          </cell>
        </row>
        <row r="193">
          <cell r="C193" t="e">
            <v>#N/A</v>
          </cell>
          <cell r="E193" t="e">
            <v>#N/A</v>
          </cell>
          <cell r="F193" t="e">
            <v>#N/A</v>
          </cell>
          <cell r="G193" t="e">
            <v>#N/A</v>
          </cell>
          <cell r="H193">
            <v>0</v>
          </cell>
          <cell r="I193">
            <v>0</v>
          </cell>
          <cell r="K193">
            <v>102678.43000000002</v>
          </cell>
          <cell r="L193">
            <v>102678.43000000002</v>
          </cell>
        </row>
        <row r="194">
          <cell r="C194" t="e">
            <v>#N/A</v>
          </cell>
          <cell r="E194" t="e">
            <v>#N/A</v>
          </cell>
          <cell r="F194" t="e">
            <v>#N/A</v>
          </cell>
          <cell r="G194" t="e">
            <v>#N/A</v>
          </cell>
          <cell r="H194">
            <v>0</v>
          </cell>
          <cell r="I194">
            <v>0</v>
          </cell>
          <cell r="K194">
            <v>102678.43000000002</v>
          </cell>
          <cell r="L194">
            <v>102678.43000000002</v>
          </cell>
        </row>
        <row r="195">
          <cell r="C195" t="e">
            <v>#N/A</v>
          </cell>
          <cell r="E195" t="e">
            <v>#N/A</v>
          </cell>
          <cell r="F195" t="e">
            <v>#N/A</v>
          </cell>
          <cell r="G195" t="e">
            <v>#N/A</v>
          </cell>
          <cell r="H195">
            <v>0</v>
          </cell>
          <cell r="I195">
            <v>0</v>
          </cell>
          <cell r="K195">
            <v>102678.43000000002</v>
          </cell>
          <cell r="L195">
            <v>102678.43000000002</v>
          </cell>
        </row>
        <row r="196">
          <cell r="C196" t="e">
            <v>#N/A</v>
          </cell>
          <cell r="E196" t="e">
            <v>#N/A</v>
          </cell>
          <cell r="F196" t="e">
            <v>#N/A</v>
          </cell>
          <cell r="G196" t="e">
            <v>#N/A</v>
          </cell>
          <cell r="H196">
            <v>0</v>
          </cell>
          <cell r="I196">
            <v>0</v>
          </cell>
          <cell r="K196">
            <v>102678.43000000002</v>
          </cell>
          <cell r="L196">
            <v>102678.43000000002</v>
          </cell>
        </row>
        <row r="197">
          <cell r="C197" t="e">
            <v>#N/A</v>
          </cell>
          <cell r="E197" t="e">
            <v>#N/A</v>
          </cell>
          <cell r="F197" t="e">
            <v>#N/A</v>
          </cell>
          <cell r="G197" t="e">
            <v>#N/A</v>
          </cell>
          <cell r="H197">
            <v>0</v>
          </cell>
          <cell r="I197">
            <v>0</v>
          </cell>
          <cell r="K197">
            <v>102678.43000000002</v>
          </cell>
          <cell r="L197">
            <v>102678.43000000002</v>
          </cell>
        </row>
        <row r="198">
          <cell r="C198" t="e">
            <v>#N/A</v>
          </cell>
          <cell r="E198" t="e">
            <v>#N/A</v>
          </cell>
          <cell r="F198" t="e">
            <v>#N/A</v>
          </cell>
          <cell r="G198" t="e">
            <v>#N/A</v>
          </cell>
          <cell r="H198">
            <v>0</v>
          </cell>
          <cell r="I198">
            <v>0</v>
          </cell>
          <cell r="K198">
            <v>102678.43000000002</v>
          </cell>
          <cell r="L198">
            <v>102678.43000000002</v>
          </cell>
        </row>
        <row r="199">
          <cell r="C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H199">
            <v>0</v>
          </cell>
          <cell r="I199">
            <v>0</v>
          </cell>
          <cell r="K199">
            <v>102678.43000000002</v>
          </cell>
          <cell r="L199">
            <v>102678.43000000002</v>
          </cell>
        </row>
        <row r="200">
          <cell r="C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H200">
            <v>0</v>
          </cell>
          <cell r="I200">
            <v>0</v>
          </cell>
          <cell r="K200">
            <v>102678.43000000002</v>
          </cell>
          <cell r="L200">
            <v>102678.43000000002</v>
          </cell>
        </row>
        <row r="201">
          <cell r="C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H201">
            <v>0</v>
          </cell>
          <cell r="I201">
            <v>0</v>
          </cell>
          <cell r="K201">
            <v>102678.43000000002</v>
          </cell>
          <cell r="L201">
            <v>102678.43000000002</v>
          </cell>
        </row>
        <row r="202">
          <cell r="C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>
            <v>0</v>
          </cell>
          <cell r="I202">
            <v>0</v>
          </cell>
          <cell r="K202">
            <v>102678.43000000002</v>
          </cell>
          <cell r="L202">
            <v>102678.43000000002</v>
          </cell>
        </row>
        <row r="203">
          <cell r="C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H203">
            <v>0</v>
          </cell>
          <cell r="I203">
            <v>0</v>
          </cell>
          <cell r="K203">
            <v>102678.43000000002</v>
          </cell>
          <cell r="L203">
            <v>102678.43000000002</v>
          </cell>
        </row>
        <row r="204">
          <cell r="C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H204">
            <v>0</v>
          </cell>
          <cell r="I204">
            <v>0</v>
          </cell>
          <cell r="K204">
            <v>102678.43000000002</v>
          </cell>
          <cell r="L204">
            <v>102678.43000000002</v>
          </cell>
        </row>
        <row r="205">
          <cell r="C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H205">
            <v>0</v>
          </cell>
          <cell r="I205">
            <v>0</v>
          </cell>
          <cell r="K205">
            <v>102678.43000000002</v>
          </cell>
          <cell r="L205">
            <v>102678.43000000002</v>
          </cell>
        </row>
        <row r="206">
          <cell r="C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H206">
            <v>0</v>
          </cell>
          <cell r="I206">
            <v>0</v>
          </cell>
          <cell r="K206">
            <v>102678.43000000002</v>
          </cell>
          <cell r="L206">
            <v>102678.43000000002</v>
          </cell>
        </row>
        <row r="207">
          <cell r="C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H207">
            <v>0</v>
          </cell>
          <cell r="I207">
            <v>0</v>
          </cell>
          <cell r="K207">
            <v>102678.43000000002</v>
          </cell>
          <cell r="L207">
            <v>102678.43000000002</v>
          </cell>
        </row>
        <row r="208">
          <cell r="C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>
            <v>0</v>
          </cell>
          <cell r="I208">
            <v>0</v>
          </cell>
          <cell r="K208">
            <v>102678.43000000002</v>
          </cell>
          <cell r="L208">
            <v>102678.43000000002</v>
          </cell>
        </row>
        <row r="209">
          <cell r="C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H209">
            <v>0</v>
          </cell>
          <cell r="I209">
            <v>0</v>
          </cell>
          <cell r="K209">
            <v>102678.43000000002</v>
          </cell>
          <cell r="L209">
            <v>102678.43000000002</v>
          </cell>
        </row>
        <row r="210">
          <cell r="C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H210">
            <v>0</v>
          </cell>
          <cell r="I210">
            <v>0</v>
          </cell>
          <cell r="K210">
            <v>102678.43000000002</v>
          </cell>
          <cell r="L210">
            <v>102678.43000000002</v>
          </cell>
        </row>
        <row r="211">
          <cell r="C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H211">
            <v>0</v>
          </cell>
          <cell r="I211">
            <v>0</v>
          </cell>
          <cell r="K211">
            <v>102678.43000000002</v>
          </cell>
          <cell r="L211">
            <v>102678.43000000002</v>
          </cell>
        </row>
        <row r="212">
          <cell r="C212" t="e">
            <v>#N/A</v>
          </cell>
          <cell r="E212" t="e">
            <v>#N/A</v>
          </cell>
          <cell r="F212" t="e">
            <v>#N/A</v>
          </cell>
          <cell r="G212" t="e">
            <v>#N/A</v>
          </cell>
          <cell r="H212">
            <v>0</v>
          </cell>
          <cell r="I212">
            <v>0</v>
          </cell>
          <cell r="K212">
            <v>102678.43000000002</v>
          </cell>
          <cell r="L212">
            <v>102678.43000000002</v>
          </cell>
        </row>
        <row r="213">
          <cell r="C213" t="e">
            <v>#N/A</v>
          </cell>
          <cell r="E213" t="e">
            <v>#N/A</v>
          </cell>
          <cell r="F213" t="e">
            <v>#N/A</v>
          </cell>
          <cell r="G213" t="e">
            <v>#N/A</v>
          </cell>
          <cell r="H213">
            <v>0</v>
          </cell>
          <cell r="I213">
            <v>0</v>
          </cell>
          <cell r="K213">
            <v>102678.43000000002</v>
          </cell>
          <cell r="L213">
            <v>102678.43000000002</v>
          </cell>
        </row>
        <row r="214">
          <cell r="C214" t="e">
            <v>#N/A</v>
          </cell>
          <cell r="E214" t="e">
            <v>#N/A</v>
          </cell>
          <cell r="F214" t="e">
            <v>#N/A</v>
          </cell>
          <cell r="G214" t="e">
            <v>#N/A</v>
          </cell>
          <cell r="H214">
            <v>0</v>
          </cell>
          <cell r="I214">
            <v>0</v>
          </cell>
          <cell r="K214">
            <v>102678.43000000002</v>
          </cell>
          <cell r="L214">
            <v>102678.43000000002</v>
          </cell>
        </row>
        <row r="215">
          <cell r="C215" t="e">
            <v>#N/A</v>
          </cell>
          <cell r="E215" t="e">
            <v>#N/A</v>
          </cell>
          <cell r="F215" t="e">
            <v>#N/A</v>
          </cell>
          <cell r="G215" t="e">
            <v>#N/A</v>
          </cell>
          <cell r="H215">
            <v>0</v>
          </cell>
          <cell r="I215">
            <v>0</v>
          </cell>
          <cell r="K215">
            <v>102678.43000000002</v>
          </cell>
          <cell r="L215">
            <v>102678.43000000002</v>
          </cell>
        </row>
        <row r="216">
          <cell r="C216" t="e">
            <v>#N/A</v>
          </cell>
          <cell r="E216" t="e">
            <v>#N/A</v>
          </cell>
          <cell r="F216" t="e">
            <v>#N/A</v>
          </cell>
          <cell r="G216" t="e">
            <v>#N/A</v>
          </cell>
          <cell r="H216">
            <v>0</v>
          </cell>
          <cell r="I216">
            <v>0</v>
          </cell>
          <cell r="K216">
            <v>102678.43000000002</v>
          </cell>
          <cell r="L216">
            <v>102678.43000000002</v>
          </cell>
        </row>
        <row r="217">
          <cell r="C217" t="e">
            <v>#N/A</v>
          </cell>
          <cell r="E217" t="e">
            <v>#N/A</v>
          </cell>
          <cell r="F217" t="e">
            <v>#N/A</v>
          </cell>
          <cell r="G217" t="e">
            <v>#N/A</v>
          </cell>
          <cell r="H217">
            <v>0</v>
          </cell>
          <cell r="I217">
            <v>0</v>
          </cell>
          <cell r="K217">
            <v>102678.43000000002</v>
          </cell>
          <cell r="L217">
            <v>102678.43000000002</v>
          </cell>
        </row>
        <row r="218">
          <cell r="C218" t="e">
            <v>#N/A</v>
          </cell>
          <cell r="E218" t="e">
            <v>#N/A</v>
          </cell>
          <cell r="F218" t="e">
            <v>#N/A</v>
          </cell>
          <cell r="G218" t="e">
            <v>#N/A</v>
          </cell>
          <cell r="H218">
            <v>0</v>
          </cell>
          <cell r="I218">
            <v>0</v>
          </cell>
          <cell r="K218">
            <v>102678.43000000002</v>
          </cell>
          <cell r="L218">
            <v>102678.43000000002</v>
          </cell>
        </row>
        <row r="219">
          <cell r="C219" t="e">
            <v>#N/A</v>
          </cell>
          <cell r="E219" t="e">
            <v>#N/A</v>
          </cell>
          <cell r="F219" t="e">
            <v>#N/A</v>
          </cell>
          <cell r="G219" t="e">
            <v>#N/A</v>
          </cell>
          <cell r="H219">
            <v>0</v>
          </cell>
          <cell r="I219">
            <v>0</v>
          </cell>
          <cell r="K219">
            <v>102678.43000000002</v>
          </cell>
          <cell r="L219">
            <v>102678.43000000002</v>
          </cell>
        </row>
        <row r="220">
          <cell r="C220" t="e">
            <v>#N/A</v>
          </cell>
          <cell r="E220" t="e">
            <v>#N/A</v>
          </cell>
          <cell r="F220" t="e">
            <v>#N/A</v>
          </cell>
          <cell r="G220" t="e">
            <v>#N/A</v>
          </cell>
          <cell r="H220">
            <v>0</v>
          </cell>
          <cell r="I220">
            <v>0</v>
          </cell>
          <cell r="K220">
            <v>102678.43000000002</v>
          </cell>
          <cell r="L220">
            <v>102678.43000000002</v>
          </cell>
        </row>
        <row r="221">
          <cell r="C221" t="e">
            <v>#N/A</v>
          </cell>
          <cell r="E221" t="e">
            <v>#N/A</v>
          </cell>
          <cell r="F221" t="e">
            <v>#N/A</v>
          </cell>
          <cell r="G221" t="e">
            <v>#N/A</v>
          </cell>
          <cell r="H221">
            <v>0</v>
          </cell>
          <cell r="I221">
            <v>0</v>
          </cell>
          <cell r="K221">
            <v>102678.43000000002</v>
          </cell>
          <cell r="L221">
            <v>102678.43000000002</v>
          </cell>
        </row>
        <row r="222">
          <cell r="C222" t="e">
            <v>#N/A</v>
          </cell>
          <cell r="E222" t="e">
            <v>#N/A</v>
          </cell>
          <cell r="F222" t="e">
            <v>#N/A</v>
          </cell>
          <cell r="G222" t="e">
            <v>#N/A</v>
          </cell>
          <cell r="H222">
            <v>0</v>
          </cell>
          <cell r="I222">
            <v>0</v>
          </cell>
          <cell r="K222">
            <v>102678.43000000002</v>
          </cell>
          <cell r="L222">
            <v>102678.43000000002</v>
          </cell>
        </row>
        <row r="223">
          <cell r="C223" t="e">
            <v>#N/A</v>
          </cell>
          <cell r="E223" t="e">
            <v>#N/A</v>
          </cell>
          <cell r="F223" t="e">
            <v>#N/A</v>
          </cell>
          <cell r="G223" t="e">
            <v>#N/A</v>
          </cell>
          <cell r="H223">
            <v>0</v>
          </cell>
          <cell r="I223">
            <v>0</v>
          </cell>
          <cell r="K223">
            <v>102678.43000000002</v>
          </cell>
          <cell r="L223">
            <v>102678.43000000002</v>
          </cell>
        </row>
        <row r="224">
          <cell r="C224" t="e">
            <v>#N/A</v>
          </cell>
          <cell r="E224" t="e">
            <v>#N/A</v>
          </cell>
          <cell r="F224" t="e">
            <v>#N/A</v>
          </cell>
          <cell r="G224" t="e">
            <v>#N/A</v>
          </cell>
          <cell r="H224">
            <v>0</v>
          </cell>
          <cell r="I224">
            <v>0</v>
          </cell>
          <cell r="K224">
            <v>102678.43000000002</v>
          </cell>
          <cell r="L224">
            <v>102678.43000000002</v>
          </cell>
        </row>
        <row r="225">
          <cell r="C225" t="e">
            <v>#N/A</v>
          </cell>
          <cell r="E225" t="e">
            <v>#N/A</v>
          </cell>
          <cell r="F225" t="e">
            <v>#N/A</v>
          </cell>
          <cell r="G225" t="e">
            <v>#N/A</v>
          </cell>
          <cell r="H225">
            <v>0</v>
          </cell>
          <cell r="I225">
            <v>0</v>
          </cell>
          <cell r="K225">
            <v>102678.43000000002</v>
          </cell>
          <cell r="L225">
            <v>102678.43000000002</v>
          </cell>
        </row>
        <row r="226">
          <cell r="C226" t="e">
            <v>#N/A</v>
          </cell>
          <cell r="E226" t="e">
            <v>#N/A</v>
          </cell>
          <cell r="F226" t="e">
            <v>#N/A</v>
          </cell>
          <cell r="G226" t="e">
            <v>#N/A</v>
          </cell>
          <cell r="H226">
            <v>0</v>
          </cell>
          <cell r="I226">
            <v>0</v>
          </cell>
          <cell r="K226">
            <v>102678.43000000002</v>
          </cell>
          <cell r="L226">
            <v>102678.43000000002</v>
          </cell>
        </row>
        <row r="227">
          <cell r="C227" t="e">
            <v>#N/A</v>
          </cell>
          <cell r="E227" t="e">
            <v>#N/A</v>
          </cell>
          <cell r="F227" t="e">
            <v>#N/A</v>
          </cell>
          <cell r="G227" t="e">
            <v>#N/A</v>
          </cell>
          <cell r="H227">
            <v>0</v>
          </cell>
          <cell r="I227">
            <v>0</v>
          </cell>
          <cell r="K227">
            <v>102678.43000000002</v>
          </cell>
          <cell r="L227">
            <v>102678.43000000002</v>
          </cell>
        </row>
        <row r="228">
          <cell r="C228" t="e">
            <v>#N/A</v>
          </cell>
          <cell r="E228" t="e">
            <v>#N/A</v>
          </cell>
          <cell r="F228" t="e">
            <v>#N/A</v>
          </cell>
          <cell r="G228" t="e">
            <v>#N/A</v>
          </cell>
          <cell r="H228">
            <v>0</v>
          </cell>
          <cell r="I228">
            <v>0</v>
          </cell>
          <cell r="K228">
            <v>102678.43000000002</v>
          </cell>
          <cell r="L228">
            <v>102678.43000000002</v>
          </cell>
        </row>
        <row r="229">
          <cell r="C229" t="e">
            <v>#N/A</v>
          </cell>
          <cell r="E229" t="e">
            <v>#N/A</v>
          </cell>
          <cell r="F229" t="e">
            <v>#N/A</v>
          </cell>
          <cell r="G229" t="e">
            <v>#N/A</v>
          </cell>
          <cell r="H229">
            <v>0</v>
          </cell>
          <cell r="I229">
            <v>0</v>
          </cell>
          <cell r="K229">
            <v>102678.43000000002</v>
          </cell>
          <cell r="L229">
            <v>102678.43000000002</v>
          </cell>
        </row>
        <row r="230">
          <cell r="C230" t="e">
            <v>#N/A</v>
          </cell>
          <cell r="E230" t="e">
            <v>#N/A</v>
          </cell>
          <cell r="F230" t="e">
            <v>#N/A</v>
          </cell>
          <cell r="G230" t="e">
            <v>#N/A</v>
          </cell>
          <cell r="H230">
            <v>0</v>
          </cell>
          <cell r="I230">
            <v>0</v>
          </cell>
          <cell r="K230">
            <v>102678.43000000002</v>
          </cell>
          <cell r="L230">
            <v>102678.43000000002</v>
          </cell>
        </row>
        <row r="231">
          <cell r="C231" t="e">
            <v>#N/A</v>
          </cell>
          <cell r="E231" t="e">
            <v>#N/A</v>
          </cell>
          <cell r="F231" t="e">
            <v>#N/A</v>
          </cell>
          <cell r="G231" t="e">
            <v>#N/A</v>
          </cell>
          <cell r="H231">
            <v>0</v>
          </cell>
          <cell r="I231">
            <v>0</v>
          </cell>
          <cell r="K231">
            <v>102678.43000000002</v>
          </cell>
          <cell r="L231">
            <v>102678.43000000002</v>
          </cell>
        </row>
        <row r="232">
          <cell r="C232" t="e">
            <v>#N/A</v>
          </cell>
          <cell r="E232" t="e">
            <v>#N/A</v>
          </cell>
          <cell r="F232" t="e">
            <v>#N/A</v>
          </cell>
          <cell r="G232" t="e">
            <v>#N/A</v>
          </cell>
          <cell r="H232">
            <v>0</v>
          </cell>
          <cell r="I232">
            <v>0</v>
          </cell>
          <cell r="K232">
            <v>102678.43000000002</v>
          </cell>
          <cell r="L232">
            <v>102678.43000000002</v>
          </cell>
        </row>
        <row r="233">
          <cell r="C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H233">
            <v>0</v>
          </cell>
          <cell r="I233">
            <v>0</v>
          </cell>
          <cell r="K233">
            <v>102678.43000000002</v>
          </cell>
          <cell r="L233">
            <v>102678.43000000002</v>
          </cell>
        </row>
        <row r="234">
          <cell r="C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H234">
            <v>0</v>
          </cell>
          <cell r="I234">
            <v>0</v>
          </cell>
          <cell r="K234">
            <v>102678.43000000002</v>
          </cell>
          <cell r="L234">
            <v>102678.43000000002</v>
          </cell>
        </row>
        <row r="235">
          <cell r="C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H235">
            <v>0</v>
          </cell>
          <cell r="I235">
            <v>0</v>
          </cell>
          <cell r="K235">
            <v>102678.43000000002</v>
          </cell>
          <cell r="L235">
            <v>102678.43000000002</v>
          </cell>
        </row>
        <row r="236">
          <cell r="C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H236">
            <v>0</v>
          </cell>
          <cell r="I236">
            <v>0</v>
          </cell>
          <cell r="K236">
            <v>102678.43000000002</v>
          </cell>
          <cell r="L236">
            <v>102678.43000000002</v>
          </cell>
        </row>
        <row r="237">
          <cell r="C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H237">
            <v>0</v>
          </cell>
          <cell r="I237">
            <v>0</v>
          </cell>
          <cell r="K237">
            <v>102678.43000000002</v>
          </cell>
          <cell r="L237">
            <v>102678.43000000002</v>
          </cell>
        </row>
        <row r="238">
          <cell r="C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H238">
            <v>0</v>
          </cell>
          <cell r="I238">
            <v>0</v>
          </cell>
          <cell r="K238">
            <v>102678.43000000002</v>
          </cell>
          <cell r="L238">
            <v>102678.43000000002</v>
          </cell>
        </row>
        <row r="239">
          <cell r="C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H239">
            <v>0</v>
          </cell>
          <cell r="I239">
            <v>0</v>
          </cell>
          <cell r="K239">
            <v>102678.43000000002</v>
          </cell>
          <cell r="L239">
            <v>102678.43000000002</v>
          </cell>
        </row>
        <row r="240">
          <cell r="C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H240">
            <v>0</v>
          </cell>
          <cell r="I240">
            <v>0</v>
          </cell>
          <cell r="K240">
            <v>102678.43000000002</v>
          </cell>
          <cell r="L240">
            <v>102678.43000000002</v>
          </cell>
        </row>
        <row r="241">
          <cell r="C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H241">
            <v>0</v>
          </cell>
          <cell r="I241">
            <v>0</v>
          </cell>
          <cell r="K241">
            <v>102678.43000000002</v>
          </cell>
          <cell r="L241">
            <v>102678.43000000002</v>
          </cell>
        </row>
        <row r="242">
          <cell r="C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H242">
            <v>0</v>
          </cell>
          <cell r="I242">
            <v>0</v>
          </cell>
          <cell r="K242">
            <v>102678.43000000002</v>
          </cell>
          <cell r="L242">
            <v>102678.43000000002</v>
          </cell>
        </row>
        <row r="243">
          <cell r="C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H243">
            <v>0</v>
          </cell>
          <cell r="I243">
            <v>0</v>
          </cell>
          <cell r="K243">
            <v>102678.43000000002</v>
          </cell>
          <cell r="L243">
            <v>102678.43000000002</v>
          </cell>
        </row>
        <row r="244">
          <cell r="C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H244">
            <v>0</v>
          </cell>
          <cell r="I244">
            <v>0</v>
          </cell>
          <cell r="K244">
            <v>102678.43000000002</v>
          </cell>
          <cell r="L244">
            <v>102678.43000000002</v>
          </cell>
        </row>
        <row r="245">
          <cell r="C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H245">
            <v>0</v>
          </cell>
          <cell r="I245">
            <v>0</v>
          </cell>
          <cell r="K245">
            <v>102678.43000000002</v>
          </cell>
          <cell r="L245">
            <v>102678.43000000002</v>
          </cell>
        </row>
        <row r="246">
          <cell r="C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H246">
            <v>0</v>
          </cell>
          <cell r="I246">
            <v>0</v>
          </cell>
          <cell r="K246">
            <v>102678.43000000002</v>
          </cell>
          <cell r="L246">
            <v>102678.43000000002</v>
          </cell>
        </row>
        <row r="247">
          <cell r="C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H247">
            <v>0</v>
          </cell>
          <cell r="I247">
            <v>0</v>
          </cell>
          <cell r="K247">
            <v>102678.43000000002</v>
          </cell>
          <cell r="L247">
            <v>102678.43000000002</v>
          </cell>
        </row>
        <row r="248">
          <cell r="C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H248">
            <v>0</v>
          </cell>
          <cell r="I248">
            <v>0</v>
          </cell>
          <cell r="K248">
            <v>102678.43000000002</v>
          </cell>
          <cell r="L248">
            <v>102678.43000000002</v>
          </cell>
        </row>
        <row r="249">
          <cell r="C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H249">
            <v>0</v>
          </cell>
          <cell r="I249">
            <v>0</v>
          </cell>
          <cell r="K249">
            <v>102678.43000000002</v>
          </cell>
          <cell r="L249">
            <v>102678.43000000002</v>
          </cell>
        </row>
        <row r="250">
          <cell r="C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H250">
            <v>0</v>
          </cell>
          <cell r="I250">
            <v>0</v>
          </cell>
          <cell r="K250">
            <v>102678.43000000002</v>
          </cell>
          <cell r="L250">
            <v>102678.43000000002</v>
          </cell>
        </row>
        <row r="251">
          <cell r="C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H251">
            <v>0</v>
          </cell>
          <cell r="I251">
            <v>0</v>
          </cell>
          <cell r="K251">
            <v>102678.43000000002</v>
          </cell>
          <cell r="L251">
            <v>102678.43000000002</v>
          </cell>
        </row>
        <row r="252">
          <cell r="C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H252">
            <v>0</v>
          </cell>
          <cell r="I252">
            <v>0</v>
          </cell>
          <cell r="K252">
            <v>102678.43000000002</v>
          </cell>
          <cell r="L252">
            <v>102678.43000000002</v>
          </cell>
        </row>
        <row r="253">
          <cell r="C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H253">
            <v>0</v>
          </cell>
          <cell r="I253">
            <v>0</v>
          </cell>
          <cell r="K253">
            <v>102678.43000000002</v>
          </cell>
          <cell r="L253">
            <v>102678.43000000002</v>
          </cell>
        </row>
        <row r="254">
          <cell r="C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H254">
            <v>0</v>
          </cell>
          <cell r="I254">
            <v>0</v>
          </cell>
          <cell r="K254">
            <v>102678.43000000002</v>
          </cell>
          <cell r="L254">
            <v>102678.43000000002</v>
          </cell>
        </row>
        <row r="255">
          <cell r="C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H255">
            <v>0</v>
          </cell>
          <cell r="I255">
            <v>0</v>
          </cell>
          <cell r="K255">
            <v>102678.43000000002</v>
          </cell>
          <cell r="L255">
            <v>102678.43000000002</v>
          </cell>
        </row>
        <row r="256">
          <cell r="C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H256">
            <v>0</v>
          </cell>
          <cell r="I256">
            <v>0</v>
          </cell>
          <cell r="K256">
            <v>102678.43000000002</v>
          </cell>
          <cell r="L256">
            <v>102678.43000000002</v>
          </cell>
        </row>
        <row r="257">
          <cell r="C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H257">
            <v>0</v>
          </cell>
          <cell r="I257">
            <v>0</v>
          </cell>
          <cell r="K257">
            <v>102678.43000000002</v>
          </cell>
          <cell r="L257">
            <v>102678.43000000002</v>
          </cell>
        </row>
        <row r="258">
          <cell r="C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H258">
            <v>0</v>
          </cell>
          <cell r="I258">
            <v>0</v>
          </cell>
          <cell r="K258">
            <v>102678.43000000002</v>
          </cell>
          <cell r="L258">
            <v>102678.43000000002</v>
          </cell>
        </row>
        <row r="259">
          <cell r="C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H259">
            <v>0</v>
          </cell>
          <cell r="I259">
            <v>0</v>
          </cell>
          <cell r="K259">
            <v>102678.43000000002</v>
          </cell>
          <cell r="L259">
            <v>102678.43000000002</v>
          </cell>
        </row>
        <row r="260">
          <cell r="C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H260">
            <v>0</v>
          </cell>
          <cell r="I260">
            <v>0</v>
          </cell>
          <cell r="K260">
            <v>102678.43000000002</v>
          </cell>
          <cell r="L260">
            <v>102678.43000000002</v>
          </cell>
        </row>
        <row r="261">
          <cell r="C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H261">
            <v>0</v>
          </cell>
          <cell r="I261">
            <v>0</v>
          </cell>
          <cell r="K261">
            <v>102678.43000000002</v>
          </cell>
          <cell r="L261">
            <v>102678.43000000002</v>
          </cell>
        </row>
        <row r="262">
          <cell r="C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H262">
            <v>0</v>
          </cell>
          <cell r="I262">
            <v>0</v>
          </cell>
          <cell r="K262">
            <v>102678.43000000002</v>
          </cell>
          <cell r="L262">
            <v>102678.43000000002</v>
          </cell>
        </row>
        <row r="263">
          <cell r="C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H263">
            <v>0</v>
          </cell>
          <cell r="I263">
            <v>0</v>
          </cell>
          <cell r="K263">
            <v>102678.43000000002</v>
          </cell>
          <cell r="L263">
            <v>102678.43000000002</v>
          </cell>
        </row>
        <row r="264">
          <cell r="C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H264">
            <v>0</v>
          </cell>
          <cell r="I264">
            <v>0</v>
          </cell>
          <cell r="K264">
            <v>102678.43000000002</v>
          </cell>
          <cell r="L264">
            <v>102678.43000000002</v>
          </cell>
        </row>
        <row r="265">
          <cell r="C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H265">
            <v>0</v>
          </cell>
          <cell r="I265">
            <v>0</v>
          </cell>
          <cell r="K265">
            <v>102678.43000000002</v>
          </cell>
          <cell r="L265">
            <v>102678.43000000002</v>
          </cell>
        </row>
        <row r="266">
          <cell r="C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H266">
            <v>0</v>
          </cell>
          <cell r="I266">
            <v>0</v>
          </cell>
          <cell r="K266">
            <v>102678.43000000002</v>
          </cell>
          <cell r="L266">
            <v>102678.43000000002</v>
          </cell>
        </row>
        <row r="267">
          <cell r="C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H267">
            <v>0</v>
          </cell>
          <cell r="I267">
            <v>0</v>
          </cell>
          <cell r="K267">
            <v>102678.43000000002</v>
          </cell>
          <cell r="L267">
            <v>102678.43000000002</v>
          </cell>
        </row>
        <row r="268">
          <cell r="C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H268">
            <v>0</v>
          </cell>
          <cell r="I268">
            <v>0</v>
          </cell>
          <cell r="K268">
            <v>102678.43000000002</v>
          </cell>
          <cell r="L268">
            <v>102678.43000000002</v>
          </cell>
        </row>
        <row r="269">
          <cell r="C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H269">
            <v>0</v>
          </cell>
          <cell r="I269">
            <v>0</v>
          </cell>
          <cell r="K269">
            <v>102678.43000000002</v>
          </cell>
          <cell r="L269">
            <v>102678.43000000002</v>
          </cell>
        </row>
        <row r="270">
          <cell r="C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H270">
            <v>0</v>
          </cell>
          <cell r="I270">
            <v>0</v>
          </cell>
          <cell r="K270">
            <v>102678.43000000002</v>
          </cell>
          <cell r="L270">
            <v>102678.43000000002</v>
          </cell>
        </row>
        <row r="271">
          <cell r="C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H271">
            <v>0</v>
          </cell>
          <cell r="I271">
            <v>0</v>
          </cell>
          <cell r="K271">
            <v>102678.43000000002</v>
          </cell>
          <cell r="L271">
            <v>102678.43000000002</v>
          </cell>
        </row>
        <row r="272">
          <cell r="C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H272">
            <v>0</v>
          </cell>
          <cell r="I272">
            <v>0</v>
          </cell>
          <cell r="K272">
            <v>102678.43000000002</v>
          </cell>
          <cell r="L272">
            <v>102678.43000000002</v>
          </cell>
        </row>
        <row r="273">
          <cell r="C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H273">
            <v>0</v>
          </cell>
          <cell r="I273">
            <v>0</v>
          </cell>
          <cell r="K273">
            <v>102678.43000000002</v>
          </cell>
          <cell r="L273">
            <v>102678.43000000002</v>
          </cell>
        </row>
        <row r="274">
          <cell r="C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H274">
            <v>0</v>
          </cell>
          <cell r="I274">
            <v>0</v>
          </cell>
          <cell r="K274">
            <v>102678.43000000002</v>
          </cell>
          <cell r="L274">
            <v>102678.43000000002</v>
          </cell>
        </row>
        <row r="275">
          <cell r="C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>
            <v>0</v>
          </cell>
          <cell r="I275">
            <v>0</v>
          </cell>
          <cell r="K275">
            <v>102678.43000000002</v>
          </cell>
          <cell r="L275">
            <v>102678.43000000002</v>
          </cell>
        </row>
        <row r="276">
          <cell r="C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H276">
            <v>0</v>
          </cell>
          <cell r="I276">
            <v>0</v>
          </cell>
          <cell r="K276">
            <v>102678.43000000002</v>
          </cell>
          <cell r="L276">
            <v>102678.43000000002</v>
          </cell>
        </row>
        <row r="277">
          <cell r="C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H277">
            <v>0</v>
          </cell>
          <cell r="I277">
            <v>0</v>
          </cell>
          <cell r="K277">
            <v>102678.43000000002</v>
          </cell>
          <cell r="L277">
            <v>102678.43000000002</v>
          </cell>
        </row>
        <row r="278">
          <cell r="C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H278">
            <v>0</v>
          </cell>
          <cell r="I278">
            <v>0</v>
          </cell>
          <cell r="K278">
            <v>102678.43000000002</v>
          </cell>
          <cell r="L278">
            <v>102678.43000000002</v>
          </cell>
        </row>
        <row r="279">
          <cell r="C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H279">
            <v>0</v>
          </cell>
          <cell r="I279">
            <v>0</v>
          </cell>
          <cell r="K279">
            <v>102678.43000000002</v>
          </cell>
          <cell r="L279">
            <v>102678.43000000002</v>
          </cell>
        </row>
        <row r="280">
          <cell r="C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H280">
            <v>0</v>
          </cell>
          <cell r="I280">
            <v>0</v>
          </cell>
          <cell r="K280">
            <v>102678.43000000002</v>
          </cell>
          <cell r="L280">
            <v>102678.43000000002</v>
          </cell>
        </row>
        <row r="281">
          <cell r="C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H281">
            <v>0</v>
          </cell>
          <cell r="I281">
            <v>0</v>
          </cell>
          <cell r="K281">
            <v>102678.43000000002</v>
          </cell>
          <cell r="L281">
            <v>102678.43000000002</v>
          </cell>
        </row>
        <row r="282">
          <cell r="C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H282">
            <v>0</v>
          </cell>
          <cell r="I282">
            <v>0</v>
          </cell>
          <cell r="K282">
            <v>102678.43000000002</v>
          </cell>
          <cell r="L282">
            <v>102678.43000000002</v>
          </cell>
        </row>
        <row r="283">
          <cell r="C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H283">
            <v>0</v>
          </cell>
          <cell r="I283">
            <v>0</v>
          </cell>
          <cell r="K283">
            <v>102678.43000000002</v>
          </cell>
          <cell r="L283">
            <v>102678.43000000002</v>
          </cell>
        </row>
        <row r="284">
          <cell r="C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H284">
            <v>0</v>
          </cell>
          <cell r="I284">
            <v>0</v>
          </cell>
          <cell r="K284">
            <v>102678.43000000002</v>
          </cell>
          <cell r="L284">
            <v>102678.43000000002</v>
          </cell>
        </row>
        <row r="285">
          <cell r="C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H285">
            <v>0</v>
          </cell>
          <cell r="I285">
            <v>0</v>
          </cell>
          <cell r="K285">
            <v>102678.43000000002</v>
          </cell>
          <cell r="L285">
            <v>102678.43000000002</v>
          </cell>
        </row>
        <row r="286">
          <cell r="C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H286">
            <v>0</v>
          </cell>
          <cell r="I286">
            <v>0</v>
          </cell>
          <cell r="K286">
            <v>102678.43000000002</v>
          </cell>
          <cell r="L286">
            <v>102678.43000000002</v>
          </cell>
        </row>
        <row r="287">
          <cell r="C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H287">
            <v>0</v>
          </cell>
          <cell r="I287">
            <v>0</v>
          </cell>
          <cell r="K287">
            <v>102678.43000000002</v>
          </cell>
          <cell r="L287">
            <v>102678.43000000002</v>
          </cell>
        </row>
        <row r="288">
          <cell r="C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H288">
            <v>0</v>
          </cell>
          <cell r="I288">
            <v>0</v>
          </cell>
          <cell r="K288">
            <v>102678.43000000002</v>
          </cell>
          <cell r="L288">
            <v>102678.43000000002</v>
          </cell>
        </row>
        <row r="289">
          <cell r="C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H289">
            <v>0</v>
          </cell>
          <cell r="I289">
            <v>0</v>
          </cell>
          <cell r="K289">
            <v>102678.43000000002</v>
          </cell>
          <cell r="L289">
            <v>102678.43000000002</v>
          </cell>
        </row>
        <row r="290">
          <cell r="C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H290">
            <v>0</v>
          </cell>
          <cell r="I290">
            <v>0</v>
          </cell>
          <cell r="K290">
            <v>102678.43000000002</v>
          </cell>
          <cell r="L290">
            <v>102678.43000000002</v>
          </cell>
        </row>
        <row r="291">
          <cell r="C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H291">
            <v>0</v>
          </cell>
          <cell r="I291">
            <v>0</v>
          </cell>
          <cell r="K291">
            <v>102678.43000000002</v>
          </cell>
          <cell r="L291">
            <v>102678.43000000002</v>
          </cell>
        </row>
        <row r="292">
          <cell r="C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H292">
            <v>0</v>
          </cell>
          <cell r="I292">
            <v>0</v>
          </cell>
          <cell r="K292">
            <v>102678.43000000002</v>
          </cell>
          <cell r="L292">
            <v>102678.43000000002</v>
          </cell>
        </row>
        <row r="293">
          <cell r="C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H293">
            <v>0</v>
          </cell>
          <cell r="I293">
            <v>0</v>
          </cell>
          <cell r="K293">
            <v>102678.43000000002</v>
          </cell>
          <cell r="L293">
            <v>102678.43000000002</v>
          </cell>
        </row>
        <row r="294">
          <cell r="C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H294">
            <v>0</v>
          </cell>
          <cell r="I294">
            <v>0</v>
          </cell>
          <cell r="K294">
            <v>102678.43000000002</v>
          </cell>
          <cell r="L294">
            <v>102678.43000000002</v>
          </cell>
        </row>
        <row r="295">
          <cell r="C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H295">
            <v>0</v>
          </cell>
          <cell r="I295">
            <v>0</v>
          </cell>
          <cell r="K295">
            <v>102678.43000000002</v>
          </cell>
          <cell r="L295">
            <v>102678.43000000002</v>
          </cell>
        </row>
        <row r="296">
          <cell r="C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H296">
            <v>0</v>
          </cell>
          <cell r="I296">
            <v>0</v>
          </cell>
          <cell r="K296">
            <v>102678.43000000002</v>
          </cell>
          <cell r="L296">
            <v>102678.43000000002</v>
          </cell>
        </row>
        <row r="297">
          <cell r="C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H297">
            <v>0</v>
          </cell>
          <cell r="I297">
            <v>0</v>
          </cell>
          <cell r="K297">
            <v>102678.43000000002</v>
          </cell>
          <cell r="L297">
            <v>102678.43000000002</v>
          </cell>
        </row>
        <row r="298">
          <cell r="C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H298">
            <v>0</v>
          </cell>
          <cell r="I298">
            <v>0</v>
          </cell>
          <cell r="K298">
            <v>102678.43000000002</v>
          </cell>
          <cell r="L298">
            <v>102678.43000000002</v>
          </cell>
        </row>
        <row r="299">
          <cell r="C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H299">
            <v>0</v>
          </cell>
          <cell r="I299">
            <v>0</v>
          </cell>
          <cell r="K299">
            <v>102678.43000000002</v>
          </cell>
          <cell r="L299">
            <v>102678.43000000002</v>
          </cell>
        </row>
        <row r="300">
          <cell r="C300" t="e">
            <v>#N/A</v>
          </cell>
          <cell r="E300" t="e">
            <v>#N/A</v>
          </cell>
          <cell r="F300" t="e">
            <v>#N/A</v>
          </cell>
          <cell r="G300" t="e">
            <v>#N/A</v>
          </cell>
          <cell r="H300">
            <v>0</v>
          </cell>
          <cell r="I300">
            <v>0</v>
          </cell>
          <cell r="K300">
            <v>102678.43000000002</v>
          </cell>
          <cell r="L300">
            <v>102678.43000000002</v>
          </cell>
        </row>
        <row r="301">
          <cell r="C301" t="e">
            <v>#N/A</v>
          </cell>
          <cell r="E301" t="e">
            <v>#N/A</v>
          </cell>
          <cell r="F301" t="e">
            <v>#N/A</v>
          </cell>
          <cell r="G301" t="e">
            <v>#N/A</v>
          </cell>
          <cell r="H301">
            <v>0</v>
          </cell>
          <cell r="I301">
            <v>0</v>
          </cell>
          <cell r="K301">
            <v>102678.43000000002</v>
          </cell>
          <cell r="L301">
            <v>102678.43000000002</v>
          </cell>
        </row>
        <row r="302">
          <cell r="C302" t="e">
            <v>#N/A</v>
          </cell>
          <cell r="E302" t="e">
            <v>#N/A</v>
          </cell>
          <cell r="F302" t="e">
            <v>#N/A</v>
          </cell>
          <cell r="G302" t="e">
            <v>#N/A</v>
          </cell>
          <cell r="H302">
            <v>0</v>
          </cell>
          <cell r="I302">
            <v>0</v>
          </cell>
          <cell r="K302">
            <v>102678.43000000002</v>
          </cell>
          <cell r="L302">
            <v>102678.43000000002</v>
          </cell>
        </row>
        <row r="303">
          <cell r="C303" t="e">
            <v>#N/A</v>
          </cell>
          <cell r="E303" t="e">
            <v>#N/A</v>
          </cell>
          <cell r="F303" t="e">
            <v>#N/A</v>
          </cell>
          <cell r="G303" t="e">
            <v>#N/A</v>
          </cell>
          <cell r="H303">
            <v>0</v>
          </cell>
          <cell r="I303">
            <v>0</v>
          </cell>
          <cell r="K303">
            <v>102678.43000000002</v>
          </cell>
          <cell r="L303">
            <v>102678.43000000002</v>
          </cell>
        </row>
        <row r="304">
          <cell r="C304" t="e">
            <v>#N/A</v>
          </cell>
          <cell r="E304" t="e">
            <v>#N/A</v>
          </cell>
          <cell r="F304" t="e">
            <v>#N/A</v>
          </cell>
          <cell r="G304" t="e">
            <v>#N/A</v>
          </cell>
          <cell r="H304">
            <v>0</v>
          </cell>
          <cell r="I304">
            <v>0</v>
          </cell>
          <cell r="K304">
            <v>102678.43000000002</v>
          </cell>
          <cell r="L304">
            <v>102678.43000000002</v>
          </cell>
        </row>
        <row r="305">
          <cell r="C305" t="e">
            <v>#N/A</v>
          </cell>
          <cell r="E305" t="e">
            <v>#N/A</v>
          </cell>
          <cell r="F305" t="e">
            <v>#N/A</v>
          </cell>
          <cell r="G305" t="e">
            <v>#N/A</v>
          </cell>
          <cell r="H305">
            <v>0</v>
          </cell>
          <cell r="I305">
            <v>0</v>
          </cell>
          <cell r="K305">
            <v>102678.43000000002</v>
          </cell>
          <cell r="L305">
            <v>102678.43000000002</v>
          </cell>
        </row>
        <row r="306">
          <cell r="C306" t="e">
            <v>#N/A</v>
          </cell>
          <cell r="E306" t="e">
            <v>#N/A</v>
          </cell>
          <cell r="F306" t="e">
            <v>#N/A</v>
          </cell>
          <cell r="G306" t="e">
            <v>#N/A</v>
          </cell>
          <cell r="H306">
            <v>0</v>
          </cell>
          <cell r="I306">
            <v>0</v>
          </cell>
          <cell r="K306">
            <v>102678.43000000002</v>
          </cell>
          <cell r="L306">
            <v>102678.43000000002</v>
          </cell>
        </row>
        <row r="307">
          <cell r="C307" t="e">
            <v>#N/A</v>
          </cell>
          <cell r="E307" t="e">
            <v>#N/A</v>
          </cell>
          <cell r="F307" t="e">
            <v>#N/A</v>
          </cell>
          <cell r="G307" t="e">
            <v>#N/A</v>
          </cell>
          <cell r="H307">
            <v>0</v>
          </cell>
          <cell r="I307">
            <v>0</v>
          </cell>
          <cell r="K307">
            <v>102678.43000000002</v>
          </cell>
          <cell r="L307">
            <v>102678.43000000002</v>
          </cell>
        </row>
        <row r="308">
          <cell r="C308" t="e">
            <v>#N/A</v>
          </cell>
          <cell r="E308" t="e">
            <v>#N/A</v>
          </cell>
          <cell r="F308" t="e">
            <v>#N/A</v>
          </cell>
          <cell r="G308" t="e">
            <v>#N/A</v>
          </cell>
          <cell r="H308">
            <v>0</v>
          </cell>
          <cell r="I308">
            <v>0</v>
          </cell>
          <cell r="K308">
            <v>102678.43000000002</v>
          </cell>
          <cell r="L308">
            <v>102678.43000000002</v>
          </cell>
        </row>
        <row r="309">
          <cell r="C309" t="e">
            <v>#N/A</v>
          </cell>
          <cell r="E309" t="e">
            <v>#N/A</v>
          </cell>
          <cell r="F309" t="e">
            <v>#N/A</v>
          </cell>
          <cell r="G309" t="e">
            <v>#N/A</v>
          </cell>
          <cell r="H309">
            <v>0</v>
          </cell>
          <cell r="I309">
            <v>0</v>
          </cell>
          <cell r="K309">
            <v>102678.43000000002</v>
          </cell>
          <cell r="L309">
            <v>102678.43000000002</v>
          </cell>
        </row>
        <row r="310">
          <cell r="C310" t="e">
            <v>#N/A</v>
          </cell>
          <cell r="E310" t="e">
            <v>#N/A</v>
          </cell>
          <cell r="F310" t="e">
            <v>#N/A</v>
          </cell>
          <cell r="G310" t="e">
            <v>#N/A</v>
          </cell>
          <cell r="H310">
            <v>0</v>
          </cell>
          <cell r="I310">
            <v>0</v>
          </cell>
          <cell r="K310">
            <v>102678.43000000002</v>
          </cell>
          <cell r="L310">
            <v>102678.43000000002</v>
          </cell>
        </row>
        <row r="311">
          <cell r="C311" t="e">
            <v>#N/A</v>
          </cell>
          <cell r="E311" t="e">
            <v>#N/A</v>
          </cell>
          <cell r="F311" t="e">
            <v>#N/A</v>
          </cell>
          <cell r="G311" t="e">
            <v>#N/A</v>
          </cell>
          <cell r="H311">
            <v>0</v>
          </cell>
          <cell r="I311">
            <v>0</v>
          </cell>
          <cell r="K311">
            <v>102678.43000000002</v>
          </cell>
          <cell r="L311">
            <v>102678.43000000002</v>
          </cell>
        </row>
        <row r="312">
          <cell r="C312" t="e">
            <v>#N/A</v>
          </cell>
          <cell r="E312" t="e">
            <v>#N/A</v>
          </cell>
          <cell r="F312" t="e">
            <v>#N/A</v>
          </cell>
          <cell r="G312" t="e">
            <v>#N/A</v>
          </cell>
          <cell r="H312">
            <v>0</v>
          </cell>
          <cell r="I312">
            <v>0</v>
          </cell>
          <cell r="K312">
            <v>102678.43000000002</v>
          </cell>
          <cell r="L312">
            <v>102678.43000000002</v>
          </cell>
        </row>
        <row r="313">
          <cell r="C313" t="e">
            <v>#N/A</v>
          </cell>
          <cell r="E313" t="e">
            <v>#N/A</v>
          </cell>
          <cell r="F313" t="e">
            <v>#N/A</v>
          </cell>
          <cell r="G313" t="e">
            <v>#N/A</v>
          </cell>
          <cell r="H313">
            <v>0</v>
          </cell>
          <cell r="I313">
            <v>0</v>
          </cell>
          <cell r="K313">
            <v>102678.43000000002</v>
          </cell>
          <cell r="L313">
            <v>102678.43000000002</v>
          </cell>
        </row>
        <row r="314">
          <cell r="C314" t="e">
            <v>#N/A</v>
          </cell>
          <cell r="E314" t="e">
            <v>#N/A</v>
          </cell>
          <cell r="F314" t="e">
            <v>#N/A</v>
          </cell>
          <cell r="G314" t="e">
            <v>#N/A</v>
          </cell>
          <cell r="H314">
            <v>0</v>
          </cell>
          <cell r="I314">
            <v>0</v>
          </cell>
          <cell r="K314">
            <v>102678.43000000002</v>
          </cell>
          <cell r="L314">
            <v>102678.43000000002</v>
          </cell>
        </row>
        <row r="315">
          <cell r="C315" t="e">
            <v>#N/A</v>
          </cell>
          <cell r="E315" t="e">
            <v>#N/A</v>
          </cell>
          <cell r="F315" t="e">
            <v>#N/A</v>
          </cell>
          <cell r="G315" t="e">
            <v>#N/A</v>
          </cell>
          <cell r="H315">
            <v>0</v>
          </cell>
          <cell r="I315">
            <v>0</v>
          </cell>
          <cell r="K315">
            <v>102678.43000000002</v>
          </cell>
          <cell r="L315">
            <v>102678.43000000002</v>
          </cell>
        </row>
        <row r="316">
          <cell r="C316" t="e">
            <v>#N/A</v>
          </cell>
          <cell r="E316" t="e">
            <v>#N/A</v>
          </cell>
          <cell r="F316" t="e">
            <v>#N/A</v>
          </cell>
          <cell r="G316" t="e">
            <v>#N/A</v>
          </cell>
          <cell r="H316">
            <v>0</v>
          </cell>
          <cell r="I316">
            <v>0</v>
          </cell>
          <cell r="K316">
            <v>102678.43000000002</v>
          </cell>
          <cell r="L316">
            <v>102678.43000000002</v>
          </cell>
        </row>
        <row r="317">
          <cell r="C317" t="e">
            <v>#N/A</v>
          </cell>
          <cell r="E317" t="e">
            <v>#N/A</v>
          </cell>
          <cell r="F317" t="e">
            <v>#N/A</v>
          </cell>
          <cell r="G317" t="e">
            <v>#N/A</v>
          </cell>
          <cell r="H317">
            <v>0</v>
          </cell>
          <cell r="I317">
            <v>0</v>
          </cell>
          <cell r="K317">
            <v>102678.43000000002</v>
          </cell>
          <cell r="L317">
            <v>102678.43000000002</v>
          </cell>
        </row>
        <row r="318">
          <cell r="C318" t="e">
            <v>#N/A</v>
          </cell>
          <cell r="E318" t="e">
            <v>#N/A</v>
          </cell>
          <cell r="F318" t="e">
            <v>#N/A</v>
          </cell>
          <cell r="G318" t="e">
            <v>#N/A</v>
          </cell>
          <cell r="H318">
            <v>0</v>
          </cell>
          <cell r="I318">
            <v>0</v>
          </cell>
          <cell r="K318">
            <v>102678.43000000002</v>
          </cell>
          <cell r="L318">
            <v>102678.43000000002</v>
          </cell>
        </row>
        <row r="319">
          <cell r="C319" t="e">
            <v>#N/A</v>
          </cell>
          <cell r="E319" t="e">
            <v>#N/A</v>
          </cell>
          <cell r="F319" t="e">
            <v>#N/A</v>
          </cell>
          <cell r="G319" t="e">
            <v>#N/A</v>
          </cell>
          <cell r="H319">
            <v>0</v>
          </cell>
          <cell r="I319">
            <v>0</v>
          </cell>
          <cell r="K319">
            <v>102678.43000000002</v>
          </cell>
          <cell r="L319">
            <v>102678.43000000002</v>
          </cell>
        </row>
        <row r="320">
          <cell r="C320" t="e">
            <v>#N/A</v>
          </cell>
          <cell r="E320" t="e">
            <v>#N/A</v>
          </cell>
          <cell r="F320" t="e">
            <v>#N/A</v>
          </cell>
          <cell r="G320" t="e">
            <v>#N/A</v>
          </cell>
          <cell r="H320">
            <v>0</v>
          </cell>
          <cell r="I320">
            <v>0</v>
          </cell>
          <cell r="K320">
            <v>102678.43000000002</v>
          </cell>
          <cell r="L320">
            <v>102678.43000000002</v>
          </cell>
        </row>
        <row r="321">
          <cell r="C321" t="e">
            <v>#N/A</v>
          </cell>
          <cell r="E321" t="e">
            <v>#N/A</v>
          </cell>
          <cell r="F321" t="e">
            <v>#N/A</v>
          </cell>
          <cell r="G321" t="e">
            <v>#N/A</v>
          </cell>
          <cell r="H321">
            <v>0</v>
          </cell>
          <cell r="I321">
            <v>0</v>
          </cell>
          <cell r="K321">
            <v>102678.43000000002</v>
          </cell>
          <cell r="L321">
            <v>102678.43000000002</v>
          </cell>
        </row>
        <row r="322">
          <cell r="C322" t="e">
            <v>#N/A</v>
          </cell>
          <cell r="E322" t="e">
            <v>#N/A</v>
          </cell>
          <cell r="F322" t="e">
            <v>#N/A</v>
          </cell>
          <cell r="G322" t="e">
            <v>#N/A</v>
          </cell>
          <cell r="H322">
            <v>0</v>
          </cell>
          <cell r="I322">
            <v>0</v>
          </cell>
          <cell r="K322">
            <v>102678.43000000002</v>
          </cell>
          <cell r="L322">
            <v>102678.43000000002</v>
          </cell>
        </row>
        <row r="323">
          <cell r="C323" t="e">
            <v>#N/A</v>
          </cell>
          <cell r="E323" t="e">
            <v>#N/A</v>
          </cell>
          <cell r="F323" t="e">
            <v>#N/A</v>
          </cell>
          <cell r="G323" t="e">
            <v>#N/A</v>
          </cell>
          <cell r="H323">
            <v>0</v>
          </cell>
          <cell r="I323">
            <v>0</v>
          </cell>
          <cell r="K323">
            <v>102678.43000000002</v>
          </cell>
          <cell r="L323">
            <v>102678.43000000002</v>
          </cell>
        </row>
        <row r="324">
          <cell r="C324" t="e">
            <v>#N/A</v>
          </cell>
          <cell r="E324" t="e">
            <v>#N/A</v>
          </cell>
          <cell r="F324" t="e">
            <v>#N/A</v>
          </cell>
          <cell r="G324" t="e">
            <v>#N/A</v>
          </cell>
          <cell r="H324">
            <v>0</v>
          </cell>
          <cell r="I324">
            <v>0</v>
          </cell>
          <cell r="K324">
            <v>102678.43000000002</v>
          </cell>
          <cell r="L324">
            <v>102678.43000000002</v>
          </cell>
        </row>
        <row r="325">
          <cell r="C325" t="e">
            <v>#N/A</v>
          </cell>
          <cell r="E325" t="e">
            <v>#N/A</v>
          </cell>
          <cell r="F325" t="e">
            <v>#N/A</v>
          </cell>
          <cell r="G325" t="e">
            <v>#N/A</v>
          </cell>
          <cell r="H325">
            <v>0</v>
          </cell>
          <cell r="I325">
            <v>0</v>
          </cell>
          <cell r="K325">
            <v>102678.43000000002</v>
          </cell>
          <cell r="L325">
            <v>102678.43000000002</v>
          </cell>
        </row>
        <row r="326">
          <cell r="C326" t="e">
            <v>#N/A</v>
          </cell>
          <cell r="E326" t="e">
            <v>#N/A</v>
          </cell>
          <cell r="F326" t="e">
            <v>#N/A</v>
          </cell>
          <cell r="G326" t="e">
            <v>#N/A</v>
          </cell>
          <cell r="H326">
            <v>0</v>
          </cell>
          <cell r="I326">
            <v>0</v>
          </cell>
          <cell r="K326">
            <v>102678.43000000002</v>
          </cell>
          <cell r="L326">
            <v>102678.43000000002</v>
          </cell>
        </row>
        <row r="327">
          <cell r="C327" t="e">
            <v>#N/A</v>
          </cell>
          <cell r="E327" t="e">
            <v>#N/A</v>
          </cell>
          <cell r="F327" t="e">
            <v>#N/A</v>
          </cell>
          <cell r="G327" t="e">
            <v>#N/A</v>
          </cell>
          <cell r="H327">
            <v>0</v>
          </cell>
          <cell r="I327">
            <v>0</v>
          </cell>
          <cell r="K327">
            <v>102678.43000000002</v>
          </cell>
          <cell r="L327">
            <v>102678.43000000002</v>
          </cell>
        </row>
        <row r="328">
          <cell r="C328" t="e">
            <v>#N/A</v>
          </cell>
          <cell r="E328" t="e">
            <v>#N/A</v>
          </cell>
          <cell r="F328" t="e">
            <v>#N/A</v>
          </cell>
          <cell r="G328" t="e">
            <v>#N/A</v>
          </cell>
          <cell r="H328">
            <v>0</v>
          </cell>
          <cell r="I328">
            <v>0</v>
          </cell>
          <cell r="K328">
            <v>102678.43000000002</v>
          </cell>
          <cell r="L328">
            <v>102678.43000000002</v>
          </cell>
        </row>
        <row r="329">
          <cell r="C329" t="e">
            <v>#N/A</v>
          </cell>
          <cell r="E329" t="e">
            <v>#N/A</v>
          </cell>
          <cell r="F329" t="e">
            <v>#N/A</v>
          </cell>
          <cell r="G329" t="e">
            <v>#N/A</v>
          </cell>
          <cell r="H329">
            <v>0</v>
          </cell>
          <cell r="I329">
            <v>0</v>
          </cell>
          <cell r="K329">
            <v>102678.43000000002</v>
          </cell>
          <cell r="L329">
            <v>102678.43000000002</v>
          </cell>
        </row>
        <row r="330">
          <cell r="C330" t="e">
            <v>#N/A</v>
          </cell>
          <cell r="E330" t="e">
            <v>#N/A</v>
          </cell>
          <cell r="F330" t="e">
            <v>#N/A</v>
          </cell>
          <cell r="G330" t="e">
            <v>#N/A</v>
          </cell>
          <cell r="H330">
            <v>0</v>
          </cell>
          <cell r="I330">
            <v>0</v>
          </cell>
          <cell r="K330">
            <v>102678.43000000002</v>
          </cell>
          <cell r="L330">
            <v>102678.43000000002</v>
          </cell>
        </row>
        <row r="331">
          <cell r="C331" t="e">
            <v>#N/A</v>
          </cell>
          <cell r="E331" t="e">
            <v>#N/A</v>
          </cell>
          <cell r="F331" t="e">
            <v>#N/A</v>
          </cell>
          <cell r="G331" t="e">
            <v>#N/A</v>
          </cell>
          <cell r="H331">
            <v>0</v>
          </cell>
          <cell r="I331">
            <v>0</v>
          </cell>
          <cell r="K331">
            <v>102678.43000000002</v>
          </cell>
          <cell r="L331">
            <v>102678.43000000002</v>
          </cell>
        </row>
        <row r="332">
          <cell r="C332" t="e">
            <v>#N/A</v>
          </cell>
          <cell r="E332" t="e">
            <v>#N/A</v>
          </cell>
          <cell r="F332" t="e">
            <v>#N/A</v>
          </cell>
          <cell r="G332" t="e">
            <v>#N/A</v>
          </cell>
          <cell r="H332">
            <v>0</v>
          </cell>
          <cell r="I332">
            <v>0</v>
          </cell>
          <cell r="K332">
            <v>102678.43000000002</v>
          </cell>
          <cell r="L332">
            <v>102678.43000000002</v>
          </cell>
        </row>
        <row r="333">
          <cell r="C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>
            <v>0</v>
          </cell>
          <cell r="I333">
            <v>0</v>
          </cell>
          <cell r="K333">
            <v>102678.43000000002</v>
          </cell>
          <cell r="L333">
            <v>102678.43000000002</v>
          </cell>
        </row>
        <row r="334">
          <cell r="C334" t="e">
            <v>#N/A</v>
          </cell>
          <cell r="E334" t="e">
            <v>#N/A</v>
          </cell>
          <cell r="F334" t="e">
            <v>#N/A</v>
          </cell>
          <cell r="G334" t="e">
            <v>#N/A</v>
          </cell>
          <cell r="H334">
            <v>0</v>
          </cell>
          <cell r="I334">
            <v>0</v>
          </cell>
          <cell r="K334">
            <v>102678.43000000002</v>
          </cell>
          <cell r="L334">
            <v>102678.43000000002</v>
          </cell>
        </row>
        <row r="335">
          <cell r="C335" t="e">
            <v>#N/A</v>
          </cell>
          <cell r="E335" t="e">
            <v>#N/A</v>
          </cell>
          <cell r="F335" t="e">
            <v>#N/A</v>
          </cell>
          <cell r="G335" t="e">
            <v>#N/A</v>
          </cell>
          <cell r="H335">
            <v>0</v>
          </cell>
          <cell r="I335">
            <v>0</v>
          </cell>
          <cell r="K335">
            <v>102678.43000000002</v>
          </cell>
          <cell r="L335">
            <v>102678.43000000002</v>
          </cell>
        </row>
        <row r="336">
          <cell r="C336" t="e">
            <v>#N/A</v>
          </cell>
          <cell r="E336" t="e">
            <v>#N/A</v>
          </cell>
          <cell r="F336" t="e">
            <v>#N/A</v>
          </cell>
          <cell r="G336" t="e">
            <v>#N/A</v>
          </cell>
          <cell r="H336">
            <v>0</v>
          </cell>
          <cell r="I336">
            <v>0</v>
          </cell>
          <cell r="K336">
            <v>102678.43000000002</v>
          </cell>
          <cell r="L336">
            <v>102678.43000000002</v>
          </cell>
        </row>
        <row r="337">
          <cell r="C337" t="e">
            <v>#N/A</v>
          </cell>
          <cell r="E337" t="e">
            <v>#N/A</v>
          </cell>
          <cell r="F337" t="e">
            <v>#N/A</v>
          </cell>
          <cell r="G337" t="e">
            <v>#N/A</v>
          </cell>
          <cell r="H337">
            <v>0</v>
          </cell>
          <cell r="I337">
            <v>0</v>
          </cell>
          <cell r="K337">
            <v>102678.43000000002</v>
          </cell>
          <cell r="L337">
            <v>102678.43000000002</v>
          </cell>
        </row>
        <row r="338">
          <cell r="C338" t="e">
            <v>#N/A</v>
          </cell>
          <cell r="E338" t="e">
            <v>#N/A</v>
          </cell>
          <cell r="F338" t="e">
            <v>#N/A</v>
          </cell>
          <cell r="G338" t="e">
            <v>#N/A</v>
          </cell>
          <cell r="H338">
            <v>0</v>
          </cell>
          <cell r="I338">
            <v>0</v>
          </cell>
          <cell r="K338">
            <v>102678.43000000002</v>
          </cell>
          <cell r="L338">
            <v>102678.43000000002</v>
          </cell>
        </row>
        <row r="339">
          <cell r="C339" t="e">
            <v>#N/A</v>
          </cell>
          <cell r="E339" t="e">
            <v>#N/A</v>
          </cell>
          <cell r="F339" t="e">
            <v>#N/A</v>
          </cell>
          <cell r="G339" t="e">
            <v>#N/A</v>
          </cell>
          <cell r="H339">
            <v>0</v>
          </cell>
          <cell r="I339">
            <v>0</v>
          </cell>
          <cell r="K339">
            <v>102678.43000000002</v>
          </cell>
          <cell r="L339">
            <v>102678.43000000002</v>
          </cell>
        </row>
        <row r="340">
          <cell r="C340" t="e">
            <v>#N/A</v>
          </cell>
          <cell r="E340" t="e">
            <v>#N/A</v>
          </cell>
          <cell r="F340" t="e">
            <v>#N/A</v>
          </cell>
          <cell r="G340" t="e">
            <v>#N/A</v>
          </cell>
          <cell r="H340">
            <v>0</v>
          </cell>
          <cell r="I340">
            <v>0</v>
          </cell>
          <cell r="K340">
            <v>102678.43000000002</v>
          </cell>
          <cell r="L340">
            <v>102678.43000000002</v>
          </cell>
        </row>
        <row r="341">
          <cell r="C341" t="e">
            <v>#N/A</v>
          </cell>
          <cell r="E341" t="e">
            <v>#N/A</v>
          </cell>
          <cell r="F341" t="e">
            <v>#N/A</v>
          </cell>
          <cell r="G341" t="e">
            <v>#N/A</v>
          </cell>
          <cell r="H341">
            <v>0</v>
          </cell>
          <cell r="I341">
            <v>0</v>
          </cell>
          <cell r="K341">
            <v>102678.43000000002</v>
          </cell>
          <cell r="L341">
            <v>102678.43000000002</v>
          </cell>
        </row>
        <row r="342">
          <cell r="C342" t="e">
            <v>#N/A</v>
          </cell>
          <cell r="E342" t="e">
            <v>#N/A</v>
          </cell>
          <cell r="F342" t="e">
            <v>#N/A</v>
          </cell>
          <cell r="G342" t="e">
            <v>#N/A</v>
          </cell>
          <cell r="H342">
            <v>0</v>
          </cell>
          <cell r="I342">
            <v>0</v>
          </cell>
          <cell r="K342">
            <v>102678.43000000002</v>
          </cell>
          <cell r="L342">
            <v>102678.43000000002</v>
          </cell>
        </row>
        <row r="343">
          <cell r="C343" t="e">
            <v>#N/A</v>
          </cell>
          <cell r="E343" t="e">
            <v>#N/A</v>
          </cell>
          <cell r="F343" t="e">
            <v>#N/A</v>
          </cell>
          <cell r="G343" t="e">
            <v>#N/A</v>
          </cell>
          <cell r="H343">
            <v>0</v>
          </cell>
          <cell r="I343">
            <v>0</v>
          </cell>
          <cell r="K343">
            <v>102678.43000000002</v>
          </cell>
          <cell r="L343">
            <v>102678.43000000002</v>
          </cell>
        </row>
        <row r="344">
          <cell r="C344" t="e">
            <v>#N/A</v>
          </cell>
          <cell r="E344" t="e">
            <v>#N/A</v>
          </cell>
          <cell r="F344" t="e">
            <v>#N/A</v>
          </cell>
          <cell r="G344" t="e">
            <v>#N/A</v>
          </cell>
          <cell r="H344">
            <v>0</v>
          </cell>
          <cell r="I344">
            <v>0</v>
          </cell>
          <cell r="K344">
            <v>102678.43000000002</v>
          </cell>
          <cell r="L344">
            <v>102678.43000000002</v>
          </cell>
        </row>
        <row r="345">
          <cell r="C345" t="e">
            <v>#N/A</v>
          </cell>
          <cell r="E345" t="e">
            <v>#N/A</v>
          </cell>
          <cell r="F345" t="e">
            <v>#N/A</v>
          </cell>
          <cell r="G345" t="e">
            <v>#N/A</v>
          </cell>
          <cell r="H345">
            <v>0</v>
          </cell>
          <cell r="I345">
            <v>0</v>
          </cell>
          <cell r="K345">
            <v>102678.43000000002</v>
          </cell>
          <cell r="L345">
            <v>102678.43000000002</v>
          </cell>
        </row>
        <row r="346">
          <cell r="C346" t="e">
            <v>#N/A</v>
          </cell>
          <cell r="E346" t="e">
            <v>#N/A</v>
          </cell>
          <cell r="F346" t="e">
            <v>#N/A</v>
          </cell>
          <cell r="G346" t="e">
            <v>#N/A</v>
          </cell>
          <cell r="H346">
            <v>0</v>
          </cell>
          <cell r="I346">
            <v>0</v>
          </cell>
          <cell r="K346">
            <v>102678.43000000002</v>
          </cell>
          <cell r="L346">
            <v>102678.43000000002</v>
          </cell>
        </row>
        <row r="347">
          <cell r="C347" t="e">
            <v>#N/A</v>
          </cell>
          <cell r="E347" t="e">
            <v>#N/A</v>
          </cell>
          <cell r="F347" t="e">
            <v>#N/A</v>
          </cell>
          <cell r="G347" t="e">
            <v>#N/A</v>
          </cell>
          <cell r="H347">
            <v>0</v>
          </cell>
          <cell r="I347">
            <v>0</v>
          </cell>
          <cell r="K347">
            <v>102678.43000000002</v>
          </cell>
          <cell r="L347">
            <v>102678.43000000002</v>
          </cell>
        </row>
        <row r="348">
          <cell r="C348" t="e">
            <v>#N/A</v>
          </cell>
          <cell r="E348" t="e">
            <v>#N/A</v>
          </cell>
          <cell r="F348" t="e">
            <v>#N/A</v>
          </cell>
          <cell r="G348" t="e">
            <v>#N/A</v>
          </cell>
          <cell r="H348">
            <v>0</v>
          </cell>
          <cell r="I348">
            <v>0</v>
          </cell>
          <cell r="K348">
            <v>102678.43000000002</v>
          </cell>
          <cell r="L348">
            <v>102678.43000000002</v>
          </cell>
        </row>
        <row r="349">
          <cell r="C349" t="e">
            <v>#N/A</v>
          </cell>
          <cell r="E349" t="e">
            <v>#N/A</v>
          </cell>
          <cell r="F349" t="e">
            <v>#N/A</v>
          </cell>
          <cell r="G349" t="e">
            <v>#N/A</v>
          </cell>
          <cell r="H349">
            <v>0</v>
          </cell>
          <cell r="I349">
            <v>0</v>
          </cell>
          <cell r="K349">
            <v>102678.43000000002</v>
          </cell>
          <cell r="L349">
            <v>102678.43000000002</v>
          </cell>
        </row>
        <row r="350">
          <cell r="C350" t="e">
            <v>#N/A</v>
          </cell>
          <cell r="E350" t="e">
            <v>#N/A</v>
          </cell>
          <cell r="F350" t="e">
            <v>#N/A</v>
          </cell>
          <cell r="G350" t="e">
            <v>#N/A</v>
          </cell>
          <cell r="H350">
            <v>0</v>
          </cell>
          <cell r="I350">
            <v>0</v>
          </cell>
          <cell r="K350">
            <v>102678.43000000002</v>
          </cell>
          <cell r="L350">
            <v>102678.43000000002</v>
          </cell>
        </row>
        <row r="351">
          <cell r="C351" t="e">
            <v>#N/A</v>
          </cell>
          <cell r="E351" t="e">
            <v>#N/A</v>
          </cell>
          <cell r="F351" t="e">
            <v>#N/A</v>
          </cell>
          <cell r="G351" t="e">
            <v>#N/A</v>
          </cell>
          <cell r="H351">
            <v>0</v>
          </cell>
          <cell r="I351">
            <v>0</v>
          </cell>
          <cell r="K351">
            <v>102678.43000000002</v>
          </cell>
          <cell r="L351">
            <v>102678.43000000002</v>
          </cell>
        </row>
        <row r="352">
          <cell r="C352" t="e">
            <v>#N/A</v>
          </cell>
          <cell r="E352" t="e">
            <v>#N/A</v>
          </cell>
          <cell r="F352" t="e">
            <v>#N/A</v>
          </cell>
          <cell r="G352" t="e">
            <v>#N/A</v>
          </cell>
          <cell r="H352">
            <v>0</v>
          </cell>
          <cell r="I352">
            <v>0</v>
          </cell>
          <cell r="K352">
            <v>102678.43000000002</v>
          </cell>
          <cell r="L352">
            <v>102678.43000000002</v>
          </cell>
        </row>
        <row r="353">
          <cell r="C353" t="e">
            <v>#N/A</v>
          </cell>
          <cell r="E353" t="e">
            <v>#N/A</v>
          </cell>
          <cell r="F353" t="e">
            <v>#N/A</v>
          </cell>
          <cell r="G353" t="e">
            <v>#N/A</v>
          </cell>
          <cell r="H353">
            <v>0</v>
          </cell>
          <cell r="I353">
            <v>0</v>
          </cell>
          <cell r="K353">
            <v>102678.43000000002</v>
          </cell>
          <cell r="L353">
            <v>102678.43000000002</v>
          </cell>
        </row>
        <row r="354">
          <cell r="C354" t="e">
            <v>#N/A</v>
          </cell>
          <cell r="E354" t="e">
            <v>#N/A</v>
          </cell>
          <cell r="F354" t="e">
            <v>#N/A</v>
          </cell>
          <cell r="G354" t="e">
            <v>#N/A</v>
          </cell>
          <cell r="H354">
            <v>0</v>
          </cell>
          <cell r="I354">
            <v>0</v>
          </cell>
          <cell r="K354">
            <v>102678.43000000002</v>
          </cell>
          <cell r="L354">
            <v>102678.43000000002</v>
          </cell>
        </row>
        <row r="355">
          <cell r="C355" t="e">
            <v>#N/A</v>
          </cell>
          <cell r="E355" t="e">
            <v>#N/A</v>
          </cell>
          <cell r="F355" t="e">
            <v>#N/A</v>
          </cell>
          <cell r="G355" t="e">
            <v>#N/A</v>
          </cell>
          <cell r="H355">
            <v>0</v>
          </cell>
          <cell r="I355">
            <v>0</v>
          </cell>
          <cell r="K355">
            <v>102678.43000000002</v>
          </cell>
          <cell r="L355">
            <v>102678.43000000002</v>
          </cell>
        </row>
        <row r="356">
          <cell r="C356" t="e">
            <v>#N/A</v>
          </cell>
          <cell r="E356" t="e">
            <v>#N/A</v>
          </cell>
          <cell r="F356" t="e">
            <v>#N/A</v>
          </cell>
          <cell r="G356" t="e">
            <v>#N/A</v>
          </cell>
          <cell r="H356">
            <v>0</v>
          </cell>
          <cell r="I356">
            <v>0</v>
          </cell>
          <cell r="K356">
            <v>102678.43000000002</v>
          </cell>
          <cell r="L356">
            <v>102678.43000000002</v>
          </cell>
        </row>
        <row r="357">
          <cell r="C357" t="e">
            <v>#N/A</v>
          </cell>
          <cell r="E357" t="e">
            <v>#N/A</v>
          </cell>
          <cell r="F357" t="e">
            <v>#N/A</v>
          </cell>
          <cell r="G357" t="e">
            <v>#N/A</v>
          </cell>
          <cell r="H357">
            <v>0</v>
          </cell>
          <cell r="I357">
            <v>0</v>
          </cell>
          <cell r="K357">
            <v>102678.43000000002</v>
          </cell>
          <cell r="L357">
            <v>102678.43000000002</v>
          </cell>
        </row>
        <row r="358">
          <cell r="C358" t="e">
            <v>#N/A</v>
          </cell>
          <cell r="E358" t="e">
            <v>#N/A</v>
          </cell>
          <cell r="F358" t="e">
            <v>#N/A</v>
          </cell>
          <cell r="G358" t="e">
            <v>#N/A</v>
          </cell>
          <cell r="H358">
            <v>0</v>
          </cell>
          <cell r="I358">
            <v>0</v>
          </cell>
          <cell r="K358">
            <v>102678.43000000002</v>
          </cell>
          <cell r="L358">
            <v>102678.43000000002</v>
          </cell>
        </row>
        <row r="359">
          <cell r="C359" t="e">
            <v>#N/A</v>
          </cell>
          <cell r="E359" t="e">
            <v>#N/A</v>
          </cell>
          <cell r="F359" t="e">
            <v>#N/A</v>
          </cell>
          <cell r="G359" t="e">
            <v>#N/A</v>
          </cell>
          <cell r="H359">
            <v>0</v>
          </cell>
          <cell r="I359">
            <v>0</v>
          </cell>
          <cell r="K359">
            <v>102678.43000000002</v>
          </cell>
          <cell r="L359">
            <v>102678.43000000002</v>
          </cell>
        </row>
        <row r="360">
          <cell r="C360" t="e">
            <v>#N/A</v>
          </cell>
          <cell r="E360" t="e">
            <v>#N/A</v>
          </cell>
          <cell r="F360" t="e">
            <v>#N/A</v>
          </cell>
          <cell r="G360" t="e">
            <v>#N/A</v>
          </cell>
          <cell r="H360">
            <v>0</v>
          </cell>
          <cell r="I360">
            <v>0</v>
          </cell>
          <cell r="K360">
            <v>102678.43000000002</v>
          </cell>
          <cell r="L360">
            <v>102678.43000000002</v>
          </cell>
        </row>
        <row r="361">
          <cell r="C361" t="e">
            <v>#N/A</v>
          </cell>
          <cell r="E361" t="e">
            <v>#N/A</v>
          </cell>
          <cell r="F361" t="e">
            <v>#N/A</v>
          </cell>
          <cell r="G361" t="e">
            <v>#N/A</v>
          </cell>
          <cell r="H361">
            <v>0</v>
          </cell>
          <cell r="I361">
            <v>0</v>
          </cell>
          <cell r="K361">
            <v>102678.43000000002</v>
          </cell>
          <cell r="L361">
            <v>102678.43000000002</v>
          </cell>
        </row>
        <row r="362">
          <cell r="C362" t="e">
            <v>#N/A</v>
          </cell>
          <cell r="E362" t="e">
            <v>#N/A</v>
          </cell>
          <cell r="F362" t="e">
            <v>#N/A</v>
          </cell>
          <cell r="G362" t="e">
            <v>#N/A</v>
          </cell>
          <cell r="H362">
            <v>0</v>
          </cell>
          <cell r="I362">
            <v>0</v>
          </cell>
          <cell r="K362">
            <v>102678.43000000002</v>
          </cell>
          <cell r="L362">
            <v>102678.43000000002</v>
          </cell>
        </row>
        <row r="363">
          <cell r="C363" t="e">
            <v>#N/A</v>
          </cell>
          <cell r="E363" t="e">
            <v>#N/A</v>
          </cell>
          <cell r="F363" t="e">
            <v>#N/A</v>
          </cell>
          <cell r="G363" t="e">
            <v>#N/A</v>
          </cell>
          <cell r="H363">
            <v>0</v>
          </cell>
          <cell r="I363">
            <v>0</v>
          </cell>
          <cell r="K363">
            <v>102678.43000000002</v>
          </cell>
          <cell r="L363">
            <v>102678.43000000002</v>
          </cell>
        </row>
        <row r="364">
          <cell r="C364" t="e">
            <v>#N/A</v>
          </cell>
          <cell r="E364" t="e">
            <v>#N/A</v>
          </cell>
          <cell r="F364" t="e">
            <v>#N/A</v>
          </cell>
          <cell r="G364" t="e">
            <v>#N/A</v>
          </cell>
          <cell r="H364">
            <v>0</v>
          </cell>
          <cell r="I364">
            <v>0</v>
          </cell>
          <cell r="K364">
            <v>102678.43000000002</v>
          </cell>
          <cell r="L364">
            <v>102678.43000000002</v>
          </cell>
        </row>
        <row r="365">
          <cell r="C365" t="e">
            <v>#N/A</v>
          </cell>
          <cell r="E365" t="e">
            <v>#N/A</v>
          </cell>
          <cell r="F365" t="e">
            <v>#N/A</v>
          </cell>
          <cell r="G365" t="e">
            <v>#N/A</v>
          </cell>
          <cell r="H365">
            <v>0</v>
          </cell>
          <cell r="I365">
            <v>0</v>
          </cell>
          <cell r="K365">
            <v>102678.43000000002</v>
          </cell>
          <cell r="L365">
            <v>102678.43000000002</v>
          </cell>
        </row>
        <row r="366">
          <cell r="C366" t="e">
            <v>#N/A</v>
          </cell>
          <cell r="E366" t="e">
            <v>#N/A</v>
          </cell>
          <cell r="F366" t="e">
            <v>#N/A</v>
          </cell>
          <cell r="G366" t="e">
            <v>#N/A</v>
          </cell>
          <cell r="H366">
            <v>0</v>
          </cell>
          <cell r="I366">
            <v>0</v>
          </cell>
          <cell r="K366">
            <v>102678.43000000002</v>
          </cell>
          <cell r="L366">
            <v>102678.43000000002</v>
          </cell>
        </row>
        <row r="367">
          <cell r="C367" t="e">
            <v>#N/A</v>
          </cell>
          <cell r="E367" t="e">
            <v>#N/A</v>
          </cell>
          <cell r="F367" t="e">
            <v>#N/A</v>
          </cell>
          <cell r="G367" t="e">
            <v>#N/A</v>
          </cell>
          <cell r="H367">
            <v>0</v>
          </cell>
          <cell r="I367">
            <v>0</v>
          </cell>
          <cell r="K367">
            <v>102678.43000000002</v>
          </cell>
          <cell r="L367">
            <v>102678.43000000002</v>
          </cell>
        </row>
        <row r="368">
          <cell r="C368" t="e">
            <v>#N/A</v>
          </cell>
          <cell r="E368" t="e">
            <v>#N/A</v>
          </cell>
          <cell r="F368" t="e">
            <v>#N/A</v>
          </cell>
          <cell r="G368" t="e">
            <v>#N/A</v>
          </cell>
          <cell r="H368">
            <v>0</v>
          </cell>
          <cell r="I368">
            <v>0</v>
          </cell>
          <cell r="K368">
            <v>102678.43000000002</v>
          </cell>
          <cell r="L368">
            <v>102678.43000000002</v>
          </cell>
        </row>
        <row r="369">
          <cell r="C369" t="e">
            <v>#N/A</v>
          </cell>
          <cell r="E369" t="e">
            <v>#N/A</v>
          </cell>
          <cell r="F369" t="e">
            <v>#N/A</v>
          </cell>
          <cell r="G369" t="e">
            <v>#N/A</v>
          </cell>
          <cell r="H369">
            <v>0</v>
          </cell>
          <cell r="I369">
            <v>0</v>
          </cell>
          <cell r="K369">
            <v>102678.43000000002</v>
          </cell>
          <cell r="L369">
            <v>102678.43000000002</v>
          </cell>
        </row>
        <row r="370">
          <cell r="C370" t="e">
            <v>#N/A</v>
          </cell>
          <cell r="E370" t="e">
            <v>#N/A</v>
          </cell>
          <cell r="F370" t="e">
            <v>#N/A</v>
          </cell>
          <cell r="G370" t="e">
            <v>#N/A</v>
          </cell>
          <cell r="H370">
            <v>0</v>
          </cell>
          <cell r="I370">
            <v>0</v>
          </cell>
          <cell r="K370">
            <v>102678.43000000002</v>
          </cell>
          <cell r="L370">
            <v>102678.43000000002</v>
          </cell>
        </row>
        <row r="371">
          <cell r="C371" t="e">
            <v>#N/A</v>
          </cell>
          <cell r="E371" t="e">
            <v>#N/A</v>
          </cell>
          <cell r="F371" t="e">
            <v>#N/A</v>
          </cell>
          <cell r="G371" t="e">
            <v>#N/A</v>
          </cell>
          <cell r="H371">
            <v>0</v>
          </cell>
          <cell r="I371">
            <v>0</v>
          </cell>
          <cell r="K371">
            <v>102678.43000000002</v>
          </cell>
          <cell r="L371">
            <v>102678.43000000002</v>
          </cell>
        </row>
        <row r="372">
          <cell r="C372" t="e">
            <v>#N/A</v>
          </cell>
          <cell r="E372" t="e">
            <v>#N/A</v>
          </cell>
          <cell r="F372" t="e">
            <v>#N/A</v>
          </cell>
          <cell r="G372" t="e">
            <v>#N/A</v>
          </cell>
          <cell r="H372">
            <v>0</v>
          </cell>
          <cell r="I372">
            <v>0</v>
          </cell>
          <cell r="K372">
            <v>102678.43000000002</v>
          </cell>
          <cell r="L372">
            <v>102678.43000000002</v>
          </cell>
        </row>
        <row r="373">
          <cell r="C373" t="e">
            <v>#N/A</v>
          </cell>
          <cell r="E373" t="e">
            <v>#N/A</v>
          </cell>
          <cell r="F373" t="e">
            <v>#N/A</v>
          </cell>
          <cell r="G373" t="e">
            <v>#N/A</v>
          </cell>
          <cell r="H373">
            <v>0</v>
          </cell>
          <cell r="I373">
            <v>0</v>
          </cell>
          <cell r="K373">
            <v>102678.43000000002</v>
          </cell>
          <cell r="L373">
            <v>102678.43000000002</v>
          </cell>
        </row>
        <row r="374">
          <cell r="C374" t="e">
            <v>#N/A</v>
          </cell>
          <cell r="E374" t="e">
            <v>#N/A</v>
          </cell>
          <cell r="F374" t="e">
            <v>#N/A</v>
          </cell>
          <cell r="G374" t="e">
            <v>#N/A</v>
          </cell>
          <cell r="H374">
            <v>0</v>
          </cell>
          <cell r="I374">
            <v>0</v>
          </cell>
          <cell r="K374">
            <v>102678.43000000002</v>
          </cell>
          <cell r="L374">
            <v>102678.43000000002</v>
          </cell>
        </row>
        <row r="375">
          <cell r="C375" t="e">
            <v>#N/A</v>
          </cell>
          <cell r="E375" t="e">
            <v>#N/A</v>
          </cell>
          <cell r="F375" t="e">
            <v>#N/A</v>
          </cell>
          <cell r="G375" t="e">
            <v>#N/A</v>
          </cell>
          <cell r="H375">
            <v>0</v>
          </cell>
          <cell r="I375">
            <v>0</v>
          </cell>
          <cell r="K375">
            <v>102678.43000000002</v>
          </cell>
          <cell r="L375">
            <v>102678.43000000002</v>
          </cell>
        </row>
        <row r="376">
          <cell r="C376" t="e">
            <v>#N/A</v>
          </cell>
          <cell r="E376" t="e">
            <v>#N/A</v>
          </cell>
          <cell r="F376" t="e">
            <v>#N/A</v>
          </cell>
          <cell r="G376" t="e">
            <v>#N/A</v>
          </cell>
          <cell r="H376">
            <v>0</v>
          </cell>
          <cell r="I376">
            <v>0</v>
          </cell>
          <cell r="K376">
            <v>102678.43000000002</v>
          </cell>
          <cell r="L376">
            <v>102678.43000000002</v>
          </cell>
        </row>
        <row r="377">
          <cell r="C377" t="e">
            <v>#N/A</v>
          </cell>
          <cell r="E377" t="e">
            <v>#N/A</v>
          </cell>
          <cell r="F377" t="e">
            <v>#N/A</v>
          </cell>
          <cell r="G377" t="e">
            <v>#N/A</v>
          </cell>
          <cell r="H377">
            <v>0</v>
          </cell>
          <cell r="I377">
            <v>0</v>
          </cell>
          <cell r="K377">
            <v>102678.43000000002</v>
          </cell>
          <cell r="L377">
            <v>102678.43000000002</v>
          </cell>
        </row>
        <row r="378">
          <cell r="C378" t="e">
            <v>#N/A</v>
          </cell>
          <cell r="E378" t="e">
            <v>#N/A</v>
          </cell>
          <cell r="F378" t="e">
            <v>#N/A</v>
          </cell>
          <cell r="G378" t="e">
            <v>#N/A</v>
          </cell>
          <cell r="H378">
            <v>0</v>
          </cell>
          <cell r="I378">
            <v>0</v>
          </cell>
          <cell r="K378">
            <v>102678.43000000002</v>
          </cell>
          <cell r="L378">
            <v>102678.43000000002</v>
          </cell>
        </row>
        <row r="379">
          <cell r="C379" t="e">
            <v>#N/A</v>
          </cell>
          <cell r="E379" t="e">
            <v>#N/A</v>
          </cell>
          <cell r="F379" t="e">
            <v>#N/A</v>
          </cell>
          <cell r="G379" t="e">
            <v>#N/A</v>
          </cell>
          <cell r="H379">
            <v>0</v>
          </cell>
          <cell r="I379">
            <v>0</v>
          </cell>
          <cell r="K379">
            <v>102678.43000000002</v>
          </cell>
          <cell r="L379">
            <v>102678.43000000002</v>
          </cell>
        </row>
        <row r="380">
          <cell r="C380" t="e">
            <v>#N/A</v>
          </cell>
          <cell r="E380" t="e">
            <v>#N/A</v>
          </cell>
          <cell r="F380" t="e">
            <v>#N/A</v>
          </cell>
          <cell r="G380" t="e">
            <v>#N/A</v>
          </cell>
          <cell r="H380">
            <v>0</v>
          </cell>
          <cell r="I380">
            <v>0</v>
          </cell>
          <cell r="K380">
            <v>102678.43000000002</v>
          </cell>
          <cell r="L380">
            <v>102678.43000000002</v>
          </cell>
        </row>
        <row r="381">
          <cell r="C381" t="e">
            <v>#N/A</v>
          </cell>
          <cell r="E381" t="e">
            <v>#N/A</v>
          </cell>
          <cell r="F381" t="e">
            <v>#N/A</v>
          </cell>
          <cell r="G381" t="e">
            <v>#N/A</v>
          </cell>
          <cell r="H381">
            <v>0</v>
          </cell>
          <cell r="I381">
            <v>0</v>
          </cell>
          <cell r="K381">
            <v>102678.43000000002</v>
          </cell>
          <cell r="L381">
            <v>102678.43000000002</v>
          </cell>
        </row>
        <row r="382">
          <cell r="C382" t="e">
            <v>#N/A</v>
          </cell>
          <cell r="E382" t="e">
            <v>#N/A</v>
          </cell>
          <cell r="F382" t="e">
            <v>#N/A</v>
          </cell>
          <cell r="G382" t="e">
            <v>#N/A</v>
          </cell>
          <cell r="H382">
            <v>0</v>
          </cell>
          <cell r="I382">
            <v>0</v>
          </cell>
          <cell r="K382">
            <v>102678.43000000002</v>
          </cell>
          <cell r="L382">
            <v>102678.43000000002</v>
          </cell>
        </row>
        <row r="383">
          <cell r="C383" t="e">
            <v>#N/A</v>
          </cell>
          <cell r="E383" t="e">
            <v>#N/A</v>
          </cell>
          <cell r="F383" t="e">
            <v>#N/A</v>
          </cell>
          <cell r="G383" t="e">
            <v>#N/A</v>
          </cell>
          <cell r="H383">
            <v>0</v>
          </cell>
          <cell r="I383">
            <v>0</v>
          </cell>
          <cell r="K383">
            <v>102678.43000000002</v>
          </cell>
          <cell r="L383">
            <v>102678.43000000002</v>
          </cell>
        </row>
        <row r="384">
          <cell r="C384" t="e">
            <v>#N/A</v>
          </cell>
          <cell r="E384" t="e">
            <v>#N/A</v>
          </cell>
          <cell r="F384" t="e">
            <v>#N/A</v>
          </cell>
          <cell r="G384" t="e">
            <v>#N/A</v>
          </cell>
          <cell r="H384">
            <v>0</v>
          </cell>
          <cell r="I384">
            <v>0</v>
          </cell>
          <cell r="K384">
            <v>102678.43000000002</v>
          </cell>
          <cell r="L384">
            <v>102678.43000000002</v>
          </cell>
        </row>
        <row r="385">
          <cell r="C385" t="e">
            <v>#N/A</v>
          </cell>
          <cell r="E385" t="e">
            <v>#N/A</v>
          </cell>
          <cell r="F385" t="e">
            <v>#N/A</v>
          </cell>
          <cell r="G385" t="e">
            <v>#N/A</v>
          </cell>
          <cell r="H385">
            <v>0</v>
          </cell>
          <cell r="I385">
            <v>0</v>
          </cell>
          <cell r="K385">
            <v>102678.43000000002</v>
          </cell>
          <cell r="L385">
            <v>102678.43000000002</v>
          </cell>
        </row>
        <row r="386">
          <cell r="C386" t="e">
            <v>#N/A</v>
          </cell>
          <cell r="E386" t="e">
            <v>#N/A</v>
          </cell>
          <cell r="F386" t="e">
            <v>#N/A</v>
          </cell>
          <cell r="G386" t="e">
            <v>#N/A</v>
          </cell>
          <cell r="H386">
            <v>0</v>
          </cell>
          <cell r="I386">
            <v>0</v>
          </cell>
          <cell r="K386">
            <v>102678.43000000002</v>
          </cell>
          <cell r="L386">
            <v>102678.43000000002</v>
          </cell>
        </row>
        <row r="387">
          <cell r="C387" t="e">
            <v>#N/A</v>
          </cell>
          <cell r="E387" t="e">
            <v>#N/A</v>
          </cell>
          <cell r="F387" t="e">
            <v>#N/A</v>
          </cell>
          <cell r="G387" t="e">
            <v>#N/A</v>
          </cell>
          <cell r="H387">
            <v>0</v>
          </cell>
          <cell r="I387">
            <v>0</v>
          </cell>
          <cell r="K387">
            <v>102678.43000000002</v>
          </cell>
          <cell r="L387">
            <v>102678.43000000002</v>
          </cell>
        </row>
        <row r="388">
          <cell r="C388" t="e">
            <v>#N/A</v>
          </cell>
          <cell r="E388" t="e">
            <v>#N/A</v>
          </cell>
          <cell r="F388" t="e">
            <v>#N/A</v>
          </cell>
          <cell r="G388" t="e">
            <v>#N/A</v>
          </cell>
          <cell r="H388">
            <v>0</v>
          </cell>
          <cell r="I388">
            <v>0</v>
          </cell>
          <cell r="K388">
            <v>102678.43000000002</v>
          </cell>
          <cell r="L388">
            <v>102678.43000000002</v>
          </cell>
        </row>
        <row r="389">
          <cell r="C389" t="e">
            <v>#N/A</v>
          </cell>
          <cell r="E389" t="e">
            <v>#N/A</v>
          </cell>
          <cell r="F389" t="e">
            <v>#N/A</v>
          </cell>
          <cell r="G389" t="e">
            <v>#N/A</v>
          </cell>
          <cell r="H389">
            <v>0</v>
          </cell>
          <cell r="I389">
            <v>0</v>
          </cell>
          <cell r="K389">
            <v>102678.43000000002</v>
          </cell>
          <cell r="L389">
            <v>102678.43000000002</v>
          </cell>
        </row>
        <row r="390">
          <cell r="C390" t="e">
            <v>#N/A</v>
          </cell>
          <cell r="E390" t="e">
            <v>#N/A</v>
          </cell>
          <cell r="F390" t="e">
            <v>#N/A</v>
          </cell>
          <cell r="G390" t="e">
            <v>#N/A</v>
          </cell>
          <cell r="H390">
            <v>0</v>
          </cell>
          <cell r="I390">
            <v>0</v>
          </cell>
          <cell r="K390">
            <v>102678.43000000002</v>
          </cell>
          <cell r="L390">
            <v>102678.43000000002</v>
          </cell>
        </row>
        <row r="391">
          <cell r="C391" t="e">
            <v>#N/A</v>
          </cell>
          <cell r="E391" t="e">
            <v>#N/A</v>
          </cell>
          <cell r="F391" t="e">
            <v>#N/A</v>
          </cell>
          <cell r="G391" t="e">
            <v>#N/A</v>
          </cell>
          <cell r="H391">
            <v>0</v>
          </cell>
          <cell r="I391">
            <v>0</v>
          </cell>
          <cell r="K391">
            <v>102678.43000000002</v>
          </cell>
          <cell r="L391">
            <v>102678.43000000002</v>
          </cell>
        </row>
        <row r="392">
          <cell r="C392" t="e">
            <v>#N/A</v>
          </cell>
          <cell r="E392" t="e">
            <v>#N/A</v>
          </cell>
          <cell r="F392" t="e">
            <v>#N/A</v>
          </cell>
          <cell r="G392" t="e">
            <v>#N/A</v>
          </cell>
          <cell r="H392">
            <v>0</v>
          </cell>
          <cell r="I392">
            <v>0</v>
          </cell>
          <cell r="K392">
            <v>102678.43000000002</v>
          </cell>
          <cell r="L392">
            <v>102678.43000000002</v>
          </cell>
        </row>
        <row r="393">
          <cell r="C393" t="e">
            <v>#N/A</v>
          </cell>
          <cell r="E393" t="e">
            <v>#N/A</v>
          </cell>
          <cell r="F393" t="e">
            <v>#N/A</v>
          </cell>
          <cell r="G393" t="e">
            <v>#N/A</v>
          </cell>
          <cell r="H393">
            <v>0</v>
          </cell>
          <cell r="I393">
            <v>0</v>
          </cell>
          <cell r="K393">
            <v>102678.43000000002</v>
          </cell>
          <cell r="L393">
            <v>102678.43000000002</v>
          </cell>
        </row>
        <row r="394">
          <cell r="C394" t="e">
            <v>#N/A</v>
          </cell>
          <cell r="E394" t="e">
            <v>#N/A</v>
          </cell>
          <cell r="F394" t="e">
            <v>#N/A</v>
          </cell>
          <cell r="G394" t="e">
            <v>#N/A</v>
          </cell>
          <cell r="H394">
            <v>0</v>
          </cell>
          <cell r="I394">
            <v>0</v>
          </cell>
          <cell r="K394">
            <v>102678.43000000002</v>
          </cell>
          <cell r="L394">
            <v>102678.43000000002</v>
          </cell>
        </row>
        <row r="395">
          <cell r="C395" t="e">
            <v>#N/A</v>
          </cell>
          <cell r="E395" t="e">
            <v>#N/A</v>
          </cell>
          <cell r="F395" t="e">
            <v>#N/A</v>
          </cell>
          <cell r="G395" t="e">
            <v>#N/A</v>
          </cell>
          <cell r="H395">
            <v>0</v>
          </cell>
          <cell r="I395">
            <v>0</v>
          </cell>
          <cell r="K395">
            <v>102678.43000000002</v>
          </cell>
          <cell r="L395">
            <v>102678.43000000002</v>
          </cell>
        </row>
        <row r="396">
          <cell r="C396" t="e">
            <v>#N/A</v>
          </cell>
          <cell r="E396" t="e">
            <v>#N/A</v>
          </cell>
          <cell r="F396" t="e">
            <v>#N/A</v>
          </cell>
          <cell r="G396" t="e">
            <v>#N/A</v>
          </cell>
          <cell r="H396">
            <v>0</v>
          </cell>
          <cell r="I396">
            <v>0</v>
          </cell>
          <cell r="K396">
            <v>102678.43000000002</v>
          </cell>
          <cell r="L396">
            <v>102678.43000000002</v>
          </cell>
        </row>
        <row r="397">
          <cell r="C397" t="e">
            <v>#N/A</v>
          </cell>
          <cell r="E397" t="e">
            <v>#N/A</v>
          </cell>
          <cell r="F397" t="e">
            <v>#N/A</v>
          </cell>
          <cell r="G397" t="e">
            <v>#N/A</v>
          </cell>
          <cell r="H397">
            <v>0</v>
          </cell>
          <cell r="I397">
            <v>0</v>
          </cell>
          <cell r="K397">
            <v>102678.43000000002</v>
          </cell>
          <cell r="L397">
            <v>102678.43000000002</v>
          </cell>
        </row>
        <row r="398">
          <cell r="C398" t="e">
            <v>#N/A</v>
          </cell>
          <cell r="E398" t="e">
            <v>#N/A</v>
          </cell>
          <cell r="F398" t="e">
            <v>#N/A</v>
          </cell>
          <cell r="G398" t="e">
            <v>#N/A</v>
          </cell>
          <cell r="H398">
            <v>0</v>
          </cell>
          <cell r="I398">
            <v>0</v>
          </cell>
          <cell r="K398">
            <v>102678.43000000002</v>
          </cell>
          <cell r="L398">
            <v>102678.43000000002</v>
          </cell>
        </row>
        <row r="399">
          <cell r="C399" t="e">
            <v>#N/A</v>
          </cell>
          <cell r="E399" t="e">
            <v>#N/A</v>
          </cell>
          <cell r="F399" t="e">
            <v>#N/A</v>
          </cell>
          <cell r="G399" t="e">
            <v>#N/A</v>
          </cell>
          <cell r="H399">
            <v>0</v>
          </cell>
          <cell r="I399">
            <v>0</v>
          </cell>
          <cell r="K399">
            <v>102678.43000000002</v>
          </cell>
          <cell r="L399">
            <v>102678.43000000002</v>
          </cell>
        </row>
        <row r="400">
          <cell r="C400" t="e">
            <v>#N/A</v>
          </cell>
          <cell r="E400" t="e">
            <v>#N/A</v>
          </cell>
          <cell r="F400" t="e">
            <v>#N/A</v>
          </cell>
          <cell r="G400" t="e">
            <v>#N/A</v>
          </cell>
          <cell r="H400">
            <v>0</v>
          </cell>
          <cell r="I400">
            <v>0</v>
          </cell>
          <cell r="K400">
            <v>102678.43000000002</v>
          </cell>
          <cell r="L400">
            <v>102678.43000000002</v>
          </cell>
        </row>
        <row r="401">
          <cell r="C401" t="e">
            <v>#N/A</v>
          </cell>
          <cell r="E401" t="e">
            <v>#N/A</v>
          </cell>
          <cell r="F401" t="e">
            <v>#N/A</v>
          </cell>
          <cell r="G401" t="e">
            <v>#N/A</v>
          </cell>
          <cell r="H401">
            <v>0</v>
          </cell>
          <cell r="I401">
            <v>0</v>
          </cell>
          <cell r="K401">
            <v>102678.43000000002</v>
          </cell>
          <cell r="L401">
            <v>102678.43000000002</v>
          </cell>
        </row>
        <row r="402">
          <cell r="C402" t="e">
            <v>#N/A</v>
          </cell>
          <cell r="E402" t="e">
            <v>#N/A</v>
          </cell>
          <cell r="F402" t="e">
            <v>#N/A</v>
          </cell>
          <cell r="G402" t="e">
            <v>#N/A</v>
          </cell>
          <cell r="H402">
            <v>0</v>
          </cell>
          <cell r="I402">
            <v>0</v>
          </cell>
          <cell r="K402">
            <v>102678.43000000002</v>
          </cell>
          <cell r="L402">
            <v>102678.43000000002</v>
          </cell>
        </row>
        <row r="403">
          <cell r="C403" t="e">
            <v>#N/A</v>
          </cell>
          <cell r="E403" t="e">
            <v>#N/A</v>
          </cell>
          <cell r="F403" t="e">
            <v>#N/A</v>
          </cell>
          <cell r="G403" t="e">
            <v>#N/A</v>
          </cell>
          <cell r="H403">
            <v>0</v>
          </cell>
          <cell r="I403">
            <v>0</v>
          </cell>
          <cell r="K403">
            <v>102678.43000000002</v>
          </cell>
          <cell r="L403">
            <v>102678.43000000002</v>
          </cell>
        </row>
        <row r="404">
          <cell r="C404" t="e">
            <v>#N/A</v>
          </cell>
          <cell r="E404" t="e">
            <v>#N/A</v>
          </cell>
          <cell r="F404" t="e">
            <v>#N/A</v>
          </cell>
          <cell r="G404" t="e">
            <v>#N/A</v>
          </cell>
          <cell r="H404">
            <v>0</v>
          </cell>
          <cell r="I404">
            <v>0</v>
          </cell>
          <cell r="K404">
            <v>102678.43000000002</v>
          </cell>
          <cell r="L404">
            <v>102678.43000000002</v>
          </cell>
        </row>
        <row r="405">
          <cell r="C405" t="e">
            <v>#N/A</v>
          </cell>
          <cell r="E405" t="e">
            <v>#N/A</v>
          </cell>
          <cell r="F405" t="e">
            <v>#N/A</v>
          </cell>
          <cell r="G405" t="e">
            <v>#N/A</v>
          </cell>
          <cell r="H405">
            <v>0</v>
          </cell>
          <cell r="I405">
            <v>0</v>
          </cell>
          <cell r="K405">
            <v>102678.43000000002</v>
          </cell>
          <cell r="L405">
            <v>102678.43000000002</v>
          </cell>
        </row>
        <row r="406">
          <cell r="C406" t="e">
            <v>#N/A</v>
          </cell>
          <cell r="E406" t="e">
            <v>#N/A</v>
          </cell>
          <cell r="F406" t="e">
            <v>#N/A</v>
          </cell>
          <cell r="G406" t="e">
            <v>#N/A</v>
          </cell>
          <cell r="H406">
            <v>0</v>
          </cell>
          <cell r="I406">
            <v>0</v>
          </cell>
          <cell r="K406">
            <v>102678.43000000002</v>
          </cell>
          <cell r="L406">
            <v>102678.43000000002</v>
          </cell>
        </row>
        <row r="407">
          <cell r="C407" t="e">
            <v>#N/A</v>
          </cell>
          <cell r="E407" t="e">
            <v>#N/A</v>
          </cell>
          <cell r="F407" t="e">
            <v>#N/A</v>
          </cell>
          <cell r="G407" t="e">
            <v>#N/A</v>
          </cell>
          <cell r="H407">
            <v>0</v>
          </cell>
          <cell r="I407">
            <v>0</v>
          </cell>
          <cell r="K407">
            <v>102678.43000000002</v>
          </cell>
          <cell r="L407">
            <v>102678.43000000002</v>
          </cell>
        </row>
        <row r="408">
          <cell r="C408" t="e">
            <v>#N/A</v>
          </cell>
          <cell r="E408" t="e">
            <v>#N/A</v>
          </cell>
          <cell r="F408" t="e">
            <v>#N/A</v>
          </cell>
          <cell r="G408" t="e">
            <v>#N/A</v>
          </cell>
          <cell r="H408">
            <v>0</v>
          </cell>
          <cell r="I408">
            <v>0</v>
          </cell>
          <cell r="K408">
            <v>102678.43000000002</v>
          </cell>
          <cell r="L408">
            <v>102678.43000000002</v>
          </cell>
        </row>
        <row r="409">
          <cell r="C409" t="e">
            <v>#N/A</v>
          </cell>
          <cell r="E409" t="e">
            <v>#N/A</v>
          </cell>
          <cell r="F409" t="e">
            <v>#N/A</v>
          </cell>
          <cell r="G409" t="e">
            <v>#N/A</v>
          </cell>
          <cell r="H409">
            <v>0</v>
          </cell>
          <cell r="I409">
            <v>0</v>
          </cell>
          <cell r="K409">
            <v>102678.43000000002</v>
          </cell>
          <cell r="L409">
            <v>102678.43000000002</v>
          </cell>
        </row>
        <row r="410">
          <cell r="C410" t="e">
            <v>#N/A</v>
          </cell>
          <cell r="E410" t="e">
            <v>#N/A</v>
          </cell>
          <cell r="F410" t="e">
            <v>#N/A</v>
          </cell>
          <cell r="G410" t="e">
            <v>#N/A</v>
          </cell>
          <cell r="H410">
            <v>0</v>
          </cell>
          <cell r="I410">
            <v>0</v>
          </cell>
          <cell r="K410">
            <v>102678.43000000002</v>
          </cell>
          <cell r="L410">
            <v>102678.43000000002</v>
          </cell>
        </row>
        <row r="411">
          <cell r="C411" t="e">
            <v>#N/A</v>
          </cell>
          <cell r="E411" t="e">
            <v>#N/A</v>
          </cell>
          <cell r="F411" t="e">
            <v>#N/A</v>
          </cell>
          <cell r="G411" t="e">
            <v>#N/A</v>
          </cell>
          <cell r="H411">
            <v>0</v>
          </cell>
          <cell r="I411">
            <v>0</v>
          </cell>
          <cell r="K411">
            <v>102678.43000000002</v>
          </cell>
          <cell r="L411">
            <v>102678.43000000002</v>
          </cell>
        </row>
        <row r="412">
          <cell r="C412" t="e">
            <v>#N/A</v>
          </cell>
          <cell r="E412" t="e">
            <v>#N/A</v>
          </cell>
          <cell r="F412" t="e">
            <v>#N/A</v>
          </cell>
          <cell r="G412" t="e">
            <v>#N/A</v>
          </cell>
          <cell r="H412">
            <v>0</v>
          </cell>
          <cell r="I412">
            <v>0</v>
          </cell>
          <cell r="K412">
            <v>102678.43000000002</v>
          </cell>
          <cell r="L412">
            <v>102678.43000000002</v>
          </cell>
        </row>
        <row r="413">
          <cell r="C413" t="e">
            <v>#N/A</v>
          </cell>
          <cell r="E413" t="e">
            <v>#N/A</v>
          </cell>
          <cell r="F413" t="e">
            <v>#N/A</v>
          </cell>
          <cell r="G413" t="e">
            <v>#N/A</v>
          </cell>
          <cell r="H413">
            <v>0</v>
          </cell>
          <cell r="I413">
            <v>0</v>
          </cell>
          <cell r="K413">
            <v>102678.43000000002</v>
          </cell>
          <cell r="L413">
            <v>102678.43000000002</v>
          </cell>
        </row>
        <row r="414">
          <cell r="C414" t="e">
            <v>#N/A</v>
          </cell>
          <cell r="E414" t="e">
            <v>#N/A</v>
          </cell>
          <cell r="F414" t="e">
            <v>#N/A</v>
          </cell>
          <cell r="G414" t="e">
            <v>#N/A</v>
          </cell>
          <cell r="H414">
            <v>0</v>
          </cell>
          <cell r="I414">
            <v>0</v>
          </cell>
          <cell r="K414">
            <v>102678.43000000002</v>
          </cell>
          <cell r="L414">
            <v>102678.43000000002</v>
          </cell>
        </row>
        <row r="415">
          <cell r="C415" t="e">
            <v>#N/A</v>
          </cell>
          <cell r="E415" t="e">
            <v>#N/A</v>
          </cell>
          <cell r="F415" t="e">
            <v>#N/A</v>
          </cell>
          <cell r="G415" t="e">
            <v>#N/A</v>
          </cell>
          <cell r="H415">
            <v>0</v>
          </cell>
          <cell r="I415">
            <v>0</v>
          </cell>
          <cell r="K415">
            <v>102678.43000000002</v>
          </cell>
          <cell r="L415">
            <v>102678.43000000002</v>
          </cell>
        </row>
        <row r="416">
          <cell r="C416" t="e">
            <v>#N/A</v>
          </cell>
          <cell r="E416" t="e">
            <v>#N/A</v>
          </cell>
          <cell r="F416" t="e">
            <v>#N/A</v>
          </cell>
          <cell r="G416" t="e">
            <v>#N/A</v>
          </cell>
          <cell r="H416">
            <v>0</v>
          </cell>
          <cell r="I416">
            <v>0</v>
          </cell>
          <cell r="K416">
            <v>102678.43000000002</v>
          </cell>
          <cell r="L416">
            <v>102678.43000000002</v>
          </cell>
        </row>
        <row r="417">
          <cell r="C417" t="e">
            <v>#N/A</v>
          </cell>
          <cell r="E417" t="e">
            <v>#N/A</v>
          </cell>
          <cell r="F417" t="e">
            <v>#N/A</v>
          </cell>
          <cell r="G417" t="e">
            <v>#N/A</v>
          </cell>
          <cell r="H417">
            <v>0</v>
          </cell>
          <cell r="I417">
            <v>0</v>
          </cell>
          <cell r="K417">
            <v>102678.43000000002</v>
          </cell>
          <cell r="L417">
            <v>102678.43000000002</v>
          </cell>
        </row>
        <row r="418">
          <cell r="C418" t="e">
            <v>#N/A</v>
          </cell>
          <cell r="E418" t="e">
            <v>#N/A</v>
          </cell>
          <cell r="F418" t="e">
            <v>#N/A</v>
          </cell>
          <cell r="G418" t="e">
            <v>#N/A</v>
          </cell>
          <cell r="H418">
            <v>0</v>
          </cell>
          <cell r="I418">
            <v>0</v>
          </cell>
          <cell r="K418">
            <v>102678.43000000002</v>
          </cell>
          <cell r="L418">
            <v>102678.43000000002</v>
          </cell>
        </row>
        <row r="419">
          <cell r="C419" t="e">
            <v>#N/A</v>
          </cell>
          <cell r="E419" t="e">
            <v>#N/A</v>
          </cell>
          <cell r="F419" t="e">
            <v>#N/A</v>
          </cell>
          <cell r="G419" t="e">
            <v>#N/A</v>
          </cell>
          <cell r="H419">
            <v>0</v>
          </cell>
          <cell r="I419">
            <v>0</v>
          </cell>
          <cell r="K419">
            <v>102678.43000000002</v>
          </cell>
          <cell r="L419">
            <v>102678.43000000002</v>
          </cell>
        </row>
        <row r="420">
          <cell r="C420" t="e">
            <v>#N/A</v>
          </cell>
          <cell r="E420" t="e">
            <v>#N/A</v>
          </cell>
          <cell r="F420" t="e">
            <v>#N/A</v>
          </cell>
          <cell r="G420" t="e">
            <v>#N/A</v>
          </cell>
          <cell r="H420">
            <v>0</v>
          </cell>
          <cell r="I420">
            <v>0</v>
          </cell>
          <cell r="K420">
            <v>102678.43000000002</v>
          </cell>
          <cell r="L420">
            <v>102678.43000000002</v>
          </cell>
        </row>
        <row r="421">
          <cell r="C421" t="e">
            <v>#N/A</v>
          </cell>
          <cell r="E421" t="e">
            <v>#N/A</v>
          </cell>
          <cell r="F421" t="e">
            <v>#N/A</v>
          </cell>
          <cell r="G421" t="e">
            <v>#N/A</v>
          </cell>
          <cell r="H421">
            <v>0</v>
          </cell>
          <cell r="I421">
            <v>0</v>
          </cell>
          <cell r="K421">
            <v>102678.43000000002</v>
          </cell>
          <cell r="L421">
            <v>102678.43000000002</v>
          </cell>
        </row>
        <row r="422">
          <cell r="C422" t="e">
            <v>#N/A</v>
          </cell>
          <cell r="E422" t="e">
            <v>#N/A</v>
          </cell>
          <cell r="F422" t="e">
            <v>#N/A</v>
          </cell>
          <cell r="G422" t="e">
            <v>#N/A</v>
          </cell>
          <cell r="H422">
            <v>0</v>
          </cell>
          <cell r="I422">
            <v>0</v>
          </cell>
          <cell r="K422">
            <v>102678.43000000002</v>
          </cell>
          <cell r="L422">
            <v>102678.43000000002</v>
          </cell>
        </row>
        <row r="423">
          <cell r="C423" t="e">
            <v>#N/A</v>
          </cell>
          <cell r="E423" t="e">
            <v>#N/A</v>
          </cell>
          <cell r="F423" t="e">
            <v>#N/A</v>
          </cell>
          <cell r="G423" t="e">
            <v>#N/A</v>
          </cell>
          <cell r="H423">
            <v>0</v>
          </cell>
          <cell r="I423">
            <v>0</v>
          </cell>
          <cell r="K423">
            <v>102678.43000000002</v>
          </cell>
          <cell r="L423">
            <v>102678.43000000002</v>
          </cell>
        </row>
        <row r="424">
          <cell r="C424" t="e">
            <v>#N/A</v>
          </cell>
          <cell r="E424" t="e">
            <v>#N/A</v>
          </cell>
          <cell r="F424" t="e">
            <v>#N/A</v>
          </cell>
          <cell r="G424" t="e">
            <v>#N/A</v>
          </cell>
          <cell r="H424">
            <v>0</v>
          </cell>
          <cell r="I424">
            <v>0</v>
          </cell>
          <cell r="K424">
            <v>102678.43000000002</v>
          </cell>
          <cell r="L424">
            <v>102678.43000000002</v>
          </cell>
        </row>
        <row r="425">
          <cell r="C425" t="e">
            <v>#N/A</v>
          </cell>
          <cell r="E425" t="e">
            <v>#N/A</v>
          </cell>
          <cell r="F425" t="e">
            <v>#N/A</v>
          </cell>
          <cell r="G425" t="e">
            <v>#N/A</v>
          </cell>
          <cell r="H425">
            <v>0</v>
          </cell>
          <cell r="I425">
            <v>0</v>
          </cell>
          <cell r="K425">
            <v>102678.43000000002</v>
          </cell>
          <cell r="L425">
            <v>102678.43000000002</v>
          </cell>
        </row>
        <row r="426">
          <cell r="C426" t="e">
            <v>#N/A</v>
          </cell>
          <cell r="E426" t="e">
            <v>#N/A</v>
          </cell>
          <cell r="F426" t="e">
            <v>#N/A</v>
          </cell>
          <cell r="G426" t="e">
            <v>#N/A</v>
          </cell>
          <cell r="H426">
            <v>0</v>
          </cell>
          <cell r="I426">
            <v>0</v>
          </cell>
          <cell r="K426">
            <v>102678.43000000002</v>
          </cell>
          <cell r="L426">
            <v>102678.43000000002</v>
          </cell>
        </row>
        <row r="427">
          <cell r="C427" t="e">
            <v>#N/A</v>
          </cell>
          <cell r="E427" t="e">
            <v>#N/A</v>
          </cell>
          <cell r="F427" t="e">
            <v>#N/A</v>
          </cell>
          <cell r="G427" t="e">
            <v>#N/A</v>
          </cell>
          <cell r="H427">
            <v>0</v>
          </cell>
          <cell r="I427">
            <v>0</v>
          </cell>
          <cell r="K427">
            <v>102678.43000000002</v>
          </cell>
          <cell r="L427">
            <v>102678.43000000002</v>
          </cell>
        </row>
        <row r="428">
          <cell r="C428" t="e">
            <v>#N/A</v>
          </cell>
          <cell r="E428" t="e">
            <v>#N/A</v>
          </cell>
          <cell r="F428" t="e">
            <v>#N/A</v>
          </cell>
          <cell r="G428" t="e">
            <v>#N/A</v>
          </cell>
          <cell r="H428">
            <v>0</v>
          </cell>
          <cell r="I428">
            <v>0</v>
          </cell>
          <cell r="K428">
            <v>102678.43000000002</v>
          </cell>
          <cell r="L428">
            <v>102678.43000000002</v>
          </cell>
        </row>
        <row r="429">
          <cell r="C429" t="e">
            <v>#N/A</v>
          </cell>
          <cell r="E429" t="e">
            <v>#N/A</v>
          </cell>
          <cell r="F429" t="e">
            <v>#N/A</v>
          </cell>
          <cell r="G429" t="e">
            <v>#N/A</v>
          </cell>
          <cell r="H429">
            <v>0</v>
          </cell>
          <cell r="I429">
            <v>0</v>
          </cell>
          <cell r="K429">
            <v>102678.43000000002</v>
          </cell>
          <cell r="L429">
            <v>102678.43000000002</v>
          </cell>
        </row>
        <row r="430">
          <cell r="C430" t="e">
            <v>#N/A</v>
          </cell>
          <cell r="E430" t="e">
            <v>#N/A</v>
          </cell>
          <cell r="F430" t="e">
            <v>#N/A</v>
          </cell>
          <cell r="G430" t="e">
            <v>#N/A</v>
          </cell>
          <cell r="H430">
            <v>0</v>
          </cell>
          <cell r="I430">
            <v>0</v>
          </cell>
          <cell r="K430">
            <v>102678.43000000002</v>
          </cell>
          <cell r="L430">
            <v>102678.43000000002</v>
          </cell>
        </row>
        <row r="431">
          <cell r="C431" t="e">
            <v>#N/A</v>
          </cell>
          <cell r="E431" t="e">
            <v>#N/A</v>
          </cell>
          <cell r="F431" t="e">
            <v>#N/A</v>
          </cell>
          <cell r="G431" t="e">
            <v>#N/A</v>
          </cell>
          <cell r="H431">
            <v>0</v>
          </cell>
          <cell r="I431">
            <v>0</v>
          </cell>
          <cell r="K431">
            <v>102678.43000000002</v>
          </cell>
          <cell r="L431">
            <v>102678.43000000002</v>
          </cell>
        </row>
        <row r="432">
          <cell r="C432" t="e">
            <v>#N/A</v>
          </cell>
          <cell r="E432" t="e">
            <v>#N/A</v>
          </cell>
          <cell r="F432" t="e">
            <v>#N/A</v>
          </cell>
          <cell r="G432" t="e">
            <v>#N/A</v>
          </cell>
          <cell r="H432">
            <v>0</v>
          </cell>
          <cell r="I432">
            <v>0</v>
          </cell>
          <cell r="K432">
            <v>102678.43000000002</v>
          </cell>
          <cell r="L432">
            <v>102678.43000000002</v>
          </cell>
        </row>
        <row r="433">
          <cell r="C433" t="e">
            <v>#N/A</v>
          </cell>
          <cell r="E433" t="e">
            <v>#N/A</v>
          </cell>
          <cell r="F433" t="e">
            <v>#N/A</v>
          </cell>
          <cell r="G433" t="e">
            <v>#N/A</v>
          </cell>
          <cell r="H433">
            <v>0</v>
          </cell>
          <cell r="I433">
            <v>0</v>
          </cell>
          <cell r="K433">
            <v>102678.43000000002</v>
          </cell>
          <cell r="L433">
            <v>102678.43000000002</v>
          </cell>
        </row>
        <row r="434">
          <cell r="C434" t="e">
            <v>#N/A</v>
          </cell>
          <cell r="E434" t="e">
            <v>#N/A</v>
          </cell>
          <cell r="F434" t="e">
            <v>#N/A</v>
          </cell>
          <cell r="G434" t="e">
            <v>#N/A</v>
          </cell>
          <cell r="H434">
            <v>0</v>
          </cell>
          <cell r="I434">
            <v>0</v>
          </cell>
          <cell r="K434">
            <v>102678.43000000002</v>
          </cell>
          <cell r="L434">
            <v>102678.43000000002</v>
          </cell>
        </row>
        <row r="435">
          <cell r="C435" t="e">
            <v>#N/A</v>
          </cell>
          <cell r="E435" t="e">
            <v>#N/A</v>
          </cell>
          <cell r="F435" t="e">
            <v>#N/A</v>
          </cell>
          <cell r="G435" t="e">
            <v>#N/A</v>
          </cell>
          <cell r="H435">
            <v>0</v>
          </cell>
          <cell r="I435">
            <v>0</v>
          </cell>
          <cell r="K435">
            <v>102678.43000000002</v>
          </cell>
          <cell r="L435">
            <v>102678.43000000002</v>
          </cell>
        </row>
        <row r="436">
          <cell r="C436" t="e">
            <v>#N/A</v>
          </cell>
          <cell r="E436" t="e">
            <v>#N/A</v>
          </cell>
          <cell r="F436" t="e">
            <v>#N/A</v>
          </cell>
          <cell r="G436" t="e">
            <v>#N/A</v>
          </cell>
          <cell r="H436">
            <v>0</v>
          </cell>
          <cell r="I436">
            <v>0</v>
          </cell>
          <cell r="K436">
            <v>102678.43000000002</v>
          </cell>
          <cell r="L436">
            <v>102678.43000000002</v>
          </cell>
        </row>
        <row r="437">
          <cell r="C437" t="e">
            <v>#N/A</v>
          </cell>
          <cell r="E437" t="e">
            <v>#N/A</v>
          </cell>
          <cell r="F437" t="e">
            <v>#N/A</v>
          </cell>
          <cell r="G437" t="e">
            <v>#N/A</v>
          </cell>
          <cell r="H437">
            <v>0</v>
          </cell>
          <cell r="I437">
            <v>0</v>
          </cell>
          <cell r="K437">
            <v>102678.43000000002</v>
          </cell>
          <cell r="L437">
            <v>102678.43000000002</v>
          </cell>
        </row>
        <row r="438">
          <cell r="C438" t="e">
            <v>#N/A</v>
          </cell>
          <cell r="E438" t="e">
            <v>#N/A</v>
          </cell>
          <cell r="F438" t="e">
            <v>#N/A</v>
          </cell>
          <cell r="G438" t="e">
            <v>#N/A</v>
          </cell>
          <cell r="H438">
            <v>0</v>
          </cell>
          <cell r="I438">
            <v>0</v>
          </cell>
          <cell r="K438">
            <v>102678.43000000002</v>
          </cell>
          <cell r="L438">
            <v>102678.43000000002</v>
          </cell>
        </row>
        <row r="439">
          <cell r="C439" t="e">
            <v>#N/A</v>
          </cell>
          <cell r="E439" t="e">
            <v>#N/A</v>
          </cell>
          <cell r="F439" t="e">
            <v>#N/A</v>
          </cell>
          <cell r="G439" t="e">
            <v>#N/A</v>
          </cell>
          <cell r="H439">
            <v>0</v>
          </cell>
          <cell r="I439">
            <v>0</v>
          </cell>
          <cell r="K439">
            <v>102678.43000000002</v>
          </cell>
          <cell r="L439">
            <v>102678.43000000002</v>
          </cell>
        </row>
        <row r="440">
          <cell r="C440" t="e">
            <v>#N/A</v>
          </cell>
          <cell r="E440" t="e">
            <v>#N/A</v>
          </cell>
          <cell r="F440" t="e">
            <v>#N/A</v>
          </cell>
          <cell r="G440" t="e">
            <v>#N/A</v>
          </cell>
          <cell r="H440">
            <v>0</v>
          </cell>
          <cell r="I440">
            <v>0</v>
          </cell>
          <cell r="K440">
            <v>102678.43000000002</v>
          </cell>
          <cell r="L440">
            <v>102678.43000000002</v>
          </cell>
        </row>
        <row r="441">
          <cell r="C441" t="e">
            <v>#N/A</v>
          </cell>
          <cell r="E441" t="e">
            <v>#N/A</v>
          </cell>
          <cell r="F441" t="e">
            <v>#N/A</v>
          </cell>
          <cell r="G441" t="e">
            <v>#N/A</v>
          </cell>
          <cell r="H441">
            <v>0</v>
          </cell>
          <cell r="I441">
            <v>0</v>
          </cell>
          <cell r="K441">
            <v>102678.43000000002</v>
          </cell>
          <cell r="L441">
            <v>102678.43000000002</v>
          </cell>
        </row>
        <row r="442">
          <cell r="C442" t="e">
            <v>#N/A</v>
          </cell>
          <cell r="E442" t="e">
            <v>#N/A</v>
          </cell>
          <cell r="F442" t="e">
            <v>#N/A</v>
          </cell>
          <cell r="G442" t="e">
            <v>#N/A</v>
          </cell>
          <cell r="H442">
            <v>0</v>
          </cell>
          <cell r="I442">
            <v>0</v>
          </cell>
          <cell r="K442">
            <v>102678.43000000002</v>
          </cell>
          <cell r="L442">
            <v>102678.43000000002</v>
          </cell>
        </row>
        <row r="443">
          <cell r="C443" t="e">
            <v>#N/A</v>
          </cell>
          <cell r="E443" t="e">
            <v>#N/A</v>
          </cell>
          <cell r="F443" t="e">
            <v>#N/A</v>
          </cell>
          <cell r="G443" t="e">
            <v>#N/A</v>
          </cell>
          <cell r="H443">
            <v>0</v>
          </cell>
          <cell r="I443">
            <v>0</v>
          </cell>
          <cell r="K443">
            <v>102678.43000000002</v>
          </cell>
          <cell r="L443">
            <v>102678.43000000002</v>
          </cell>
        </row>
        <row r="444">
          <cell r="C444" t="e">
            <v>#N/A</v>
          </cell>
          <cell r="E444" t="e">
            <v>#N/A</v>
          </cell>
          <cell r="F444" t="e">
            <v>#N/A</v>
          </cell>
          <cell r="G444" t="e">
            <v>#N/A</v>
          </cell>
          <cell r="H444">
            <v>0</v>
          </cell>
          <cell r="I444">
            <v>0</v>
          </cell>
          <cell r="K444">
            <v>102678.43000000002</v>
          </cell>
          <cell r="L444">
            <v>102678.43000000002</v>
          </cell>
        </row>
        <row r="445">
          <cell r="C445" t="e">
            <v>#N/A</v>
          </cell>
          <cell r="E445" t="e">
            <v>#N/A</v>
          </cell>
          <cell r="F445" t="e">
            <v>#N/A</v>
          </cell>
          <cell r="G445" t="e">
            <v>#N/A</v>
          </cell>
          <cell r="H445">
            <v>0</v>
          </cell>
          <cell r="I445">
            <v>0</v>
          </cell>
          <cell r="K445">
            <v>102678.43000000002</v>
          </cell>
          <cell r="L445">
            <v>102678.43000000002</v>
          </cell>
        </row>
        <row r="446">
          <cell r="C446" t="e">
            <v>#N/A</v>
          </cell>
          <cell r="E446" t="e">
            <v>#N/A</v>
          </cell>
          <cell r="F446" t="e">
            <v>#N/A</v>
          </cell>
          <cell r="G446" t="e">
            <v>#N/A</v>
          </cell>
          <cell r="H446">
            <v>0</v>
          </cell>
          <cell r="I446">
            <v>0</v>
          </cell>
          <cell r="K446">
            <v>102678.43000000002</v>
          </cell>
          <cell r="L446">
            <v>102678.43000000002</v>
          </cell>
        </row>
        <row r="447">
          <cell r="C447" t="e">
            <v>#N/A</v>
          </cell>
          <cell r="E447" t="e">
            <v>#N/A</v>
          </cell>
          <cell r="F447" t="e">
            <v>#N/A</v>
          </cell>
          <cell r="G447" t="e">
            <v>#N/A</v>
          </cell>
          <cell r="H447">
            <v>0</v>
          </cell>
          <cell r="I447">
            <v>0</v>
          </cell>
          <cell r="K447">
            <v>102678.43000000002</v>
          </cell>
          <cell r="L447">
            <v>102678.43000000002</v>
          </cell>
        </row>
        <row r="448">
          <cell r="C448" t="e">
            <v>#N/A</v>
          </cell>
          <cell r="E448" t="e">
            <v>#N/A</v>
          </cell>
          <cell r="F448" t="e">
            <v>#N/A</v>
          </cell>
          <cell r="G448" t="e">
            <v>#N/A</v>
          </cell>
          <cell r="H448">
            <v>0</v>
          </cell>
          <cell r="I448">
            <v>0</v>
          </cell>
          <cell r="K448">
            <v>102678.43000000002</v>
          </cell>
          <cell r="L448">
            <v>102678.43000000002</v>
          </cell>
        </row>
        <row r="449">
          <cell r="C449" t="e">
            <v>#N/A</v>
          </cell>
          <cell r="E449" t="e">
            <v>#N/A</v>
          </cell>
          <cell r="F449" t="e">
            <v>#N/A</v>
          </cell>
          <cell r="G449" t="e">
            <v>#N/A</v>
          </cell>
          <cell r="H449">
            <v>0</v>
          </cell>
          <cell r="I449">
            <v>0</v>
          </cell>
          <cell r="K449">
            <v>102678.43000000002</v>
          </cell>
          <cell r="L449">
            <v>102678.43000000002</v>
          </cell>
        </row>
        <row r="450">
          <cell r="C450" t="e">
            <v>#N/A</v>
          </cell>
          <cell r="E450" t="e">
            <v>#N/A</v>
          </cell>
          <cell r="F450" t="e">
            <v>#N/A</v>
          </cell>
          <cell r="G450" t="e">
            <v>#N/A</v>
          </cell>
          <cell r="H450">
            <v>0</v>
          </cell>
          <cell r="I450">
            <v>0</v>
          </cell>
          <cell r="K450">
            <v>102678.43000000002</v>
          </cell>
          <cell r="L450">
            <v>102678.43000000002</v>
          </cell>
        </row>
        <row r="451">
          <cell r="C451" t="e">
            <v>#N/A</v>
          </cell>
          <cell r="E451" t="e">
            <v>#N/A</v>
          </cell>
          <cell r="F451" t="e">
            <v>#N/A</v>
          </cell>
          <cell r="G451" t="e">
            <v>#N/A</v>
          </cell>
          <cell r="H451">
            <v>0</v>
          </cell>
          <cell r="I451">
            <v>0</v>
          </cell>
          <cell r="K451">
            <v>102678.43000000002</v>
          </cell>
          <cell r="L451">
            <v>102678.43000000002</v>
          </cell>
        </row>
        <row r="452">
          <cell r="C452" t="e">
            <v>#N/A</v>
          </cell>
          <cell r="E452" t="e">
            <v>#N/A</v>
          </cell>
          <cell r="F452" t="e">
            <v>#N/A</v>
          </cell>
          <cell r="G452" t="e">
            <v>#N/A</v>
          </cell>
          <cell r="H452">
            <v>0</v>
          </cell>
          <cell r="I452">
            <v>0</v>
          </cell>
          <cell r="K452">
            <v>102678.43000000002</v>
          </cell>
          <cell r="L452">
            <v>102678.43000000002</v>
          </cell>
        </row>
        <row r="453">
          <cell r="C453" t="e">
            <v>#N/A</v>
          </cell>
          <cell r="E453" t="e">
            <v>#N/A</v>
          </cell>
          <cell r="F453" t="e">
            <v>#N/A</v>
          </cell>
          <cell r="G453" t="e">
            <v>#N/A</v>
          </cell>
          <cell r="H453">
            <v>0</v>
          </cell>
          <cell r="I453">
            <v>0</v>
          </cell>
          <cell r="K453">
            <v>102678.43000000002</v>
          </cell>
          <cell r="L453">
            <v>102678.43000000002</v>
          </cell>
        </row>
        <row r="454">
          <cell r="C454" t="e">
            <v>#N/A</v>
          </cell>
          <cell r="E454" t="e">
            <v>#N/A</v>
          </cell>
          <cell r="F454" t="e">
            <v>#N/A</v>
          </cell>
          <cell r="G454" t="e">
            <v>#N/A</v>
          </cell>
          <cell r="H454">
            <v>0</v>
          </cell>
          <cell r="I454">
            <v>0</v>
          </cell>
          <cell r="K454">
            <v>102678.43000000002</v>
          </cell>
          <cell r="L454">
            <v>102678.43000000002</v>
          </cell>
        </row>
        <row r="455">
          <cell r="C455" t="e">
            <v>#N/A</v>
          </cell>
          <cell r="E455" t="e">
            <v>#N/A</v>
          </cell>
          <cell r="F455" t="e">
            <v>#N/A</v>
          </cell>
          <cell r="G455" t="e">
            <v>#N/A</v>
          </cell>
          <cell r="H455">
            <v>0</v>
          </cell>
          <cell r="I455">
            <v>0</v>
          </cell>
          <cell r="K455">
            <v>102678.43000000002</v>
          </cell>
          <cell r="L455">
            <v>102678.43000000002</v>
          </cell>
        </row>
        <row r="456">
          <cell r="C456" t="e">
            <v>#N/A</v>
          </cell>
          <cell r="E456" t="e">
            <v>#N/A</v>
          </cell>
          <cell r="F456" t="e">
            <v>#N/A</v>
          </cell>
          <cell r="G456" t="e">
            <v>#N/A</v>
          </cell>
          <cell r="H456">
            <v>0</v>
          </cell>
          <cell r="I456">
            <v>0</v>
          </cell>
          <cell r="K456">
            <v>102678.43000000002</v>
          </cell>
          <cell r="L456">
            <v>102678.43000000002</v>
          </cell>
        </row>
        <row r="457">
          <cell r="C457" t="e">
            <v>#N/A</v>
          </cell>
          <cell r="E457" t="e">
            <v>#N/A</v>
          </cell>
          <cell r="F457" t="e">
            <v>#N/A</v>
          </cell>
          <cell r="G457" t="e">
            <v>#N/A</v>
          </cell>
          <cell r="H457">
            <v>0</v>
          </cell>
          <cell r="I457">
            <v>0</v>
          </cell>
          <cell r="K457">
            <v>102678.43000000002</v>
          </cell>
          <cell r="L457">
            <v>102678.43000000002</v>
          </cell>
        </row>
        <row r="458">
          <cell r="C458" t="e">
            <v>#N/A</v>
          </cell>
          <cell r="E458" t="e">
            <v>#N/A</v>
          </cell>
          <cell r="F458" t="e">
            <v>#N/A</v>
          </cell>
          <cell r="G458" t="e">
            <v>#N/A</v>
          </cell>
          <cell r="H458">
            <v>0</v>
          </cell>
          <cell r="I458">
            <v>0</v>
          </cell>
          <cell r="K458">
            <v>102678.43000000002</v>
          </cell>
          <cell r="L458">
            <v>102678.43000000002</v>
          </cell>
        </row>
        <row r="459">
          <cell r="C459" t="e">
            <v>#N/A</v>
          </cell>
          <cell r="E459" t="e">
            <v>#N/A</v>
          </cell>
          <cell r="F459" t="e">
            <v>#N/A</v>
          </cell>
          <cell r="G459" t="e">
            <v>#N/A</v>
          </cell>
          <cell r="H459">
            <v>0</v>
          </cell>
          <cell r="I459">
            <v>0</v>
          </cell>
          <cell r="K459">
            <v>102678.43000000002</v>
          </cell>
          <cell r="L459">
            <v>102678.43000000002</v>
          </cell>
        </row>
        <row r="460">
          <cell r="C460" t="e">
            <v>#N/A</v>
          </cell>
          <cell r="E460" t="e">
            <v>#N/A</v>
          </cell>
          <cell r="F460" t="e">
            <v>#N/A</v>
          </cell>
          <cell r="G460" t="e">
            <v>#N/A</v>
          </cell>
          <cell r="H460">
            <v>0</v>
          </cell>
          <cell r="I460">
            <v>0</v>
          </cell>
          <cell r="K460">
            <v>102678.43000000002</v>
          </cell>
          <cell r="L460">
            <v>102678.43000000002</v>
          </cell>
        </row>
        <row r="461">
          <cell r="C461" t="e">
            <v>#N/A</v>
          </cell>
          <cell r="E461" t="e">
            <v>#N/A</v>
          </cell>
          <cell r="F461" t="e">
            <v>#N/A</v>
          </cell>
          <cell r="G461" t="e">
            <v>#N/A</v>
          </cell>
          <cell r="H461">
            <v>0</v>
          </cell>
          <cell r="I461">
            <v>0</v>
          </cell>
          <cell r="K461">
            <v>102678.43000000002</v>
          </cell>
          <cell r="L461">
            <v>102678.43000000002</v>
          </cell>
        </row>
        <row r="462">
          <cell r="C462" t="e">
            <v>#N/A</v>
          </cell>
          <cell r="E462" t="e">
            <v>#N/A</v>
          </cell>
          <cell r="F462" t="e">
            <v>#N/A</v>
          </cell>
          <cell r="G462" t="e">
            <v>#N/A</v>
          </cell>
          <cell r="H462">
            <v>0</v>
          </cell>
          <cell r="I462">
            <v>0</v>
          </cell>
          <cell r="K462">
            <v>102678.43000000002</v>
          </cell>
          <cell r="L462">
            <v>102678.43000000002</v>
          </cell>
        </row>
        <row r="463">
          <cell r="C463" t="e">
            <v>#N/A</v>
          </cell>
          <cell r="E463" t="e">
            <v>#N/A</v>
          </cell>
          <cell r="F463" t="e">
            <v>#N/A</v>
          </cell>
          <cell r="G463" t="e">
            <v>#N/A</v>
          </cell>
          <cell r="H463">
            <v>0</v>
          </cell>
          <cell r="I463">
            <v>0</v>
          </cell>
          <cell r="K463">
            <v>102678.43000000002</v>
          </cell>
          <cell r="L463">
            <v>102678.43000000002</v>
          </cell>
        </row>
        <row r="464">
          <cell r="C464" t="e">
            <v>#N/A</v>
          </cell>
          <cell r="E464" t="e">
            <v>#N/A</v>
          </cell>
          <cell r="F464" t="e">
            <v>#N/A</v>
          </cell>
          <cell r="G464" t="e">
            <v>#N/A</v>
          </cell>
          <cell r="H464">
            <v>0</v>
          </cell>
          <cell r="I464">
            <v>0</v>
          </cell>
          <cell r="K464">
            <v>102678.43000000002</v>
          </cell>
          <cell r="L464">
            <v>102678.43000000002</v>
          </cell>
        </row>
        <row r="465">
          <cell r="C465" t="e">
            <v>#N/A</v>
          </cell>
          <cell r="E465" t="e">
            <v>#N/A</v>
          </cell>
          <cell r="F465" t="e">
            <v>#N/A</v>
          </cell>
          <cell r="G465" t="e">
            <v>#N/A</v>
          </cell>
          <cell r="H465">
            <v>0</v>
          </cell>
          <cell r="I465">
            <v>0</v>
          </cell>
          <cell r="K465">
            <v>102678.43000000002</v>
          </cell>
          <cell r="L465">
            <v>102678.43000000002</v>
          </cell>
        </row>
        <row r="466">
          <cell r="C466" t="e">
            <v>#N/A</v>
          </cell>
          <cell r="E466" t="e">
            <v>#N/A</v>
          </cell>
          <cell r="F466" t="e">
            <v>#N/A</v>
          </cell>
          <cell r="G466" t="e">
            <v>#N/A</v>
          </cell>
          <cell r="H466">
            <v>0</v>
          </cell>
          <cell r="I466">
            <v>0</v>
          </cell>
          <cell r="K466">
            <v>102678.43000000002</v>
          </cell>
          <cell r="L466">
            <v>102678.43000000002</v>
          </cell>
        </row>
        <row r="467">
          <cell r="C467" t="e">
            <v>#N/A</v>
          </cell>
          <cell r="E467" t="e">
            <v>#N/A</v>
          </cell>
          <cell r="F467" t="e">
            <v>#N/A</v>
          </cell>
          <cell r="G467" t="e">
            <v>#N/A</v>
          </cell>
          <cell r="H467">
            <v>0</v>
          </cell>
          <cell r="I467">
            <v>0</v>
          </cell>
          <cell r="K467">
            <v>102678.43000000002</v>
          </cell>
          <cell r="L467">
            <v>102678.43000000002</v>
          </cell>
        </row>
        <row r="468">
          <cell r="C468" t="e">
            <v>#N/A</v>
          </cell>
          <cell r="E468" t="e">
            <v>#N/A</v>
          </cell>
          <cell r="F468" t="e">
            <v>#N/A</v>
          </cell>
          <cell r="G468" t="e">
            <v>#N/A</v>
          </cell>
          <cell r="H468">
            <v>0</v>
          </cell>
          <cell r="I468">
            <v>0</v>
          </cell>
          <cell r="K468">
            <v>102678.43000000002</v>
          </cell>
          <cell r="L468">
            <v>102678.43000000002</v>
          </cell>
        </row>
        <row r="469">
          <cell r="C469" t="e">
            <v>#N/A</v>
          </cell>
          <cell r="E469" t="e">
            <v>#N/A</v>
          </cell>
          <cell r="F469" t="e">
            <v>#N/A</v>
          </cell>
          <cell r="G469" t="e">
            <v>#N/A</v>
          </cell>
          <cell r="H469">
            <v>0</v>
          </cell>
          <cell r="I469">
            <v>0</v>
          </cell>
          <cell r="K469">
            <v>102678.43000000002</v>
          </cell>
          <cell r="L469">
            <v>102678.43000000002</v>
          </cell>
        </row>
        <row r="470">
          <cell r="C470" t="e">
            <v>#N/A</v>
          </cell>
          <cell r="E470" t="e">
            <v>#N/A</v>
          </cell>
          <cell r="F470" t="e">
            <v>#N/A</v>
          </cell>
          <cell r="G470" t="e">
            <v>#N/A</v>
          </cell>
          <cell r="H470">
            <v>0</v>
          </cell>
          <cell r="I470">
            <v>0</v>
          </cell>
          <cell r="K470">
            <v>102678.43000000002</v>
          </cell>
          <cell r="L470">
            <v>102678.43000000002</v>
          </cell>
        </row>
        <row r="471">
          <cell r="C471" t="e">
            <v>#N/A</v>
          </cell>
          <cell r="E471" t="e">
            <v>#N/A</v>
          </cell>
          <cell r="F471" t="e">
            <v>#N/A</v>
          </cell>
          <cell r="G471" t="e">
            <v>#N/A</v>
          </cell>
          <cell r="H471">
            <v>0</v>
          </cell>
          <cell r="I471">
            <v>0</v>
          </cell>
          <cell r="K471">
            <v>102678.43000000002</v>
          </cell>
          <cell r="L471">
            <v>102678.43000000002</v>
          </cell>
        </row>
        <row r="472">
          <cell r="C472" t="e">
            <v>#N/A</v>
          </cell>
          <cell r="E472" t="e">
            <v>#N/A</v>
          </cell>
          <cell r="F472" t="e">
            <v>#N/A</v>
          </cell>
          <cell r="G472" t="e">
            <v>#N/A</v>
          </cell>
          <cell r="H472">
            <v>0</v>
          </cell>
          <cell r="I472">
            <v>0</v>
          </cell>
          <cell r="K472">
            <v>102678.43000000002</v>
          </cell>
          <cell r="L472">
            <v>102678.43000000002</v>
          </cell>
        </row>
        <row r="473">
          <cell r="C473" t="e">
            <v>#N/A</v>
          </cell>
          <cell r="E473" t="e">
            <v>#N/A</v>
          </cell>
          <cell r="F473" t="e">
            <v>#N/A</v>
          </cell>
          <cell r="G473" t="e">
            <v>#N/A</v>
          </cell>
          <cell r="H473">
            <v>0</v>
          </cell>
          <cell r="I473">
            <v>0</v>
          </cell>
          <cell r="K473">
            <v>102678.43000000002</v>
          </cell>
          <cell r="L473">
            <v>102678.43000000002</v>
          </cell>
        </row>
        <row r="474">
          <cell r="C474" t="e">
            <v>#N/A</v>
          </cell>
          <cell r="E474" t="e">
            <v>#N/A</v>
          </cell>
          <cell r="F474" t="e">
            <v>#N/A</v>
          </cell>
          <cell r="G474" t="e">
            <v>#N/A</v>
          </cell>
          <cell r="H474">
            <v>0</v>
          </cell>
          <cell r="I474">
            <v>0</v>
          </cell>
          <cell r="K474">
            <v>102678.43000000002</v>
          </cell>
          <cell r="L474">
            <v>102678.43000000002</v>
          </cell>
        </row>
        <row r="475">
          <cell r="C475" t="e">
            <v>#N/A</v>
          </cell>
          <cell r="E475" t="e">
            <v>#N/A</v>
          </cell>
          <cell r="F475" t="e">
            <v>#N/A</v>
          </cell>
          <cell r="G475" t="e">
            <v>#N/A</v>
          </cell>
          <cell r="H475">
            <v>0</v>
          </cell>
          <cell r="I475">
            <v>0</v>
          </cell>
          <cell r="K475">
            <v>102678.43000000002</v>
          </cell>
          <cell r="L475">
            <v>102678.43000000002</v>
          </cell>
        </row>
        <row r="476">
          <cell r="C476" t="e">
            <v>#N/A</v>
          </cell>
          <cell r="E476" t="e">
            <v>#N/A</v>
          </cell>
          <cell r="F476" t="e">
            <v>#N/A</v>
          </cell>
          <cell r="G476" t="e">
            <v>#N/A</v>
          </cell>
          <cell r="H476">
            <v>0</v>
          </cell>
          <cell r="I476">
            <v>0</v>
          </cell>
          <cell r="K476">
            <v>102678.43000000002</v>
          </cell>
          <cell r="L476">
            <v>102678.43000000002</v>
          </cell>
        </row>
        <row r="477">
          <cell r="C477" t="e">
            <v>#N/A</v>
          </cell>
          <cell r="E477" t="e">
            <v>#N/A</v>
          </cell>
          <cell r="F477" t="e">
            <v>#N/A</v>
          </cell>
          <cell r="G477" t="e">
            <v>#N/A</v>
          </cell>
          <cell r="H477">
            <v>0</v>
          </cell>
          <cell r="I477">
            <v>0</v>
          </cell>
          <cell r="K477">
            <v>102678.43000000002</v>
          </cell>
          <cell r="L477">
            <v>102678.43000000002</v>
          </cell>
        </row>
        <row r="478">
          <cell r="C478" t="e">
            <v>#N/A</v>
          </cell>
          <cell r="E478" t="e">
            <v>#N/A</v>
          </cell>
          <cell r="F478" t="e">
            <v>#N/A</v>
          </cell>
          <cell r="G478" t="e">
            <v>#N/A</v>
          </cell>
          <cell r="H478">
            <v>0</v>
          </cell>
          <cell r="I478">
            <v>0</v>
          </cell>
          <cell r="K478">
            <v>102678.43000000002</v>
          </cell>
          <cell r="L478">
            <v>102678.43000000002</v>
          </cell>
        </row>
        <row r="479">
          <cell r="C479" t="e">
            <v>#N/A</v>
          </cell>
          <cell r="E479" t="e">
            <v>#N/A</v>
          </cell>
          <cell r="F479" t="e">
            <v>#N/A</v>
          </cell>
          <cell r="G479" t="e">
            <v>#N/A</v>
          </cell>
          <cell r="H479">
            <v>0</v>
          </cell>
          <cell r="I479">
            <v>0</v>
          </cell>
          <cell r="K479">
            <v>102678.43000000002</v>
          </cell>
          <cell r="L479">
            <v>102678.43000000002</v>
          </cell>
        </row>
        <row r="480">
          <cell r="C480" t="e">
            <v>#N/A</v>
          </cell>
          <cell r="E480" t="e">
            <v>#N/A</v>
          </cell>
          <cell r="F480" t="e">
            <v>#N/A</v>
          </cell>
          <cell r="G480" t="e">
            <v>#N/A</v>
          </cell>
          <cell r="H480">
            <v>0</v>
          </cell>
          <cell r="I480">
            <v>0</v>
          </cell>
          <cell r="K480">
            <v>102678.43000000002</v>
          </cell>
          <cell r="L480">
            <v>102678.43000000002</v>
          </cell>
        </row>
        <row r="481">
          <cell r="C481" t="e">
            <v>#N/A</v>
          </cell>
          <cell r="E481" t="e">
            <v>#N/A</v>
          </cell>
          <cell r="F481" t="e">
            <v>#N/A</v>
          </cell>
          <cell r="G481" t="e">
            <v>#N/A</v>
          </cell>
          <cell r="H481">
            <v>0</v>
          </cell>
          <cell r="I481">
            <v>0</v>
          </cell>
          <cell r="K481">
            <v>102678.43000000002</v>
          </cell>
          <cell r="L481">
            <v>102678.43000000002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_ materiais e veículos"/>
    </sheet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</sheetNames>
    <sheetDataSet>
      <sheetData sheetId="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"/>
      <sheetName val="fc projeto"/>
      <sheetName val="fc acionista"/>
      <sheetName val="dre"/>
      <sheetName val="bp"/>
      <sheetName val="depreciação"/>
      <sheetName val="financ"/>
      <sheetName val="wacc"/>
      <sheetName val="cronograma"/>
      <sheetName val="adm inicial"/>
      <sheetName val="custos oper e receitas"/>
      <sheetName val="Plan1"/>
    </sheetNames>
    <sheetDataSet>
      <sheetData sheetId="0">
        <row r="41">
          <cell r="B41">
            <v>35</v>
          </cell>
        </row>
      </sheetData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_SNIS_INF_2018"/>
      <sheetName val="02_SNIS_IND_2018"/>
      <sheetName val="03_DADOS"/>
      <sheetName val="04_VALORES_IGUA"/>
      <sheetName val="05_POP FINAL"/>
      <sheetName val="06_SEDE_SAA"/>
      <sheetName val="07_SED_SES"/>
      <sheetName val="08_LOCALIDADES_SAA"/>
      <sheetName val="08a_SISTEMAS INTEGRADOS_SAA"/>
      <sheetName val="09_LOCALIDADES_SES"/>
      <sheetName val="10_CAPEX_SAA"/>
      <sheetName val="11_CAPEX_SES"/>
      <sheetName val="12_BASE DO OPEX"/>
      <sheetName val="13_PESSOAL_IGUA"/>
      <sheetName val="14_AGUA_PROD"/>
      <sheetName val="15AGUA_DISTR"/>
      <sheetName val="16_ESG_COLETA"/>
      <sheetName val="17_ESG_TRAT"/>
      <sheetName val="18_ADM"/>
      <sheetName val="19_GESTÃO"/>
      <sheetName val="20_COMERCIAL"/>
      <sheetName val="AJUDA"/>
      <sheetName val="21_OPEX_RESUMO"/>
      <sheetName val="22- QUADROS DA APRES-CAPEX"/>
      <sheetName val="23- QUADRO DA APRES-OPEX"/>
      <sheetName val="TS"/>
      <sheetName val="INPUT - EVTF (2)"/>
      <sheetName val="DADOS DE ENTRADA_1"/>
      <sheetName val="DADOS DE ENTRADA_3"/>
      <sheetName val="DADOS DE ENTRADA_2"/>
      <sheetName val="Transition sheet"/>
      <sheetName val="PROJEÇÃO DE RECEITA"/>
      <sheetName val="HISTOGRAMA DE CONSUMO"/>
      <sheetName val="ESTRUTURA TARIF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1">
          <cell r="E11">
            <v>7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52" displayName="Tabela52" ref="B15:F35" totalsRowShown="0" headerRowDxfId="83" dataDxfId="81" headerRowBorderDxfId="82" tableBorderDxfId="80" totalsRowBorderDxfId="79" headerRowCellStyle="Normal 274" dataCellStyle="Normal 274">
  <autoFilter ref="B15:F35" xr:uid="{00000000-0009-0000-0100-000001000000}"/>
  <tableColumns count="5">
    <tableColumn id="1" xr3:uid="{00000000-0010-0000-0000-000001000000}" name="Faixas de consumo" dataDxfId="78" dataCellStyle="Normal 274"/>
    <tableColumn id="2" xr3:uid="{00000000-0010-0000-0000-000002000000}" name="RES" dataDxfId="77" dataCellStyle="Normal 274"/>
    <tableColumn id="3" xr3:uid="{00000000-0010-0000-0000-000003000000}" name="COM." dataDxfId="76" dataCellStyle="Normal 274"/>
    <tableColumn id="4" xr3:uid="{00000000-0010-0000-0000-000004000000}" name="IND." dataDxfId="75" dataCellStyle="Normal 274"/>
    <tableColumn id="5" xr3:uid="{00000000-0010-0000-0000-000005000000}" name="PUB" dataDxfId="74" dataCellStyle="Normal 274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a5" displayName="Tabela5" ref="D3:H26" totalsRowShown="0" headerRowDxfId="73" dataDxfId="71" headerRowBorderDxfId="72" tableBorderDxfId="70" totalsRowBorderDxfId="69" headerRowCellStyle="Normal 274" dataCellStyle="Normal 274">
  <autoFilter ref="D3:H26" xr:uid="{00000000-0009-0000-0100-000005000000}"/>
  <tableColumns count="5">
    <tableColumn id="1" xr3:uid="{00000000-0010-0000-0100-000001000000}" name="Faixas de consumo" dataDxfId="68" dataCellStyle="Normal 274"/>
    <tableColumn id="2" xr3:uid="{00000000-0010-0000-0100-000002000000}" name="RES" dataDxfId="67" dataCellStyle="Normal 274"/>
    <tableColumn id="3" xr3:uid="{00000000-0010-0000-0100-000003000000}" name="COM." dataDxfId="66" dataCellStyle="Normal 274"/>
    <tableColumn id="4" xr3:uid="{00000000-0010-0000-0100-000004000000}" name="IND." dataDxfId="65" dataCellStyle="Normal 274"/>
    <tableColumn id="5" xr3:uid="{00000000-0010-0000-0100-000005000000}" name="PUB" dataDxfId="64" dataCellStyle="Normal 274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A1:Y1937"/>
  <sheetViews>
    <sheetView showGridLines="0" topLeftCell="Q1" zoomScale="70" zoomScaleNormal="70" workbookViewId="0">
      <pane ySplit="3" topLeftCell="A4" activePane="bottomLeft" state="frozen"/>
      <selection pane="bottomLeft" activeCell="A4" sqref="A4:Y43"/>
    </sheetView>
  </sheetViews>
  <sheetFormatPr defaultColWidth="14.44140625" defaultRowHeight="15" customHeight="1"/>
  <cols>
    <col min="1" max="1" width="24.44140625" style="465" bestFit="1" customWidth="1"/>
    <col min="2" max="2" width="23.44140625" style="386" bestFit="1" customWidth="1"/>
    <col min="3" max="3" width="16.33203125" style="386" bestFit="1" customWidth="1"/>
    <col min="4" max="4" width="21.109375" style="386" bestFit="1" customWidth="1"/>
    <col min="5" max="5" width="23.109375" style="386" customWidth="1"/>
    <col min="6" max="6" width="27.77734375" style="386" bestFit="1" customWidth="1"/>
    <col min="7" max="7" width="8.6640625" style="386" bestFit="1" customWidth="1"/>
    <col min="8" max="8" width="11.6640625" style="386" bestFit="1" customWidth="1"/>
    <col min="9" max="9" width="10.109375" style="386" bestFit="1" customWidth="1"/>
    <col min="10" max="10" width="21.44140625" style="386" bestFit="1" customWidth="1"/>
    <col min="11" max="11" width="12" style="386" bestFit="1" customWidth="1"/>
    <col min="12" max="12" width="39.44140625" style="386" customWidth="1"/>
    <col min="13" max="13" width="35.44140625" style="386" customWidth="1"/>
    <col min="14" max="14" width="33.33203125" style="386" customWidth="1"/>
    <col min="15" max="15" width="25.77734375" style="386" customWidth="1"/>
    <col min="16" max="16" width="29.77734375" style="386" customWidth="1"/>
    <col min="17" max="17" width="27.77734375" style="386" customWidth="1"/>
    <col min="18" max="18" width="25.33203125" style="386" customWidth="1"/>
    <col min="19" max="19" width="34.109375" style="386" customWidth="1"/>
    <col min="20" max="20" width="27" style="386" customWidth="1"/>
    <col min="21" max="21" width="24.109375" style="386" customWidth="1"/>
    <col min="22" max="22" width="26.44140625" style="386" customWidth="1"/>
    <col min="23" max="23" width="29.33203125" style="386" customWidth="1"/>
    <col min="24" max="24" width="25" style="386" customWidth="1"/>
    <col min="25" max="25" width="23.77734375" style="386" customWidth="1"/>
    <col min="26" max="16384" width="14.44140625" style="386"/>
  </cols>
  <sheetData>
    <row r="1" spans="1:25" ht="14.4">
      <c r="A1" s="463"/>
      <c r="B1" s="380"/>
      <c r="C1" s="381"/>
      <c r="D1" s="381"/>
      <c r="E1" s="381"/>
      <c r="F1" s="381"/>
      <c r="G1" s="381"/>
      <c r="H1" s="381"/>
      <c r="I1" s="381"/>
      <c r="J1" s="381"/>
      <c r="K1" s="382"/>
      <c r="L1" s="380"/>
      <c r="M1" s="380"/>
      <c r="N1" s="383"/>
      <c r="O1" s="384"/>
      <c r="P1" s="384"/>
      <c r="Q1" s="383"/>
      <c r="R1" s="383"/>
      <c r="S1" s="385"/>
      <c r="T1" s="380"/>
      <c r="U1" s="380"/>
      <c r="V1" s="380"/>
      <c r="W1" s="380"/>
      <c r="X1" s="380"/>
    </row>
    <row r="2" spans="1:25" ht="65.25" customHeight="1">
      <c r="A2" s="463"/>
      <c r="B2" s="884" t="s">
        <v>515</v>
      </c>
      <c r="C2" s="886" t="s">
        <v>514</v>
      </c>
      <c r="D2" s="886" t="s">
        <v>513</v>
      </c>
      <c r="E2" s="886" t="s">
        <v>512</v>
      </c>
      <c r="F2" s="886" t="s">
        <v>511</v>
      </c>
      <c r="G2" s="387" t="s">
        <v>510</v>
      </c>
      <c r="H2" s="387" t="s">
        <v>509</v>
      </c>
      <c r="I2" s="387" t="s">
        <v>508</v>
      </c>
      <c r="J2" s="387" t="s">
        <v>507</v>
      </c>
      <c r="K2" s="388" t="s">
        <v>506</v>
      </c>
      <c r="L2" s="387" t="s">
        <v>505</v>
      </c>
      <c r="M2" s="389" t="s">
        <v>504</v>
      </c>
      <c r="N2" s="390" t="s">
        <v>503</v>
      </c>
      <c r="O2" s="391" t="s">
        <v>502</v>
      </c>
      <c r="P2" s="391" t="s">
        <v>501</v>
      </c>
      <c r="Q2" s="390" t="s">
        <v>500</v>
      </c>
      <c r="R2" s="390" t="s">
        <v>499</v>
      </c>
      <c r="S2" s="392" t="s">
        <v>498</v>
      </c>
      <c r="T2" s="481" t="s">
        <v>698</v>
      </c>
      <c r="U2" s="481" t="s">
        <v>700</v>
      </c>
      <c r="V2" s="481" t="s">
        <v>701</v>
      </c>
      <c r="W2" s="481" t="s">
        <v>704</v>
      </c>
      <c r="X2" s="481" t="s">
        <v>702</v>
      </c>
      <c r="Y2" s="481" t="s">
        <v>703</v>
      </c>
    </row>
    <row r="3" spans="1:25" ht="27" customHeight="1">
      <c r="A3" s="463"/>
      <c r="B3" s="885"/>
      <c r="C3" s="887"/>
      <c r="D3" s="887"/>
      <c r="E3" s="887"/>
      <c r="F3" s="887"/>
      <c r="G3" s="393" t="s">
        <v>260</v>
      </c>
      <c r="H3" s="393" t="s">
        <v>497</v>
      </c>
      <c r="I3" s="393" t="s">
        <v>496</v>
      </c>
      <c r="J3" s="393" t="s">
        <v>495</v>
      </c>
      <c r="K3" s="394" t="s">
        <v>247</v>
      </c>
      <c r="L3" s="393" t="s">
        <v>226</v>
      </c>
      <c r="M3" s="395" t="s">
        <v>226</v>
      </c>
      <c r="N3" s="396" t="s">
        <v>172</v>
      </c>
      <c r="O3" s="397" t="s">
        <v>226</v>
      </c>
      <c r="P3" s="397" t="s">
        <v>226</v>
      </c>
      <c r="Q3" s="396" t="s">
        <v>172</v>
      </c>
      <c r="R3" s="396" t="s">
        <v>172</v>
      </c>
      <c r="S3" s="398" t="s">
        <v>172</v>
      </c>
      <c r="T3" s="489"/>
      <c r="U3" s="489" t="s">
        <v>699</v>
      </c>
      <c r="V3" s="489"/>
      <c r="W3" s="489"/>
      <c r="X3" s="489"/>
      <c r="Y3" s="491"/>
    </row>
    <row r="4" spans="1:25" ht="14.55" customHeight="1">
      <c r="A4" s="892"/>
      <c r="B4" s="399"/>
      <c r="C4" s="399"/>
      <c r="D4" s="399"/>
      <c r="E4" s="399"/>
      <c r="F4" s="399"/>
      <c r="G4" s="399"/>
      <c r="H4" s="399"/>
      <c r="I4" s="399"/>
      <c r="J4" s="399"/>
      <c r="K4" s="400"/>
      <c r="L4" s="401"/>
      <c r="M4" s="401"/>
      <c r="N4" s="402"/>
      <c r="O4" s="401"/>
      <c r="P4" s="401"/>
      <c r="Q4" s="402"/>
      <c r="R4" s="402"/>
      <c r="S4" s="402"/>
      <c r="T4" s="485"/>
      <c r="U4" s="486"/>
      <c r="V4" s="487"/>
      <c r="W4" s="486"/>
      <c r="X4" s="486"/>
      <c r="Y4" s="488"/>
    </row>
    <row r="5" spans="1:25" ht="15" customHeight="1">
      <c r="A5" s="892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1"/>
      <c r="M5" s="401"/>
      <c r="N5" s="402"/>
      <c r="O5" s="401"/>
      <c r="P5" s="401"/>
      <c r="Q5" s="402"/>
      <c r="R5" s="402"/>
      <c r="S5" s="402"/>
      <c r="T5" s="485"/>
      <c r="U5" s="486"/>
      <c r="V5" s="487"/>
      <c r="W5" s="486"/>
      <c r="X5" s="486"/>
      <c r="Y5" s="488"/>
    </row>
    <row r="6" spans="1:25" ht="15.75" customHeight="1">
      <c r="A6" s="464"/>
      <c r="B6" s="403"/>
      <c r="C6" s="403"/>
      <c r="D6" s="403"/>
      <c r="E6" s="403"/>
      <c r="F6" s="403"/>
      <c r="G6" s="403"/>
      <c r="H6" s="403"/>
      <c r="I6" s="403"/>
      <c r="J6" s="403"/>
      <c r="K6" s="404"/>
      <c r="L6" s="405"/>
      <c r="M6" s="405"/>
      <c r="N6" s="406"/>
      <c r="O6" s="405"/>
      <c r="P6" s="405"/>
      <c r="Q6" s="406"/>
      <c r="R6" s="406"/>
      <c r="S6" s="479"/>
      <c r="T6" s="492"/>
      <c r="U6" s="486"/>
      <c r="V6" s="487"/>
      <c r="W6" s="486"/>
      <c r="X6" s="486"/>
      <c r="Y6" s="488"/>
    </row>
    <row r="7" spans="1:25" ht="15.6">
      <c r="A7" s="410"/>
      <c r="B7" s="399"/>
      <c r="C7" s="399"/>
      <c r="D7" s="399"/>
      <c r="E7" s="399"/>
      <c r="F7" s="407"/>
      <c r="G7" s="407"/>
      <c r="H7" s="408"/>
      <c r="I7" s="399"/>
      <c r="J7" s="399"/>
      <c r="K7" s="400"/>
      <c r="L7" s="401"/>
      <c r="M7" s="401"/>
      <c r="N7" s="402"/>
      <c r="O7" s="401"/>
      <c r="P7" s="401"/>
      <c r="Q7" s="402"/>
      <c r="R7" s="402"/>
      <c r="S7" s="402"/>
      <c r="T7" s="485"/>
      <c r="U7" s="486"/>
      <c r="V7" s="487"/>
      <c r="W7" s="486"/>
      <c r="X7" s="486"/>
      <c r="Y7" s="488"/>
    </row>
    <row r="8" spans="1:25" ht="15.75" customHeight="1">
      <c r="A8" s="464"/>
      <c r="B8" s="403"/>
      <c r="C8" s="403"/>
      <c r="D8" s="403"/>
      <c r="E8" s="403"/>
      <c r="F8" s="403"/>
      <c r="G8" s="403"/>
      <c r="H8" s="403"/>
      <c r="I8" s="403"/>
      <c r="J8" s="403"/>
      <c r="K8" s="404"/>
      <c r="L8" s="405"/>
      <c r="M8" s="405"/>
      <c r="N8" s="406"/>
      <c r="O8" s="405"/>
      <c r="P8" s="405"/>
      <c r="Q8" s="406"/>
      <c r="R8" s="406"/>
      <c r="S8" s="479"/>
      <c r="T8" s="492"/>
      <c r="U8" s="486"/>
      <c r="V8" s="487"/>
      <c r="W8" s="486"/>
      <c r="X8" s="486"/>
      <c r="Y8" s="488"/>
    </row>
    <row r="9" spans="1:25" ht="15.6">
      <c r="A9" s="409"/>
      <c r="B9" s="399"/>
      <c r="C9" s="399"/>
      <c r="D9" s="399"/>
      <c r="E9" s="399"/>
      <c r="F9" s="399"/>
      <c r="G9" s="399"/>
      <c r="H9" s="399"/>
      <c r="I9" s="399"/>
      <c r="J9" s="399"/>
      <c r="K9" s="400"/>
      <c r="L9" s="401"/>
      <c r="M9" s="401"/>
      <c r="N9" s="402"/>
      <c r="O9" s="401"/>
      <c r="P9" s="401"/>
      <c r="Q9" s="402"/>
      <c r="R9" s="402"/>
      <c r="S9" s="402"/>
      <c r="T9" s="485"/>
      <c r="U9" s="486"/>
      <c r="V9" s="487"/>
      <c r="W9" s="486"/>
      <c r="X9" s="486"/>
      <c r="Y9" s="488"/>
    </row>
    <row r="10" spans="1:25" ht="15.75" customHeight="1">
      <c r="A10" s="464"/>
      <c r="B10" s="403"/>
      <c r="C10" s="403"/>
      <c r="D10" s="403"/>
      <c r="E10" s="403"/>
      <c r="F10" s="403"/>
      <c r="G10" s="403"/>
      <c r="H10" s="403"/>
      <c r="I10" s="403"/>
      <c r="J10" s="403"/>
      <c r="K10" s="404"/>
      <c r="L10" s="405"/>
      <c r="M10" s="405"/>
      <c r="N10" s="406"/>
      <c r="O10" s="405"/>
      <c r="P10" s="405"/>
      <c r="Q10" s="406"/>
      <c r="R10" s="406"/>
      <c r="S10" s="479"/>
      <c r="T10" s="492"/>
      <c r="U10" s="486"/>
      <c r="V10" s="487"/>
      <c r="W10" s="486"/>
      <c r="X10" s="486"/>
      <c r="Y10" s="488"/>
    </row>
    <row r="11" spans="1:25" ht="15.6">
      <c r="A11" s="410"/>
      <c r="B11" s="399"/>
      <c r="C11" s="399"/>
      <c r="D11" s="399"/>
      <c r="E11" s="399"/>
      <c r="F11" s="399"/>
      <c r="G11" s="407"/>
      <c r="H11" s="399"/>
      <c r="I11" s="399"/>
      <c r="J11" s="399"/>
      <c r="K11" s="400"/>
      <c r="L11" s="401"/>
      <c r="M11" s="401"/>
      <c r="N11" s="402"/>
      <c r="O11" s="401"/>
      <c r="P11" s="401"/>
      <c r="Q11" s="402"/>
      <c r="R11" s="402"/>
      <c r="S11" s="402"/>
      <c r="T11" s="485"/>
      <c r="U11" s="486"/>
      <c r="V11" s="487"/>
      <c r="W11" s="486"/>
      <c r="X11" s="486"/>
      <c r="Y11" s="488"/>
    </row>
    <row r="12" spans="1:25" ht="15.75" customHeight="1">
      <c r="A12" s="464"/>
      <c r="B12" s="403"/>
      <c r="C12" s="403"/>
      <c r="D12" s="403"/>
      <c r="E12" s="403"/>
      <c r="F12" s="403"/>
      <c r="G12" s="403"/>
      <c r="H12" s="403"/>
      <c r="I12" s="403"/>
      <c r="J12" s="403"/>
      <c r="K12" s="404"/>
      <c r="L12" s="405"/>
      <c r="M12" s="405"/>
      <c r="N12" s="406"/>
      <c r="O12" s="405"/>
      <c r="P12" s="405"/>
      <c r="Q12" s="406"/>
      <c r="R12" s="406"/>
      <c r="S12" s="479"/>
      <c r="T12" s="492"/>
      <c r="U12" s="486"/>
      <c r="V12" s="487"/>
      <c r="W12" s="486"/>
      <c r="X12" s="486"/>
      <c r="Y12" s="488"/>
    </row>
    <row r="13" spans="1:25" ht="14.4">
      <c r="A13" s="891"/>
      <c r="B13" s="399"/>
      <c r="C13" s="399"/>
      <c r="D13" s="399"/>
      <c r="E13" s="399"/>
      <c r="F13" s="399"/>
      <c r="G13" s="399"/>
      <c r="H13" s="399"/>
      <c r="I13" s="399"/>
      <c r="J13" s="399"/>
      <c r="K13" s="400"/>
      <c r="L13" s="477"/>
      <c r="M13" s="477"/>
      <c r="N13" s="402"/>
      <c r="O13" s="401"/>
      <c r="P13" s="401"/>
      <c r="Q13" s="402"/>
      <c r="R13" s="402"/>
      <c r="S13" s="402"/>
      <c r="T13" s="485"/>
      <c r="U13" s="486"/>
      <c r="V13" s="487"/>
      <c r="W13" s="486"/>
      <c r="X13" s="486"/>
      <c r="Y13" s="488"/>
    </row>
    <row r="14" spans="1:25" ht="15.45" customHeight="1">
      <c r="A14" s="891"/>
      <c r="B14" s="399"/>
      <c r="C14" s="399"/>
      <c r="D14" s="399"/>
      <c r="E14" s="399"/>
      <c r="F14" s="399"/>
      <c r="G14" s="399"/>
      <c r="H14" s="399"/>
      <c r="I14" s="399"/>
      <c r="J14" s="399"/>
      <c r="K14" s="400"/>
      <c r="L14" s="477"/>
      <c r="M14" s="477"/>
      <c r="N14" s="402"/>
      <c r="O14" s="401"/>
      <c r="P14" s="401"/>
      <c r="Q14" s="402"/>
      <c r="R14" s="402"/>
      <c r="S14" s="402"/>
      <c r="T14" s="485"/>
      <c r="U14" s="486"/>
      <c r="V14" s="487"/>
      <c r="W14" s="486"/>
      <c r="X14" s="486"/>
      <c r="Y14" s="488"/>
    </row>
    <row r="15" spans="1:25" ht="15.45" customHeight="1">
      <c r="A15" s="891"/>
      <c r="B15" s="399"/>
      <c r="C15" s="399"/>
      <c r="D15" s="399"/>
      <c r="E15" s="399"/>
      <c r="F15" s="399"/>
      <c r="G15" s="399"/>
      <c r="H15" s="399"/>
      <c r="I15" s="399"/>
      <c r="J15" s="399"/>
      <c r="K15" s="400"/>
      <c r="L15" s="477"/>
      <c r="M15" s="477"/>
      <c r="N15" s="402"/>
      <c r="O15" s="401"/>
      <c r="P15" s="401"/>
      <c r="Q15" s="402"/>
      <c r="R15" s="402"/>
      <c r="S15" s="402"/>
      <c r="T15" s="485"/>
      <c r="U15" s="486"/>
      <c r="V15" s="487"/>
      <c r="W15" s="486"/>
      <c r="X15" s="486"/>
      <c r="Y15" s="488"/>
    </row>
    <row r="16" spans="1:25" ht="15.45" customHeight="1">
      <c r="A16" s="891"/>
      <c r="B16" s="399"/>
      <c r="C16" s="399"/>
      <c r="D16" s="399"/>
      <c r="E16" s="399"/>
      <c r="F16" s="399"/>
      <c r="G16" s="399"/>
      <c r="H16" s="399"/>
      <c r="I16" s="399"/>
      <c r="J16" s="399"/>
      <c r="K16" s="400"/>
      <c r="L16" s="477"/>
      <c r="M16" s="477"/>
      <c r="N16" s="402"/>
      <c r="O16" s="401"/>
      <c r="P16" s="401"/>
      <c r="Q16" s="402"/>
      <c r="R16" s="402"/>
      <c r="S16" s="402"/>
      <c r="T16" s="485"/>
      <c r="U16" s="486"/>
      <c r="V16" s="487"/>
      <c r="W16" s="486"/>
      <c r="X16" s="486"/>
      <c r="Y16" s="488"/>
    </row>
    <row r="17" spans="1:25" ht="15.75" customHeight="1">
      <c r="A17" s="464"/>
      <c r="B17" s="403"/>
      <c r="C17" s="403"/>
      <c r="D17" s="403"/>
      <c r="E17" s="403"/>
      <c r="F17" s="403"/>
      <c r="G17" s="403"/>
      <c r="H17" s="403"/>
      <c r="I17" s="403"/>
      <c r="J17" s="403"/>
      <c r="K17" s="404"/>
      <c r="L17" s="405"/>
      <c r="M17" s="405"/>
      <c r="N17" s="406"/>
      <c r="O17" s="405"/>
      <c r="P17" s="405"/>
      <c r="Q17" s="406"/>
      <c r="R17" s="406"/>
      <c r="S17" s="479"/>
      <c r="T17" s="492"/>
      <c r="U17" s="486"/>
      <c r="V17" s="487"/>
      <c r="W17" s="486"/>
      <c r="X17" s="486"/>
      <c r="Y17" s="488"/>
    </row>
    <row r="18" spans="1:25" ht="15.75" customHeight="1">
      <c r="A18" s="891"/>
      <c r="B18" s="399"/>
      <c r="C18" s="399"/>
      <c r="D18" s="399"/>
      <c r="E18" s="399"/>
      <c r="F18" s="399"/>
      <c r="G18" s="399"/>
      <c r="H18" s="399"/>
      <c r="I18" s="399"/>
      <c r="J18" s="399"/>
      <c r="K18" s="400"/>
      <c r="L18" s="401"/>
      <c r="M18" s="401"/>
      <c r="N18" s="402"/>
      <c r="O18" s="401"/>
      <c r="P18" s="401"/>
      <c r="Q18" s="402"/>
      <c r="R18" s="402"/>
      <c r="S18" s="402"/>
      <c r="T18" s="485"/>
      <c r="U18" s="486"/>
      <c r="V18" s="487"/>
      <c r="W18" s="486"/>
      <c r="X18" s="486"/>
      <c r="Y18" s="488"/>
    </row>
    <row r="19" spans="1:25" ht="15.75" customHeight="1">
      <c r="A19" s="891"/>
      <c r="B19" s="399"/>
      <c r="C19" s="399"/>
      <c r="D19" s="399"/>
      <c r="E19" s="399"/>
      <c r="F19" s="399"/>
      <c r="G19" s="399"/>
      <c r="H19" s="399"/>
      <c r="I19" s="399"/>
      <c r="J19" s="399"/>
      <c r="K19" s="400"/>
      <c r="L19" s="401"/>
      <c r="M19" s="401"/>
      <c r="N19" s="402"/>
      <c r="O19" s="401"/>
      <c r="P19" s="401"/>
      <c r="Q19" s="402"/>
      <c r="R19" s="402"/>
      <c r="S19" s="402"/>
      <c r="T19" s="485"/>
      <c r="U19" s="486"/>
      <c r="V19" s="487"/>
      <c r="W19" s="486"/>
      <c r="X19" s="486"/>
      <c r="Y19" s="488"/>
    </row>
    <row r="20" spans="1:25" ht="15.75" customHeight="1">
      <c r="A20" s="891"/>
      <c r="B20" s="399"/>
      <c r="C20" s="399"/>
      <c r="D20" s="399"/>
      <c r="E20" s="399"/>
      <c r="F20" s="399"/>
      <c r="G20" s="399"/>
      <c r="H20" s="399"/>
      <c r="I20" s="399"/>
      <c r="J20" s="399"/>
      <c r="K20" s="400"/>
      <c r="L20" s="401"/>
      <c r="M20" s="401"/>
      <c r="N20" s="402"/>
      <c r="O20" s="401"/>
      <c r="P20" s="401"/>
      <c r="Q20" s="402"/>
      <c r="R20" s="402"/>
      <c r="S20" s="402"/>
      <c r="T20" s="485"/>
      <c r="U20" s="486"/>
      <c r="V20" s="487"/>
      <c r="W20" s="486"/>
      <c r="X20" s="486"/>
      <c r="Y20" s="488"/>
    </row>
    <row r="21" spans="1:25" ht="15.75" customHeight="1">
      <c r="A21" s="891"/>
      <c r="B21" s="399"/>
      <c r="C21" s="399"/>
      <c r="D21" s="399"/>
      <c r="E21" s="399"/>
      <c r="F21" s="399"/>
      <c r="G21" s="399"/>
      <c r="H21" s="399"/>
      <c r="I21" s="399"/>
      <c r="J21" s="399"/>
      <c r="K21" s="400"/>
      <c r="L21" s="401"/>
      <c r="M21" s="401"/>
      <c r="N21" s="402"/>
      <c r="O21" s="401"/>
      <c r="P21" s="401"/>
      <c r="Q21" s="402"/>
      <c r="R21" s="402"/>
      <c r="S21" s="402"/>
      <c r="T21" s="485"/>
      <c r="U21" s="486"/>
      <c r="V21" s="487"/>
      <c r="W21" s="486"/>
      <c r="X21" s="486"/>
      <c r="Y21" s="488"/>
    </row>
    <row r="22" spans="1:25" ht="15.75" customHeight="1">
      <c r="A22" s="467"/>
      <c r="B22" s="399"/>
      <c r="C22" s="399"/>
      <c r="D22" s="399"/>
      <c r="E22" s="399"/>
      <c r="F22" s="399"/>
      <c r="G22" s="399"/>
      <c r="H22" s="399"/>
      <c r="I22" s="399"/>
      <c r="J22" s="399"/>
      <c r="K22" s="400"/>
      <c r="L22" s="401"/>
      <c r="M22" s="401"/>
      <c r="N22" s="402"/>
      <c r="O22" s="401"/>
      <c r="P22" s="401"/>
      <c r="Q22" s="402"/>
      <c r="R22" s="402"/>
      <c r="S22" s="402"/>
      <c r="T22" s="485"/>
      <c r="U22" s="486"/>
      <c r="V22" s="487"/>
      <c r="W22" s="486"/>
      <c r="X22" s="486"/>
      <c r="Y22" s="488"/>
    </row>
    <row r="23" spans="1:25" ht="15.75" customHeight="1">
      <c r="A23" s="464"/>
      <c r="B23" s="403"/>
      <c r="C23" s="403"/>
      <c r="D23" s="403"/>
      <c r="E23" s="403"/>
      <c r="F23" s="403"/>
      <c r="G23" s="403"/>
      <c r="H23" s="403"/>
      <c r="I23" s="403"/>
      <c r="J23" s="403"/>
      <c r="K23" s="404"/>
      <c r="L23" s="405"/>
      <c r="M23" s="405"/>
      <c r="N23" s="406"/>
      <c r="O23" s="405"/>
      <c r="P23" s="405"/>
      <c r="Q23" s="406"/>
      <c r="R23" s="406"/>
      <c r="S23" s="479"/>
      <c r="T23" s="492"/>
      <c r="U23" s="486"/>
      <c r="V23" s="487"/>
      <c r="W23" s="486"/>
      <c r="X23" s="486"/>
      <c r="Y23" s="488"/>
    </row>
    <row r="24" spans="1:25" ht="15" customHeight="1">
      <c r="A24" s="891"/>
      <c r="B24" s="399"/>
      <c r="C24" s="399"/>
      <c r="D24" s="399"/>
      <c r="E24" s="399"/>
      <c r="F24" s="399"/>
      <c r="G24" s="399"/>
      <c r="H24" s="407"/>
      <c r="I24" s="399"/>
      <c r="J24" s="399"/>
      <c r="K24" s="400"/>
      <c r="L24" s="401"/>
      <c r="M24" s="401"/>
      <c r="N24" s="402"/>
      <c r="O24" s="401"/>
      <c r="P24" s="401"/>
      <c r="Q24" s="402"/>
      <c r="R24" s="402"/>
      <c r="S24" s="402"/>
      <c r="T24" s="485"/>
      <c r="U24" s="486"/>
      <c r="V24" s="487"/>
      <c r="W24" s="486"/>
      <c r="X24" s="486"/>
      <c r="Y24" s="488"/>
    </row>
    <row r="25" spans="1:25" ht="15.45" customHeight="1">
      <c r="A25" s="891"/>
      <c r="B25" s="399"/>
      <c r="C25" s="399"/>
      <c r="D25" s="399"/>
      <c r="E25" s="399"/>
      <c r="F25" s="399"/>
      <c r="G25" s="399"/>
      <c r="H25" s="407"/>
      <c r="I25" s="399"/>
      <c r="J25" s="399"/>
      <c r="K25" s="400"/>
      <c r="L25" s="401"/>
      <c r="M25" s="401"/>
      <c r="N25" s="402"/>
      <c r="O25" s="401"/>
      <c r="P25" s="401"/>
      <c r="Q25" s="402"/>
      <c r="R25" s="402"/>
      <c r="S25" s="402"/>
      <c r="T25" s="485"/>
      <c r="U25" s="486"/>
      <c r="V25" s="487"/>
      <c r="W25" s="486"/>
      <c r="X25" s="486"/>
      <c r="Y25" s="488"/>
    </row>
    <row r="26" spans="1:25" ht="15.45" customHeight="1">
      <c r="A26" s="891"/>
      <c r="B26" s="399"/>
      <c r="C26" s="399"/>
      <c r="D26" s="399"/>
      <c r="E26" s="399"/>
      <c r="F26" s="399"/>
      <c r="G26" s="399"/>
      <c r="H26" s="407"/>
      <c r="I26" s="399"/>
      <c r="J26" s="399"/>
      <c r="K26" s="400"/>
      <c r="L26" s="401"/>
      <c r="M26" s="401"/>
      <c r="N26" s="402"/>
      <c r="O26" s="401"/>
      <c r="P26" s="401"/>
      <c r="Q26" s="402"/>
      <c r="R26" s="402"/>
      <c r="S26" s="402"/>
      <c r="T26" s="485"/>
      <c r="U26" s="486"/>
      <c r="V26" s="487"/>
      <c r="W26" s="486"/>
      <c r="X26" s="486"/>
      <c r="Y26" s="488"/>
    </row>
    <row r="27" spans="1:25" ht="15.45" customHeight="1">
      <c r="A27" s="891"/>
      <c r="B27" s="399"/>
      <c r="C27" s="399"/>
      <c r="D27" s="399"/>
      <c r="E27" s="399"/>
      <c r="F27" s="399"/>
      <c r="G27" s="399"/>
      <c r="H27" s="407"/>
      <c r="I27" s="399"/>
      <c r="J27" s="399"/>
      <c r="K27" s="400"/>
      <c r="L27" s="401"/>
      <c r="M27" s="401"/>
      <c r="N27" s="402"/>
      <c r="O27" s="401"/>
      <c r="P27" s="401"/>
      <c r="Q27" s="402"/>
      <c r="R27" s="402"/>
      <c r="S27" s="402"/>
      <c r="T27" s="485"/>
      <c r="U27" s="486"/>
      <c r="V27" s="487"/>
      <c r="W27" s="486"/>
      <c r="X27" s="486"/>
      <c r="Y27" s="488"/>
    </row>
    <row r="28" spans="1:25" ht="15.75" customHeight="1">
      <c r="A28" s="464"/>
      <c r="B28" s="403"/>
      <c r="C28" s="403"/>
      <c r="D28" s="403"/>
      <c r="E28" s="403"/>
      <c r="F28" s="403"/>
      <c r="G28" s="403"/>
      <c r="H28" s="403"/>
      <c r="I28" s="403"/>
      <c r="J28" s="403"/>
      <c r="K28" s="404"/>
      <c r="L28" s="405"/>
      <c r="M28" s="405"/>
      <c r="N28" s="406"/>
      <c r="O28" s="405"/>
      <c r="P28" s="405"/>
      <c r="Q28" s="406"/>
      <c r="R28" s="406"/>
      <c r="S28" s="479"/>
      <c r="T28" s="492"/>
      <c r="U28" s="486"/>
      <c r="V28" s="487"/>
      <c r="W28" s="486"/>
      <c r="X28" s="486"/>
      <c r="Y28" s="488"/>
    </row>
    <row r="29" spans="1:25" ht="15.75" customHeight="1">
      <c r="A29" s="891"/>
      <c r="B29" s="399"/>
      <c r="C29" s="399"/>
      <c r="D29" s="399"/>
      <c r="E29" s="399"/>
      <c r="F29" s="399"/>
      <c r="G29" s="399"/>
      <c r="H29" s="399"/>
      <c r="I29" s="399"/>
      <c r="J29" s="399"/>
      <c r="K29" s="400"/>
      <c r="L29" s="401"/>
      <c r="M29" s="401"/>
      <c r="N29" s="402"/>
      <c r="O29" s="401"/>
      <c r="P29" s="401"/>
      <c r="Q29" s="402"/>
      <c r="R29" s="402"/>
      <c r="S29" s="402"/>
      <c r="T29" s="485"/>
      <c r="U29" s="486"/>
      <c r="V29" s="487"/>
      <c r="W29" s="486"/>
      <c r="X29" s="486"/>
      <c r="Y29" s="488"/>
    </row>
    <row r="30" spans="1:25" ht="15.75" customHeight="1">
      <c r="A30" s="891"/>
      <c r="B30" s="399"/>
      <c r="C30" s="399"/>
      <c r="D30" s="399"/>
      <c r="E30" s="399"/>
      <c r="F30" s="399"/>
      <c r="G30" s="399"/>
      <c r="H30" s="399"/>
      <c r="I30" s="399"/>
      <c r="J30" s="399"/>
      <c r="K30" s="400"/>
      <c r="L30" s="401"/>
      <c r="M30" s="401"/>
      <c r="N30" s="402"/>
      <c r="O30" s="401"/>
      <c r="P30" s="401"/>
      <c r="Q30" s="402"/>
      <c r="R30" s="402"/>
      <c r="S30" s="402"/>
      <c r="T30" s="485"/>
      <c r="U30" s="486"/>
      <c r="V30" s="487"/>
      <c r="W30" s="486"/>
      <c r="X30" s="486"/>
      <c r="Y30" s="488"/>
    </row>
    <row r="31" spans="1:25" ht="15.75" customHeight="1">
      <c r="A31" s="891"/>
      <c r="B31" s="399"/>
      <c r="C31" s="399"/>
      <c r="D31" s="399"/>
      <c r="E31" s="399"/>
      <c r="F31" s="399"/>
      <c r="G31" s="399"/>
      <c r="H31" s="399"/>
      <c r="I31" s="399"/>
      <c r="J31" s="399"/>
      <c r="K31" s="400"/>
      <c r="L31" s="401"/>
      <c r="M31" s="401"/>
      <c r="N31" s="402"/>
      <c r="O31" s="401"/>
      <c r="P31" s="401"/>
      <c r="Q31" s="402"/>
      <c r="R31" s="402"/>
      <c r="S31" s="402"/>
      <c r="T31" s="485"/>
      <c r="U31" s="486"/>
      <c r="V31" s="487"/>
      <c r="W31" s="486"/>
      <c r="X31" s="486"/>
      <c r="Y31" s="488"/>
    </row>
    <row r="32" spans="1:25" ht="15.75" customHeight="1">
      <c r="A32" s="891"/>
      <c r="B32" s="399"/>
      <c r="C32" s="399"/>
      <c r="D32" s="399"/>
      <c r="E32" s="399"/>
      <c r="F32" s="399"/>
      <c r="G32" s="399"/>
      <c r="H32" s="399"/>
      <c r="I32" s="399"/>
      <c r="J32" s="399"/>
      <c r="K32" s="400"/>
      <c r="L32" s="401"/>
      <c r="M32" s="401"/>
      <c r="N32" s="402"/>
      <c r="O32" s="401"/>
      <c r="P32" s="401"/>
      <c r="Q32" s="402"/>
      <c r="R32" s="402"/>
      <c r="S32" s="402"/>
      <c r="T32" s="485"/>
      <c r="U32" s="486"/>
      <c r="V32" s="487"/>
      <c r="W32" s="486"/>
      <c r="X32" s="486"/>
      <c r="Y32" s="488"/>
    </row>
    <row r="33" spans="1:25" ht="15.75" customHeight="1">
      <c r="A33" s="463"/>
      <c r="C33" s="381"/>
      <c r="D33" s="381"/>
      <c r="E33" s="381"/>
      <c r="F33" s="381"/>
      <c r="G33" s="381"/>
      <c r="H33" s="381"/>
      <c r="I33" s="381"/>
      <c r="J33" s="381"/>
      <c r="K33" s="382"/>
      <c r="L33" s="384"/>
      <c r="M33" s="384"/>
      <c r="N33" s="383"/>
      <c r="O33" s="384"/>
      <c r="P33" s="384"/>
      <c r="Q33" s="383"/>
      <c r="R33" s="383"/>
      <c r="S33" s="478"/>
      <c r="T33" s="493"/>
      <c r="U33" s="486"/>
      <c r="V33" s="487"/>
      <c r="W33" s="486"/>
      <c r="X33" s="486"/>
      <c r="Y33" s="488"/>
    </row>
    <row r="34" spans="1:25" ht="15.75" customHeight="1">
      <c r="A34" s="483"/>
      <c r="B34" s="484"/>
      <c r="C34" s="381"/>
      <c r="D34" s="381"/>
      <c r="E34" s="381"/>
      <c r="F34" s="381"/>
      <c r="G34" s="381"/>
      <c r="H34" s="381"/>
      <c r="I34" s="381"/>
      <c r="J34" s="381"/>
      <c r="K34" s="382"/>
      <c r="L34" s="384"/>
      <c r="M34" s="384"/>
      <c r="N34" s="402"/>
      <c r="O34" s="384"/>
      <c r="P34" s="384"/>
      <c r="Q34" s="402"/>
      <c r="R34" s="402"/>
      <c r="S34" s="402"/>
      <c r="T34" s="485"/>
      <c r="U34" s="486"/>
      <c r="V34" s="487"/>
      <c r="W34" s="486"/>
      <c r="X34" s="486"/>
      <c r="Y34" s="488"/>
    </row>
    <row r="35" spans="1:25" ht="15.75" customHeight="1">
      <c r="A35" s="463"/>
      <c r="C35" s="381"/>
      <c r="D35" s="381"/>
      <c r="E35" s="381"/>
      <c r="F35" s="381"/>
      <c r="G35" s="381"/>
      <c r="H35" s="381"/>
      <c r="I35" s="381"/>
      <c r="J35" s="381"/>
      <c r="K35" s="382"/>
      <c r="L35" s="384"/>
      <c r="M35" s="384"/>
      <c r="N35" s="383"/>
      <c r="O35" s="384"/>
      <c r="P35" s="384"/>
      <c r="Q35" s="383"/>
      <c r="R35" s="383"/>
      <c r="S35" s="385"/>
      <c r="T35" s="489"/>
      <c r="U35" s="486"/>
      <c r="V35" s="487"/>
      <c r="W35" s="486"/>
      <c r="X35" s="486"/>
      <c r="Y35" s="488"/>
    </row>
    <row r="36" spans="1:25" ht="15.75" customHeight="1">
      <c r="A36" s="463"/>
      <c r="C36" s="381"/>
      <c r="D36" s="381"/>
      <c r="E36" s="381"/>
      <c r="F36" s="381"/>
      <c r="G36" s="381"/>
      <c r="H36" s="381"/>
      <c r="I36" s="381"/>
      <c r="J36" s="381"/>
      <c r="K36" s="382"/>
      <c r="L36" s="384"/>
      <c r="M36" s="384"/>
      <c r="N36" s="383"/>
      <c r="O36" s="384"/>
      <c r="P36" s="384"/>
      <c r="Q36" s="383"/>
      <c r="R36" s="383"/>
      <c r="S36" s="385"/>
      <c r="T36" s="490"/>
      <c r="U36" s="486"/>
      <c r="V36" s="487"/>
      <c r="W36" s="486"/>
      <c r="X36" s="486"/>
      <c r="Y36" s="488"/>
    </row>
    <row r="37" spans="1:25" ht="15.75" customHeight="1">
      <c r="A37" s="463"/>
      <c r="C37" s="381"/>
      <c r="D37" s="381"/>
      <c r="E37" s="381"/>
      <c r="F37" s="381"/>
      <c r="G37" s="381"/>
      <c r="H37" s="381"/>
      <c r="I37" s="381"/>
      <c r="J37" s="381"/>
      <c r="K37" s="382"/>
      <c r="L37" s="384"/>
      <c r="M37" s="384"/>
      <c r="N37" s="383"/>
      <c r="O37" s="384"/>
      <c r="P37" s="384"/>
      <c r="Q37" s="383"/>
      <c r="R37" s="383"/>
      <c r="S37" s="385"/>
      <c r="T37" s="380"/>
      <c r="U37" s="380"/>
      <c r="V37" s="380"/>
      <c r="W37" s="380"/>
      <c r="X37" s="380"/>
    </row>
    <row r="38" spans="1:25" ht="15.75" customHeight="1">
      <c r="A38" s="463"/>
      <c r="C38" s="381"/>
      <c r="D38" s="381"/>
      <c r="E38" s="381"/>
      <c r="F38" s="381"/>
      <c r="G38" s="381"/>
      <c r="H38" s="381"/>
      <c r="I38" s="381"/>
      <c r="J38" s="381"/>
      <c r="K38" s="382"/>
      <c r="L38" s="384"/>
      <c r="M38" s="384"/>
      <c r="N38" s="383"/>
      <c r="O38" s="384"/>
      <c r="P38" s="384"/>
      <c r="Q38" s="383"/>
      <c r="R38" s="383"/>
      <c r="S38" s="385"/>
      <c r="T38" s="380"/>
      <c r="U38" s="380"/>
      <c r="V38" s="380"/>
      <c r="W38" s="380"/>
      <c r="X38" s="380"/>
    </row>
    <row r="39" spans="1:25" ht="15.75" customHeight="1">
      <c r="A39" s="463"/>
      <c r="C39" s="381"/>
      <c r="D39" s="381"/>
      <c r="E39" s="381"/>
      <c r="F39" s="381"/>
      <c r="G39" s="381"/>
      <c r="H39" s="381"/>
      <c r="I39" s="381"/>
      <c r="J39" s="381"/>
      <c r="K39" s="382"/>
      <c r="L39" s="384"/>
      <c r="M39" s="384"/>
      <c r="N39" s="383"/>
      <c r="O39" s="384"/>
      <c r="P39" s="384"/>
      <c r="Q39" s="383"/>
      <c r="R39" s="383"/>
      <c r="S39" s="385"/>
      <c r="T39" s="380"/>
      <c r="U39" s="380"/>
      <c r="V39" s="380"/>
      <c r="W39" s="380"/>
      <c r="X39" s="380"/>
    </row>
    <row r="40" spans="1:25" ht="15.75" customHeight="1">
      <c r="A40" s="463"/>
      <c r="C40" s="381"/>
      <c r="D40" s="381"/>
      <c r="E40" s="381"/>
      <c r="F40" s="381"/>
      <c r="G40" s="381"/>
      <c r="H40" s="381"/>
      <c r="I40" s="381"/>
      <c r="J40" s="381"/>
      <c r="K40" s="382"/>
      <c r="L40" s="384"/>
      <c r="M40" s="384"/>
      <c r="N40" s="383"/>
      <c r="O40" s="384"/>
      <c r="P40" s="384"/>
      <c r="Q40" s="383"/>
      <c r="R40" s="383"/>
      <c r="S40" s="383"/>
      <c r="T40" s="380"/>
      <c r="U40" s="380"/>
      <c r="V40" s="380"/>
      <c r="W40" s="380"/>
      <c r="X40" s="380"/>
    </row>
    <row r="41" spans="1:25" ht="15.75" customHeight="1">
      <c r="A41" s="463"/>
      <c r="C41" s="381"/>
      <c r="D41" s="381"/>
      <c r="E41" s="381"/>
      <c r="F41" s="381"/>
      <c r="G41" s="381"/>
      <c r="H41" s="381"/>
      <c r="I41" s="381"/>
      <c r="J41" s="381"/>
      <c r="K41" s="382"/>
      <c r="L41" s="384"/>
      <c r="M41" s="384"/>
      <c r="N41" s="383"/>
      <c r="O41" s="384"/>
      <c r="P41" s="384"/>
      <c r="Q41" s="383"/>
      <c r="R41" s="383"/>
      <c r="S41" s="385"/>
      <c r="T41" s="380"/>
      <c r="U41" s="380"/>
      <c r="V41" s="380"/>
      <c r="W41" s="380"/>
      <c r="X41" s="380"/>
    </row>
    <row r="42" spans="1:25" ht="15.75" customHeight="1">
      <c r="A42" s="463"/>
      <c r="C42" s="381"/>
      <c r="D42" s="381"/>
      <c r="E42" s="381"/>
      <c r="F42" s="381"/>
      <c r="G42" s="381"/>
      <c r="H42" s="381"/>
      <c r="I42" s="381"/>
      <c r="J42" s="381"/>
      <c r="K42" s="382"/>
      <c r="L42" s="384"/>
      <c r="M42" s="384"/>
      <c r="N42" s="383"/>
      <c r="O42" s="384"/>
      <c r="P42" s="384"/>
      <c r="Q42" s="383"/>
      <c r="R42" s="383"/>
      <c r="S42" s="385"/>
      <c r="T42" s="380"/>
      <c r="U42" s="380"/>
      <c r="V42" s="380"/>
      <c r="W42" s="380"/>
      <c r="X42" s="380"/>
    </row>
    <row r="43" spans="1:25" ht="15.75" customHeight="1">
      <c r="A43" s="463"/>
      <c r="C43" s="381"/>
      <c r="D43" s="381"/>
      <c r="E43" s="381"/>
      <c r="F43" s="381"/>
      <c r="G43" s="381"/>
      <c r="H43" s="381"/>
      <c r="I43" s="381"/>
      <c r="J43" s="381"/>
      <c r="K43" s="382"/>
      <c r="L43" s="384"/>
      <c r="M43" s="384"/>
      <c r="N43" s="383"/>
      <c r="O43" s="384"/>
      <c r="P43" s="384"/>
      <c r="Q43" s="383"/>
      <c r="R43" s="383"/>
      <c r="S43" s="385"/>
      <c r="T43" s="380"/>
      <c r="U43" s="380"/>
      <c r="V43" s="380"/>
      <c r="W43" s="380"/>
      <c r="X43" s="380"/>
    </row>
    <row r="44" spans="1:25" ht="15.75" customHeight="1">
      <c r="A44" s="463"/>
      <c r="C44" s="381"/>
      <c r="D44" s="381"/>
      <c r="E44" s="381"/>
      <c r="F44" s="381"/>
      <c r="G44" s="381"/>
      <c r="H44" s="381"/>
      <c r="I44" s="381"/>
      <c r="J44" s="381"/>
      <c r="K44" s="382"/>
      <c r="L44" s="384"/>
      <c r="M44" s="384"/>
      <c r="N44" s="383"/>
      <c r="O44" s="384"/>
      <c r="P44" s="384"/>
      <c r="Q44" s="383"/>
      <c r="R44" s="383"/>
      <c r="S44" s="385"/>
      <c r="T44" s="380"/>
      <c r="U44" s="380"/>
      <c r="V44" s="380"/>
      <c r="W44" s="380"/>
      <c r="X44" s="380"/>
    </row>
    <row r="45" spans="1:25" ht="15.75" customHeight="1">
      <c r="A45" s="463"/>
      <c r="C45" s="381"/>
      <c r="D45" s="381"/>
      <c r="E45" s="381"/>
      <c r="F45" s="381"/>
      <c r="G45" s="381"/>
      <c r="H45" s="381"/>
      <c r="I45" s="381"/>
      <c r="J45" s="381"/>
      <c r="K45" s="382"/>
      <c r="L45" s="384"/>
      <c r="M45" s="384"/>
      <c r="N45" s="383"/>
      <c r="O45" s="384"/>
      <c r="P45" s="384"/>
      <c r="Q45" s="383"/>
      <c r="R45" s="383"/>
      <c r="S45" s="385"/>
      <c r="T45" s="380"/>
      <c r="U45" s="380"/>
      <c r="V45" s="380"/>
      <c r="W45" s="380"/>
      <c r="X45" s="380"/>
    </row>
    <row r="46" spans="1:25" ht="15.75" customHeight="1">
      <c r="A46" s="463"/>
      <c r="C46" s="381"/>
      <c r="D46" s="381"/>
      <c r="E46" s="381"/>
      <c r="F46" s="381"/>
      <c r="G46" s="411"/>
      <c r="H46" s="411"/>
      <c r="I46" s="411"/>
      <c r="J46" s="381"/>
      <c r="K46" s="382"/>
      <c r="L46" s="384"/>
      <c r="M46" s="384"/>
      <c r="N46" s="383"/>
      <c r="O46" s="384"/>
      <c r="P46" s="384"/>
      <c r="Q46" s="383"/>
      <c r="R46" s="383"/>
      <c r="S46" s="385"/>
      <c r="T46" s="380"/>
      <c r="U46" s="380"/>
      <c r="V46" s="380"/>
      <c r="W46" s="380"/>
      <c r="X46" s="380"/>
    </row>
    <row r="47" spans="1:25" ht="15.75" customHeight="1">
      <c r="A47" s="463"/>
      <c r="C47" s="381"/>
      <c r="D47" s="381"/>
      <c r="E47" s="381"/>
      <c r="F47" s="381"/>
      <c r="G47" s="411"/>
      <c r="H47" s="411"/>
      <c r="I47" s="411"/>
      <c r="J47" s="381"/>
      <c r="K47" s="382"/>
      <c r="L47" s="384"/>
      <c r="M47" s="384"/>
      <c r="N47" s="383"/>
      <c r="O47" s="384"/>
      <c r="P47" s="384"/>
      <c r="Q47" s="383"/>
      <c r="R47" s="383"/>
      <c r="S47" s="385"/>
      <c r="T47" s="380"/>
      <c r="U47" s="380"/>
      <c r="V47" s="380"/>
      <c r="W47" s="380"/>
      <c r="X47" s="380"/>
    </row>
    <row r="48" spans="1:25" ht="15.75" customHeight="1">
      <c r="A48" s="463"/>
      <c r="C48" s="381"/>
      <c r="D48" s="381"/>
      <c r="E48" s="381"/>
      <c r="F48" s="381"/>
      <c r="G48" s="411"/>
      <c r="H48" s="411"/>
      <c r="I48" s="411"/>
      <c r="J48" s="381"/>
      <c r="K48" s="382"/>
      <c r="L48" s="384"/>
      <c r="M48" s="384"/>
      <c r="N48" s="383"/>
      <c r="O48" s="384"/>
      <c r="P48" s="384"/>
      <c r="Q48" s="383"/>
      <c r="R48" s="383"/>
      <c r="S48" s="385"/>
      <c r="T48" s="380"/>
      <c r="U48" s="380"/>
      <c r="V48" s="380"/>
      <c r="W48" s="380"/>
      <c r="X48" s="380"/>
    </row>
    <row r="49" spans="1:24" ht="15.75" customHeight="1">
      <c r="A49" s="463"/>
      <c r="C49" s="381"/>
      <c r="D49" s="381"/>
      <c r="E49" s="381"/>
      <c r="F49" s="381"/>
      <c r="G49" s="411"/>
      <c r="H49" s="411"/>
      <c r="I49" s="411"/>
      <c r="J49" s="381"/>
      <c r="K49" s="382"/>
      <c r="L49" s="384"/>
      <c r="M49" s="384"/>
      <c r="N49" s="383"/>
      <c r="O49" s="384"/>
      <c r="P49" s="384"/>
      <c r="Q49" s="383"/>
      <c r="R49" s="383"/>
      <c r="S49" s="385"/>
      <c r="T49" s="380"/>
      <c r="U49" s="380"/>
      <c r="V49" s="380"/>
      <c r="W49" s="380"/>
      <c r="X49" s="380"/>
    </row>
    <row r="50" spans="1:24" ht="15.75" customHeight="1">
      <c r="A50" s="463"/>
      <c r="C50" s="381"/>
      <c r="D50" s="381"/>
      <c r="E50" s="381"/>
      <c r="F50" s="381"/>
      <c r="G50" s="411"/>
      <c r="H50" s="411"/>
      <c r="I50" s="411"/>
      <c r="J50" s="381"/>
      <c r="K50" s="382"/>
      <c r="L50" s="384"/>
      <c r="M50" s="384"/>
      <c r="N50" s="383"/>
      <c r="O50" s="384"/>
      <c r="P50" s="384"/>
      <c r="Q50" s="383"/>
      <c r="R50" s="383"/>
      <c r="S50" s="385"/>
      <c r="T50" s="380"/>
      <c r="U50" s="380"/>
      <c r="V50" s="380"/>
      <c r="W50" s="380"/>
      <c r="X50" s="380"/>
    </row>
    <row r="51" spans="1:24" ht="15.75" customHeight="1">
      <c r="A51" s="463"/>
      <c r="C51" s="381"/>
      <c r="D51" s="381"/>
      <c r="E51" s="381"/>
      <c r="F51" s="381"/>
      <c r="G51" s="411"/>
      <c r="H51" s="411"/>
      <c r="I51" s="411"/>
      <c r="J51" s="381"/>
      <c r="K51" s="382"/>
      <c r="L51" s="384"/>
      <c r="M51" s="384"/>
      <c r="N51" s="383"/>
      <c r="O51" s="384"/>
      <c r="P51" s="384"/>
      <c r="Q51" s="383"/>
      <c r="R51" s="383"/>
      <c r="S51" s="385"/>
      <c r="T51" s="380"/>
      <c r="U51" s="380"/>
      <c r="V51" s="380"/>
      <c r="W51" s="380"/>
      <c r="X51" s="380"/>
    </row>
    <row r="52" spans="1:24" ht="15.75" customHeight="1">
      <c r="A52" s="463"/>
      <c r="C52" s="381"/>
      <c r="D52" s="381"/>
      <c r="E52" s="381"/>
      <c r="F52" s="381"/>
      <c r="G52" s="381"/>
      <c r="H52" s="381"/>
      <c r="I52" s="381"/>
      <c r="J52" s="381"/>
      <c r="K52" s="382"/>
      <c r="L52" s="384"/>
      <c r="M52" s="384"/>
      <c r="N52" s="383"/>
      <c r="O52" s="384"/>
      <c r="P52" s="384"/>
      <c r="Q52" s="383"/>
      <c r="R52" s="383"/>
      <c r="S52" s="383"/>
      <c r="T52" s="380"/>
      <c r="U52" s="380"/>
      <c r="V52" s="380"/>
      <c r="W52" s="380"/>
      <c r="X52" s="380"/>
    </row>
    <row r="53" spans="1:24" ht="15.75" customHeight="1">
      <c r="A53" s="463"/>
      <c r="B53" s="412"/>
      <c r="C53" s="381"/>
      <c r="D53" s="381"/>
      <c r="E53" s="381"/>
      <c r="F53" s="381"/>
      <c r="G53" s="381"/>
      <c r="H53" s="381"/>
      <c r="I53" s="381"/>
      <c r="J53" s="381"/>
      <c r="K53" s="382"/>
      <c r="L53" s="413"/>
      <c r="M53" s="413"/>
      <c r="N53" s="383"/>
      <c r="O53" s="384"/>
      <c r="P53" s="384"/>
      <c r="Q53" s="383"/>
      <c r="R53" s="383"/>
      <c r="S53" s="385"/>
      <c r="T53" s="380"/>
      <c r="U53" s="380"/>
      <c r="V53" s="380"/>
      <c r="W53" s="380"/>
      <c r="X53" s="380"/>
    </row>
    <row r="54" spans="1:24" ht="15.75" customHeight="1">
      <c r="A54" s="463"/>
      <c r="B54" s="412"/>
      <c r="C54" s="381"/>
      <c r="D54" s="381"/>
      <c r="E54" s="381"/>
      <c r="F54" s="381"/>
      <c r="G54" s="381"/>
      <c r="H54" s="381"/>
      <c r="I54" s="381"/>
      <c r="J54" s="381"/>
      <c r="K54" s="382"/>
      <c r="L54" s="413"/>
      <c r="M54" s="413"/>
      <c r="N54" s="383"/>
      <c r="O54" s="384"/>
      <c r="P54" s="384"/>
      <c r="Q54" s="383"/>
      <c r="R54" s="383"/>
      <c r="S54" s="385"/>
      <c r="T54" s="380"/>
      <c r="U54" s="380"/>
      <c r="V54" s="380"/>
      <c r="W54" s="380"/>
      <c r="X54" s="380"/>
    </row>
    <row r="55" spans="1:24" ht="15.75" customHeight="1">
      <c r="A55" s="463"/>
      <c r="B55" s="893"/>
      <c r="C55" s="381"/>
      <c r="D55" s="381"/>
      <c r="E55" s="381"/>
      <c r="F55" s="381"/>
      <c r="G55" s="381"/>
      <c r="H55" s="381"/>
      <c r="I55" s="381"/>
      <c r="J55" s="381"/>
      <c r="K55" s="382"/>
      <c r="L55" s="384"/>
      <c r="M55" s="384"/>
      <c r="N55" s="383"/>
      <c r="O55" s="384"/>
      <c r="P55" s="384"/>
      <c r="Q55" s="383"/>
      <c r="R55" s="383"/>
      <c r="S55" s="385"/>
      <c r="T55" s="380"/>
      <c r="U55" s="380"/>
      <c r="V55" s="380"/>
      <c r="W55" s="380"/>
      <c r="X55" s="380"/>
    </row>
    <row r="56" spans="1:24" ht="15.75" customHeight="1">
      <c r="A56" s="463"/>
      <c r="B56" s="889"/>
      <c r="C56" s="381"/>
      <c r="D56" s="381"/>
      <c r="E56" s="381"/>
      <c r="F56" s="381"/>
      <c r="G56" s="381"/>
      <c r="H56" s="381"/>
      <c r="I56" s="381"/>
      <c r="J56" s="381"/>
      <c r="K56" s="382"/>
      <c r="L56" s="381"/>
      <c r="M56" s="381"/>
      <c r="N56" s="383"/>
      <c r="O56" s="384"/>
      <c r="P56" s="384"/>
      <c r="Q56" s="383"/>
      <c r="R56" s="383"/>
      <c r="S56" s="383"/>
      <c r="T56" s="380"/>
      <c r="U56" s="380"/>
      <c r="V56" s="380"/>
      <c r="W56" s="380"/>
      <c r="X56" s="380"/>
    </row>
    <row r="57" spans="1:24" ht="15.75" customHeight="1">
      <c r="A57" s="463"/>
      <c r="B57" s="889"/>
      <c r="C57" s="381"/>
      <c r="D57" s="381"/>
      <c r="E57" s="381"/>
      <c r="F57" s="381"/>
      <c r="G57" s="381"/>
      <c r="H57" s="381"/>
      <c r="I57" s="381"/>
      <c r="J57" s="381"/>
      <c r="K57" s="382"/>
      <c r="L57" s="384"/>
      <c r="M57" s="384"/>
      <c r="N57" s="383"/>
      <c r="O57" s="384"/>
      <c r="P57" s="384"/>
      <c r="Q57" s="383"/>
      <c r="R57" s="383"/>
      <c r="S57" s="385"/>
      <c r="T57" s="380"/>
      <c r="U57" s="380"/>
      <c r="V57" s="380"/>
      <c r="W57" s="380"/>
      <c r="X57" s="380"/>
    </row>
    <row r="58" spans="1:24" ht="15.75" customHeight="1">
      <c r="A58" s="463"/>
      <c r="B58" s="889"/>
      <c r="C58" s="381"/>
      <c r="D58" s="381"/>
      <c r="E58" s="381"/>
      <c r="F58" s="381"/>
      <c r="G58" s="381"/>
      <c r="H58" s="381"/>
      <c r="I58" s="381"/>
      <c r="J58" s="381"/>
      <c r="K58" s="382"/>
      <c r="L58" s="384"/>
      <c r="M58" s="384"/>
      <c r="N58" s="383"/>
      <c r="O58" s="384"/>
      <c r="P58" s="384"/>
      <c r="Q58" s="383"/>
      <c r="R58" s="383"/>
      <c r="S58" s="385"/>
      <c r="T58" s="380"/>
      <c r="U58" s="380"/>
      <c r="V58" s="380"/>
      <c r="W58" s="380"/>
      <c r="X58" s="380"/>
    </row>
    <row r="59" spans="1:24" ht="15.75" customHeight="1">
      <c r="A59" s="463"/>
      <c r="B59" s="889"/>
      <c r="C59" s="381"/>
      <c r="D59" s="381"/>
      <c r="E59" s="381"/>
      <c r="F59" s="381"/>
      <c r="G59" s="381"/>
      <c r="H59" s="381"/>
      <c r="I59" s="381"/>
      <c r="J59" s="381"/>
      <c r="K59" s="382"/>
      <c r="L59" s="384"/>
      <c r="M59" s="384"/>
      <c r="N59" s="383"/>
      <c r="O59" s="384"/>
      <c r="P59" s="384"/>
      <c r="Q59" s="383"/>
      <c r="R59" s="383"/>
      <c r="S59" s="385"/>
      <c r="T59" s="380"/>
      <c r="U59" s="380"/>
      <c r="V59" s="380"/>
      <c r="W59" s="380"/>
      <c r="X59" s="380"/>
    </row>
    <row r="60" spans="1:24" ht="15.75" customHeight="1">
      <c r="A60" s="463"/>
      <c r="B60" s="889"/>
      <c r="C60" s="381"/>
      <c r="D60" s="381"/>
      <c r="E60" s="381"/>
      <c r="F60" s="381"/>
      <c r="G60" s="381"/>
      <c r="H60" s="381"/>
      <c r="I60" s="381"/>
      <c r="J60" s="381"/>
      <c r="K60" s="382"/>
      <c r="L60" s="381"/>
      <c r="M60" s="381"/>
      <c r="N60" s="383"/>
      <c r="O60" s="384"/>
      <c r="P60" s="384"/>
      <c r="Q60" s="383"/>
      <c r="R60" s="383"/>
      <c r="S60" s="383"/>
      <c r="T60" s="380"/>
      <c r="U60" s="380"/>
      <c r="V60" s="380"/>
      <c r="W60" s="380"/>
      <c r="X60" s="380"/>
    </row>
    <row r="61" spans="1:24" ht="15.75" customHeight="1">
      <c r="A61" s="463"/>
      <c r="B61" s="889"/>
      <c r="C61" s="381"/>
      <c r="D61" s="381"/>
      <c r="E61" s="381"/>
      <c r="F61" s="381"/>
      <c r="G61" s="381"/>
      <c r="H61" s="381"/>
      <c r="I61" s="381"/>
      <c r="J61" s="381"/>
      <c r="K61" s="382"/>
      <c r="L61" s="384"/>
      <c r="M61" s="384"/>
      <c r="N61" s="383"/>
      <c r="O61" s="384"/>
      <c r="P61" s="384"/>
      <c r="Q61" s="383"/>
      <c r="R61" s="383"/>
      <c r="S61" s="385"/>
      <c r="T61" s="380"/>
      <c r="U61" s="380"/>
      <c r="V61" s="380"/>
      <c r="W61" s="380"/>
      <c r="X61" s="380"/>
    </row>
    <row r="62" spans="1:24" ht="15.75" customHeight="1">
      <c r="A62" s="463"/>
      <c r="B62" s="889"/>
      <c r="C62" s="381"/>
      <c r="D62" s="381"/>
      <c r="E62" s="381"/>
      <c r="F62" s="381"/>
      <c r="G62" s="381"/>
      <c r="H62" s="381"/>
      <c r="I62" s="381"/>
      <c r="J62" s="381"/>
      <c r="K62" s="382"/>
      <c r="L62" s="384"/>
      <c r="M62" s="384"/>
      <c r="N62" s="383"/>
      <c r="O62" s="384"/>
      <c r="P62" s="384"/>
      <c r="Q62" s="383"/>
      <c r="R62" s="383"/>
      <c r="S62" s="385"/>
      <c r="T62" s="380"/>
      <c r="U62" s="380"/>
      <c r="V62" s="380"/>
      <c r="W62" s="380"/>
      <c r="X62" s="380"/>
    </row>
    <row r="63" spans="1:24" ht="15.75" customHeight="1">
      <c r="A63" s="463"/>
      <c r="B63" s="889"/>
      <c r="C63" s="381"/>
      <c r="D63" s="381"/>
      <c r="E63" s="381"/>
      <c r="F63" s="381"/>
      <c r="G63" s="381"/>
      <c r="H63" s="381"/>
      <c r="I63" s="381"/>
      <c r="J63" s="381"/>
      <c r="K63" s="382"/>
      <c r="L63" s="384"/>
      <c r="M63" s="384"/>
      <c r="N63" s="383"/>
      <c r="O63" s="384"/>
      <c r="P63" s="384"/>
      <c r="Q63" s="383"/>
      <c r="R63" s="383"/>
      <c r="S63" s="385"/>
      <c r="T63" s="380"/>
      <c r="U63" s="380"/>
      <c r="V63" s="380"/>
      <c r="W63" s="380"/>
      <c r="X63" s="380"/>
    </row>
    <row r="64" spans="1:24" ht="15.75" customHeight="1">
      <c r="A64" s="463"/>
      <c r="B64" s="889"/>
      <c r="C64" s="381"/>
      <c r="D64" s="381"/>
      <c r="E64" s="381"/>
      <c r="F64" s="381"/>
      <c r="G64" s="381"/>
      <c r="H64" s="381"/>
      <c r="I64" s="381"/>
      <c r="J64" s="381"/>
      <c r="K64" s="382"/>
      <c r="L64" s="381"/>
      <c r="M64" s="381"/>
      <c r="N64" s="383"/>
      <c r="O64" s="384"/>
      <c r="P64" s="384"/>
      <c r="Q64" s="383"/>
      <c r="R64" s="383"/>
      <c r="S64" s="383"/>
      <c r="T64" s="380"/>
      <c r="U64" s="380"/>
      <c r="V64" s="380"/>
      <c r="W64" s="380"/>
      <c r="X64" s="380"/>
    </row>
    <row r="65" spans="1:24" ht="15.75" customHeight="1">
      <c r="A65" s="463"/>
      <c r="B65" s="889"/>
      <c r="C65" s="381"/>
      <c r="D65" s="381"/>
      <c r="E65" s="381"/>
      <c r="F65" s="381"/>
      <c r="G65" s="381"/>
      <c r="H65" s="381"/>
      <c r="I65" s="381"/>
      <c r="J65" s="381"/>
      <c r="K65" s="382"/>
      <c r="L65" s="384"/>
      <c r="M65" s="384"/>
      <c r="N65" s="383"/>
      <c r="O65" s="384"/>
      <c r="P65" s="384"/>
      <c r="Q65" s="383"/>
      <c r="R65" s="383"/>
      <c r="S65" s="385"/>
      <c r="T65" s="380"/>
      <c r="U65" s="380"/>
      <c r="V65" s="380"/>
      <c r="W65" s="380"/>
      <c r="X65" s="380"/>
    </row>
    <row r="66" spans="1:24" ht="15.75" customHeight="1">
      <c r="A66" s="463"/>
      <c r="B66" s="889"/>
      <c r="C66" s="381"/>
      <c r="D66" s="381"/>
      <c r="E66" s="381"/>
      <c r="F66" s="381"/>
      <c r="G66" s="381"/>
      <c r="H66" s="381"/>
      <c r="I66" s="381"/>
      <c r="J66" s="381"/>
      <c r="K66" s="382"/>
      <c r="L66" s="384"/>
      <c r="M66" s="384"/>
      <c r="N66" s="383"/>
      <c r="O66" s="384"/>
      <c r="P66" s="384"/>
      <c r="Q66" s="383"/>
      <c r="R66" s="383"/>
      <c r="S66" s="385"/>
      <c r="T66" s="380"/>
      <c r="U66" s="380"/>
      <c r="V66" s="380"/>
      <c r="W66" s="380"/>
      <c r="X66" s="380"/>
    </row>
    <row r="67" spans="1:24" ht="15.75" customHeight="1">
      <c r="A67" s="463"/>
      <c r="B67" s="889"/>
      <c r="C67" s="381"/>
      <c r="D67" s="381"/>
      <c r="E67" s="381"/>
      <c r="F67" s="381"/>
      <c r="G67" s="381"/>
      <c r="H67" s="381"/>
      <c r="I67" s="381"/>
      <c r="J67" s="381"/>
      <c r="K67" s="382"/>
      <c r="L67" s="381"/>
      <c r="M67" s="381"/>
      <c r="N67" s="383"/>
      <c r="O67" s="384"/>
      <c r="P67" s="384"/>
      <c r="Q67" s="383"/>
      <c r="R67" s="383"/>
      <c r="S67" s="383"/>
      <c r="T67" s="380"/>
      <c r="U67" s="380"/>
      <c r="V67" s="380"/>
      <c r="W67" s="380"/>
      <c r="X67" s="380"/>
    </row>
    <row r="68" spans="1:24" ht="15.75" customHeight="1">
      <c r="A68" s="463"/>
      <c r="B68" s="889"/>
      <c r="C68" s="381"/>
      <c r="D68" s="381"/>
      <c r="E68" s="381"/>
      <c r="F68" s="381"/>
      <c r="G68" s="381"/>
      <c r="H68" s="381"/>
      <c r="I68" s="381"/>
      <c r="J68" s="381"/>
      <c r="K68" s="382"/>
      <c r="L68" s="384"/>
      <c r="M68" s="384"/>
      <c r="N68" s="383"/>
      <c r="O68" s="384"/>
      <c r="P68" s="384"/>
      <c r="Q68" s="383"/>
      <c r="R68" s="383"/>
      <c r="S68" s="385"/>
      <c r="T68" s="380"/>
      <c r="U68" s="380"/>
      <c r="V68" s="380"/>
      <c r="W68" s="380"/>
      <c r="X68" s="380"/>
    </row>
    <row r="69" spans="1:24" ht="15.75" customHeight="1">
      <c r="A69" s="463"/>
      <c r="B69" s="889"/>
      <c r="C69" s="381"/>
      <c r="D69" s="381"/>
      <c r="E69" s="381"/>
      <c r="F69" s="381"/>
      <c r="G69" s="381"/>
      <c r="H69" s="381"/>
      <c r="I69" s="381"/>
      <c r="J69" s="381"/>
      <c r="K69" s="382"/>
      <c r="L69" s="384"/>
      <c r="M69" s="384"/>
      <c r="N69" s="383"/>
      <c r="O69" s="384"/>
      <c r="P69" s="384"/>
      <c r="Q69" s="383"/>
      <c r="R69" s="383"/>
      <c r="S69" s="385"/>
      <c r="T69" s="380"/>
      <c r="U69" s="380"/>
      <c r="V69" s="380"/>
      <c r="W69" s="380"/>
      <c r="X69" s="380"/>
    </row>
    <row r="70" spans="1:24" ht="15.75" customHeight="1">
      <c r="A70" s="463"/>
      <c r="B70" s="889"/>
      <c r="C70" s="381"/>
      <c r="D70" s="381"/>
      <c r="E70" s="381"/>
      <c r="F70" s="381"/>
      <c r="G70" s="381"/>
      <c r="H70" s="381"/>
      <c r="I70" s="381"/>
      <c r="J70" s="381"/>
      <c r="K70" s="382"/>
      <c r="L70" s="381"/>
      <c r="M70" s="381"/>
      <c r="N70" s="383"/>
      <c r="O70" s="384"/>
      <c r="P70" s="384"/>
      <c r="Q70" s="383"/>
      <c r="R70" s="383"/>
      <c r="S70" s="383"/>
      <c r="T70" s="380"/>
      <c r="U70" s="380"/>
      <c r="V70" s="380"/>
      <c r="W70" s="380"/>
      <c r="X70" s="380"/>
    </row>
    <row r="71" spans="1:24" ht="15.75" customHeight="1">
      <c r="A71" s="463"/>
      <c r="B71" s="889"/>
      <c r="C71" s="381"/>
      <c r="D71" s="381"/>
      <c r="E71" s="381"/>
      <c r="F71" s="381"/>
      <c r="G71" s="381"/>
      <c r="H71" s="381"/>
      <c r="I71" s="381"/>
      <c r="J71" s="381"/>
      <c r="K71" s="382"/>
      <c r="L71" s="384"/>
      <c r="M71" s="384"/>
      <c r="N71" s="383"/>
      <c r="O71" s="384"/>
      <c r="P71" s="384"/>
      <c r="Q71" s="383"/>
      <c r="R71" s="383"/>
      <c r="S71" s="385"/>
      <c r="T71" s="380"/>
      <c r="U71" s="380"/>
      <c r="V71" s="380"/>
      <c r="W71" s="380"/>
      <c r="X71" s="380"/>
    </row>
    <row r="72" spans="1:24" ht="15.75" customHeight="1">
      <c r="A72" s="463"/>
      <c r="B72" s="889"/>
      <c r="C72" s="381"/>
      <c r="D72" s="381"/>
      <c r="E72" s="381"/>
      <c r="F72" s="381"/>
      <c r="G72" s="381"/>
      <c r="H72" s="381"/>
      <c r="I72" s="381"/>
      <c r="J72" s="381"/>
      <c r="K72" s="382"/>
      <c r="L72" s="384"/>
      <c r="M72" s="384"/>
      <c r="N72" s="383"/>
      <c r="O72" s="384"/>
      <c r="P72" s="384"/>
      <c r="Q72" s="383"/>
      <c r="R72" s="383"/>
      <c r="S72" s="385"/>
      <c r="T72" s="380"/>
      <c r="U72" s="380"/>
      <c r="V72" s="380"/>
      <c r="W72" s="380"/>
      <c r="X72" s="380"/>
    </row>
    <row r="73" spans="1:24" ht="15.75" customHeight="1">
      <c r="A73" s="463"/>
      <c r="B73" s="889"/>
      <c r="C73" s="381"/>
      <c r="D73" s="381"/>
      <c r="E73" s="381"/>
      <c r="F73" s="381"/>
      <c r="G73" s="381"/>
      <c r="H73" s="381"/>
      <c r="I73" s="381"/>
      <c r="J73" s="381"/>
      <c r="K73" s="382"/>
      <c r="L73" s="384"/>
      <c r="M73" s="384"/>
      <c r="N73" s="383"/>
      <c r="O73" s="384"/>
      <c r="P73" s="384"/>
      <c r="Q73" s="383"/>
      <c r="R73" s="383"/>
      <c r="S73" s="385"/>
      <c r="T73" s="380"/>
      <c r="U73" s="380"/>
      <c r="V73" s="380"/>
      <c r="W73" s="380"/>
      <c r="X73" s="380"/>
    </row>
    <row r="74" spans="1:24" ht="15.75" customHeight="1">
      <c r="A74" s="463"/>
      <c r="B74" s="889"/>
      <c r="C74" s="381"/>
      <c r="D74" s="381"/>
      <c r="E74" s="381"/>
      <c r="F74" s="381"/>
      <c r="G74" s="381"/>
      <c r="H74" s="381"/>
      <c r="I74" s="381"/>
      <c r="J74" s="381"/>
      <c r="K74" s="382"/>
      <c r="L74" s="384"/>
      <c r="M74" s="384"/>
      <c r="N74" s="383"/>
      <c r="O74" s="384"/>
      <c r="P74" s="384"/>
      <c r="Q74" s="383"/>
      <c r="R74" s="383"/>
      <c r="S74" s="385"/>
      <c r="T74" s="380"/>
      <c r="U74" s="380"/>
      <c r="V74" s="380"/>
      <c r="W74" s="380"/>
      <c r="X74" s="380"/>
    </row>
    <row r="75" spans="1:24" ht="15.75" customHeight="1">
      <c r="A75" s="463"/>
      <c r="B75" s="889"/>
      <c r="C75" s="381"/>
      <c r="D75" s="381"/>
      <c r="E75" s="381"/>
      <c r="F75" s="381"/>
      <c r="G75" s="381"/>
      <c r="H75" s="381"/>
      <c r="I75" s="381"/>
      <c r="J75" s="381"/>
      <c r="K75" s="382"/>
      <c r="L75" s="384"/>
      <c r="M75" s="384"/>
      <c r="N75" s="383"/>
      <c r="O75" s="384"/>
      <c r="P75" s="384"/>
      <c r="Q75" s="383"/>
      <c r="R75" s="383"/>
      <c r="S75" s="385"/>
      <c r="T75" s="380"/>
      <c r="U75" s="380"/>
      <c r="V75" s="380"/>
      <c r="W75" s="380"/>
      <c r="X75" s="380"/>
    </row>
    <row r="76" spans="1:24" ht="15.75" customHeight="1">
      <c r="A76" s="463"/>
      <c r="B76" s="889"/>
      <c r="C76" s="381"/>
      <c r="D76" s="381"/>
      <c r="E76" s="381"/>
      <c r="F76" s="381"/>
      <c r="G76" s="381"/>
      <c r="H76" s="381"/>
      <c r="I76" s="381"/>
      <c r="J76" s="381"/>
      <c r="K76" s="382"/>
      <c r="L76" s="381"/>
      <c r="M76" s="381"/>
      <c r="N76" s="383"/>
      <c r="O76" s="384"/>
      <c r="P76" s="384"/>
      <c r="Q76" s="383"/>
      <c r="R76" s="383"/>
      <c r="S76" s="383"/>
      <c r="T76" s="380"/>
      <c r="U76" s="380"/>
      <c r="V76" s="380"/>
      <c r="W76" s="380"/>
      <c r="X76" s="380"/>
    </row>
    <row r="77" spans="1:24" ht="15.75" customHeight="1">
      <c r="A77" s="463"/>
      <c r="B77" s="889"/>
      <c r="C77" s="381"/>
      <c r="D77" s="381"/>
      <c r="E77" s="381"/>
      <c r="F77" s="381"/>
      <c r="G77" s="381"/>
      <c r="H77" s="381"/>
      <c r="I77" s="381"/>
      <c r="J77" s="381"/>
      <c r="K77" s="382"/>
      <c r="L77" s="384"/>
      <c r="M77" s="384"/>
      <c r="N77" s="383"/>
      <c r="O77" s="384"/>
      <c r="P77" s="384"/>
      <c r="Q77" s="383"/>
      <c r="R77" s="383"/>
      <c r="S77" s="385"/>
      <c r="T77" s="380"/>
      <c r="U77" s="380"/>
      <c r="V77" s="380"/>
      <c r="W77" s="380"/>
      <c r="X77" s="380"/>
    </row>
    <row r="78" spans="1:24" ht="15.75" customHeight="1">
      <c r="A78" s="463"/>
      <c r="B78" s="889"/>
      <c r="C78" s="381"/>
      <c r="D78" s="381"/>
      <c r="E78" s="381"/>
      <c r="F78" s="381"/>
      <c r="G78" s="381"/>
      <c r="H78" s="381"/>
      <c r="I78" s="381"/>
      <c r="J78" s="381"/>
      <c r="K78" s="382"/>
      <c r="L78" s="384"/>
      <c r="M78" s="384"/>
      <c r="N78" s="383"/>
      <c r="O78" s="384"/>
      <c r="P78" s="384"/>
      <c r="Q78" s="383"/>
      <c r="R78" s="383"/>
      <c r="S78" s="385"/>
      <c r="T78" s="380"/>
      <c r="U78" s="380"/>
      <c r="V78" s="380"/>
      <c r="W78" s="380"/>
      <c r="X78" s="380"/>
    </row>
    <row r="79" spans="1:24" ht="15.75" customHeight="1">
      <c r="A79" s="463"/>
      <c r="B79" s="889"/>
      <c r="C79" s="381"/>
      <c r="D79" s="381"/>
      <c r="E79" s="381"/>
      <c r="F79" s="381"/>
      <c r="G79" s="381"/>
      <c r="H79" s="381"/>
      <c r="I79" s="381"/>
      <c r="J79" s="381"/>
      <c r="K79" s="382"/>
      <c r="L79" s="381"/>
      <c r="M79" s="381"/>
      <c r="N79" s="383"/>
      <c r="O79" s="384"/>
      <c r="P79" s="384"/>
      <c r="Q79" s="383"/>
      <c r="R79" s="383"/>
      <c r="S79" s="383"/>
      <c r="T79" s="380"/>
      <c r="U79" s="380"/>
      <c r="V79" s="380"/>
      <c r="W79" s="380"/>
      <c r="X79" s="380"/>
    </row>
    <row r="80" spans="1:24" ht="15.75" customHeight="1">
      <c r="A80" s="463"/>
      <c r="B80" s="889"/>
      <c r="C80" s="381"/>
      <c r="D80" s="381"/>
      <c r="E80" s="381"/>
      <c r="F80" s="381"/>
      <c r="G80" s="381"/>
      <c r="H80" s="381"/>
      <c r="I80" s="381"/>
      <c r="J80" s="381"/>
      <c r="K80" s="382"/>
      <c r="L80" s="384"/>
      <c r="M80" s="384"/>
      <c r="N80" s="383"/>
      <c r="O80" s="384"/>
      <c r="P80" s="384"/>
      <c r="Q80" s="383"/>
      <c r="R80" s="383"/>
      <c r="S80" s="385"/>
      <c r="T80" s="380"/>
      <c r="U80" s="380"/>
      <c r="V80" s="380"/>
      <c r="W80" s="380"/>
      <c r="X80" s="380"/>
    </row>
    <row r="81" spans="1:24" ht="15.75" customHeight="1">
      <c r="A81" s="463"/>
      <c r="B81" s="889"/>
      <c r="C81" s="381"/>
      <c r="D81" s="381"/>
      <c r="E81" s="381"/>
      <c r="F81" s="381"/>
      <c r="G81" s="381"/>
      <c r="H81" s="381"/>
      <c r="I81" s="381"/>
      <c r="J81" s="381"/>
      <c r="K81" s="382"/>
      <c r="L81" s="384"/>
      <c r="M81" s="384"/>
      <c r="N81" s="383"/>
      <c r="O81" s="384"/>
      <c r="P81" s="384"/>
      <c r="Q81" s="383"/>
      <c r="R81" s="383"/>
      <c r="S81" s="385"/>
      <c r="T81" s="380"/>
      <c r="U81" s="380"/>
      <c r="V81" s="380"/>
      <c r="W81" s="380"/>
      <c r="X81" s="380"/>
    </row>
    <row r="82" spans="1:24" ht="15.75" customHeight="1">
      <c r="A82" s="463"/>
      <c r="B82" s="889"/>
      <c r="C82" s="381"/>
      <c r="D82" s="381"/>
      <c r="E82" s="381"/>
      <c r="F82" s="381"/>
      <c r="G82" s="381"/>
      <c r="H82" s="381"/>
      <c r="I82" s="381"/>
      <c r="J82" s="381"/>
      <c r="K82" s="382"/>
      <c r="L82" s="384"/>
      <c r="M82" s="384"/>
      <c r="N82" s="383"/>
      <c r="O82" s="384"/>
      <c r="P82" s="384"/>
      <c r="Q82" s="383"/>
      <c r="R82" s="383"/>
      <c r="S82" s="385"/>
      <c r="T82" s="380"/>
      <c r="U82" s="380"/>
      <c r="V82" s="380"/>
      <c r="W82" s="380"/>
      <c r="X82" s="380"/>
    </row>
    <row r="83" spans="1:24" ht="15.75" customHeight="1">
      <c r="A83" s="463"/>
      <c r="B83" s="889"/>
      <c r="C83" s="381"/>
      <c r="D83" s="381"/>
      <c r="E83" s="381"/>
      <c r="F83" s="381"/>
      <c r="G83" s="381"/>
      <c r="H83" s="381"/>
      <c r="I83" s="381"/>
      <c r="J83" s="381"/>
      <c r="K83" s="382"/>
      <c r="L83" s="384"/>
      <c r="M83" s="384"/>
      <c r="N83" s="383"/>
      <c r="O83" s="384"/>
      <c r="P83" s="384"/>
      <c r="Q83" s="383"/>
      <c r="R83" s="383"/>
      <c r="S83" s="385"/>
      <c r="T83" s="380"/>
      <c r="U83" s="380"/>
      <c r="V83" s="380"/>
      <c r="W83" s="380"/>
      <c r="X83" s="380"/>
    </row>
    <row r="84" spans="1:24" ht="15.75" customHeight="1">
      <c r="A84" s="463"/>
      <c r="B84" s="889"/>
      <c r="C84" s="381"/>
      <c r="D84" s="381"/>
      <c r="E84" s="381"/>
      <c r="F84" s="381"/>
      <c r="G84" s="381"/>
      <c r="H84" s="381"/>
      <c r="I84" s="381"/>
      <c r="J84" s="381"/>
      <c r="K84" s="382"/>
      <c r="L84" s="381"/>
      <c r="M84" s="381"/>
      <c r="N84" s="383"/>
      <c r="O84" s="384"/>
      <c r="P84" s="384"/>
      <c r="Q84" s="383"/>
      <c r="R84" s="383"/>
      <c r="S84" s="383"/>
      <c r="T84" s="380"/>
      <c r="U84" s="380"/>
      <c r="V84" s="380"/>
      <c r="W84" s="380"/>
      <c r="X84" s="380"/>
    </row>
    <row r="85" spans="1:24" ht="15.75" customHeight="1">
      <c r="A85" s="463"/>
      <c r="B85" s="889"/>
      <c r="C85" s="381"/>
      <c r="D85" s="381"/>
      <c r="E85" s="381"/>
      <c r="F85" s="381"/>
      <c r="G85" s="381"/>
      <c r="H85" s="381"/>
      <c r="I85" s="381"/>
      <c r="J85" s="381"/>
      <c r="K85" s="382"/>
      <c r="L85" s="384"/>
      <c r="M85" s="384"/>
      <c r="N85" s="383"/>
      <c r="O85" s="384"/>
      <c r="P85" s="384"/>
      <c r="Q85" s="383"/>
      <c r="R85" s="383"/>
      <c r="S85" s="385"/>
      <c r="T85" s="380"/>
      <c r="U85" s="380"/>
      <c r="V85" s="380"/>
      <c r="W85" s="380"/>
      <c r="X85" s="380"/>
    </row>
    <row r="86" spans="1:24" ht="15.75" customHeight="1">
      <c r="A86" s="463"/>
      <c r="B86" s="889"/>
      <c r="C86" s="381"/>
      <c r="D86" s="381"/>
      <c r="E86" s="381"/>
      <c r="F86" s="381"/>
      <c r="G86" s="381"/>
      <c r="H86" s="381"/>
      <c r="I86" s="381"/>
      <c r="J86" s="381"/>
      <c r="K86" s="382"/>
      <c r="L86" s="384"/>
      <c r="M86" s="384"/>
      <c r="N86" s="383"/>
      <c r="O86" s="384"/>
      <c r="P86" s="384"/>
      <c r="Q86" s="383"/>
      <c r="R86" s="383"/>
      <c r="S86" s="385"/>
      <c r="T86" s="380"/>
      <c r="U86" s="380"/>
      <c r="V86" s="380"/>
      <c r="W86" s="380"/>
      <c r="X86" s="380"/>
    </row>
    <row r="87" spans="1:24" ht="15.75" customHeight="1">
      <c r="A87" s="463"/>
      <c r="B87" s="889"/>
      <c r="C87" s="381"/>
      <c r="D87" s="381"/>
      <c r="E87" s="381"/>
      <c r="F87" s="381"/>
      <c r="G87" s="381"/>
      <c r="H87" s="381"/>
      <c r="I87" s="381"/>
      <c r="J87" s="381"/>
      <c r="K87" s="382"/>
      <c r="L87" s="384"/>
      <c r="M87" s="384"/>
      <c r="N87" s="383"/>
      <c r="O87" s="384"/>
      <c r="P87" s="384"/>
      <c r="Q87" s="383"/>
      <c r="R87" s="383"/>
      <c r="S87" s="385"/>
      <c r="T87" s="380"/>
      <c r="U87" s="380"/>
      <c r="V87" s="380"/>
      <c r="W87" s="380"/>
      <c r="X87" s="380"/>
    </row>
    <row r="88" spans="1:24" ht="15.75" customHeight="1">
      <c r="A88" s="463"/>
      <c r="B88" s="889"/>
      <c r="C88" s="381"/>
      <c r="D88" s="381"/>
      <c r="E88" s="381"/>
      <c r="F88" s="381"/>
      <c r="G88" s="381"/>
      <c r="H88" s="381"/>
      <c r="I88" s="381"/>
      <c r="J88" s="381"/>
      <c r="K88" s="382"/>
      <c r="L88" s="381"/>
      <c r="M88" s="381"/>
      <c r="N88" s="383"/>
      <c r="O88" s="384"/>
      <c r="P88" s="384"/>
      <c r="Q88" s="383"/>
      <c r="R88" s="383"/>
      <c r="S88" s="383"/>
      <c r="T88" s="380"/>
      <c r="U88" s="380"/>
      <c r="V88" s="380"/>
      <c r="W88" s="380"/>
      <c r="X88" s="380"/>
    </row>
    <row r="89" spans="1:24" ht="15.75" customHeight="1">
      <c r="A89" s="463"/>
      <c r="B89" s="889"/>
      <c r="C89" s="381"/>
      <c r="D89" s="381"/>
      <c r="E89" s="381"/>
      <c r="F89" s="381"/>
      <c r="G89" s="381"/>
      <c r="H89" s="381"/>
      <c r="I89" s="381"/>
      <c r="J89" s="381"/>
      <c r="K89" s="382"/>
      <c r="L89" s="384"/>
      <c r="M89" s="384"/>
      <c r="N89" s="383"/>
      <c r="O89" s="384"/>
      <c r="P89" s="384"/>
      <c r="Q89" s="383"/>
      <c r="R89" s="383"/>
      <c r="S89" s="385"/>
      <c r="T89" s="380"/>
      <c r="U89" s="380"/>
      <c r="V89" s="380"/>
      <c r="W89" s="380"/>
      <c r="X89" s="380"/>
    </row>
    <row r="90" spans="1:24" ht="15.75" customHeight="1">
      <c r="A90" s="463"/>
      <c r="B90" s="889"/>
      <c r="C90" s="381"/>
      <c r="D90" s="381"/>
      <c r="E90" s="381"/>
      <c r="F90" s="381"/>
      <c r="G90" s="381"/>
      <c r="H90" s="381"/>
      <c r="I90" s="381"/>
      <c r="J90" s="381"/>
      <c r="K90" s="382"/>
      <c r="L90" s="384"/>
      <c r="M90" s="384"/>
      <c r="N90" s="383"/>
      <c r="O90" s="384"/>
      <c r="P90" s="384"/>
      <c r="Q90" s="383"/>
      <c r="R90" s="383"/>
      <c r="S90" s="385"/>
      <c r="T90" s="380"/>
      <c r="U90" s="380"/>
      <c r="V90" s="380"/>
      <c r="W90" s="380"/>
      <c r="X90" s="380"/>
    </row>
    <row r="91" spans="1:24" ht="15.75" customHeight="1">
      <c r="A91" s="463"/>
      <c r="B91" s="889"/>
      <c r="C91" s="381"/>
      <c r="D91" s="381"/>
      <c r="E91" s="381"/>
      <c r="F91" s="381"/>
      <c r="G91" s="381"/>
      <c r="H91" s="381"/>
      <c r="I91" s="381"/>
      <c r="J91" s="381"/>
      <c r="K91" s="382"/>
      <c r="L91" s="384"/>
      <c r="M91" s="384"/>
      <c r="N91" s="383"/>
      <c r="O91" s="384"/>
      <c r="P91" s="384"/>
      <c r="Q91" s="383"/>
      <c r="R91" s="383"/>
      <c r="S91" s="385"/>
      <c r="T91" s="380"/>
      <c r="U91" s="380"/>
      <c r="V91" s="380"/>
      <c r="W91" s="380"/>
      <c r="X91" s="380"/>
    </row>
    <row r="92" spans="1:24" ht="15.75" customHeight="1">
      <c r="A92" s="463"/>
      <c r="B92" s="889"/>
      <c r="C92" s="381"/>
      <c r="D92" s="381"/>
      <c r="E92" s="381"/>
      <c r="F92" s="381"/>
      <c r="G92" s="381"/>
      <c r="H92" s="381"/>
      <c r="I92" s="381"/>
      <c r="J92" s="381"/>
      <c r="K92" s="382"/>
      <c r="L92" s="381"/>
      <c r="M92" s="381"/>
      <c r="N92" s="383"/>
      <c r="O92" s="384"/>
      <c r="P92" s="384"/>
      <c r="Q92" s="383"/>
      <c r="R92" s="383"/>
      <c r="S92" s="383"/>
      <c r="T92" s="380"/>
      <c r="U92" s="380"/>
      <c r="V92" s="380"/>
      <c r="W92" s="380"/>
      <c r="X92" s="380"/>
    </row>
    <row r="93" spans="1:24" ht="15.75" customHeight="1">
      <c r="A93" s="463"/>
      <c r="B93" s="889"/>
      <c r="C93" s="381"/>
      <c r="D93" s="381"/>
      <c r="E93" s="381"/>
      <c r="F93" s="381"/>
      <c r="G93" s="381"/>
      <c r="H93" s="381"/>
      <c r="I93" s="381"/>
      <c r="J93" s="381"/>
      <c r="K93" s="382"/>
      <c r="L93" s="384"/>
      <c r="M93" s="384"/>
      <c r="N93" s="383"/>
      <c r="O93" s="384"/>
      <c r="P93" s="384"/>
      <c r="Q93" s="383"/>
      <c r="R93" s="383"/>
      <c r="S93" s="385"/>
      <c r="T93" s="380"/>
      <c r="U93" s="380"/>
      <c r="V93" s="380"/>
      <c r="W93" s="380"/>
      <c r="X93" s="380"/>
    </row>
    <row r="94" spans="1:24" ht="15.75" customHeight="1">
      <c r="A94" s="463"/>
      <c r="B94" s="889"/>
      <c r="C94" s="381"/>
      <c r="D94" s="381"/>
      <c r="E94" s="381"/>
      <c r="F94" s="381"/>
      <c r="G94" s="381"/>
      <c r="H94" s="381"/>
      <c r="I94" s="381"/>
      <c r="J94" s="381"/>
      <c r="K94" s="382"/>
      <c r="L94" s="381"/>
      <c r="M94" s="381"/>
      <c r="N94" s="383"/>
      <c r="O94" s="384"/>
      <c r="P94" s="384"/>
      <c r="Q94" s="383"/>
      <c r="R94" s="383"/>
      <c r="S94" s="383"/>
      <c r="T94" s="380"/>
      <c r="U94" s="380"/>
      <c r="V94" s="380"/>
      <c r="W94" s="380"/>
      <c r="X94" s="380"/>
    </row>
    <row r="95" spans="1:24" ht="15.75" customHeight="1">
      <c r="A95" s="463"/>
      <c r="B95" s="889"/>
      <c r="C95" s="381"/>
      <c r="D95" s="381"/>
      <c r="E95" s="381"/>
      <c r="F95" s="381"/>
      <c r="G95" s="381"/>
      <c r="H95" s="381"/>
      <c r="I95" s="381"/>
      <c r="J95" s="381"/>
      <c r="K95" s="382"/>
      <c r="L95" s="384"/>
      <c r="M95" s="384"/>
      <c r="N95" s="383"/>
      <c r="O95" s="384"/>
      <c r="P95" s="384"/>
      <c r="Q95" s="383"/>
      <c r="R95" s="383"/>
      <c r="S95" s="385"/>
      <c r="T95" s="380"/>
      <c r="U95" s="380"/>
      <c r="V95" s="380"/>
      <c r="W95" s="380"/>
      <c r="X95" s="380"/>
    </row>
    <row r="96" spans="1:24" ht="15.75" customHeight="1">
      <c r="A96" s="463"/>
      <c r="B96" s="889"/>
      <c r="C96" s="381"/>
      <c r="D96" s="381"/>
      <c r="E96" s="381"/>
      <c r="F96" s="381"/>
      <c r="G96" s="381"/>
      <c r="H96" s="381"/>
      <c r="I96" s="381"/>
      <c r="J96" s="381"/>
      <c r="K96" s="382"/>
      <c r="L96" s="381"/>
      <c r="M96" s="381"/>
      <c r="N96" s="383"/>
      <c r="O96" s="384"/>
      <c r="P96" s="384"/>
      <c r="Q96" s="383"/>
      <c r="R96" s="383"/>
      <c r="S96" s="383"/>
      <c r="T96" s="380"/>
      <c r="U96" s="380"/>
      <c r="V96" s="380"/>
      <c r="W96" s="380"/>
      <c r="X96" s="380"/>
    </row>
    <row r="97" spans="1:24" ht="15.75" customHeight="1">
      <c r="A97" s="463"/>
      <c r="B97" s="889"/>
      <c r="C97" s="381"/>
      <c r="D97" s="381"/>
      <c r="E97" s="381"/>
      <c r="F97" s="381"/>
      <c r="G97" s="381"/>
      <c r="H97" s="381"/>
      <c r="I97" s="381"/>
      <c r="J97" s="381"/>
      <c r="K97" s="382"/>
      <c r="L97" s="384"/>
      <c r="M97" s="384"/>
      <c r="N97" s="383"/>
      <c r="O97" s="384"/>
      <c r="P97" s="384"/>
      <c r="Q97" s="383"/>
      <c r="R97" s="383"/>
      <c r="S97" s="385"/>
      <c r="T97" s="380"/>
      <c r="U97" s="380"/>
      <c r="V97" s="380"/>
      <c r="W97" s="380"/>
      <c r="X97" s="380"/>
    </row>
    <row r="98" spans="1:24" ht="15.75" customHeight="1">
      <c r="A98" s="463"/>
      <c r="B98" s="889"/>
      <c r="C98" s="381"/>
      <c r="D98" s="381"/>
      <c r="E98" s="381"/>
      <c r="F98" s="381"/>
      <c r="G98" s="381"/>
      <c r="H98" s="381"/>
      <c r="I98" s="381"/>
      <c r="J98" s="381"/>
      <c r="K98" s="382"/>
      <c r="L98" s="384"/>
      <c r="M98" s="384"/>
      <c r="N98" s="383"/>
      <c r="O98" s="384"/>
      <c r="P98" s="384"/>
      <c r="Q98" s="383"/>
      <c r="R98" s="383"/>
      <c r="S98" s="385"/>
      <c r="T98" s="380"/>
      <c r="U98" s="380"/>
      <c r="V98" s="380"/>
      <c r="W98" s="380"/>
      <c r="X98" s="380"/>
    </row>
    <row r="99" spans="1:24" ht="15.75" customHeight="1">
      <c r="A99" s="463"/>
      <c r="B99" s="889"/>
      <c r="C99" s="381"/>
      <c r="D99" s="381"/>
      <c r="E99" s="381"/>
      <c r="F99" s="381"/>
      <c r="G99" s="381"/>
      <c r="H99" s="381"/>
      <c r="I99" s="381"/>
      <c r="J99" s="381"/>
      <c r="K99" s="382"/>
      <c r="L99" s="381"/>
      <c r="M99" s="381"/>
      <c r="N99" s="383"/>
      <c r="O99" s="384"/>
      <c r="P99" s="384"/>
      <c r="Q99" s="383"/>
      <c r="R99" s="383"/>
      <c r="S99" s="383"/>
      <c r="T99" s="380"/>
      <c r="U99" s="380"/>
      <c r="V99" s="380"/>
      <c r="W99" s="380"/>
      <c r="X99" s="380"/>
    </row>
    <row r="100" spans="1:24" ht="15.75" customHeight="1">
      <c r="A100" s="463"/>
      <c r="B100" s="889"/>
      <c r="C100" s="381"/>
      <c r="D100" s="381"/>
      <c r="E100" s="381"/>
      <c r="F100" s="381"/>
      <c r="G100" s="381"/>
      <c r="H100" s="381"/>
      <c r="I100" s="381"/>
      <c r="J100" s="381"/>
      <c r="K100" s="382"/>
      <c r="L100" s="384"/>
      <c r="M100" s="384"/>
      <c r="N100" s="383"/>
      <c r="O100" s="384"/>
      <c r="P100" s="384"/>
      <c r="Q100" s="383"/>
      <c r="R100" s="383"/>
      <c r="S100" s="385"/>
      <c r="T100" s="380"/>
      <c r="U100" s="380"/>
      <c r="V100" s="380"/>
      <c r="W100" s="380"/>
      <c r="X100" s="380"/>
    </row>
    <row r="101" spans="1:24" ht="15.75" customHeight="1">
      <c r="A101" s="463"/>
      <c r="B101" s="889"/>
      <c r="C101" s="381"/>
      <c r="D101" s="381"/>
      <c r="E101" s="381"/>
      <c r="F101" s="381"/>
      <c r="G101" s="381"/>
      <c r="H101" s="381"/>
      <c r="I101" s="381"/>
      <c r="J101" s="381"/>
      <c r="K101" s="382"/>
      <c r="L101" s="384"/>
      <c r="M101" s="384"/>
      <c r="N101" s="383"/>
      <c r="O101" s="384"/>
      <c r="P101" s="384"/>
      <c r="Q101" s="383"/>
      <c r="R101" s="383"/>
      <c r="S101" s="385"/>
      <c r="T101" s="380"/>
      <c r="U101" s="380"/>
      <c r="V101" s="380"/>
      <c r="W101" s="380"/>
      <c r="X101" s="380"/>
    </row>
    <row r="102" spans="1:24" ht="15.75" customHeight="1">
      <c r="A102" s="463"/>
      <c r="B102" s="889"/>
      <c r="C102" s="381"/>
      <c r="D102" s="381"/>
      <c r="E102" s="381"/>
      <c r="F102" s="381"/>
      <c r="G102" s="381"/>
      <c r="H102" s="381"/>
      <c r="I102" s="381"/>
      <c r="J102" s="381"/>
      <c r="K102" s="382"/>
      <c r="L102" s="384"/>
      <c r="M102" s="384"/>
      <c r="N102" s="383"/>
      <c r="O102" s="384"/>
      <c r="P102" s="384"/>
      <c r="Q102" s="383"/>
      <c r="R102" s="383"/>
      <c r="S102" s="385"/>
      <c r="T102" s="380"/>
      <c r="U102" s="380"/>
      <c r="V102" s="380"/>
      <c r="W102" s="380"/>
      <c r="X102" s="380"/>
    </row>
    <row r="103" spans="1:24" ht="15.75" customHeight="1">
      <c r="A103" s="463"/>
      <c r="B103" s="889"/>
      <c r="C103" s="381"/>
      <c r="D103" s="381"/>
      <c r="E103" s="381"/>
      <c r="F103" s="381"/>
      <c r="G103" s="381"/>
      <c r="H103" s="381"/>
      <c r="I103" s="381"/>
      <c r="J103" s="381"/>
      <c r="K103" s="382"/>
      <c r="L103" s="384"/>
      <c r="M103" s="384"/>
      <c r="N103" s="383"/>
      <c r="O103" s="384"/>
      <c r="P103" s="384"/>
      <c r="Q103" s="383"/>
      <c r="R103" s="383"/>
      <c r="S103" s="385"/>
      <c r="T103" s="380"/>
      <c r="U103" s="380"/>
      <c r="V103" s="380"/>
      <c r="W103" s="380"/>
      <c r="X103" s="380"/>
    </row>
    <row r="104" spans="1:24" ht="15.75" customHeight="1">
      <c r="A104" s="463"/>
      <c r="B104" s="889"/>
      <c r="C104" s="381"/>
      <c r="D104" s="381"/>
      <c r="E104" s="381"/>
      <c r="F104" s="381"/>
      <c r="G104" s="381"/>
      <c r="H104" s="381"/>
      <c r="I104" s="381"/>
      <c r="J104" s="381"/>
      <c r="K104" s="382"/>
      <c r="L104" s="381"/>
      <c r="M104" s="381"/>
      <c r="N104" s="383"/>
      <c r="O104" s="384"/>
      <c r="P104" s="384"/>
      <c r="Q104" s="383"/>
      <c r="R104" s="383"/>
      <c r="S104" s="383"/>
      <c r="T104" s="380"/>
      <c r="U104" s="380"/>
      <c r="V104" s="380"/>
      <c r="W104" s="380"/>
      <c r="X104" s="380"/>
    </row>
    <row r="105" spans="1:24" ht="15.75" customHeight="1">
      <c r="A105" s="463"/>
      <c r="B105" s="889"/>
      <c r="C105" s="381"/>
      <c r="D105" s="381"/>
      <c r="E105" s="381"/>
      <c r="F105" s="381"/>
      <c r="G105" s="381"/>
      <c r="H105" s="381"/>
      <c r="I105" s="381"/>
      <c r="J105" s="381"/>
      <c r="K105" s="382"/>
      <c r="L105" s="384"/>
      <c r="M105" s="384"/>
      <c r="N105" s="383"/>
      <c r="O105" s="384"/>
      <c r="P105" s="384"/>
      <c r="Q105" s="383"/>
      <c r="R105" s="383"/>
      <c r="S105" s="385"/>
      <c r="T105" s="380"/>
      <c r="U105" s="380"/>
      <c r="V105" s="380"/>
      <c r="W105" s="380"/>
      <c r="X105" s="380"/>
    </row>
    <row r="106" spans="1:24" ht="15.75" customHeight="1">
      <c r="A106" s="463"/>
      <c r="B106" s="889"/>
      <c r="C106" s="381"/>
      <c r="D106" s="381"/>
      <c r="E106" s="381"/>
      <c r="F106" s="381"/>
      <c r="G106" s="381"/>
      <c r="H106" s="381"/>
      <c r="I106" s="381"/>
      <c r="J106" s="381"/>
      <c r="K106" s="382"/>
      <c r="L106" s="384"/>
      <c r="M106" s="384"/>
      <c r="N106" s="383"/>
      <c r="O106" s="384"/>
      <c r="P106" s="384"/>
      <c r="Q106" s="383"/>
      <c r="R106" s="383"/>
      <c r="S106" s="385"/>
      <c r="T106" s="380"/>
      <c r="U106" s="380"/>
      <c r="V106" s="380"/>
      <c r="W106" s="380"/>
      <c r="X106" s="380"/>
    </row>
    <row r="107" spans="1:24" ht="15.75" customHeight="1">
      <c r="A107" s="463"/>
      <c r="B107" s="889"/>
      <c r="C107" s="381"/>
      <c r="D107" s="381"/>
      <c r="E107" s="381"/>
      <c r="F107" s="381"/>
      <c r="G107" s="381"/>
      <c r="H107" s="381"/>
      <c r="I107" s="381"/>
      <c r="J107" s="381"/>
      <c r="K107" s="382"/>
      <c r="L107" s="384"/>
      <c r="M107" s="384"/>
      <c r="N107" s="383"/>
      <c r="O107" s="384"/>
      <c r="P107" s="384"/>
      <c r="Q107" s="383"/>
      <c r="R107" s="383"/>
      <c r="S107" s="385"/>
      <c r="T107" s="380"/>
      <c r="U107" s="380"/>
      <c r="V107" s="380"/>
      <c r="W107" s="380"/>
      <c r="X107" s="380"/>
    </row>
    <row r="108" spans="1:24" ht="15.75" customHeight="1">
      <c r="A108" s="463"/>
      <c r="B108" s="889"/>
      <c r="C108" s="381"/>
      <c r="D108" s="381"/>
      <c r="E108" s="381"/>
      <c r="F108" s="381"/>
      <c r="G108" s="381"/>
      <c r="H108" s="381"/>
      <c r="I108" s="381"/>
      <c r="J108" s="381"/>
      <c r="K108" s="382"/>
      <c r="L108" s="381"/>
      <c r="M108" s="381"/>
      <c r="N108" s="383"/>
      <c r="O108" s="384"/>
      <c r="P108" s="384"/>
      <c r="Q108" s="383"/>
      <c r="R108" s="383"/>
      <c r="S108" s="383"/>
      <c r="T108" s="380"/>
      <c r="U108" s="380"/>
      <c r="V108" s="380"/>
      <c r="W108" s="380"/>
      <c r="X108" s="380"/>
    </row>
    <row r="109" spans="1:24" ht="15.75" customHeight="1">
      <c r="A109" s="463"/>
      <c r="B109" s="889"/>
      <c r="C109" s="381"/>
      <c r="D109" s="381"/>
      <c r="E109" s="381"/>
      <c r="F109" s="381"/>
      <c r="G109" s="381"/>
      <c r="H109" s="381"/>
      <c r="I109" s="381"/>
      <c r="J109" s="381"/>
      <c r="K109" s="382"/>
      <c r="L109" s="384"/>
      <c r="M109" s="384"/>
      <c r="N109" s="383"/>
      <c r="O109" s="384"/>
      <c r="P109" s="384"/>
      <c r="Q109" s="383"/>
      <c r="R109" s="383"/>
      <c r="S109" s="385"/>
      <c r="T109" s="380"/>
      <c r="U109" s="380"/>
      <c r="V109" s="380"/>
      <c r="W109" s="380"/>
      <c r="X109" s="380"/>
    </row>
    <row r="110" spans="1:24" ht="15.75" customHeight="1">
      <c r="A110" s="463"/>
      <c r="B110" s="889"/>
      <c r="C110" s="381"/>
      <c r="D110" s="381"/>
      <c r="E110" s="381"/>
      <c r="F110" s="381"/>
      <c r="G110" s="381"/>
      <c r="H110" s="381"/>
      <c r="I110" s="381"/>
      <c r="J110" s="381"/>
      <c r="K110" s="382"/>
      <c r="L110" s="384"/>
      <c r="M110" s="384"/>
      <c r="N110" s="383"/>
      <c r="O110" s="384"/>
      <c r="P110" s="384"/>
      <c r="Q110" s="383"/>
      <c r="R110" s="383"/>
      <c r="S110" s="385"/>
      <c r="T110" s="380"/>
      <c r="U110" s="380"/>
      <c r="V110" s="380"/>
      <c r="W110" s="380"/>
      <c r="X110" s="380"/>
    </row>
    <row r="111" spans="1:24" ht="15.75" customHeight="1">
      <c r="A111" s="463"/>
      <c r="B111" s="889"/>
      <c r="C111" s="381"/>
      <c r="D111" s="381"/>
      <c r="E111" s="381"/>
      <c r="F111" s="381"/>
      <c r="G111" s="381"/>
      <c r="H111" s="381"/>
      <c r="I111" s="381"/>
      <c r="J111" s="381"/>
      <c r="K111" s="382"/>
      <c r="L111" s="384"/>
      <c r="M111" s="384"/>
      <c r="N111" s="383"/>
      <c r="O111" s="384"/>
      <c r="P111" s="384"/>
      <c r="Q111" s="383"/>
      <c r="R111" s="383"/>
      <c r="S111" s="385"/>
      <c r="T111" s="380"/>
      <c r="U111" s="380"/>
      <c r="V111" s="380"/>
      <c r="W111" s="380"/>
      <c r="X111" s="380"/>
    </row>
    <row r="112" spans="1:24" ht="15.75" customHeight="1">
      <c r="A112" s="463"/>
      <c r="B112" s="889"/>
      <c r="C112" s="381"/>
      <c r="D112" s="381"/>
      <c r="E112" s="381"/>
      <c r="F112" s="381"/>
      <c r="G112" s="381"/>
      <c r="H112" s="381"/>
      <c r="I112" s="381"/>
      <c r="J112" s="381"/>
      <c r="K112" s="382"/>
      <c r="L112" s="381"/>
      <c r="M112" s="381"/>
      <c r="N112" s="383"/>
      <c r="O112" s="384"/>
      <c r="P112" s="384"/>
      <c r="Q112" s="383"/>
      <c r="R112" s="383"/>
      <c r="S112" s="383"/>
      <c r="T112" s="380"/>
      <c r="U112" s="380"/>
      <c r="V112" s="380"/>
      <c r="W112" s="380"/>
      <c r="X112" s="380"/>
    </row>
    <row r="113" spans="1:24" ht="15.75" customHeight="1">
      <c r="A113" s="463"/>
      <c r="B113" s="412"/>
      <c r="C113" s="381"/>
      <c r="D113" s="381"/>
      <c r="E113" s="381"/>
      <c r="F113" s="381"/>
      <c r="G113" s="381"/>
      <c r="H113" s="381"/>
      <c r="I113" s="381"/>
      <c r="J113" s="381"/>
      <c r="K113" s="382"/>
      <c r="L113" s="413"/>
      <c r="M113" s="413"/>
      <c r="N113" s="383"/>
      <c r="O113" s="384"/>
      <c r="P113" s="384"/>
      <c r="Q113" s="383"/>
      <c r="R113" s="383"/>
      <c r="S113" s="385"/>
      <c r="T113" s="380"/>
      <c r="U113" s="380"/>
      <c r="V113" s="380"/>
      <c r="W113" s="380"/>
      <c r="X113" s="380"/>
    </row>
    <row r="114" spans="1:24" ht="15.75" customHeight="1">
      <c r="A114" s="463"/>
      <c r="B114" s="412"/>
      <c r="C114" s="381"/>
      <c r="D114" s="381"/>
      <c r="E114" s="381"/>
      <c r="F114" s="381"/>
      <c r="G114" s="381"/>
      <c r="H114" s="381"/>
      <c r="I114" s="381"/>
      <c r="J114" s="381"/>
      <c r="K114" s="382"/>
      <c r="L114" s="413"/>
      <c r="M114" s="413"/>
      <c r="N114" s="383"/>
      <c r="O114" s="384"/>
      <c r="P114" s="384"/>
      <c r="Q114" s="383"/>
      <c r="R114" s="383"/>
      <c r="S114" s="385"/>
      <c r="T114" s="380"/>
      <c r="U114" s="380"/>
      <c r="V114" s="380"/>
      <c r="W114" s="380"/>
      <c r="X114" s="380"/>
    </row>
    <row r="115" spans="1:24" ht="15.75" customHeight="1">
      <c r="A115" s="463"/>
      <c r="B115" s="893"/>
      <c r="C115" s="381"/>
      <c r="D115" s="381"/>
      <c r="E115" s="381"/>
      <c r="F115" s="381"/>
      <c r="G115" s="381"/>
      <c r="H115" s="381"/>
      <c r="I115" s="381"/>
      <c r="J115" s="381"/>
      <c r="K115" s="382"/>
      <c r="L115" s="384"/>
      <c r="M115" s="384"/>
      <c r="N115" s="383"/>
      <c r="O115" s="384"/>
      <c r="P115" s="384"/>
      <c r="Q115" s="383"/>
      <c r="R115" s="383"/>
      <c r="S115" s="385"/>
      <c r="T115" s="380"/>
      <c r="U115" s="380"/>
      <c r="V115" s="380"/>
      <c r="W115" s="380"/>
      <c r="X115" s="380"/>
    </row>
    <row r="116" spans="1:24" ht="15.75" customHeight="1">
      <c r="A116" s="463"/>
      <c r="B116" s="889"/>
      <c r="C116" s="381"/>
      <c r="D116" s="381"/>
      <c r="E116" s="381"/>
      <c r="F116" s="381"/>
      <c r="G116" s="381"/>
      <c r="H116" s="381"/>
      <c r="I116" s="381"/>
      <c r="J116" s="381"/>
      <c r="K116" s="382"/>
      <c r="L116" s="381"/>
      <c r="M116" s="381"/>
      <c r="N116" s="383"/>
      <c r="O116" s="384"/>
      <c r="P116" s="384"/>
      <c r="Q116" s="383"/>
      <c r="R116" s="383"/>
      <c r="S116" s="383"/>
      <c r="T116" s="380"/>
      <c r="U116" s="380"/>
      <c r="V116" s="380"/>
      <c r="W116" s="380"/>
      <c r="X116" s="380"/>
    </row>
    <row r="117" spans="1:24" ht="15.75" customHeight="1">
      <c r="A117" s="463"/>
      <c r="B117" s="889"/>
      <c r="C117" s="381"/>
      <c r="D117" s="381"/>
      <c r="E117" s="381"/>
      <c r="F117" s="381"/>
      <c r="G117" s="381"/>
      <c r="H117" s="381"/>
      <c r="I117" s="381"/>
      <c r="J117" s="381"/>
      <c r="K117" s="382"/>
      <c r="L117" s="384"/>
      <c r="M117" s="384"/>
      <c r="N117" s="383"/>
      <c r="O117" s="384"/>
      <c r="P117" s="384"/>
      <c r="Q117" s="383"/>
      <c r="R117" s="383"/>
      <c r="S117" s="385"/>
      <c r="T117" s="380"/>
      <c r="U117" s="380"/>
      <c r="V117" s="380"/>
      <c r="W117" s="380"/>
      <c r="X117" s="380"/>
    </row>
    <row r="118" spans="1:24" ht="15.75" customHeight="1">
      <c r="A118" s="463"/>
      <c r="B118" s="889"/>
      <c r="C118" s="381"/>
      <c r="D118" s="381"/>
      <c r="E118" s="381"/>
      <c r="F118" s="381"/>
      <c r="G118" s="381"/>
      <c r="H118" s="381"/>
      <c r="I118" s="381"/>
      <c r="J118" s="381"/>
      <c r="K118" s="382"/>
      <c r="L118" s="384"/>
      <c r="M118" s="384"/>
      <c r="N118" s="383"/>
      <c r="O118" s="384"/>
      <c r="P118" s="384"/>
      <c r="Q118" s="383"/>
      <c r="R118" s="383"/>
      <c r="S118" s="385"/>
      <c r="T118" s="380"/>
      <c r="U118" s="380"/>
      <c r="V118" s="380"/>
      <c r="W118" s="380"/>
      <c r="X118" s="380"/>
    </row>
    <row r="119" spans="1:24" ht="15.75" customHeight="1">
      <c r="A119" s="463"/>
      <c r="B119" s="889"/>
      <c r="C119" s="381"/>
      <c r="D119" s="381"/>
      <c r="E119" s="381"/>
      <c r="F119" s="381"/>
      <c r="G119" s="381"/>
      <c r="H119" s="381"/>
      <c r="I119" s="381"/>
      <c r="J119" s="381"/>
      <c r="K119" s="382"/>
      <c r="L119" s="384"/>
      <c r="M119" s="384"/>
      <c r="N119" s="383"/>
      <c r="O119" s="384"/>
      <c r="P119" s="384"/>
      <c r="Q119" s="383"/>
      <c r="R119" s="383"/>
      <c r="S119" s="385"/>
      <c r="T119" s="380"/>
      <c r="U119" s="380"/>
      <c r="V119" s="380"/>
      <c r="W119" s="380"/>
      <c r="X119" s="380"/>
    </row>
    <row r="120" spans="1:24" ht="15.75" customHeight="1">
      <c r="A120" s="463"/>
      <c r="B120" s="889"/>
      <c r="C120" s="381"/>
      <c r="D120" s="381"/>
      <c r="E120" s="381"/>
      <c r="F120" s="381"/>
      <c r="G120" s="381"/>
      <c r="H120" s="381"/>
      <c r="I120" s="381"/>
      <c r="J120" s="381"/>
      <c r="K120" s="382"/>
      <c r="L120" s="381"/>
      <c r="M120" s="381"/>
      <c r="N120" s="383"/>
      <c r="O120" s="384"/>
      <c r="P120" s="384"/>
      <c r="Q120" s="383"/>
      <c r="R120" s="383"/>
      <c r="S120" s="383"/>
      <c r="T120" s="380"/>
      <c r="U120" s="380"/>
      <c r="V120" s="380"/>
      <c r="W120" s="380"/>
      <c r="X120" s="380"/>
    </row>
    <row r="121" spans="1:24" ht="15.75" customHeight="1">
      <c r="A121" s="463"/>
      <c r="B121" s="889"/>
      <c r="C121" s="381"/>
      <c r="D121" s="381"/>
      <c r="E121" s="381"/>
      <c r="F121" s="381"/>
      <c r="G121" s="381"/>
      <c r="H121" s="381"/>
      <c r="I121" s="381"/>
      <c r="J121" s="381"/>
      <c r="K121" s="382"/>
      <c r="L121" s="384"/>
      <c r="M121" s="384"/>
      <c r="N121" s="383"/>
      <c r="O121" s="384"/>
      <c r="P121" s="384"/>
      <c r="Q121" s="383"/>
      <c r="R121" s="383"/>
      <c r="S121" s="385"/>
      <c r="T121" s="380"/>
      <c r="U121" s="380"/>
      <c r="V121" s="380"/>
      <c r="W121" s="380"/>
      <c r="X121" s="380"/>
    </row>
    <row r="122" spans="1:24" ht="15.75" customHeight="1">
      <c r="A122" s="463"/>
      <c r="B122" s="889"/>
      <c r="C122" s="381"/>
      <c r="D122" s="381"/>
      <c r="E122" s="381"/>
      <c r="F122" s="381"/>
      <c r="G122" s="381"/>
      <c r="H122" s="381"/>
      <c r="I122" s="381"/>
      <c r="J122" s="381"/>
      <c r="K122" s="382"/>
      <c r="L122" s="384"/>
      <c r="M122" s="384"/>
      <c r="N122" s="383"/>
      <c r="O122" s="384"/>
      <c r="P122" s="384"/>
      <c r="Q122" s="383"/>
      <c r="R122" s="383"/>
      <c r="S122" s="385"/>
      <c r="T122" s="380"/>
      <c r="U122" s="380"/>
      <c r="V122" s="380"/>
      <c r="W122" s="380"/>
      <c r="X122" s="380"/>
    </row>
    <row r="123" spans="1:24" ht="15.75" customHeight="1">
      <c r="A123" s="463"/>
      <c r="B123" s="889"/>
      <c r="C123" s="381"/>
      <c r="D123" s="381"/>
      <c r="E123" s="381"/>
      <c r="F123" s="381"/>
      <c r="G123" s="381"/>
      <c r="H123" s="381"/>
      <c r="I123" s="381"/>
      <c r="J123" s="381"/>
      <c r="K123" s="382"/>
      <c r="L123" s="384"/>
      <c r="M123" s="384"/>
      <c r="N123" s="383"/>
      <c r="O123" s="384"/>
      <c r="P123" s="384"/>
      <c r="Q123" s="383"/>
      <c r="R123" s="383"/>
      <c r="S123" s="385"/>
      <c r="T123" s="380"/>
      <c r="U123" s="380"/>
      <c r="V123" s="380"/>
      <c r="W123" s="380"/>
      <c r="X123" s="380"/>
    </row>
    <row r="124" spans="1:24" ht="15.75" customHeight="1">
      <c r="A124" s="463"/>
      <c r="B124" s="889"/>
      <c r="C124" s="381"/>
      <c r="D124" s="381"/>
      <c r="E124" s="381"/>
      <c r="F124" s="381"/>
      <c r="G124" s="381"/>
      <c r="H124" s="381"/>
      <c r="I124" s="381"/>
      <c r="J124" s="381"/>
      <c r="K124" s="382"/>
      <c r="L124" s="384"/>
      <c r="M124" s="384"/>
      <c r="N124" s="383"/>
      <c r="O124" s="384"/>
      <c r="P124" s="384"/>
      <c r="Q124" s="383"/>
      <c r="R124" s="383"/>
      <c r="S124" s="385"/>
      <c r="T124" s="380"/>
      <c r="U124" s="380"/>
      <c r="V124" s="380"/>
      <c r="W124" s="380"/>
      <c r="X124" s="380"/>
    </row>
    <row r="125" spans="1:24" ht="15.75" customHeight="1">
      <c r="A125" s="463"/>
      <c r="B125" s="889"/>
      <c r="C125" s="381"/>
      <c r="D125" s="381"/>
      <c r="E125" s="381"/>
      <c r="F125" s="381"/>
      <c r="G125" s="381"/>
      <c r="H125" s="381"/>
      <c r="I125" s="381"/>
      <c r="J125" s="381"/>
      <c r="K125" s="382"/>
      <c r="L125" s="384"/>
      <c r="M125" s="384"/>
      <c r="N125" s="383"/>
      <c r="O125" s="384"/>
      <c r="P125" s="384"/>
      <c r="Q125" s="383"/>
      <c r="R125" s="383"/>
      <c r="S125" s="385"/>
      <c r="T125" s="380"/>
      <c r="U125" s="380"/>
      <c r="V125" s="380"/>
      <c r="W125" s="380"/>
      <c r="X125" s="380"/>
    </row>
    <row r="126" spans="1:24" ht="15.75" customHeight="1">
      <c r="A126" s="463"/>
      <c r="B126" s="889"/>
      <c r="C126" s="381"/>
      <c r="D126" s="381"/>
      <c r="E126" s="381"/>
      <c r="F126" s="381"/>
      <c r="G126" s="381"/>
      <c r="H126" s="381"/>
      <c r="I126" s="381"/>
      <c r="J126" s="381"/>
      <c r="K126" s="382"/>
      <c r="L126" s="384"/>
      <c r="M126" s="384"/>
      <c r="N126" s="383"/>
      <c r="O126" s="384"/>
      <c r="P126" s="384"/>
      <c r="Q126" s="383"/>
      <c r="R126" s="383"/>
      <c r="S126" s="385"/>
      <c r="T126" s="380"/>
      <c r="U126" s="380"/>
      <c r="V126" s="380"/>
      <c r="W126" s="380"/>
      <c r="X126" s="380"/>
    </row>
    <row r="127" spans="1:24" ht="15.75" customHeight="1">
      <c r="A127" s="463"/>
      <c r="B127" s="889"/>
      <c r="C127" s="381"/>
      <c r="D127" s="381"/>
      <c r="E127" s="381"/>
      <c r="F127" s="381"/>
      <c r="G127" s="381"/>
      <c r="H127" s="381"/>
      <c r="I127" s="381"/>
      <c r="J127" s="381"/>
      <c r="K127" s="382"/>
      <c r="L127" s="384"/>
      <c r="M127" s="384"/>
      <c r="N127" s="383"/>
      <c r="O127" s="384"/>
      <c r="P127" s="384"/>
      <c r="Q127" s="383"/>
      <c r="R127" s="383"/>
      <c r="S127" s="385"/>
      <c r="T127" s="380"/>
      <c r="U127" s="380"/>
      <c r="V127" s="380"/>
      <c r="W127" s="380"/>
      <c r="X127" s="380"/>
    </row>
    <row r="128" spans="1:24" ht="15.75" customHeight="1">
      <c r="A128" s="463"/>
      <c r="B128" s="889"/>
      <c r="C128" s="381"/>
      <c r="D128" s="381"/>
      <c r="E128" s="381"/>
      <c r="F128" s="381"/>
      <c r="G128" s="381"/>
      <c r="H128" s="381"/>
      <c r="I128" s="381"/>
      <c r="J128" s="381"/>
      <c r="K128" s="382"/>
      <c r="L128" s="381"/>
      <c r="M128" s="381"/>
      <c r="N128" s="383"/>
      <c r="O128" s="384"/>
      <c r="P128" s="384"/>
      <c r="Q128" s="383"/>
      <c r="R128" s="383"/>
      <c r="S128" s="383"/>
      <c r="T128" s="380"/>
      <c r="U128" s="380"/>
      <c r="V128" s="380"/>
      <c r="W128" s="380"/>
      <c r="X128" s="380"/>
    </row>
    <row r="129" spans="1:24" ht="15.75" customHeight="1">
      <c r="A129" s="463"/>
      <c r="B129" s="889"/>
      <c r="C129" s="381"/>
      <c r="D129" s="381"/>
      <c r="E129" s="381"/>
      <c r="F129" s="381"/>
      <c r="G129" s="381"/>
      <c r="H129" s="381"/>
      <c r="I129" s="381"/>
      <c r="J129" s="381"/>
      <c r="K129" s="382"/>
      <c r="L129" s="384"/>
      <c r="M129" s="384"/>
      <c r="N129" s="383"/>
      <c r="O129" s="384"/>
      <c r="P129" s="384"/>
      <c r="Q129" s="383"/>
      <c r="R129" s="383"/>
      <c r="S129" s="385"/>
      <c r="T129" s="380"/>
      <c r="U129" s="380"/>
      <c r="V129" s="380"/>
      <c r="W129" s="380"/>
      <c r="X129" s="380"/>
    </row>
    <row r="130" spans="1:24" ht="15.75" customHeight="1">
      <c r="A130" s="463"/>
      <c r="B130" s="889"/>
      <c r="C130" s="381"/>
      <c r="D130" s="381"/>
      <c r="E130" s="381"/>
      <c r="F130" s="381"/>
      <c r="G130" s="381"/>
      <c r="H130" s="381"/>
      <c r="I130" s="381"/>
      <c r="J130" s="381"/>
      <c r="K130" s="382"/>
      <c r="L130" s="384"/>
      <c r="M130" s="384"/>
      <c r="N130" s="383"/>
      <c r="O130" s="384"/>
      <c r="P130" s="384"/>
      <c r="Q130" s="383"/>
      <c r="R130" s="383"/>
      <c r="S130" s="385"/>
      <c r="T130" s="380"/>
      <c r="U130" s="380"/>
      <c r="V130" s="380"/>
      <c r="W130" s="380"/>
      <c r="X130" s="380"/>
    </row>
    <row r="131" spans="1:24" ht="15.75" customHeight="1">
      <c r="A131" s="463"/>
      <c r="B131" s="889"/>
      <c r="C131" s="381"/>
      <c r="D131" s="381"/>
      <c r="E131" s="381"/>
      <c r="F131" s="381"/>
      <c r="G131" s="381"/>
      <c r="H131" s="381"/>
      <c r="I131" s="381"/>
      <c r="J131" s="381"/>
      <c r="K131" s="382"/>
      <c r="L131" s="384"/>
      <c r="M131" s="384"/>
      <c r="N131" s="383"/>
      <c r="O131" s="384"/>
      <c r="P131" s="384"/>
      <c r="Q131" s="383"/>
      <c r="R131" s="383"/>
      <c r="S131" s="385"/>
      <c r="T131" s="380"/>
      <c r="U131" s="380"/>
      <c r="V131" s="380"/>
      <c r="W131" s="380"/>
      <c r="X131" s="380"/>
    </row>
    <row r="132" spans="1:24" ht="15.75" customHeight="1">
      <c r="A132" s="463"/>
      <c r="B132" s="889"/>
      <c r="C132" s="381"/>
      <c r="D132" s="381"/>
      <c r="E132" s="381"/>
      <c r="F132" s="381"/>
      <c r="G132" s="381"/>
      <c r="H132" s="381"/>
      <c r="I132" s="381"/>
      <c r="J132" s="381"/>
      <c r="K132" s="382"/>
      <c r="L132" s="384"/>
      <c r="M132" s="384"/>
      <c r="N132" s="383"/>
      <c r="O132" s="384"/>
      <c r="P132" s="384"/>
      <c r="Q132" s="383"/>
      <c r="R132" s="383"/>
      <c r="S132" s="385"/>
      <c r="T132" s="380"/>
      <c r="U132" s="380"/>
      <c r="V132" s="380"/>
      <c r="W132" s="380"/>
      <c r="X132" s="380"/>
    </row>
    <row r="133" spans="1:24" ht="15.75" customHeight="1">
      <c r="A133" s="463"/>
      <c r="B133" s="889"/>
      <c r="C133" s="381"/>
      <c r="D133" s="381"/>
      <c r="E133" s="381"/>
      <c r="F133" s="381"/>
      <c r="G133" s="381"/>
      <c r="H133" s="381"/>
      <c r="I133" s="381"/>
      <c r="J133" s="381"/>
      <c r="K133" s="382"/>
      <c r="L133" s="384"/>
      <c r="M133" s="384"/>
      <c r="N133" s="383"/>
      <c r="O133" s="384"/>
      <c r="P133" s="384"/>
      <c r="Q133" s="383"/>
      <c r="R133" s="383"/>
      <c r="S133" s="385"/>
      <c r="T133" s="380"/>
      <c r="U133" s="380"/>
      <c r="V133" s="380"/>
      <c r="W133" s="380"/>
      <c r="X133" s="380"/>
    </row>
    <row r="134" spans="1:24" ht="15.75" customHeight="1">
      <c r="A134" s="463"/>
      <c r="B134" s="889"/>
      <c r="C134" s="381"/>
      <c r="D134" s="381"/>
      <c r="E134" s="381"/>
      <c r="F134" s="381"/>
      <c r="G134" s="381"/>
      <c r="H134" s="381"/>
      <c r="I134" s="381"/>
      <c r="J134" s="381"/>
      <c r="K134" s="382"/>
      <c r="L134" s="384"/>
      <c r="M134" s="384"/>
      <c r="N134" s="383"/>
      <c r="O134" s="384"/>
      <c r="P134" s="384"/>
      <c r="Q134" s="383"/>
      <c r="R134" s="383"/>
      <c r="S134" s="385"/>
      <c r="T134" s="380"/>
      <c r="U134" s="380"/>
      <c r="V134" s="380"/>
      <c r="W134" s="380"/>
      <c r="X134" s="380"/>
    </row>
    <row r="135" spans="1:24" ht="15.75" customHeight="1">
      <c r="A135" s="463"/>
      <c r="B135" s="889"/>
      <c r="C135" s="381"/>
      <c r="D135" s="381"/>
      <c r="E135" s="381"/>
      <c r="F135" s="381"/>
      <c r="G135" s="381"/>
      <c r="H135" s="381"/>
      <c r="I135" s="381"/>
      <c r="J135" s="381"/>
      <c r="K135" s="382"/>
      <c r="L135" s="381"/>
      <c r="M135" s="381"/>
      <c r="N135" s="383"/>
      <c r="O135" s="384"/>
      <c r="P135" s="384"/>
      <c r="Q135" s="383"/>
      <c r="R135" s="383"/>
      <c r="S135" s="383"/>
      <c r="T135" s="380"/>
      <c r="U135" s="380"/>
      <c r="V135" s="380"/>
      <c r="W135" s="380"/>
      <c r="X135" s="380"/>
    </row>
    <row r="136" spans="1:24" ht="15.75" customHeight="1">
      <c r="A136" s="463"/>
      <c r="B136" s="889"/>
      <c r="C136" s="381"/>
      <c r="D136" s="381"/>
      <c r="E136" s="381"/>
      <c r="F136" s="381"/>
      <c r="G136" s="381"/>
      <c r="H136" s="381"/>
      <c r="I136" s="381"/>
      <c r="J136" s="381"/>
      <c r="K136" s="382"/>
      <c r="L136" s="384"/>
      <c r="M136" s="384"/>
      <c r="N136" s="383"/>
      <c r="O136" s="384"/>
      <c r="P136" s="384"/>
      <c r="Q136" s="383"/>
      <c r="R136" s="383"/>
      <c r="S136" s="385"/>
      <c r="T136" s="380"/>
      <c r="U136" s="380"/>
      <c r="V136" s="380"/>
      <c r="W136" s="380"/>
      <c r="X136" s="380"/>
    </row>
    <row r="137" spans="1:24" ht="15.75" customHeight="1">
      <c r="A137" s="463"/>
      <c r="B137" s="889"/>
      <c r="C137" s="381"/>
      <c r="D137" s="381"/>
      <c r="E137" s="381"/>
      <c r="F137" s="381"/>
      <c r="G137" s="381"/>
      <c r="H137" s="381"/>
      <c r="I137" s="381"/>
      <c r="J137" s="381"/>
      <c r="K137" s="382"/>
      <c r="L137" s="384"/>
      <c r="M137" s="384"/>
      <c r="N137" s="383"/>
      <c r="O137" s="384"/>
      <c r="P137" s="384"/>
      <c r="Q137" s="383"/>
      <c r="R137" s="383"/>
      <c r="S137" s="385"/>
      <c r="T137" s="380"/>
      <c r="U137" s="380"/>
      <c r="V137" s="380"/>
      <c r="W137" s="380"/>
      <c r="X137" s="380"/>
    </row>
    <row r="138" spans="1:24" ht="15.75" customHeight="1">
      <c r="A138" s="463"/>
      <c r="B138" s="889"/>
      <c r="C138" s="381"/>
      <c r="D138" s="381"/>
      <c r="E138" s="381"/>
      <c r="F138" s="381"/>
      <c r="G138" s="381"/>
      <c r="H138" s="381"/>
      <c r="I138" s="381"/>
      <c r="J138" s="381"/>
      <c r="K138" s="382"/>
      <c r="L138" s="384"/>
      <c r="M138" s="384"/>
      <c r="N138" s="383"/>
      <c r="O138" s="384"/>
      <c r="P138" s="384"/>
      <c r="Q138" s="383"/>
      <c r="R138" s="383"/>
      <c r="S138" s="385"/>
      <c r="T138" s="380"/>
      <c r="U138" s="380"/>
      <c r="V138" s="380"/>
      <c r="W138" s="380"/>
      <c r="X138" s="380"/>
    </row>
    <row r="139" spans="1:24" ht="15.75" customHeight="1">
      <c r="A139" s="463"/>
      <c r="B139" s="889"/>
      <c r="C139" s="381"/>
      <c r="D139" s="381"/>
      <c r="E139" s="381"/>
      <c r="F139" s="381"/>
      <c r="G139" s="381"/>
      <c r="H139" s="381"/>
      <c r="I139" s="381"/>
      <c r="J139" s="381"/>
      <c r="K139" s="382"/>
      <c r="L139" s="384"/>
      <c r="M139" s="384"/>
      <c r="N139" s="383"/>
      <c r="O139" s="384"/>
      <c r="P139" s="384"/>
      <c r="Q139" s="383"/>
      <c r="R139" s="383"/>
      <c r="S139" s="385"/>
      <c r="T139" s="380"/>
      <c r="U139" s="380"/>
      <c r="V139" s="380"/>
      <c r="W139" s="380"/>
      <c r="X139" s="380"/>
    </row>
    <row r="140" spans="1:24" ht="15.75" customHeight="1">
      <c r="A140" s="463"/>
      <c r="B140" s="889"/>
      <c r="C140" s="381"/>
      <c r="D140" s="381"/>
      <c r="E140" s="381"/>
      <c r="F140" s="381"/>
      <c r="G140" s="381"/>
      <c r="H140" s="381"/>
      <c r="I140" s="381"/>
      <c r="J140" s="381"/>
      <c r="K140" s="382"/>
      <c r="L140" s="381"/>
      <c r="M140" s="381"/>
      <c r="N140" s="383"/>
      <c r="O140" s="384"/>
      <c r="P140" s="384"/>
      <c r="Q140" s="383"/>
      <c r="R140" s="383"/>
      <c r="S140" s="383"/>
      <c r="T140" s="380"/>
      <c r="U140" s="380"/>
      <c r="V140" s="380"/>
      <c r="W140" s="380"/>
      <c r="X140" s="380"/>
    </row>
    <row r="141" spans="1:24" ht="15.75" customHeight="1">
      <c r="A141" s="463"/>
      <c r="B141" s="889"/>
      <c r="C141" s="381"/>
      <c r="D141" s="381"/>
      <c r="E141" s="381"/>
      <c r="F141" s="381"/>
      <c r="G141" s="381"/>
      <c r="H141" s="381"/>
      <c r="I141" s="381"/>
      <c r="J141" s="381"/>
      <c r="K141" s="382"/>
      <c r="L141" s="384"/>
      <c r="M141" s="384"/>
      <c r="N141" s="383"/>
      <c r="O141" s="384"/>
      <c r="P141" s="384"/>
      <c r="Q141" s="383"/>
      <c r="R141" s="383"/>
      <c r="S141" s="385"/>
      <c r="T141" s="380"/>
      <c r="U141" s="380"/>
      <c r="V141" s="380"/>
      <c r="W141" s="380"/>
      <c r="X141" s="380"/>
    </row>
    <row r="142" spans="1:24" ht="15.75" customHeight="1">
      <c r="A142" s="463"/>
      <c r="B142" s="889"/>
      <c r="C142" s="381"/>
      <c r="D142" s="381"/>
      <c r="E142" s="381"/>
      <c r="F142" s="381"/>
      <c r="G142" s="381"/>
      <c r="H142" s="381"/>
      <c r="I142" s="381"/>
      <c r="J142" s="381"/>
      <c r="K142" s="382"/>
      <c r="L142" s="384"/>
      <c r="M142" s="384"/>
      <c r="N142" s="383"/>
      <c r="O142" s="384"/>
      <c r="P142" s="384"/>
      <c r="Q142" s="383"/>
      <c r="R142" s="383"/>
      <c r="S142" s="385"/>
      <c r="T142" s="380"/>
      <c r="U142" s="380"/>
      <c r="V142" s="380"/>
      <c r="W142" s="380"/>
      <c r="X142" s="380"/>
    </row>
    <row r="143" spans="1:24" ht="15.75" customHeight="1">
      <c r="A143" s="463"/>
      <c r="B143" s="889"/>
      <c r="C143" s="381"/>
      <c r="D143" s="381"/>
      <c r="E143" s="381"/>
      <c r="F143" s="381"/>
      <c r="G143" s="381"/>
      <c r="H143" s="381"/>
      <c r="I143" s="381"/>
      <c r="J143" s="381"/>
      <c r="K143" s="382"/>
      <c r="L143" s="384"/>
      <c r="M143" s="384"/>
      <c r="N143" s="383"/>
      <c r="O143" s="384"/>
      <c r="P143" s="384"/>
      <c r="Q143" s="383"/>
      <c r="R143" s="383"/>
      <c r="S143" s="385"/>
      <c r="T143" s="380"/>
      <c r="U143" s="380"/>
      <c r="V143" s="380"/>
      <c r="W143" s="380"/>
      <c r="X143" s="380"/>
    </row>
    <row r="144" spans="1:24" ht="15.75" customHeight="1">
      <c r="A144" s="463"/>
      <c r="B144" s="889"/>
      <c r="C144" s="381"/>
      <c r="D144" s="381"/>
      <c r="E144" s="381"/>
      <c r="F144" s="381"/>
      <c r="G144" s="381"/>
      <c r="H144" s="381"/>
      <c r="I144" s="381"/>
      <c r="J144" s="381"/>
      <c r="K144" s="382"/>
      <c r="L144" s="384"/>
      <c r="M144" s="384"/>
      <c r="N144" s="383"/>
      <c r="O144" s="384"/>
      <c r="P144" s="384"/>
      <c r="Q144" s="383"/>
      <c r="R144" s="383"/>
      <c r="S144" s="385"/>
      <c r="T144" s="380"/>
      <c r="U144" s="380"/>
      <c r="V144" s="380"/>
      <c r="W144" s="380"/>
      <c r="X144" s="380"/>
    </row>
    <row r="145" spans="1:24" ht="15.75" customHeight="1">
      <c r="A145" s="463"/>
      <c r="B145" s="889"/>
      <c r="C145" s="381"/>
      <c r="D145" s="381"/>
      <c r="E145" s="381"/>
      <c r="F145" s="381"/>
      <c r="G145" s="381"/>
      <c r="H145" s="381"/>
      <c r="I145" s="381"/>
      <c r="J145" s="381"/>
      <c r="K145" s="382"/>
      <c r="L145" s="384"/>
      <c r="M145" s="384"/>
      <c r="N145" s="383"/>
      <c r="O145" s="384"/>
      <c r="P145" s="384"/>
      <c r="Q145" s="383"/>
      <c r="R145" s="383"/>
      <c r="S145" s="385"/>
      <c r="T145" s="380"/>
      <c r="U145" s="380"/>
      <c r="V145" s="380"/>
      <c r="W145" s="380"/>
      <c r="X145" s="380"/>
    </row>
    <row r="146" spans="1:24" ht="15.75" customHeight="1">
      <c r="A146" s="463"/>
      <c r="B146" s="889"/>
      <c r="C146" s="381"/>
      <c r="D146" s="381"/>
      <c r="E146" s="381"/>
      <c r="F146" s="381"/>
      <c r="G146" s="381"/>
      <c r="H146" s="381"/>
      <c r="I146" s="381"/>
      <c r="J146" s="381"/>
      <c r="K146" s="382"/>
      <c r="L146" s="384"/>
      <c r="M146" s="384"/>
      <c r="N146" s="383"/>
      <c r="O146" s="384"/>
      <c r="P146" s="384"/>
      <c r="Q146" s="383"/>
      <c r="R146" s="383"/>
      <c r="S146" s="385"/>
      <c r="T146" s="380"/>
      <c r="U146" s="380"/>
      <c r="V146" s="380"/>
      <c r="W146" s="380"/>
      <c r="X146" s="380"/>
    </row>
    <row r="147" spans="1:24" ht="15.75" customHeight="1">
      <c r="A147" s="463"/>
      <c r="B147" s="889"/>
      <c r="C147" s="381"/>
      <c r="D147" s="381"/>
      <c r="E147" s="381"/>
      <c r="F147" s="381"/>
      <c r="G147" s="381"/>
      <c r="H147" s="381"/>
      <c r="I147" s="381"/>
      <c r="J147" s="381"/>
      <c r="K147" s="382"/>
      <c r="L147" s="384"/>
      <c r="M147" s="384"/>
      <c r="N147" s="383"/>
      <c r="O147" s="384"/>
      <c r="P147" s="384"/>
      <c r="Q147" s="383"/>
      <c r="R147" s="383"/>
      <c r="S147" s="385"/>
      <c r="T147" s="380"/>
      <c r="U147" s="380"/>
      <c r="V147" s="380"/>
      <c r="W147" s="380"/>
      <c r="X147" s="380"/>
    </row>
    <row r="148" spans="1:24" ht="15.75" customHeight="1">
      <c r="A148" s="463"/>
      <c r="B148" s="889"/>
      <c r="C148" s="381"/>
      <c r="D148" s="381"/>
      <c r="E148" s="381"/>
      <c r="F148" s="381"/>
      <c r="G148" s="381"/>
      <c r="H148" s="381"/>
      <c r="I148" s="381"/>
      <c r="J148" s="381"/>
      <c r="K148" s="382"/>
      <c r="L148" s="384"/>
      <c r="M148" s="384"/>
      <c r="N148" s="383"/>
      <c r="O148" s="384"/>
      <c r="P148" s="384"/>
      <c r="Q148" s="383"/>
      <c r="R148" s="383"/>
      <c r="S148" s="385"/>
      <c r="T148" s="380"/>
      <c r="U148" s="380"/>
      <c r="V148" s="380"/>
      <c r="W148" s="380"/>
      <c r="X148" s="380"/>
    </row>
    <row r="149" spans="1:24" ht="15.75" customHeight="1">
      <c r="A149" s="463"/>
      <c r="B149" s="889"/>
      <c r="C149" s="381"/>
      <c r="D149" s="381"/>
      <c r="E149" s="381"/>
      <c r="F149" s="381"/>
      <c r="G149" s="381"/>
      <c r="H149" s="381"/>
      <c r="I149" s="381"/>
      <c r="J149" s="381"/>
      <c r="K149" s="382"/>
      <c r="L149" s="384"/>
      <c r="M149" s="384"/>
      <c r="N149" s="383"/>
      <c r="O149" s="384"/>
      <c r="P149" s="384"/>
      <c r="Q149" s="383"/>
      <c r="R149" s="383"/>
      <c r="S149" s="385"/>
      <c r="T149" s="380"/>
      <c r="U149" s="380"/>
      <c r="V149" s="380"/>
      <c r="W149" s="380"/>
      <c r="X149" s="380"/>
    </row>
    <row r="150" spans="1:24" ht="15.75" customHeight="1">
      <c r="A150" s="463"/>
      <c r="B150" s="889"/>
      <c r="C150" s="381"/>
      <c r="D150" s="381"/>
      <c r="E150" s="381"/>
      <c r="F150" s="381"/>
      <c r="G150" s="381"/>
      <c r="H150" s="381"/>
      <c r="I150" s="381"/>
      <c r="J150" s="381"/>
      <c r="K150" s="382"/>
      <c r="L150" s="384"/>
      <c r="M150" s="384"/>
      <c r="N150" s="383"/>
      <c r="O150" s="384"/>
      <c r="P150" s="384"/>
      <c r="Q150" s="383"/>
      <c r="R150" s="383"/>
      <c r="S150" s="385"/>
      <c r="T150" s="380"/>
      <c r="U150" s="380"/>
      <c r="V150" s="380"/>
      <c r="W150" s="380"/>
      <c r="X150" s="380"/>
    </row>
    <row r="151" spans="1:24" ht="15.75" customHeight="1">
      <c r="A151" s="463"/>
      <c r="B151" s="889"/>
      <c r="C151" s="381"/>
      <c r="D151" s="381"/>
      <c r="E151" s="381"/>
      <c r="F151" s="381"/>
      <c r="G151" s="381"/>
      <c r="H151" s="381"/>
      <c r="I151" s="381"/>
      <c r="J151" s="381"/>
      <c r="K151" s="382"/>
      <c r="L151" s="384"/>
      <c r="M151" s="384"/>
      <c r="N151" s="383"/>
      <c r="O151" s="384"/>
      <c r="P151" s="384"/>
      <c r="Q151" s="383"/>
      <c r="R151" s="383"/>
      <c r="S151" s="385"/>
      <c r="T151" s="380"/>
      <c r="U151" s="380"/>
      <c r="V151" s="380"/>
      <c r="W151" s="380"/>
      <c r="X151" s="380"/>
    </row>
    <row r="152" spans="1:24" ht="15.75" customHeight="1">
      <c r="A152" s="463"/>
      <c r="B152" s="889"/>
      <c r="C152" s="381"/>
      <c r="D152" s="381"/>
      <c r="E152" s="381"/>
      <c r="F152" s="381"/>
      <c r="G152" s="381"/>
      <c r="H152" s="381"/>
      <c r="I152" s="381"/>
      <c r="J152" s="381"/>
      <c r="K152" s="382"/>
      <c r="L152" s="381"/>
      <c r="M152" s="381"/>
      <c r="N152" s="383"/>
      <c r="O152" s="384"/>
      <c r="P152" s="384"/>
      <c r="Q152" s="383"/>
      <c r="R152" s="383"/>
      <c r="S152" s="383"/>
      <c r="T152" s="380"/>
      <c r="U152" s="380"/>
      <c r="V152" s="380"/>
      <c r="W152" s="380"/>
      <c r="X152" s="380"/>
    </row>
    <row r="153" spans="1:24" ht="15.75" customHeight="1">
      <c r="A153" s="463"/>
      <c r="B153" s="889"/>
      <c r="C153" s="381"/>
      <c r="D153" s="381"/>
      <c r="E153" s="381"/>
      <c r="F153" s="381"/>
      <c r="G153" s="381"/>
      <c r="H153" s="381"/>
      <c r="I153" s="381"/>
      <c r="J153" s="381"/>
      <c r="K153" s="382"/>
      <c r="L153" s="384"/>
      <c r="M153" s="384"/>
      <c r="N153" s="383"/>
      <c r="O153" s="384"/>
      <c r="P153" s="384"/>
      <c r="Q153" s="383"/>
      <c r="R153" s="383"/>
      <c r="S153" s="385"/>
      <c r="T153" s="380"/>
      <c r="U153" s="380"/>
      <c r="V153" s="380"/>
      <c r="W153" s="380"/>
      <c r="X153" s="380"/>
    </row>
    <row r="154" spans="1:24" ht="15.75" customHeight="1">
      <c r="A154" s="463"/>
      <c r="B154" s="889"/>
      <c r="C154" s="381"/>
      <c r="D154" s="381"/>
      <c r="E154" s="381"/>
      <c r="F154" s="381"/>
      <c r="G154" s="381"/>
      <c r="H154" s="381"/>
      <c r="I154" s="381"/>
      <c r="J154" s="381"/>
      <c r="K154" s="382"/>
      <c r="L154" s="384"/>
      <c r="M154" s="384"/>
      <c r="N154" s="383"/>
      <c r="O154" s="384"/>
      <c r="P154" s="384"/>
      <c r="Q154" s="383"/>
      <c r="R154" s="383"/>
      <c r="S154" s="385"/>
      <c r="T154" s="380"/>
      <c r="U154" s="380"/>
      <c r="V154" s="380"/>
      <c r="W154" s="380"/>
      <c r="X154" s="380"/>
    </row>
    <row r="155" spans="1:24" ht="15.75" customHeight="1">
      <c r="A155" s="463"/>
      <c r="B155" s="889"/>
      <c r="C155" s="381"/>
      <c r="D155" s="381"/>
      <c r="E155" s="381"/>
      <c r="F155" s="381"/>
      <c r="G155" s="381"/>
      <c r="H155" s="381"/>
      <c r="I155" s="381"/>
      <c r="J155" s="381"/>
      <c r="K155" s="382"/>
      <c r="L155" s="384"/>
      <c r="M155" s="384"/>
      <c r="N155" s="383"/>
      <c r="O155" s="384"/>
      <c r="P155" s="384"/>
      <c r="Q155" s="383"/>
      <c r="R155" s="383"/>
      <c r="S155" s="385"/>
      <c r="T155" s="380"/>
      <c r="U155" s="380"/>
      <c r="V155" s="380"/>
      <c r="W155" s="380"/>
      <c r="X155" s="380"/>
    </row>
    <row r="156" spans="1:24" ht="15.75" customHeight="1">
      <c r="A156" s="463"/>
      <c r="B156" s="889"/>
      <c r="C156" s="381"/>
      <c r="D156" s="381"/>
      <c r="E156" s="381"/>
      <c r="F156" s="381"/>
      <c r="G156" s="381"/>
      <c r="H156" s="381"/>
      <c r="I156" s="381"/>
      <c r="J156" s="381"/>
      <c r="K156" s="382"/>
      <c r="L156" s="381"/>
      <c r="M156" s="381"/>
      <c r="N156" s="383"/>
      <c r="O156" s="384"/>
      <c r="P156" s="384"/>
      <c r="Q156" s="383"/>
      <c r="R156" s="383"/>
      <c r="S156" s="383"/>
      <c r="T156" s="380"/>
      <c r="U156" s="380"/>
      <c r="V156" s="380"/>
      <c r="W156" s="380"/>
      <c r="X156" s="380"/>
    </row>
    <row r="157" spans="1:24" ht="15.75" customHeight="1">
      <c r="A157" s="463"/>
      <c r="B157" s="889"/>
      <c r="C157" s="381"/>
      <c r="D157" s="381"/>
      <c r="E157" s="381"/>
      <c r="F157" s="381"/>
      <c r="G157" s="381"/>
      <c r="H157" s="381"/>
      <c r="I157" s="381"/>
      <c r="J157" s="381"/>
      <c r="K157" s="382"/>
      <c r="L157" s="384"/>
      <c r="M157" s="384"/>
      <c r="N157" s="383"/>
      <c r="O157" s="384"/>
      <c r="P157" s="384"/>
      <c r="Q157" s="383"/>
      <c r="R157" s="383"/>
      <c r="S157" s="385"/>
      <c r="T157" s="380"/>
      <c r="U157" s="380"/>
      <c r="V157" s="380"/>
      <c r="W157" s="380"/>
      <c r="X157" s="380"/>
    </row>
    <row r="158" spans="1:24" ht="15.75" customHeight="1">
      <c r="A158" s="463"/>
      <c r="B158" s="889"/>
      <c r="C158" s="381"/>
      <c r="D158" s="381"/>
      <c r="E158" s="381"/>
      <c r="F158" s="381"/>
      <c r="G158" s="381"/>
      <c r="H158" s="381"/>
      <c r="I158" s="381"/>
      <c r="J158" s="381"/>
      <c r="K158" s="382"/>
      <c r="L158" s="384"/>
      <c r="M158" s="384"/>
      <c r="N158" s="383"/>
      <c r="O158" s="384"/>
      <c r="P158" s="384"/>
      <c r="Q158" s="383"/>
      <c r="R158" s="383"/>
      <c r="S158" s="385"/>
      <c r="T158" s="380"/>
      <c r="U158" s="380"/>
      <c r="V158" s="380"/>
      <c r="W158" s="380"/>
      <c r="X158" s="380"/>
    </row>
    <row r="159" spans="1:24" ht="15.75" customHeight="1">
      <c r="A159" s="463"/>
      <c r="B159" s="889"/>
      <c r="C159" s="381"/>
      <c r="D159" s="381"/>
      <c r="E159" s="381"/>
      <c r="F159" s="381"/>
      <c r="G159" s="381"/>
      <c r="H159" s="381"/>
      <c r="I159" s="381"/>
      <c r="J159" s="381"/>
      <c r="K159" s="382"/>
      <c r="L159" s="384"/>
      <c r="M159" s="384"/>
      <c r="N159" s="383"/>
      <c r="O159" s="384"/>
      <c r="P159" s="384"/>
      <c r="Q159" s="383"/>
      <c r="R159" s="383"/>
      <c r="S159" s="385"/>
      <c r="T159" s="380"/>
      <c r="U159" s="380"/>
      <c r="V159" s="380"/>
      <c r="W159" s="380"/>
      <c r="X159" s="380"/>
    </row>
    <row r="160" spans="1:24" ht="15.75" customHeight="1">
      <c r="A160" s="463"/>
      <c r="B160" s="889"/>
      <c r="C160" s="381"/>
      <c r="D160" s="381"/>
      <c r="E160" s="381"/>
      <c r="F160" s="381"/>
      <c r="G160" s="381"/>
      <c r="H160" s="381"/>
      <c r="I160" s="381"/>
      <c r="J160" s="381"/>
      <c r="K160" s="382"/>
      <c r="L160" s="384"/>
      <c r="M160" s="384"/>
      <c r="N160" s="383"/>
      <c r="O160" s="384"/>
      <c r="P160" s="384"/>
      <c r="Q160" s="383"/>
      <c r="R160" s="383"/>
      <c r="S160" s="385"/>
      <c r="T160" s="380"/>
      <c r="U160" s="380"/>
      <c r="V160" s="380"/>
      <c r="W160" s="380"/>
      <c r="X160" s="380"/>
    </row>
    <row r="161" spans="1:24" ht="15.75" customHeight="1">
      <c r="A161" s="463"/>
      <c r="B161" s="889"/>
      <c r="C161" s="381"/>
      <c r="D161" s="381"/>
      <c r="E161" s="381"/>
      <c r="F161" s="381"/>
      <c r="G161" s="381"/>
      <c r="H161" s="381"/>
      <c r="I161" s="381"/>
      <c r="J161" s="381"/>
      <c r="K161" s="382"/>
      <c r="L161" s="384"/>
      <c r="M161" s="384"/>
      <c r="N161" s="383"/>
      <c r="O161" s="384"/>
      <c r="P161" s="384"/>
      <c r="Q161" s="383"/>
      <c r="R161" s="383"/>
      <c r="S161" s="385"/>
      <c r="T161" s="380"/>
      <c r="U161" s="380"/>
      <c r="V161" s="380"/>
      <c r="W161" s="380"/>
      <c r="X161" s="380"/>
    </row>
    <row r="162" spans="1:24" ht="15.75" customHeight="1">
      <c r="A162" s="463"/>
      <c r="B162" s="889"/>
      <c r="C162" s="381"/>
      <c r="D162" s="381"/>
      <c r="E162" s="381"/>
      <c r="F162" s="381"/>
      <c r="G162" s="381"/>
      <c r="H162" s="381"/>
      <c r="I162" s="381"/>
      <c r="J162" s="381"/>
      <c r="K162" s="382"/>
      <c r="L162" s="384"/>
      <c r="M162" s="384"/>
      <c r="N162" s="383"/>
      <c r="O162" s="384"/>
      <c r="P162" s="384"/>
      <c r="Q162" s="383"/>
      <c r="R162" s="383"/>
      <c r="S162" s="385"/>
      <c r="T162" s="380"/>
      <c r="U162" s="380"/>
      <c r="V162" s="380"/>
      <c r="W162" s="380"/>
      <c r="X162" s="380"/>
    </row>
    <row r="163" spans="1:24" ht="15.75" customHeight="1">
      <c r="A163" s="463"/>
      <c r="B163" s="889"/>
      <c r="C163" s="381"/>
      <c r="D163" s="381"/>
      <c r="E163" s="381"/>
      <c r="F163" s="381"/>
      <c r="G163" s="381"/>
      <c r="H163" s="381"/>
      <c r="I163" s="381"/>
      <c r="J163" s="381"/>
      <c r="K163" s="382"/>
      <c r="L163" s="381"/>
      <c r="M163" s="381"/>
      <c r="N163" s="383"/>
      <c r="O163" s="384"/>
      <c r="P163" s="384"/>
      <c r="Q163" s="383"/>
      <c r="R163" s="383"/>
      <c r="S163" s="383"/>
      <c r="T163" s="380"/>
      <c r="U163" s="380"/>
      <c r="V163" s="380"/>
      <c r="W163" s="380"/>
      <c r="X163" s="380"/>
    </row>
    <row r="164" spans="1:24" ht="15.75" customHeight="1">
      <c r="A164" s="463"/>
      <c r="B164" s="889"/>
      <c r="C164" s="381"/>
      <c r="D164" s="381"/>
      <c r="E164" s="381"/>
      <c r="F164" s="381"/>
      <c r="G164" s="381"/>
      <c r="H164" s="381"/>
      <c r="I164" s="381"/>
      <c r="J164" s="381"/>
      <c r="K164" s="382"/>
      <c r="L164" s="384"/>
      <c r="M164" s="384"/>
      <c r="N164" s="383"/>
      <c r="O164" s="384"/>
      <c r="P164" s="384"/>
      <c r="Q164" s="383"/>
      <c r="R164" s="383"/>
      <c r="S164" s="385"/>
      <c r="T164" s="380"/>
      <c r="U164" s="380"/>
      <c r="V164" s="380"/>
      <c r="W164" s="380"/>
      <c r="X164" s="380"/>
    </row>
    <row r="165" spans="1:24" ht="15.75" customHeight="1">
      <c r="A165" s="463"/>
      <c r="B165" s="889"/>
      <c r="C165" s="381"/>
      <c r="D165" s="381"/>
      <c r="E165" s="381"/>
      <c r="F165" s="381"/>
      <c r="G165" s="381"/>
      <c r="H165" s="381"/>
      <c r="I165" s="381"/>
      <c r="J165" s="381"/>
      <c r="K165" s="382"/>
      <c r="L165" s="384"/>
      <c r="M165" s="384"/>
      <c r="N165" s="383"/>
      <c r="O165" s="384"/>
      <c r="P165" s="384"/>
      <c r="Q165" s="383"/>
      <c r="R165" s="383"/>
      <c r="S165" s="385"/>
      <c r="T165" s="380"/>
      <c r="U165" s="380"/>
      <c r="V165" s="380"/>
      <c r="W165" s="380"/>
      <c r="X165" s="380"/>
    </row>
    <row r="166" spans="1:24" ht="15.75" customHeight="1">
      <c r="A166" s="463"/>
      <c r="B166" s="889"/>
      <c r="C166" s="381"/>
      <c r="D166" s="381"/>
      <c r="E166" s="381"/>
      <c r="F166" s="381"/>
      <c r="G166" s="381"/>
      <c r="H166" s="381"/>
      <c r="I166" s="381"/>
      <c r="J166" s="381"/>
      <c r="K166" s="382"/>
      <c r="L166" s="384"/>
      <c r="M166" s="384"/>
      <c r="N166" s="383"/>
      <c r="O166" s="384"/>
      <c r="P166" s="384"/>
      <c r="Q166" s="383"/>
      <c r="R166" s="383"/>
      <c r="S166" s="385"/>
      <c r="T166" s="380"/>
      <c r="U166" s="380"/>
      <c r="V166" s="380"/>
      <c r="W166" s="380"/>
      <c r="X166" s="380"/>
    </row>
    <row r="167" spans="1:24" ht="15.75" customHeight="1">
      <c r="A167" s="463"/>
      <c r="B167" s="889"/>
      <c r="C167" s="381"/>
      <c r="D167" s="381"/>
      <c r="E167" s="381"/>
      <c r="F167" s="381"/>
      <c r="G167" s="381"/>
      <c r="H167" s="381"/>
      <c r="I167" s="381"/>
      <c r="J167" s="381"/>
      <c r="K167" s="382"/>
      <c r="L167" s="384"/>
      <c r="M167" s="384"/>
      <c r="N167" s="383"/>
      <c r="O167" s="384"/>
      <c r="P167" s="384"/>
      <c r="Q167" s="383"/>
      <c r="R167" s="383"/>
      <c r="S167" s="385"/>
      <c r="T167" s="380"/>
      <c r="U167" s="380"/>
      <c r="V167" s="380"/>
      <c r="W167" s="380"/>
      <c r="X167" s="380"/>
    </row>
    <row r="168" spans="1:24" ht="15.75" customHeight="1">
      <c r="A168" s="463"/>
      <c r="B168" s="889"/>
      <c r="C168" s="381"/>
      <c r="D168" s="381"/>
      <c r="E168" s="381"/>
      <c r="F168" s="381"/>
      <c r="G168" s="381"/>
      <c r="H168" s="381"/>
      <c r="I168" s="381"/>
      <c r="J168" s="381"/>
      <c r="K168" s="382"/>
      <c r="L168" s="384"/>
      <c r="M168" s="384"/>
      <c r="N168" s="383"/>
      <c r="O168" s="384"/>
      <c r="P168" s="384"/>
      <c r="Q168" s="383"/>
      <c r="R168" s="383"/>
      <c r="S168" s="385"/>
      <c r="T168" s="380"/>
      <c r="U168" s="380"/>
      <c r="V168" s="380"/>
      <c r="W168" s="380"/>
      <c r="X168" s="380"/>
    </row>
    <row r="169" spans="1:24" ht="15.75" customHeight="1">
      <c r="A169" s="463"/>
      <c r="B169" s="889"/>
      <c r="C169" s="381"/>
      <c r="D169" s="381"/>
      <c r="E169" s="381"/>
      <c r="F169" s="381"/>
      <c r="G169" s="381"/>
      <c r="H169" s="381"/>
      <c r="I169" s="381"/>
      <c r="J169" s="381"/>
      <c r="K169" s="382"/>
      <c r="L169" s="384"/>
      <c r="M169" s="384"/>
      <c r="N169" s="383"/>
      <c r="O169" s="384"/>
      <c r="P169" s="384"/>
      <c r="Q169" s="383"/>
      <c r="R169" s="383"/>
      <c r="S169" s="385"/>
      <c r="T169" s="380"/>
      <c r="U169" s="380"/>
      <c r="V169" s="380"/>
      <c r="W169" s="380"/>
      <c r="X169" s="380"/>
    </row>
    <row r="170" spans="1:24" ht="15.75" customHeight="1">
      <c r="A170" s="463"/>
      <c r="B170" s="889"/>
      <c r="C170" s="381"/>
      <c r="D170" s="381"/>
      <c r="E170" s="381"/>
      <c r="F170" s="381"/>
      <c r="G170" s="381"/>
      <c r="H170" s="381"/>
      <c r="I170" s="381"/>
      <c r="J170" s="381"/>
      <c r="K170" s="382"/>
      <c r="L170" s="384"/>
      <c r="M170" s="384"/>
      <c r="N170" s="383"/>
      <c r="O170" s="384"/>
      <c r="P170" s="384"/>
      <c r="Q170" s="383"/>
      <c r="R170" s="383"/>
      <c r="S170" s="385"/>
      <c r="T170" s="380"/>
      <c r="U170" s="380"/>
      <c r="V170" s="380"/>
      <c r="W170" s="380"/>
      <c r="X170" s="380"/>
    </row>
    <row r="171" spans="1:24" ht="15.75" customHeight="1">
      <c r="A171" s="463"/>
      <c r="B171" s="889"/>
      <c r="C171" s="381"/>
      <c r="D171" s="381"/>
      <c r="E171" s="381"/>
      <c r="F171" s="381"/>
      <c r="G171" s="381"/>
      <c r="H171" s="381"/>
      <c r="I171" s="381"/>
      <c r="J171" s="381"/>
      <c r="K171" s="382"/>
      <c r="L171" s="381"/>
      <c r="M171" s="381"/>
      <c r="N171" s="383"/>
      <c r="O171" s="384"/>
      <c r="P171" s="384"/>
      <c r="Q171" s="383"/>
      <c r="R171" s="383"/>
      <c r="S171" s="383"/>
      <c r="T171" s="380"/>
      <c r="U171" s="380"/>
      <c r="V171" s="380"/>
      <c r="W171" s="380"/>
      <c r="X171" s="380"/>
    </row>
    <row r="172" spans="1:24" ht="15.75" customHeight="1">
      <c r="A172" s="463"/>
      <c r="B172" s="889"/>
      <c r="C172" s="381"/>
      <c r="D172" s="381"/>
      <c r="E172" s="381"/>
      <c r="F172" s="381"/>
      <c r="G172" s="381"/>
      <c r="H172" s="381"/>
      <c r="I172" s="381"/>
      <c r="J172" s="381"/>
      <c r="K172" s="382"/>
      <c r="L172" s="384"/>
      <c r="M172" s="384"/>
      <c r="N172" s="383"/>
      <c r="O172" s="384"/>
      <c r="P172" s="384"/>
      <c r="Q172" s="383"/>
      <c r="R172" s="383"/>
      <c r="S172" s="385"/>
      <c r="T172" s="380"/>
      <c r="U172" s="380"/>
      <c r="V172" s="380"/>
      <c r="W172" s="380"/>
      <c r="X172" s="380"/>
    </row>
    <row r="173" spans="1:24" ht="15.75" customHeight="1">
      <c r="A173" s="463"/>
      <c r="B173" s="889"/>
      <c r="C173" s="381"/>
      <c r="D173" s="381"/>
      <c r="E173" s="381"/>
      <c r="F173" s="381"/>
      <c r="G173" s="381"/>
      <c r="H173" s="381"/>
      <c r="I173" s="381"/>
      <c r="J173" s="381"/>
      <c r="K173" s="382"/>
      <c r="L173" s="384"/>
      <c r="M173" s="384"/>
      <c r="N173" s="383"/>
      <c r="O173" s="384"/>
      <c r="P173" s="384"/>
      <c r="Q173" s="383"/>
      <c r="R173" s="383"/>
      <c r="S173" s="385"/>
      <c r="T173" s="380"/>
      <c r="U173" s="380"/>
      <c r="V173" s="380"/>
      <c r="W173" s="380"/>
      <c r="X173" s="380"/>
    </row>
    <row r="174" spans="1:24" ht="15.75" customHeight="1">
      <c r="A174" s="463"/>
      <c r="B174" s="889"/>
      <c r="C174" s="381"/>
      <c r="D174" s="381"/>
      <c r="E174" s="381"/>
      <c r="F174" s="381"/>
      <c r="G174" s="381"/>
      <c r="H174" s="381"/>
      <c r="I174" s="381"/>
      <c r="J174" s="381"/>
      <c r="K174" s="382"/>
      <c r="L174" s="381"/>
      <c r="M174" s="381"/>
      <c r="N174" s="383"/>
      <c r="O174" s="384"/>
      <c r="P174" s="384"/>
      <c r="Q174" s="383"/>
      <c r="R174" s="383"/>
      <c r="S174" s="383"/>
      <c r="T174" s="380"/>
      <c r="U174" s="380"/>
      <c r="V174" s="380"/>
      <c r="W174" s="380"/>
      <c r="X174" s="380"/>
    </row>
    <row r="175" spans="1:24" ht="15.75" customHeight="1">
      <c r="A175" s="463"/>
      <c r="B175" s="889"/>
      <c r="C175" s="381"/>
      <c r="D175" s="381"/>
      <c r="E175" s="381"/>
      <c r="F175" s="381"/>
      <c r="G175" s="381"/>
      <c r="H175" s="381"/>
      <c r="I175" s="381"/>
      <c r="J175" s="381"/>
      <c r="K175" s="382"/>
      <c r="L175" s="384"/>
      <c r="M175" s="384"/>
      <c r="N175" s="383"/>
      <c r="O175" s="384"/>
      <c r="P175" s="384"/>
      <c r="Q175" s="383"/>
      <c r="R175" s="383"/>
      <c r="S175" s="385"/>
      <c r="T175" s="380"/>
      <c r="U175" s="380"/>
      <c r="V175" s="380"/>
      <c r="W175" s="380"/>
      <c r="X175" s="380"/>
    </row>
    <row r="176" spans="1:24" ht="15.75" customHeight="1">
      <c r="A176" s="463"/>
      <c r="B176" s="889"/>
      <c r="C176" s="381"/>
      <c r="D176" s="381"/>
      <c r="E176" s="381"/>
      <c r="F176" s="381"/>
      <c r="G176" s="381"/>
      <c r="H176" s="381"/>
      <c r="I176" s="381"/>
      <c r="J176" s="381"/>
      <c r="K176" s="382"/>
      <c r="L176" s="384"/>
      <c r="M176" s="384"/>
      <c r="N176" s="383"/>
      <c r="O176" s="384"/>
      <c r="P176" s="384"/>
      <c r="Q176" s="383"/>
      <c r="R176" s="383"/>
      <c r="S176" s="385"/>
      <c r="T176" s="380"/>
      <c r="U176" s="380"/>
      <c r="V176" s="380"/>
      <c r="W176" s="380"/>
      <c r="X176" s="380"/>
    </row>
    <row r="177" spans="1:24" ht="15.75" customHeight="1">
      <c r="A177" s="463"/>
      <c r="B177" s="889"/>
      <c r="C177" s="381"/>
      <c r="D177" s="381"/>
      <c r="E177" s="381"/>
      <c r="F177" s="381"/>
      <c r="G177" s="381"/>
      <c r="H177" s="381"/>
      <c r="I177" s="381"/>
      <c r="J177" s="381"/>
      <c r="K177" s="382"/>
      <c r="L177" s="381"/>
      <c r="M177" s="381"/>
      <c r="N177" s="383"/>
      <c r="O177" s="384"/>
      <c r="P177" s="384"/>
      <c r="Q177" s="383"/>
      <c r="R177" s="383"/>
      <c r="S177" s="383"/>
      <c r="T177" s="380"/>
      <c r="U177" s="380"/>
      <c r="V177" s="380"/>
      <c r="W177" s="380"/>
      <c r="X177" s="380"/>
    </row>
    <row r="178" spans="1:24" ht="15.75" customHeight="1">
      <c r="A178" s="463"/>
      <c r="B178" s="889"/>
      <c r="C178" s="381"/>
      <c r="D178" s="381"/>
      <c r="E178" s="381"/>
      <c r="F178" s="381"/>
      <c r="G178" s="381"/>
      <c r="H178" s="381"/>
      <c r="I178" s="381"/>
      <c r="J178" s="381"/>
      <c r="K178" s="382"/>
      <c r="L178" s="384"/>
      <c r="M178" s="384"/>
      <c r="N178" s="383"/>
      <c r="O178" s="384"/>
      <c r="P178" s="384"/>
      <c r="Q178" s="383"/>
      <c r="R178" s="383"/>
      <c r="S178" s="385"/>
      <c r="T178" s="380"/>
      <c r="U178" s="380"/>
      <c r="V178" s="380"/>
      <c r="W178" s="380"/>
      <c r="X178" s="380"/>
    </row>
    <row r="179" spans="1:24" ht="15.75" customHeight="1">
      <c r="A179" s="463"/>
      <c r="B179" s="889"/>
      <c r="C179" s="381"/>
      <c r="D179" s="381"/>
      <c r="E179" s="381"/>
      <c r="F179" s="381"/>
      <c r="G179" s="381"/>
      <c r="H179" s="381"/>
      <c r="I179" s="381"/>
      <c r="J179" s="381"/>
      <c r="K179" s="382"/>
      <c r="L179" s="384"/>
      <c r="M179" s="384"/>
      <c r="N179" s="383"/>
      <c r="O179" s="384"/>
      <c r="P179" s="384"/>
      <c r="Q179" s="383"/>
      <c r="R179" s="383"/>
      <c r="S179" s="385"/>
      <c r="T179" s="380"/>
      <c r="U179" s="380"/>
      <c r="V179" s="380"/>
      <c r="W179" s="380"/>
      <c r="X179" s="380"/>
    </row>
    <row r="180" spans="1:24" ht="15.75" customHeight="1">
      <c r="A180" s="463"/>
      <c r="B180" s="889"/>
      <c r="C180" s="381"/>
      <c r="D180" s="381"/>
      <c r="E180" s="381"/>
      <c r="F180" s="381"/>
      <c r="G180" s="381"/>
      <c r="H180" s="381"/>
      <c r="I180" s="381"/>
      <c r="J180" s="381"/>
      <c r="K180" s="382"/>
      <c r="L180" s="381"/>
      <c r="M180" s="381"/>
      <c r="N180" s="383"/>
      <c r="O180" s="384"/>
      <c r="P180" s="384"/>
      <c r="Q180" s="383"/>
      <c r="R180" s="383"/>
      <c r="S180" s="383"/>
      <c r="T180" s="380"/>
      <c r="U180" s="380"/>
      <c r="V180" s="380"/>
      <c r="W180" s="380"/>
      <c r="X180" s="380"/>
    </row>
    <row r="181" spans="1:24" ht="15.75" customHeight="1">
      <c r="A181" s="463"/>
      <c r="B181" s="889"/>
      <c r="C181" s="381"/>
      <c r="D181" s="381"/>
      <c r="E181" s="381"/>
      <c r="F181" s="381"/>
      <c r="G181" s="381"/>
      <c r="H181" s="381"/>
      <c r="I181" s="381"/>
      <c r="J181" s="381"/>
      <c r="K181" s="382"/>
      <c r="L181" s="384"/>
      <c r="M181" s="384"/>
      <c r="N181" s="383"/>
      <c r="O181" s="384"/>
      <c r="P181" s="384"/>
      <c r="Q181" s="383"/>
      <c r="R181" s="383"/>
      <c r="S181" s="385"/>
      <c r="T181" s="380"/>
      <c r="U181" s="380"/>
      <c r="V181" s="380"/>
      <c r="W181" s="380"/>
      <c r="X181" s="380"/>
    </row>
    <row r="182" spans="1:24" ht="15.75" customHeight="1">
      <c r="A182" s="463"/>
      <c r="B182" s="889"/>
      <c r="C182" s="381"/>
      <c r="D182" s="381"/>
      <c r="E182" s="381"/>
      <c r="F182" s="381"/>
      <c r="G182" s="381"/>
      <c r="H182" s="381"/>
      <c r="I182" s="381"/>
      <c r="J182" s="381"/>
      <c r="K182" s="382"/>
      <c r="L182" s="384"/>
      <c r="M182" s="384"/>
      <c r="N182" s="383"/>
      <c r="O182" s="384"/>
      <c r="P182" s="384"/>
      <c r="Q182" s="383"/>
      <c r="R182" s="383"/>
      <c r="S182" s="385"/>
      <c r="T182" s="380"/>
      <c r="U182" s="380"/>
      <c r="V182" s="380"/>
      <c r="W182" s="380"/>
      <c r="X182" s="380"/>
    </row>
    <row r="183" spans="1:24" ht="15.75" customHeight="1">
      <c r="A183" s="463"/>
      <c r="B183" s="889"/>
      <c r="C183" s="381"/>
      <c r="D183" s="381"/>
      <c r="E183" s="381"/>
      <c r="F183" s="381"/>
      <c r="G183" s="381"/>
      <c r="H183" s="381"/>
      <c r="I183" s="381"/>
      <c r="J183" s="381"/>
      <c r="K183" s="382"/>
      <c r="L183" s="384"/>
      <c r="M183" s="384"/>
      <c r="N183" s="383"/>
      <c r="O183" s="384"/>
      <c r="P183" s="384"/>
      <c r="Q183" s="383"/>
      <c r="R183" s="383"/>
      <c r="S183" s="385"/>
      <c r="T183" s="380"/>
      <c r="U183" s="380"/>
      <c r="V183" s="380"/>
      <c r="W183" s="380"/>
      <c r="X183" s="380"/>
    </row>
    <row r="184" spans="1:24" ht="15.75" customHeight="1">
      <c r="A184" s="463"/>
      <c r="B184" s="889"/>
      <c r="C184" s="381"/>
      <c r="D184" s="381"/>
      <c r="E184" s="381"/>
      <c r="F184" s="381"/>
      <c r="G184" s="381"/>
      <c r="H184" s="381"/>
      <c r="I184" s="381"/>
      <c r="J184" s="381"/>
      <c r="K184" s="382"/>
      <c r="L184" s="384"/>
      <c r="M184" s="384"/>
      <c r="N184" s="383"/>
      <c r="O184" s="384"/>
      <c r="P184" s="384"/>
      <c r="Q184" s="383"/>
      <c r="R184" s="383"/>
      <c r="S184" s="385"/>
      <c r="T184" s="380"/>
      <c r="U184" s="380"/>
      <c r="V184" s="380"/>
      <c r="W184" s="380"/>
      <c r="X184" s="380"/>
    </row>
    <row r="185" spans="1:24" ht="15.75" customHeight="1">
      <c r="A185" s="463"/>
      <c r="B185" s="889"/>
      <c r="C185" s="381"/>
      <c r="D185" s="381"/>
      <c r="E185" s="381"/>
      <c r="F185" s="381"/>
      <c r="G185" s="381"/>
      <c r="H185" s="381"/>
      <c r="I185" s="381"/>
      <c r="J185" s="381"/>
      <c r="K185" s="382"/>
      <c r="L185" s="384"/>
      <c r="M185" s="384"/>
      <c r="N185" s="383"/>
      <c r="O185" s="384"/>
      <c r="P185" s="384"/>
      <c r="Q185" s="383"/>
      <c r="R185" s="383"/>
      <c r="S185" s="385"/>
      <c r="T185" s="380"/>
      <c r="U185" s="380"/>
      <c r="V185" s="380"/>
      <c r="W185" s="380"/>
      <c r="X185" s="380"/>
    </row>
    <row r="186" spans="1:24" ht="15.75" customHeight="1">
      <c r="A186" s="463"/>
      <c r="B186" s="889"/>
      <c r="C186" s="381"/>
      <c r="D186" s="381"/>
      <c r="E186" s="381"/>
      <c r="F186" s="381"/>
      <c r="G186" s="381"/>
      <c r="H186" s="381"/>
      <c r="I186" s="381"/>
      <c r="J186" s="381"/>
      <c r="K186" s="382"/>
      <c r="L186" s="384"/>
      <c r="M186" s="384"/>
      <c r="N186" s="383"/>
      <c r="O186" s="384"/>
      <c r="P186" s="384"/>
      <c r="Q186" s="383"/>
      <c r="R186" s="383"/>
      <c r="S186" s="385"/>
      <c r="T186" s="380"/>
      <c r="U186" s="380"/>
      <c r="V186" s="380"/>
      <c r="W186" s="380"/>
      <c r="X186" s="380"/>
    </row>
    <row r="187" spans="1:24" ht="15.75" customHeight="1">
      <c r="A187" s="463"/>
      <c r="B187" s="889"/>
      <c r="C187" s="381"/>
      <c r="D187" s="381"/>
      <c r="E187" s="381"/>
      <c r="F187" s="381"/>
      <c r="G187" s="381"/>
      <c r="H187" s="381"/>
      <c r="I187" s="381"/>
      <c r="J187" s="381"/>
      <c r="K187" s="382"/>
      <c r="L187" s="384"/>
      <c r="M187" s="384"/>
      <c r="N187" s="383"/>
      <c r="O187" s="384"/>
      <c r="P187" s="384"/>
      <c r="Q187" s="383"/>
      <c r="R187" s="383"/>
      <c r="S187" s="385"/>
      <c r="T187" s="380"/>
      <c r="U187" s="380"/>
      <c r="V187" s="380"/>
      <c r="W187" s="380"/>
      <c r="X187" s="380"/>
    </row>
    <row r="188" spans="1:24" ht="15.75" customHeight="1">
      <c r="A188" s="463"/>
      <c r="B188" s="889"/>
      <c r="C188" s="381"/>
      <c r="D188" s="381"/>
      <c r="E188" s="381"/>
      <c r="F188" s="381"/>
      <c r="G188" s="381"/>
      <c r="H188" s="381"/>
      <c r="I188" s="381"/>
      <c r="J188" s="381"/>
      <c r="K188" s="382"/>
      <c r="L188" s="384"/>
      <c r="M188" s="384"/>
      <c r="N188" s="383"/>
      <c r="O188" s="384"/>
      <c r="P188" s="384"/>
      <c r="Q188" s="383"/>
      <c r="R188" s="383"/>
      <c r="S188" s="385"/>
      <c r="T188" s="380"/>
      <c r="U188" s="380"/>
      <c r="V188" s="380"/>
      <c r="W188" s="380"/>
      <c r="X188" s="380"/>
    </row>
    <row r="189" spans="1:24" ht="15.75" customHeight="1">
      <c r="A189" s="463"/>
      <c r="B189" s="889"/>
      <c r="C189" s="381"/>
      <c r="D189" s="381"/>
      <c r="E189" s="381"/>
      <c r="F189" s="381"/>
      <c r="G189" s="381"/>
      <c r="H189" s="381"/>
      <c r="I189" s="381"/>
      <c r="J189" s="381"/>
      <c r="K189" s="382"/>
      <c r="L189" s="384"/>
      <c r="M189" s="384"/>
      <c r="N189" s="383"/>
      <c r="O189" s="384"/>
      <c r="P189" s="384"/>
      <c r="Q189" s="383"/>
      <c r="R189" s="383"/>
      <c r="S189" s="385"/>
      <c r="T189" s="380"/>
      <c r="U189" s="380"/>
      <c r="V189" s="380"/>
      <c r="W189" s="380"/>
      <c r="X189" s="380"/>
    </row>
    <row r="190" spans="1:24" ht="15.75" customHeight="1">
      <c r="A190" s="463"/>
      <c r="B190" s="889"/>
      <c r="C190" s="381"/>
      <c r="D190" s="381"/>
      <c r="E190" s="381"/>
      <c r="F190" s="381"/>
      <c r="G190" s="381"/>
      <c r="H190" s="381"/>
      <c r="I190" s="381"/>
      <c r="J190" s="381"/>
      <c r="K190" s="382"/>
      <c r="L190" s="381"/>
      <c r="M190" s="381"/>
      <c r="N190" s="383"/>
      <c r="O190" s="384"/>
      <c r="P190" s="384"/>
      <c r="Q190" s="383"/>
      <c r="R190" s="383"/>
      <c r="S190" s="383"/>
      <c r="T190" s="380"/>
      <c r="U190" s="380"/>
      <c r="V190" s="380"/>
      <c r="W190" s="380"/>
      <c r="X190" s="380"/>
    </row>
    <row r="191" spans="1:24" ht="15.75" customHeight="1">
      <c r="A191" s="463"/>
      <c r="C191" s="381"/>
      <c r="D191" s="381"/>
      <c r="E191" s="381"/>
      <c r="F191" s="381"/>
      <c r="G191" s="381"/>
      <c r="H191" s="381"/>
      <c r="I191" s="381"/>
      <c r="J191" s="381"/>
      <c r="K191" s="382"/>
      <c r="L191" s="381"/>
      <c r="M191" s="381"/>
      <c r="N191" s="383"/>
      <c r="O191" s="384"/>
      <c r="P191" s="384"/>
      <c r="Q191" s="383"/>
      <c r="R191" s="383"/>
      <c r="S191" s="385"/>
      <c r="T191" s="380"/>
      <c r="U191" s="380"/>
      <c r="V191" s="380"/>
      <c r="W191" s="380"/>
      <c r="X191" s="380"/>
    </row>
    <row r="192" spans="1:24" ht="15.75" customHeight="1">
      <c r="A192" s="463"/>
      <c r="B192" s="412"/>
      <c r="C192" s="381"/>
      <c r="D192" s="381"/>
      <c r="E192" s="381"/>
      <c r="F192" s="381"/>
      <c r="G192" s="381"/>
      <c r="H192" s="381"/>
      <c r="I192" s="381"/>
      <c r="J192" s="381"/>
      <c r="K192" s="382"/>
      <c r="L192" s="384"/>
      <c r="M192" s="413"/>
      <c r="N192" s="383"/>
      <c r="O192" s="384"/>
      <c r="P192" s="384"/>
      <c r="Q192" s="383"/>
      <c r="R192" s="414"/>
      <c r="S192" s="415"/>
      <c r="T192" s="380"/>
      <c r="U192" s="380"/>
      <c r="V192" s="380"/>
      <c r="W192" s="380"/>
      <c r="X192" s="380"/>
    </row>
    <row r="193" spans="1:24" ht="15.75" customHeight="1">
      <c r="A193" s="463"/>
      <c r="B193" s="412"/>
      <c r="C193" s="381"/>
      <c r="D193" s="381"/>
      <c r="E193" s="381"/>
      <c r="F193" s="381"/>
      <c r="G193" s="381"/>
      <c r="H193" s="381"/>
      <c r="I193" s="381"/>
      <c r="J193" s="381"/>
      <c r="K193" s="382"/>
      <c r="L193" s="384"/>
      <c r="M193" s="413"/>
      <c r="N193" s="383"/>
      <c r="O193" s="384"/>
      <c r="P193" s="384"/>
      <c r="Q193" s="383"/>
      <c r="R193" s="383"/>
      <c r="S193" s="385"/>
      <c r="T193" s="380"/>
      <c r="U193" s="380"/>
      <c r="V193" s="380"/>
      <c r="W193" s="380"/>
      <c r="X193" s="380"/>
    </row>
    <row r="194" spans="1:24" ht="15" customHeight="1">
      <c r="A194" s="463"/>
      <c r="B194" s="893"/>
      <c r="C194" s="381"/>
      <c r="D194" s="381"/>
      <c r="E194" s="381"/>
      <c r="F194" s="381"/>
      <c r="G194" s="381"/>
      <c r="H194" s="381"/>
      <c r="I194" s="381"/>
      <c r="J194" s="381"/>
      <c r="K194" s="382"/>
      <c r="L194" s="384"/>
      <c r="M194" s="384"/>
      <c r="N194" s="383"/>
      <c r="O194" s="384"/>
      <c r="P194" s="384"/>
      <c r="Q194" s="383"/>
      <c r="R194" s="383"/>
      <c r="S194" s="385"/>
      <c r="T194" s="380"/>
      <c r="U194" s="380"/>
      <c r="V194" s="380"/>
      <c r="W194" s="380"/>
      <c r="X194" s="380"/>
    </row>
    <row r="195" spans="1:24" ht="15.75" customHeight="1">
      <c r="A195" s="463"/>
      <c r="B195" s="889"/>
      <c r="C195" s="381"/>
      <c r="D195" s="381"/>
      <c r="E195" s="381"/>
      <c r="F195" s="381"/>
      <c r="G195" s="381"/>
      <c r="H195" s="381"/>
      <c r="I195" s="381"/>
      <c r="J195" s="381"/>
      <c r="K195" s="382"/>
      <c r="L195" s="384"/>
      <c r="M195" s="384"/>
      <c r="N195" s="383"/>
      <c r="O195" s="384"/>
      <c r="P195" s="384"/>
      <c r="Q195" s="383"/>
      <c r="R195" s="383"/>
      <c r="S195" s="385"/>
      <c r="T195" s="380"/>
      <c r="U195" s="380"/>
      <c r="V195" s="380"/>
      <c r="W195" s="380"/>
      <c r="X195" s="380"/>
    </row>
    <row r="196" spans="1:24" ht="15.75" customHeight="1">
      <c r="A196" s="463"/>
      <c r="B196" s="889"/>
      <c r="C196" s="381"/>
      <c r="D196" s="381"/>
      <c r="E196" s="381"/>
      <c r="F196" s="381"/>
      <c r="G196" s="381"/>
      <c r="H196" s="381"/>
      <c r="I196" s="381"/>
      <c r="J196" s="381"/>
      <c r="K196" s="382"/>
      <c r="L196" s="381"/>
      <c r="M196" s="381"/>
      <c r="N196" s="383"/>
      <c r="O196" s="384"/>
      <c r="P196" s="384"/>
      <c r="Q196" s="383"/>
      <c r="R196" s="383"/>
      <c r="S196" s="383"/>
      <c r="T196" s="380"/>
      <c r="U196" s="380"/>
      <c r="V196" s="380"/>
      <c r="W196" s="380"/>
      <c r="X196" s="380"/>
    </row>
    <row r="197" spans="1:24" ht="15.75" customHeight="1">
      <c r="A197" s="463"/>
      <c r="B197" s="889"/>
      <c r="C197" s="381"/>
      <c r="D197" s="381"/>
      <c r="E197" s="381"/>
      <c r="F197" s="381"/>
      <c r="G197" s="381"/>
      <c r="H197" s="381"/>
      <c r="I197" s="381"/>
      <c r="J197" s="381"/>
      <c r="K197" s="382"/>
      <c r="L197" s="384"/>
      <c r="M197" s="384"/>
      <c r="N197" s="383"/>
      <c r="O197" s="384"/>
      <c r="P197" s="384"/>
      <c r="Q197" s="383"/>
      <c r="R197" s="383"/>
      <c r="S197" s="385"/>
      <c r="T197" s="380"/>
      <c r="U197" s="380"/>
      <c r="V197" s="380"/>
      <c r="W197" s="380"/>
      <c r="X197" s="380"/>
    </row>
    <row r="198" spans="1:24" ht="15.75" customHeight="1">
      <c r="A198" s="463"/>
      <c r="B198" s="889"/>
      <c r="C198" s="381"/>
      <c r="D198" s="381"/>
      <c r="E198" s="381"/>
      <c r="F198" s="381"/>
      <c r="G198" s="381"/>
      <c r="H198" s="381"/>
      <c r="I198" s="381"/>
      <c r="J198" s="381"/>
      <c r="K198" s="382"/>
      <c r="L198" s="384"/>
      <c r="M198" s="384"/>
      <c r="N198" s="383"/>
      <c r="O198" s="384"/>
      <c r="P198" s="384"/>
      <c r="Q198" s="383"/>
      <c r="R198" s="383"/>
      <c r="S198" s="385"/>
      <c r="T198" s="380"/>
      <c r="U198" s="380"/>
      <c r="V198" s="380"/>
      <c r="W198" s="380"/>
      <c r="X198" s="380"/>
    </row>
    <row r="199" spans="1:24" ht="15.75" customHeight="1">
      <c r="A199" s="463"/>
      <c r="B199" s="889"/>
      <c r="C199" s="381"/>
      <c r="D199" s="381"/>
      <c r="E199" s="381"/>
      <c r="F199" s="381"/>
      <c r="G199" s="381"/>
      <c r="H199" s="381"/>
      <c r="I199" s="381"/>
      <c r="J199" s="381"/>
      <c r="K199" s="382"/>
      <c r="L199" s="384"/>
      <c r="M199" s="384"/>
      <c r="N199" s="383"/>
      <c r="O199" s="384"/>
      <c r="P199" s="384"/>
      <c r="Q199" s="383"/>
      <c r="R199" s="383"/>
      <c r="S199" s="385"/>
      <c r="T199" s="380"/>
      <c r="U199" s="380"/>
      <c r="V199" s="380"/>
      <c r="W199" s="380"/>
      <c r="X199" s="380"/>
    </row>
    <row r="200" spans="1:24" ht="15.75" customHeight="1">
      <c r="A200" s="463"/>
      <c r="B200" s="889"/>
      <c r="C200" s="381"/>
      <c r="D200" s="381"/>
      <c r="E200" s="381"/>
      <c r="F200" s="381"/>
      <c r="G200" s="381"/>
      <c r="H200" s="381"/>
      <c r="I200" s="381"/>
      <c r="J200" s="381"/>
      <c r="K200" s="382"/>
      <c r="L200" s="384"/>
      <c r="M200" s="384"/>
      <c r="N200" s="383"/>
      <c r="O200" s="384"/>
      <c r="P200" s="384"/>
      <c r="Q200" s="383"/>
      <c r="R200" s="383"/>
      <c r="S200" s="385"/>
      <c r="T200" s="380"/>
      <c r="U200" s="380"/>
      <c r="V200" s="380"/>
      <c r="W200" s="380"/>
      <c r="X200" s="380"/>
    </row>
    <row r="201" spans="1:24" ht="15.75" customHeight="1">
      <c r="A201" s="463"/>
      <c r="B201" s="889"/>
      <c r="C201" s="381"/>
      <c r="D201" s="381"/>
      <c r="E201" s="381"/>
      <c r="F201" s="381"/>
      <c r="G201" s="381"/>
      <c r="H201" s="381"/>
      <c r="I201" s="381"/>
      <c r="J201" s="381"/>
      <c r="K201" s="382"/>
      <c r="L201" s="384"/>
      <c r="M201" s="384"/>
      <c r="N201" s="383"/>
      <c r="O201" s="384"/>
      <c r="P201" s="384"/>
      <c r="Q201" s="383"/>
      <c r="R201" s="383"/>
      <c r="S201" s="385"/>
      <c r="T201" s="380"/>
      <c r="U201" s="380"/>
      <c r="V201" s="380"/>
      <c r="W201" s="380"/>
      <c r="X201" s="380"/>
    </row>
    <row r="202" spans="1:24" ht="15.75" customHeight="1">
      <c r="A202" s="463"/>
      <c r="B202" s="889"/>
      <c r="C202" s="381"/>
      <c r="D202" s="381"/>
      <c r="E202" s="381"/>
      <c r="F202" s="381"/>
      <c r="G202" s="381"/>
      <c r="H202" s="381"/>
      <c r="I202" s="381"/>
      <c r="J202" s="381"/>
      <c r="K202" s="382"/>
      <c r="L202" s="381"/>
      <c r="M202" s="381"/>
      <c r="N202" s="383"/>
      <c r="O202" s="384"/>
      <c r="P202" s="384"/>
      <c r="Q202" s="383"/>
      <c r="R202" s="383"/>
      <c r="S202" s="383"/>
      <c r="T202" s="380"/>
      <c r="U202" s="380"/>
      <c r="V202" s="380"/>
      <c r="W202" s="380"/>
      <c r="X202" s="380"/>
    </row>
    <row r="203" spans="1:24" ht="15.75" customHeight="1">
      <c r="A203" s="463"/>
      <c r="B203" s="889"/>
      <c r="C203" s="381"/>
      <c r="D203" s="381"/>
      <c r="E203" s="381"/>
      <c r="F203" s="381"/>
      <c r="G203" s="381"/>
      <c r="H203" s="381"/>
      <c r="I203" s="381"/>
      <c r="J203" s="381"/>
      <c r="K203" s="382"/>
      <c r="L203" s="384"/>
      <c r="M203" s="384"/>
      <c r="N203" s="383"/>
      <c r="O203" s="384"/>
      <c r="P203" s="384"/>
      <c r="Q203" s="383"/>
      <c r="R203" s="383"/>
      <c r="S203" s="385"/>
      <c r="T203" s="380"/>
      <c r="U203" s="380"/>
      <c r="V203" s="380"/>
      <c r="W203" s="380"/>
      <c r="X203" s="380"/>
    </row>
    <row r="204" spans="1:24" ht="15.75" customHeight="1">
      <c r="A204" s="463"/>
      <c r="B204" s="889"/>
      <c r="C204" s="381"/>
      <c r="D204" s="381"/>
      <c r="E204" s="381"/>
      <c r="F204" s="381"/>
      <c r="G204" s="381"/>
      <c r="H204" s="381"/>
      <c r="I204" s="381"/>
      <c r="J204" s="381"/>
      <c r="K204" s="382"/>
      <c r="L204" s="384"/>
      <c r="M204" s="384"/>
      <c r="N204" s="383"/>
      <c r="O204" s="384"/>
      <c r="P204" s="384"/>
      <c r="Q204" s="383"/>
      <c r="R204" s="383"/>
      <c r="S204" s="385"/>
      <c r="T204" s="380"/>
      <c r="U204" s="380"/>
      <c r="V204" s="380"/>
      <c r="W204" s="380"/>
      <c r="X204" s="380"/>
    </row>
    <row r="205" spans="1:24" ht="15.75" customHeight="1">
      <c r="A205" s="463"/>
      <c r="B205" s="889"/>
      <c r="C205" s="381"/>
      <c r="D205" s="381"/>
      <c r="E205" s="381"/>
      <c r="F205" s="381"/>
      <c r="G205" s="381"/>
      <c r="H205" s="381"/>
      <c r="I205" s="381"/>
      <c r="J205" s="381"/>
      <c r="K205" s="382"/>
      <c r="L205" s="384"/>
      <c r="M205" s="384"/>
      <c r="N205" s="383"/>
      <c r="O205" s="384"/>
      <c r="P205" s="384"/>
      <c r="Q205" s="383"/>
      <c r="R205" s="383"/>
      <c r="S205" s="385"/>
      <c r="T205" s="380"/>
      <c r="U205" s="380"/>
      <c r="V205" s="380"/>
      <c r="W205" s="380"/>
      <c r="X205" s="380"/>
    </row>
    <row r="206" spans="1:24" ht="15.75" customHeight="1">
      <c r="A206" s="463"/>
      <c r="B206" s="889"/>
      <c r="C206" s="381"/>
      <c r="D206" s="381"/>
      <c r="E206" s="381"/>
      <c r="F206" s="381"/>
      <c r="G206" s="381"/>
      <c r="H206" s="381"/>
      <c r="I206" s="381"/>
      <c r="J206" s="381"/>
      <c r="K206" s="382"/>
      <c r="L206" s="384"/>
      <c r="M206" s="384"/>
      <c r="N206" s="383"/>
      <c r="O206" s="384"/>
      <c r="P206" s="384"/>
      <c r="Q206" s="383"/>
      <c r="R206" s="383"/>
      <c r="S206" s="385"/>
      <c r="T206" s="380"/>
      <c r="U206" s="380"/>
      <c r="V206" s="380"/>
      <c r="W206" s="380"/>
      <c r="X206" s="380"/>
    </row>
    <row r="207" spans="1:24" ht="15.75" customHeight="1">
      <c r="A207" s="463"/>
      <c r="B207" s="889"/>
      <c r="C207" s="381"/>
      <c r="D207" s="381"/>
      <c r="E207" s="381"/>
      <c r="F207" s="381"/>
      <c r="G207" s="381"/>
      <c r="H207" s="381"/>
      <c r="I207" s="381"/>
      <c r="J207" s="381"/>
      <c r="K207" s="382"/>
      <c r="L207" s="384"/>
      <c r="M207" s="384"/>
      <c r="N207" s="383"/>
      <c r="O207" s="384"/>
      <c r="P207" s="384"/>
      <c r="Q207" s="383"/>
      <c r="R207" s="383"/>
      <c r="S207" s="385"/>
      <c r="T207" s="380"/>
      <c r="U207" s="380"/>
      <c r="V207" s="380"/>
      <c r="W207" s="380"/>
      <c r="X207" s="380"/>
    </row>
    <row r="208" spans="1:24" ht="15.75" customHeight="1">
      <c r="A208" s="463"/>
      <c r="B208" s="889"/>
      <c r="C208" s="381"/>
      <c r="D208" s="381"/>
      <c r="E208" s="381"/>
      <c r="F208" s="381"/>
      <c r="G208" s="381"/>
      <c r="H208" s="381"/>
      <c r="I208" s="381"/>
      <c r="J208" s="381"/>
      <c r="K208" s="382"/>
      <c r="L208" s="384"/>
      <c r="M208" s="384"/>
      <c r="N208" s="383"/>
      <c r="O208" s="384"/>
      <c r="P208" s="384"/>
      <c r="Q208" s="383"/>
      <c r="R208" s="383"/>
      <c r="S208" s="385"/>
      <c r="T208" s="380"/>
      <c r="U208" s="380"/>
      <c r="V208" s="380"/>
      <c r="W208" s="380"/>
      <c r="X208" s="380"/>
    </row>
    <row r="209" spans="1:24" ht="15.75" customHeight="1">
      <c r="A209" s="463"/>
      <c r="B209" s="889"/>
      <c r="C209" s="381"/>
      <c r="D209" s="381"/>
      <c r="E209" s="381"/>
      <c r="F209" s="381"/>
      <c r="G209" s="381"/>
      <c r="H209" s="381"/>
      <c r="I209" s="381"/>
      <c r="J209" s="381"/>
      <c r="K209" s="382"/>
      <c r="L209" s="384"/>
      <c r="M209" s="384"/>
      <c r="N209" s="383"/>
      <c r="O209" s="384"/>
      <c r="P209" s="384"/>
      <c r="Q209" s="383"/>
      <c r="R209" s="383"/>
      <c r="S209" s="385"/>
      <c r="T209" s="380"/>
      <c r="U209" s="380"/>
      <c r="V209" s="380"/>
      <c r="W209" s="380"/>
      <c r="X209" s="380"/>
    </row>
    <row r="210" spans="1:24" ht="15.75" customHeight="1">
      <c r="A210" s="463"/>
      <c r="B210" s="889"/>
      <c r="C210" s="381"/>
      <c r="D210" s="381"/>
      <c r="E210" s="381"/>
      <c r="F210" s="381"/>
      <c r="G210" s="381"/>
      <c r="H210" s="381"/>
      <c r="I210" s="381"/>
      <c r="J210" s="381"/>
      <c r="K210" s="382"/>
      <c r="L210" s="384"/>
      <c r="M210" s="384"/>
      <c r="N210" s="383"/>
      <c r="O210" s="384"/>
      <c r="P210" s="384"/>
      <c r="Q210" s="383"/>
      <c r="R210" s="383"/>
      <c r="S210" s="385"/>
      <c r="T210" s="380"/>
      <c r="U210" s="380"/>
      <c r="V210" s="380"/>
      <c r="W210" s="380"/>
      <c r="X210" s="380"/>
    </row>
    <row r="211" spans="1:24" ht="15.75" customHeight="1">
      <c r="A211" s="463"/>
      <c r="B211" s="889"/>
      <c r="C211" s="381"/>
      <c r="D211" s="381"/>
      <c r="E211" s="381"/>
      <c r="F211" s="381"/>
      <c r="G211" s="381"/>
      <c r="H211" s="381"/>
      <c r="I211" s="381"/>
      <c r="J211" s="381"/>
      <c r="K211" s="382"/>
      <c r="L211" s="381"/>
      <c r="M211" s="381"/>
      <c r="N211" s="383"/>
      <c r="O211" s="384"/>
      <c r="P211" s="384"/>
      <c r="Q211" s="383"/>
      <c r="R211" s="383"/>
      <c r="S211" s="383"/>
      <c r="T211" s="380"/>
      <c r="U211" s="380"/>
      <c r="V211" s="380"/>
      <c r="W211" s="380"/>
      <c r="X211" s="380"/>
    </row>
    <row r="212" spans="1:24" ht="15.75" customHeight="1">
      <c r="A212" s="463"/>
      <c r="B212" s="889"/>
      <c r="C212" s="381"/>
      <c r="D212" s="381"/>
      <c r="E212" s="381"/>
      <c r="F212" s="381"/>
      <c r="G212" s="381"/>
      <c r="H212" s="381"/>
      <c r="I212" s="381"/>
      <c r="J212" s="381"/>
      <c r="K212" s="382"/>
      <c r="L212" s="384"/>
      <c r="M212" s="384"/>
      <c r="N212" s="383"/>
      <c r="O212" s="384"/>
      <c r="P212" s="384"/>
      <c r="Q212" s="383"/>
      <c r="R212" s="383"/>
      <c r="S212" s="385"/>
      <c r="T212" s="380"/>
      <c r="U212" s="380"/>
      <c r="V212" s="380"/>
      <c r="W212" s="380"/>
      <c r="X212" s="380"/>
    </row>
    <row r="213" spans="1:24" ht="15.75" customHeight="1">
      <c r="A213" s="463"/>
      <c r="B213" s="889"/>
      <c r="C213" s="381"/>
      <c r="D213" s="381"/>
      <c r="E213" s="381"/>
      <c r="F213" s="381"/>
      <c r="G213" s="381"/>
      <c r="H213" s="381"/>
      <c r="I213" s="381"/>
      <c r="J213" s="381"/>
      <c r="K213" s="382"/>
      <c r="L213" s="384"/>
      <c r="M213" s="384"/>
      <c r="N213" s="383"/>
      <c r="O213" s="384"/>
      <c r="P213" s="384"/>
      <c r="Q213" s="383"/>
      <c r="R213" s="383"/>
      <c r="S213" s="385"/>
      <c r="T213" s="380"/>
      <c r="U213" s="380"/>
      <c r="V213" s="380"/>
      <c r="W213" s="380"/>
      <c r="X213" s="380"/>
    </row>
    <row r="214" spans="1:24" ht="15.75" customHeight="1">
      <c r="A214" s="463"/>
      <c r="B214" s="889"/>
      <c r="C214" s="381"/>
      <c r="D214" s="381"/>
      <c r="E214" s="381"/>
      <c r="F214" s="381"/>
      <c r="G214" s="381"/>
      <c r="H214" s="381"/>
      <c r="I214" s="381"/>
      <c r="J214" s="381"/>
      <c r="K214" s="382"/>
      <c r="L214" s="384"/>
      <c r="M214" s="384"/>
      <c r="N214" s="383"/>
      <c r="O214" s="384"/>
      <c r="P214" s="384"/>
      <c r="Q214" s="383"/>
      <c r="R214" s="383"/>
      <c r="S214" s="385"/>
      <c r="T214" s="380"/>
      <c r="U214" s="380"/>
      <c r="V214" s="380"/>
      <c r="W214" s="380"/>
      <c r="X214" s="380"/>
    </row>
    <row r="215" spans="1:24" ht="15.75" customHeight="1">
      <c r="A215" s="463"/>
      <c r="B215" s="889"/>
      <c r="C215" s="381"/>
      <c r="D215" s="381"/>
      <c r="E215" s="381"/>
      <c r="F215" s="381"/>
      <c r="G215" s="381"/>
      <c r="H215" s="381"/>
      <c r="I215" s="381"/>
      <c r="J215" s="381"/>
      <c r="K215" s="382"/>
      <c r="L215" s="384"/>
      <c r="M215" s="384"/>
      <c r="N215" s="383"/>
      <c r="O215" s="384"/>
      <c r="P215" s="384"/>
      <c r="Q215" s="383"/>
      <c r="R215" s="383"/>
      <c r="S215" s="385"/>
      <c r="T215" s="380"/>
      <c r="U215" s="380"/>
      <c r="V215" s="380"/>
      <c r="W215" s="380"/>
      <c r="X215" s="380"/>
    </row>
    <row r="216" spans="1:24" ht="15.75" customHeight="1">
      <c r="A216" s="463"/>
      <c r="B216" s="889"/>
      <c r="C216" s="381"/>
      <c r="D216" s="381"/>
      <c r="E216" s="381"/>
      <c r="F216" s="381"/>
      <c r="G216" s="381"/>
      <c r="H216" s="381"/>
      <c r="I216" s="381"/>
      <c r="J216" s="381"/>
      <c r="K216" s="382"/>
      <c r="L216" s="381"/>
      <c r="M216" s="381"/>
      <c r="N216" s="383"/>
      <c r="O216" s="384"/>
      <c r="P216" s="384"/>
      <c r="Q216" s="383"/>
      <c r="R216" s="383"/>
      <c r="S216" s="383"/>
      <c r="T216" s="380"/>
      <c r="U216" s="380"/>
      <c r="V216" s="380"/>
      <c r="W216" s="380"/>
      <c r="X216" s="380"/>
    </row>
    <row r="217" spans="1:24" ht="15.75" customHeight="1">
      <c r="A217" s="463"/>
      <c r="B217" s="889"/>
      <c r="C217" s="381"/>
      <c r="D217" s="381"/>
      <c r="E217" s="381"/>
      <c r="F217" s="381"/>
      <c r="G217" s="381"/>
      <c r="H217" s="381"/>
      <c r="I217" s="381"/>
      <c r="J217" s="381"/>
      <c r="K217" s="382"/>
      <c r="L217" s="384"/>
      <c r="M217" s="384"/>
      <c r="N217" s="383"/>
      <c r="O217" s="384"/>
      <c r="P217" s="384"/>
      <c r="Q217" s="383"/>
      <c r="R217" s="383"/>
      <c r="S217" s="385"/>
      <c r="T217" s="380"/>
      <c r="U217" s="380"/>
      <c r="V217" s="380"/>
      <c r="W217" s="380"/>
      <c r="X217" s="380"/>
    </row>
    <row r="218" spans="1:24" ht="15.75" customHeight="1">
      <c r="A218" s="463"/>
      <c r="B218" s="889"/>
      <c r="C218" s="381"/>
      <c r="D218" s="381"/>
      <c r="E218" s="381"/>
      <c r="F218" s="381"/>
      <c r="G218" s="381"/>
      <c r="H218" s="381"/>
      <c r="I218" s="381"/>
      <c r="J218" s="381"/>
      <c r="K218" s="382"/>
      <c r="L218" s="384"/>
      <c r="M218" s="384"/>
      <c r="N218" s="383"/>
      <c r="O218" s="384"/>
      <c r="P218" s="384"/>
      <c r="Q218" s="383"/>
      <c r="R218" s="383"/>
      <c r="S218" s="385"/>
      <c r="T218" s="380"/>
      <c r="U218" s="380"/>
      <c r="V218" s="380"/>
      <c r="W218" s="380"/>
      <c r="X218" s="380"/>
    </row>
    <row r="219" spans="1:24" ht="15.75" customHeight="1">
      <c r="A219" s="463"/>
      <c r="B219" s="889"/>
      <c r="C219" s="381"/>
      <c r="D219" s="381"/>
      <c r="E219" s="381"/>
      <c r="F219" s="381"/>
      <c r="G219" s="381"/>
      <c r="H219" s="381"/>
      <c r="I219" s="381"/>
      <c r="J219" s="381"/>
      <c r="K219" s="382"/>
      <c r="L219" s="384"/>
      <c r="M219" s="384"/>
      <c r="N219" s="383"/>
      <c r="O219" s="384"/>
      <c r="P219" s="384"/>
      <c r="Q219" s="383"/>
      <c r="R219" s="383"/>
      <c r="S219" s="385"/>
      <c r="T219" s="380"/>
      <c r="U219" s="380"/>
      <c r="V219" s="380"/>
      <c r="W219" s="380"/>
      <c r="X219" s="380"/>
    </row>
    <row r="220" spans="1:24" ht="15.75" customHeight="1">
      <c r="A220" s="463"/>
      <c r="B220" s="889"/>
      <c r="C220" s="381"/>
      <c r="D220" s="381"/>
      <c r="E220" s="381"/>
      <c r="F220" s="381"/>
      <c r="G220" s="381"/>
      <c r="H220" s="381"/>
      <c r="I220" s="381"/>
      <c r="J220" s="381"/>
      <c r="K220" s="382"/>
      <c r="L220" s="384"/>
      <c r="M220" s="384"/>
      <c r="N220" s="383"/>
      <c r="O220" s="384"/>
      <c r="P220" s="384"/>
      <c r="Q220" s="383"/>
      <c r="R220" s="383"/>
      <c r="S220" s="385"/>
      <c r="T220" s="380"/>
      <c r="U220" s="380"/>
      <c r="V220" s="380"/>
      <c r="W220" s="380"/>
      <c r="X220" s="380"/>
    </row>
    <row r="221" spans="1:24" ht="15.75" customHeight="1">
      <c r="A221" s="463"/>
      <c r="B221" s="889"/>
      <c r="C221" s="381"/>
      <c r="D221" s="381"/>
      <c r="E221" s="381"/>
      <c r="F221" s="381"/>
      <c r="G221" s="381"/>
      <c r="H221" s="381"/>
      <c r="I221" s="381"/>
      <c r="J221" s="381"/>
      <c r="K221" s="382"/>
      <c r="L221" s="384"/>
      <c r="M221" s="384"/>
      <c r="N221" s="383"/>
      <c r="O221" s="384"/>
      <c r="P221" s="384"/>
      <c r="Q221" s="383"/>
      <c r="R221" s="383"/>
      <c r="S221" s="385"/>
      <c r="T221" s="380"/>
      <c r="U221" s="380"/>
      <c r="V221" s="380"/>
      <c r="W221" s="380"/>
      <c r="X221" s="380"/>
    </row>
    <row r="222" spans="1:24" ht="15.75" customHeight="1">
      <c r="A222" s="463"/>
      <c r="B222" s="889"/>
      <c r="C222" s="381"/>
      <c r="D222" s="381"/>
      <c r="E222" s="381"/>
      <c r="F222" s="381"/>
      <c r="G222" s="381"/>
      <c r="H222" s="381"/>
      <c r="I222" s="381"/>
      <c r="J222" s="381"/>
      <c r="K222" s="382"/>
      <c r="L222" s="381"/>
      <c r="M222" s="381"/>
      <c r="N222" s="383"/>
      <c r="O222" s="384"/>
      <c r="P222" s="384"/>
      <c r="Q222" s="383"/>
      <c r="R222" s="383"/>
      <c r="S222" s="383"/>
      <c r="T222" s="380"/>
      <c r="U222" s="380"/>
      <c r="V222" s="380"/>
      <c r="W222" s="380"/>
      <c r="X222" s="380"/>
    </row>
    <row r="223" spans="1:24" ht="15.75" customHeight="1">
      <c r="A223" s="463"/>
      <c r="B223" s="889"/>
      <c r="C223" s="381"/>
      <c r="D223" s="381"/>
      <c r="E223" s="381"/>
      <c r="F223" s="381"/>
      <c r="G223" s="381"/>
      <c r="H223" s="381"/>
      <c r="I223" s="381"/>
      <c r="J223" s="381"/>
      <c r="K223" s="382"/>
      <c r="L223" s="384"/>
      <c r="M223" s="384"/>
      <c r="N223" s="383"/>
      <c r="O223" s="384"/>
      <c r="P223" s="384"/>
      <c r="Q223" s="383"/>
      <c r="R223" s="383"/>
      <c r="S223" s="385"/>
      <c r="T223" s="380"/>
      <c r="U223" s="380"/>
      <c r="V223" s="380"/>
      <c r="W223" s="380"/>
      <c r="X223" s="380"/>
    </row>
    <row r="224" spans="1:24" ht="15.75" customHeight="1">
      <c r="A224" s="463"/>
      <c r="B224" s="889"/>
      <c r="C224" s="381"/>
      <c r="D224" s="381"/>
      <c r="E224" s="381"/>
      <c r="F224" s="381"/>
      <c r="G224" s="381"/>
      <c r="H224" s="381"/>
      <c r="I224" s="381"/>
      <c r="J224" s="381"/>
      <c r="K224" s="382"/>
      <c r="L224" s="384"/>
      <c r="M224" s="384"/>
      <c r="N224" s="383"/>
      <c r="O224" s="384"/>
      <c r="P224" s="384"/>
      <c r="Q224" s="383"/>
      <c r="R224" s="383"/>
      <c r="S224" s="385"/>
      <c r="T224" s="380"/>
      <c r="U224" s="380"/>
      <c r="V224" s="380"/>
      <c r="W224" s="380"/>
      <c r="X224" s="380"/>
    </row>
    <row r="225" spans="1:24" ht="15.75" customHeight="1">
      <c r="A225" s="463"/>
      <c r="B225" s="889"/>
      <c r="C225" s="381"/>
      <c r="D225" s="381"/>
      <c r="E225" s="381"/>
      <c r="F225" s="381"/>
      <c r="G225" s="381"/>
      <c r="H225" s="381"/>
      <c r="I225" s="381"/>
      <c r="J225" s="381"/>
      <c r="K225" s="382"/>
      <c r="L225" s="384"/>
      <c r="M225" s="384"/>
      <c r="N225" s="383"/>
      <c r="O225" s="384"/>
      <c r="P225" s="384"/>
      <c r="Q225" s="383"/>
      <c r="R225" s="383"/>
      <c r="S225" s="385"/>
      <c r="T225" s="380"/>
      <c r="U225" s="380"/>
      <c r="V225" s="380"/>
      <c r="W225" s="380"/>
      <c r="X225" s="380"/>
    </row>
    <row r="226" spans="1:24" ht="15.75" customHeight="1">
      <c r="A226" s="463"/>
      <c r="B226" s="889"/>
      <c r="C226" s="381"/>
      <c r="D226" s="381"/>
      <c r="E226" s="381"/>
      <c r="F226" s="381"/>
      <c r="G226" s="381"/>
      <c r="H226" s="381"/>
      <c r="I226" s="381"/>
      <c r="J226" s="381"/>
      <c r="K226" s="382"/>
      <c r="L226" s="384"/>
      <c r="M226" s="384"/>
      <c r="N226" s="383"/>
      <c r="O226" s="384"/>
      <c r="P226" s="384"/>
      <c r="Q226" s="383"/>
      <c r="R226" s="383"/>
      <c r="S226" s="385"/>
      <c r="T226" s="380"/>
      <c r="U226" s="380"/>
      <c r="V226" s="380"/>
      <c r="W226" s="380"/>
      <c r="X226" s="380"/>
    </row>
    <row r="227" spans="1:24" ht="15.75" customHeight="1">
      <c r="A227" s="463"/>
      <c r="B227" s="889"/>
      <c r="C227" s="381"/>
      <c r="D227" s="381"/>
      <c r="E227" s="381"/>
      <c r="F227" s="381"/>
      <c r="G227" s="381"/>
      <c r="H227" s="381"/>
      <c r="I227" s="381"/>
      <c r="J227" s="381"/>
      <c r="K227" s="382"/>
      <c r="L227" s="384"/>
      <c r="M227" s="384"/>
      <c r="N227" s="383"/>
      <c r="O227" s="384"/>
      <c r="P227" s="384"/>
      <c r="Q227" s="383"/>
      <c r="R227" s="383"/>
      <c r="S227" s="385"/>
      <c r="T227" s="380"/>
      <c r="U227" s="380"/>
      <c r="V227" s="380"/>
      <c r="W227" s="380"/>
      <c r="X227" s="380"/>
    </row>
    <row r="228" spans="1:24" ht="15.75" customHeight="1">
      <c r="A228" s="463"/>
      <c r="B228" s="889"/>
      <c r="C228" s="381"/>
      <c r="D228" s="381"/>
      <c r="E228" s="381"/>
      <c r="F228" s="381"/>
      <c r="G228" s="381"/>
      <c r="H228" s="381"/>
      <c r="I228" s="381"/>
      <c r="J228" s="381"/>
      <c r="K228" s="382"/>
      <c r="L228" s="384"/>
      <c r="M228" s="384"/>
      <c r="N228" s="383"/>
      <c r="O228" s="384"/>
      <c r="P228" s="384"/>
      <c r="Q228" s="383"/>
      <c r="R228" s="383"/>
      <c r="S228" s="385"/>
      <c r="T228" s="380"/>
      <c r="U228" s="380"/>
      <c r="V228" s="380"/>
      <c r="W228" s="380"/>
      <c r="X228" s="380"/>
    </row>
    <row r="229" spans="1:24" ht="15.75" customHeight="1">
      <c r="A229" s="463"/>
      <c r="B229" s="889"/>
      <c r="C229" s="381"/>
      <c r="D229" s="381"/>
      <c r="E229" s="381"/>
      <c r="F229" s="381"/>
      <c r="G229" s="381"/>
      <c r="H229" s="381"/>
      <c r="I229" s="381"/>
      <c r="J229" s="381"/>
      <c r="K229" s="382"/>
      <c r="L229" s="384"/>
      <c r="M229" s="384"/>
      <c r="N229" s="383"/>
      <c r="O229" s="384"/>
      <c r="P229" s="384"/>
      <c r="Q229" s="383"/>
      <c r="R229" s="383"/>
      <c r="S229" s="385"/>
      <c r="T229" s="380"/>
      <c r="U229" s="380"/>
      <c r="V229" s="380"/>
      <c r="W229" s="380"/>
      <c r="X229" s="380"/>
    </row>
    <row r="230" spans="1:24" ht="15.75" customHeight="1">
      <c r="A230" s="463"/>
      <c r="B230" s="889"/>
      <c r="C230" s="381"/>
      <c r="D230" s="381"/>
      <c r="E230" s="381"/>
      <c r="F230" s="381"/>
      <c r="G230" s="381"/>
      <c r="H230" s="381"/>
      <c r="I230" s="381"/>
      <c r="J230" s="381"/>
      <c r="K230" s="382"/>
      <c r="L230" s="384"/>
      <c r="M230" s="384"/>
      <c r="N230" s="383"/>
      <c r="O230" s="384"/>
      <c r="P230" s="384"/>
      <c r="Q230" s="383"/>
      <c r="R230" s="383"/>
      <c r="S230" s="385"/>
      <c r="T230" s="380"/>
      <c r="U230" s="380"/>
      <c r="V230" s="380"/>
      <c r="W230" s="380"/>
      <c r="X230" s="380"/>
    </row>
    <row r="231" spans="1:24" ht="15.75" customHeight="1">
      <c r="A231" s="463"/>
      <c r="B231" s="889"/>
      <c r="C231" s="381"/>
      <c r="D231" s="381"/>
      <c r="E231" s="381"/>
      <c r="F231" s="381"/>
      <c r="G231" s="381"/>
      <c r="H231" s="381"/>
      <c r="I231" s="381"/>
      <c r="J231" s="381"/>
      <c r="K231" s="382"/>
      <c r="L231" s="384"/>
      <c r="M231" s="384"/>
      <c r="N231" s="383"/>
      <c r="O231" s="384"/>
      <c r="P231" s="384"/>
      <c r="Q231" s="383"/>
      <c r="R231" s="383"/>
      <c r="S231" s="385"/>
      <c r="T231" s="380"/>
      <c r="U231" s="380"/>
      <c r="V231" s="380"/>
      <c r="W231" s="380"/>
      <c r="X231" s="380"/>
    </row>
    <row r="232" spans="1:24" ht="15.75" customHeight="1">
      <c r="A232" s="463"/>
      <c r="B232" s="889"/>
      <c r="C232" s="381"/>
      <c r="D232" s="381"/>
      <c r="E232" s="381"/>
      <c r="F232" s="381"/>
      <c r="G232" s="381"/>
      <c r="H232" s="381"/>
      <c r="I232" s="381"/>
      <c r="J232" s="381"/>
      <c r="K232" s="382"/>
      <c r="L232" s="384"/>
      <c r="M232" s="384"/>
      <c r="N232" s="383"/>
      <c r="O232" s="384"/>
      <c r="P232" s="384"/>
      <c r="Q232" s="383"/>
      <c r="R232" s="383"/>
      <c r="S232" s="385"/>
      <c r="T232" s="380"/>
      <c r="U232" s="380"/>
      <c r="V232" s="380"/>
      <c r="W232" s="380"/>
      <c r="X232" s="380"/>
    </row>
    <row r="233" spans="1:24" ht="15.75" customHeight="1">
      <c r="A233" s="463"/>
      <c r="B233" s="889"/>
      <c r="C233" s="381"/>
      <c r="D233" s="381"/>
      <c r="E233" s="381"/>
      <c r="F233" s="381"/>
      <c r="G233" s="381"/>
      <c r="H233" s="381"/>
      <c r="I233" s="381"/>
      <c r="J233" s="381"/>
      <c r="K233" s="382"/>
      <c r="L233" s="384"/>
      <c r="M233" s="384"/>
      <c r="N233" s="383"/>
      <c r="O233" s="384"/>
      <c r="P233" s="384"/>
      <c r="Q233" s="383"/>
      <c r="R233" s="383"/>
      <c r="S233" s="385"/>
      <c r="T233" s="380"/>
      <c r="U233" s="380"/>
      <c r="V233" s="380"/>
      <c r="W233" s="380"/>
      <c r="X233" s="380"/>
    </row>
    <row r="234" spans="1:24" ht="15.75" customHeight="1">
      <c r="A234" s="463"/>
      <c r="B234" s="889"/>
      <c r="C234" s="381"/>
      <c r="D234" s="381"/>
      <c r="E234" s="381"/>
      <c r="F234" s="381"/>
      <c r="G234" s="381"/>
      <c r="H234" s="381"/>
      <c r="I234" s="381"/>
      <c r="J234" s="381"/>
      <c r="K234" s="382"/>
      <c r="L234" s="384"/>
      <c r="M234" s="384"/>
      <c r="N234" s="383"/>
      <c r="O234" s="384"/>
      <c r="P234" s="384"/>
      <c r="Q234" s="383"/>
      <c r="R234" s="383"/>
      <c r="S234" s="385"/>
      <c r="T234" s="380"/>
      <c r="U234" s="380"/>
      <c r="V234" s="380"/>
      <c r="W234" s="380"/>
      <c r="X234" s="380"/>
    </row>
    <row r="235" spans="1:24" ht="15.75" customHeight="1">
      <c r="A235" s="463"/>
      <c r="B235" s="889"/>
      <c r="C235" s="381"/>
      <c r="D235" s="381"/>
      <c r="E235" s="381"/>
      <c r="F235" s="381"/>
      <c r="G235" s="381"/>
      <c r="H235" s="381"/>
      <c r="I235" s="381"/>
      <c r="J235" s="381"/>
      <c r="K235" s="382"/>
      <c r="L235" s="384"/>
      <c r="M235" s="384"/>
      <c r="N235" s="383"/>
      <c r="O235" s="384"/>
      <c r="P235" s="384"/>
      <c r="Q235" s="383"/>
      <c r="R235" s="383"/>
      <c r="S235" s="385"/>
      <c r="T235" s="380"/>
      <c r="U235" s="380"/>
      <c r="V235" s="380"/>
      <c r="W235" s="380"/>
      <c r="X235" s="380"/>
    </row>
    <row r="236" spans="1:24" ht="15.75" customHeight="1">
      <c r="A236" s="463"/>
      <c r="B236" s="889"/>
      <c r="C236" s="381"/>
      <c r="D236" s="381"/>
      <c r="E236" s="381"/>
      <c r="F236" s="381"/>
      <c r="G236" s="381"/>
      <c r="H236" s="381"/>
      <c r="I236" s="381"/>
      <c r="J236" s="381"/>
      <c r="K236" s="382"/>
      <c r="L236" s="384"/>
      <c r="M236" s="384"/>
      <c r="N236" s="383"/>
      <c r="O236" s="384"/>
      <c r="P236" s="384"/>
      <c r="Q236" s="383"/>
      <c r="R236" s="383"/>
      <c r="S236" s="385"/>
      <c r="T236" s="380"/>
      <c r="U236" s="380"/>
      <c r="V236" s="380"/>
      <c r="W236" s="380"/>
      <c r="X236" s="380"/>
    </row>
    <row r="237" spans="1:24" ht="15.75" customHeight="1">
      <c r="A237" s="463"/>
      <c r="B237" s="889"/>
      <c r="C237" s="381"/>
      <c r="D237" s="381"/>
      <c r="E237" s="381"/>
      <c r="F237" s="381"/>
      <c r="G237" s="381"/>
      <c r="H237" s="381"/>
      <c r="I237" s="381"/>
      <c r="J237" s="381"/>
      <c r="K237" s="382"/>
      <c r="L237" s="384"/>
      <c r="M237" s="384"/>
      <c r="N237" s="383"/>
      <c r="O237" s="384"/>
      <c r="P237" s="384"/>
      <c r="Q237" s="383"/>
      <c r="R237" s="383"/>
      <c r="S237" s="385"/>
      <c r="T237" s="380"/>
      <c r="U237" s="380"/>
      <c r="V237" s="380"/>
      <c r="W237" s="380"/>
      <c r="X237" s="380"/>
    </row>
    <row r="238" spans="1:24" ht="15.75" customHeight="1">
      <c r="A238" s="463"/>
      <c r="B238" s="889"/>
      <c r="C238" s="381"/>
      <c r="D238" s="381"/>
      <c r="E238" s="381"/>
      <c r="F238" s="381"/>
      <c r="G238" s="381"/>
      <c r="H238" s="381"/>
      <c r="I238" s="381"/>
      <c r="J238" s="381"/>
      <c r="K238" s="382"/>
      <c r="L238" s="381"/>
      <c r="M238" s="381"/>
      <c r="N238" s="383"/>
      <c r="O238" s="384"/>
      <c r="P238" s="384"/>
      <c r="Q238" s="383"/>
      <c r="R238" s="383"/>
      <c r="S238" s="383"/>
      <c r="T238" s="380"/>
      <c r="U238" s="380"/>
      <c r="V238" s="380"/>
      <c r="W238" s="380"/>
      <c r="X238" s="380"/>
    </row>
    <row r="239" spans="1:24" ht="15.75" customHeight="1">
      <c r="A239" s="463"/>
      <c r="B239" s="889"/>
      <c r="C239" s="381"/>
      <c r="D239" s="381"/>
      <c r="E239" s="381"/>
      <c r="F239" s="381"/>
      <c r="G239" s="381"/>
      <c r="H239" s="381"/>
      <c r="I239" s="381"/>
      <c r="J239" s="381"/>
      <c r="K239" s="382"/>
      <c r="L239" s="384"/>
      <c r="M239" s="384"/>
      <c r="N239" s="383"/>
      <c r="O239" s="384"/>
      <c r="P239" s="384"/>
      <c r="Q239" s="383"/>
      <c r="R239" s="383"/>
      <c r="S239" s="385"/>
      <c r="T239" s="380"/>
      <c r="U239" s="380"/>
      <c r="V239" s="380"/>
      <c r="W239" s="380"/>
      <c r="X239" s="380"/>
    </row>
    <row r="240" spans="1:24" ht="15.75" customHeight="1">
      <c r="A240" s="463"/>
      <c r="B240" s="889"/>
      <c r="C240" s="381"/>
      <c r="D240" s="381"/>
      <c r="E240" s="381"/>
      <c r="F240" s="381"/>
      <c r="G240" s="381"/>
      <c r="H240" s="381"/>
      <c r="I240" s="381"/>
      <c r="J240" s="381"/>
      <c r="K240" s="382"/>
      <c r="L240" s="384"/>
      <c r="M240" s="384"/>
      <c r="N240" s="383"/>
      <c r="O240" s="384"/>
      <c r="P240" s="384"/>
      <c r="Q240" s="383"/>
      <c r="R240" s="383"/>
      <c r="S240" s="385"/>
      <c r="T240" s="380"/>
      <c r="U240" s="380"/>
      <c r="V240" s="380"/>
      <c r="W240" s="380"/>
      <c r="X240" s="380"/>
    </row>
    <row r="241" spans="1:24" ht="15.75" customHeight="1">
      <c r="A241" s="463"/>
      <c r="B241" s="889"/>
      <c r="C241" s="381"/>
      <c r="D241" s="381"/>
      <c r="E241" s="381"/>
      <c r="F241" s="381"/>
      <c r="G241" s="381"/>
      <c r="H241" s="381"/>
      <c r="I241" s="381"/>
      <c r="J241" s="381"/>
      <c r="K241" s="382"/>
      <c r="L241" s="384"/>
      <c r="M241" s="384"/>
      <c r="N241" s="383"/>
      <c r="O241" s="384"/>
      <c r="P241" s="384"/>
      <c r="Q241" s="383"/>
      <c r="R241" s="383"/>
      <c r="S241" s="385"/>
      <c r="T241" s="380"/>
      <c r="U241" s="380"/>
      <c r="V241" s="380"/>
      <c r="W241" s="380"/>
      <c r="X241" s="380"/>
    </row>
    <row r="242" spans="1:24" ht="15.75" customHeight="1">
      <c r="A242" s="463"/>
      <c r="B242" s="889"/>
      <c r="C242" s="381"/>
      <c r="D242" s="381"/>
      <c r="E242" s="381"/>
      <c r="F242" s="381"/>
      <c r="G242" s="381"/>
      <c r="H242" s="381"/>
      <c r="I242" s="381"/>
      <c r="J242" s="381"/>
      <c r="K242" s="382"/>
      <c r="L242" s="384"/>
      <c r="M242" s="384"/>
      <c r="N242" s="383"/>
      <c r="O242" s="384"/>
      <c r="P242" s="384"/>
      <c r="Q242" s="383"/>
      <c r="R242" s="383"/>
      <c r="S242" s="385"/>
      <c r="T242" s="380"/>
      <c r="U242" s="380"/>
      <c r="V242" s="380"/>
      <c r="W242" s="380"/>
      <c r="X242" s="380"/>
    </row>
    <row r="243" spans="1:24" ht="15.75" customHeight="1">
      <c r="A243" s="463"/>
      <c r="B243" s="889"/>
      <c r="C243" s="381"/>
      <c r="D243" s="381"/>
      <c r="E243" s="381"/>
      <c r="F243" s="381"/>
      <c r="G243" s="381"/>
      <c r="H243" s="381"/>
      <c r="I243" s="381"/>
      <c r="J243" s="381"/>
      <c r="K243" s="382"/>
      <c r="L243" s="381"/>
      <c r="M243" s="381"/>
      <c r="N243" s="383"/>
      <c r="O243" s="384"/>
      <c r="P243" s="384"/>
      <c r="Q243" s="383"/>
      <c r="R243" s="383"/>
      <c r="S243" s="383"/>
      <c r="T243" s="380"/>
      <c r="U243" s="380"/>
      <c r="V243" s="380"/>
      <c r="W243" s="380"/>
      <c r="X243" s="380"/>
    </row>
    <row r="244" spans="1:24" ht="15.75" customHeight="1">
      <c r="A244" s="463"/>
      <c r="B244" s="889"/>
      <c r="C244" s="381"/>
      <c r="D244" s="381"/>
      <c r="E244" s="381"/>
      <c r="F244" s="381"/>
      <c r="G244" s="381"/>
      <c r="H244" s="381"/>
      <c r="I244" s="381"/>
      <c r="J244" s="381"/>
      <c r="K244" s="382"/>
      <c r="L244" s="384"/>
      <c r="M244" s="384"/>
      <c r="N244" s="383"/>
      <c r="O244" s="384"/>
      <c r="P244" s="384"/>
      <c r="Q244" s="383"/>
      <c r="R244" s="383"/>
      <c r="S244" s="385"/>
      <c r="T244" s="380"/>
      <c r="U244" s="380"/>
      <c r="V244" s="380"/>
      <c r="W244" s="380"/>
      <c r="X244" s="380"/>
    </row>
    <row r="245" spans="1:24" ht="15.75" customHeight="1">
      <c r="A245" s="463"/>
      <c r="B245" s="889"/>
      <c r="C245" s="381"/>
      <c r="D245" s="381"/>
      <c r="E245" s="381"/>
      <c r="F245" s="381"/>
      <c r="G245" s="381"/>
      <c r="H245" s="381"/>
      <c r="I245" s="381"/>
      <c r="J245" s="381"/>
      <c r="K245" s="382"/>
      <c r="L245" s="384"/>
      <c r="M245" s="384"/>
      <c r="N245" s="383"/>
      <c r="O245" s="384"/>
      <c r="P245" s="384"/>
      <c r="Q245" s="383"/>
      <c r="R245" s="383"/>
      <c r="S245" s="385"/>
      <c r="T245" s="380"/>
      <c r="U245" s="380"/>
      <c r="V245" s="380"/>
      <c r="W245" s="380"/>
      <c r="X245" s="380"/>
    </row>
    <row r="246" spans="1:24" ht="15.75" customHeight="1">
      <c r="A246" s="463"/>
      <c r="B246" s="889"/>
      <c r="C246" s="381"/>
      <c r="D246" s="381"/>
      <c r="E246" s="381"/>
      <c r="F246" s="381"/>
      <c r="G246" s="381"/>
      <c r="H246" s="381"/>
      <c r="I246" s="381"/>
      <c r="J246" s="381"/>
      <c r="K246" s="382"/>
      <c r="L246" s="384"/>
      <c r="M246" s="384"/>
      <c r="N246" s="383"/>
      <c r="O246" s="384"/>
      <c r="P246" s="384"/>
      <c r="Q246" s="383"/>
      <c r="R246" s="383"/>
      <c r="S246" s="385"/>
      <c r="T246" s="380"/>
      <c r="U246" s="380"/>
      <c r="V246" s="380"/>
      <c r="W246" s="380"/>
      <c r="X246" s="380"/>
    </row>
    <row r="247" spans="1:24" ht="15.75" customHeight="1">
      <c r="A247" s="463"/>
      <c r="B247" s="889"/>
      <c r="C247" s="381"/>
      <c r="D247" s="381"/>
      <c r="E247" s="381"/>
      <c r="F247" s="381"/>
      <c r="G247" s="381"/>
      <c r="H247" s="381"/>
      <c r="I247" s="381"/>
      <c r="J247" s="381"/>
      <c r="K247" s="382"/>
      <c r="L247" s="384"/>
      <c r="M247" s="384"/>
      <c r="N247" s="383"/>
      <c r="O247" s="384"/>
      <c r="P247" s="384"/>
      <c r="Q247" s="383"/>
      <c r="R247" s="383"/>
      <c r="S247" s="385"/>
      <c r="T247" s="380"/>
      <c r="U247" s="380"/>
      <c r="V247" s="380"/>
      <c r="W247" s="380"/>
      <c r="X247" s="380"/>
    </row>
    <row r="248" spans="1:24" ht="15.75" customHeight="1">
      <c r="A248" s="463"/>
      <c r="B248" s="889"/>
      <c r="C248" s="381"/>
      <c r="D248" s="381"/>
      <c r="E248" s="381"/>
      <c r="F248" s="381"/>
      <c r="G248" s="381"/>
      <c r="H248" s="381"/>
      <c r="I248" s="381"/>
      <c r="J248" s="381"/>
      <c r="K248" s="382"/>
      <c r="L248" s="384"/>
      <c r="M248" s="384"/>
      <c r="N248" s="383"/>
      <c r="O248" s="384"/>
      <c r="P248" s="384"/>
      <c r="Q248" s="383"/>
      <c r="R248" s="383"/>
      <c r="S248" s="385"/>
      <c r="T248" s="380"/>
      <c r="U248" s="380"/>
      <c r="V248" s="380"/>
      <c r="W248" s="380"/>
      <c r="X248" s="380"/>
    </row>
    <row r="249" spans="1:24" ht="15.75" customHeight="1">
      <c r="A249" s="463"/>
      <c r="B249" s="889"/>
      <c r="C249" s="381"/>
      <c r="D249" s="381"/>
      <c r="E249" s="381"/>
      <c r="F249" s="381"/>
      <c r="G249" s="381"/>
      <c r="H249" s="381"/>
      <c r="I249" s="381"/>
      <c r="J249" s="381"/>
      <c r="K249" s="382"/>
      <c r="L249" s="381"/>
      <c r="M249" s="381"/>
      <c r="N249" s="383"/>
      <c r="O249" s="384"/>
      <c r="P249" s="384"/>
      <c r="Q249" s="383"/>
      <c r="R249" s="383"/>
      <c r="S249" s="383"/>
      <c r="T249" s="380"/>
      <c r="U249" s="380"/>
      <c r="V249" s="380"/>
      <c r="W249" s="380"/>
      <c r="X249" s="380"/>
    </row>
    <row r="250" spans="1:24" ht="15.75" customHeight="1">
      <c r="A250" s="463"/>
      <c r="B250" s="889"/>
      <c r="C250" s="381"/>
      <c r="D250" s="381"/>
      <c r="E250" s="381"/>
      <c r="F250" s="381"/>
      <c r="G250" s="381"/>
      <c r="H250" s="381"/>
      <c r="I250" s="381"/>
      <c r="J250" s="381"/>
      <c r="K250" s="382"/>
      <c r="L250" s="384"/>
      <c r="M250" s="384"/>
      <c r="N250" s="383"/>
      <c r="O250" s="384"/>
      <c r="P250" s="384"/>
      <c r="Q250" s="383"/>
      <c r="R250" s="383"/>
      <c r="S250" s="385"/>
      <c r="T250" s="380"/>
      <c r="U250" s="380"/>
      <c r="V250" s="380"/>
      <c r="W250" s="380"/>
      <c r="X250" s="380"/>
    </row>
    <row r="251" spans="1:24" ht="15.75" customHeight="1">
      <c r="A251" s="463"/>
      <c r="B251" s="889"/>
      <c r="C251" s="381"/>
      <c r="D251" s="381"/>
      <c r="E251" s="381"/>
      <c r="F251" s="381"/>
      <c r="G251" s="381"/>
      <c r="H251" s="381"/>
      <c r="I251" s="381"/>
      <c r="J251" s="381"/>
      <c r="K251" s="382"/>
      <c r="L251" s="384"/>
      <c r="M251" s="384"/>
      <c r="N251" s="383"/>
      <c r="O251" s="384"/>
      <c r="P251" s="384"/>
      <c r="Q251" s="383"/>
      <c r="R251" s="383"/>
      <c r="S251" s="385"/>
      <c r="T251" s="380"/>
      <c r="U251" s="380"/>
      <c r="V251" s="380"/>
      <c r="W251" s="380"/>
      <c r="X251" s="380"/>
    </row>
    <row r="252" spans="1:24" ht="15.75" customHeight="1">
      <c r="A252" s="463"/>
      <c r="B252" s="889"/>
      <c r="C252" s="381"/>
      <c r="D252" s="381"/>
      <c r="E252" s="381"/>
      <c r="F252" s="381"/>
      <c r="G252" s="381"/>
      <c r="H252" s="381"/>
      <c r="I252" s="381"/>
      <c r="J252" s="381"/>
      <c r="K252" s="382"/>
      <c r="L252" s="384"/>
      <c r="M252" s="384"/>
      <c r="N252" s="383"/>
      <c r="O252" s="384"/>
      <c r="P252" s="384"/>
      <c r="Q252" s="383"/>
      <c r="R252" s="383"/>
      <c r="S252" s="385"/>
      <c r="T252" s="380"/>
      <c r="U252" s="380"/>
      <c r="V252" s="380"/>
      <c r="W252" s="380"/>
      <c r="X252" s="380"/>
    </row>
    <row r="253" spans="1:24" ht="15.75" customHeight="1">
      <c r="A253" s="463"/>
      <c r="B253" s="889"/>
      <c r="C253" s="381"/>
      <c r="D253" s="381"/>
      <c r="E253" s="381"/>
      <c r="F253" s="381"/>
      <c r="G253" s="381"/>
      <c r="H253" s="381"/>
      <c r="I253" s="381"/>
      <c r="J253" s="381"/>
      <c r="K253" s="382"/>
      <c r="L253" s="384"/>
      <c r="M253" s="384"/>
      <c r="N253" s="383"/>
      <c r="O253" s="384"/>
      <c r="P253" s="384"/>
      <c r="Q253" s="383"/>
      <c r="R253" s="383"/>
      <c r="S253" s="385"/>
      <c r="T253" s="380"/>
      <c r="U253" s="380"/>
      <c r="V253" s="380"/>
      <c r="W253" s="380"/>
      <c r="X253" s="380"/>
    </row>
    <row r="254" spans="1:24" ht="15.75" customHeight="1">
      <c r="A254" s="463"/>
      <c r="B254" s="889"/>
      <c r="C254" s="381"/>
      <c r="D254" s="381"/>
      <c r="E254" s="381"/>
      <c r="F254" s="381"/>
      <c r="G254" s="381"/>
      <c r="H254" s="381"/>
      <c r="I254" s="381"/>
      <c r="J254" s="381"/>
      <c r="K254" s="382"/>
      <c r="L254" s="384"/>
      <c r="M254" s="384"/>
      <c r="N254" s="383"/>
      <c r="O254" s="384"/>
      <c r="P254" s="384"/>
      <c r="Q254" s="383"/>
      <c r="R254" s="383"/>
      <c r="S254" s="385"/>
      <c r="T254" s="380"/>
      <c r="U254" s="380"/>
      <c r="V254" s="380"/>
      <c r="W254" s="380"/>
      <c r="X254" s="380"/>
    </row>
    <row r="255" spans="1:24" ht="15.75" customHeight="1">
      <c r="A255" s="463"/>
      <c r="B255" s="889"/>
      <c r="C255" s="381"/>
      <c r="D255" s="381"/>
      <c r="E255" s="381"/>
      <c r="F255" s="381"/>
      <c r="G255" s="381"/>
      <c r="H255" s="381"/>
      <c r="I255" s="381"/>
      <c r="J255" s="381"/>
      <c r="K255" s="382"/>
      <c r="L255" s="384"/>
      <c r="M255" s="384"/>
      <c r="N255" s="383"/>
      <c r="O255" s="384"/>
      <c r="P255" s="384"/>
      <c r="Q255" s="383"/>
      <c r="R255" s="383"/>
      <c r="S255" s="385"/>
      <c r="T255" s="380"/>
      <c r="U255" s="380"/>
      <c r="V255" s="380"/>
      <c r="W255" s="380"/>
      <c r="X255" s="380"/>
    </row>
    <row r="256" spans="1:24" ht="15.75" customHeight="1">
      <c r="A256" s="463"/>
      <c r="B256" s="889"/>
      <c r="C256" s="381"/>
      <c r="D256" s="381"/>
      <c r="E256" s="381"/>
      <c r="F256" s="381"/>
      <c r="G256" s="381"/>
      <c r="H256" s="381"/>
      <c r="I256" s="381"/>
      <c r="J256" s="381"/>
      <c r="K256" s="382"/>
      <c r="L256" s="384"/>
      <c r="M256" s="384"/>
      <c r="N256" s="383"/>
      <c r="O256" s="384"/>
      <c r="P256" s="384"/>
      <c r="Q256" s="383"/>
      <c r="R256" s="383"/>
      <c r="S256" s="385"/>
      <c r="T256" s="380"/>
      <c r="U256" s="380"/>
      <c r="V256" s="380"/>
      <c r="W256" s="380"/>
      <c r="X256" s="380"/>
    </row>
    <row r="257" spans="1:24" ht="15.75" customHeight="1">
      <c r="A257" s="463"/>
      <c r="B257" s="889"/>
      <c r="C257" s="381"/>
      <c r="D257" s="381"/>
      <c r="E257" s="381"/>
      <c r="F257" s="381"/>
      <c r="G257" s="381"/>
      <c r="H257" s="381"/>
      <c r="I257" s="381"/>
      <c r="J257" s="381"/>
      <c r="K257" s="382"/>
      <c r="L257" s="384"/>
      <c r="M257" s="384"/>
      <c r="N257" s="383"/>
      <c r="O257" s="384"/>
      <c r="P257" s="384"/>
      <c r="Q257" s="383"/>
      <c r="R257" s="383"/>
      <c r="S257" s="385"/>
      <c r="T257" s="380"/>
      <c r="U257" s="380"/>
      <c r="V257" s="380"/>
      <c r="W257" s="380"/>
      <c r="X257" s="380"/>
    </row>
    <row r="258" spans="1:24" ht="15.75" customHeight="1">
      <c r="A258" s="463"/>
      <c r="B258" s="889"/>
      <c r="C258" s="381"/>
      <c r="D258" s="381"/>
      <c r="E258" s="381"/>
      <c r="F258" s="381"/>
      <c r="G258" s="381"/>
      <c r="H258" s="381"/>
      <c r="I258" s="381"/>
      <c r="J258" s="381"/>
      <c r="K258" s="382"/>
      <c r="L258" s="381"/>
      <c r="M258" s="381"/>
      <c r="N258" s="383"/>
      <c r="O258" s="384"/>
      <c r="P258" s="384"/>
      <c r="Q258" s="383"/>
      <c r="R258" s="383"/>
      <c r="S258" s="383"/>
      <c r="T258" s="380"/>
      <c r="U258" s="380"/>
      <c r="V258" s="380"/>
      <c r="W258" s="380"/>
      <c r="X258" s="380"/>
    </row>
    <row r="259" spans="1:24" ht="15.75" customHeight="1">
      <c r="A259" s="463"/>
      <c r="B259" s="889"/>
      <c r="C259" s="381"/>
      <c r="D259" s="381"/>
      <c r="E259" s="381"/>
      <c r="F259" s="381"/>
      <c r="G259" s="381"/>
      <c r="H259" s="381"/>
      <c r="I259" s="381"/>
      <c r="J259" s="381"/>
      <c r="K259" s="382"/>
      <c r="L259" s="384"/>
      <c r="M259" s="384"/>
      <c r="N259" s="383"/>
      <c r="O259" s="384"/>
      <c r="P259" s="384"/>
      <c r="Q259" s="383"/>
      <c r="R259" s="383"/>
      <c r="S259" s="385"/>
      <c r="T259" s="380"/>
      <c r="U259" s="380"/>
      <c r="V259" s="380"/>
      <c r="W259" s="380"/>
      <c r="X259" s="380"/>
    </row>
    <row r="260" spans="1:24" ht="15.75" customHeight="1">
      <c r="A260" s="463"/>
      <c r="B260" s="889"/>
      <c r="C260" s="381"/>
      <c r="D260" s="381"/>
      <c r="E260" s="381"/>
      <c r="F260" s="381"/>
      <c r="G260" s="381"/>
      <c r="H260" s="381"/>
      <c r="I260" s="381"/>
      <c r="J260" s="381"/>
      <c r="K260" s="382"/>
      <c r="L260" s="384"/>
      <c r="M260" s="384"/>
      <c r="N260" s="383"/>
      <c r="O260" s="384"/>
      <c r="P260" s="384"/>
      <c r="Q260" s="383"/>
      <c r="R260" s="383"/>
      <c r="S260" s="385"/>
      <c r="T260" s="380"/>
      <c r="U260" s="380"/>
      <c r="V260" s="380"/>
      <c r="W260" s="380"/>
      <c r="X260" s="380"/>
    </row>
    <row r="261" spans="1:24" ht="15.75" customHeight="1">
      <c r="A261" s="463"/>
      <c r="B261" s="889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3"/>
      <c r="O261" s="384"/>
      <c r="P261" s="384"/>
      <c r="Q261" s="383"/>
      <c r="R261" s="383"/>
      <c r="S261" s="385"/>
      <c r="T261" s="380"/>
      <c r="U261" s="380"/>
      <c r="V261" s="380"/>
      <c r="W261" s="380"/>
      <c r="X261" s="380"/>
    </row>
    <row r="262" spans="1:24" ht="15.75" customHeight="1">
      <c r="A262" s="463"/>
      <c r="B262" s="889"/>
      <c r="C262" s="381"/>
      <c r="D262" s="381"/>
      <c r="E262" s="381"/>
      <c r="F262" s="381"/>
      <c r="G262" s="381"/>
      <c r="H262" s="381"/>
      <c r="I262" s="381"/>
      <c r="J262" s="381"/>
      <c r="K262" s="382"/>
      <c r="L262" s="384"/>
      <c r="M262" s="384"/>
      <c r="N262" s="383"/>
      <c r="O262" s="384"/>
      <c r="P262" s="384"/>
      <c r="Q262" s="383"/>
      <c r="R262" s="383"/>
      <c r="S262" s="385"/>
      <c r="T262" s="380"/>
      <c r="U262" s="380"/>
      <c r="V262" s="380"/>
      <c r="W262" s="380"/>
      <c r="X262" s="380"/>
    </row>
    <row r="263" spans="1:24" ht="15.75" customHeight="1">
      <c r="A263" s="463"/>
      <c r="B263" s="889"/>
      <c r="C263" s="381"/>
      <c r="D263" s="381"/>
      <c r="E263" s="381"/>
      <c r="F263" s="381"/>
      <c r="G263" s="381"/>
      <c r="H263" s="381"/>
      <c r="I263" s="381"/>
      <c r="J263" s="381"/>
      <c r="K263" s="382"/>
      <c r="L263" s="381"/>
      <c r="M263" s="381"/>
      <c r="N263" s="383"/>
      <c r="O263" s="384"/>
      <c r="P263" s="384"/>
      <c r="Q263" s="383"/>
      <c r="R263" s="383"/>
      <c r="S263" s="383"/>
      <c r="T263" s="380"/>
      <c r="U263" s="380"/>
      <c r="V263" s="380"/>
      <c r="W263" s="380"/>
      <c r="X263" s="380"/>
    </row>
    <row r="264" spans="1:24" ht="15.75" customHeight="1">
      <c r="A264" s="463"/>
      <c r="B264" s="889"/>
      <c r="C264" s="381"/>
      <c r="D264" s="381"/>
      <c r="E264" s="381"/>
      <c r="F264" s="381"/>
      <c r="G264" s="381"/>
      <c r="H264" s="381"/>
      <c r="I264" s="381"/>
      <c r="J264" s="381"/>
      <c r="K264" s="382"/>
      <c r="L264" s="384"/>
      <c r="M264" s="384"/>
      <c r="N264" s="383"/>
      <c r="O264" s="384"/>
      <c r="P264" s="384"/>
      <c r="Q264" s="383"/>
      <c r="R264" s="383"/>
      <c r="S264" s="385"/>
      <c r="T264" s="380"/>
      <c r="U264" s="380"/>
      <c r="V264" s="380"/>
      <c r="W264" s="380"/>
      <c r="X264" s="380"/>
    </row>
    <row r="265" spans="1:24" ht="15.75" customHeight="1">
      <c r="A265" s="463"/>
      <c r="B265" s="889"/>
      <c r="C265" s="381"/>
      <c r="D265" s="381"/>
      <c r="E265" s="381"/>
      <c r="F265" s="381"/>
      <c r="G265" s="381"/>
      <c r="H265" s="381"/>
      <c r="I265" s="381"/>
      <c r="J265" s="381"/>
      <c r="K265" s="382"/>
      <c r="L265" s="384"/>
      <c r="M265" s="384"/>
      <c r="N265" s="383"/>
      <c r="O265" s="384"/>
      <c r="P265" s="384"/>
      <c r="Q265" s="383"/>
      <c r="R265" s="383"/>
      <c r="S265" s="385"/>
      <c r="T265" s="380"/>
      <c r="U265" s="380"/>
      <c r="V265" s="380"/>
      <c r="W265" s="380"/>
      <c r="X265" s="380"/>
    </row>
    <row r="266" spans="1:24" ht="15.75" customHeight="1">
      <c r="A266" s="463"/>
      <c r="B266" s="889"/>
      <c r="C266" s="381"/>
      <c r="D266" s="381"/>
      <c r="E266" s="381"/>
      <c r="F266" s="381"/>
      <c r="G266" s="381"/>
      <c r="H266" s="381"/>
      <c r="I266" s="381"/>
      <c r="J266" s="381"/>
      <c r="K266" s="382"/>
      <c r="L266" s="384"/>
      <c r="M266" s="384"/>
      <c r="N266" s="383"/>
      <c r="O266" s="384"/>
      <c r="P266" s="384"/>
      <c r="Q266" s="383"/>
      <c r="R266" s="383"/>
      <c r="S266" s="385"/>
      <c r="T266" s="380"/>
      <c r="U266" s="380"/>
      <c r="V266" s="380"/>
      <c r="W266" s="380"/>
      <c r="X266" s="380"/>
    </row>
    <row r="267" spans="1:24" ht="15.75" customHeight="1">
      <c r="A267" s="463"/>
      <c r="B267" s="889"/>
      <c r="C267" s="381"/>
      <c r="D267" s="381"/>
      <c r="E267" s="381"/>
      <c r="F267" s="381"/>
      <c r="G267" s="381"/>
      <c r="H267" s="381"/>
      <c r="I267" s="381"/>
      <c r="J267" s="381"/>
      <c r="K267" s="382"/>
      <c r="L267" s="381"/>
      <c r="M267" s="381"/>
      <c r="N267" s="383"/>
      <c r="O267" s="384"/>
      <c r="P267" s="384"/>
      <c r="Q267" s="383"/>
      <c r="R267" s="383"/>
      <c r="S267" s="383"/>
      <c r="T267" s="380"/>
      <c r="U267" s="380"/>
      <c r="V267" s="380"/>
      <c r="W267" s="380"/>
      <c r="X267" s="380"/>
    </row>
    <row r="268" spans="1:24" ht="15.75" customHeight="1">
      <c r="A268" s="463"/>
      <c r="B268" s="889"/>
      <c r="C268" s="381"/>
      <c r="D268" s="381"/>
      <c r="E268" s="381"/>
      <c r="F268" s="381"/>
      <c r="G268" s="381"/>
      <c r="H268" s="381"/>
      <c r="I268" s="381"/>
      <c r="J268" s="381"/>
      <c r="K268" s="382"/>
      <c r="L268" s="384"/>
      <c r="M268" s="384"/>
      <c r="N268" s="383"/>
      <c r="O268" s="384"/>
      <c r="P268" s="384"/>
      <c r="Q268" s="383"/>
      <c r="R268" s="383"/>
      <c r="S268" s="385"/>
      <c r="T268" s="380"/>
      <c r="U268" s="380"/>
      <c r="V268" s="380"/>
      <c r="W268" s="380"/>
      <c r="X268" s="380"/>
    </row>
    <row r="269" spans="1:24" ht="15.75" customHeight="1">
      <c r="A269" s="463"/>
      <c r="B269" s="889"/>
      <c r="C269" s="381"/>
      <c r="D269" s="381"/>
      <c r="E269" s="381"/>
      <c r="F269" s="381"/>
      <c r="G269" s="381"/>
      <c r="H269" s="381"/>
      <c r="I269" s="381"/>
      <c r="J269" s="381"/>
      <c r="K269" s="382"/>
      <c r="L269" s="381"/>
      <c r="M269" s="381"/>
      <c r="N269" s="383"/>
      <c r="O269" s="384"/>
      <c r="P269" s="384"/>
      <c r="Q269" s="383"/>
      <c r="R269" s="383"/>
      <c r="S269" s="383"/>
      <c r="T269" s="380"/>
      <c r="U269" s="380"/>
      <c r="V269" s="380"/>
      <c r="W269" s="380"/>
      <c r="X269" s="380"/>
    </row>
    <row r="270" spans="1:24" ht="15.75" customHeight="1">
      <c r="A270" s="463"/>
      <c r="B270" s="889"/>
      <c r="C270" s="381"/>
      <c r="D270" s="381"/>
      <c r="E270" s="381"/>
      <c r="F270" s="381"/>
      <c r="G270" s="381"/>
      <c r="H270" s="381"/>
      <c r="I270" s="381"/>
      <c r="J270" s="381"/>
      <c r="K270" s="382"/>
      <c r="L270" s="384"/>
      <c r="M270" s="384"/>
      <c r="N270" s="383"/>
      <c r="O270" s="384"/>
      <c r="P270" s="384"/>
      <c r="Q270" s="383"/>
      <c r="R270" s="383"/>
      <c r="S270" s="385"/>
      <c r="T270" s="380"/>
      <c r="U270" s="380"/>
      <c r="V270" s="380"/>
      <c r="W270" s="380"/>
      <c r="X270" s="380"/>
    </row>
    <row r="271" spans="1:24" ht="15.75" customHeight="1">
      <c r="A271" s="463"/>
      <c r="B271" s="889"/>
      <c r="C271" s="381"/>
      <c r="D271" s="381"/>
      <c r="E271" s="381"/>
      <c r="F271" s="381"/>
      <c r="G271" s="381"/>
      <c r="H271" s="381"/>
      <c r="I271" s="381"/>
      <c r="J271" s="381"/>
      <c r="K271" s="382"/>
      <c r="L271" s="381"/>
      <c r="M271" s="381"/>
      <c r="N271" s="383"/>
      <c r="O271" s="384"/>
      <c r="P271" s="384"/>
      <c r="Q271" s="383"/>
      <c r="R271" s="383"/>
      <c r="S271" s="383"/>
      <c r="T271" s="380"/>
      <c r="U271" s="380"/>
      <c r="V271" s="380"/>
      <c r="W271" s="380"/>
      <c r="X271" s="380"/>
    </row>
    <row r="272" spans="1:24" ht="15.75" customHeight="1">
      <c r="A272" s="463"/>
      <c r="B272" s="889"/>
      <c r="C272" s="381"/>
      <c r="D272" s="381"/>
      <c r="E272" s="381"/>
      <c r="F272" s="381"/>
      <c r="G272" s="381"/>
      <c r="H272" s="381"/>
      <c r="I272" s="381"/>
      <c r="J272" s="381"/>
      <c r="K272" s="382"/>
      <c r="L272" s="384"/>
      <c r="M272" s="384"/>
      <c r="N272" s="383"/>
      <c r="O272" s="384"/>
      <c r="P272" s="384"/>
      <c r="Q272" s="383"/>
      <c r="R272" s="383"/>
      <c r="S272" s="385"/>
      <c r="T272" s="380"/>
      <c r="U272" s="380"/>
      <c r="V272" s="380"/>
      <c r="W272" s="380"/>
      <c r="X272" s="380"/>
    </row>
    <row r="273" spans="1:24" ht="15.75" customHeight="1">
      <c r="A273" s="463"/>
      <c r="B273" s="889"/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3"/>
      <c r="O273" s="384"/>
      <c r="P273" s="384"/>
      <c r="Q273" s="383"/>
      <c r="R273" s="383"/>
      <c r="S273" s="383"/>
      <c r="T273" s="380"/>
      <c r="U273" s="380"/>
      <c r="V273" s="380"/>
      <c r="W273" s="380"/>
      <c r="X273" s="380"/>
    </row>
    <row r="274" spans="1:24" ht="15.75" customHeight="1">
      <c r="A274" s="463"/>
      <c r="B274" s="889"/>
      <c r="C274" s="381"/>
      <c r="D274" s="381"/>
      <c r="E274" s="381"/>
      <c r="F274" s="381"/>
      <c r="G274" s="381"/>
      <c r="H274" s="381"/>
      <c r="I274" s="381"/>
      <c r="J274" s="381"/>
      <c r="K274" s="382"/>
      <c r="L274" s="384"/>
      <c r="M274" s="384"/>
      <c r="N274" s="383"/>
      <c r="O274" s="384"/>
      <c r="P274" s="384"/>
      <c r="Q274" s="383"/>
      <c r="R274" s="383"/>
      <c r="S274" s="385"/>
      <c r="T274" s="380"/>
      <c r="U274" s="380"/>
      <c r="V274" s="380"/>
      <c r="W274" s="380"/>
      <c r="X274" s="380"/>
    </row>
    <row r="275" spans="1:24" ht="15.75" customHeight="1">
      <c r="A275" s="463"/>
      <c r="B275" s="889"/>
      <c r="C275" s="381"/>
      <c r="D275" s="381"/>
      <c r="E275" s="381"/>
      <c r="F275" s="381"/>
      <c r="G275" s="381"/>
      <c r="H275" s="381"/>
      <c r="I275" s="381"/>
      <c r="J275" s="381"/>
      <c r="K275" s="382"/>
      <c r="L275" s="384"/>
      <c r="M275" s="384"/>
      <c r="N275" s="383"/>
      <c r="O275" s="384"/>
      <c r="P275" s="384"/>
      <c r="Q275" s="383"/>
      <c r="R275" s="383"/>
      <c r="S275" s="385"/>
      <c r="T275" s="380"/>
      <c r="U275" s="380"/>
      <c r="V275" s="380"/>
      <c r="W275" s="380"/>
      <c r="X275" s="380"/>
    </row>
    <row r="276" spans="1:24" ht="15.75" customHeight="1">
      <c r="A276" s="463"/>
      <c r="B276" s="889"/>
      <c r="C276" s="381"/>
      <c r="D276" s="381"/>
      <c r="E276" s="381"/>
      <c r="F276" s="381"/>
      <c r="G276" s="381"/>
      <c r="H276" s="381"/>
      <c r="I276" s="381"/>
      <c r="J276" s="381"/>
      <c r="K276" s="382"/>
      <c r="L276" s="384"/>
      <c r="M276" s="384"/>
      <c r="N276" s="383"/>
      <c r="O276" s="384"/>
      <c r="P276" s="384"/>
      <c r="Q276" s="383"/>
      <c r="R276" s="383"/>
      <c r="S276" s="385"/>
      <c r="T276" s="380"/>
      <c r="U276" s="380"/>
      <c r="V276" s="380"/>
      <c r="W276" s="380"/>
      <c r="X276" s="380"/>
    </row>
    <row r="277" spans="1:24" ht="15.75" customHeight="1">
      <c r="A277" s="463"/>
      <c r="B277" s="889"/>
      <c r="C277" s="381"/>
      <c r="D277" s="381"/>
      <c r="E277" s="381"/>
      <c r="F277" s="381"/>
      <c r="G277" s="381"/>
      <c r="H277" s="381"/>
      <c r="I277" s="381"/>
      <c r="J277" s="381"/>
      <c r="K277" s="381"/>
      <c r="L277" s="381"/>
      <c r="M277" s="381"/>
      <c r="N277" s="383"/>
      <c r="O277" s="384"/>
      <c r="P277" s="384"/>
      <c r="Q277" s="383"/>
      <c r="R277" s="383"/>
      <c r="S277" s="383"/>
      <c r="T277" s="380"/>
      <c r="U277" s="380"/>
      <c r="V277" s="380"/>
      <c r="W277" s="380"/>
      <c r="X277" s="380"/>
    </row>
    <row r="278" spans="1:24" ht="15.75" customHeight="1">
      <c r="A278" s="463"/>
      <c r="B278" s="889"/>
      <c r="C278" s="381"/>
      <c r="D278" s="381"/>
      <c r="E278" s="381"/>
      <c r="F278" s="381"/>
      <c r="G278" s="381"/>
      <c r="H278" s="381"/>
      <c r="I278" s="381"/>
      <c r="J278" s="381"/>
      <c r="K278" s="382"/>
      <c r="L278" s="384"/>
      <c r="M278" s="384"/>
      <c r="N278" s="383"/>
      <c r="O278" s="384"/>
      <c r="P278" s="384"/>
      <c r="Q278" s="383"/>
      <c r="R278" s="383"/>
      <c r="S278" s="385"/>
      <c r="T278" s="380"/>
      <c r="U278" s="380"/>
      <c r="V278" s="380"/>
      <c r="W278" s="380"/>
      <c r="X278" s="380"/>
    </row>
    <row r="279" spans="1:24" ht="15.75" customHeight="1">
      <c r="A279" s="463"/>
      <c r="B279" s="889"/>
      <c r="C279" s="381"/>
      <c r="D279" s="381"/>
      <c r="E279" s="381"/>
      <c r="F279" s="381"/>
      <c r="G279" s="381"/>
      <c r="H279" s="381"/>
      <c r="I279" s="381"/>
      <c r="J279" s="381"/>
      <c r="K279" s="382"/>
      <c r="L279" s="384"/>
      <c r="M279" s="384"/>
      <c r="N279" s="383"/>
      <c r="O279" s="384"/>
      <c r="P279" s="384"/>
      <c r="Q279" s="383"/>
      <c r="R279" s="383"/>
      <c r="S279" s="385"/>
      <c r="T279" s="380"/>
      <c r="U279" s="380"/>
      <c r="V279" s="380"/>
      <c r="W279" s="380"/>
      <c r="X279" s="380"/>
    </row>
    <row r="280" spans="1:24" ht="15.75" customHeight="1">
      <c r="A280" s="463"/>
      <c r="B280" s="889"/>
      <c r="C280" s="381"/>
      <c r="D280" s="381"/>
      <c r="E280" s="381"/>
      <c r="F280" s="381"/>
      <c r="G280" s="381"/>
      <c r="H280" s="381"/>
      <c r="I280" s="381"/>
      <c r="J280" s="381"/>
      <c r="K280" s="382"/>
      <c r="L280" s="384"/>
      <c r="M280" s="384"/>
      <c r="N280" s="383"/>
      <c r="O280" s="384"/>
      <c r="P280" s="384"/>
      <c r="Q280" s="383"/>
      <c r="R280" s="383"/>
      <c r="S280" s="385"/>
      <c r="T280" s="380"/>
      <c r="U280" s="380"/>
      <c r="V280" s="380"/>
      <c r="W280" s="380"/>
      <c r="X280" s="380"/>
    </row>
    <row r="281" spans="1:24" ht="15.75" customHeight="1">
      <c r="A281" s="463"/>
      <c r="B281" s="889"/>
      <c r="C281" s="381"/>
      <c r="D281" s="381"/>
      <c r="E281" s="381"/>
      <c r="F281" s="381"/>
      <c r="G281" s="381"/>
      <c r="H281" s="381"/>
      <c r="I281" s="381"/>
      <c r="J281" s="381"/>
      <c r="K281" s="382"/>
      <c r="L281" s="384"/>
      <c r="M281" s="384"/>
      <c r="N281" s="383"/>
      <c r="O281" s="384"/>
      <c r="P281" s="384"/>
      <c r="Q281" s="383"/>
      <c r="R281" s="383"/>
      <c r="S281" s="385"/>
      <c r="T281" s="380"/>
      <c r="U281" s="380"/>
      <c r="V281" s="380"/>
      <c r="W281" s="380"/>
      <c r="X281" s="380"/>
    </row>
    <row r="282" spans="1:24" ht="15.75" customHeight="1">
      <c r="A282" s="463"/>
      <c r="B282" s="889"/>
      <c r="C282" s="381"/>
      <c r="D282" s="381"/>
      <c r="E282" s="381"/>
      <c r="F282" s="381"/>
      <c r="G282" s="381"/>
      <c r="H282" s="381"/>
      <c r="I282" s="381"/>
      <c r="J282" s="381"/>
      <c r="K282" s="382"/>
      <c r="L282" s="384"/>
      <c r="M282" s="384"/>
      <c r="N282" s="383"/>
      <c r="O282" s="384"/>
      <c r="P282" s="384"/>
      <c r="Q282" s="383"/>
      <c r="R282" s="383"/>
      <c r="S282" s="385"/>
      <c r="T282" s="380"/>
      <c r="U282" s="380"/>
      <c r="V282" s="380"/>
      <c r="W282" s="380"/>
      <c r="X282" s="380"/>
    </row>
    <row r="283" spans="1:24" ht="15.75" customHeight="1">
      <c r="A283" s="463"/>
      <c r="B283" s="889"/>
      <c r="C283" s="381"/>
      <c r="D283" s="381"/>
      <c r="E283" s="381"/>
      <c r="F283" s="381"/>
      <c r="G283" s="381"/>
      <c r="H283" s="381"/>
      <c r="I283" s="381"/>
      <c r="J283" s="381"/>
      <c r="K283" s="382"/>
      <c r="L283" s="384"/>
      <c r="M283" s="384"/>
      <c r="N283" s="383"/>
      <c r="O283" s="384"/>
      <c r="P283" s="384"/>
      <c r="Q283" s="383"/>
      <c r="R283" s="383"/>
      <c r="S283" s="385"/>
      <c r="T283" s="380"/>
      <c r="U283" s="380"/>
      <c r="V283" s="380"/>
      <c r="W283" s="380"/>
      <c r="X283" s="380"/>
    </row>
    <row r="284" spans="1:24" ht="15.75" customHeight="1">
      <c r="A284" s="463"/>
      <c r="B284" s="889"/>
      <c r="C284" s="381"/>
      <c r="D284" s="381"/>
      <c r="E284" s="381"/>
      <c r="F284" s="381"/>
      <c r="G284" s="381"/>
      <c r="H284" s="381"/>
      <c r="I284" s="381"/>
      <c r="J284" s="381"/>
      <c r="K284" s="382"/>
      <c r="L284" s="384"/>
      <c r="M284" s="384"/>
      <c r="N284" s="383"/>
      <c r="O284" s="384"/>
      <c r="P284" s="384"/>
      <c r="Q284" s="383"/>
      <c r="R284" s="383"/>
      <c r="S284" s="385"/>
      <c r="T284" s="380"/>
      <c r="U284" s="380"/>
      <c r="V284" s="380"/>
      <c r="W284" s="380"/>
      <c r="X284" s="380"/>
    </row>
    <row r="285" spans="1:24" ht="15.75" customHeight="1">
      <c r="A285" s="463"/>
      <c r="B285" s="889"/>
      <c r="C285" s="381"/>
      <c r="D285" s="381"/>
      <c r="E285" s="381"/>
      <c r="F285" s="381"/>
      <c r="G285" s="381"/>
      <c r="H285" s="381"/>
      <c r="I285" s="381"/>
      <c r="J285" s="381"/>
      <c r="K285" s="382"/>
      <c r="L285" s="384"/>
      <c r="M285" s="384"/>
      <c r="N285" s="383"/>
      <c r="O285" s="384"/>
      <c r="P285" s="384"/>
      <c r="Q285" s="383"/>
      <c r="R285" s="383"/>
      <c r="S285" s="385"/>
      <c r="T285" s="380"/>
      <c r="U285" s="380"/>
      <c r="V285" s="380"/>
      <c r="W285" s="380"/>
      <c r="X285" s="380"/>
    </row>
    <row r="286" spans="1:24" ht="15.75" customHeight="1">
      <c r="A286" s="463"/>
      <c r="B286" s="889"/>
      <c r="C286" s="381"/>
      <c r="D286" s="381"/>
      <c r="E286" s="381"/>
      <c r="F286" s="381"/>
      <c r="G286" s="381"/>
      <c r="H286" s="381"/>
      <c r="I286" s="381"/>
      <c r="J286" s="381"/>
      <c r="K286" s="382"/>
      <c r="L286" s="384"/>
      <c r="M286" s="384"/>
      <c r="N286" s="383"/>
      <c r="O286" s="384"/>
      <c r="P286" s="384"/>
      <c r="Q286" s="383"/>
      <c r="R286" s="383"/>
      <c r="S286" s="385"/>
      <c r="T286" s="380"/>
      <c r="U286" s="380"/>
      <c r="V286" s="380"/>
      <c r="W286" s="380"/>
      <c r="X286" s="380"/>
    </row>
    <row r="287" spans="1:24" ht="15.75" customHeight="1">
      <c r="A287" s="463"/>
      <c r="B287" s="889"/>
      <c r="C287" s="381"/>
      <c r="D287" s="381"/>
      <c r="E287" s="381"/>
      <c r="F287" s="381"/>
      <c r="G287" s="381"/>
      <c r="H287" s="381"/>
      <c r="I287" s="381"/>
      <c r="J287" s="381"/>
      <c r="K287" s="382"/>
      <c r="L287" s="384"/>
      <c r="M287" s="384"/>
      <c r="N287" s="383"/>
      <c r="O287" s="384"/>
      <c r="P287" s="384"/>
      <c r="Q287" s="383"/>
      <c r="R287" s="383"/>
      <c r="S287" s="385"/>
      <c r="T287" s="380"/>
      <c r="U287" s="380"/>
      <c r="V287" s="380"/>
      <c r="W287" s="380"/>
      <c r="X287" s="380"/>
    </row>
    <row r="288" spans="1:24" ht="15.75" customHeight="1">
      <c r="A288" s="463"/>
      <c r="B288" s="889"/>
      <c r="C288" s="381"/>
      <c r="D288" s="381"/>
      <c r="E288" s="381"/>
      <c r="F288" s="381"/>
      <c r="G288" s="381"/>
      <c r="H288" s="381"/>
      <c r="I288" s="381"/>
      <c r="J288" s="381"/>
      <c r="K288" s="382"/>
      <c r="L288" s="384"/>
      <c r="M288" s="384"/>
      <c r="N288" s="383"/>
      <c r="O288" s="384"/>
      <c r="P288" s="384"/>
      <c r="Q288" s="383"/>
      <c r="R288" s="383"/>
      <c r="S288" s="385"/>
      <c r="T288" s="380"/>
      <c r="U288" s="380"/>
      <c r="V288" s="380"/>
      <c r="W288" s="380"/>
      <c r="X288" s="380"/>
    </row>
    <row r="289" spans="1:24" ht="15.75" customHeight="1">
      <c r="A289" s="463"/>
      <c r="B289" s="889"/>
      <c r="C289" s="381"/>
      <c r="D289" s="381"/>
      <c r="E289" s="381"/>
      <c r="F289" s="381"/>
      <c r="G289" s="381"/>
      <c r="H289" s="381"/>
      <c r="I289" s="381"/>
      <c r="J289" s="381"/>
      <c r="K289" s="382"/>
      <c r="L289" s="384"/>
      <c r="M289" s="384"/>
      <c r="N289" s="383"/>
      <c r="O289" s="384"/>
      <c r="P289" s="384"/>
      <c r="Q289" s="383"/>
      <c r="R289" s="383"/>
      <c r="S289" s="385"/>
      <c r="T289" s="380"/>
      <c r="U289" s="380"/>
      <c r="V289" s="380"/>
      <c r="W289" s="380"/>
      <c r="X289" s="380"/>
    </row>
    <row r="290" spans="1:24" ht="15.75" customHeight="1">
      <c r="A290" s="463"/>
      <c r="B290" s="889"/>
      <c r="C290" s="381"/>
      <c r="D290" s="381"/>
      <c r="E290" s="381"/>
      <c r="F290" s="381"/>
      <c r="G290" s="381"/>
      <c r="H290" s="381"/>
      <c r="I290" s="381"/>
      <c r="J290" s="381"/>
      <c r="K290" s="382"/>
      <c r="L290" s="384"/>
      <c r="M290" s="384"/>
      <c r="N290" s="383"/>
      <c r="O290" s="384"/>
      <c r="P290" s="384"/>
      <c r="Q290" s="383"/>
      <c r="R290" s="383"/>
      <c r="S290" s="385"/>
      <c r="T290" s="380"/>
      <c r="U290" s="380"/>
      <c r="V290" s="380"/>
      <c r="W290" s="380"/>
      <c r="X290" s="380"/>
    </row>
    <row r="291" spans="1:24" ht="15.75" customHeight="1">
      <c r="A291" s="463"/>
      <c r="B291" s="889"/>
      <c r="C291" s="381"/>
      <c r="D291" s="381"/>
      <c r="E291" s="381"/>
      <c r="F291" s="381"/>
      <c r="G291" s="381"/>
      <c r="H291" s="381"/>
      <c r="I291" s="381"/>
      <c r="J291" s="381"/>
      <c r="K291" s="382"/>
      <c r="L291" s="384"/>
      <c r="M291" s="384"/>
      <c r="N291" s="383"/>
      <c r="O291" s="384"/>
      <c r="P291" s="384"/>
      <c r="Q291" s="383"/>
      <c r="R291" s="383"/>
      <c r="S291" s="385"/>
      <c r="T291" s="380"/>
      <c r="U291" s="380"/>
      <c r="V291" s="380"/>
      <c r="W291" s="380"/>
      <c r="X291" s="380"/>
    </row>
    <row r="292" spans="1:24" ht="15.75" customHeight="1">
      <c r="A292" s="463"/>
      <c r="B292" s="889"/>
      <c r="C292" s="381"/>
      <c r="D292" s="381"/>
      <c r="E292" s="381"/>
      <c r="F292" s="381"/>
      <c r="G292" s="381"/>
      <c r="H292" s="381"/>
      <c r="I292" s="381"/>
      <c r="J292" s="381"/>
      <c r="K292" s="382"/>
      <c r="L292" s="384"/>
      <c r="M292" s="384"/>
      <c r="N292" s="383"/>
      <c r="O292" s="384"/>
      <c r="P292" s="384"/>
      <c r="Q292" s="383"/>
      <c r="R292" s="383"/>
      <c r="S292" s="385"/>
      <c r="T292" s="380"/>
      <c r="U292" s="380"/>
      <c r="V292" s="380"/>
      <c r="W292" s="380"/>
      <c r="X292" s="380"/>
    </row>
    <row r="293" spans="1:24" ht="15.75" customHeight="1">
      <c r="A293" s="463"/>
      <c r="B293" s="889"/>
      <c r="C293" s="381"/>
      <c r="D293" s="381"/>
      <c r="E293" s="381"/>
      <c r="F293" s="381"/>
      <c r="G293" s="381"/>
      <c r="H293" s="381"/>
      <c r="I293" s="381"/>
      <c r="J293" s="381"/>
      <c r="K293" s="382"/>
      <c r="L293" s="384"/>
      <c r="M293" s="384"/>
      <c r="N293" s="383"/>
      <c r="O293" s="384"/>
      <c r="P293" s="384"/>
      <c r="Q293" s="383"/>
      <c r="R293" s="383"/>
      <c r="S293" s="385"/>
      <c r="T293" s="380"/>
      <c r="U293" s="380"/>
      <c r="V293" s="380"/>
      <c r="W293" s="380"/>
      <c r="X293" s="380"/>
    </row>
    <row r="294" spans="1:24" ht="15.75" customHeight="1">
      <c r="A294" s="463"/>
      <c r="B294" s="889"/>
      <c r="C294" s="381"/>
      <c r="D294" s="381"/>
      <c r="E294" s="381"/>
      <c r="F294" s="381"/>
      <c r="G294" s="381"/>
      <c r="H294" s="381"/>
      <c r="I294" s="381"/>
      <c r="J294" s="381"/>
      <c r="K294" s="382"/>
      <c r="L294" s="384"/>
      <c r="M294" s="384"/>
      <c r="N294" s="383"/>
      <c r="O294" s="384"/>
      <c r="P294" s="384"/>
      <c r="Q294" s="383"/>
      <c r="R294" s="383"/>
      <c r="S294" s="385"/>
      <c r="T294" s="380"/>
      <c r="U294" s="380"/>
      <c r="V294" s="380"/>
      <c r="W294" s="380"/>
      <c r="X294" s="380"/>
    </row>
    <row r="295" spans="1:24" ht="15.75" customHeight="1">
      <c r="A295" s="463"/>
      <c r="B295" s="889"/>
      <c r="C295" s="381"/>
      <c r="D295" s="381"/>
      <c r="E295" s="381"/>
      <c r="F295" s="381"/>
      <c r="G295" s="381"/>
      <c r="H295" s="381"/>
      <c r="I295" s="381"/>
      <c r="J295" s="381"/>
      <c r="K295" s="382"/>
      <c r="L295" s="384"/>
      <c r="M295" s="384"/>
      <c r="N295" s="383"/>
      <c r="O295" s="384"/>
      <c r="P295" s="384"/>
      <c r="Q295" s="383"/>
      <c r="R295" s="383"/>
      <c r="S295" s="385"/>
      <c r="T295" s="380"/>
      <c r="U295" s="380"/>
      <c r="V295" s="380"/>
      <c r="W295" s="380"/>
      <c r="X295" s="380"/>
    </row>
    <row r="296" spans="1:24" ht="15.75" customHeight="1">
      <c r="A296" s="463"/>
      <c r="B296" s="889"/>
      <c r="C296" s="381"/>
      <c r="D296" s="381"/>
      <c r="E296" s="381"/>
      <c r="F296" s="381"/>
      <c r="G296" s="381"/>
      <c r="H296" s="381"/>
      <c r="I296" s="381"/>
      <c r="J296" s="381"/>
      <c r="K296" s="382"/>
      <c r="L296" s="384"/>
      <c r="M296" s="384"/>
      <c r="N296" s="383"/>
      <c r="O296" s="384"/>
      <c r="P296" s="384"/>
      <c r="Q296" s="383"/>
      <c r="R296" s="383"/>
      <c r="S296" s="385"/>
      <c r="T296" s="380"/>
      <c r="U296" s="380"/>
      <c r="V296" s="380"/>
      <c r="W296" s="380"/>
      <c r="X296" s="380"/>
    </row>
    <row r="297" spans="1:24" ht="15.75" customHeight="1">
      <c r="A297" s="463"/>
      <c r="B297" s="889"/>
      <c r="C297" s="381"/>
      <c r="D297" s="381"/>
      <c r="E297" s="381"/>
      <c r="F297" s="381"/>
      <c r="G297" s="381"/>
      <c r="H297" s="381"/>
      <c r="I297" s="381"/>
      <c r="J297" s="381"/>
      <c r="K297" s="382"/>
      <c r="L297" s="384"/>
      <c r="M297" s="384"/>
      <c r="N297" s="383"/>
      <c r="O297" s="384"/>
      <c r="P297" s="384"/>
      <c r="Q297" s="383"/>
      <c r="R297" s="383"/>
      <c r="S297" s="385"/>
      <c r="T297" s="380"/>
      <c r="U297" s="380"/>
      <c r="V297" s="380"/>
      <c r="W297" s="380"/>
      <c r="X297" s="380"/>
    </row>
    <row r="298" spans="1:24" ht="15.75" customHeight="1">
      <c r="A298" s="463"/>
      <c r="B298" s="889"/>
      <c r="C298" s="381"/>
      <c r="D298" s="381"/>
      <c r="E298" s="381"/>
      <c r="F298" s="381"/>
      <c r="G298" s="381"/>
      <c r="H298" s="381"/>
      <c r="I298" s="381"/>
      <c r="J298" s="381"/>
      <c r="K298" s="382"/>
      <c r="L298" s="384"/>
      <c r="M298" s="384"/>
      <c r="N298" s="383"/>
      <c r="O298" s="384"/>
      <c r="P298" s="384"/>
      <c r="Q298" s="383"/>
      <c r="R298" s="383"/>
      <c r="S298" s="385"/>
      <c r="T298" s="380"/>
      <c r="U298" s="380"/>
      <c r="V298" s="380"/>
      <c r="W298" s="380"/>
      <c r="X298" s="380"/>
    </row>
    <row r="299" spans="1:24" ht="15.75" customHeight="1">
      <c r="A299" s="463"/>
      <c r="B299" s="889"/>
      <c r="C299" s="381"/>
      <c r="D299" s="381"/>
      <c r="E299" s="381"/>
      <c r="F299" s="381"/>
      <c r="G299" s="381"/>
      <c r="H299" s="381"/>
      <c r="I299" s="381"/>
      <c r="J299" s="381"/>
      <c r="K299" s="382"/>
      <c r="L299" s="384"/>
      <c r="M299" s="384"/>
      <c r="N299" s="383"/>
      <c r="O299" s="384"/>
      <c r="P299" s="384"/>
      <c r="Q299" s="383"/>
      <c r="R299" s="383"/>
      <c r="S299" s="385"/>
      <c r="T299" s="380"/>
      <c r="U299" s="380"/>
      <c r="V299" s="380"/>
      <c r="W299" s="380"/>
      <c r="X299" s="380"/>
    </row>
    <row r="300" spans="1:24" ht="15.75" customHeight="1">
      <c r="A300" s="463"/>
      <c r="B300" s="889"/>
      <c r="C300" s="381"/>
      <c r="D300" s="381"/>
      <c r="E300" s="381"/>
      <c r="F300" s="381"/>
      <c r="G300" s="381"/>
      <c r="H300" s="381"/>
      <c r="I300" s="381"/>
      <c r="J300" s="381"/>
      <c r="K300" s="382"/>
      <c r="L300" s="384"/>
      <c r="M300" s="384"/>
      <c r="N300" s="383"/>
      <c r="O300" s="384"/>
      <c r="P300" s="384"/>
      <c r="Q300" s="383"/>
      <c r="R300" s="383"/>
      <c r="S300" s="385"/>
      <c r="T300" s="380"/>
      <c r="U300" s="380"/>
      <c r="V300" s="380"/>
      <c r="W300" s="380"/>
      <c r="X300" s="380"/>
    </row>
    <row r="301" spans="1:24" ht="15.75" customHeight="1">
      <c r="A301" s="463"/>
      <c r="B301" s="889"/>
      <c r="C301" s="381"/>
      <c r="D301" s="381"/>
      <c r="E301" s="381"/>
      <c r="F301" s="381"/>
      <c r="G301" s="381"/>
      <c r="H301" s="381"/>
      <c r="I301" s="381"/>
      <c r="J301" s="381"/>
      <c r="K301" s="382"/>
      <c r="L301" s="384"/>
      <c r="M301" s="384"/>
      <c r="N301" s="383"/>
      <c r="O301" s="384"/>
      <c r="P301" s="384"/>
      <c r="Q301" s="383"/>
      <c r="R301" s="383"/>
      <c r="S301" s="385"/>
      <c r="T301" s="380"/>
      <c r="U301" s="380"/>
      <c r="V301" s="380"/>
      <c r="W301" s="380"/>
      <c r="X301" s="380"/>
    </row>
    <row r="302" spans="1:24" ht="15.75" customHeight="1">
      <c r="A302" s="463"/>
      <c r="B302" s="889"/>
      <c r="C302" s="381"/>
      <c r="D302" s="381"/>
      <c r="E302" s="381"/>
      <c r="F302" s="381"/>
      <c r="G302" s="381"/>
      <c r="H302" s="381"/>
      <c r="I302" s="381"/>
      <c r="J302" s="381"/>
      <c r="K302" s="382"/>
      <c r="L302" s="384"/>
      <c r="M302" s="384"/>
      <c r="N302" s="383"/>
      <c r="O302" s="384"/>
      <c r="P302" s="384"/>
      <c r="Q302" s="383"/>
      <c r="R302" s="383"/>
      <c r="S302" s="385"/>
      <c r="T302" s="380"/>
      <c r="U302" s="380"/>
      <c r="V302" s="380"/>
      <c r="W302" s="380"/>
      <c r="X302" s="380"/>
    </row>
    <row r="303" spans="1:24" ht="15.75" customHeight="1">
      <c r="A303" s="463"/>
      <c r="B303" s="889"/>
      <c r="C303" s="381"/>
      <c r="D303" s="381"/>
      <c r="E303" s="381"/>
      <c r="F303" s="381"/>
      <c r="G303" s="381"/>
      <c r="H303" s="381"/>
      <c r="I303" s="381"/>
      <c r="J303" s="381"/>
      <c r="K303" s="382"/>
      <c r="L303" s="384"/>
      <c r="M303" s="384"/>
      <c r="N303" s="383"/>
      <c r="O303" s="384"/>
      <c r="P303" s="384"/>
      <c r="Q303" s="383"/>
      <c r="R303" s="383"/>
      <c r="S303" s="385"/>
      <c r="T303" s="380"/>
      <c r="U303" s="380"/>
      <c r="V303" s="380"/>
      <c r="W303" s="380"/>
      <c r="X303" s="380"/>
    </row>
    <row r="304" spans="1:24" ht="15.75" customHeight="1">
      <c r="A304" s="463"/>
      <c r="B304" s="889"/>
      <c r="C304" s="381"/>
      <c r="D304" s="381"/>
      <c r="E304" s="381"/>
      <c r="F304" s="381"/>
      <c r="G304" s="381"/>
      <c r="H304" s="381"/>
      <c r="I304" s="381"/>
      <c r="J304" s="381"/>
      <c r="K304" s="382"/>
      <c r="L304" s="384"/>
      <c r="M304" s="384"/>
      <c r="N304" s="383"/>
      <c r="O304" s="384"/>
      <c r="P304" s="384"/>
      <c r="Q304" s="383"/>
      <c r="R304" s="383"/>
      <c r="S304" s="385"/>
      <c r="T304" s="380"/>
      <c r="U304" s="380"/>
      <c r="V304" s="380"/>
      <c r="W304" s="380"/>
      <c r="X304" s="380"/>
    </row>
    <row r="305" spans="1:24" ht="15.75" customHeight="1">
      <c r="A305" s="463"/>
      <c r="B305" s="889"/>
      <c r="C305" s="381"/>
      <c r="D305" s="381"/>
      <c r="E305" s="381"/>
      <c r="F305" s="381"/>
      <c r="G305" s="381"/>
      <c r="H305" s="381"/>
      <c r="I305" s="381"/>
      <c r="J305" s="381"/>
      <c r="K305" s="382"/>
      <c r="L305" s="381"/>
      <c r="M305" s="381"/>
      <c r="N305" s="383"/>
      <c r="O305" s="384"/>
      <c r="P305" s="384"/>
      <c r="Q305" s="383"/>
      <c r="R305" s="383"/>
      <c r="S305" s="383"/>
      <c r="T305" s="380"/>
      <c r="U305" s="380"/>
      <c r="V305" s="380"/>
      <c r="W305" s="380"/>
      <c r="X305" s="380"/>
    </row>
    <row r="306" spans="1:24" ht="15.75" customHeight="1">
      <c r="A306" s="463"/>
      <c r="B306" s="412"/>
      <c r="C306" s="381"/>
      <c r="D306" s="381"/>
      <c r="E306" s="381"/>
      <c r="F306" s="381"/>
      <c r="G306" s="381"/>
      <c r="H306" s="381"/>
      <c r="I306" s="381"/>
      <c r="J306" s="381"/>
      <c r="K306" s="382"/>
      <c r="L306" s="384"/>
      <c r="M306" s="384"/>
      <c r="N306" s="383"/>
      <c r="O306" s="384"/>
      <c r="P306" s="384"/>
      <c r="Q306" s="383"/>
      <c r="R306" s="383"/>
      <c r="S306" s="385"/>
      <c r="T306" s="380"/>
      <c r="U306" s="380"/>
      <c r="V306" s="380"/>
      <c r="W306" s="380"/>
      <c r="X306" s="380"/>
    </row>
    <row r="307" spans="1:24" ht="15.75" customHeight="1">
      <c r="A307" s="463"/>
      <c r="B307" s="412"/>
      <c r="C307" s="381"/>
      <c r="D307" s="381"/>
      <c r="E307" s="381"/>
      <c r="F307" s="381"/>
      <c r="G307" s="381"/>
      <c r="H307" s="381"/>
      <c r="I307" s="381"/>
      <c r="J307" s="381"/>
      <c r="K307" s="382"/>
      <c r="L307" s="384"/>
      <c r="M307" s="384"/>
      <c r="N307" s="383"/>
      <c r="O307" s="384"/>
      <c r="P307" s="384"/>
      <c r="Q307" s="383"/>
      <c r="R307" s="383"/>
      <c r="S307" s="385"/>
      <c r="T307" s="380"/>
      <c r="U307" s="380"/>
      <c r="V307" s="380"/>
      <c r="W307" s="380"/>
      <c r="X307" s="380"/>
    </row>
    <row r="308" spans="1:24" ht="15" customHeight="1">
      <c r="A308" s="463"/>
      <c r="B308" s="894"/>
      <c r="C308" s="381"/>
      <c r="D308" s="381"/>
      <c r="E308" s="381"/>
      <c r="F308" s="381"/>
      <c r="G308" s="381"/>
      <c r="H308" s="381"/>
      <c r="I308" s="381"/>
      <c r="J308" s="381"/>
      <c r="K308" s="382"/>
      <c r="L308" s="413"/>
      <c r="M308" s="413"/>
      <c r="N308" s="383"/>
      <c r="O308" s="384"/>
      <c r="P308" s="384"/>
      <c r="Q308" s="383"/>
      <c r="R308" s="383"/>
      <c r="S308" s="385"/>
      <c r="T308" s="380"/>
      <c r="U308" s="380"/>
      <c r="V308" s="380"/>
      <c r="W308" s="380"/>
      <c r="X308" s="380"/>
    </row>
    <row r="309" spans="1:24" ht="15.75" customHeight="1">
      <c r="A309" s="463"/>
      <c r="B309" s="889"/>
      <c r="C309" s="381"/>
      <c r="D309" s="381"/>
      <c r="E309" s="381"/>
      <c r="F309" s="381"/>
      <c r="G309" s="381"/>
      <c r="H309" s="381"/>
      <c r="I309" s="381"/>
      <c r="J309" s="381"/>
      <c r="K309" s="382"/>
      <c r="L309" s="413"/>
      <c r="M309" s="413"/>
      <c r="N309" s="383"/>
      <c r="O309" s="384"/>
      <c r="P309" s="384"/>
      <c r="Q309" s="383"/>
      <c r="R309" s="383"/>
      <c r="S309" s="385"/>
      <c r="T309" s="380"/>
      <c r="U309" s="380"/>
      <c r="V309" s="380"/>
      <c r="W309" s="380"/>
      <c r="X309" s="380"/>
    </row>
    <row r="310" spans="1:24" ht="15.75" customHeight="1">
      <c r="A310" s="463"/>
      <c r="B310" s="889"/>
      <c r="C310" s="381"/>
      <c r="D310" s="381"/>
      <c r="E310" s="381"/>
      <c r="F310" s="381"/>
      <c r="G310" s="381"/>
      <c r="H310" s="381"/>
      <c r="I310" s="381"/>
      <c r="J310" s="381"/>
      <c r="K310" s="382"/>
      <c r="L310" s="413"/>
      <c r="M310" s="413"/>
      <c r="N310" s="383"/>
      <c r="O310" s="384"/>
      <c r="P310" s="384"/>
      <c r="Q310" s="383"/>
      <c r="R310" s="383"/>
      <c r="S310" s="385"/>
      <c r="T310" s="380"/>
      <c r="U310" s="380"/>
      <c r="V310" s="380"/>
      <c r="W310" s="380"/>
      <c r="X310" s="380"/>
    </row>
    <row r="311" spans="1:24" ht="15.75" customHeight="1">
      <c r="A311" s="463"/>
      <c r="B311" s="889"/>
      <c r="C311" s="381"/>
      <c r="D311" s="381"/>
      <c r="E311" s="381"/>
      <c r="F311" s="381"/>
      <c r="G311" s="381"/>
      <c r="H311" s="381"/>
      <c r="I311" s="381"/>
      <c r="J311" s="381"/>
      <c r="K311" s="382"/>
      <c r="L311" s="413"/>
      <c r="M311" s="413"/>
      <c r="N311" s="383"/>
      <c r="O311" s="384"/>
      <c r="P311" s="384"/>
      <c r="Q311" s="383"/>
      <c r="R311" s="383"/>
      <c r="S311" s="385"/>
      <c r="T311" s="380"/>
      <c r="U311" s="380"/>
      <c r="V311" s="380"/>
      <c r="W311" s="380"/>
      <c r="X311" s="380"/>
    </row>
    <row r="312" spans="1:24" ht="15.75" customHeight="1">
      <c r="A312" s="463"/>
      <c r="B312" s="889"/>
      <c r="C312" s="381"/>
      <c r="D312" s="381"/>
      <c r="E312" s="381"/>
      <c r="F312" s="381"/>
      <c r="G312" s="381"/>
      <c r="H312" s="381"/>
      <c r="I312" s="381"/>
      <c r="J312" s="381"/>
      <c r="K312" s="382"/>
      <c r="L312" s="413"/>
      <c r="M312" s="413"/>
      <c r="N312" s="383"/>
      <c r="O312" s="384"/>
      <c r="P312" s="384"/>
      <c r="Q312" s="383"/>
      <c r="R312" s="383"/>
      <c r="S312" s="385"/>
      <c r="T312" s="380"/>
      <c r="U312" s="380"/>
      <c r="V312" s="380"/>
      <c r="W312" s="380"/>
      <c r="X312" s="380"/>
    </row>
    <row r="313" spans="1:24" ht="15.75" customHeight="1">
      <c r="A313" s="463"/>
      <c r="B313" s="889"/>
      <c r="C313" s="381"/>
      <c r="D313" s="381"/>
      <c r="E313" s="381"/>
      <c r="F313" s="381"/>
      <c r="G313" s="381"/>
      <c r="H313" s="381"/>
      <c r="I313" s="381"/>
      <c r="J313" s="381"/>
      <c r="K313" s="382"/>
      <c r="L313" s="413"/>
      <c r="M313" s="413"/>
      <c r="N313" s="383"/>
      <c r="O313" s="384"/>
      <c r="P313" s="384"/>
      <c r="Q313" s="383"/>
      <c r="R313" s="383"/>
      <c r="S313" s="385"/>
      <c r="T313" s="380"/>
      <c r="U313" s="380"/>
      <c r="V313" s="380"/>
      <c r="W313" s="380"/>
      <c r="X313" s="380"/>
    </row>
    <row r="314" spans="1:24" ht="15.75" customHeight="1">
      <c r="A314" s="463"/>
      <c r="B314" s="889"/>
      <c r="C314" s="381"/>
      <c r="D314" s="381"/>
      <c r="E314" s="381"/>
      <c r="F314" s="381"/>
      <c r="G314" s="381"/>
      <c r="H314" s="381"/>
      <c r="I314" s="381"/>
      <c r="J314" s="381"/>
      <c r="K314" s="382"/>
      <c r="L314" s="413"/>
      <c r="M314" s="413"/>
      <c r="N314" s="383"/>
      <c r="O314" s="384"/>
      <c r="P314" s="384"/>
      <c r="Q314" s="383"/>
      <c r="R314" s="383"/>
      <c r="S314" s="385"/>
      <c r="T314" s="380"/>
      <c r="U314" s="380"/>
      <c r="V314" s="380"/>
      <c r="W314" s="380"/>
      <c r="X314" s="380"/>
    </row>
    <row r="315" spans="1:24" ht="15.75" customHeight="1">
      <c r="A315" s="463"/>
      <c r="B315" s="889"/>
      <c r="C315" s="381"/>
      <c r="D315" s="381"/>
      <c r="E315" s="381"/>
      <c r="F315" s="381"/>
      <c r="G315" s="381"/>
      <c r="H315" s="381"/>
      <c r="I315" s="381"/>
      <c r="J315" s="381"/>
      <c r="K315" s="382"/>
      <c r="L315" s="413"/>
      <c r="M315" s="413"/>
      <c r="N315" s="383"/>
      <c r="O315" s="384"/>
      <c r="P315" s="384"/>
      <c r="Q315" s="383"/>
      <c r="R315" s="383"/>
      <c r="S315" s="385"/>
      <c r="T315" s="380"/>
      <c r="U315" s="380"/>
      <c r="V315" s="380"/>
      <c r="W315" s="380"/>
      <c r="X315" s="380"/>
    </row>
    <row r="316" spans="1:24" ht="15.75" customHeight="1">
      <c r="A316" s="463"/>
      <c r="B316" s="889"/>
      <c r="C316" s="381"/>
      <c r="D316" s="381"/>
      <c r="E316" s="381"/>
      <c r="F316" s="381"/>
      <c r="G316" s="381"/>
      <c r="H316" s="381"/>
      <c r="I316" s="381"/>
      <c r="J316" s="381"/>
      <c r="K316" s="382"/>
      <c r="L316" s="413"/>
      <c r="M316" s="413"/>
      <c r="N316" s="383"/>
      <c r="O316" s="384"/>
      <c r="P316" s="384"/>
      <c r="Q316" s="383"/>
      <c r="R316" s="383"/>
      <c r="S316" s="385"/>
      <c r="T316" s="380"/>
      <c r="U316" s="380"/>
      <c r="V316" s="380"/>
      <c r="W316" s="380"/>
      <c r="X316" s="380"/>
    </row>
    <row r="317" spans="1:24" ht="15.75" customHeight="1">
      <c r="A317" s="463"/>
      <c r="B317" s="889"/>
      <c r="C317" s="381"/>
      <c r="D317" s="381"/>
      <c r="E317" s="381"/>
      <c r="F317" s="381"/>
      <c r="G317" s="381"/>
      <c r="H317" s="381"/>
      <c r="I317" s="381"/>
      <c r="J317" s="381"/>
      <c r="K317" s="382"/>
      <c r="L317" s="413"/>
      <c r="M317" s="413"/>
      <c r="N317" s="383"/>
      <c r="O317" s="384"/>
      <c r="P317" s="384"/>
      <c r="Q317" s="383"/>
      <c r="R317" s="383"/>
      <c r="S317" s="385"/>
      <c r="T317" s="380"/>
      <c r="U317" s="380"/>
      <c r="V317" s="380"/>
      <c r="W317" s="380"/>
      <c r="X317" s="380"/>
    </row>
    <row r="318" spans="1:24" ht="15.75" customHeight="1">
      <c r="A318" s="463"/>
      <c r="B318" s="889"/>
      <c r="C318" s="381"/>
      <c r="D318" s="381"/>
      <c r="E318" s="381"/>
      <c r="F318" s="381"/>
      <c r="G318" s="381"/>
      <c r="H318" s="381"/>
      <c r="I318" s="381"/>
      <c r="J318" s="381"/>
      <c r="K318" s="382"/>
      <c r="L318" s="413"/>
      <c r="M318" s="413"/>
      <c r="N318" s="383"/>
      <c r="O318" s="384"/>
      <c r="P318" s="384"/>
      <c r="Q318" s="383"/>
      <c r="R318" s="383"/>
      <c r="S318" s="385"/>
      <c r="T318" s="380"/>
      <c r="U318" s="380"/>
      <c r="V318" s="380"/>
      <c r="W318" s="380"/>
      <c r="X318" s="380"/>
    </row>
    <row r="319" spans="1:24" ht="15.75" customHeight="1">
      <c r="A319" s="463"/>
      <c r="B319" s="889"/>
      <c r="C319" s="381"/>
      <c r="D319" s="381"/>
      <c r="E319" s="381"/>
      <c r="F319" s="381"/>
      <c r="G319" s="381"/>
      <c r="H319" s="381"/>
      <c r="I319" s="381"/>
      <c r="J319" s="381"/>
      <c r="K319" s="382"/>
      <c r="L319" s="413"/>
      <c r="M319" s="413"/>
      <c r="N319" s="383"/>
      <c r="O319" s="384"/>
      <c r="P319" s="384"/>
      <c r="Q319" s="383"/>
      <c r="R319" s="383"/>
      <c r="S319" s="385"/>
      <c r="T319" s="380"/>
      <c r="U319" s="380"/>
      <c r="V319" s="380"/>
      <c r="W319" s="380"/>
      <c r="X319" s="380"/>
    </row>
    <row r="320" spans="1:24" ht="15.75" customHeight="1">
      <c r="A320" s="463"/>
      <c r="B320" s="889"/>
      <c r="C320" s="381"/>
      <c r="D320" s="381"/>
      <c r="E320" s="381"/>
      <c r="F320" s="381"/>
      <c r="G320" s="381"/>
      <c r="H320" s="381"/>
      <c r="I320" s="381"/>
      <c r="J320" s="381"/>
      <c r="K320" s="382"/>
      <c r="L320" s="413"/>
      <c r="M320" s="413"/>
      <c r="N320" s="383"/>
      <c r="O320" s="384"/>
      <c r="P320" s="384"/>
      <c r="Q320" s="383"/>
      <c r="R320" s="383"/>
      <c r="S320" s="385"/>
      <c r="T320" s="380"/>
      <c r="U320" s="380"/>
      <c r="V320" s="380"/>
      <c r="W320" s="380"/>
      <c r="X320" s="380"/>
    </row>
    <row r="321" spans="1:24" ht="15.75" customHeight="1">
      <c r="A321" s="463"/>
      <c r="B321" s="889"/>
      <c r="C321" s="381"/>
      <c r="D321" s="381"/>
      <c r="E321" s="381"/>
      <c r="F321" s="381"/>
      <c r="G321" s="381"/>
      <c r="H321" s="381"/>
      <c r="I321" s="381"/>
      <c r="J321" s="381"/>
      <c r="K321" s="382"/>
      <c r="L321" s="413"/>
      <c r="M321" s="413"/>
      <c r="N321" s="383"/>
      <c r="O321" s="384"/>
      <c r="P321" s="384"/>
      <c r="Q321" s="383"/>
      <c r="R321" s="383"/>
      <c r="S321" s="385"/>
      <c r="T321" s="380"/>
      <c r="U321" s="380"/>
      <c r="V321" s="380"/>
      <c r="W321" s="380"/>
      <c r="X321" s="380"/>
    </row>
    <row r="322" spans="1:24" ht="15.75" customHeight="1">
      <c r="A322" s="463"/>
      <c r="B322" s="889"/>
      <c r="C322" s="381"/>
      <c r="D322" s="381"/>
      <c r="E322" s="381"/>
      <c r="F322" s="381"/>
      <c r="G322" s="381"/>
      <c r="H322" s="381"/>
      <c r="I322" s="381"/>
      <c r="J322" s="381"/>
      <c r="K322" s="382"/>
      <c r="L322" s="413"/>
      <c r="M322" s="413"/>
      <c r="N322" s="383"/>
      <c r="O322" s="384"/>
      <c r="P322" s="384"/>
      <c r="Q322" s="383"/>
      <c r="R322" s="383"/>
      <c r="S322" s="385"/>
      <c r="T322" s="380"/>
      <c r="U322" s="380"/>
      <c r="V322" s="380"/>
      <c r="W322" s="380"/>
      <c r="X322" s="380"/>
    </row>
    <row r="323" spans="1:24" ht="15.75" customHeight="1">
      <c r="A323" s="463"/>
      <c r="B323" s="889"/>
      <c r="C323" s="381"/>
      <c r="D323" s="381"/>
      <c r="E323" s="381"/>
      <c r="F323" s="381"/>
      <c r="G323" s="381"/>
      <c r="H323" s="381"/>
      <c r="I323" s="381"/>
      <c r="J323" s="381"/>
      <c r="K323" s="382"/>
      <c r="L323" s="413"/>
      <c r="M323" s="413"/>
      <c r="N323" s="383"/>
      <c r="O323" s="384"/>
      <c r="P323" s="384"/>
      <c r="Q323" s="383"/>
      <c r="R323" s="383"/>
      <c r="S323" s="385"/>
      <c r="T323" s="380"/>
      <c r="U323" s="380"/>
      <c r="V323" s="380"/>
      <c r="W323" s="380"/>
      <c r="X323" s="380"/>
    </row>
    <row r="324" spans="1:24" ht="15.75" customHeight="1">
      <c r="A324" s="463"/>
      <c r="B324" s="889"/>
      <c r="C324" s="381"/>
      <c r="D324" s="381"/>
      <c r="E324" s="381"/>
      <c r="F324" s="381"/>
      <c r="G324" s="381"/>
      <c r="H324" s="381"/>
      <c r="I324" s="381"/>
      <c r="J324" s="381"/>
      <c r="K324" s="382"/>
      <c r="L324" s="413"/>
      <c r="M324" s="413"/>
      <c r="N324" s="383"/>
      <c r="O324" s="384"/>
      <c r="P324" s="384"/>
      <c r="Q324" s="383"/>
      <c r="R324" s="383"/>
      <c r="S324" s="385"/>
      <c r="T324" s="380"/>
      <c r="U324" s="380"/>
      <c r="V324" s="380"/>
      <c r="W324" s="380"/>
      <c r="X324" s="380"/>
    </row>
    <row r="325" spans="1:24" ht="15.75" customHeight="1">
      <c r="A325" s="463"/>
      <c r="B325" s="889"/>
      <c r="C325" s="381"/>
      <c r="D325" s="381"/>
      <c r="E325" s="381"/>
      <c r="F325" s="381"/>
      <c r="G325" s="381"/>
      <c r="H325" s="381"/>
      <c r="I325" s="381"/>
      <c r="J325" s="381"/>
      <c r="K325" s="382"/>
      <c r="L325" s="413"/>
      <c r="M325" s="413"/>
      <c r="N325" s="383"/>
      <c r="O325" s="384"/>
      <c r="P325" s="384"/>
      <c r="Q325" s="383"/>
      <c r="R325" s="383"/>
      <c r="S325" s="385"/>
      <c r="T325" s="380"/>
      <c r="U325" s="380"/>
      <c r="V325" s="380"/>
      <c r="W325" s="380"/>
      <c r="X325" s="380"/>
    </row>
    <row r="326" spans="1:24" ht="15.75" customHeight="1">
      <c r="A326" s="463"/>
      <c r="B326" s="889"/>
      <c r="C326" s="381"/>
      <c r="D326" s="381"/>
      <c r="E326" s="381"/>
      <c r="F326" s="381"/>
      <c r="G326" s="381"/>
      <c r="H326" s="381"/>
      <c r="I326" s="381"/>
      <c r="J326" s="381"/>
      <c r="K326" s="382"/>
      <c r="L326" s="413"/>
      <c r="M326" s="413"/>
      <c r="N326" s="383"/>
      <c r="O326" s="384"/>
      <c r="P326" s="384"/>
      <c r="Q326" s="383"/>
      <c r="R326" s="383"/>
      <c r="S326" s="385"/>
      <c r="T326" s="380"/>
      <c r="U326" s="380"/>
      <c r="V326" s="380"/>
      <c r="W326" s="380"/>
      <c r="X326" s="380"/>
    </row>
    <row r="327" spans="1:24" ht="15.75" customHeight="1">
      <c r="A327" s="463"/>
      <c r="B327" s="889"/>
      <c r="C327" s="381"/>
      <c r="D327" s="381"/>
      <c r="E327" s="381"/>
      <c r="F327" s="381"/>
      <c r="G327" s="381"/>
      <c r="H327" s="381"/>
      <c r="I327" s="381"/>
      <c r="J327" s="381"/>
      <c r="K327" s="382"/>
      <c r="L327" s="413"/>
      <c r="M327" s="413"/>
      <c r="N327" s="383"/>
      <c r="O327" s="384"/>
      <c r="P327" s="384"/>
      <c r="Q327" s="383"/>
      <c r="R327" s="383"/>
      <c r="S327" s="385"/>
      <c r="T327" s="380"/>
      <c r="U327" s="380"/>
      <c r="V327" s="380"/>
      <c r="W327" s="380"/>
      <c r="X327" s="380"/>
    </row>
    <row r="328" spans="1:24" ht="15.75" customHeight="1">
      <c r="A328" s="463"/>
      <c r="B328" s="889"/>
      <c r="C328" s="381"/>
      <c r="D328" s="381"/>
      <c r="E328" s="381"/>
      <c r="F328" s="381"/>
      <c r="G328" s="381"/>
      <c r="H328" s="381"/>
      <c r="I328" s="381"/>
      <c r="J328" s="381"/>
      <c r="K328" s="382"/>
      <c r="L328" s="413"/>
      <c r="M328" s="413"/>
      <c r="N328" s="383"/>
      <c r="O328" s="384"/>
      <c r="P328" s="384"/>
      <c r="Q328" s="383"/>
      <c r="R328" s="383"/>
      <c r="S328" s="385"/>
      <c r="T328" s="380"/>
      <c r="U328" s="380"/>
      <c r="V328" s="380"/>
      <c r="W328" s="380"/>
      <c r="X328" s="380"/>
    </row>
    <row r="329" spans="1:24" ht="15.75" customHeight="1">
      <c r="A329" s="463"/>
      <c r="B329" s="889"/>
      <c r="C329" s="381"/>
      <c r="D329" s="381"/>
      <c r="E329" s="381"/>
      <c r="F329" s="381"/>
      <c r="G329" s="381"/>
      <c r="H329" s="381"/>
      <c r="I329" s="381"/>
      <c r="J329" s="381"/>
      <c r="K329" s="382"/>
      <c r="L329" s="413"/>
      <c r="M329" s="413"/>
      <c r="N329" s="383"/>
      <c r="O329" s="384"/>
      <c r="P329" s="384"/>
      <c r="Q329" s="383"/>
      <c r="R329" s="383"/>
      <c r="S329" s="385"/>
      <c r="T329" s="380"/>
      <c r="U329" s="380"/>
      <c r="V329" s="380"/>
      <c r="W329" s="380"/>
      <c r="X329" s="380"/>
    </row>
    <row r="330" spans="1:24" ht="15.75" customHeight="1">
      <c r="A330" s="463"/>
      <c r="B330" s="889"/>
      <c r="C330" s="381"/>
      <c r="D330" s="381"/>
      <c r="E330" s="381"/>
      <c r="F330" s="381"/>
      <c r="G330" s="381"/>
      <c r="H330" s="381"/>
      <c r="I330" s="381"/>
      <c r="J330" s="381"/>
      <c r="K330" s="382"/>
      <c r="L330" s="413"/>
      <c r="M330" s="413"/>
      <c r="N330" s="383"/>
      <c r="O330" s="384"/>
      <c r="P330" s="384"/>
      <c r="Q330" s="383"/>
      <c r="R330" s="383"/>
      <c r="S330" s="385"/>
      <c r="T330" s="380"/>
      <c r="U330" s="380"/>
      <c r="V330" s="380"/>
      <c r="W330" s="380"/>
      <c r="X330" s="380"/>
    </row>
    <row r="331" spans="1:24" ht="15.75" customHeight="1">
      <c r="A331" s="463"/>
      <c r="B331" s="889"/>
      <c r="C331" s="381"/>
      <c r="D331" s="381"/>
      <c r="E331" s="381"/>
      <c r="F331" s="381"/>
      <c r="G331" s="381"/>
      <c r="H331" s="381"/>
      <c r="I331" s="381"/>
      <c r="J331" s="381"/>
      <c r="K331" s="382"/>
      <c r="L331" s="413"/>
      <c r="M331" s="413"/>
      <c r="N331" s="383"/>
      <c r="O331" s="384"/>
      <c r="P331" s="384"/>
      <c r="Q331" s="383"/>
      <c r="R331" s="383"/>
      <c r="S331" s="385"/>
      <c r="T331" s="380"/>
      <c r="U331" s="380"/>
      <c r="V331" s="380"/>
      <c r="W331" s="380"/>
      <c r="X331" s="380"/>
    </row>
    <row r="332" spans="1:24" ht="15.75" customHeight="1">
      <c r="A332" s="463"/>
      <c r="B332" s="889"/>
      <c r="C332" s="381"/>
      <c r="D332" s="381"/>
      <c r="E332" s="381"/>
      <c r="F332" s="381"/>
      <c r="G332" s="381"/>
      <c r="H332" s="381"/>
      <c r="I332" s="381"/>
      <c r="J332" s="381"/>
      <c r="K332" s="382"/>
      <c r="L332" s="413"/>
      <c r="M332" s="413"/>
      <c r="N332" s="383"/>
      <c r="O332" s="384"/>
      <c r="P332" s="384"/>
      <c r="Q332" s="383"/>
      <c r="R332" s="383"/>
      <c r="S332" s="385"/>
      <c r="T332" s="380"/>
      <c r="U332" s="380"/>
      <c r="V332" s="380"/>
      <c r="W332" s="380"/>
      <c r="X332" s="380"/>
    </row>
    <row r="333" spans="1:24" ht="15.75" customHeight="1">
      <c r="A333" s="463"/>
      <c r="B333" s="889"/>
      <c r="C333" s="381"/>
      <c r="D333" s="381"/>
      <c r="E333" s="381"/>
      <c r="F333" s="381"/>
      <c r="G333" s="381"/>
      <c r="H333" s="381"/>
      <c r="I333" s="381"/>
      <c r="J333" s="381"/>
      <c r="K333" s="382"/>
      <c r="L333" s="413"/>
      <c r="M333" s="413"/>
      <c r="N333" s="383"/>
      <c r="O333" s="384"/>
      <c r="P333" s="384"/>
      <c r="Q333" s="383"/>
      <c r="R333" s="383"/>
      <c r="S333" s="385"/>
      <c r="T333" s="380"/>
      <c r="U333" s="380"/>
      <c r="V333" s="380"/>
      <c r="W333" s="380"/>
      <c r="X333" s="380"/>
    </row>
    <row r="334" spans="1:24" ht="15.75" customHeight="1">
      <c r="A334" s="463"/>
      <c r="B334" s="889"/>
      <c r="C334" s="381"/>
      <c r="D334" s="381"/>
      <c r="E334" s="381"/>
      <c r="F334" s="381"/>
      <c r="G334" s="381"/>
      <c r="H334" s="381"/>
      <c r="I334" s="381"/>
      <c r="J334" s="381"/>
      <c r="K334" s="382"/>
      <c r="L334" s="413"/>
      <c r="M334" s="413"/>
      <c r="N334" s="383"/>
      <c r="O334" s="384"/>
      <c r="P334" s="384"/>
      <c r="Q334" s="383"/>
      <c r="R334" s="383"/>
      <c r="S334" s="385"/>
      <c r="T334" s="380"/>
      <c r="U334" s="380"/>
      <c r="V334" s="380"/>
      <c r="W334" s="380"/>
      <c r="X334" s="380"/>
    </row>
    <row r="335" spans="1:24" ht="15.75" customHeight="1">
      <c r="A335" s="463"/>
      <c r="B335" s="889"/>
      <c r="C335" s="381"/>
      <c r="D335" s="381"/>
      <c r="E335" s="381"/>
      <c r="F335" s="381"/>
      <c r="G335" s="381"/>
      <c r="H335" s="381"/>
      <c r="I335" s="381"/>
      <c r="J335" s="381"/>
      <c r="K335" s="382"/>
      <c r="L335" s="413"/>
      <c r="M335" s="413"/>
      <c r="N335" s="383"/>
      <c r="O335" s="384"/>
      <c r="P335" s="384"/>
      <c r="Q335" s="383"/>
      <c r="R335" s="383"/>
      <c r="S335" s="385"/>
      <c r="T335" s="380"/>
      <c r="U335" s="380"/>
      <c r="V335" s="380"/>
      <c r="W335" s="380"/>
      <c r="X335" s="380"/>
    </row>
    <row r="336" spans="1:24" ht="15.75" customHeight="1">
      <c r="A336" s="463"/>
      <c r="B336" s="889"/>
      <c r="C336" s="381"/>
      <c r="D336" s="381"/>
      <c r="E336" s="381"/>
      <c r="F336" s="381"/>
      <c r="G336" s="381"/>
      <c r="H336" s="381"/>
      <c r="I336" s="381"/>
      <c r="J336" s="381"/>
      <c r="K336" s="382"/>
      <c r="L336" s="413"/>
      <c r="M336" s="413"/>
      <c r="N336" s="383"/>
      <c r="O336" s="384"/>
      <c r="P336" s="384"/>
      <c r="Q336" s="383"/>
      <c r="R336" s="383"/>
      <c r="S336" s="385"/>
      <c r="T336" s="380"/>
      <c r="U336" s="380"/>
      <c r="V336" s="380"/>
      <c r="W336" s="380"/>
      <c r="X336" s="380"/>
    </row>
    <row r="337" spans="1:24" ht="15.75" customHeight="1">
      <c r="A337" s="463"/>
      <c r="B337" s="889"/>
      <c r="C337" s="381"/>
      <c r="D337" s="381"/>
      <c r="E337" s="381"/>
      <c r="F337" s="381"/>
      <c r="G337" s="381"/>
      <c r="H337" s="381"/>
      <c r="I337" s="381"/>
      <c r="J337" s="381"/>
      <c r="K337" s="382"/>
      <c r="L337" s="413"/>
      <c r="M337" s="413"/>
      <c r="N337" s="383"/>
      <c r="O337" s="384"/>
      <c r="P337" s="384"/>
      <c r="Q337" s="383"/>
      <c r="R337" s="383"/>
      <c r="S337" s="385"/>
      <c r="T337" s="380"/>
      <c r="U337" s="380"/>
      <c r="V337" s="380"/>
      <c r="W337" s="380"/>
      <c r="X337" s="380"/>
    </row>
    <row r="338" spans="1:24" ht="15.75" customHeight="1">
      <c r="A338" s="463"/>
      <c r="B338" s="889"/>
      <c r="C338" s="381"/>
      <c r="D338" s="381"/>
      <c r="E338" s="381"/>
      <c r="F338" s="381"/>
      <c r="G338" s="381"/>
      <c r="H338" s="381"/>
      <c r="I338" s="381"/>
      <c r="J338" s="381"/>
      <c r="K338" s="382"/>
      <c r="L338" s="413"/>
      <c r="M338" s="413"/>
      <c r="N338" s="383"/>
      <c r="O338" s="384"/>
      <c r="P338" s="384"/>
      <c r="Q338" s="383"/>
      <c r="R338" s="383"/>
      <c r="S338" s="385"/>
      <c r="T338" s="380"/>
      <c r="U338" s="380"/>
      <c r="V338" s="380"/>
      <c r="W338" s="380"/>
      <c r="X338" s="380"/>
    </row>
    <row r="339" spans="1:24" ht="15.75" customHeight="1">
      <c r="A339" s="463"/>
      <c r="B339" s="889"/>
      <c r="C339" s="381"/>
      <c r="D339" s="381"/>
      <c r="E339" s="381"/>
      <c r="F339" s="381"/>
      <c r="G339" s="381"/>
      <c r="H339" s="381"/>
      <c r="I339" s="381"/>
      <c r="J339" s="381"/>
      <c r="K339" s="382"/>
      <c r="L339" s="413"/>
      <c r="M339" s="413"/>
      <c r="N339" s="383"/>
      <c r="O339" s="384"/>
      <c r="P339" s="384"/>
      <c r="Q339" s="383"/>
      <c r="R339" s="383"/>
      <c r="S339" s="385"/>
      <c r="T339" s="380"/>
      <c r="U339" s="380"/>
      <c r="V339" s="380"/>
      <c r="W339" s="380"/>
      <c r="X339" s="380"/>
    </row>
    <row r="340" spans="1:24" ht="15.75" customHeight="1">
      <c r="A340" s="463"/>
      <c r="B340" s="889"/>
      <c r="C340" s="381"/>
      <c r="D340" s="381"/>
      <c r="E340" s="381"/>
      <c r="F340" s="381"/>
      <c r="G340" s="381"/>
      <c r="H340" s="381"/>
      <c r="I340" s="381"/>
      <c r="J340" s="381"/>
      <c r="K340" s="382"/>
      <c r="L340" s="413"/>
      <c r="M340" s="413"/>
      <c r="N340" s="383"/>
      <c r="O340" s="384"/>
      <c r="P340" s="384"/>
      <c r="Q340" s="383"/>
      <c r="R340" s="383"/>
      <c r="S340" s="385"/>
      <c r="T340" s="380"/>
      <c r="U340" s="380"/>
      <c r="V340" s="380"/>
      <c r="W340" s="380"/>
      <c r="X340" s="380"/>
    </row>
    <row r="341" spans="1:24" ht="15.75" customHeight="1">
      <c r="A341" s="463"/>
      <c r="B341" s="889"/>
      <c r="C341" s="381"/>
      <c r="D341" s="381"/>
      <c r="E341" s="381"/>
      <c r="F341" s="381"/>
      <c r="G341" s="381"/>
      <c r="H341" s="381"/>
      <c r="I341" s="381"/>
      <c r="J341" s="381"/>
      <c r="K341" s="382"/>
      <c r="L341" s="413"/>
      <c r="M341" s="413"/>
      <c r="N341" s="383"/>
      <c r="O341" s="384"/>
      <c r="P341" s="384"/>
      <c r="Q341" s="383"/>
      <c r="R341" s="383"/>
      <c r="S341" s="385"/>
      <c r="T341" s="380"/>
      <c r="U341" s="380"/>
      <c r="V341" s="380"/>
      <c r="W341" s="380"/>
      <c r="X341" s="380"/>
    </row>
    <row r="342" spans="1:24" ht="15.75" customHeight="1">
      <c r="A342" s="463"/>
      <c r="B342" s="416"/>
      <c r="C342" s="381"/>
      <c r="D342" s="381"/>
      <c r="E342" s="381"/>
      <c r="F342" s="381"/>
      <c r="G342" s="381"/>
      <c r="H342" s="381"/>
      <c r="I342" s="381"/>
      <c r="J342" s="381"/>
      <c r="K342" s="382"/>
      <c r="L342" s="413"/>
      <c r="M342" s="413"/>
      <c r="N342" s="383"/>
      <c r="O342" s="384"/>
      <c r="P342" s="384"/>
      <c r="Q342" s="383"/>
      <c r="R342" s="383"/>
      <c r="S342" s="385"/>
      <c r="T342" s="380"/>
      <c r="U342" s="380"/>
      <c r="V342" s="380"/>
      <c r="W342" s="380"/>
      <c r="X342" s="380"/>
    </row>
    <row r="343" spans="1:24" ht="15.75" customHeight="1">
      <c r="A343" s="463"/>
      <c r="B343" s="894"/>
      <c r="C343" s="381"/>
      <c r="D343" s="381"/>
      <c r="E343" s="381"/>
      <c r="F343" s="381"/>
      <c r="G343" s="381"/>
      <c r="H343" s="381"/>
      <c r="I343" s="381"/>
      <c r="J343" s="381"/>
      <c r="K343" s="382"/>
      <c r="L343" s="413"/>
      <c r="M343" s="413"/>
      <c r="N343" s="383"/>
      <c r="O343" s="384"/>
      <c r="P343" s="384"/>
      <c r="Q343" s="383"/>
      <c r="R343" s="383"/>
      <c r="S343" s="385"/>
      <c r="T343" s="380"/>
      <c r="U343" s="380"/>
      <c r="V343" s="380"/>
      <c r="W343" s="380"/>
      <c r="X343" s="380"/>
    </row>
    <row r="344" spans="1:24" ht="15.75" customHeight="1">
      <c r="A344" s="463"/>
      <c r="B344" s="889"/>
      <c r="C344" s="381"/>
      <c r="D344" s="381"/>
      <c r="E344" s="381"/>
      <c r="F344" s="381"/>
      <c r="G344" s="381"/>
      <c r="H344" s="381"/>
      <c r="I344" s="381"/>
      <c r="J344" s="381"/>
      <c r="K344" s="382"/>
      <c r="L344" s="413"/>
      <c r="M344" s="413"/>
      <c r="N344" s="383"/>
      <c r="O344" s="384"/>
      <c r="P344" s="384"/>
      <c r="Q344" s="383"/>
      <c r="R344" s="383"/>
      <c r="S344" s="385"/>
      <c r="T344" s="380"/>
      <c r="U344" s="380"/>
      <c r="V344" s="380"/>
      <c r="W344" s="380"/>
      <c r="X344" s="380"/>
    </row>
    <row r="345" spans="1:24" ht="15.75" customHeight="1">
      <c r="A345" s="463"/>
      <c r="B345" s="889"/>
      <c r="C345" s="381"/>
      <c r="D345" s="381"/>
      <c r="E345" s="381"/>
      <c r="F345" s="381"/>
      <c r="G345" s="381"/>
      <c r="H345" s="381"/>
      <c r="I345" s="381"/>
      <c r="J345" s="381"/>
      <c r="K345" s="382"/>
      <c r="L345" s="413"/>
      <c r="M345" s="413"/>
      <c r="N345" s="383"/>
      <c r="O345" s="384"/>
      <c r="P345" s="384"/>
      <c r="Q345" s="383"/>
      <c r="R345" s="383"/>
      <c r="S345" s="385"/>
      <c r="T345" s="380"/>
      <c r="U345" s="380"/>
      <c r="V345" s="380"/>
      <c r="W345" s="380"/>
      <c r="X345" s="380"/>
    </row>
    <row r="346" spans="1:24" ht="15.75" customHeight="1">
      <c r="A346" s="463"/>
      <c r="B346" s="889"/>
      <c r="C346" s="381"/>
      <c r="D346" s="381"/>
      <c r="E346" s="381"/>
      <c r="F346" s="381"/>
      <c r="G346" s="381"/>
      <c r="H346" s="381"/>
      <c r="I346" s="381"/>
      <c r="J346" s="381"/>
      <c r="K346" s="382"/>
      <c r="L346" s="413"/>
      <c r="M346" s="413"/>
      <c r="N346" s="383"/>
      <c r="O346" s="384"/>
      <c r="P346" s="384"/>
      <c r="Q346" s="383"/>
      <c r="R346" s="383"/>
      <c r="S346" s="385"/>
      <c r="T346" s="380"/>
      <c r="U346" s="380"/>
      <c r="V346" s="380"/>
      <c r="W346" s="380"/>
      <c r="X346" s="380"/>
    </row>
    <row r="347" spans="1:24" ht="15.75" customHeight="1">
      <c r="A347" s="463"/>
      <c r="B347" s="889"/>
      <c r="C347" s="381"/>
      <c r="D347" s="381"/>
      <c r="E347" s="381"/>
      <c r="F347" s="381"/>
      <c r="G347" s="381"/>
      <c r="H347" s="381"/>
      <c r="I347" s="381"/>
      <c r="J347" s="381"/>
      <c r="K347" s="382"/>
      <c r="L347" s="413"/>
      <c r="M347" s="413"/>
      <c r="N347" s="383"/>
      <c r="O347" s="384"/>
      <c r="P347" s="384"/>
      <c r="Q347" s="383"/>
      <c r="R347" s="383"/>
      <c r="S347" s="385"/>
      <c r="T347" s="380"/>
      <c r="U347" s="380"/>
      <c r="V347" s="380"/>
      <c r="W347" s="380"/>
      <c r="X347" s="380"/>
    </row>
    <row r="348" spans="1:24" ht="15.75" customHeight="1">
      <c r="A348" s="463"/>
      <c r="B348" s="889"/>
      <c r="C348" s="381"/>
      <c r="D348" s="381"/>
      <c r="E348" s="381"/>
      <c r="F348" s="381"/>
      <c r="G348" s="381"/>
      <c r="H348" s="381"/>
      <c r="I348" s="381"/>
      <c r="J348" s="381"/>
      <c r="K348" s="382"/>
      <c r="L348" s="413"/>
      <c r="M348" s="413"/>
      <c r="N348" s="383"/>
      <c r="O348" s="384"/>
      <c r="P348" s="384"/>
      <c r="Q348" s="383"/>
      <c r="R348" s="383"/>
      <c r="S348" s="385"/>
      <c r="T348" s="380"/>
      <c r="U348" s="380"/>
      <c r="V348" s="380"/>
      <c r="W348" s="380"/>
      <c r="X348" s="380"/>
    </row>
    <row r="349" spans="1:24" ht="15.75" customHeight="1">
      <c r="A349" s="463"/>
      <c r="B349" s="889"/>
      <c r="C349" s="381"/>
      <c r="D349" s="381"/>
      <c r="E349" s="381"/>
      <c r="F349" s="381"/>
      <c r="G349" s="381"/>
      <c r="H349" s="381"/>
      <c r="I349" s="381"/>
      <c r="J349" s="381"/>
      <c r="K349" s="382"/>
      <c r="L349" s="413"/>
      <c r="M349" s="413"/>
      <c r="N349" s="383"/>
      <c r="O349" s="384"/>
      <c r="P349" s="384"/>
      <c r="Q349" s="383"/>
      <c r="R349" s="383"/>
      <c r="S349" s="385"/>
      <c r="T349" s="380"/>
      <c r="U349" s="380"/>
      <c r="V349" s="380"/>
      <c r="W349" s="380"/>
      <c r="X349" s="380"/>
    </row>
    <row r="350" spans="1:24" ht="15.75" customHeight="1">
      <c r="A350" s="463"/>
      <c r="B350" s="889"/>
      <c r="C350" s="381"/>
      <c r="D350" s="381"/>
      <c r="E350" s="381"/>
      <c r="F350" s="381"/>
      <c r="G350" s="381"/>
      <c r="H350" s="381"/>
      <c r="I350" s="381"/>
      <c r="J350" s="381"/>
      <c r="K350" s="382"/>
      <c r="L350" s="413"/>
      <c r="M350" s="413"/>
      <c r="N350" s="383"/>
      <c r="O350" s="384"/>
      <c r="P350" s="384"/>
      <c r="Q350" s="383"/>
      <c r="R350" s="383"/>
      <c r="S350" s="385"/>
      <c r="T350" s="380"/>
      <c r="U350" s="380"/>
      <c r="V350" s="380"/>
      <c r="W350" s="380"/>
      <c r="X350" s="380"/>
    </row>
    <row r="351" spans="1:24" ht="15.75" customHeight="1">
      <c r="A351" s="463"/>
      <c r="B351" s="889"/>
      <c r="C351" s="381"/>
      <c r="D351" s="381"/>
      <c r="E351" s="381"/>
      <c r="F351" s="381"/>
      <c r="G351" s="381"/>
      <c r="H351" s="381"/>
      <c r="I351" s="381"/>
      <c r="J351" s="381"/>
      <c r="K351" s="382"/>
      <c r="L351" s="413"/>
      <c r="M351" s="413"/>
      <c r="N351" s="383"/>
      <c r="O351" s="384"/>
      <c r="P351" s="384"/>
      <c r="Q351" s="383"/>
      <c r="R351" s="383"/>
      <c r="S351" s="385"/>
      <c r="T351" s="380"/>
      <c r="U351" s="380"/>
      <c r="V351" s="380"/>
      <c r="W351" s="380"/>
      <c r="X351" s="380"/>
    </row>
    <row r="352" spans="1:24" ht="15.75" customHeight="1">
      <c r="A352" s="463"/>
      <c r="B352" s="889"/>
      <c r="C352" s="381"/>
      <c r="D352" s="381"/>
      <c r="E352" s="381"/>
      <c r="F352" s="381"/>
      <c r="G352" s="381"/>
      <c r="H352" s="381"/>
      <c r="I352" s="381"/>
      <c r="J352" s="381"/>
      <c r="K352" s="382"/>
      <c r="L352" s="413"/>
      <c r="M352" s="413"/>
      <c r="N352" s="383"/>
      <c r="O352" s="384"/>
      <c r="P352" s="384"/>
      <c r="Q352" s="383"/>
      <c r="R352" s="383"/>
      <c r="S352" s="385"/>
      <c r="T352" s="380"/>
      <c r="U352" s="380"/>
      <c r="V352" s="380"/>
      <c r="W352" s="380"/>
      <c r="X352" s="380"/>
    </row>
    <row r="353" spans="1:24" ht="15.75" customHeight="1">
      <c r="A353" s="463"/>
      <c r="B353" s="889"/>
      <c r="C353" s="381"/>
      <c r="D353" s="381"/>
      <c r="E353" s="381"/>
      <c r="F353" s="381"/>
      <c r="G353" s="381"/>
      <c r="H353" s="381"/>
      <c r="I353" s="381"/>
      <c r="J353" s="381"/>
      <c r="K353" s="382"/>
      <c r="L353" s="413"/>
      <c r="M353" s="413"/>
      <c r="N353" s="383"/>
      <c r="O353" s="384"/>
      <c r="P353" s="384"/>
      <c r="Q353" s="383"/>
      <c r="R353" s="383"/>
      <c r="S353" s="385"/>
      <c r="T353" s="380"/>
      <c r="U353" s="380"/>
      <c r="V353" s="380"/>
      <c r="W353" s="380"/>
      <c r="X353" s="380"/>
    </row>
    <row r="354" spans="1:24" ht="15.75" customHeight="1">
      <c r="A354" s="463"/>
      <c r="B354" s="889"/>
      <c r="C354" s="381"/>
      <c r="D354" s="381"/>
      <c r="E354" s="381"/>
      <c r="F354" s="381"/>
      <c r="G354" s="381"/>
      <c r="H354" s="381"/>
      <c r="I354" s="381"/>
      <c r="J354" s="381"/>
      <c r="K354" s="382"/>
      <c r="L354" s="413"/>
      <c r="M354" s="413"/>
      <c r="N354" s="383"/>
      <c r="O354" s="384"/>
      <c r="P354" s="384"/>
      <c r="Q354" s="383"/>
      <c r="R354" s="383"/>
      <c r="S354" s="385"/>
      <c r="T354" s="380"/>
      <c r="U354" s="380"/>
      <c r="V354" s="380"/>
      <c r="W354" s="380"/>
      <c r="X354" s="380"/>
    </row>
    <row r="355" spans="1:24" ht="15.75" customHeight="1">
      <c r="A355" s="463"/>
      <c r="B355" s="889"/>
      <c r="C355" s="381"/>
      <c r="D355" s="381"/>
      <c r="E355" s="381"/>
      <c r="F355" s="381"/>
      <c r="G355" s="381"/>
      <c r="H355" s="381"/>
      <c r="I355" s="381"/>
      <c r="J355" s="381"/>
      <c r="K355" s="382"/>
      <c r="L355" s="413"/>
      <c r="M355" s="413"/>
      <c r="N355" s="383"/>
      <c r="O355" s="384"/>
      <c r="P355" s="384"/>
      <c r="Q355" s="383"/>
      <c r="R355" s="383"/>
      <c r="S355" s="385"/>
      <c r="T355" s="380"/>
      <c r="U355" s="380"/>
      <c r="V355" s="380"/>
      <c r="W355" s="380"/>
      <c r="X355" s="380"/>
    </row>
    <row r="356" spans="1:24" ht="15.75" customHeight="1">
      <c r="A356" s="463"/>
      <c r="B356" s="889"/>
      <c r="C356" s="381"/>
      <c r="D356" s="381"/>
      <c r="E356" s="381"/>
      <c r="F356" s="381"/>
      <c r="G356" s="381"/>
      <c r="H356" s="381"/>
      <c r="I356" s="381"/>
      <c r="J356" s="381"/>
      <c r="K356" s="382"/>
      <c r="L356" s="413"/>
      <c r="M356" s="413"/>
      <c r="N356" s="383"/>
      <c r="O356" s="384"/>
      <c r="P356" s="384"/>
      <c r="Q356" s="383"/>
      <c r="R356" s="383"/>
      <c r="S356" s="385"/>
      <c r="T356" s="380"/>
      <c r="U356" s="380"/>
      <c r="V356" s="380"/>
      <c r="W356" s="380"/>
      <c r="X356" s="380"/>
    </row>
    <row r="357" spans="1:24" ht="15.75" customHeight="1">
      <c r="A357" s="463"/>
      <c r="B357" s="889"/>
      <c r="C357" s="381"/>
      <c r="D357" s="381"/>
      <c r="E357" s="381"/>
      <c r="F357" s="381"/>
      <c r="G357" s="381"/>
      <c r="H357" s="381"/>
      <c r="I357" s="381"/>
      <c r="J357" s="381"/>
      <c r="K357" s="382"/>
      <c r="L357" s="413"/>
      <c r="M357" s="413"/>
      <c r="N357" s="383"/>
      <c r="O357" s="384"/>
      <c r="P357" s="384"/>
      <c r="Q357" s="383"/>
      <c r="R357" s="383"/>
      <c r="S357" s="385"/>
      <c r="T357" s="380"/>
      <c r="U357" s="380"/>
      <c r="V357" s="380"/>
      <c r="W357" s="380"/>
      <c r="X357" s="380"/>
    </row>
    <row r="358" spans="1:24" ht="15.75" customHeight="1">
      <c r="A358" s="463"/>
      <c r="B358" s="889"/>
      <c r="C358" s="381"/>
      <c r="D358" s="381"/>
      <c r="E358" s="381"/>
      <c r="F358" s="381"/>
      <c r="G358" s="381"/>
      <c r="H358" s="381"/>
      <c r="I358" s="381"/>
      <c r="J358" s="381"/>
      <c r="K358" s="382"/>
      <c r="L358" s="413"/>
      <c r="M358" s="413"/>
      <c r="N358" s="383"/>
      <c r="O358" s="384"/>
      <c r="P358" s="384"/>
      <c r="Q358" s="383"/>
      <c r="R358" s="383"/>
      <c r="S358" s="385"/>
      <c r="T358" s="380"/>
      <c r="U358" s="380"/>
      <c r="V358" s="380"/>
      <c r="W358" s="380"/>
      <c r="X358" s="380"/>
    </row>
    <row r="359" spans="1:24" ht="15.75" customHeight="1">
      <c r="A359" s="463"/>
      <c r="B359" s="889"/>
      <c r="C359" s="381"/>
      <c r="D359" s="381"/>
      <c r="E359" s="381"/>
      <c r="F359" s="381"/>
      <c r="G359" s="381"/>
      <c r="H359" s="381"/>
      <c r="I359" s="381"/>
      <c r="J359" s="381"/>
      <c r="K359" s="382"/>
      <c r="L359" s="413"/>
      <c r="M359" s="413"/>
      <c r="N359" s="383"/>
      <c r="O359" s="384"/>
      <c r="P359" s="384"/>
      <c r="Q359" s="383"/>
      <c r="R359" s="383"/>
      <c r="S359" s="385"/>
      <c r="T359" s="380"/>
      <c r="U359" s="380"/>
      <c r="V359" s="380"/>
      <c r="W359" s="380"/>
      <c r="X359" s="380"/>
    </row>
    <row r="360" spans="1:24" ht="15.75" customHeight="1">
      <c r="A360" s="463"/>
      <c r="B360" s="889"/>
      <c r="C360" s="381"/>
      <c r="D360" s="381"/>
      <c r="E360" s="381"/>
      <c r="F360" s="381"/>
      <c r="G360" s="381"/>
      <c r="H360" s="381"/>
      <c r="I360" s="381"/>
      <c r="J360" s="381"/>
      <c r="K360" s="382"/>
      <c r="L360" s="413"/>
      <c r="M360" s="413"/>
      <c r="N360" s="383"/>
      <c r="O360" s="384"/>
      <c r="P360" s="384"/>
      <c r="Q360" s="383"/>
      <c r="R360" s="383"/>
      <c r="S360" s="385"/>
      <c r="T360" s="380"/>
      <c r="U360" s="380"/>
      <c r="V360" s="380"/>
      <c r="W360" s="380"/>
      <c r="X360" s="380"/>
    </row>
    <row r="361" spans="1:24" ht="15.75" customHeight="1">
      <c r="A361" s="463"/>
      <c r="B361" s="889"/>
      <c r="C361" s="381"/>
      <c r="D361" s="381"/>
      <c r="E361" s="381"/>
      <c r="F361" s="381"/>
      <c r="G361" s="381"/>
      <c r="H361" s="381"/>
      <c r="I361" s="381"/>
      <c r="J361" s="381"/>
      <c r="K361" s="382"/>
      <c r="L361" s="413"/>
      <c r="M361" s="413"/>
      <c r="N361" s="383"/>
      <c r="O361" s="384"/>
      <c r="P361" s="384"/>
      <c r="Q361" s="383"/>
      <c r="R361" s="383"/>
      <c r="S361" s="385"/>
      <c r="T361" s="380"/>
      <c r="U361" s="380"/>
      <c r="V361" s="380"/>
      <c r="W361" s="380"/>
      <c r="X361" s="380"/>
    </row>
    <row r="362" spans="1:24" ht="15.75" customHeight="1">
      <c r="A362" s="463"/>
      <c r="B362" s="889"/>
      <c r="C362" s="381"/>
      <c r="D362" s="381"/>
      <c r="E362" s="381"/>
      <c r="F362" s="381"/>
      <c r="G362" s="381"/>
      <c r="H362" s="381"/>
      <c r="I362" s="381"/>
      <c r="J362" s="381"/>
      <c r="K362" s="382"/>
      <c r="L362" s="413"/>
      <c r="M362" s="413"/>
      <c r="N362" s="383"/>
      <c r="O362" s="384"/>
      <c r="P362" s="384"/>
      <c r="Q362" s="383"/>
      <c r="R362" s="383"/>
      <c r="S362" s="385"/>
      <c r="T362" s="380"/>
      <c r="U362" s="380"/>
      <c r="V362" s="380"/>
      <c r="W362" s="380"/>
      <c r="X362" s="380"/>
    </row>
    <row r="363" spans="1:24" ht="15.75" customHeight="1">
      <c r="A363" s="463"/>
      <c r="B363" s="889"/>
      <c r="C363" s="381"/>
      <c r="D363" s="381"/>
      <c r="E363" s="381"/>
      <c r="F363" s="381"/>
      <c r="G363" s="381"/>
      <c r="H363" s="381"/>
      <c r="I363" s="381"/>
      <c r="J363" s="381"/>
      <c r="K363" s="382"/>
      <c r="L363" s="413"/>
      <c r="M363" s="413"/>
      <c r="N363" s="383"/>
      <c r="O363" s="384"/>
      <c r="P363" s="384"/>
      <c r="Q363" s="383"/>
      <c r="R363" s="383"/>
      <c r="S363" s="385"/>
      <c r="T363" s="380"/>
      <c r="U363" s="380"/>
      <c r="V363" s="380"/>
      <c r="W363" s="380"/>
      <c r="X363" s="380"/>
    </row>
    <row r="364" spans="1:24" ht="15.75" customHeight="1">
      <c r="A364" s="463"/>
      <c r="B364" s="889"/>
      <c r="C364" s="381"/>
      <c r="D364" s="381"/>
      <c r="E364" s="381"/>
      <c r="F364" s="381"/>
      <c r="G364" s="381"/>
      <c r="H364" s="381"/>
      <c r="I364" s="381"/>
      <c r="J364" s="381"/>
      <c r="K364" s="382"/>
      <c r="L364" s="413"/>
      <c r="M364" s="413"/>
      <c r="N364" s="383"/>
      <c r="O364" s="384"/>
      <c r="P364" s="384"/>
      <c r="Q364" s="383"/>
      <c r="R364" s="383"/>
      <c r="S364" s="385"/>
      <c r="T364" s="380"/>
      <c r="U364" s="380"/>
      <c r="V364" s="380"/>
      <c r="W364" s="380"/>
      <c r="X364" s="380"/>
    </row>
    <row r="365" spans="1:24" ht="15.75" customHeight="1">
      <c r="A365" s="463"/>
      <c r="B365" s="889"/>
      <c r="C365" s="381"/>
      <c r="D365" s="381"/>
      <c r="E365" s="381"/>
      <c r="F365" s="381"/>
      <c r="G365" s="381"/>
      <c r="H365" s="381"/>
      <c r="I365" s="381"/>
      <c r="J365" s="381"/>
      <c r="K365" s="382"/>
      <c r="L365" s="413"/>
      <c r="M365" s="413"/>
      <c r="N365" s="383"/>
      <c r="O365" s="384"/>
      <c r="P365" s="384"/>
      <c r="Q365" s="383"/>
      <c r="R365" s="383"/>
      <c r="S365" s="385"/>
      <c r="T365" s="380"/>
      <c r="U365" s="380"/>
      <c r="V365" s="380"/>
      <c r="W365" s="380"/>
      <c r="X365" s="380"/>
    </row>
    <row r="366" spans="1:24" ht="15.75" customHeight="1">
      <c r="A366" s="463"/>
      <c r="B366" s="889"/>
      <c r="C366" s="381"/>
      <c r="D366" s="381"/>
      <c r="E366" s="381"/>
      <c r="F366" s="381"/>
      <c r="G366" s="381"/>
      <c r="H366" s="381"/>
      <c r="I366" s="381"/>
      <c r="J366" s="381"/>
      <c r="K366" s="382"/>
      <c r="L366" s="413"/>
      <c r="M366" s="413"/>
      <c r="N366" s="383"/>
      <c r="O366" s="384"/>
      <c r="P366" s="384"/>
      <c r="Q366" s="383"/>
      <c r="R366" s="383"/>
      <c r="S366" s="385"/>
      <c r="T366" s="380"/>
      <c r="U366" s="380"/>
      <c r="V366" s="380"/>
      <c r="W366" s="380"/>
      <c r="X366" s="380"/>
    </row>
    <row r="367" spans="1:24" ht="15.75" customHeight="1">
      <c r="A367" s="463"/>
      <c r="B367" s="889"/>
      <c r="C367" s="381"/>
      <c r="D367" s="381"/>
      <c r="E367" s="381"/>
      <c r="F367" s="381"/>
      <c r="G367" s="381"/>
      <c r="H367" s="381"/>
      <c r="I367" s="381"/>
      <c r="J367" s="381"/>
      <c r="K367" s="382"/>
      <c r="L367" s="413"/>
      <c r="M367" s="413"/>
      <c r="N367" s="383"/>
      <c r="O367" s="384"/>
      <c r="P367" s="384"/>
      <c r="Q367" s="383"/>
      <c r="R367" s="383"/>
      <c r="S367" s="385"/>
      <c r="T367" s="380"/>
      <c r="U367" s="380"/>
      <c r="V367" s="380"/>
      <c r="W367" s="380"/>
      <c r="X367" s="380"/>
    </row>
    <row r="368" spans="1:24" ht="15.75" customHeight="1">
      <c r="A368" s="463"/>
      <c r="B368" s="889"/>
      <c r="C368" s="381"/>
      <c r="D368" s="381"/>
      <c r="E368" s="381"/>
      <c r="F368" s="381"/>
      <c r="G368" s="381"/>
      <c r="H368" s="381"/>
      <c r="I368" s="381"/>
      <c r="J368" s="381"/>
      <c r="K368" s="382"/>
      <c r="L368" s="413"/>
      <c r="M368" s="413"/>
      <c r="N368" s="383"/>
      <c r="O368" s="384"/>
      <c r="P368" s="384"/>
      <c r="Q368" s="383"/>
      <c r="R368" s="383"/>
      <c r="S368" s="385"/>
      <c r="T368" s="380"/>
      <c r="U368" s="380"/>
      <c r="V368" s="380"/>
      <c r="W368" s="380"/>
      <c r="X368" s="380"/>
    </row>
    <row r="369" spans="1:24" ht="15.75" customHeight="1">
      <c r="A369" s="463"/>
      <c r="B369" s="889"/>
      <c r="C369" s="381"/>
      <c r="D369" s="381"/>
      <c r="E369" s="381"/>
      <c r="F369" s="381"/>
      <c r="G369" s="381"/>
      <c r="H369" s="381"/>
      <c r="I369" s="381"/>
      <c r="J369" s="381"/>
      <c r="K369" s="382"/>
      <c r="L369" s="413"/>
      <c r="M369" s="413"/>
      <c r="N369" s="383"/>
      <c r="O369" s="384"/>
      <c r="P369" s="384"/>
      <c r="Q369" s="383"/>
      <c r="R369" s="383"/>
      <c r="S369" s="385"/>
      <c r="T369" s="380"/>
      <c r="U369" s="380"/>
      <c r="V369" s="380"/>
      <c r="W369" s="380"/>
      <c r="X369" s="380"/>
    </row>
    <row r="370" spans="1:24" ht="15.75" customHeight="1">
      <c r="A370" s="463"/>
      <c r="B370" s="889"/>
      <c r="C370" s="381"/>
      <c r="D370" s="381"/>
      <c r="E370" s="381"/>
      <c r="F370" s="381"/>
      <c r="G370" s="381"/>
      <c r="H370" s="381"/>
      <c r="I370" s="381"/>
      <c r="J370" s="381"/>
      <c r="K370" s="382"/>
      <c r="L370" s="413"/>
      <c r="M370" s="413"/>
      <c r="N370" s="383"/>
      <c r="O370" s="384"/>
      <c r="P370" s="384"/>
      <c r="Q370" s="383"/>
      <c r="R370" s="383"/>
      <c r="S370" s="385"/>
      <c r="T370" s="380"/>
      <c r="U370" s="380"/>
      <c r="V370" s="380"/>
      <c r="W370" s="380"/>
      <c r="X370" s="380"/>
    </row>
    <row r="371" spans="1:24" ht="15.75" customHeight="1">
      <c r="A371" s="463"/>
      <c r="B371" s="889"/>
      <c r="C371" s="381"/>
      <c r="D371" s="381"/>
      <c r="E371" s="381"/>
      <c r="F371" s="381"/>
      <c r="G371" s="381"/>
      <c r="H371" s="381"/>
      <c r="I371" s="381"/>
      <c r="J371" s="381"/>
      <c r="K371" s="382"/>
      <c r="L371" s="413"/>
      <c r="M371" s="413"/>
      <c r="N371" s="383"/>
      <c r="O371" s="384"/>
      <c r="P371" s="384"/>
      <c r="Q371" s="383"/>
      <c r="R371" s="383"/>
      <c r="S371" s="385"/>
      <c r="T371" s="380"/>
      <c r="U371" s="380"/>
      <c r="V371" s="380"/>
      <c r="W371" s="380"/>
      <c r="X371" s="380"/>
    </row>
    <row r="372" spans="1:24" ht="15.75" customHeight="1">
      <c r="A372" s="463"/>
      <c r="B372" s="889"/>
      <c r="C372" s="381"/>
      <c r="D372" s="381"/>
      <c r="E372" s="381"/>
      <c r="F372" s="381"/>
      <c r="G372" s="381"/>
      <c r="H372" s="381"/>
      <c r="I372" s="381"/>
      <c r="J372" s="381"/>
      <c r="K372" s="382"/>
      <c r="L372" s="413"/>
      <c r="M372" s="413"/>
      <c r="N372" s="383"/>
      <c r="O372" s="384"/>
      <c r="P372" s="384"/>
      <c r="Q372" s="383"/>
      <c r="R372" s="383"/>
      <c r="S372" s="385"/>
      <c r="T372" s="380"/>
      <c r="U372" s="380"/>
      <c r="V372" s="380"/>
      <c r="W372" s="380"/>
      <c r="X372" s="380"/>
    </row>
    <row r="373" spans="1:24" ht="15.75" customHeight="1">
      <c r="A373" s="463"/>
      <c r="B373" s="889"/>
      <c r="C373" s="381"/>
      <c r="D373" s="381"/>
      <c r="E373" s="381"/>
      <c r="F373" s="381"/>
      <c r="G373" s="381"/>
      <c r="H373" s="381"/>
      <c r="I373" s="381"/>
      <c r="J373" s="381"/>
      <c r="K373" s="382"/>
      <c r="L373" s="413"/>
      <c r="M373" s="413"/>
      <c r="N373" s="383"/>
      <c r="O373" s="384"/>
      <c r="P373" s="384"/>
      <c r="Q373" s="383"/>
      <c r="R373" s="383"/>
      <c r="S373" s="385"/>
      <c r="T373" s="380"/>
      <c r="U373" s="380"/>
      <c r="V373" s="380"/>
      <c r="W373" s="380"/>
      <c r="X373" s="380"/>
    </row>
    <row r="374" spans="1:24" ht="15.75" customHeight="1">
      <c r="A374" s="463"/>
      <c r="B374" s="889"/>
      <c r="C374" s="381"/>
      <c r="D374" s="381"/>
      <c r="E374" s="381"/>
      <c r="F374" s="381"/>
      <c r="G374" s="381"/>
      <c r="H374" s="381"/>
      <c r="I374" s="381"/>
      <c r="J374" s="381"/>
      <c r="K374" s="382"/>
      <c r="L374" s="413"/>
      <c r="M374" s="413"/>
      <c r="N374" s="383"/>
      <c r="O374" s="384"/>
      <c r="P374" s="384"/>
      <c r="Q374" s="383"/>
      <c r="R374" s="383"/>
      <c r="S374" s="385"/>
      <c r="T374" s="380"/>
      <c r="U374" s="380"/>
      <c r="V374" s="380"/>
      <c r="W374" s="380"/>
      <c r="X374" s="380"/>
    </row>
    <row r="375" spans="1:24" ht="15.75" customHeight="1">
      <c r="A375" s="463"/>
      <c r="B375" s="889"/>
      <c r="C375" s="381"/>
      <c r="D375" s="381"/>
      <c r="E375" s="381"/>
      <c r="F375" s="381"/>
      <c r="G375" s="381"/>
      <c r="H375" s="381"/>
      <c r="I375" s="381"/>
      <c r="J375" s="381"/>
      <c r="K375" s="382"/>
      <c r="L375" s="413"/>
      <c r="M375" s="413"/>
      <c r="N375" s="383"/>
      <c r="O375" s="384"/>
      <c r="P375" s="384"/>
      <c r="Q375" s="383"/>
      <c r="R375" s="383"/>
      <c r="S375" s="385"/>
      <c r="T375" s="380"/>
      <c r="U375" s="380"/>
      <c r="V375" s="380"/>
      <c r="W375" s="380"/>
      <c r="X375" s="380"/>
    </row>
    <row r="376" spans="1:24" ht="15.75" customHeight="1">
      <c r="A376" s="463"/>
      <c r="B376" s="889"/>
      <c r="C376" s="381"/>
      <c r="D376" s="381"/>
      <c r="E376" s="381"/>
      <c r="F376" s="381"/>
      <c r="G376" s="381"/>
      <c r="H376" s="381"/>
      <c r="I376" s="381"/>
      <c r="J376" s="381"/>
      <c r="K376" s="382"/>
      <c r="L376" s="413"/>
      <c r="M376" s="413"/>
      <c r="N376" s="383"/>
      <c r="O376" s="384"/>
      <c r="P376" s="384"/>
      <c r="Q376" s="383"/>
      <c r="R376" s="383"/>
      <c r="S376" s="385"/>
      <c r="T376" s="380"/>
      <c r="U376" s="380"/>
      <c r="V376" s="380"/>
      <c r="W376" s="380"/>
      <c r="X376" s="380"/>
    </row>
    <row r="377" spans="1:24" ht="15.75" customHeight="1">
      <c r="A377" s="463"/>
      <c r="B377" s="380"/>
      <c r="C377" s="381"/>
      <c r="D377" s="381"/>
      <c r="E377" s="381"/>
      <c r="F377" s="381"/>
      <c r="G377" s="381"/>
      <c r="H377" s="381"/>
      <c r="I377" s="381"/>
      <c r="J377" s="381"/>
      <c r="K377" s="382"/>
      <c r="L377" s="413"/>
      <c r="M377" s="413"/>
      <c r="N377" s="383"/>
      <c r="O377" s="384"/>
      <c r="P377" s="384"/>
      <c r="Q377" s="383"/>
      <c r="R377" s="383"/>
      <c r="S377" s="385"/>
      <c r="T377" s="380"/>
      <c r="U377" s="380"/>
      <c r="V377" s="380"/>
      <c r="W377" s="380"/>
      <c r="X377" s="380"/>
    </row>
    <row r="378" spans="1:24" ht="15.75" customHeight="1">
      <c r="A378" s="463"/>
      <c r="B378" s="895"/>
      <c r="C378" s="889"/>
      <c r="D378" s="889"/>
      <c r="E378" s="889"/>
      <c r="F378" s="889"/>
      <c r="G378" s="889"/>
      <c r="H378" s="889"/>
      <c r="I378" s="889"/>
      <c r="J378" s="889"/>
      <c r="K378" s="889"/>
      <c r="L378" s="889"/>
      <c r="M378" s="889"/>
      <c r="N378" s="889"/>
      <c r="O378" s="889"/>
      <c r="P378" s="889"/>
      <c r="Q378" s="889"/>
      <c r="R378" s="889"/>
      <c r="S378" s="889"/>
      <c r="T378" s="380"/>
      <c r="U378" s="380"/>
      <c r="V378" s="380"/>
      <c r="W378" s="380"/>
      <c r="X378" s="380"/>
    </row>
    <row r="379" spans="1:24" ht="15.75" customHeight="1">
      <c r="A379" s="463"/>
      <c r="B379" s="889"/>
      <c r="C379" s="889"/>
      <c r="D379" s="889"/>
      <c r="E379" s="889"/>
      <c r="F379" s="889"/>
      <c r="G379" s="889"/>
      <c r="H379" s="889"/>
      <c r="I379" s="889"/>
      <c r="J379" s="889"/>
      <c r="K379" s="889"/>
      <c r="L379" s="889"/>
      <c r="M379" s="889"/>
      <c r="N379" s="889"/>
      <c r="O379" s="889"/>
      <c r="P379" s="889"/>
      <c r="Q379" s="889"/>
      <c r="R379" s="889"/>
      <c r="S379" s="889"/>
      <c r="T379" s="380"/>
      <c r="U379" s="380"/>
      <c r="V379" s="380"/>
      <c r="W379" s="380"/>
      <c r="X379" s="380"/>
    </row>
    <row r="380" spans="1:24" ht="15.75" customHeight="1">
      <c r="A380" s="463"/>
      <c r="B380" s="889"/>
      <c r="C380" s="889"/>
      <c r="D380" s="889"/>
      <c r="E380" s="889"/>
      <c r="F380" s="889"/>
      <c r="G380" s="889"/>
      <c r="H380" s="889"/>
      <c r="I380" s="889"/>
      <c r="J380" s="889"/>
      <c r="K380" s="889"/>
      <c r="L380" s="889"/>
      <c r="M380" s="889"/>
      <c r="N380" s="889"/>
      <c r="O380" s="889"/>
      <c r="P380" s="889"/>
      <c r="Q380" s="889"/>
      <c r="R380" s="889"/>
      <c r="S380" s="889"/>
      <c r="T380" s="380"/>
      <c r="U380" s="380"/>
      <c r="V380" s="380"/>
      <c r="W380" s="380"/>
      <c r="X380" s="380"/>
    </row>
    <row r="381" spans="1:24" ht="15.75" customHeight="1">
      <c r="A381" s="463"/>
      <c r="B381" s="380"/>
      <c r="C381" s="381"/>
      <c r="D381" s="381"/>
      <c r="E381" s="381"/>
      <c r="F381" s="381"/>
      <c r="G381" s="381"/>
      <c r="H381" s="381"/>
      <c r="I381" s="381"/>
      <c r="J381" s="381"/>
      <c r="K381" s="382"/>
      <c r="L381" s="413"/>
      <c r="M381" s="413"/>
      <c r="N381" s="383"/>
      <c r="O381" s="384"/>
      <c r="P381" s="384"/>
      <c r="Q381" s="383"/>
      <c r="R381" s="383"/>
      <c r="S381" s="385"/>
      <c r="T381" s="380"/>
      <c r="U381" s="380"/>
      <c r="V381" s="380"/>
      <c r="W381" s="380"/>
      <c r="X381" s="380"/>
    </row>
    <row r="382" spans="1:24" ht="15.75" customHeight="1">
      <c r="A382" s="463"/>
      <c r="B382" s="888"/>
      <c r="C382" s="381"/>
      <c r="D382" s="381"/>
      <c r="E382" s="381"/>
      <c r="F382" s="381"/>
      <c r="G382" s="381"/>
      <c r="H382" s="381"/>
      <c r="I382" s="381"/>
      <c r="J382" s="381"/>
      <c r="K382" s="382"/>
      <c r="L382" s="413"/>
      <c r="M382" s="413"/>
      <c r="N382" s="383"/>
      <c r="O382" s="384"/>
      <c r="P382" s="384"/>
      <c r="Q382" s="383"/>
      <c r="R382" s="383"/>
      <c r="S382" s="385"/>
      <c r="T382" s="380"/>
      <c r="U382" s="380"/>
      <c r="V382" s="380"/>
      <c r="W382" s="380"/>
      <c r="X382" s="380"/>
    </row>
    <row r="383" spans="1:24" ht="14.4">
      <c r="A383" s="463"/>
      <c r="B383" s="889"/>
      <c r="C383" s="381"/>
      <c r="D383" s="411"/>
      <c r="E383" s="411"/>
      <c r="F383" s="381"/>
      <c r="G383" s="381"/>
      <c r="H383" s="381"/>
      <c r="I383" s="381"/>
      <c r="J383" s="381"/>
      <c r="K383" s="382"/>
      <c r="L383" s="413"/>
      <c r="M383" s="413"/>
      <c r="N383" s="383"/>
      <c r="O383" s="384"/>
      <c r="P383" s="384"/>
      <c r="Q383" s="383"/>
      <c r="R383" s="383"/>
      <c r="S383" s="385"/>
      <c r="T383" s="380"/>
      <c r="U383" s="380"/>
      <c r="V383" s="380"/>
      <c r="W383" s="380"/>
      <c r="X383" s="380"/>
    </row>
    <row r="384" spans="1:24" ht="14.4">
      <c r="A384" s="463"/>
      <c r="B384" s="889"/>
      <c r="C384" s="381"/>
      <c r="D384" s="411"/>
      <c r="E384" s="411"/>
      <c r="F384" s="411"/>
      <c r="G384" s="381"/>
      <c r="H384" s="381"/>
      <c r="I384" s="381"/>
      <c r="J384" s="381"/>
      <c r="K384" s="382"/>
      <c r="L384" s="413"/>
      <c r="M384" s="413"/>
      <c r="N384" s="383"/>
      <c r="O384" s="384"/>
      <c r="P384" s="384"/>
      <c r="Q384" s="383"/>
      <c r="R384" s="383"/>
      <c r="S384" s="385"/>
      <c r="T384" s="380"/>
      <c r="U384" s="380"/>
      <c r="V384" s="380"/>
      <c r="W384" s="380"/>
      <c r="X384" s="380"/>
    </row>
    <row r="385" spans="1:24" ht="15" customHeight="1">
      <c r="A385" s="463"/>
      <c r="B385" s="889"/>
      <c r="C385" s="381"/>
      <c r="D385" s="411"/>
      <c r="E385" s="411"/>
      <c r="F385" s="411"/>
      <c r="G385" s="381"/>
      <c r="H385" s="381"/>
      <c r="I385" s="381"/>
      <c r="J385" s="381"/>
      <c r="K385" s="382"/>
      <c r="L385" s="413"/>
      <c r="M385" s="413"/>
      <c r="N385" s="383"/>
      <c r="O385" s="384"/>
      <c r="P385" s="384"/>
      <c r="Q385" s="383"/>
      <c r="R385" s="383"/>
      <c r="S385" s="385"/>
      <c r="T385" s="380"/>
      <c r="U385" s="380"/>
      <c r="V385" s="380"/>
      <c r="W385" s="380"/>
      <c r="X385" s="380"/>
    </row>
    <row r="386" spans="1:24" ht="15" customHeight="1">
      <c r="A386" s="463"/>
      <c r="B386" s="889"/>
      <c r="C386" s="381"/>
      <c r="D386" s="411"/>
      <c r="E386" s="411"/>
      <c r="F386" s="411"/>
      <c r="G386" s="381"/>
      <c r="H386" s="381"/>
      <c r="I386" s="381"/>
      <c r="J386" s="381"/>
      <c r="K386" s="382"/>
      <c r="L386" s="413"/>
      <c r="M386" s="413"/>
      <c r="N386" s="383"/>
      <c r="O386" s="384"/>
      <c r="P386" s="384"/>
      <c r="Q386" s="383"/>
      <c r="R386" s="383"/>
      <c r="S386" s="385"/>
      <c r="T386" s="380"/>
      <c r="U386" s="380"/>
      <c r="V386" s="380"/>
      <c r="W386" s="380"/>
      <c r="X386" s="380"/>
    </row>
    <row r="387" spans="1:24" ht="15" customHeight="1">
      <c r="A387" s="463"/>
      <c r="B387" s="889"/>
      <c r="C387" s="381"/>
      <c r="D387" s="411"/>
      <c r="E387" s="411"/>
      <c r="F387" s="411"/>
      <c r="G387" s="381"/>
      <c r="H387" s="381"/>
      <c r="I387" s="381"/>
      <c r="J387" s="381"/>
      <c r="K387" s="382"/>
      <c r="L387" s="413"/>
      <c r="M387" s="413"/>
      <c r="N387" s="383"/>
      <c r="O387" s="384"/>
      <c r="P387" s="384"/>
      <c r="Q387" s="383"/>
      <c r="R387" s="383"/>
      <c r="S387" s="385"/>
      <c r="T387" s="380"/>
      <c r="U387" s="380"/>
      <c r="V387" s="380"/>
      <c r="W387" s="380"/>
      <c r="X387" s="380"/>
    </row>
    <row r="388" spans="1:24" ht="15" customHeight="1">
      <c r="A388" s="463"/>
      <c r="B388" s="889"/>
      <c r="C388" s="381"/>
      <c r="D388" s="411"/>
      <c r="E388" s="411"/>
      <c r="F388" s="411"/>
      <c r="G388" s="381"/>
      <c r="H388" s="381"/>
      <c r="I388" s="381"/>
      <c r="J388" s="381"/>
      <c r="K388" s="382"/>
      <c r="L388" s="413"/>
      <c r="M388" s="413"/>
      <c r="N388" s="383"/>
      <c r="O388" s="384"/>
      <c r="P388" s="384"/>
      <c r="Q388" s="383"/>
      <c r="R388" s="383"/>
      <c r="S388" s="385"/>
      <c r="T388" s="380"/>
      <c r="U388" s="380"/>
      <c r="V388" s="380"/>
      <c r="W388" s="380"/>
      <c r="X388" s="380"/>
    </row>
    <row r="389" spans="1:24" ht="15" customHeight="1">
      <c r="A389" s="463"/>
      <c r="B389" s="417"/>
      <c r="C389" s="381"/>
      <c r="D389" s="411"/>
      <c r="E389" s="411"/>
      <c r="F389" s="411"/>
      <c r="G389" s="381"/>
      <c r="H389" s="381"/>
      <c r="I389" s="381"/>
      <c r="J389" s="381"/>
      <c r="K389" s="382"/>
      <c r="L389" s="413"/>
      <c r="M389" s="413"/>
      <c r="N389" s="383"/>
      <c r="O389" s="384"/>
      <c r="P389" s="384"/>
      <c r="Q389" s="383"/>
      <c r="R389" s="383"/>
      <c r="S389" s="385"/>
      <c r="T389" s="380"/>
      <c r="U389" s="380"/>
      <c r="V389" s="380"/>
      <c r="W389" s="380"/>
      <c r="X389" s="380"/>
    </row>
    <row r="390" spans="1:24" ht="15" customHeight="1">
      <c r="A390" s="463"/>
      <c r="B390" s="380"/>
      <c r="C390" s="381"/>
      <c r="D390" s="411"/>
      <c r="E390" s="411"/>
      <c r="F390" s="411"/>
      <c r="G390" s="381"/>
      <c r="H390" s="381"/>
      <c r="I390" s="381"/>
      <c r="J390" s="381"/>
      <c r="K390" s="382"/>
      <c r="L390" s="413"/>
      <c r="M390" s="413"/>
      <c r="N390" s="383"/>
      <c r="O390" s="384"/>
      <c r="P390" s="384"/>
      <c r="Q390" s="383"/>
      <c r="R390" s="383"/>
      <c r="S390" s="385"/>
      <c r="T390" s="380"/>
      <c r="U390" s="380"/>
      <c r="V390" s="380"/>
      <c r="W390" s="380"/>
      <c r="X390" s="380"/>
    </row>
    <row r="391" spans="1:24" ht="15" customHeight="1">
      <c r="A391" s="463"/>
      <c r="B391" s="888"/>
      <c r="C391" s="381"/>
      <c r="D391" s="381"/>
      <c r="E391" s="411"/>
      <c r="F391" s="411"/>
      <c r="G391" s="381"/>
      <c r="H391" s="381"/>
      <c r="I391" s="381"/>
      <c r="J391" s="381"/>
      <c r="K391" s="382"/>
      <c r="L391" s="413"/>
      <c r="M391" s="413"/>
      <c r="N391" s="383"/>
      <c r="O391" s="384"/>
      <c r="P391" s="384"/>
      <c r="Q391" s="383"/>
      <c r="R391" s="383"/>
      <c r="S391" s="385"/>
      <c r="T391" s="380"/>
      <c r="U391" s="380"/>
      <c r="V391" s="380"/>
      <c r="W391" s="380"/>
      <c r="X391" s="380"/>
    </row>
    <row r="392" spans="1:24" ht="15.75" customHeight="1">
      <c r="A392" s="463"/>
      <c r="B392" s="889"/>
      <c r="C392" s="381"/>
      <c r="D392" s="381"/>
      <c r="E392" s="381"/>
      <c r="F392" s="381"/>
      <c r="G392" s="381"/>
      <c r="H392" s="381"/>
      <c r="I392" s="381"/>
      <c r="J392" s="381"/>
      <c r="K392" s="382"/>
      <c r="L392" s="413"/>
      <c r="M392" s="413"/>
      <c r="N392" s="383"/>
      <c r="O392" s="384"/>
      <c r="P392" s="384"/>
      <c r="Q392" s="383"/>
      <c r="R392" s="383"/>
      <c r="S392" s="385"/>
      <c r="T392" s="380"/>
      <c r="U392" s="380"/>
      <c r="V392" s="380"/>
      <c r="W392" s="380"/>
      <c r="X392" s="380"/>
    </row>
    <row r="393" spans="1:24" ht="15.75" customHeight="1">
      <c r="A393" s="463"/>
      <c r="B393" s="380"/>
      <c r="C393" s="381"/>
      <c r="D393" s="381"/>
      <c r="E393" s="381"/>
      <c r="F393" s="381"/>
      <c r="G393" s="381"/>
      <c r="H393" s="381"/>
      <c r="I393" s="381"/>
      <c r="J393" s="381"/>
      <c r="K393" s="382"/>
      <c r="L393" s="413"/>
      <c r="M393" s="413"/>
      <c r="N393" s="383"/>
      <c r="O393" s="384"/>
      <c r="P393" s="384"/>
      <c r="Q393" s="383"/>
      <c r="R393" s="383"/>
      <c r="S393" s="385"/>
      <c r="T393" s="380"/>
      <c r="U393" s="380"/>
      <c r="V393" s="380"/>
      <c r="W393" s="380"/>
      <c r="X393" s="380"/>
    </row>
    <row r="394" spans="1:24" ht="15.75" customHeight="1">
      <c r="A394" s="463"/>
      <c r="B394" s="380"/>
      <c r="C394" s="381"/>
      <c r="D394" s="381"/>
      <c r="E394" s="381"/>
      <c r="F394" s="381"/>
      <c r="G394" s="381"/>
      <c r="H394" s="381"/>
      <c r="I394" s="381"/>
      <c r="J394" s="381"/>
      <c r="K394" s="382"/>
      <c r="L394" s="413"/>
      <c r="M394" s="413"/>
      <c r="N394" s="383"/>
      <c r="O394" s="384"/>
      <c r="P394" s="384"/>
      <c r="Q394" s="383"/>
      <c r="R394" s="383"/>
      <c r="S394" s="385"/>
      <c r="T394" s="380"/>
      <c r="U394" s="380"/>
      <c r="V394" s="380"/>
      <c r="W394" s="380"/>
      <c r="X394" s="380"/>
    </row>
    <row r="395" spans="1:24" ht="15.75" customHeight="1">
      <c r="A395" s="463"/>
      <c r="B395" s="380"/>
      <c r="C395" s="381"/>
      <c r="D395" s="381"/>
      <c r="E395" s="381"/>
      <c r="F395" s="381"/>
      <c r="G395" s="381"/>
      <c r="H395" s="381"/>
      <c r="I395" s="381"/>
      <c r="J395" s="381"/>
      <c r="K395" s="382"/>
      <c r="L395" s="413"/>
      <c r="M395" s="413"/>
      <c r="N395" s="383"/>
      <c r="O395" s="384"/>
      <c r="P395" s="384"/>
      <c r="Q395" s="383"/>
      <c r="R395" s="383"/>
      <c r="S395" s="385"/>
      <c r="T395" s="380"/>
      <c r="U395" s="380"/>
      <c r="V395" s="380"/>
      <c r="W395" s="380"/>
      <c r="X395" s="380"/>
    </row>
    <row r="396" spans="1:24" ht="15.75" customHeight="1">
      <c r="A396" s="463"/>
      <c r="B396" s="380"/>
      <c r="C396" s="381"/>
      <c r="D396" s="381"/>
      <c r="E396" s="381"/>
      <c r="F396" s="381"/>
      <c r="G396" s="381"/>
      <c r="H396" s="381"/>
      <c r="I396" s="381"/>
      <c r="J396" s="381"/>
      <c r="K396" s="382"/>
      <c r="L396" s="413"/>
      <c r="M396" s="413"/>
      <c r="N396" s="383"/>
      <c r="O396" s="384"/>
      <c r="P396" s="384"/>
      <c r="Q396" s="383"/>
      <c r="R396" s="383"/>
      <c r="S396" s="385"/>
      <c r="T396" s="380"/>
      <c r="U396" s="380"/>
      <c r="V396" s="380"/>
      <c r="W396" s="380"/>
      <c r="X396" s="380"/>
    </row>
    <row r="397" spans="1:24" ht="15.75" customHeight="1">
      <c r="A397" s="463"/>
      <c r="B397" s="380"/>
      <c r="C397" s="381"/>
      <c r="D397" s="381"/>
      <c r="E397" s="381"/>
      <c r="F397" s="381"/>
      <c r="G397" s="381"/>
      <c r="H397" s="381"/>
      <c r="I397" s="381"/>
      <c r="J397" s="381"/>
      <c r="K397" s="382"/>
      <c r="L397" s="413"/>
      <c r="M397" s="413"/>
      <c r="N397" s="383"/>
      <c r="O397" s="384"/>
      <c r="P397" s="384"/>
      <c r="Q397" s="383"/>
      <c r="R397" s="383"/>
      <c r="S397" s="385"/>
      <c r="T397" s="380"/>
      <c r="U397" s="380"/>
      <c r="V397" s="380"/>
      <c r="W397" s="380"/>
      <c r="X397" s="380"/>
    </row>
    <row r="398" spans="1:24" ht="15.75" customHeight="1">
      <c r="A398" s="463"/>
      <c r="B398" s="380"/>
      <c r="C398" s="381"/>
      <c r="D398" s="381"/>
      <c r="E398" s="381"/>
      <c r="F398" s="381"/>
      <c r="G398" s="381"/>
      <c r="H398" s="381"/>
      <c r="I398" s="381"/>
      <c r="J398" s="381"/>
      <c r="K398" s="382"/>
      <c r="L398" s="413"/>
      <c r="M398" s="413"/>
      <c r="N398" s="383"/>
      <c r="O398" s="384"/>
      <c r="P398" s="384"/>
      <c r="Q398" s="383"/>
      <c r="R398" s="383"/>
      <c r="S398" s="385"/>
      <c r="T398" s="380"/>
      <c r="U398" s="380"/>
      <c r="V398" s="380"/>
      <c r="W398" s="380"/>
      <c r="X398" s="380"/>
    </row>
    <row r="399" spans="1:24" ht="15.75" customHeight="1">
      <c r="A399" s="463"/>
      <c r="B399" s="380"/>
      <c r="C399" s="381"/>
      <c r="D399" s="381"/>
      <c r="E399" s="381"/>
      <c r="F399" s="381"/>
      <c r="G399" s="381"/>
      <c r="H399" s="381"/>
      <c r="I399" s="381"/>
      <c r="J399" s="381"/>
      <c r="K399" s="382"/>
      <c r="L399" s="413"/>
      <c r="M399" s="413"/>
      <c r="N399" s="383"/>
      <c r="O399" s="384"/>
      <c r="P399" s="384"/>
      <c r="Q399" s="383"/>
      <c r="R399" s="383"/>
      <c r="S399" s="385"/>
      <c r="T399" s="380"/>
      <c r="U399" s="380"/>
      <c r="V399" s="380"/>
      <c r="W399" s="380"/>
      <c r="X399" s="380"/>
    </row>
    <row r="400" spans="1:24" ht="15.75" customHeight="1">
      <c r="A400" s="463"/>
      <c r="B400" s="380"/>
      <c r="C400" s="381"/>
      <c r="D400" s="381"/>
      <c r="E400" s="381"/>
      <c r="F400" s="381"/>
      <c r="G400" s="381"/>
      <c r="H400" s="381"/>
      <c r="I400" s="381"/>
      <c r="J400" s="381"/>
      <c r="K400" s="382"/>
      <c r="L400" s="413"/>
      <c r="M400" s="413"/>
      <c r="N400" s="383"/>
      <c r="O400" s="384"/>
      <c r="P400" s="384"/>
      <c r="Q400" s="383"/>
      <c r="R400" s="383"/>
      <c r="S400" s="385"/>
      <c r="T400" s="380"/>
      <c r="U400" s="380"/>
      <c r="V400" s="380"/>
      <c r="W400" s="380"/>
      <c r="X400" s="380"/>
    </row>
    <row r="401" spans="1:24" ht="15.75" customHeight="1">
      <c r="A401" s="463"/>
      <c r="B401" s="380"/>
      <c r="C401" s="381"/>
      <c r="D401" s="381"/>
      <c r="E401" s="381"/>
      <c r="F401" s="381"/>
      <c r="G401" s="381"/>
      <c r="H401" s="381"/>
      <c r="I401" s="381"/>
      <c r="J401" s="381"/>
      <c r="K401" s="382"/>
      <c r="L401" s="413"/>
      <c r="M401" s="413"/>
      <c r="N401" s="383"/>
      <c r="O401" s="384"/>
      <c r="P401" s="384"/>
      <c r="Q401" s="383"/>
      <c r="R401" s="383"/>
      <c r="S401" s="385"/>
      <c r="T401" s="380"/>
      <c r="U401" s="380"/>
      <c r="V401" s="380"/>
      <c r="W401" s="380"/>
      <c r="X401" s="380"/>
    </row>
    <row r="402" spans="1:24" ht="15.75" customHeight="1">
      <c r="A402" s="463"/>
      <c r="B402" s="380"/>
      <c r="C402" s="381"/>
      <c r="D402" s="381"/>
      <c r="E402" s="381"/>
      <c r="F402" s="381"/>
      <c r="G402" s="381"/>
      <c r="H402" s="381"/>
      <c r="I402" s="381"/>
      <c r="J402" s="381"/>
      <c r="K402" s="382"/>
      <c r="L402" s="413"/>
      <c r="M402" s="413"/>
      <c r="N402" s="383"/>
      <c r="O402" s="384"/>
      <c r="P402" s="384"/>
      <c r="Q402" s="383"/>
      <c r="R402" s="383"/>
      <c r="S402" s="385"/>
      <c r="T402" s="380"/>
      <c r="U402" s="380"/>
      <c r="V402" s="380"/>
      <c r="W402" s="380"/>
      <c r="X402" s="380"/>
    </row>
    <row r="403" spans="1:24" ht="15.75" customHeight="1">
      <c r="A403" s="463"/>
      <c r="B403" s="380"/>
      <c r="C403" s="381"/>
      <c r="D403" s="381"/>
      <c r="E403" s="381"/>
      <c r="F403" s="381"/>
      <c r="G403" s="381"/>
      <c r="H403" s="381"/>
      <c r="I403" s="381"/>
      <c r="J403" s="381"/>
      <c r="K403" s="382"/>
      <c r="L403" s="413"/>
      <c r="M403" s="413"/>
      <c r="N403" s="383"/>
      <c r="O403" s="384"/>
      <c r="P403" s="384"/>
      <c r="Q403" s="383"/>
      <c r="R403" s="383"/>
      <c r="S403" s="385"/>
      <c r="T403" s="380"/>
      <c r="U403" s="380"/>
      <c r="V403" s="380"/>
      <c r="W403" s="380"/>
      <c r="X403" s="380"/>
    </row>
    <row r="404" spans="1:24" ht="15.75" customHeight="1">
      <c r="A404" s="463"/>
      <c r="B404" s="380"/>
      <c r="C404" s="381"/>
      <c r="D404" s="381"/>
      <c r="E404" s="381"/>
      <c r="F404" s="381"/>
      <c r="G404" s="381"/>
      <c r="H404" s="381"/>
      <c r="I404" s="381"/>
      <c r="J404" s="381"/>
      <c r="K404" s="382"/>
      <c r="L404" s="413"/>
      <c r="M404" s="413"/>
      <c r="N404" s="383"/>
      <c r="O404" s="384"/>
      <c r="P404" s="384"/>
      <c r="Q404" s="383"/>
      <c r="R404" s="383"/>
      <c r="S404" s="385"/>
      <c r="T404" s="380"/>
      <c r="U404" s="380"/>
      <c r="V404" s="380"/>
      <c r="W404" s="380"/>
      <c r="X404" s="380"/>
    </row>
    <row r="405" spans="1:24" ht="15.75" customHeight="1">
      <c r="A405" s="463"/>
      <c r="B405" s="380"/>
      <c r="C405" s="381"/>
      <c r="D405" s="381"/>
      <c r="E405" s="381"/>
      <c r="F405" s="381"/>
      <c r="G405" s="381"/>
      <c r="H405" s="381"/>
      <c r="I405" s="381"/>
      <c r="J405" s="381"/>
      <c r="K405" s="382"/>
      <c r="L405" s="413"/>
      <c r="M405" s="413"/>
      <c r="N405" s="383"/>
      <c r="O405" s="384"/>
      <c r="P405" s="384"/>
      <c r="Q405" s="383"/>
      <c r="R405" s="383"/>
      <c r="S405" s="385"/>
      <c r="T405" s="380"/>
      <c r="U405" s="380"/>
      <c r="V405" s="380"/>
      <c r="W405" s="380"/>
      <c r="X405" s="380"/>
    </row>
    <row r="406" spans="1:24" ht="15.75" customHeight="1">
      <c r="A406" s="463"/>
      <c r="B406" s="380"/>
      <c r="C406" s="381"/>
      <c r="D406" s="381"/>
      <c r="E406" s="381"/>
      <c r="F406" s="381"/>
      <c r="G406" s="381"/>
      <c r="H406" s="381"/>
      <c r="I406" s="381"/>
      <c r="J406" s="381"/>
      <c r="K406" s="382"/>
      <c r="L406" s="413"/>
      <c r="M406" s="413"/>
      <c r="N406" s="383"/>
      <c r="O406" s="384"/>
      <c r="P406" s="384"/>
      <c r="Q406" s="383"/>
      <c r="R406" s="383"/>
      <c r="S406" s="385"/>
      <c r="T406" s="380"/>
      <c r="U406" s="380"/>
      <c r="V406" s="380"/>
      <c r="W406" s="380"/>
      <c r="X406" s="380"/>
    </row>
    <row r="407" spans="1:24" ht="15.75" customHeight="1">
      <c r="A407" s="463"/>
      <c r="B407" s="380"/>
      <c r="C407" s="381"/>
      <c r="D407" s="381"/>
      <c r="E407" s="381"/>
      <c r="F407" s="381"/>
      <c r="G407" s="381"/>
      <c r="H407" s="381"/>
      <c r="I407" s="381"/>
      <c r="J407" s="381"/>
      <c r="K407" s="382"/>
      <c r="L407" s="413"/>
      <c r="M407" s="413"/>
      <c r="N407" s="383"/>
      <c r="O407" s="384"/>
      <c r="P407" s="384"/>
      <c r="Q407" s="383"/>
      <c r="R407" s="383"/>
      <c r="S407" s="385"/>
      <c r="T407" s="380"/>
      <c r="U407" s="380"/>
      <c r="V407" s="380"/>
      <c r="W407" s="380"/>
      <c r="X407" s="380"/>
    </row>
    <row r="408" spans="1:24" ht="15.75" customHeight="1">
      <c r="A408" s="463"/>
      <c r="B408" s="380"/>
      <c r="C408" s="381"/>
      <c r="D408" s="381"/>
      <c r="E408" s="381"/>
      <c r="F408" s="381"/>
      <c r="G408" s="381"/>
      <c r="H408" s="381"/>
      <c r="I408" s="381"/>
      <c r="J408" s="381"/>
      <c r="K408" s="382"/>
      <c r="L408" s="413"/>
      <c r="M408" s="413"/>
      <c r="N408" s="383"/>
      <c r="O408" s="384"/>
      <c r="P408" s="384"/>
      <c r="Q408" s="383"/>
      <c r="R408" s="383"/>
      <c r="S408" s="385"/>
      <c r="T408" s="380"/>
      <c r="U408" s="380"/>
      <c r="V408" s="380"/>
      <c r="W408" s="380"/>
      <c r="X408" s="380"/>
    </row>
    <row r="409" spans="1:24" ht="15.75" customHeight="1">
      <c r="A409" s="463"/>
      <c r="B409" s="380"/>
      <c r="C409" s="381"/>
      <c r="D409" s="381"/>
      <c r="E409" s="381"/>
      <c r="F409" s="381"/>
      <c r="G409" s="381"/>
      <c r="H409" s="381"/>
      <c r="I409" s="381"/>
      <c r="J409" s="381"/>
      <c r="K409" s="382"/>
      <c r="L409" s="413"/>
      <c r="M409" s="413"/>
      <c r="N409" s="383"/>
      <c r="O409" s="384"/>
      <c r="P409" s="384"/>
      <c r="Q409" s="383"/>
      <c r="R409" s="383"/>
      <c r="S409" s="385"/>
      <c r="T409" s="380"/>
      <c r="U409" s="380"/>
      <c r="V409" s="380"/>
      <c r="W409" s="380"/>
      <c r="X409" s="380"/>
    </row>
    <row r="410" spans="1:24" ht="15.75" customHeight="1">
      <c r="A410" s="463"/>
      <c r="B410" s="380"/>
      <c r="C410" s="381"/>
      <c r="D410" s="381"/>
      <c r="E410" s="890"/>
      <c r="F410" s="889"/>
      <c r="G410" s="381"/>
      <c r="H410" s="381"/>
      <c r="I410" s="381"/>
      <c r="J410" s="381"/>
      <c r="K410" s="382"/>
      <c r="L410" s="413"/>
      <c r="M410" s="413"/>
      <c r="N410" s="383"/>
      <c r="O410" s="384"/>
      <c r="P410" s="384"/>
      <c r="Q410" s="383"/>
      <c r="R410" s="383"/>
      <c r="S410" s="385"/>
      <c r="T410" s="380"/>
      <c r="U410" s="380"/>
      <c r="V410" s="380"/>
      <c r="W410" s="380"/>
      <c r="X410" s="380"/>
    </row>
    <row r="411" spans="1:24" ht="15.75" customHeight="1">
      <c r="A411" s="463"/>
      <c r="B411" s="380"/>
      <c r="C411" s="381"/>
      <c r="D411" s="381"/>
      <c r="E411" s="418"/>
      <c r="F411" s="419"/>
      <c r="G411" s="381"/>
      <c r="H411" s="381"/>
      <c r="I411" s="381"/>
      <c r="J411" s="381"/>
      <c r="K411" s="382"/>
      <c r="L411" s="413"/>
      <c r="M411" s="413"/>
      <c r="N411" s="383"/>
      <c r="O411" s="384"/>
      <c r="P411" s="384"/>
      <c r="Q411" s="383"/>
      <c r="R411" s="383"/>
      <c r="S411" s="385"/>
      <c r="T411" s="380"/>
      <c r="U411" s="380"/>
      <c r="V411" s="380"/>
      <c r="W411" s="380"/>
      <c r="X411" s="380"/>
    </row>
    <row r="412" spans="1:24" ht="15.75" customHeight="1">
      <c r="A412" s="463"/>
      <c r="B412" s="380"/>
      <c r="C412" s="381"/>
      <c r="D412" s="381"/>
      <c r="E412" s="418"/>
      <c r="F412" s="419"/>
      <c r="G412" s="381"/>
      <c r="H412" s="381"/>
      <c r="I412" s="381"/>
      <c r="J412" s="381"/>
      <c r="K412" s="382"/>
      <c r="L412" s="413"/>
      <c r="M412" s="413"/>
      <c r="N412" s="383"/>
      <c r="O412" s="384"/>
      <c r="P412" s="384"/>
      <c r="Q412" s="383"/>
      <c r="R412" s="383"/>
      <c r="S412" s="385"/>
      <c r="T412" s="380"/>
      <c r="U412" s="380"/>
      <c r="V412" s="380"/>
      <c r="W412" s="380"/>
      <c r="X412" s="380"/>
    </row>
    <row r="413" spans="1:24" ht="15.75" customHeight="1">
      <c r="A413" s="463"/>
      <c r="B413" s="380"/>
      <c r="C413" s="381"/>
      <c r="D413" s="381"/>
      <c r="E413" s="418"/>
      <c r="F413" s="419"/>
      <c r="G413" s="381"/>
      <c r="H413" s="381"/>
      <c r="I413" s="381"/>
      <c r="J413" s="381"/>
      <c r="K413" s="382"/>
      <c r="L413" s="413"/>
      <c r="M413" s="413"/>
      <c r="N413" s="383"/>
      <c r="O413" s="384"/>
      <c r="P413" s="384"/>
      <c r="Q413" s="383"/>
      <c r="R413" s="383"/>
      <c r="S413" s="385"/>
      <c r="T413" s="380"/>
      <c r="U413" s="380"/>
      <c r="V413" s="380"/>
      <c r="W413" s="380"/>
      <c r="X413" s="380"/>
    </row>
    <row r="414" spans="1:24" ht="15.75" customHeight="1">
      <c r="A414" s="463"/>
      <c r="B414" s="380"/>
      <c r="C414" s="381"/>
      <c r="D414" s="381"/>
      <c r="E414" s="418"/>
      <c r="F414" s="419"/>
      <c r="G414" s="381"/>
      <c r="H414" s="381"/>
      <c r="I414" s="381"/>
      <c r="J414" s="381"/>
      <c r="K414" s="382"/>
      <c r="L414" s="413"/>
      <c r="M414" s="413"/>
      <c r="N414" s="383"/>
      <c r="O414" s="384"/>
      <c r="P414" s="384"/>
      <c r="Q414" s="383"/>
      <c r="R414" s="383"/>
      <c r="S414" s="385"/>
      <c r="T414" s="380"/>
      <c r="U414" s="380"/>
      <c r="V414" s="380"/>
      <c r="W414" s="380"/>
      <c r="X414" s="380"/>
    </row>
    <row r="415" spans="1:24" ht="15.75" customHeight="1">
      <c r="A415" s="463"/>
      <c r="B415" s="380"/>
      <c r="C415" s="381"/>
      <c r="D415" s="381"/>
      <c r="E415" s="418"/>
      <c r="F415" s="419"/>
      <c r="G415" s="381"/>
      <c r="H415" s="381"/>
      <c r="I415" s="381"/>
      <c r="J415" s="381"/>
      <c r="K415" s="382"/>
      <c r="L415" s="413"/>
      <c r="M415" s="413"/>
      <c r="N415" s="383"/>
      <c r="O415" s="384"/>
      <c r="P415" s="384"/>
      <c r="Q415" s="383"/>
      <c r="R415" s="383"/>
      <c r="S415" s="385"/>
      <c r="T415" s="380"/>
      <c r="U415" s="380"/>
      <c r="V415" s="380"/>
      <c r="W415" s="380"/>
      <c r="X415" s="380"/>
    </row>
    <row r="416" spans="1:24" ht="15.75" customHeight="1">
      <c r="A416" s="463"/>
      <c r="B416" s="380"/>
      <c r="C416" s="381"/>
      <c r="D416" s="381"/>
      <c r="E416" s="418"/>
      <c r="F416" s="419"/>
      <c r="G416" s="381"/>
      <c r="H416" s="381"/>
      <c r="I416" s="381"/>
      <c r="J416" s="381"/>
      <c r="K416" s="382"/>
      <c r="L416" s="413"/>
      <c r="M416" s="413"/>
      <c r="N416" s="383"/>
      <c r="O416" s="384"/>
      <c r="P416" s="384"/>
      <c r="Q416" s="383"/>
      <c r="R416" s="383"/>
      <c r="S416" s="385"/>
      <c r="T416" s="380"/>
      <c r="U416" s="380"/>
      <c r="V416" s="380"/>
      <c r="W416" s="380"/>
      <c r="X416" s="380"/>
    </row>
    <row r="417" spans="1:24" ht="15.75" customHeight="1">
      <c r="A417" s="463"/>
      <c r="B417" s="380"/>
      <c r="C417" s="381"/>
      <c r="D417" s="381"/>
      <c r="E417" s="420"/>
      <c r="F417" s="421"/>
      <c r="G417" s="381"/>
      <c r="H417" s="381"/>
      <c r="I417" s="381"/>
      <c r="J417" s="381"/>
      <c r="K417" s="382"/>
      <c r="L417" s="413"/>
      <c r="M417" s="413"/>
      <c r="N417" s="383"/>
      <c r="O417" s="384"/>
      <c r="P417" s="384"/>
      <c r="Q417" s="383"/>
      <c r="R417" s="383"/>
      <c r="S417" s="385"/>
      <c r="T417" s="380"/>
      <c r="U417" s="380"/>
      <c r="V417" s="380"/>
      <c r="W417" s="380"/>
      <c r="X417" s="380"/>
    </row>
    <row r="418" spans="1:24" ht="15.75" customHeight="1">
      <c r="A418" s="463"/>
      <c r="B418" s="380"/>
      <c r="C418" s="381"/>
      <c r="D418" s="381"/>
      <c r="E418" s="381"/>
      <c r="F418" s="381"/>
      <c r="G418" s="381"/>
      <c r="H418" s="381"/>
      <c r="I418" s="381"/>
      <c r="J418" s="381"/>
      <c r="K418" s="382"/>
      <c r="L418" s="413"/>
      <c r="M418" s="413"/>
      <c r="N418" s="383"/>
      <c r="O418" s="384"/>
      <c r="P418" s="384"/>
      <c r="Q418" s="383"/>
      <c r="R418" s="383"/>
      <c r="S418" s="385"/>
      <c r="T418" s="380"/>
      <c r="U418" s="380"/>
      <c r="V418" s="380"/>
      <c r="W418" s="380"/>
      <c r="X418" s="380"/>
    </row>
    <row r="419" spans="1:24" ht="15.75" customHeight="1">
      <c r="A419" s="463"/>
      <c r="B419" s="380"/>
      <c r="C419" s="381"/>
      <c r="D419" s="381"/>
      <c r="E419" s="381"/>
      <c r="F419" s="381"/>
      <c r="G419" s="381"/>
      <c r="H419" s="381"/>
      <c r="I419" s="381"/>
      <c r="J419" s="381"/>
      <c r="K419" s="382"/>
      <c r="L419" s="413"/>
      <c r="M419" s="413"/>
      <c r="N419" s="383"/>
      <c r="O419" s="384"/>
      <c r="P419" s="384"/>
      <c r="Q419" s="383"/>
      <c r="R419" s="383"/>
      <c r="S419" s="385"/>
      <c r="T419" s="380"/>
      <c r="U419" s="380"/>
      <c r="V419" s="380"/>
      <c r="W419" s="380"/>
      <c r="X419" s="380"/>
    </row>
    <row r="420" spans="1:24" ht="15.75" customHeight="1">
      <c r="A420" s="463"/>
      <c r="B420" s="380"/>
      <c r="C420" s="381"/>
      <c r="D420" s="381"/>
      <c r="E420" s="381"/>
      <c r="F420" s="381"/>
      <c r="G420" s="381"/>
      <c r="H420" s="381"/>
      <c r="I420" s="381"/>
      <c r="J420" s="381"/>
      <c r="K420" s="382"/>
      <c r="L420" s="413"/>
      <c r="M420" s="413"/>
      <c r="N420" s="383"/>
      <c r="O420" s="384"/>
      <c r="P420" s="384"/>
      <c r="Q420" s="383"/>
      <c r="R420" s="383"/>
      <c r="S420" s="385"/>
      <c r="T420" s="380"/>
      <c r="U420" s="380"/>
      <c r="V420" s="380"/>
      <c r="W420" s="380"/>
      <c r="X420" s="380"/>
    </row>
    <row r="421" spans="1:24" ht="15.75" customHeight="1">
      <c r="A421" s="463"/>
      <c r="B421" s="380"/>
      <c r="C421" s="381"/>
      <c r="D421" s="381"/>
      <c r="E421" s="381"/>
      <c r="F421" s="381"/>
      <c r="G421" s="381"/>
      <c r="H421" s="381"/>
      <c r="I421" s="381"/>
      <c r="J421" s="381"/>
      <c r="K421" s="382"/>
      <c r="L421" s="413"/>
      <c r="M421" s="413"/>
      <c r="N421" s="383"/>
      <c r="O421" s="384"/>
      <c r="P421" s="384"/>
      <c r="Q421" s="383"/>
      <c r="R421" s="383"/>
      <c r="S421" s="385"/>
      <c r="T421" s="380"/>
      <c r="U421" s="380"/>
      <c r="V421" s="380"/>
      <c r="W421" s="380"/>
      <c r="X421" s="380"/>
    </row>
    <row r="422" spans="1:24" ht="15.75" customHeight="1">
      <c r="A422" s="463"/>
      <c r="B422" s="380"/>
      <c r="C422" s="381"/>
      <c r="D422" s="381"/>
      <c r="E422" s="381"/>
      <c r="F422" s="381"/>
      <c r="G422" s="381"/>
      <c r="H422" s="381"/>
      <c r="I422" s="381"/>
      <c r="J422" s="381"/>
      <c r="K422" s="382"/>
      <c r="L422" s="413"/>
      <c r="M422" s="413"/>
      <c r="N422" s="383"/>
      <c r="O422" s="384"/>
      <c r="P422" s="384"/>
      <c r="Q422" s="383"/>
      <c r="R422" s="383"/>
      <c r="S422" s="385"/>
      <c r="T422" s="380"/>
      <c r="U422" s="380"/>
      <c r="V422" s="380"/>
      <c r="W422" s="380"/>
      <c r="X422" s="380"/>
    </row>
    <row r="423" spans="1:24" ht="15.75" customHeight="1">
      <c r="A423" s="463"/>
      <c r="B423" s="380"/>
      <c r="C423" s="381"/>
      <c r="D423" s="381"/>
      <c r="E423" s="381"/>
      <c r="F423" s="381"/>
      <c r="G423" s="381"/>
      <c r="H423" s="381"/>
      <c r="I423" s="381"/>
      <c r="J423" s="381"/>
      <c r="K423" s="382"/>
      <c r="L423" s="413"/>
      <c r="M423" s="413"/>
      <c r="N423" s="383"/>
      <c r="O423" s="384"/>
      <c r="P423" s="384"/>
      <c r="Q423" s="383"/>
      <c r="R423" s="383"/>
      <c r="S423" s="385"/>
      <c r="T423" s="380"/>
      <c r="U423" s="380"/>
      <c r="V423" s="380"/>
      <c r="W423" s="380"/>
      <c r="X423" s="380"/>
    </row>
    <row r="424" spans="1:24" ht="15.75" customHeight="1">
      <c r="A424" s="463"/>
      <c r="B424" s="380"/>
      <c r="C424" s="381"/>
      <c r="D424" s="381"/>
      <c r="E424" s="381"/>
      <c r="F424" s="381"/>
      <c r="G424" s="381"/>
      <c r="H424" s="381"/>
      <c r="I424" s="381"/>
      <c r="J424" s="381"/>
      <c r="K424" s="382"/>
      <c r="L424" s="413"/>
      <c r="M424" s="413"/>
      <c r="N424" s="383"/>
      <c r="O424" s="384"/>
      <c r="P424" s="384"/>
      <c r="Q424" s="383"/>
      <c r="R424" s="383"/>
      <c r="S424" s="385"/>
      <c r="T424" s="380"/>
      <c r="U424" s="380"/>
      <c r="V424" s="380"/>
      <c r="W424" s="380"/>
      <c r="X424" s="380"/>
    </row>
    <row r="425" spans="1:24" ht="15.75" customHeight="1">
      <c r="A425" s="463"/>
      <c r="B425" s="380"/>
      <c r="C425" s="381"/>
      <c r="D425" s="381"/>
      <c r="E425" s="381"/>
      <c r="F425" s="381"/>
      <c r="G425" s="381"/>
      <c r="H425" s="381"/>
      <c r="I425" s="381"/>
      <c r="J425" s="381"/>
      <c r="K425" s="382"/>
      <c r="L425" s="413"/>
      <c r="M425" s="413"/>
      <c r="N425" s="383"/>
      <c r="O425" s="384"/>
      <c r="P425" s="384"/>
      <c r="Q425" s="383"/>
      <c r="R425" s="383"/>
      <c r="S425" s="385"/>
      <c r="T425" s="380"/>
      <c r="U425" s="380"/>
      <c r="V425" s="380"/>
      <c r="W425" s="380"/>
      <c r="X425" s="380"/>
    </row>
    <row r="426" spans="1:24" ht="15.75" customHeight="1">
      <c r="A426" s="463"/>
      <c r="B426" s="380"/>
      <c r="C426" s="381"/>
      <c r="D426" s="381"/>
      <c r="E426" s="381"/>
      <c r="F426" s="381"/>
      <c r="G426" s="381"/>
      <c r="H426" s="381"/>
      <c r="I426" s="381"/>
      <c r="J426" s="381"/>
      <c r="K426" s="382"/>
      <c r="L426" s="413"/>
      <c r="M426" s="413"/>
      <c r="N426" s="383"/>
      <c r="O426" s="384"/>
      <c r="P426" s="384"/>
      <c r="Q426" s="383"/>
      <c r="R426" s="383"/>
      <c r="S426" s="385"/>
      <c r="T426" s="380"/>
      <c r="U426" s="380"/>
      <c r="V426" s="380"/>
      <c r="W426" s="380"/>
      <c r="X426" s="380"/>
    </row>
    <row r="427" spans="1:24" ht="15.75" customHeight="1">
      <c r="A427" s="463"/>
      <c r="B427" s="380"/>
      <c r="C427" s="381"/>
      <c r="D427" s="381"/>
      <c r="E427" s="381"/>
      <c r="F427" s="381"/>
      <c r="G427" s="381"/>
      <c r="H427" s="381"/>
      <c r="I427" s="381"/>
      <c r="J427" s="381"/>
      <c r="K427" s="382"/>
      <c r="L427" s="413"/>
      <c r="M427" s="413"/>
      <c r="N427" s="383"/>
      <c r="O427" s="384"/>
      <c r="P427" s="384"/>
      <c r="Q427" s="383"/>
      <c r="R427" s="383"/>
      <c r="S427" s="385"/>
      <c r="T427" s="380"/>
      <c r="U427" s="380"/>
      <c r="V427" s="380"/>
      <c r="W427" s="380"/>
      <c r="X427" s="380"/>
    </row>
    <row r="428" spans="1:24" ht="15.75" customHeight="1">
      <c r="A428" s="463"/>
      <c r="B428" s="380"/>
      <c r="C428" s="381"/>
      <c r="D428" s="381"/>
      <c r="E428" s="381"/>
      <c r="F428" s="381"/>
      <c r="G428" s="381"/>
      <c r="H428" s="381"/>
      <c r="I428" s="381"/>
      <c r="J428" s="381"/>
      <c r="K428" s="382"/>
      <c r="L428" s="413"/>
      <c r="M428" s="413"/>
      <c r="N428" s="383"/>
      <c r="O428" s="384"/>
      <c r="P428" s="384"/>
      <c r="Q428" s="383"/>
      <c r="R428" s="383"/>
      <c r="S428" s="385"/>
      <c r="T428" s="380"/>
      <c r="U428" s="380"/>
      <c r="V428" s="380"/>
      <c r="W428" s="380"/>
      <c r="X428" s="380"/>
    </row>
    <row r="429" spans="1:24" ht="15.75" customHeight="1">
      <c r="A429" s="463"/>
      <c r="B429" s="380"/>
      <c r="C429" s="381"/>
      <c r="D429" s="381"/>
      <c r="E429" s="381"/>
      <c r="F429" s="381"/>
      <c r="G429" s="381"/>
      <c r="H429" s="381"/>
      <c r="I429" s="381"/>
      <c r="J429" s="381"/>
      <c r="K429" s="382"/>
      <c r="L429" s="413"/>
      <c r="M429" s="413"/>
      <c r="N429" s="383"/>
      <c r="O429" s="384"/>
      <c r="P429" s="384"/>
      <c r="Q429" s="383"/>
      <c r="R429" s="383"/>
      <c r="S429" s="385"/>
      <c r="T429" s="380"/>
      <c r="U429" s="380"/>
      <c r="V429" s="380"/>
      <c r="W429" s="380"/>
      <c r="X429" s="380"/>
    </row>
    <row r="430" spans="1:24" ht="15.75" customHeight="1">
      <c r="A430" s="463"/>
      <c r="B430" s="380"/>
      <c r="C430" s="381"/>
      <c r="D430" s="381"/>
      <c r="E430" s="381"/>
      <c r="F430" s="381"/>
      <c r="G430" s="381"/>
      <c r="H430" s="381"/>
      <c r="I430" s="381"/>
      <c r="J430" s="381"/>
      <c r="K430" s="382"/>
      <c r="L430" s="413"/>
      <c r="M430" s="413"/>
      <c r="N430" s="383"/>
      <c r="O430" s="384"/>
      <c r="P430" s="384"/>
      <c r="Q430" s="383"/>
      <c r="R430" s="383"/>
      <c r="S430" s="385"/>
      <c r="T430" s="380"/>
      <c r="U430" s="380"/>
      <c r="V430" s="380"/>
      <c r="W430" s="380"/>
      <c r="X430" s="380"/>
    </row>
    <row r="431" spans="1:24" ht="15.75" customHeight="1">
      <c r="A431" s="463"/>
      <c r="B431" s="380"/>
      <c r="C431" s="381"/>
      <c r="D431" s="381"/>
      <c r="E431" s="381"/>
      <c r="F431" s="381"/>
      <c r="G431" s="381"/>
      <c r="H431" s="381"/>
      <c r="I431" s="381"/>
      <c r="J431" s="381"/>
      <c r="K431" s="382"/>
      <c r="L431" s="413"/>
      <c r="M431" s="413"/>
      <c r="N431" s="383"/>
      <c r="O431" s="384"/>
      <c r="P431" s="384"/>
      <c r="Q431" s="383"/>
      <c r="R431" s="383"/>
      <c r="S431" s="385"/>
      <c r="T431" s="380"/>
      <c r="U431" s="380"/>
      <c r="V431" s="380"/>
      <c r="W431" s="380"/>
      <c r="X431" s="380"/>
    </row>
    <row r="432" spans="1:24" ht="15.75" customHeight="1">
      <c r="A432" s="463"/>
      <c r="B432" s="380"/>
      <c r="C432" s="381"/>
      <c r="D432" s="381"/>
      <c r="E432" s="381"/>
      <c r="F432" s="381"/>
      <c r="G432" s="381"/>
      <c r="H432" s="381"/>
      <c r="I432" s="381"/>
      <c r="J432" s="381"/>
      <c r="K432" s="382"/>
      <c r="L432" s="413"/>
      <c r="M432" s="413"/>
      <c r="N432" s="383"/>
      <c r="O432" s="384"/>
      <c r="P432" s="384"/>
      <c r="Q432" s="383"/>
      <c r="R432" s="383"/>
      <c r="S432" s="385"/>
      <c r="T432" s="380"/>
      <c r="U432" s="380"/>
      <c r="V432" s="380"/>
      <c r="W432" s="380"/>
      <c r="X432" s="380"/>
    </row>
    <row r="433" spans="1:24" ht="15.75" customHeight="1">
      <c r="A433" s="463"/>
      <c r="B433" s="380"/>
      <c r="C433" s="381"/>
      <c r="D433" s="381"/>
      <c r="E433" s="381"/>
      <c r="F433" s="381"/>
      <c r="G433" s="381"/>
      <c r="H433" s="381"/>
      <c r="I433" s="381"/>
      <c r="J433" s="381"/>
      <c r="K433" s="382"/>
      <c r="L433" s="413"/>
      <c r="M433" s="413"/>
      <c r="N433" s="383"/>
      <c r="O433" s="384"/>
      <c r="P433" s="384"/>
      <c r="Q433" s="383"/>
      <c r="R433" s="383"/>
      <c r="S433" s="385"/>
      <c r="T433" s="380"/>
      <c r="U433" s="380"/>
      <c r="V433" s="380"/>
      <c r="W433" s="380"/>
      <c r="X433" s="380"/>
    </row>
    <row r="434" spans="1:24" ht="15.75" customHeight="1">
      <c r="A434" s="463"/>
      <c r="B434" s="380"/>
      <c r="C434" s="381"/>
      <c r="D434" s="381"/>
      <c r="E434" s="381"/>
      <c r="F434" s="381"/>
      <c r="G434" s="381"/>
      <c r="H434" s="381"/>
      <c r="I434" s="381"/>
      <c r="J434" s="381"/>
      <c r="K434" s="382"/>
      <c r="L434" s="413"/>
      <c r="M434" s="413"/>
      <c r="N434" s="383"/>
      <c r="O434" s="384"/>
      <c r="P434" s="384"/>
      <c r="Q434" s="383"/>
      <c r="R434" s="383"/>
      <c r="S434" s="385"/>
      <c r="T434" s="380"/>
      <c r="U434" s="380"/>
      <c r="V434" s="380"/>
      <c r="W434" s="380"/>
      <c r="X434" s="380"/>
    </row>
    <row r="435" spans="1:24" ht="15.75" customHeight="1">
      <c r="A435" s="463"/>
      <c r="B435" s="380"/>
      <c r="C435" s="381"/>
      <c r="D435" s="381"/>
      <c r="E435" s="381"/>
      <c r="F435" s="381"/>
      <c r="G435" s="381"/>
      <c r="H435" s="381"/>
      <c r="I435" s="381"/>
      <c r="J435" s="381"/>
      <c r="K435" s="382"/>
      <c r="L435" s="413"/>
      <c r="M435" s="413"/>
      <c r="N435" s="383"/>
      <c r="O435" s="384"/>
      <c r="P435" s="384"/>
      <c r="Q435" s="383"/>
      <c r="R435" s="383"/>
      <c r="S435" s="385"/>
      <c r="T435" s="380"/>
      <c r="U435" s="380"/>
      <c r="V435" s="380"/>
      <c r="W435" s="380"/>
      <c r="X435" s="380"/>
    </row>
    <row r="436" spans="1:24" ht="15.75" customHeight="1">
      <c r="A436" s="463"/>
      <c r="B436" s="380"/>
      <c r="C436" s="381"/>
      <c r="D436" s="381"/>
      <c r="E436" s="381"/>
      <c r="F436" s="381"/>
      <c r="G436" s="381"/>
      <c r="H436" s="381"/>
      <c r="I436" s="381"/>
      <c r="J436" s="381"/>
      <c r="K436" s="382"/>
      <c r="L436" s="413"/>
      <c r="M436" s="413"/>
      <c r="N436" s="383"/>
      <c r="O436" s="384"/>
      <c r="P436" s="384"/>
      <c r="Q436" s="383"/>
      <c r="R436" s="383"/>
      <c r="S436" s="385"/>
      <c r="T436" s="380"/>
      <c r="U436" s="380"/>
      <c r="V436" s="380"/>
      <c r="W436" s="380"/>
      <c r="X436" s="380"/>
    </row>
    <row r="437" spans="1:24" ht="15.75" customHeight="1">
      <c r="A437" s="463"/>
      <c r="B437" s="380"/>
      <c r="C437" s="381"/>
      <c r="D437" s="381"/>
      <c r="E437" s="381"/>
      <c r="F437" s="381"/>
      <c r="G437" s="381"/>
      <c r="H437" s="381"/>
      <c r="I437" s="381"/>
      <c r="J437" s="381"/>
      <c r="K437" s="382"/>
      <c r="L437" s="413"/>
      <c r="M437" s="413"/>
      <c r="N437" s="383"/>
      <c r="O437" s="384"/>
      <c r="P437" s="384"/>
      <c r="Q437" s="383"/>
      <c r="R437" s="383"/>
      <c r="S437" s="385"/>
      <c r="T437" s="380"/>
      <c r="U437" s="380"/>
      <c r="V437" s="380"/>
      <c r="W437" s="380"/>
      <c r="X437" s="380"/>
    </row>
    <row r="438" spans="1:24" ht="15.75" customHeight="1">
      <c r="A438" s="463"/>
      <c r="B438" s="380"/>
      <c r="C438" s="381"/>
      <c r="D438" s="381"/>
      <c r="E438" s="381"/>
      <c r="F438" s="381"/>
      <c r="G438" s="381"/>
      <c r="H438" s="381"/>
      <c r="I438" s="381"/>
      <c r="J438" s="381"/>
      <c r="K438" s="382"/>
      <c r="L438" s="413"/>
      <c r="M438" s="413"/>
      <c r="N438" s="383"/>
      <c r="O438" s="384"/>
      <c r="P438" s="384"/>
      <c r="Q438" s="383"/>
      <c r="R438" s="383"/>
      <c r="S438" s="385"/>
      <c r="T438" s="380"/>
      <c r="U438" s="380"/>
      <c r="V438" s="380"/>
      <c r="W438" s="380"/>
      <c r="X438" s="380"/>
    </row>
    <row r="439" spans="1:24" ht="15.75" customHeight="1">
      <c r="A439" s="463"/>
      <c r="B439" s="380"/>
      <c r="C439" s="381"/>
      <c r="D439" s="381"/>
      <c r="E439" s="381"/>
      <c r="F439" s="381"/>
      <c r="G439" s="381"/>
      <c r="H439" s="381"/>
      <c r="I439" s="381"/>
      <c r="J439" s="381"/>
      <c r="K439" s="382"/>
      <c r="L439" s="413"/>
      <c r="M439" s="413"/>
      <c r="N439" s="383"/>
      <c r="O439" s="384"/>
      <c r="P439" s="384"/>
      <c r="Q439" s="383"/>
      <c r="R439" s="383"/>
      <c r="S439" s="385"/>
      <c r="T439" s="380"/>
      <c r="U439" s="380"/>
      <c r="V439" s="380"/>
      <c r="W439" s="380"/>
      <c r="X439" s="380"/>
    </row>
    <row r="440" spans="1:24" ht="15.75" customHeight="1">
      <c r="A440" s="463"/>
      <c r="B440" s="380"/>
      <c r="C440" s="381"/>
      <c r="D440" s="381"/>
      <c r="E440" s="381"/>
      <c r="F440" s="381"/>
      <c r="G440" s="381"/>
      <c r="H440" s="381"/>
      <c r="I440" s="381"/>
      <c r="J440" s="381"/>
      <c r="K440" s="382"/>
      <c r="L440" s="413"/>
      <c r="M440" s="413"/>
      <c r="N440" s="383"/>
      <c r="O440" s="384"/>
      <c r="P440" s="384"/>
      <c r="Q440" s="383"/>
      <c r="R440" s="383"/>
      <c r="S440" s="385"/>
      <c r="T440" s="380"/>
      <c r="U440" s="380"/>
      <c r="V440" s="380"/>
      <c r="W440" s="380"/>
      <c r="X440" s="380"/>
    </row>
    <row r="441" spans="1:24" ht="15.75" customHeight="1">
      <c r="A441" s="463"/>
      <c r="B441" s="380"/>
      <c r="C441" s="381"/>
      <c r="D441" s="381"/>
      <c r="E441" s="381"/>
      <c r="F441" s="381"/>
      <c r="G441" s="381"/>
      <c r="H441" s="381"/>
      <c r="I441" s="381"/>
      <c r="J441" s="381"/>
      <c r="K441" s="382"/>
      <c r="L441" s="413"/>
      <c r="M441" s="413"/>
      <c r="N441" s="383"/>
      <c r="O441" s="384"/>
      <c r="P441" s="384"/>
      <c r="Q441" s="383"/>
      <c r="R441" s="383"/>
      <c r="S441" s="385"/>
      <c r="T441" s="380"/>
      <c r="U441" s="380"/>
      <c r="V441" s="380"/>
      <c r="W441" s="380"/>
      <c r="X441" s="380"/>
    </row>
    <row r="442" spans="1:24" ht="15.75" customHeight="1">
      <c r="A442" s="463"/>
      <c r="B442" s="380"/>
      <c r="C442" s="381"/>
      <c r="D442" s="381"/>
      <c r="E442" s="381"/>
      <c r="F442" s="381"/>
      <c r="G442" s="381"/>
      <c r="H442" s="381"/>
      <c r="I442" s="381"/>
      <c r="J442" s="381"/>
      <c r="K442" s="382"/>
      <c r="L442" s="413"/>
      <c r="M442" s="413"/>
      <c r="N442" s="383"/>
      <c r="O442" s="384"/>
      <c r="P442" s="384"/>
      <c r="Q442" s="383"/>
      <c r="R442" s="383"/>
      <c r="S442" s="385"/>
      <c r="T442" s="380"/>
      <c r="U442" s="380"/>
      <c r="V442" s="380"/>
      <c r="W442" s="380"/>
      <c r="X442" s="380"/>
    </row>
    <row r="443" spans="1:24" ht="15.75" customHeight="1">
      <c r="A443" s="463"/>
      <c r="B443" s="380"/>
      <c r="C443" s="381"/>
      <c r="D443" s="381"/>
      <c r="E443" s="381"/>
      <c r="F443" s="381"/>
      <c r="G443" s="381"/>
      <c r="H443" s="381"/>
      <c r="I443" s="381"/>
      <c r="J443" s="381"/>
      <c r="K443" s="382"/>
      <c r="L443" s="413"/>
      <c r="M443" s="413"/>
      <c r="N443" s="383"/>
      <c r="O443" s="384"/>
      <c r="P443" s="384"/>
      <c r="Q443" s="383"/>
      <c r="R443" s="383"/>
      <c r="S443" s="385"/>
      <c r="T443" s="380"/>
      <c r="U443" s="380"/>
      <c r="V443" s="380"/>
      <c r="W443" s="380"/>
      <c r="X443" s="380"/>
    </row>
    <row r="444" spans="1:24" ht="15.75" customHeight="1">
      <c r="A444" s="463"/>
      <c r="B444" s="380"/>
      <c r="C444" s="381"/>
      <c r="D444" s="381"/>
      <c r="E444" s="381"/>
      <c r="F444" s="381"/>
      <c r="G444" s="381"/>
      <c r="H444" s="381"/>
      <c r="I444" s="381"/>
      <c r="J444" s="381"/>
      <c r="K444" s="382"/>
      <c r="L444" s="413"/>
      <c r="M444" s="413"/>
      <c r="N444" s="383"/>
      <c r="O444" s="384"/>
      <c r="P444" s="384"/>
      <c r="Q444" s="383"/>
      <c r="R444" s="383"/>
      <c r="S444" s="385"/>
      <c r="T444" s="380"/>
      <c r="U444" s="380"/>
      <c r="V444" s="380"/>
      <c r="W444" s="380"/>
      <c r="X444" s="380"/>
    </row>
    <row r="445" spans="1:24" ht="15.75" customHeight="1">
      <c r="A445" s="463"/>
      <c r="B445" s="380"/>
      <c r="C445" s="381"/>
      <c r="D445" s="381"/>
      <c r="E445" s="381"/>
      <c r="F445" s="381"/>
      <c r="G445" s="381"/>
      <c r="H445" s="381"/>
      <c r="I445" s="381"/>
      <c r="J445" s="381"/>
      <c r="K445" s="382"/>
      <c r="L445" s="413"/>
      <c r="M445" s="413"/>
      <c r="N445" s="383"/>
      <c r="O445" s="384"/>
      <c r="P445" s="384"/>
      <c r="Q445" s="383"/>
      <c r="R445" s="383"/>
      <c r="S445" s="385"/>
      <c r="T445" s="380"/>
      <c r="U445" s="380"/>
      <c r="V445" s="380"/>
      <c r="W445" s="380"/>
      <c r="X445" s="380"/>
    </row>
    <row r="446" spans="1:24" ht="15.75" customHeight="1">
      <c r="A446" s="463"/>
      <c r="B446" s="380"/>
      <c r="C446" s="381"/>
      <c r="D446" s="381"/>
      <c r="E446" s="381"/>
      <c r="F446" s="381"/>
      <c r="G446" s="381"/>
      <c r="H446" s="381"/>
      <c r="I446" s="381"/>
      <c r="J446" s="381"/>
      <c r="K446" s="382"/>
      <c r="L446" s="413"/>
      <c r="M446" s="413"/>
      <c r="N446" s="383"/>
      <c r="O446" s="384"/>
      <c r="P446" s="384"/>
      <c r="Q446" s="383"/>
      <c r="R446" s="383"/>
      <c r="S446" s="385"/>
      <c r="T446" s="380"/>
      <c r="U446" s="380"/>
      <c r="V446" s="380"/>
      <c r="W446" s="380"/>
      <c r="X446" s="380"/>
    </row>
    <row r="447" spans="1:24" ht="15.75" customHeight="1">
      <c r="A447" s="463"/>
      <c r="B447" s="380"/>
      <c r="C447" s="381"/>
      <c r="D447" s="381"/>
      <c r="E447" s="381"/>
      <c r="F447" s="381"/>
      <c r="G447" s="381"/>
      <c r="H447" s="381"/>
      <c r="I447" s="381"/>
      <c r="J447" s="381"/>
      <c r="K447" s="382"/>
      <c r="L447" s="413"/>
      <c r="M447" s="413"/>
      <c r="N447" s="383"/>
      <c r="O447" s="384"/>
      <c r="P447" s="384"/>
      <c r="Q447" s="383"/>
      <c r="R447" s="383"/>
      <c r="S447" s="385"/>
      <c r="T447" s="380"/>
      <c r="U447" s="380"/>
      <c r="V447" s="380"/>
      <c r="W447" s="380"/>
      <c r="X447" s="380"/>
    </row>
    <row r="448" spans="1:24" ht="15.75" customHeight="1">
      <c r="A448" s="463"/>
      <c r="B448" s="380"/>
      <c r="C448" s="381"/>
      <c r="D448" s="381"/>
      <c r="E448" s="381"/>
      <c r="F448" s="381"/>
      <c r="G448" s="381"/>
      <c r="H448" s="381"/>
      <c r="I448" s="381"/>
      <c r="J448" s="381"/>
      <c r="K448" s="382"/>
      <c r="L448" s="413"/>
      <c r="M448" s="413"/>
      <c r="N448" s="383"/>
      <c r="O448" s="384"/>
      <c r="P448" s="384"/>
      <c r="Q448" s="383"/>
      <c r="R448" s="383"/>
      <c r="S448" s="385"/>
      <c r="T448" s="380"/>
      <c r="U448" s="380"/>
      <c r="V448" s="380"/>
      <c r="W448" s="380"/>
      <c r="X448" s="380"/>
    </row>
    <row r="449" spans="1:24" ht="15.75" customHeight="1">
      <c r="A449" s="463"/>
      <c r="B449" s="380"/>
      <c r="C449" s="381"/>
      <c r="D449" s="381"/>
      <c r="E449" s="381"/>
      <c r="F449" s="381"/>
      <c r="G449" s="381"/>
      <c r="H449" s="381"/>
      <c r="I449" s="381"/>
      <c r="J449" s="381"/>
      <c r="K449" s="382"/>
      <c r="L449" s="413"/>
      <c r="M449" s="413"/>
      <c r="N449" s="383"/>
      <c r="O449" s="384"/>
      <c r="P449" s="384"/>
      <c r="Q449" s="383"/>
      <c r="R449" s="383"/>
      <c r="S449" s="385"/>
      <c r="T449" s="380"/>
      <c r="U449" s="380"/>
      <c r="V449" s="380"/>
      <c r="W449" s="380"/>
      <c r="X449" s="380"/>
    </row>
    <row r="450" spans="1:24" ht="15.75" customHeight="1">
      <c r="A450" s="463"/>
      <c r="B450" s="380"/>
      <c r="C450" s="381"/>
      <c r="D450" s="381"/>
      <c r="E450" s="381"/>
      <c r="F450" s="381"/>
      <c r="G450" s="381"/>
      <c r="H450" s="381"/>
      <c r="I450" s="381"/>
      <c r="J450" s="381"/>
      <c r="K450" s="382"/>
      <c r="L450" s="413"/>
      <c r="M450" s="413"/>
      <c r="N450" s="383"/>
      <c r="O450" s="384"/>
      <c r="P450" s="384"/>
      <c r="Q450" s="383"/>
      <c r="R450" s="383"/>
      <c r="S450" s="385"/>
      <c r="T450" s="380"/>
      <c r="U450" s="380"/>
      <c r="V450" s="380"/>
      <c r="W450" s="380"/>
      <c r="X450" s="380"/>
    </row>
    <row r="451" spans="1:24" ht="15.75" customHeight="1">
      <c r="A451" s="463"/>
      <c r="B451" s="380"/>
      <c r="C451" s="381"/>
      <c r="D451" s="381"/>
      <c r="E451" s="381"/>
      <c r="F451" s="381"/>
      <c r="G451" s="381"/>
      <c r="H451" s="381"/>
      <c r="I451" s="381"/>
      <c r="J451" s="381"/>
      <c r="K451" s="382"/>
      <c r="L451" s="413"/>
      <c r="M451" s="413"/>
      <c r="N451" s="383"/>
      <c r="O451" s="384"/>
      <c r="P451" s="384"/>
      <c r="Q451" s="383"/>
      <c r="R451" s="383"/>
      <c r="S451" s="385"/>
      <c r="T451" s="380"/>
      <c r="U451" s="380"/>
      <c r="V451" s="380"/>
      <c r="W451" s="380"/>
      <c r="X451" s="380"/>
    </row>
    <row r="452" spans="1:24" ht="15.75" customHeight="1">
      <c r="A452" s="463"/>
      <c r="B452" s="380"/>
      <c r="C452" s="381"/>
      <c r="D452" s="381"/>
      <c r="E452" s="381"/>
      <c r="F452" s="381"/>
      <c r="G452" s="381"/>
      <c r="H452" s="381"/>
      <c r="I452" s="381"/>
      <c r="J452" s="381"/>
      <c r="K452" s="382"/>
      <c r="L452" s="413"/>
      <c r="M452" s="413"/>
      <c r="N452" s="383"/>
      <c r="O452" s="384"/>
      <c r="P452" s="384"/>
      <c r="Q452" s="383"/>
      <c r="R452" s="383"/>
      <c r="S452" s="385"/>
      <c r="T452" s="380"/>
      <c r="U452" s="380"/>
      <c r="V452" s="380"/>
      <c r="W452" s="380"/>
      <c r="X452" s="380"/>
    </row>
    <row r="453" spans="1:24" ht="15.75" customHeight="1">
      <c r="A453" s="463"/>
      <c r="B453" s="380"/>
      <c r="C453" s="381"/>
      <c r="D453" s="381"/>
      <c r="E453" s="381"/>
      <c r="F453" s="381"/>
      <c r="G453" s="381"/>
      <c r="H453" s="381"/>
      <c r="I453" s="381"/>
      <c r="J453" s="381"/>
      <c r="K453" s="382"/>
      <c r="L453" s="413"/>
      <c r="M453" s="413"/>
      <c r="N453" s="383"/>
      <c r="O453" s="384"/>
      <c r="P453" s="384"/>
      <c r="Q453" s="383"/>
      <c r="R453" s="383"/>
      <c r="S453" s="385"/>
      <c r="T453" s="380"/>
      <c r="U453" s="380"/>
      <c r="V453" s="380"/>
      <c r="W453" s="380"/>
      <c r="X453" s="380"/>
    </row>
    <row r="454" spans="1:24" ht="15.75" customHeight="1">
      <c r="A454" s="463"/>
      <c r="B454" s="380"/>
      <c r="C454" s="381"/>
      <c r="D454" s="381"/>
      <c r="E454" s="381"/>
      <c r="F454" s="381"/>
      <c r="G454" s="381"/>
      <c r="H454" s="381"/>
      <c r="I454" s="381"/>
      <c r="J454" s="381"/>
      <c r="K454" s="382"/>
      <c r="L454" s="413"/>
      <c r="M454" s="413"/>
      <c r="N454" s="383"/>
      <c r="O454" s="384"/>
      <c r="P454" s="384"/>
      <c r="Q454" s="383"/>
      <c r="R454" s="383"/>
      <c r="S454" s="385"/>
      <c r="T454" s="380"/>
      <c r="U454" s="380"/>
      <c r="V454" s="380"/>
      <c r="W454" s="380"/>
      <c r="X454" s="380"/>
    </row>
    <row r="455" spans="1:24" ht="15.75" customHeight="1">
      <c r="A455" s="463"/>
      <c r="B455" s="380"/>
      <c r="C455" s="381"/>
      <c r="D455" s="381"/>
      <c r="E455" s="381"/>
      <c r="F455" s="381"/>
      <c r="G455" s="381"/>
      <c r="H455" s="381"/>
      <c r="I455" s="381"/>
      <c r="J455" s="381"/>
      <c r="K455" s="382"/>
      <c r="L455" s="413"/>
      <c r="M455" s="413"/>
      <c r="N455" s="383"/>
      <c r="O455" s="384"/>
      <c r="P455" s="384"/>
      <c r="Q455" s="383"/>
      <c r="R455" s="383"/>
      <c r="S455" s="385"/>
      <c r="T455" s="380"/>
      <c r="U455" s="380"/>
      <c r="V455" s="380"/>
      <c r="W455" s="380"/>
      <c r="X455" s="380"/>
    </row>
    <row r="456" spans="1:24" ht="15.75" customHeight="1">
      <c r="A456" s="463"/>
      <c r="B456" s="380"/>
      <c r="C456" s="381"/>
      <c r="D456" s="381"/>
      <c r="E456" s="381"/>
      <c r="F456" s="381"/>
      <c r="G456" s="381"/>
      <c r="H456" s="381"/>
      <c r="I456" s="381"/>
      <c r="J456" s="381"/>
      <c r="K456" s="382"/>
      <c r="L456" s="413"/>
      <c r="M456" s="413"/>
      <c r="N456" s="383"/>
      <c r="O456" s="384"/>
      <c r="P456" s="384"/>
      <c r="Q456" s="383"/>
      <c r="R456" s="383"/>
      <c r="S456" s="385"/>
      <c r="T456" s="380"/>
      <c r="U456" s="380"/>
      <c r="V456" s="380"/>
      <c r="W456" s="380"/>
      <c r="X456" s="380"/>
    </row>
    <row r="457" spans="1:24" ht="15.75" customHeight="1">
      <c r="A457" s="463"/>
      <c r="B457" s="380"/>
      <c r="C457" s="381"/>
      <c r="D457" s="381"/>
      <c r="E457" s="381"/>
      <c r="F457" s="381"/>
      <c r="G457" s="381"/>
      <c r="H457" s="381"/>
      <c r="I457" s="381"/>
      <c r="J457" s="381"/>
      <c r="K457" s="382"/>
      <c r="L457" s="413"/>
      <c r="M457" s="413"/>
      <c r="N457" s="383"/>
      <c r="O457" s="384"/>
      <c r="P457" s="384"/>
      <c r="Q457" s="383"/>
      <c r="R457" s="383"/>
      <c r="S457" s="385"/>
      <c r="T457" s="380"/>
      <c r="U457" s="380"/>
      <c r="V457" s="380"/>
      <c r="W457" s="380"/>
      <c r="X457" s="380"/>
    </row>
    <row r="458" spans="1:24" ht="15.75" customHeight="1">
      <c r="A458" s="463"/>
      <c r="B458" s="380"/>
      <c r="C458" s="381"/>
      <c r="D458" s="381"/>
      <c r="E458" s="381"/>
      <c r="F458" s="381"/>
      <c r="G458" s="381"/>
      <c r="H458" s="381"/>
      <c r="I458" s="381"/>
      <c r="J458" s="381"/>
      <c r="K458" s="382"/>
      <c r="L458" s="413"/>
      <c r="M458" s="413"/>
      <c r="N458" s="383"/>
      <c r="O458" s="384"/>
      <c r="P458" s="384"/>
      <c r="Q458" s="383"/>
      <c r="R458" s="383"/>
      <c r="S458" s="385"/>
      <c r="T458" s="380"/>
      <c r="U458" s="380"/>
      <c r="V458" s="380"/>
      <c r="W458" s="380"/>
      <c r="X458" s="380"/>
    </row>
    <row r="459" spans="1:24" ht="15.75" customHeight="1">
      <c r="A459" s="463"/>
      <c r="B459" s="380"/>
      <c r="C459" s="381"/>
      <c r="D459" s="381"/>
      <c r="E459" s="381"/>
      <c r="F459" s="381"/>
      <c r="G459" s="381"/>
      <c r="H459" s="381"/>
      <c r="I459" s="381"/>
      <c r="J459" s="381"/>
      <c r="K459" s="382"/>
      <c r="L459" s="413"/>
      <c r="M459" s="413"/>
      <c r="N459" s="383"/>
      <c r="O459" s="384"/>
      <c r="P459" s="384"/>
      <c r="Q459" s="383"/>
      <c r="R459" s="383"/>
      <c r="S459" s="385"/>
      <c r="T459" s="380"/>
      <c r="U459" s="380"/>
      <c r="V459" s="380"/>
      <c r="W459" s="380"/>
      <c r="X459" s="380"/>
    </row>
    <row r="460" spans="1:24" ht="15.75" customHeight="1">
      <c r="A460" s="463"/>
      <c r="B460" s="380"/>
      <c r="C460" s="381"/>
      <c r="D460" s="381"/>
      <c r="E460" s="381"/>
      <c r="F460" s="381"/>
      <c r="G460" s="381"/>
      <c r="H460" s="381"/>
      <c r="I460" s="381"/>
      <c r="J460" s="381"/>
      <c r="K460" s="382"/>
      <c r="L460" s="413"/>
      <c r="M460" s="413"/>
      <c r="N460" s="383"/>
      <c r="O460" s="384"/>
      <c r="P460" s="384"/>
      <c r="Q460" s="383"/>
      <c r="R460" s="383"/>
      <c r="S460" s="385"/>
      <c r="T460" s="380"/>
      <c r="U460" s="380"/>
      <c r="V460" s="380"/>
      <c r="W460" s="380"/>
      <c r="X460" s="380"/>
    </row>
    <row r="461" spans="1:24" ht="15.75" customHeight="1">
      <c r="A461" s="463"/>
      <c r="B461" s="380"/>
      <c r="C461" s="381"/>
      <c r="D461" s="381"/>
      <c r="E461" s="381"/>
      <c r="F461" s="381"/>
      <c r="G461" s="381"/>
      <c r="H461" s="381"/>
      <c r="I461" s="381"/>
      <c r="J461" s="381"/>
      <c r="K461" s="382"/>
      <c r="L461" s="413"/>
      <c r="M461" s="413"/>
      <c r="N461" s="383"/>
      <c r="O461" s="384"/>
      <c r="P461" s="384"/>
      <c r="Q461" s="383"/>
      <c r="R461" s="383"/>
      <c r="S461" s="385"/>
      <c r="T461" s="380"/>
      <c r="U461" s="380"/>
      <c r="V461" s="380"/>
      <c r="W461" s="380"/>
      <c r="X461" s="380"/>
    </row>
    <row r="462" spans="1:24" ht="15.75" customHeight="1">
      <c r="A462" s="463"/>
      <c r="B462" s="380"/>
      <c r="C462" s="381"/>
      <c r="D462" s="381"/>
      <c r="E462" s="381"/>
      <c r="F462" s="381"/>
      <c r="G462" s="381"/>
      <c r="H462" s="381"/>
      <c r="I462" s="381"/>
      <c r="J462" s="381"/>
      <c r="K462" s="382"/>
      <c r="L462" s="413"/>
      <c r="M462" s="413"/>
      <c r="N462" s="383"/>
      <c r="O462" s="384"/>
      <c r="P462" s="384"/>
      <c r="Q462" s="383"/>
      <c r="R462" s="383"/>
      <c r="S462" s="385"/>
      <c r="T462" s="380"/>
      <c r="U462" s="380"/>
      <c r="V462" s="380"/>
      <c r="W462" s="380"/>
      <c r="X462" s="380"/>
    </row>
    <row r="463" spans="1:24" ht="15.75" customHeight="1">
      <c r="A463" s="463"/>
      <c r="B463" s="380"/>
      <c r="C463" s="381"/>
      <c r="D463" s="381"/>
      <c r="E463" s="381"/>
      <c r="F463" s="381"/>
      <c r="G463" s="381"/>
      <c r="H463" s="381"/>
      <c r="I463" s="381"/>
      <c r="J463" s="381"/>
      <c r="K463" s="382"/>
      <c r="L463" s="413"/>
      <c r="M463" s="413"/>
      <c r="N463" s="383"/>
      <c r="O463" s="384"/>
      <c r="P463" s="384"/>
      <c r="Q463" s="383"/>
      <c r="R463" s="383"/>
      <c r="S463" s="385"/>
      <c r="T463" s="380"/>
      <c r="U463" s="380"/>
      <c r="V463" s="380"/>
      <c r="W463" s="380"/>
      <c r="X463" s="380"/>
    </row>
    <row r="464" spans="1:24" ht="15.75" customHeight="1">
      <c r="A464" s="463"/>
      <c r="B464" s="380"/>
      <c r="C464" s="381"/>
      <c r="D464" s="381"/>
      <c r="E464" s="381"/>
      <c r="F464" s="381"/>
      <c r="G464" s="381"/>
      <c r="H464" s="381"/>
      <c r="I464" s="381"/>
      <c r="J464" s="381"/>
      <c r="K464" s="382"/>
      <c r="L464" s="413"/>
      <c r="M464" s="413"/>
      <c r="N464" s="383"/>
      <c r="O464" s="384"/>
      <c r="P464" s="384"/>
      <c r="Q464" s="383"/>
      <c r="R464" s="383"/>
      <c r="S464" s="385"/>
      <c r="T464" s="380"/>
      <c r="U464" s="380"/>
      <c r="V464" s="380"/>
      <c r="W464" s="380"/>
      <c r="X464" s="380"/>
    </row>
    <row r="465" spans="1:24" ht="15.75" customHeight="1">
      <c r="A465" s="463"/>
      <c r="B465" s="380"/>
      <c r="C465" s="381"/>
      <c r="D465" s="381"/>
      <c r="E465" s="381"/>
      <c r="F465" s="381"/>
      <c r="G465" s="381"/>
      <c r="H465" s="381"/>
      <c r="I465" s="381"/>
      <c r="J465" s="381"/>
      <c r="K465" s="382"/>
      <c r="L465" s="413"/>
      <c r="M465" s="413"/>
      <c r="N465" s="383"/>
      <c r="O465" s="384"/>
      <c r="P465" s="384"/>
      <c r="Q465" s="383"/>
      <c r="R465" s="383"/>
      <c r="S465" s="385"/>
      <c r="T465" s="380"/>
      <c r="U465" s="380"/>
      <c r="V465" s="380"/>
      <c r="W465" s="380"/>
      <c r="X465" s="380"/>
    </row>
    <row r="466" spans="1:24" ht="15.75" customHeight="1">
      <c r="A466" s="463"/>
      <c r="B466" s="380"/>
      <c r="C466" s="381"/>
      <c r="D466" s="381"/>
      <c r="E466" s="381"/>
      <c r="F466" s="381"/>
      <c r="G466" s="381"/>
      <c r="H466" s="381"/>
      <c r="I466" s="381"/>
      <c r="J466" s="381"/>
      <c r="K466" s="382"/>
      <c r="L466" s="413"/>
      <c r="M466" s="413"/>
      <c r="N466" s="383"/>
      <c r="O466" s="384"/>
      <c r="P466" s="384"/>
      <c r="Q466" s="383"/>
      <c r="R466" s="383"/>
      <c r="S466" s="385"/>
      <c r="T466" s="380"/>
      <c r="U466" s="380"/>
      <c r="V466" s="380"/>
      <c r="W466" s="380"/>
      <c r="X466" s="380"/>
    </row>
    <row r="467" spans="1:24" ht="15.75" customHeight="1">
      <c r="A467" s="463"/>
      <c r="B467" s="380"/>
      <c r="C467" s="381"/>
      <c r="D467" s="381"/>
      <c r="E467" s="381"/>
      <c r="F467" s="381"/>
      <c r="G467" s="381"/>
      <c r="H467" s="381"/>
      <c r="I467" s="381"/>
      <c r="J467" s="381"/>
      <c r="K467" s="382"/>
      <c r="L467" s="413"/>
      <c r="M467" s="413"/>
      <c r="N467" s="383"/>
      <c r="O467" s="384"/>
      <c r="P467" s="384"/>
      <c r="Q467" s="383"/>
      <c r="R467" s="383"/>
      <c r="S467" s="385"/>
      <c r="T467" s="380"/>
      <c r="U467" s="380"/>
      <c r="V467" s="380"/>
      <c r="W467" s="380"/>
      <c r="X467" s="380"/>
    </row>
    <row r="468" spans="1:24" ht="15.75" customHeight="1">
      <c r="A468" s="463"/>
      <c r="B468" s="380"/>
      <c r="C468" s="381"/>
      <c r="D468" s="381"/>
      <c r="E468" s="381"/>
      <c r="F468" s="381"/>
      <c r="G468" s="381"/>
      <c r="H468" s="381"/>
      <c r="I468" s="381"/>
      <c r="J468" s="381"/>
      <c r="K468" s="382"/>
      <c r="L468" s="413"/>
      <c r="M468" s="413"/>
      <c r="N468" s="383"/>
      <c r="O468" s="384"/>
      <c r="P468" s="384"/>
      <c r="Q468" s="383"/>
      <c r="R468" s="383"/>
      <c r="S468" s="385"/>
      <c r="T468" s="380"/>
      <c r="U468" s="380"/>
      <c r="V468" s="380"/>
      <c r="W468" s="380"/>
      <c r="X468" s="380"/>
    </row>
    <row r="469" spans="1:24" ht="15.75" customHeight="1">
      <c r="A469" s="463"/>
      <c r="B469" s="380"/>
      <c r="C469" s="381"/>
      <c r="D469" s="381"/>
      <c r="E469" s="381"/>
      <c r="F469" s="381"/>
      <c r="G469" s="381"/>
      <c r="H469" s="381"/>
      <c r="I469" s="381"/>
      <c r="J469" s="381"/>
      <c r="K469" s="382"/>
      <c r="L469" s="413"/>
      <c r="M469" s="413"/>
      <c r="N469" s="383"/>
      <c r="O469" s="384"/>
      <c r="P469" s="384"/>
      <c r="Q469" s="383"/>
      <c r="R469" s="383"/>
      <c r="S469" s="385"/>
      <c r="T469" s="380"/>
      <c r="U469" s="380"/>
      <c r="V469" s="380"/>
      <c r="W469" s="380"/>
      <c r="X469" s="380"/>
    </row>
    <row r="470" spans="1:24" ht="15.75" customHeight="1">
      <c r="A470" s="463"/>
      <c r="B470" s="380"/>
      <c r="C470" s="381"/>
      <c r="D470" s="381"/>
      <c r="E470" s="381"/>
      <c r="F470" s="381"/>
      <c r="G470" s="381"/>
      <c r="H470" s="381"/>
      <c r="I470" s="381"/>
      <c r="J470" s="381"/>
      <c r="K470" s="382"/>
      <c r="L470" s="413"/>
      <c r="M470" s="413"/>
      <c r="N470" s="383"/>
      <c r="O470" s="384"/>
      <c r="P470" s="384"/>
      <c r="Q470" s="383"/>
      <c r="R470" s="383"/>
      <c r="S470" s="385"/>
      <c r="T470" s="380"/>
      <c r="U470" s="380"/>
      <c r="V470" s="380"/>
      <c r="W470" s="380"/>
      <c r="X470" s="380"/>
    </row>
    <row r="471" spans="1:24" ht="15.75" customHeight="1">
      <c r="A471" s="463"/>
      <c r="B471" s="380"/>
      <c r="C471" s="381"/>
      <c r="D471" s="381"/>
      <c r="E471" s="381"/>
      <c r="F471" s="381"/>
      <c r="G471" s="381"/>
      <c r="H471" s="381"/>
      <c r="I471" s="381"/>
      <c r="J471" s="381"/>
      <c r="K471" s="382"/>
      <c r="L471" s="413"/>
      <c r="M471" s="413"/>
      <c r="N471" s="383"/>
      <c r="O471" s="384"/>
      <c r="P471" s="384"/>
      <c r="Q471" s="383"/>
      <c r="R471" s="383"/>
      <c r="S471" s="385"/>
      <c r="T471" s="380"/>
      <c r="U471" s="380"/>
      <c r="V471" s="380"/>
      <c r="W471" s="380"/>
      <c r="X471" s="380"/>
    </row>
    <row r="472" spans="1:24" ht="15.75" customHeight="1">
      <c r="A472" s="463"/>
      <c r="B472" s="380"/>
      <c r="C472" s="381"/>
      <c r="D472" s="381"/>
      <c r="E472" s="381"/>
      <c r="F472" s="381"/>
      <c r="G472" s="381"/>
      <c r="H472" s="381"/>
      <c r="I472" s="381"/>
      <c r="J472" s="381"/>
      <c r="K472" s="382"/>
      <c r="L472" s="413"/>
      <c r="M472" s="413"/>
      <c r="N472" s="383"/>
      <c r="O472" s="384"/>
      <c r="P472" s="384"/>
      <c r="Q472" s="383"/>
      <c r="R472" s="383"/>
      <c r="S472" s="385"/>
      <c r="T472" s="380"/>
      <c r="U472" s="380"/>
      <c r="V472" s="380"/>
      <c r="W472" s="380"/>
      <c r="X472" s="380"/>
    </row>
    <row r="473" spans="1:24" ht="15.75" customHeight="1">
      <c r="A473" s="463"/>
      <c r="B473" s="380"/>
      <c r="C473" s="381"/>
      <c r="D473" s="381"/>
      <c r="E473" s="381"/>
      <c r="F473" s="381"/>
      <c r="G473" s="381"/>
      <c r="H473" s="381"/>
      <c r="I473" s="381"/>
      <c r="J473" s="381"/>
      <c r="K473" s="382"/>
      <c r="L473" s="413"/>
      <c r="M473" s="413"/>
      <c r="N473" s="383"/>
      <c r="O473" s="384"/>
      <c r="P473" s="384"/>
      <c r="Q473" s="383"/>
      <c r="R473" s="383"/>
      <c r="S473" s="385"/>
      <c r="T473" s="380"/>
      <c r="U473" s="380"/>
      <c r="V473" s="380"/>
      <c r="W473" s="380"/>
      <c r="X473" s="380"/>
    </row>
    <row r="474" spans="1:24" ht="15.75" customHeight="1">
      <c r="A474" s="463"/>
      <c r="B474" s="380"/>
      <c r="C474" s="381"/>
      <c r="D474" s="381"/>
      <c r="E474" s="381"/>
      <c r="F474" s="381"/>
      <c r="G474" s="381"/>
      <c r="H474" s="381"/>
      <c r="I474" s="381"/>
      <c r="J474" s="381"/>
      <c r="K474" s="382"/>
      <c r="L474" s="413"/>
      <c r="M474" s="413"/>
      <c r="N474" s="383"/>
      <c r="O474" s="384"/>
      <c r="P474" s="384"/>
      <c r="Q474" s="383"/>
      <c r="R474" s="383"/>
      <c r="S474" s="385"/>
      <c r="T474" s="380"/>
      <c r="U474" s="380"/>
      <c r="V474" s="380"/>
      <c r="W474" s="380"/>
      <c r="X474" s="380"/>
    </row>
    <row r="475" spans="1:24" ht="15.75" customHeight="1">
      <c r="A475" s="463"/>
      <c r="B475" s="380"/>
      <c r="C475" s="381"/>
      <c r="D475" s="381"/>
      <c r="E475" s="381"/>
      <c r="F475" s="381"/>
      <c r="G475" s="381"/>
      <c r="H475" s="381"/>
      <c r="I475" s="381"/>
      <c r="J475" s="381"/>
      <c r="K475" s="382"/>
      <c r="L475" s="413"/>
      <c r="M475" s="413"/>
      <c r="N475" s="383"/>
      <c r="O475" s="384"/>
      <c r="P475" s="384"/>
      <c r="Q475" s="383"/>
      <c r="R475" s="383"/>
      <c r="S475" s="385"/>
      <c r="T475" s="380"/>
      <c r="U475" s="380"/>
      <c r="V475" s="380"/>
      <c r="W475" s="380"/>
      <c r="X475" s="380"/>
    </row>
    <row r="476" spans="1:24" ht="15.75" customHeight="1">
      <c r="A476" s="463"/>
      <c r="B476" s="380"/>
      <c r="C476" s="381"/>
      <c r="D476" s="381"/>
      <c r="E476" s="381"/>
      <c r="F476" s="381"/>
      <c r="G476" s="381"/>
      <c r="H476" s="381"/>
      <c r="I476" s="381"/>
      <c r="J476" s="381"/>
      <c r="K476" s="382"/>
      <c r="L476" s="413"/>
      <c r="M476" s="413"/>
      <c r="N476" s="383"/>
      <c r="O476" s="384"/>
      <c r="P476" s="384"/>
      <c r="Q476" s="383"/>
      <c r="R476" s="383"/>
      <c r="S476" s="385"/>
      <c r="T476" s="380"/>
      <c r="U476" s="380"/>
      <c r="V476" s="380"/>
      <c r="W476" s="380"/>
      <c r="X476" s="380"/>
    </row>
    <row r="477" spans="1:24" ht="15.75" customHeight="1">
      <c r="A477" s="463"/>
      <c r="B477" s="380"/>
      <c r="C477" s="381"/>
      <c r="D477" s="381"/>
      <c r="E477" s="381"/>
      <c r="F477" s="381"/>
      <c r="G477" s="381"/>
      <c r="H477" s="381"/>
      <c r="I477" s="381"/>
      <c r="J477" s="381"/>
      <c r="K477" s="382"/>
      <c r="L477" s="413"/>
      <c r="M477" s="413"/>
      <c r="N477" s="383"/>
      <c r="O477" s="384"/>
      <c r="P477" s="384"/>
      <c r="Q477" s="383"/>
      <c r="R477" s="383"/>
      <c r="S477" s="385"/>
      <c r="T477" s="380"/>
      <c r="U477" s="380"/>
      <c r="V477" s="380"/>
      <c r="W477" s="380"/>
      <c r="X477" s="380"/>
    </row>
    <row r="478" spans="1:24" ht="15.75" customHeight="1">
      <c r="A478" s="463"/>
      <c r="B478" s="380"/>
      <c r="C478" s="381"/>
      <c r="D478" s="381"/>
      <c r="E478" s="381"/>
      <c r="F478" s="381"/>
      <c r="G478" s="381"/>
      <c r="H478" s="381"/>
      <c r="I478" s="381"/>
      <c r="J478" s="381"/>
      <c r="K478" s="382"/>
      <c r="L478" s="413"/>
      <c r="M478" s="413"/>
      <c r="N478" s="383"/>
      <c r="O478" s="384"/>
      <c r="P478" s="384"/>
      <c r="Q478" s="383"/>
      <c r="R478" s="383"/>
      <c r="S478" s="385"/>
      <c r="T478" s="380"/>
      <c r="U478" s="380"/>
      <c r="V478" s="380"/>
      <c r="W478" s="380"/>
      <c r="X478" s="380"/>
    </row>
    <row r="479" spans="1:24" ht="15.75" customHeight="1">
      <c r="A479" s="463"/>
      <c r="B479" s="380"/>
      <c r="C479" s="381"/>
      <c r="D479" s="381"/>
      <c r="E479" s="381"/>
      <c r="F479" s="381"/>
      <c r="G479" s="381"/>
      <c r="H479" s="381"/>
      <c r="I479" s="381"/>
      <c r="J479" s="381"/>
      <c r="K479" s="382"/>
      <c r="L479" s="413"/>
      <c r="M479" s="413"/>
      <c r="N479" s="383"/>
      <c r="O479" s="384"/>
      <c r="P479" s="384"/>
      <c r="Q479" s="383"/>
      <c r="R479" s="383"/>
      <c r="S479" s="385"/>
      <c r="T479" s="380"/>
      <c r="U479" s="380"/>
      <c r="V479" s="380"/>
      <c r="W479" s="380"/>
      <c r="X479" s="380"/>
    </row>
    <row r="480" spans="1:24" ht="15.75" customHeight="1">
      <c r="A480" s="463"/>
      <c r="B480" s="380"/>
      <c r="C480" s="381"/>
      <c r="D480" s="381"/>
      <c r="E480" s="381"/>
      <c r="F480" s="381"/>
      <c r="G480" s="381"/>
      <c r="H480" s="381"/>
      <c r="I480" s="381"/>
      <c r="J480" s="381"/>
      <c r="K480" s="382"/>
      <c r="L480" s="413"/>
      <c r="M480" s="413"/>
      <c r="N480" s="383"/>
      <c r="O480" s="384"/>
      <c r="P480" s="384"/>
      <c r="Q480" s="383"/>
      <c r="R480" s="383"/>
      <c r="S480" s="385"/>
      <c r="T480" s="380"/>
      <c r="U480" s="380"/>
      <c r="V480" s="380"/>
      <c r="W480" s="380"/>
      <c r="X480" s="380"/>
    </row>
    <row r="481" spans="1:24" ht="15.75" customHeight="1">
      <c r="A481" s="463"/>
      <c r="B481" s="380"/>
      <c r="C481" s="381"/>
      <c r="D481" s="381"/>
      <c r="E481" s="381"/>
      <c r="F481" s="381"/>
      <c r="G481" s="381"/>
      <c r="H481" s="381"/>
      <c r="I481" s="381"/>
      <c r="J481" s="381"/>
      <c r="K481" s="382"/>
      <c r="L481" s="413"/>
      <c r="M481" s="413"/>
      <c r="N481" s="383"/>
      <c r="O481" s="384"/>
      <c r="P481" s="384"/>
      <c r="Q481" s="383"/>
      <c r="R481" s="383"/>
      <c r="S481" s="385"/>
      <c r="T481" s="380"/>
      <c r="U481" s="380"/>
      <c r="V481" s="380"/>
      <c r="W481" s="380"/>
      <c r="X481" s="380"/>
    </row>
    <row r="482" spans="1:24" ht="15.75" customHeight="1">
      <c r="A482" s="463"/>
      <c r="B482" s="380"/>
      <c r="C482" s="381"/>
      <c r="D482" s="381"/>
      <c r="E482" s="381"/>
      <c r="F482" s="381"/>
      <c r="G482" s="381"/>
      <c r="H482" s="381"/>
      <c r="I482" s="381"/>
      <c r="J482" s="381"/>
      <c r="K482" s="382"/>
      <c r="L482" s="413"/>
      <c r="M482" s="413"/>
      <c r="N482" s="383"/>
      <c r="O482" s="384"/>
      <c r="P482" s="384"/>
      <c r="Q482" s="383"/>
      <c r="R482" s="383"/>
      <c r="S482" s="385"/>
      <c r="T482" s="380"/>
      <c r="U482" s="380"/>
      <c r="V482" s="380"/>
      <c r="W482" s="380"/>
      <c r="X482" s="380"/>
    </row>
    <row r="483" spans="1:24" ht="15.75" customHeight="1">
      <c r="A483" s="463"/>
      <c r="B483" s="380"/>
      <c r="C483" s="381"/>
      <c r="D483" s="381"/>
      <c r="E483" s="381"/>
      <c r="F483" s="381"/>
      <c r="G483" s="381"/>
      <c r="H483" s="381"/>
      <c r="I483" s="381"/>
      <c r="J483" s="381"/>
      <c r="K483" s="382"/>
      <c r="L483" s="413"/>
      <c r="M483" s="413"/>
      <c r="N483" s="383"/>
      <c r="O483" s="384"/>
      <c r="P483" s="384"/>
      <c r="Q483" s="383"/>
      <c r="R483" s="383"/>
      <c r="S483" s="385"/>
      <c r="T483" s="380"/>
      <c r="U483" s="380"/>
      <c r="V483" s="380"/>
      <c r="W483" s="380"/>
      <c r="X483" s="380"/>
    </row>
    <row r="484" spans="1:24" ht="15.75" customHeight="1">
      <c r="A484" s="463"/>
      <c r="B484" s="380"/>
      <c r="C484" s="381"/>
      <c r="D484" s="381"/>
      <c r="E484" s="381"/>
      <c r="F484" s="381"/>
      <c r="G484" s="381"/>
      <c r="H484" s="381"/>
      <c r="I484" s="381"/>
      <c r="J484" s="381"/>
      <c r="K484" s="382"/>
      <c r="L484" s="413"/>
      <c r="M484" s="413"/>
      <c r="N484" s="383"/>
      <c r="O484" s="384"/>
      <c r="P484" s="384"/>
      <c r="Q484" s="383"/>
      <c r="R484" s="383"/>
      <c r="S484" s="385"/>
      <c r="T484" s="380"/>
      <c r="U484" s="380"/>
      <c r="V484" s="380"/>
      <c r="W484" s="380"/>
      <c r="X484" s="380"/>
    </row>
    <row r="485" spans="1:24" ht="15.75" customHeight="1">
      <c r="A485" s="463"/>
      <c r="B485" s="380"/>
      <c r="C485" s="381"/>
      <c r="D485" s="381"/>
      <c r="E485" s="381"/>
      <c r="F485" s="381"/>
      <c r="G485" s="381"/>
      <c r="H485" s="381"/>
      <c r="I485" s="381"/>
      <c r="J485" s="381"/>
      <c r="K485" s="382"/>
      <c r="L485" s="413"/>
      <c r="M485" s="413"/>
      <c r="N485" s="383"/>
      <c r="O485" s="384"/>
      <c r="P485" s="384"/>
      <c r="Q485" s="383"/>
      <c r="R485" s="383"/>
      <c r="S485" s="385"/>
      <c r="T485" s="380"/>
      <c r="U485" s="380"/>
      <c r="V485" s="380"/>
      <c r="W485" s="380"/>
      <c r="X485" s="380"/>
    </row>
    <row r="486" spans="1:24" ht="15.75" customHeight="1">
      <c r="A486" s="463"/>
      <c r="B486" s="380"/>
      <c r="C486" s="381"/>
      <c r="D486" s="381"/>
      <c r="E486" s="381"/>
      <c r="F486" s="381"/>
      <c r="G486" s="381"/>
      <c r="H486" s="381"/>
      <c r="I486" s="381"/>
      <c r="J486" s="381"/>
      <c r="K486" s="382"/>
      <c r="L486" s="413"/>
      <c r="M486" s="413"/>
      <c r="N486" s="383"/>
      <c r="O486" s="384"/>
      <c r="P486" s="384"/>
      <c r="Q486" s="383"/>
      <c r="R486" s="383"/>
      <c r="S486" s="385"/>
      <c r="T486" s="380"/>
      <c r="U486" s="380"/>
      <c r="V486" s="380"/>
      <c r="W486" s="380"/>
      <c r="X486" s="380"/>
    </row>
    <row r="487" spans="1:24" ht="15.75" customHeight="1">
      <c r="A487" s="463"/>
      <c r="B487" s="380"/>
      <c r="C487" s="381"/>
      <c r="D487" s="381"/>
      <c r="E487" s="381"/>
      <c r="F487" s="381"/>
      <c r="G487" s="381"/>
      <c r="H487" s="381"/>
      <c r="I487" s="381"/>
      <c r="J487" s="381"/>
      <c r="K487" s="382"/>
      <c r="L487" s="413"/>
      <c r="M487" s="413"/>
      <c r="N487" s="383"/>
      <c r="O487" s="384"/>
      <c r="P487" s="384"/>
      <c r="Q487" s="383"/>
      <c r="R487" s="383"/>
      <c r="S487" s="385"/>
      <c r="T487" s="380"/>
      <c r="U487" s="380"/>
      <c r="V487" s="380"/>
      <c r="W487" s="380"/>
      <c r="X487" s="380"/>
    </row>
    <row r="488" spans="1:24" ht="15.75" customHeight="1">
      <c r="A488" s="463"/>
      <c r="B488" s="380"/>
      <c r="C488" s="381"/>
      <c r="D488" s="381"/>
      <c r="E488" s="381"/>
      <c r="F488" s="381"/>
      <c r="G488" s="381"/>
      <c r="H488" s="381"/>
      <c r="I488" s="381"/>
      <c r="J488" s="381"/>
      <c r="K488" s="382"/>
      <c r="L488" s="413"/>
      <c r="M488" s="413"/>
      <c r="N488" s="383"/>
      <c r="O488" s="384"/>
      <c r="P488" s="384"/>
      <c r="Q488" s="383"/>
      <c r="R488" s="383"/>
      <c r="S488" s="385"/>
      <c r="T488" s="380"/>
      <c r="U488" s="380"/>
      <c r="V488" s="380"/>
      <c r="W488" s="380"/>
      <c r="X488" s="380"/>
    </row>
    <row r="489" spans="1:24" ht="15.75" customHeight="1">
      <c r="A489" s="463"/>
      <c r="B489" s="380"/>
      <c r="C489" s="381"/>
      <c r="D489" s="381"/>
      <c r="E489" s="381"/>
      <c r="F489" s="381"/>
      <c r="G489" s="381"/>
      <c r="H489" s="381"/>
      <c r="I489" s="381"/>
      <c r="J489" s="381"/>
      <c r="K489" s="382"/>
      <c r="L489" s="413"/>
      <c r="M489" s="413"/>
      <c r="N489" s="383"/>
      <c r="O489" s="384"/>
      <c r="P489" s="384"/>
      <c r="Q489" s="383"/>
      <c r="R489" s="383"/>
      <c r="S489" s="385"/>
      <c r="T489" s="380"/>
      <c r="U489" s="380"/>
      <c r="V489" s="380"/>
      <c r="W489" s="380"/>
      <c r="X489" s="380"/>
    </row>
    <row r="490" spans="1:24" ht="15.75" customHeight="1">
      <c r="A490" s="463"/>
      <c r="B490" s="380"/>
      <c r="C490" s="381"/>
      <c r="D490" s="381"/>
      <c r="E490" s="381"/>
      <c r="F490" s="381"/>
      <c r="G490" s="381"/>
      <c r="H490" s="381"/>
      <c r="I490" s="381"/>
      <c r="J490" s="381"/>
      <c r="K490" s="382"/>
      <c r="L490" s="413"/>
      <c r="M490" s="413"/>
      <c r="N490" s="383"/>
      <c r="O490" s="384"/>
      <c r="P490" s="384"/>
      <c r="Q490" s="383"/>
      <c r="R490" s="383"/>
      <c r="S490" s="385"/>
      <c r="T490" s="380"/>
      <c r="U490" s="380"/>
      <c r="V490" s="380"/>
      <c r="W490" s="380"/>
      <c r="X490" s="380"/>
    </row>
    <row r="491" spans="1:24" ht="15.75" customHeight="1">
      <c r="A491" s="463"/>
      <c r="B491" s="380"/>
      <c r="C491" s="381"/>
      <c r="D491" s="381"/>
      <c r="E491" s="381"/>
      <c r="F491" s="381"/>
      <c r="G491" s="381"/>
      <c r="H491" s="381"/>
      <c r="I491" s="381"/>
      <c r="J491" s="381"/>
      <c r="K491" s="382"/>
      <c r="L491" s="413"/>
      <c r="M491" s="413"/>
      <c r="N491" s="383"/>
      <c r="O491" s="384"/>
      <c r="P491" s="384"/>
      <c r="Q491" s="383"/>
      <c r="R491" s="383"/>
      <c r="S491" s="385"/>
      <c r="T491" s="380"/>
      <c r="U491" s="380"/>
      <c r="V491" s="380"/>
      <c r="W491" s="380"/>
      <c r="X491" s="380"/>
    </row>
    <row r="492" spans="1:24" ht="15.75" customHeight="1">
      <c r="A492" s="463"/>
      <c r="B492" s="380"/>
      <c r="C492" s="381"/>
      <c r="D492" s="381"/>
      <c r="E492" s="381"/>
      <c r="F492" s="381"/>
      <c r="G492" s="381"/>
      <c r="H492" s="381"/>
      <c r="I492" s="381"/>
      <c r="J492" s="381"/>
      <c r="K492" s="382"/>
      <c r="L492" s="413"/>
      <c r="M492" s="413"/>
      <c r="N492" s="383"/>
      <c r="O492" s="384"/>
      <c r="P492" s="384"/>
      <c r="Q492" s="383"/>
      <c r="R492" s="383"/>
      <c r="S492" s="385"/>
      <c r="T492" s="380"/>
      <c r="U492" s="380"/>
      <c r="V492" s="380"/>
      <c r="W492" s="380"/>
      <c r="X492" s="380"/>
    </row>
    <row r="493" spans="1:24" ht="15.75" customHeight="1">
      <c r="A493" s="463"/>
      <c r="B493" s="380"/>
      <c r="C493" s="381"/>
      <c r="D493" s="381"/>
      <c r="E493" s="381"/>
      <c r="F493" s="381"/>
      <c r="G493" s="381"/>
      <c r="H493" s="381"/>
      <c r="I493" s="381"/>
      <c r="J493" s="381"/>
      <c r="K493" s="382"/>
      <c r="L493" s="413"/>
      <c r="M493" s="413"/>
      <c r="N493" s="383"/>
      <c r="O493" s="384"/>
      <c r="P493" s="384"/>
      <c r="Q493" s="383"/>
      <c r="R493" s="383"/>
      <c r="S493" s="385"/>
      <c r="T493" s="380"/>
      <c r="U493" s="380"/>
      <c r="V493" s="380"/>
      <c r="W493" s="380"/>
      <c r="X493" s="380"/>
    </row>
    <row r="494" spans="1:24" ht="15.75" customHeight="1">
      <c r="A494" s="463"/>
      <c r="B494" s="380"/>
      <c r="C494" s="381"/>
      <c r="D494" s="381"/>
      <c r="E494" s="381"/>
      <c r="F494" s="381"/>
      <c r="G494" s="381"/>
      <c r="H494" s="381"/>
      <c r="I494" s="381"/>
      <c r="J494" s="381"/>
      <c r="K494" s="382"/>
      <c r="L494" s="413"/>
      <c r="M494" s="413"/>
      <c r="N494" s="383"/>
      <c r="O494" s="384"/>
      <c r="P494" s="384"/>
      <c r="Q494" s="383"/>
      <c r="R494" s="383"/>
      <c r="S494" s="385"/>
      <c r="T494" s="380"/>
      <c r="U494" s="380"/>
      <c r="V494" s="380"/>
      <c r="W494" s="380"/>
      <c r="X494" s="380"/>
    </row>
    <row r="495" spans="1:24" ht="15.75" customHeight="1">
      <c r="A495" s="463"/>
      <c r="B495" s="380"/>
      <c r="C495" s="381"/>
      <c r="D495" s="381"/>
      <c r="E495" s="381"/>
      <c r="F495" s="381"/>
      <c r="G495" s="381"/>
      <c r="H495" s="381"/>
      <c r="I495" s="381"/>
      <c r="J495" s="381"/>
      <c r="K495" s="382"/>
      <c r="L495" s="413"/>
      <c r="M495" s="413"/>
      <c r="N495" s="383"/>
      <c r="O495" s="384"/>
      <c r="P495" s="384"/>
      <c r="Q495" s="383"/>
      <c r="R495" s="383"/>
      <c r="S495" s="385"/>
      <c r="T495" s="380"/>
      <c r="U495" s="380"/>
      <c r="V495" s="380"/>
      <c r="W495" s="380"/>
      <c r="X495" s="380"/>
    </row>
    <row r="496" spans="1:24" ht="15.75" customHeight="1">
      <c r="A496" s="463"/>
      <c r="B496" s="380"/>
      <c r="C496" s="381"/>
      <c r="D496" s="381"/>
      <c r="E496" s="381"/>
      <c r="F496" s="381"/>
      <c r="G496" s="381"/>
      <c r="H496" s="381"/>
      <c r="I496" s="381"/>
      <c r="J496" s="381"/>
      <c r="K496" s="382"/>
      <c r="L496" s="413"/>
      <c r="M496" s="413"/>
      <c r="N496" s="383"/>
      <c r="O496" s="384"/>
      <c r="P496" s="384"/>
      <c r="Q496" s="383"/>
      <c r="R496" s="383"/>
      <c r="S496" s="385"/>
      <c r="T496" s="380"/>
      <c r="U496" s="380"/>
      <c r="V496" s="380"/>
      <c r="W496" s="380"/>
      <c r="X496" s="380"/>
    </row>
    <row r="497" spans="1:24" ht="15.75" customHeight="1">
      <c r="A497" s="463"/>
      <c r="B497" s="380"/>
      <c r="C497" s="381"/>
      <c r="D497" s="381"/>
      <c r="E497" s="381"/>
      <c r="F497" s="381"/>
      <c r="G497" s="381"/>
      <c r="H497" s="381"/>
      <c r="I497" s="381"/>
      <c r="J497" s="381"/>
      <c r="K497" s="382"/>
      <c r="L497" s="413"/>
      <c r="M497" s="413"/>
      <c r="N497" s="383"/>
      <c r="O497" s="384"/>
      <c r="P497" s="384"/>
      <c r="Q497" s="383"/>
      <c r="R497" s="383"/>
      <c r="S497" s="385"/>
      <c r="T497" s="380"/>
      <c r="U497" s="380"/>
      <c r="V497" s="380"/>
      <c r="W497" s="380"/>
      <c r="X497" s="380"/>
    </row>
    <row r="498" spans="1:24" ht="15.75" customHeight="1">
      <c r="A498" s="463"/>
      <c r="B498" s="380"/>
      <c r="C498" s="381"/>
      <c r="D498" s="381"/>
      <c r="E498" s="381"/>
      <c r="F498" s="381"/>
      <c r="G498" s="381"/>
      <c r="H498" s="381"/>
      <c r="I498" s="381"/>
      <c r="J498" s="381"/>
      <c r="K498" s="382"/>
      <c r="L498" s="413"/>
      <c r="M498" s="413"/>
      <c r="N498" s="383"/>
      <c r="O498" s="384"/>
      <c r="P498" s="384"/>
      <c r="Q498" s="383"/>
      <c r="R498" s="383"/>
      <c r="S498" s="385"/>
      <c r="T498" s="380"/>
      <c r="U498" s="380"/>
      <c r="V498" s="380"/>
      <c r="W498" s="380"/>
      <c r="X498" s="380"/>
    </row>
    <row r="499" spans="1:24" ht="15.75" customHeight="1">
      <c r="A499" s="463"/>
      <c r="B499" s="380"/>
      <c r="C499" s="381"/>
      <c r="D499" s="381"/>
      <c r="E499" s="381"/>
      <c r="F499" s="381"/>
      <c r="G499" s="381"/>
      <c r="H499" s="381"/>
      <c r="I499" s="381"/>
      <c r="J499" s="381"/>
      <c r="K499" s="382"/>
      <c r="L499" s="413"/>
      <c r="M499" s="413"/>
      <c r="N499" s="383"/>
      <c r="O499" s="384"/>
      <c r="P499" s="384"/>
      <c r="Q499" s="383"/>
      <c r="R499" s="383"/>
      <c r="S499" s="385"/>
      <c r="T499" s="380"/>
      <c r="U499" s="380"/>
      <c r="V499" s="380"/>
      <c r="W499" s="380"/>
      <c r="X499" s="380"/>
    </row>
    <row r="500" spans="1:24" ht="15.75" customHeight="1">
      <c r="A500" s="463"/>
      <c r="B500" s="380"/>
      <c r="C500" s="381"/>
      <c r="D500" s="381"/>
      <c r="E500" s="381"/>
      <c r="F500" s="381"/>
      <c r="G500" s="381"/>
      <c r="H500" s="381"/>
      <c r="I500" s="381"/>
      <c r="J500" s="381"/>
      <c r="K500" s="382"/>
      <c r="L500" s="413"/>
      <c r="M500" s="413"/>
      <c r="N500" s="383"/>
      <c r="O500" s="384"/>
      <c r="P500" s="384"/>
      <c r="Q500" s="383"/>
      <c r="R500" s="383"/>
      <c r="S500" s="385"/>
      <c r="T500" s="380"/>
      <c r="U500" s="380"/>
      <c r="V500" s="380"/>
      <c r="W500" s="380"/>
      <c r="X500" s="380"/>
    </row>
    <row r="501" spans="1:24" ht="15.75" customHeight="1">
      <c r="A501" s="463"/>
      <c r="B501" s="380"/>
      <c r="C501" s="381"/>
      <c r="D501" s="381"/>
      <c r="E501" s="381"/>
      <c r="F501" s="381"/>
      <c r="G501" s="381"/>
      <c r="H501" s="381"/>
      <c r="I501" s="381"/>
      <c r="J501" s="381"/>
      <c r="K501" s="382"/>
      <c r="L501" s="413"/>
      <c r="M501" s="413"/>
      <c r="N501" s="383"/>
      <c r="O501" s="384"/>
      <c r="P501" s="384"/>
      <c r="Q501" s="383"/>
      <c r="R501" s="383"/>
      <c r="S501" s="385"/>
      <c r="T501" s="380"/>
      <c r="U501" s="380"/>
      <c r="V501" s="380"/>
      <c r="W501" s="380"/>
      <c r="X501" s="380"/>
    </row>
    <row r="502" spans="1:24" ht="15.75" customHeight="1">
      <c r="A502" s="463"/>
      <c r="B502" s="380"/>
      <c r="C502" s="381"/>
      <c r="D502" s="381"/>
      <c r="E502" s="381"/>
      <c r="F502" s="381"/>
      <c r="G502" s="381"/>
      <c r="H502" s="381"/>
      <c r="I502" s="381"/>
      <c r="J502" s="381"/>
      <c r="K502" s="382"/>
      <c r="L502" s="413"/>
      <c r="M502" s="413"/>
      <c r="N502" s="383"/>
      <c r="O502" s="384"/>
      <c r="P502" s="384"/>
      <c r="Q502" s="383"/>
      <c r="R502" s="383"/>
      <c r="S502" s="385"/>
      <c r="T502" s="380"/>
      <c r="U502" s="380"/>
      <c r="V502" s="380"/>
      <c r="W502" s="380"/>
      <c r="X502" s="380"/>
    </row>
    <row r="503" spans="1:24" ht="15.75" customHeight="1">
      <c r="A503" s="463"/>
      <c r="B503" s="380"/>
      <c r="C503" s="381"/>
      <c r="D503" s="381"/>
      <c r="E503" s="381"/>
      <c r="F503" s="381"/>
      <c r="G503" s="381"/>
      <c r="H503" s="381"/>
      <c r="I503" s="381"/>
      <c r="J503" s="381"/>
      <c r="K503" s="382"/>
      <c r="L503" s="413"/>
      <c r="M503" s="413"/>
      <c r="N503" s="383"/>
      <c r="O503" s="384"/>
      <c r="P503" s="384"/>
      <c r="Q503" s="383"/>
      <c r="R503" s="383"/>
      <c r="S503" s="385"/>
      <c r="T503" s="380"/>
      <c r="U503" s="380"/>
      <c r="V503" s="380"/>
      <c r="W503" s="380"/>
      <c r="X503" s="380"/>
    </row>
    <row r="504" spans="1:24" ht="15.75" customHeight="1">
      <c r="A504" s="463"/>
      <c r="B504" s="380"/>
      <c r="C504" s="381"/>
      <c r="D504" s="381"/>
      <c r="E504" s="381"/>
      <c r="F504" s="381"/>
      <c r="G504" s="381"/>
      <c r="H504" s="381"/>
      <c r="I504" s="381"/>
      <c r="J504" s="381"/>
      <c r="K504" s="382"/>
      <c r="L504" s="413"/>
      <c r="M504" s="413"/>
      <c r="N504" s="383"/>
      <c r="O504" s="384"/>
      <c r="P504" s="384"/>
      <c r="Q504" s="383"/>
      <c r="R504" s="383"/>
      <c r="S504" s="385"/>
      <c r="T504" s="380"/>
      <c r="U504" s="380"/>
      <c r="V504" s="380"/>
      <c r="W504" s="380"/>
      <c r="X504" s="380"/>
    </row>
    <row r="505" spans="1:24" ht="15.75" customHeight="1">
      <c r="A505" s="463"/>
      <c r="B505" s="380"/>
      <c r="C505" s="381"/>
      <c r="D505" s="381"/>
      <c r="E505" s="381"/>
      <c r="F505" s="381"/>
      <c r="G505" s="381"/>
      <c r="H505" s="381"/>
      <c r="I505" s="381"/>
      <c r="J505" s="381"/>
      <c r="K505" s="382"/>
      <c r="L505" s="413"/>
      <c r="M505" s="413"/>
      <c r="N505" s="383"/>
      <c r="O505" s="384"/>
      <c r="P505" s="384"/>
      <c r="Q505" s="383"/>
      <c r="R505" s="383"/>
      <c r="S505" s="385"/>
      <c r="T505" s="380"/>
      <c r="U505" s="380"/>
      <c r="V505" s="380"/>
      <c r="W505" s="380"/>
      <c r="X505" s="380"/>
    </row>
    <row r="506" spans="1:24" ht="15.75" customHeight="1">
      <c r="A506" s="463"/>
      <c r="B506" s="380"/>
      <c r="C506" s="381"/>
      <c r="D506" s="381"/>
      <c r="E506" s="381"/>
      <c r="F506" s="381"/>
      <c r="G506" s="381"/>
      <c r="H506" s="381"/>
      <c r="I506" s="381"/>
      <c r="J506" s="381"/>
      <c r="K506" s="382"/>
      <c r="L506" s="413"/>
      <c r="M506" s="413"/>
      <c r="N506" s="383"/>
      <c r="O506" s="384"/>
      <c r="P506" s="384"/>
      <c r="Q506" s="383"/>
      <c r="R506" s="383"/>
      <c r="S506" s="385"/>
      <c r="T506" s="380"/>
      <c r="U506" s="380"/>
      <c r="V506" s="380"/>
      <c r="W506" s="380"/>
      <c r="X506" s="380"/>
    </row>
    <row r="507" spans="1:24" ht="15.75" customHeight="1">
      <c r="A507" s="463"/>
      <c r="B507" s="380"/>
      <c r="C507" s="381"/>
      <c r="D507" s="381"/>
      <c r="E507" s="381"/>
      <c r="F507" s="381"/>
      <c r="G507" s="381"/>
      <c r="H507" s="381"/>
      <c r="I507" s="381"/>
      <c r="J507" s="381"/>
      <c r="K507" s="382"/>
      <c r="L507" s="413"/>
      <c r="M507" s="413"/>
      <c r="N507" s="383"/>
      <c r="O507" s="384"/>
      <c r="P507" s="384"/>
      <c r="Q507" s="383"/>
      <c r="R507" s="383"/>
      <c r="S507" s="385"/>
      <c r="T507" s="380"/>
      <c r="U507" s="380"/>
      <c r="V507" s="380"/>
      <c r="W507" s="380"/>
      <c r="X507" s="380"/>
    </row>
    <row r="508" spans="1:24" ht="15.75" customHeight="1">
      <c r="A508" s="463"/>
      <c r="B508" s="380"/>
      <c r="C508" s="381"/>
      <c r="D508" s="381"/>
      <c r="E508" s="381"/>
      <c r="F508" s="381"/>
      <c r="G508" s="381"/>
      <c r="H508" s="381"/>
      <c r="I508" s="381"/>
      <c r="J508" s="381"/>
      <c r="K508" s="382"/>
      <c r="L508" s="413"/>
      <c r="M508" s="413"/>
      <c r="N508" s="383"/>
      <c r="O508" s="384"/>
      <c r="P508" s="384"/>
      <c r="Q508" s="383"/>
      <c r="R508" s="383"/>
      <c r="S508" s="385"/>
      <c r="T508" s="380"/>
      <c r="U508" s="380"/>
      <c r="V508" s="380"/>
      <c r="W508" s="380"/>
      <c r="X508" s="380"/>
    </row>
    <row r="509" spans="1:24" ht="15.75" customHeight="1">
      <c r="A509" s="463"/>
      <c r="B509" s="380"/>
      <c r="C509" s="381"/>
      <c r="D509" s="381"/>
      <c r="E509" s="381"/>
      <c r="F509" s="381"/>
      <c r="G509" s="381"/>
      <c r="H509" s="381"/>
      <c r="I509" s="381"/>
      <c r="J509" s="381"/>
      <c r="K509" s="382"/>
      <c r="L509" s="413"/>
      <c r="M509" s="413"/>
      <c r="N509" s="383"/>
      <c r="O509" s="384"/>
      <c r="P509" s="384"/>
      <c r="Q509" s="383"/>
      <c r="R509" s="383"/>
      <c r="S509" s="385"/>
      <c r="T509" s="380"/>
      <c r="U509" s="380"/>
      <c r="V509" s="380"/>
      <c r="W509" s="380"/>
      <c r="X509" s="380"/>
    </row>
    <row r="510" spans="1:24" ht="15.75" customHeight="1">
      <c r="A510" s="463"/>
      <c r="B510" s="380"/>
      <c r="C510" s="381"/>
      <c r="D510" s="381"/>
      <c r="E510" s="381"/>
      <c r="F510" s="381"/>
      <c r="G510" s="381"/>
      <c r="H510" s="381"/>
      <c r="I510" s="381"/>
      <c r="J510" s="381"/>
      <c r="K510" s="382"/>
      <c r="L510" s="413"/>
      <c r="M510" s="413"/>
      <c r="N510" s="383"/>
      <c r="O510" s="384"/>
      <c r="P510" s="384"/>
      <c r="Q510" s="383"/>
      <c r="R510" s="383"/>
      <c r="S510" s="385"/>
      <c r="T510" s="380"/>
      <c r="U510" s="380"/>
      <c r="V510" s="380"/>
      <c r="W510" s="380"/>
      <c r="X510" s="380"/>
    </row>
    <row r="511" spans="1:24" ht="15.75" customHeight="1">
      <c r="A511" s="463"/>
      <c r="B511" s="380"/>
      <c r="C511" s="381"/>
      <c r="D511" s="381"/>
      <c r="E511" s="381"/>
      <c r="F511" s="381"/>
      <c r="G511" s="381"/>
      <c r="H511" s="381"/>
      <c r="I511" s="381"/>
      <c r="J511" s="381"/>
      <c r="K511" s="382"/>
      <c r="L511" s="413"/>
      <c r="M511" s="413"/>
      <c r="N511" s="383"/>
      <c r="O511" s="384"/>
      <c r="P511" s="384"/>
      <c r="Q511" s="383"/>
      <c r="R511" s="383"/>
      <c r="S511" s="385"/>
      <c r="T511" s="380"/>
      <c r="U511" s="380"/>
      <c r="V511" s="380"/>
      <c r="W511" s="380"/>
      <c r="X511" s="380"/>
    </row>
    <row r="512" spans="1:24" ht="15.75" customHeight="1">
      <c r="A512" s="463"/>
      <c r="B512" s="380"/>
      <c r="C512" s="381"/>
      <c r="D512" s="381"/>
      <c r="E512" s="381"/>
      <c r="F512" s="381"/>
      <c r="G512" s="381"/>
      <c r="H512" s="381"/>
      <c r="I512" s="381"/>
      <c r="J512" s="381"/>
      <c r="K512" s="382"/>
      <c r="L512" s="413"/>
      <c r="M512" s="413"/>
      <c r="N512" s="383"/>
      <c r="O512" s="384"/>
      <c r="P512" s="384"/>
      <c r="Q512" s="383"/>
      <c r="R512" s="383"/>
      <c r="S512" s="385"/>
      <c r="T512" s="380"/>
      <c r="U512" s="380"/>
      <c r="V512" s="380"/>
      <c r="W512" s="380"/>
      <c r="X512" s="380"/>
    </row>
    <row r="513" spans="1:24" ht="15.75" customHeight="1">
      <c r="A513" s="463"/>
      <c r="B513" s="380"/>
      <c r="C513" s="381"/>
      <c r="D513" s="381"/>
      <c r="E513" s="381"/>
      <c r="F513" s="381"/>
      <c r="G513" s="381"/>
      <c r="H513" s="381"/>
      <c r="I513" s="381"/>
      <c r="J513" s="381"/>
      <c r="K513" s="382"/>
      <c r="L513" s="413"/>
      <c r="M513" s="413"/>
      <c r="N513" s="383"/>
      <c r="O513" s="384"/>
      <c r="P513" s="384"/>
      <c r="Q513" s="383"/>
      <c r="R513" s="383"/>
      <c r="S513" s="385"/>
      <c r="T513" s="380"/>
      <c r="U513" s="380"/>
      <c r="V513" s="380"/>
      <c r="W513" s="380"/>
      <c r="X513" s="380"/>
    </row>
    <row r="514" spans="1:24" ht="15.75" customHeight="1">
      <c r="A514" s="463"/>
      <c r="B514" s="380"/>
      <c r="C514" s="381"/>
      <c r="D514" s="381"/>
      <c r="E514" s="381"/>
      <c r="F514" s="381"/>
      <c r="G514" s="381"/>
      <c r="H514" s="381"/>
      <c r="I514" s="381"/>
      <c r="J514" s="381"/>
      <c r="K514" s="382"/>
      <c r="L514" s="413"/>
      <c r="M514" s="413"/>
      <c r="N514" s="383"/>
      <c r="O514" s="384"/>
      <c r="P514" s="384"/>
      <c r="Q514" s="383"/>
      <c r="R514" s="383"/>
      <c r="S514" s="385"/>
      <c r="T514" s="380"/>
      <c r="U514" s="380"/>
      <c r="V514" s="380"/>
      <c r="W514" s="380"/>
      <c r="X514" s="380"/>
    </row>
    <row r="515" spans="1:24" ht="15.75" customHeight="1">
      <c r="A515" s="463"/>
      <c r="B515" s="380"/>
      <c r="C515" s="381"/>
      <c r="D515" s="381"/>
      <c r="E515" s="381"/>
      <c r="F515" s="381"/>
      <c r="G515" s="381"/>
      <c r="H515" s="381"/>
      <c r="I515" s="381"/>
      <c r="J515" s="381"/>
      <c r="K515" s="382"/>
      <c r="L515" s="413"/>
      <c r="M515" s="413"/>
      <c r="N515" s="383"/>
      <c r="O515" s="384"/>
      <c r="P515" s="384"/>
      <c r="Q515" s="383"/>
      <c r="R515" s="383"/>
      <c r="S515" s="385"/>
      <c r="T515" s="380"/>
      <c r="U515" s="380"/>
      <c r="V515" s="380"/>
      <c r="W515" s="380"/>
      <c r="X515" s="380"/>
    </row>
    <row r="516" spans="1:24" ht="15.75" customHeight="1">
      <c r="A516" s="463"/>
      <c r="B516" s="380"/>
      <c r="C516" s="381"/>
      <c r="D516" s="381"/>
      <c r="E516" s="381"/>
      <c r="F516" s="381"/>
      <c r="G516" s="381"/>
      <c r="H516" s="381"/>
      <c r="I516" s="381"/>
      <c r="J516" s="381"/>
      <c r="K516" s="382"/>
      <c r="L516" s="413"/>
      <c r="M516" s="413"/>
      <c r="N516" s="383"/>
      <c r="O516" s="384"/>
      <c r="P516" s="384"/>
      <c r="Q516" s="383"/>
      <c r="R516" s="383"/>
      <c r="S516" s="385"/>
      <c r="T516" s="380"/>
      <c r="U516" s="380"/>
      <c r="V516" s="380"/>
      <c r="W516" s="380"/>
      <c r="X516" s="380"/>
    </row>
    <row r="517" spans="1:24" ht="15.75" customHeight="1">
      <c r="A517" s="463"/>
      <c r="B517" s="380"/>
      <c r="C517" s="381"/>
      <c r="D517" s="381"/>
      <c r="E517" s="381"/>
      <c r="F517" s="381"/>
      <c r="G517" s="381"/>
      <c r="H517" s="381"/>
      <c r="I517" s="381"/>
      <c r="J517" s="381"/>
      <c r="K517" s="382"/>
      <c r="L517" s="413"/>
      <c r="M517" s="413"/>
      <c r="N517" s="383"/>
      <c r="O517" s="384"/>
      <c r="P517" s="384"/>
      <c r="Q517" s="383"/>
      <c r="R517" s="383"/>
      <c r="S517" s="385"/>
      <c r="T517" s="380"/>
      <c r="U517" s="380"/>
      <c r="V517" s="380"/>
      <c r="W517" s="380"/>
      <c r="X517" s="380"/>
    </row>
    <row r="518" spans="1:24" ht="15.75" customHeight="1">
      <c r="A518" s="463"/>
      <c r="B518" s="380"/>
      <c r="C518" s="381"/>
      <c r="D518" s="381"/>
      <c r="E518" s="381"/>
      <c r="F518" s="381"/>
      <c r="G518" s="381"/>
      <c r="H518" s="381"/>
      <c r="I518" s="381"/>
      <c r="J518" s="381"/>
      <c r="K518" s="382"/>
      <c r="L518" s="413"/>
      <c r="M518" s="413"/>
      <c r="N518" s="383"/>
      <c r="O518" s="384"/>
      <c r="P518" s="384"/>
      <c r="Q518" s="383"/>
      <c r="R518" s="383"/>
      <c r="S518" s="385"/>
      <c r="T518" s="380"/>
      <c r="U518" s="380"/>
      <c r="V518" s="380"/>
      <c r="W518" s="380"/>
      <c r="X518" s="380"/>
    </row>
    <row r="519" spans="1:24" ht="15.75" customHeight="1">
      <c r="A519" s="463"/>
      <c r="B519" s="380"/>
      <c r="C519" s="381"/>
      <c r="D519" s="381"/>
      <c r="E519" s="381"/>
      <c r="F519" s="381"/>
      <c r="G519" s="381"/>
      <c r="H519" s="381"/>
      <c r="I519" s="381"/>
      <c r="J519" s="381"/>
      <c r="K519" s="382"/>
      <c r="L519" s="413"/>
      <c r="M519" s="413"/>
      <c r="N519" s="383"/>
      <c r="O519" s="384"/>
      <c r="P519" s="384"/>
      <c r="Q519" s="383"/>
      <c r="R519" s="383"/>
      <c r="S519" s="385"/>
      <c r="T519" s="380"/>
      <c r="U519" s="380"/>
      <c r="V519" s="380"/>
      <c r="W519" s="380"/>
      <c r="X519" s="380"/>
    </row>
    <row r="520" spans="1:24" ht="15.75" customHeight="1">
      <c r="A520" s="463"/>
      <c r="B520" s="380"/>
      <c r="C520" s="381"/>
      <c r="D520" s="381"/>
      <c r="E520" s="381"/>
      <c r="F520" s="381"/>
      <c r="G520" s="381"/>
      <c r="H520" s="381"/>
      <c r="I520" s="381"/>
      <c r="J520" s="381"/>
      <c r="K520" s="382"/>
      <c r="L520" s="413"/>
      <c r="M520" s="413"/>
      <c r="N520" s="383"/>
      <c r="O520" s="384"/>
      <c r="P520" s="384"/>
      <c r="Q520" s="383"/>
      <c r="R520" s="383"/>
      <c r="S520" s="385"/>
      <c r="T520" s="380"/>
      <c r="U520" s="380"/>
      <c r="V520" s="380"/>
      <c r="W520" s="380"/>
      <c r="X520" s="380"/>
    </row>
    <row r="521" spans="1:24" ht="15.75" customHeight="1">
      <c r="A521" s="463"/>
      <c r="B521" s="380"/>
      <c r="C521" s="381"/>
      <c r="D521" s="381"/>
      <c r="E521" s="381"/>
      <c r="F521" s="381"/>
      <c r="G521" s="381"/>
      <c r="H521" s="381"/>
      <c r="I521" s="381"/>
      <c r="J521" s="381"/>
      <c r="K521" s="382"/>
      <c r="L521" s="413"/>
      <c r="M521" s="413"/>
      <c r="N521" s="383"/>
      <c r="O521" s="384"/>
      <c r="P521" s="384"/>
      <c r="Q521" s="383"/>
      <c r="R521" s="383"/>
      <c r="S521" s="385"/>
      <c r="T521" s="380"/>
      <c r="U521" s="380"/>
      <c r="V521" s="380"/>
      <c r="W521" s="380"/>
      <c r="X521" s="380"/>
    </row>
    <row r="522" spans="1:24" ht="15.75" customHeight="1">
      <c r="A522" s="463"/>
      <c r="B522" s="380"/>
      <c r="C522" s="381"/>
      <c r="D522" s="381"/>
      <c r="E522" s="381"/>
      <c r="F522" s="381"/>
      <c r="G522" s="381"/>
      <c r="H522" s="381"/>
      <c r="I522" s="381"/>
      <c r="J522" s="381"/>
      <c r="K522" s="382"/>
      <c r="L522" s="413"/>
      <c r="M522" s="413"/>
      <c r="N522" s="383"/>
      <c r="O522" s="384"/>
      <c r="P522" s="384"/>
      <c r="Q522" s="383"/>
      <c r="R522" s="383"/>
      <c r="S522" s="385"/>
      <c r="T522" s="380"/>
      <c r="U522" s="380"/>
      <c r="V522" s="380"/>
      <c r="W522" s="380"/>
      <c r="X522" s="380"/>
    </row>
    <row r="523" spans="1:24" ht="15.75" customHeight="1">
      <c r="A523" s="463"/>
      <c r="B523" s="380"/>
      <c r="C523" s="381"/>
      <c r="D523" s="381"/>
      <c r="E523" s="381"/>
      <c r="F523" s="381"/>
      <c r="G523" s="381"/>
      <c r="H523" s="381"/>
      <c r="I523" s="381"/>
      <c r="J523" s="381"/>
      <c r="K523" s="382"/>
      <c r="L523" s="413"/>
      <c r="M523" s="413"/>
      <c r="N523" s="383"/>
      <c r="O523" s="384"/>
      <c r="P523" s="384"/>
      <c r="Q523" s="383"/>
      <c r="R523" s="383"/>
      <c r="S523" s="385"/>
      <c r="T523" s="380"/>
      <c r="U523" s="380"/>
      <c r="V523" s="380"/>
      <c r="W523" s="380"/>
      <c r="X523" s="380"/>
    </row>
    <row r="524" spans="1:24" ht="15.75" customHeight="1">
      <c r="A524" s="463"/>
      <c r="B524" s="380"/>
      <c r="C524" s="381"/>
      <c r="D524" s="381"/>
      <c r="E524" s="381"/>
      <c r="F524" s="381"/>
      <c r="G524" s="381"/>
      <c r="H524" s="381"/>
      <c r="I524" s="381"/>
      <c r="J524" s="381"/>
      <c r="K524" s="382"/>
      <c r="L524" s="413"/>
      <c r="M524" s="413"/>
      <c r="N524" s="383"/>
      <c r="O524" s="384"/>
      <c r="P524" s="384"/>
      <c r="Q524" s="383"/>
      <c r="R524" s="383"/>
      <c r="S524" s="385"/>
      <c r="T524" s="380"/>
      <c r="U524" s="380"/>
      <c r="V524" s="380"/>
      <c r="W524" s="380"/>
      <c r="X524" s="380"/>
    </row>
    <row r="525" spans="1:24" ht="15.75" customHeight="1">
      <c r="A525" s="463"/>
      <c r="B525" s="380"/>
      <c r="C525" s="381"/>
      <c r="D525" s="381"/>
      <c r="E525" s="381"/>
      <c r="F525" s="381"/>
      <c r="G525" s="381"/>
      <c r="H525" s="381"/>
      <c r="I525" s="381"/>
      <c r="J525" s="381"/>
      <c r="K525" s="382"/>
      <c r="L525" s="413"/>
      <c r="M525" s="413"/>
      <c r="N525" s="383"/>
      <c r="O525" s="384"/>
      <c r="P525" s="384"/>
      <c r="Q525" s="383"/>
      <c r="R525" s="383"/>
      <c r="S525" s="385"/>
      <c r="T525" s="380"/>
      <c r="U525" s="380"/>
      <c r="V525" s="380"/>
      <c r="W525" s="380"/>
      <c r="X525" s="380"/>
    </row>
    <row r="526" spans="1:24" ht="15.75" customHeight="1">
      <c r="A526" s="463"/>
      <c r="B526" s="380"/>
      <c r="C526" s="381"/>
      <c r="D526" s="381"/>
      <c r="E526" s="381"/>
      <c r="F526" s="381"/>
      <c r="G526" s="381"/>
      <c r="H526" s="381"/>
      <c r="I526" s="381"/>
      <c r="J526" s="381"/>
      <c r="K526" s="382"/>
      <c r="L526" s="413"/>
      <c r="M526" s="413"/>
      <c r="N526" s="383"/>
      <c r="O526" s="384"/>
      <c r="P526" s="384"/>
      <c r="Q526" s="383"/>
      <c r="R526" s="383"/>
      <c r="S526" s="385"/>
      <c r="T526" s="380"/>
      <c r="U526" s="380"/>
      <c r="V526" s="380"/>
      <c r="W526" s="380"/>
      <c r="X526" s="380"/>
    </row>
    <row r="527" spans="1:24" ht="15.75" customHeight="1">
      <c r="A527" s="463"/>
      <c r="B527" s="380"/>
      <c r="C527" s="381"/>
      <c r="D527" s="381"/>
      <c r="E527" s="381"/>
      <c r="F527" s="381"/>
      <c r="G527" s="381"/>
      <c r="H527" s="381"/>
      <c r="I527" s="381"/>
      <c r="J527" s="381"/>
      <c r="K527" s="382"/>
      <c r="L527" s="413"/>
      <c r="M527" s="413"/>
      <c r="N527" s="383"/>
      <c r="O527" s="384"/>
      <c r="P527" s="384"/>
      <c r="Q527" s="383"/>
      <c r="R527" s="383"/>
      <c r="S527" s="385"/>
      <c r="T527" s="380"/>
      <c r="U527" s="380"/>
      <c r="V527" s="380"/>
      <c r="W527" s="380"/>
      <c r="X527" s="380"/>
    </row>
    <row r="528" spans="1:24" ht="15.75" customHeight="1">
      <c r="A528" s="463"/>
      <c r="B528" s="380"/>
      <c r="C528" s="381"/>
      <c r="D528" s="381"/>
      <c r="E528" s="381"/>
      <c r="F528" s="381"/>
      <c r="G528" s="381"/>
      <c r="H528" s="381"/>
      <c r="I528" s="381"/>
      <c r="J528" s="381"/>
      <c r="K528" s="382"/>
      <c r="L528" s="413"/>
      <c r="M528" s="413"/>
      <c r="N528" s="383"/>
      <c r="O528" s="384"/>
      <c r="P528" s="384"/>
      <c r="Q528" s="383"/>
      <c r="R528" s="383"/>
      <c r="S528" s="385"/>
      <c r="T528" s="380"/>
      <c r="U528" s="380"/>
      <c r="V528" s="380"/>
      <c r="W528" s="380"/>
      <c r="X528" s="380"/>
    </row>
    <row r="529" spans="1:24" ht="15.75" customHeight="1">
      <c r="A529" s="463"/>
      <c r="B529" s="380"/>
      <c r="C529" s="381"/>
      <c r="D529" s="381"/>
      <c r="E529" s="381"/>
      <c r="F529" s="381"/>
      <c r="G529" s="381"/>
      <c r="H529" s="381"/>
      <c r="I529" s="381"/>
      <c r="J529" s="381"/>
      <c r="K529" s="382"/>
      <c r="L529" s="413"/>
      <c r="M529" s="413"/>
      <c r="N529" s="383"/>
      <c r="O529" s="384"/>
      <c r="P529" s="384"/>
      <c r="Q529" s="383"/>
      <c r="R529" s="383"/>
      <c r="S529" s="385"/>
      <c r="T529" s="380"/>
      <c r="U529" s="380"/>
      <c r="V529" s="380"/>
      <c r="W529" s="380"/>
      <c r="X529" s="380"/>
    </row>
    <row r="530" spans="1:24" ht="15.75" customHeight="1">
      <c r="A530" s="463"/>
      <c r="B530" s="380"/>
      <c r="C530" s="381"/>
      <c r="D530" s="381"/>
      <c r="E530" s="381"/>
      <c r="F530" s="381"/>
      <c r="G530" s="381"/>
      <c r="H530" s="381"/>
      <c r="I530" s="381"/>
      <c r="J530" s="381"/>
      <c r="K530" s="382"/>
      <c r="L530" s="413"/>
      <c r="M530" s="413"/>
      <c r="N530" s="383"/>
      <c r="O530" s="384"/>
      <c r="P530" s="384"/>
      <c r="Q530" s="383"/>
      <c r="R530" s="383"/>
      <c r="S530" s="385"/>
      <c r="T530" s="380"/>
      <c r="U530" s="380"/>
      <c r="V530" s="380"/>
      <c r="W530" s="380"/>
      <c r="X530" s="380"/>
    </row>
    <row r="531" spans="1:24" ht="15.75" customHeight="1">
      <c r="A531" s="463"/>
      <c r="B531" s="380"/>
      <c r="C531" s="381"/>
      <c r="D531" s="381"/>
      <c r="E531" s="381"/>
      <c r="F531" s="381"/>
      <c r="G531" s="381"/>
      <c r="H531" s="381"/>
      <c r="I531" s="381"/>
      <c r="J531" s="381"/>
      <c r="K531" s="382"/>
      <c r="L531" s="413"/>
      <c r="M531" s="413"/>
      <c r="N531" s="383"/>
      <c r="O531" s="384"/>
      <c r="P531" s="384"/>
      <c r="Q531" s="383"/>
      <c r="R531" s="383"/>
      <c r="S531" s="385"/>
      <c r="T531" s="380"/>
      <c r="U531" s="380"/>
      <c r="V531" s="380"/>
      <c r="W531" s="380"/>
      <c r="X531" s="380"/>
    </row>
    <row r="532" spans="1:24" ht="15.75" customHeight="1">
      <c r="A532" s="463"/>
      <c r="B532" s="380"/>
      <c r="C532" s="381"/>
      <c r="D532" s="381"/>
      <c r="E532" s="381"/>
      <c r="F532" s="381"/>
      <c r="G532" s="381"/>
      <c r="H532" s="381"/>
      <c r="I532" s="381"/>
      <c r="J532" s="381"/>
      <c r="K532" s="382"/>
      <c r="L532" s="413"/>
      <c r="M532" s="413"/>
      <c r="N532" s="383"/>
      <c r="O532" s="384"/>
      <c r="P532" s="384"/>
      <c r="Q532" s="383"/>
      <c r="R532" s="383"/>
      <c r="S532" s="385"/>
      <c r="T532" s="380"/>
      <c r="U532" s="380"/>
      <c r="V532" s="380"/>
      <c r="W532" s="380"/>
      <c r="X532" s="380"/>
    </row>
    <row r="533" spans="1:24" ht="15.75" customHeight="1">
      <c r="A533" s="463"/>
      <c r="B533" s="380"/>
      <c r="C533" s="381"/>
      <c r="D533" s="381"/>
      <c r="E533" s="381"/>
      <c r="F533" s="381"/>
      <c r="G533" s="381"/>
      <c r="H533" s="381"/>
      <c r="I533" s="381"/>
      <c r="J533" s="381"/>
      <c r="K533" s="382"/>
      <c r="L533" s="413"/>
      <c r="M533" s="413"/>
      <c r="N533" s="383"/>
      <c r="O533" s="384"/>
      <c r="P533" s="384"/>
      <c r="Q533" s="383"/>
      <c r="R533" s="383"/>
      <c r="S533" s="385"/>
      <c r="T533" s="380"/>
      <c r="U533" s="380"/>
      <c r="V533" s="380"/>
      <c r="W533" s="380"/>
      <c r="X533" s="380"/>
    </row>
    <row r="534" spans="1:24" ht="15.75" customHeight="1">
      <c r="A534" s="463"/>
      <c r="B534" s="380"/>
      <c r="C534" s="381"/>
      <c r="D534" s="381"/>
      <c r="E534" s="381"/>
      <c r="F534" s="381"/>
      <c r="G534" s="381"/>
      <c r="H534" s="381"/>
      <c r="I534" s="381"/>
      <c r="J534" s="381"/>
      <c r="K534" s="382"/>
      <c r="L534" s="413"/>
      <c r="M534" s="413"/>
      <c r="N534" s="383"/>
      <c r="O534" s="384"/>
      <c r="P534" s="384"/>
      <c r="Q534" s="383"/>
      <c r="R534" s="383"/>
      <c r="S534" s="385"/>
      <c r="T534" s="380"/>
      <c r="U534" s="380"/>
      <c r="V534" s="380"/>
      <c r="W534" s="380"/>
      <c r="X534" s="380"/>
    </row>
    <row r="535" spans="1:24" ht="15.75" customHeight="1">
      <c r="A535" s="463"/>
      <c r="B535" s="380"/>
      <c r="C535" s="381"/>
      <c r="D535" s="381"/>
      <c r="E535" s="381"/>
      <c r="F535" s="381"/>
      <c r="G535" s="381"/>
      <c r="H535" s="381"/>
      <c r="I535" s="381"/>
      <c r="J535" s="381"/>
      <c r="K535" s="382"/>
      <c r="L535" s="413"/>
      <c r="M535" s="413"/>
      <c r="N535" s="383"/>
      <c r="O535" s="384"/>
      <c r="P535" s="384"/>
      <c r="Q535" s="383"/>
      <c r="R535" s="383"/>
      <c r="S535" s="385"/>
      <c r="T535" s="380"/>
      <c r="U535" s="380"/>
      <c r="V535" s="380"/>
      <c r="W535" s="380"/>
      <c r="X535" s="380"/>
    </row>
    <row r="536" spans="1:24" ht="15.75" customHeight="1">
      <c r="A536" s="463"/>
      <c r="B536" s="380"/>
      <c r="C536" s="381"/>
      <c r="D536" s="381"/>
      <c r="E536" s="381"/>
      <c r="F536" s="381"/>
      <c r="G536" s="381"/>
      <c r="H536" s="381"/>
      <c r="I536" s="381"/>
      <c r="J536" s="381"/>
      <c r="K536" s="382"/>
      <c r="L536" s="413"/>
      <c r="M536" s="413"/>
      <c r="N536" s="383"/>
      <c r="O536" s="384"/>
      <c r="P536" s="384"/>
      <c r="Q536" s="383"/>
      <c r="R536" s="383"/>
      <c r="S536" s="385"/>
      <c r="T536" s="380"/>
      <c r="U536" s="380"/>
      <c r="V536" s="380"/>
      <c r="W536" s="380"/>
      <c r="X536" s="380"/>
    </row>
    <row r="537" spans="1:24" ht="15.75" customHeight="1">
      <c r="A537" s="463"/>
      <c r="B537" s="380"/>
      <c r="C537" s="381"/>
      <c r="D537" s="381"/>
      <c r="E537" s="381"/>
      <c r="F537" s="381"/>
      <c r="G537" s="381"/>
      <c r="H537" s="381"/>
      <c r="I537" s="381"/>
      <c r="J537" s="381"/>
      <c r="K537" s="382"/>
      <c r="L537" s="413"/>
      <c r="M537" s="413"/>
      <c r="N537" s="383"/>
      <c r="O537" s="384"/>
      <c r="P537" s="384"/>
      <c r="Q537" s="383"/>
      <c r="R537" s="383"/>
      <c r="S537" s="385"/>
      <c r="T537" s="380"/>
      <c r="U537" s="380"/>
      <c r="V537" s="380"/>
      <c r="W537" s="380"/>
      <c r="X537" s="380"/>
    </row>
    <row r="538" spans="1:24" ht="15.75" customHeight="1">
      <c r="A538" s="463"/>
      <c r="B538" s="380"/>
      <c r="C538" s="381"/>
      <c r="D538" s="381"/>
      <c r="E538" s="381"/>
      <c r="F538" s="381"/>
      <c r="G538" s="381"/>
      <c r="H538" s="381"/>
      <c r="I538" s="381"/>
      <c r="J538" s="381"/>
      <c r="K538" s="382"/>
      <c r="L538" s="413"/>
      <c r="M538" s="413"/>
      <c r="N538" s="383"/>
      <c r="O538" s="384"/>
      <c r="P538" s="384"/>
      <c r="Q538" s="383"/>
      <c r="R538" s="383"/>
      <c r="S538" s="385"/>
      <c r="T538" s="380"/>
      <c r="U538" s="380"/>
      <c r="V538" s="380"/>
      <c r="W538" s="380"/>
      <c r="X538" s="380"/>
    </row>
    <row r="539" spans="1:24" ht="15.75" customHeight="1">
      <c r="A539" s="463"/>
      <c r="B539" s="380"/>
      <c r="C539" s="381"/>
      <c r="D539" s="381"/>
      <c r="E539" s="381"/>
      <c r="F539" s="381"/>
      <c r="G539" s="381"/>
      <c r="H539" s="381"/>
      <c r="I539" s="381"/>
      <c r="J539" s="381"/>
      <c r="K539" s="382"/>
      <c r="L539" s="413"/>
      <c r="M539" s="413"/>
      <c r="N539" s="383"/>
      <c r="O539" s="384"/>
      <c r="P539" s="384"/>
      <c r="Q539" s="383"/>
      <c r="R539" s="383"/>
      <c r="S539" s="385"/>
      <c r="T539" s="380"/>
      <c r="U539" s="380"/>
      <c r="V539" s="380"/>
      <c r="W539" s="380"/>
      <c r="X539" s="380"/>
    </row>
    <row r="540" spans="1:24" ht="15.75" customHeight="1">
      <c r="A540" s="463"/>
      <c r="B540" s="380"/>
      <c r="C540" s="381"/>
      <c r="D540" s="381"/>
      <c r="E540" s="381"/>
      <c r="F540" s="381"/>
      <c r="G540" s="381"/>
      <c r="H540" s="381"/>
      <c r="I540" s="381"/>
      <c r="J540" s="381"/>
      <c r="K540" s="382"/>
      <c r="L540" s="413"/>
      <c r="M540" s="413"/>
      <c r="N540" s="383"/>
      <c r="O540" s="384"/>
      <c r="P540" s="384"/>
      <c r="Q540" s="383"/>
      <c r="R540" s="383"/>
      <c r="S540" s="385"/>
      <c r="T540" s="380"/>
      <c r="U540" s="380"/>
      <c r="V540" s="380"/>
      <c r="W540" s="380"/>
      <c r="X540" s="380"/>
    </row>
    <row r="541" spans="1:24" ht="15.75" customHeight="1">
      <c r="A541" s="463"/>
      <c r="B541" s="380"/>
      <c r="C541" s="381"/>
      <c r="D541" s="381"/>
      <c r="E541" s="381"/>
      <c r="F541" s="381"/>
      <c r="G541" s="381"/>
      <c r="H541" s="381"/>
      <c r="I541" s="381"/>
      <c r="J541" s="381"/>
      <c r="K541" s="382"/>
      <c r="L541" s="413"/>
      <c r="M541" s="413"/>
      <c r="N541" s="383"/>
      <c r="O541" s="384"/>
      <c r="P541" s="384"/>
      <c r="Q541" s="383"/>
      <c r="R541" s="383"/>
      <c r="S541" s="385"/>
      <c r="T541" s="380"/>
      <c r="U541" s="380"/>
      <c r="V541" s="380"/>
      <c r="W541" s="380"/>
      <c r="X541" s="380"/>
    </row>
    <row r="542" spans="1:24" ht="15.75" customHeight="1">
      <c r="A542" s="463"/>
      <c r="B542" s="380"/>
      <c r="C542" s="381"/>
      <c r="D542" s="381"/>
      <c r="E542" s="381"/>
      <c r="F542" s="381"/>
      <c r="G542" s="381"/>
      <c r="H542" s="381"/>
      <c r="I542" s="381"/>
      <c r="J542" s="381"/>
      <c r="K542" s="382"/>
      <c r="L542" s="413"/>
      <c r="M542" s="413"/>
      <c r="N542" s="383"/>
      <c r="O542" s="384"/>
      <c r="P542" s="384"/>
      <c r="Q542" s="383"/>
      <c r="R542" s="383"/>
      <c r="S542" s="385"/>
      <c r="T542" s="380"/>
      <c r="U542" s="380"/>
      <c r="V542" s="380"/>
      <c r="W542" s="380"/>
      <c r="X542" s="380"/>
    </row>
    <row r="543" spans="1:24" ht="15.75" customHeight="1">
      <c r="A543" s="463"/>
      <c r="B543" s="380"/>
      <c r="C543" s="381"/>
      <c r="D543" s="381"/>
      <c r="E543" s="381"/>
      <c r="F543" s="381"/>
      <c r="G543" s="381"/>
      <c r="H543" s="381"/>
      <c r="I543" s="381"/>
      <c r="J543" s="381"/>
      <c r="K543" s="382"/>
      <c r="L543" s="413"/>
      <c r="M543" s="413"/>
      <c r="N543" s="383"/>
      <c r="O543" s="384"/>
      <c r="P543" s="384"/>
      <c r="Q543" s="383"/>
      <c r="R543" s="383"/>
      <c r="S543" s="385"/>
      <c r="T543" s="380"/>
      <c r="U543" s="380"/>
      <c r="V543" s="380"/>
      <c r="W543" s="380"/>
      <c r="X543" s="380"/>
    </row>
    <row r="544" spans="1:24" ht="15.75" customHeight="1">
      <c r="A544" s="463"/>
      <c r="B544" s="380"/>
      <c r="C544" s="381"/>
      <c r="D544" s="381"/>
      <c r="E544" s="381"/>
      <c r="F544" s="381"/>
      <c r="G544" s="381"/>
      <c r="H544" s="381"/>
      <c r="I544" s="381"/>
      <c r="J544" s="381"/>
      <c r="K544" s="382"/>
      <c r="L544" s="413"/>
      <c r="M544" s="413"/>
      <c r="N544" s="383"/>
      <c r="O544" s="384"/>
      <c r="P544" s="384"/>
      <c r="Q544" s="383"/>
      <c r="R544" s="383"/>
      <c r="S544" s="385"/>
      <c r="T544" s="380"/>
      <c r="U544" s="380"/>
      <c r="V544" s="380"/>
      <c r="W544" s="380"/>
      <c r="X544" s="380"/>
    </row>
    <row r="545" spans="1:24" ht="15.75" customHeight="1">
      <c r="A545" s="463"/>
      <c r="B545" s="380"/>
      <c r="C545" s="381"/>
      <c r="D545" s="381"/>
      <c r="E545" s="381"/>
      <c r="F545" s="381"/>
      <c r="G545" s="381"/>
      <c r="H545" s="381"/>
      <c r="I545" s="381"/>
      <c r="J545" s="381"/>
      <c r="K545" s="382"/>
      <c r="L545" s="413"/>
      <c r="M545" s="413"/>
      <c r="N545" s="383"/>
      <c r="O545" s="384"/>
      <c r="P545" s="384"/>
      <c r="Q545" s="383"/>
      <c r="R545" s="383"/>
      <c r="S545" s="385"/>
      <c r="T545" s="380"/>
      <c r="U545" s="380"/>
      <c r="V545" s="380"/>
      <c r="W545" s="380"/>
      <c r="X545" s="380"/>
    </row>
    <row r="546" spans="1:24" ht="15.75" customHeight="1">
      <c r="A546" s="463"/>
      <c r="B546" s="380"/>
      <c r="C546" s="381"/>
      <c r="D546" s="381"/>
      <c r="E546" s="381"/>
      <c r="F546" s="381"/>
      <c r="G546" s="381"/>
      <c r="H546" s="381"/>
      <c r="I546" s="381"/>
      <c r="J546" s="381"/>
      <c r="K546" s="382"/>
      <c r="L546" s="413"/>
      <c r="M546" s="413"/>
      <c r="N546" s="383"/>
      <c r="O546" s="384"/>
      <c r="P546" s="384"/>
      <c r="Q546" s="383"/>
      <c r="R546" s="383"/>
      <c r="S546" s="385"/>
      <c r="T546" s="380"/>
      <c r="U546" s="380"/>
      <c r="V546" s="380"/>
      <c r="W546" s="380"/>
      <c r="X546" s="380"/>
    </row>
    <row r="547" spans="1:24" ht="15.75" customHeight="1">
      <c r="A547" s="463"/>
      <c r="B547" s="380"/>
      <c r="C547" s="381"/>
      <c r="D547" s="381"/>
      <c r="E547" s="381"/>
      <c r="F547" s="381"/>
      <c r="G547" s="381"/>
      <c r="H547" s="381"/>
      <c r="I547" s="381"/>
      <c r="J547" s="381"/>
      <c r="K547" s="382"/>
      <c r="L547" s="413"/>
      <c r="M547" s="413"/>
      <c r="N547" s="383"/>
      <c r="O547" s="384"/>
      <c r="P547" s="384"/>
      <c r="Q547" s="383"/>
      <c r="R547" s="383"/>
      <c r="S547" s="385"/>
      <c r="T547" s="380"/>
      <c r="U547" s="380"/>
      <c r="V547" s="380"/>
      <c r="W547" s="380"/>
      <c r="X547" s="380"/>
    </row>
    <row r="548" spans="1:24" ht="15.75" customHeight="1">
      <c r="A548" s="463"/>
      <c r="B548" s="380"/>
      <c r="C548" s="381"/>
      <c r="D548" s="381"/>
      <c r="E548" s="381"/>
      <c r="F548" s="381"/>
      <c r="G548" s="381"/>
      <c r="H548" s="381"/>
      <c r="I548" s="381"/>
      <c r="J548" s="381"/>
      <c r="K548" s="382"/>
      <c r="L548" s="413"/>
      <c r="M548" s="413"/>
      <c r="N548" s="383"/>
      <c r="O548" s="384"/>
      <c r="P548" s="384"/>
      <c r="Q548" s="383"/>
      <c r="R548" s="383"/>
      <c r="S548" s="385"/>
      <c r="T548" s="380"/>
      <c r="U548" s="380"/>
      <c r="V548" s="380"/>
      <c r="W548" s="380"/>
      <c r="X548" s="380"/>
    </row>
    <row r="549" spans="1:24" ht="15.75" customHeight="1">
      <c r="A549" s="463"/>
      <c r="B549" s="380"/>
      <c r="C549" s="381"/>
      <c r="D549" s="381"/>
      <c r="E549" s="381"/>
      <c r="F549" s="381"/>
      <c r="G549" s="381"/>
      <c r="H549" s="381"/>
      <c r="I549" s="381"/>
      <c r="J549" s="381"/>
      <c r="K549" s="382"/>
      <c r="L549" s="413"/>
      <c r="M549" s="413"/>
      <c r="N549" s="383"/>
      <c r="O549" s="384"/>
      <c r="P549" s="384"/>
      <c r="Q549" s="383"/>
      <c r="R549" s="383"/>
      <c r="S549" s="385"/>
      <c r="T549" s="380"/>
      <c r="U549" s="380"/>
      <c r="V549" s="380"/>
      <c r="W549" s="380"/>
      <c r="X549" s="380"/>
    </row>
    <row r="550" spans="1:24" ht="15.75" customHeight="1">
      <c r="A550" s="463"/>
      <c r="B550" s="380"/>
      <c r="C550" s="381"/>
      <c r="D550" s="381"/>
      <c r="E550" s="381"/>
      <c r="F550" s="381"/>
      <c r="G550" s="381"/>
      <c r="H550" s="381"/>
      <c r="I550" s="381"/>
      <c r="J550" s="381"/>
      <c r="K550" s="382"/>
      <c r="L550" s="413"/>
      <c r="M550" s="413"/>
      <c r="N550" s="383"/>
      <c r="O550" s="384"/>
      <c r="P550" s="384"/>
      <c r="Q550" s="383"/>
      <c r="R550" s="383"/>
      <c r="S550" s="385"/>
      <c r="T550" s="380"/>
      <c r="U550" s="380"/>
      <c r="V550" s="380"/>
      <c r="W550" s="380"/>
      <c r="X550" s="380"/>
    </row>
    <row r="551" spans="1:24" ht="15.75" customHeight="1">
      <c r="A551" s="463"/>
      <c r="B551" s="380"/>
      <c r="C551" s="381"/>
      <c r="D551" s="381"/>
      <c r="E551" s="381"/>
      <c r="F551" s="381"/>
      <c r="G551" s="381"/>
      <c r="H551" s="381"/>
      <c r="I551" s="381"/>
      <c r="J551" s="381"/>
      <c r="K551" s="382"/>
      <c r="L551" s="413"/>
      <c r="M551" s="413"/>
      <c r="N551" s="383"/>
      <c r="O551" s="384"/>
      <c r="P551" s="384"/>
      <c r="Q551" s="383"/>
      <c r="R551" s="383"/>
      <c r="S551" s="385"/>
      <c r="T551" s="380"/>
      <c r="U551" s="380"/>
      <c r="V551" s="380"/>
      <c r="W551" s="380"/>
      <c r="X551" s="380"/>
    </row>
    <row r="552" spans="1:24" ht="15.75" customHeight="1">
      <c r="A552" s="463"/>
      <c r="B552" s="380"/>
      <c r="C552" s="381"/>
      <c r="D552" s="381"/>
      <c r="E552" s="381"/>
      <c r="F552" s="381"/>
      <c r="G552" s="381"/>
      <c r="H552" s="381"/>
      <c r="I552" s="381"/>
      <c r="J552" s="381"/>
      <c r="K552" s="382"/>
      <c r="L552" s="413"/>
      <c r="M552" s="413"/>
      <c r="N552" s="383"/>
      <c r="O552" s="384"/>
      <c r="P552" s="384"/>
      <c r="Q552" s="383"/>
      <c r="R552" s="383"/>
      <c r="S552" s="385"/>
      <c r="T552" s="380"/>
      <c r="U552" s="380"/>
      <c r="V552" s="380"/>
      <c r="W552" s="380"/>
      <c r="X552" s="380"/>
    </row>
    <row r="553" spans="1:24" ht="15.75" customHeight="1">
      <c r="A553" s="463"/>
      <c r="B553" s="380"/>
      <c r="C553" s="381"/>
      <c r="D553" s="381"/>
      <c r="E553" s="381"/>
      <c r="F553" s="381"/>
      <c r="G553" s="381"/>
      <c r="H553" s="381"/>
      <c r="I553" s="381"/>
      <c r="J553" s="381"/>
      <c r="K553" s="382"/>
      <c r="L553" s="413"/>
      <c r="M553" s="413"/>
      <c r="N553" s="383"/>
      <c r="O553" s="384"/>
      <c r="P553" s="384"/>
      <c r="Q553" s="383"/>
      <c r="R553" s="383"/>
      <c r="S553" s="385"/>
      <c r="T553" s="380"/>
      <c r="U553" s="380"/>
      <c r="V553" s="380"/>
      <c r="W553" s="380"/>
      <c r="X553" s="380"/>
    </row>
    <row r="554" spans="1:24" ht="15.75" customHeight="1">
      <c r="A554" s="463"/>
      <c r="B554" s="380"/>
      <c r="C554" s="381"/>
      <c r="D554" s="381"/>
      <c r="E554" s="381"/>
      <c r="F554" s="381"/>
      <c r="G554" s="381"/>
      <c r="H554" s="381"/>
      <c r="I554" s="381"/>
      <c r="J554" s="381"/>
      <c r="K554" s="382"/>
      <c r="L554" s="413"/>
      <c r="M554" s="413"/>
      <c r="N554" s="383"/>
      <c r="O554" s="384"/>
      <c r="P554" s="384"/>
      <c r="Q554" s="383"/>
      <c r="R554" s="383"/>
      <c r="S554" s="385"/>
      <c r="T554" s="380"/>
      <c r="U554" s="380"/>
      <c r="V554" s="380"/>
      <c r="W554" s="380"/>
      <c r="X554" s="380"/>
    </row>
    <row r="555" spans="1:24" ht="15.75" customHeight="1">
      <c r="A555" s="463"/>
      <c r="B555" s="380"/>
      <c r="C555" s="381"/>
      <c r="D555" s="381"/>
      <c r="E555" s="381"/>
      <c r="F555" s="381"/>
      <c r="G555" s="381"/>
      <c r="H555" s="381"/>
      <c r="I555" s="381"/>
      <c r="J555" s="381"/>
      <c r="K555" s="382"/>
      <c r="L555" s="413"/>
      <c r="M555" s="413"/>
      <c r="N555" s="383"/>
      <c r="O555" s="384"/>
      <c r="P555" s="384"/>
      <c r="Q555" s="383"/>
      <c r="R555" s="383"/>
      <c r="S555" s="385"/>
      <c r="T555" s="380"/>
      <c r="U555" s="380"/>
      <c r="V555" s="380"/>
      <c r="W555" s="380"/>
      <c r="X555" s="380"/>
    </row>
    <row r="556" spans="1:24" ht="15.75" customHeight="1">
      <c r="A556" s="463"/>
      <c r="B556" s="380"/>
      <c r="C556" s="381"/>
      <c r="D556" s="381"/>
      <c r="E556" s="381"/>
      <c r="F556" s="381"/>
      <c r="G556" s="381"/>
      <c r="H556" s="381"/>
      <c r="I556" s="381"/>
      <c r="J556" s="381"/>
      <c r="K556" s="382"/>
      <c r="L556" s="413"/>
      <c r="M556" s="413"/>
      <c r="N556" s="383"/>
      <c r="O556" s="384"/>
      <c r="P556" s="384"/>
      <c r="Q556" s="383"/>
      <c r="R556" s="383"/>
      <c r="S556" s="385"/>
      <c r="T556" s="380"/>
      <c r="U556" s="380"/>
      <c r="V556" s="380"/>
      <c r="W556" s="380"/>
      <c r="X556" s="380"/>
    </row>
    <row r="557" spans="1:24" ht="15.75" customHeight="1">
      <c r="A557" s="463"/>
      <c r="B557" s="380"/>
      <c r="C557" s="381"/>
      <c r="D557" s="381"/>
      <c r="E557" s="381"/>
      <c r="F557" s="381"/>
      <c r="G557" s="381"/>
      <c r="H557" s="381"/>
      <c r="I557" s="381"/>
      <c r="J557" s="381"/>
      <c r="K557" s="382"/>
      <c r="L557" s="413"/>
      <c r="M557" s="413"/>
      <c r="N557" s="383"/>
      <c r="O557" s="384"/>
      <c r="P557" s="384"/>
      <c r="Q557" s="383"/>
      <c r="R557" s="383"/>
      <c r="S557" s="385"/>
      <c r="T557" s="380"/>
      <c r="U557" s="380"/>
      <c r="V557" s="380"/>
      <c r="W557" s="380"/>
      <c r="X557" s="380"/>
    </row>
    <row r="558" spans="1:24" ht="15.75" customHeight="1">
      <c r="A558" s="463"/>
      <c r="B558" s="380"/>
      <c r="C558" s="381"/>
      <c r="D558" s="381"/>
      <c r="E558" s="381"/>
      <c r="F558" s="381"/>
      <c r="G558" s="381"/>
      <c r="H558" s="381"/>
      <c r="I558" s="381"/>
      <c r="J558" s="381"/>
      <c r="K558" s="382"/>
      <c r="L558" s="413"/>
      <c r="M558" s="413"/>
      <c r="N558" s="383"/>
      <c r="O558" s="384"/>
      <c r="P558" s="384"/>
      <c r="Q558" s="383"/>
      <c r="R558" s="383"/>
      <c r="S558" s="385"/>
      <c r="T558" s="380"/>
      <c r="U558" s="380"/>
      <c r="V558" s="380"/>
      <c r="W558" s="380"/>
      <c r="X558" s="380"/>
    </row>
    <row r="559" spans="1:24" ht="15.75" customHeight="1">
      <c r="A559" s="463"/>
      <c r="B559" s="380"/>
      <c r="C559" s="381"/>
      <c r="D559" s="381"/>
      <c r="E559" s="381"/>
      <c r="F559" s="381"/>
      <c r="G559" s="381"/>
      <c r="H559" s="381"/>
      <c r="I559" s="381"/>
      <c r="J559" s="381"/>
      <c r="K559" s="382"/>
      <c r="L559" s="413"/>
      <c r="M559" s="413"/>
      <c r="N559" s="383"/>
      <c r="O559" s="384"/>
      <c r="P559" s="384"/>
      <c r="Q559" s="383"/>
      <c r="R559" s="383"/>
      <c r="S559" s="385"/>
      <c r="T559" s="380"/>
      <c r="U559" s="380"/>
      <c r="V559" s="380"/>
      <c r="W559" s="380"/>
      <c r="X559" s="380"/>
    </row>
    <row r="560" spans="1:24" ht="15.75" customHeight="1">
      <c r="A560" s="463"/>
      <c r="B560" s="380"/>
      <c r="C560" s="381"/>
      <c r="D560" s="381"/>
      <c r="E560" s="381"/>
      <c r="F560" s="381"/>
      <c r="G560" s="381"/>
      <c r="H560" s="381"/>
      <c r="I560" s="381"/>
      <c r="J560" s="381"/>
      <c r="K560" s="382"/>
      <c r="L560" s="413"/>
      <c r="M560" s="413"/>
      <c r="N560" s="383"/>
      <c r="O560" s="384"/>
      <c r="P560" s="384"/>
      <c r="Q560" s="383"/>
      <c r="R560" s="383"/>
      <c r="S560" s="385"/>
      <c r="T560" s="380"/>
      <c r="U560" s="380"/>
      <c r="V560" s="380"/>
      <c r="W560" s="380"/>
      <c r="X560" s="380"/>
    </row>
    <row r="561" spans="1:24" ht="15.75" customHeight="1">
      <c r="A561" s="463"/>
      <c r="B561" s="380"/>
      <c r="C561" s="381"/>
      <c r="D561" s="381"/>
      <c r="E561" s="381"/>
      <c r="F561" s="381"/>
      <c r="G561" s="381"/>
      <c r="H561" s="381"/>
      <c r="I561" s="381"/>
      <c r="J561" s="381"/>
      <c r="K561" s="382"/>
      <c r="L561" s="413"/>
      <c r="M561" s="413"/>
      <c r="N561" s="383"/>
      <c r="O561" s="384"/>
      <c r="P561" s="384"/>
      <c r="Q561" s="383"/>
      <c r="R561" s="383"/>
      <c r="S561" s="385"/>
      <c r="T561" s="380"/>
      <c r="U561" s="380"/>
      <c r="V561" s="380"/>
      <c r="W561" s="380"/>
      <c r="X561" s="380"/>
    </row>
    <row r="562" spans="1:24" ht="15.75" customHeight="1">
      <c r="A562" s="463"/>
      <c r="B562" s="380"/>
      <c r="C562" s="381"/>
      <c r="D562" s="381"/>
      <c r="E562" s="381"/>
      <c r="F562" s="381"/>
      <c r="G562" s="381"/>
      <c r="H562" s="381"/>
      <c r="I562" s="381"/>
      <c r="J562" s="381"/>
      <c r="K562" s="382"/>
      <c r="L562" s="413"/>
      <c r="M562" s="413"/>
      <c r="N562" s="383"/>
      <c r="O562" s="384"/>
      <c r="P562" s="384"/>
      <c r="Q562" s="383"/>
      <c r="R562" s="383"/>
      <c r="S562" s="385"/>
      <c r="T562" s="380"/>
      <c r="U562" s="380"/>
      <c r="V562" s="380"/>
      <c r="W562" s="380"/>
      <c r="X562" s="380"/>
    </row>
    <row r="563" spans="1:24" ht="15.75" customHeight="1">
      <c r="A563" s="463"/>
      <c r="B563" s="380"/>
      <c r="C563" s="381"/>
      <c r="D563" s="381"/>
      <c r="E563" s="381"/>
      <c r="F563" s="381"/>
      <c r="G563" s="381"/>
      <c r="H563" s="381"/>
      <c r="I563" s="381"/>
      <c r="J563" s="381"/>
      <c r="K563" s="382"/>
      <c r="L563" s="413"/>
      <c r="M563" s="413"/>
      <c r="N563" s="383"/>
      <c r="O563" s="384"/>
      <c r="P563" s="384"/>
      <c r="Q563" s="383"/>
      <c r="R563" s="383"/>
      <c r="S563" s="385"/>
      <c r="T563" s="380"/>
      <c r="U563" s="380"/>
      <c r="V563" s="380"/>
      <c r="W563" s="380"/>
      <c r="X563" s="380"/>
    </row>
    <row r="564" spans="1:24" ht="15.75" customHeight="1">
      <c r="A564" s="463"/>
      <c r="B564" s="380"/>
      <c r="C564" s="381"/>
      <c r="D564" s="381"/>
      <c r="E564" s="381"/>
      <c r="F564" s="381"/>
      <c r="G564" s="381"/>
      <c r="H564" s="381"/>
      <c r="I564" s="381"/>
      <c r="J564" s="381"/>
      <c r="K564" s="382"/>
      <c r="L564" s="413"/>
      <c r="M564" s="413"/>
      <c r="N564" s="383"/>
      <c r="O564" s="384"/>
      <c r="P564" s="384"/>
      <c r="Q564" s="383"/>
      <c r="R564" s="383"/>
      <c r="S564" s="385"/>
      <c r="T564" s="380"/>
      <c r="U564" s="380"/>
      <c r="V564" s="380"/>
      <c r="W564" s="380"/>
      <c r="X564" s="380"/>
    </row>
    <row r="565" spans="1:24" ht="15.75" customHeight="1">
      <c r="A565" s="463"/>
      <c r="B565" s="380"/>
      <c r="C565" s="381"/>
      <c r="D565" s="381"/>
      <c r="E565" s="381"/>
      <c r="F565" s="381"/>
      <c r="G565" s="381"/>
      <c r="H565" s="381"/>
      <c r="I565" s="381"/>
      <c r="J565" s="381"/>
      <c r="K565" s="382"/>
      <c r="L565" s="413"/>
      <c r="M565" s="413"/>
      <c r="N565" s="383"/>
      <c r="O565" s="384"/>
      <c r="P565" s="384"/>
      <c r="Q565" s="383"/>
      <c r="R565" s="383"/>
      <c r="S565" s="385"/>
      <c r="T565" s="380"/>
      <c r="U565" s="380"/>
      <c r="V565" s="380"/>
      <c r="W565" s="380"/>
      <c r="X565" s="380"/>
    </row>
    <row r="566" spans="1:24" ht="15.75" customHeight="1">
      <c r="A566" s="463"/>
      <c r="B566" s="380"/>
      <c r="C566" s="381"/>
      <c r="D566" s="381"/>
      <c r="E566" s="381"/>
      <c r="F566" s="381"/>
      <c r="G566" s="381"/>
      <c r="H566" s="381"/>
      <c r="I566" s="381"/>
      <c r="J566" s="381"/>
      <c r="K566" s="382"/>
      <c r="L566" s="413"/>
      <c r="M566" s="413"/>
      <c r="N566" s="383"/>
      <c r="O566" s="384"/>
      <c r="P566" s="384"/>
      <c r="Q566" s="383"/>
      <c r="R566" s="383"/>
      <c r="S566" s="385"/>
      <c r="T566" s="380"/>
      <c r="U566" s="380"/>
      <c r="V566" s="380"/>
      <c r="W566" s="380"/>
      <c r="X566" s="380"/>
    </row>
    <row r="567" spans="1:24" ht="15.75" customHeight="1">
      <c r="A567" s="463"/>
      <c r="B567" s="380"/>
      <c r="C567" s="381"/>
      <c r="D567" s="381"/>
      <c r="E567" s="381"/>
      <c r="F567" s="381"/>
      <c r="G567" s="381"/>
      <c r="H567" s="381"/>
      <c r="I567" s="381"/>
      <c r="J567" s="381"/>
      <c r="K567" s="382"/>
      <c r="L567" s="413"/>
      <c r="M567" s="413"/>
      <c r="N567" s="383"/>
      <c r="O567" s="384"/>
      <c r="P567" s="384"/>
      <c r="Q567" s="383"/>
      <c r="R567" s="383"/>
      <c r="S567" s="385"/>
      <c r="T567" s="380"/>
      <c r="U567" s="380"/>
      <c r="V567" s="380"/>
      <c r="W567" s="380"/>
      <c r="X567" s="380"/>
    </row>
    <row r="568" spans="1:24" ht="15.75" customHeight="1">
      <c r="A568" s="463"/>
      <c r="B568" s="380"/>
      <c r="C568" s="381"/>
      <c r="D568" s="381"/>
      <c r="E568" s="381"/>
      <c r="F568" s="381"/>
      <c r="G568" s="381"/>
      <c r="H568" s="381"/>
      <c r="I568" s="381"/>
      <c r="J568" s="381"/>
      <c r="K568" s="382"/>
      <c r="L568" s="413"/>
      <c r="M568" s="413"/>
      <c r="N568" s="383"/>
      <c r="O568" s="384"/>
      <c r="P568" s="384"/>
      <c r="Q568" s="383"/>
      <c r="R568" s="383"/>
      <c r="S568" s="385"/>
      <c r="T568" s="380"/>
      <c r="U568" s="380"/>
      <c r="V568" s="380"/>
      <c r="W568" s="380"/>
      <c r="X568" s="380"/>
    </row>
    <row r="569" spans="1:24" ht="15.75" customHeight="1">
      <c r="A569" s="463"/>
      <c r="B569" s="380"/>
      <c r="C569" s="381"/>
      <c r="D569" s="381"/>
      <c r="E569" s="381"/>
      <c r="F569" s="381"/>
      <c r="G569" s="381"/>
      <c r="H569" s="381"/>
      <c r="I569" s="381"/>
      <c r="J569" s="381"/>
      <c r="K569" s="382"/>
      <c r="L569" s="413"/>
      <c r="M569" s="413"/>
      <c r="N569" s="383"/>
      <c r="O569" s="384"/>
      <c r="P569" s="384"/>
      <c r="Q569" s="383"/>
      <c r="R569" s="383"/>
      <c r="S569" s="385"/>
      <c r="T569" s="380"/>
      <c r="U569" s="380"/>
      <c r="V569" s="380"/>
      <c r="W569" s="380"/>
      <c r="X569" s="380"/>
    </row>
    <row r="570" spans="1:24" ht="15.75" customHeight="1">
      <c r="A570" s="463"/>
      <c r="B570" s="380"/>
      <c r="C570" s="381"/>
      <c r="D570" s="381"/>
      <c r="E570" s="381"/>
      <c r="F570" s="381"/>
      <c r="G570" s="381"/>
      <c r="H570" s="381"/>
      <c r="I570" s="381"/>
      <c r="J570" s="381"/>
      <c r="K570" s="382"/>
      <c r="L570" s="413"/>
      <c r="M570" s="413"/>
      <c r="N570" s="383"/>
      <c r="O570" s="384"/>
      <c r="P570" s="384"/>
      <c r="Q570" s="383"/>
      <c r="R570" s="383"/>
      <c r="S570" s="385"/>
      <c r="T570" s="380"/>
      <c r="U570" s="380"/>
      <c r="V570" s="380"/>
      <c r="W570" s="380"/>
      <c r="X570" s="380"/>
    </row>
    <row r="571" spans="1:24" ht="15.75" customHeight="1">
      <c r="A571" s="463"/>
      <c r="B571" s="380"/>
      <c r="C571" s="381"/>
      <c r="D571" s="381"/>
      <c r="E571" s="381"/>
      <c r="F571" s="381"/>
      <c r="G571" s="381"/>
      <c r="H571" s="381"/>
      <c r="I571" s="381"/>
      <c r="J571" s="381"/>
      <c r="K571" s="382"/>
      <c r="L571" s="413"/>
      <c r="M571" s="413"/>
      <c r="N571" s="383"/>
      <c r="O571" s="384"/>
      <c r="P571" s="384"/>
      <c r="Q571" s="383"/>
      <c r="R571" s="383"/>
      <c r="S571" s="385"/>
      <c r="T571" s="380"/>
      <c r="U571" s="380"/>
      <c r="V571" s="380"/>
      <c r="W571" s="380"/>
      <c r="X571" s="380"/>
    </row>
    <row r="572" spans="1:24" ht="15.75" customHeight="1">
      <c r="A572" s="463"/>
      <c r="B572" s="380"/>
      <c r="C572" s="381"/>
      <c r="D572" s="381"/>
      <c r="E572" s="381"/>
      <c r="F572" s="381"/>
      <c r="G572" s="381"/>
      <c r="H572" s="381"/>
      <c r="I572" s="381"/>
      <c r="J572" s="381"/>
      <c r="K572" s="382"/>
      <c r="L572" s="413"/>
      <c r="M572" s="413"/>
      <c r="N572" s="383"/>
      <c r="O572" s="384"/>
      <c r="P572" s="384"/>
      <c r="Q572" s="383"/>
      <c r="R572" s="383"/>
      <c r="S572" s="385"/>
      <c r="T572" s="380"/>
      <c r="U572" s="380"/>
      <c r="V572" s="380"/>
      <c r="W572" s="380"/>
      <c r="X572" s="380"/>
    </row>
    <row r="573" spans="1:24" ht="15.75" customHeight="1">
      <c r="A573" s="463"/>
      <c r="B573" s="380"/>
      <c r="C573" s="381"/>
      <c r="D573" s="381"/>
      <c r="E573" s="381"/>
      <c r="F573" s="381"/>
      <c r="G573" s="381"/>
      <c r="H573" s="381"/>
      <c r="I573" s="381"/>
      <c r="J573" s="381"/>
      <c r="K573" s="382"/>
      <c r="L573" s="413"/>
      <c r="M573" s="413"/>
      <c r="N573" s="383"/>
      <c r="O573" s="384"/>
      <c r="P573" s="384"/>
      <c r="Q573" s="383"/>
      <c r="R573" s="383"/>
      <c r="S573" s="385"/>
      <c r="T573" s="380"/>
      <c r="U573" s="380"/>
      <c r="V573" s="380"/>
      <c r="W573" s="380"/>
      <c r="X573" s="380"/>
    </row>
    <row r="574" spans="1:24" ht="15.75" customHeight="1">
      <c r="A574" s="463"/>
      <c r="B574" s="380"/>
      <c r="C574" s="381"/>
      <c r="D574" s="381"/>
      <c r="E574" s="381"/>
      <c r="F574" s="381"/>
      <c r="G574" s="381"/>
      <c r="H574" s="381"/>
      <c r="I574" s="381"/>
      <c r="J574" s="381"/>
      <c r="K574" s="382"/>
      <c r="L574" s="413"/>
      <c r="M574" s="413"/>
      <c r="N574" s="383"/>
      <c r="O574" s="384"/>
      <c r="P574" s="384"/>
      <c r="Q574" s="383"/>
      <c r="R574" s="383"/>
      <c r="S574" s="385"/>
      <c r="T574" s="380"/>
      <c r="U574" s="380"/>
      <c r="V574" s="380"/>
      <c r="W574" s="380"/>
      <c r="X574" s="380"/>
    </row>
    <row r="575" spans="1:24" ht="15.75" customHeight="1">
      <c r="A575" s="463"/>
      <c r="B575" s="380"/>
      <c r="C575" s="381"/>
      <c r="D575" s="381"/>
      <c r="E575" s="381"/>
      <c r="F575" s="381"/>
      <c r="G575" s="381"/>
      <c r="H575" s="381"/>
      <c r="I575" s="381"/>
      <c r="J575" s="381"/>
      <c r="K575" s="382"/>
      <c r="L575" s="413"/>
      <c r="M575" s="413"/>
      <c r="N575" s="383"/>
      <c r="O575" s="384"/>
      <c r="P575" s="384"/>
      <c r="Q575" s="383"/>
      <c r="R575" s="383"/>
      <c r="S575" s="385"/>
      <c r="T575" s="380"/>
      <c r="U575" s="380"/>
      <c r="V575" s="380"/>
      <c r="W575" s="380"/>
      <c r="X575" s="380"/>
    </row>
    <row r="576" spans="1:24" ht="15.75" customHeight="1">
      <c r="A576" s="463"/>
      <c r="B576" s="380"/>
      <c r="C576" s="381"/>
      <c r="D576" s="381"/>
      <c r="E576" s="381"/>
      <c r="F576" s="381"/>
      <c r="G576" s="381"/>
      <c r="H576" s="381"/>
      <c r="I576" s="381"/>
      <c r="J576" s="381"/>
      <c r="K576" s="382"/>
      <c r="L576" s="413"/>
      <c r="M576" s="413"/>
      <c r="N576" s="383"/>
      <c r="O576" s="384"/>
      <c r="P576" s="384"/>
      <c r="Q576" s="383"/>
      <c r="R576" s="383"/>
      <c r="S576" s="385"/>
      <c r="T576" s="380"/>
      <c r="U576" s="380"/>
      <c r="V576" s="380"/>
      <c r="W576" s="380"/>
      <c r="X576" s="380"/>
    </row>
    <row r="577" spans="1:24" ht="15.75" customHeight="1">
      <c r="A577" s="463"/>
      <c r="B577" s="380"/>
      <c r="C577" s="381"/>
      <c r="D577" s="381"/>
      <c r="E577" s="381"/>
      <c r="F577" s="381"/>
      <c r="G577" s="381"/>
      <c r="H577" s="381"/>
      <c r="I577" s="381"/>
      <c r="J577" s="381"/>
      <c r="K577" s="382"/>
      <c r="L577" s="380"/>
      <c r="M577" s="413"/>
      <c r="N577" s="383"/>
      <c r="O577" s="384"/>
      <c r="P577" s="384"/>
      <c r="Q577" s="383"/>
      <c r="R577" s="383"/>
      <c r="S577" s="385"/>
      <c r="T577" s="380"/>
      <c r="U577" s="380"/>
      <c r="V577" s="380"/>
      <c r="W577" s="380"/>
      <c r="X577" s="380"/>
    </row>
    <row r="578" spans="1:24" ht="15.75" customHeight="1">
      <c r="A578" s="463"/>
      <c r="B578" s="380"/>
      <c r="C578" s="381"/>
      <c r="D578" s="381"/>
      <c r="E578" s="381"/>
      <c r="F578" s="381"/>
      <c r="G578" s="381"/>
      <c r="H578" s="381"/>
      <c r="I578" s="381"/>
      <c r="J578" s="381"/>
      <c r="K578" s="382"/>
      <c r="L578" s="380"/>
      <c r="M578" s="413"/>
      <c r="N578" s="383"/>
      <c r="O578" s="384"/>
      <c r="P578" s="384"/>
      <c r="Q578" s="383"/>
      <c r="R578" s="383"/>
      <c r="S578" s="385"/>
      <c r="T578" s="380"/>
      <c r="U578" s="380"/>
      <c r="V578" s="380"/>
      <c r="W578" s="380"/>
      <c r="X578" s="380"/>
    </row>
    <row r="579" spans="1:24" ht="15.75" customHeight="1">
      <c r="A579" s="463"/>
      <c r="B579" s="380"/>
      <c r="C579" s="381"/>
      <c r="D579" s="381"/>
      <c r="E579" s="381"/>
      <c r="F579" s="381"/>
      <c r="G579" s="381"/>
      <c r="H579" s="381"/>
      <c r="I579" s="381"/>
      <c r="J579" s="381"/>
      <c r="K579" s="382"/>
      <c r="L579" s="380"/>
      <c r="M579" s="413"/>
      <c r="N579" s="383"/>
      <c r="O579" s="384"/>
      <c r="P579" s="384"/>
      <c r="Q579" s="383"/>
      <c r="R579" s="383"/>
      <c r="S579" s="385"/>
      <c r="T579" s="380"/>
      <c r="U579" s="380"/>
      <c r="V579" s="380"/>
      <c r="W579" s="380"/>
      <c r="X579" s="380"/>
    </row>
    <row r="580" spans="1:24" ht="15.75" customHeight="1">
      <c r="A580" s="463"/>
      <c r="B580" s="380"/>
      <c r="C580" s="381"/>
      <c r="D580" s="381"/>
      <c r="E580" s="381"/>
      <c r="F580" s="381"/>
      <c r="G580" s="381"/>
      <c r="H580" s="381"/>
      <c r="I580" s="381"/>
      <c r="J580" s="381"/>
      <c r="K580" s="382"/>
      <c r="L580" s="380"/>
      <c r="M580" s="413"/>
      <c r="N580" s="383"/>
      <c r="O580" s="384"/>
      <c r="P580" s="384"/>
      <c r="Q580" s="383"/>
      <c r="R580" s="383"/>
      <c r="S580" s="385"/>
      <c r="T580" s="380"/>
      <c r="U580" s="380"/>
      <c r="V580" s="380"/>
      <c r="W580" s="380"/>
      <c r="X580" s="380"/>
    </row>
    <row r="581" spans="1:24" ht="15.75" customHeight="1">
      <c r="A581" s="463"/>
      <c r="B581" s="380"/>
      <c r="C581" s="381"/>
      <c r="D581" s="381"/>
      <c r="E581" s="381"/>
      <c r="F581" s="381"/>
      <c r="G581" s="381"/>
      <c r="H581" s="381"/>
      <c r="I581" s="381"/>
      <c r="J581" s="381"/>
      <c r="K581" s="382"/>
      <c r="L581" s="380"/>
      <c r="M581" s="413"/>
      <c r="N581" s="383"/>
      <c r="O581" s="384"/>
      <c r="P581" s="384"/>
      <c r="Q581" s="383"/>
      <c r="R581" s="383"/>
      <c r="S581" s="385"/>
      <c r="T581" s="380"/>
      <c r="U581" s="380"/>
      <c r="V581" s="380"/>
      <c r="W581" s="380"/>
      <c r="X581" s="380"/>
    </row>
    <row r="582" spans="1:24" ht="15.75" customHeight="1">
      <c r="A582" s="463"/>
      <c r="B582" s="380"/>
      <c r="C582" s="381"/>
      <c r="D582" s="381"/>
      <c r="E582" s="381"/>
      <c r="F582" s="381"/>
      <c r="G582" s="381"/>
      <c r="H582" s="381"/>
      <c r="I582" s="381"/>
      <c r="J582" s="381"/>
      <c r="K582" s="382"/>
      <c r="L582" s="380"/>
      <c r="M582" s="413"/>
      <c r="N582" s="383"/>
      <c r="O582" s="384"/>
      <c r="P582" s="384"/>
      <c r="Q582" s="383"/>
      <c r="R582" s="383"/>
      <c r="S582" s="385"/>
      <c r="T582" s="380"/>
      <c r="U582" s="380"/>
      <c r="V582" s="380"/>
      <c r="W582" s="380"/>
      <c r="X582" s="380"/>
    </row>
    <row r="583" spans="1:24" ht="15.75" customHeight="1">
      <c r="A583" s="463"/>
      <c r="B583" s="380"/>
      <c r="C583" s="381"/>
      <c r="D583" s="381"/>
      <c r="E583" s="381"/>
      <c r="F583" s="381"/>
      <c r="G583" s="381"/>
      <c r="H583" s="381"/>
      <c r="I583" s="381"/>
      <c r="J583" s="381"/>
      <c r="K583" s="382"/>
      <c r="L583" s="380"/>
      <c r="M583" s="413"/>
      <c r="N583" s="383"/>
      <c r="O583" s="384"/>
      <c r="P583" s="384"/>
      <c r="Q583" s="383"/>
      <c r="R583" s="383"/>
      <c r="S583" s="385"/>
      <c r="T583" s="380"/>
      <c r="U583" s="380"/>
      <c r="V583" s="380"/>
      <c r="W583" s="380"/>
      <c r="X583" s="380"/>
    </row>
    <row r="584" spans="1:24" ht="15.75" customHeight="1">
      <c r="A584" s="463"/>
      <c r="B584" s="380"/>
      <c r="C584" s="381"/>
      <c r="D584" s="381"/>
      <c r="E584" s="381"/>
      <c r="F584" s="381"/>
      <c r="G584" s="381"/>
      <c r="H584" s="381"/>
      <c r="I584" s="381"/>
      <c r="J584" s="381"/>
      <c r="K584" s="382"/>
      <c r="L584" s="380"/>
      <c r="M584" s="413"/>
      <c r="N584" s="383"/>
      <c r="O584" s="384"/>
      <c r="P584" s="384"/>
      <c r="Q584" s="383"/>
      <c r="R584" s="383"/>
      <c r="S584" s="385"/>
      <c r="T584" s="380"/>
      <c r="U584" s="380"/>
      <c r="V584" s="380"/>
      <c r="W584" s="380"/>
      <c r="X584" s="380"/>
    </row>
    <row r="585" spans="1:24" ht="15.75" customHeight="1">
      <c r="A585" s="463"/>
      <c r="B585" s="380"/>
      <c r="C585" s="381"/>
      <c r="D585" s="381"/>
      <c r="E585" s="381"/>
      <c r="F585" s="381"/>
      <c r="G585" s="381"/>
      <c r="H585" s="381"/>
      <c r="I585" s="381"/>
      <c r="J585" s="381"/>
      <c r="K585" s="382"/>
      <c r="L585" s="380"/>
      <c r="M585" s="413"/>
      <c r="N585" s="383"/>
      <c r="O585" s="384"/>
      <c r="P585" s="384"/>
      <c r="Q585" s="383"/>
      <c r="R585" s="383"/>
      <c r="S585" s="385"/>
      <c r="T585" s="380"/>
      <c r="U585" s="380"/>
      <c r="V585" s="380"/>
      <c r="W585" s="380"/>
      <c r="X585" s="380"/>
    </row>
    <row r="586" spans="1:24" ht="15.75" customHeight="1">
      <c r="A586" s="463"/>
      <c r="B586" s="380"/>
      <c r="C586" s="381"/>
      <c r="D586" s="381"/>
      <c r="E586" s="381"/>
      <c r="F586" s="381"/>
      <c r="G586" s="381"/>
      <c r="H586" s="381"/>
      <c r="I586" s="381"/>
      <c r="J586" s="381"/>
      <c r="K586" s="382"/>
      <c r="L586" s="380"/>
      <c r="M586" s="413"/>
      <c r="N586" s="383"/>
      <c r="O586" s="384"/>
      <c r="P586" s="384"/>
      <c r="Q586" s="383"/>
      <c r="R586" s="383"/>
      <c r="S586" s="385"/>
      <c r="T586" s="380"/>
      <c r="U586" s="380"/>
      <c r="V586" s="380"/>
      <c r="W586" s="380"/>
      <c r="X586" s="380"/>
    </row>
    <row r="587" spans="1:24" ht="15.75" customHeight="1">
      <c r="A587" s="463"/>
      <c r="B587" s="380"/>
      <c r="C587" s="381"/>
      <c r="D587" s="381"/>
      <c r="E587" s="381"/>
      <c r="F587" s="381"/>
      <c r="G587" s="381"/>
      <c r="H587" s="381"/>
      <c r="I587" s="381"/>
      <c r="J587" s="381"/>
      <c r="K587" s="382"/>
      <c r="L587" s="380"/>
      <c r="M587" s="413"/>
      <c r="N587" s="383"/>
      <c r="O587" s="384"/>
      <c r="P587" s="384"/>
      <c r="Q587" s="383"/>
      <c r="R587" s="383"/>
      <c r="S587" s="385"/>
      <c r="T587" s="380"/>
      <c r="U587" s="380"/>
      <c r="V587" s="380"/>
      <c r="W587" s="380"/>
      <c r="X587" s="380"/>
    </row>
    <row r="588" spans="1:24" ht="15.75" customHeight="1">
      <c r="A588" s="463"/>
      <c r="B588" s="380"/>
      <c r="C588" s="381"/>
      <c r="D588" s="381"/>
      <c r="E588" s="381"/>
      <c r="F588" s="381"/>
      <c r="G588" s="381"/>
      <c r="H588" s="381"/>
      <c r="I588" s="381"/>
      <c r="J588" s="381"/>
      <c r="K588" s="382"/>
      <c r="L588" s="380"/>
      <c r="M588" s="413"/>
      <c r="N588" s="383"/>
      <c r="O588" s="384"/>
      <c r="P588" s="384"/>
      <c r="Q588" s="383"/>
      <c r="R588" s="383"/>
      <c r="S588" s="385"/>
      <c r="T588" s="380"/>
      <c r="U588" s="380"/>
      <c r="V588" s="380"/>
      <c r="W588" s="380"/>
      <c r="X588" s="380"/>
    </row>
    <row r="589" spans="1:24" ht="15.75" customHeight="1">
      <c r="A589" s="463"/>
      <c r="B589" s="380"/>
      <c r="C589" s="381"/>
      <c r="D589" s="381"/>
      <c r="E589" s="381"/>
      <c r="F589" s="381"/>
      <c r="G589" s="381"/>
      <c r="H589" s="381"/>
      <c r="I589" s="381"/>
      <c r="J589" s="381"/>
      <c r="K589" s="382"/>
      <c r="L589" s="380"/>
      <c r="M589" s="413"/>
      <c r="N589" s="383"/>
      <c r="O589" s="384"/>
      <c r="P589" s="384"/>
      <c r="Q589" s="383"/>
      <c r="R589" s="383"/>
      <c r="S589" s="385"/>
      <c r="T589" s="380"/>
      <c r="U589" s="380"/>
      <c r="V589" s="380"/>
      <c r="W589" s="380"/>
      <c r="X589" s="380"/>
    </row>
    <row r="590" spans="1:24" ht="15.75" customHeight="1">
      <c r="A590" s="463"/>
      <c r="B590" s="380"/>
      <c r="C590" s="381"/>
      <c r="D590" s="381"/>
      <c r="E590" s="381"/>
      <c r="F590" s="381"/>
      <c r="G590" s="381"/>
      <c r="H590" s="381"/>
      <c r="I590" s="381"/>
      <c r="J590" s="381"/>
      <c r="K590" s="382"/>
      <c r="L590" s="380"/>
      <c r="M590" s="413"/>
      <c r="N590" s="383"/>
      <c r="O590" s="384"/>
      <c r="P590" s="384"/>
      <c r="Q590" s="383"/>
      <c r="R590" s="383"/>
      <c r="S590" s="385"/>
      <c r="T590" s="380"/>
      <c r="U590" s="380"/>
      <c r="V590" s="380"/>
      <c r="W590" s="380"/>
      <c r="X590" s="380"/>
    </row>
    <row r="591" spans="1:24" ht="15.75" customHeight="1">
      <c r="A591" s="463"/>
      <c r="B591" s="380"/>
      <c r="C591" s="381"/>
      <c r="D591" s="381"/>
      <c r="E591" s="381"/>
      <c r="F591" s="381"/>
      <c r="G591" s="381"/>
      <c r="H591" s="381"/>
      <c r="I591" s="381"/>
      <c r="J591" s="381"/>
      <c r="K591" s="382"/>
      <c r="L591" s="380"/>
      <c r="M591" s="413"/>
      <c r="N591" s="383"/>
      <c r="O591" s="384"/>
      <c r="P591" s="384"/>
      <c r="Q591" s="383"/>
      <c r="R591" s="383"/>
      <c r="S591" s="385"/>
      <c r="T591" s="380"/>
      <c r="U591" s="380"/>
      <c r="V591" s="380"/>
      <c r="W591" s="380"/>
      <c r="X591" s="380"/>
    </row>
    <row r="592" spans="1:24" ht="15.75" customHeight="1">
      <c r="A592" s="463"/>
      <c r="B592" s="380"/>
      <c r="C592" s="381"/>
      <c r="D592" s="381"/>
      <c r="E592" s="381"/>
      <c r="F592" s="381"/>
      <c r="G592" s="381"/>
      <c r="H592" s="381"/>
      <c r="I592" s="381"/>
      <c r="J592" s="381"/>
      <c r="K592" s="382"/>
      <c r="L592" s="380"/>
      <c r="M592" s="413"/>
      <c r="N592" s="383"/>
      <c r="O592" s="384"/>
      <c r="P592" s="384"/>
      <c r="Q592" s="383"/>
      <c r="R592" s="383"/>
      <c r="S592" s="385"/>
      <c r="T592" s="380"/>
      <c r="U592" s="380"/>
      <c r="V592" s="380"/>
      <c r="W592" s="380"/>
      <c r="X592" s="380"/>
    </row>
    <row r="593" spans="1:24" ht="15.75" customHeight="1">
      <c r="A593" s="463"/>
      <c r="B593" s="380"/>
      <c r="C593" s="381"/>
      <c r="D593" s="381"/>
      <c r="E593" s="381"/>
      <c r="F593" s="381"/>
      <c r="G593" s="381"/>
      <c r="H593" s="381"/>
      <c r="I593" s="381"/>
      <c r="J593" s="381"/>
      <c r="K593" s="382"/>
      <c r="L593" s="380"/>
      <c r="M593" s="413"/>
      <c r="N593" s="383"/>
      <c r="O593" s="384"/>
      <c r="P593" s="384"/>
      <c r="Q593" s="383"/>
      <c r="R593" s="383"/>
      <c r="S593" s="385"/>
      <c r="T593" s="380"/>
      <c r="U593" s="380"/>
      <c r="V593" s="380"/>
      <c r="W593" s="380"/>
      <c r="X593" s="380"/>
    </row>
    <row r="594" spans="1:24" ht="15.75" customHeight="1">
      <c r="A594" s="463"/>
      <c r="B594" s="380"/>
      <c r="C594" s="381"/>
      <c r="D594" s="381"/>
      <c r="E594" s="381"/>
      <c r="F594" s="381"/>
      <c r="G594" s="381"/>
      <c r="H594" s="381"/>
      <c r="I594" s="381"/>
      <c r="J594" s="381"/>
      <c r="K594" s="382"/>
      <c r="L594" s="380"/>
      <c r="M594" s="413"/>
      <c r="N594" s="383"/>
      <c r="O594" s="384"/>
      <c r="P594" s="384"/>
      <c r="Q594" s="383"/>
      <c r="R594" s="383"/>
      <c r="S594" s="385"/>
      <c r="T594" s="380"/>
      <c r="U594" s="380"/>
      <c r="V594" s="380"/>
      <c r="W594" s="380"/>
      <c r="X594" s="380"/>
    </row>
    <row r="595" spans="1:24" ht="15.75" customHeight="1">
      <c r="A595" s="463"/>
      <c r="B595" s="380"/>
      <c r="C595" s="381"/>
      <c r="D595" s="381"/>
      <c r="E595" s="381"/>
      <c r="F595" s="381"/>
      <c r="G595" s="381"/>
      <c r="H595" s="381"/>
      <c r="I595" s="381"/>
      <c r="J595" s="381"/>
      <c r="K595" s="382"/>
      <c r="L595" s="380"/>
      <c r="M595" s="413"/>
      <c r="N595" s="383"/>
      <c r="O595" s="384"/>
      <c r="P595" s="384"/>
      <c r="Q595" s="383"/>
      <c r="R595" s="383"/>
      <c r="S595" s="385"/>
      <c r="T595" s="380"/>
      <c r="U595" s="380"/>
      <c r="V595" s="380"/>
      <c r="W595" s="380"/>
      <c r="X595" s="380"/>
    </row>
    <row r="596" spans="1:24" ht="15.75" customHeight="1">
      <c r="A596" s="463"/>
      <c r="B596" s="380"/>
      <c r="C596" s="381"/>
      <c r="D596" s="381"/>
      <c r="E596" s="381"/>
      <c r="F596" s="381"/>
      <c r="G596" s="381"/>
      <c r="H596" s="381"/>
      <c r="I596" s="381"/>
      <c r="J596" s="381"/>
      <c r="K596" s="382"/>
      <c r="L596" s="380"/>
      <c r="M596" s="413"/>
      <c r="N596" s="383"/>
      <c r="O596" s="384"/>
      <c r="P596" s="384"/>
      <c r="Q596" s="383"/>
      <c r="R596" s="383"/>
      <c r="S596" s="385"/>
      <c r="T596" s="380"/>
      <c r="U596" s="380"/>
      <c r="V596" s="380"/>
      <c r="W596" s="380"/>
      <c r="X596" s="380"/>
    </row>
    <row r="597" spans="1:24" ht="15.75" customHeight="1">
      <c r="A597" s="463"/>
      <c r="B597" s="380"/>
      <c r="C597" s="381"/>
      <c r="D597" s="381"/>
      <c r="E597" s="381"/>
      <c r="F597" s="381"/>
      <c r="G597" s="381"/>
      <c r="H597" s="381"/>
      <c r="I597" s="381"/>
      <c r="J597" s="381"/>
      <c r="K597" s="382"/>
      <c r="L597" s="380"/>
      <c r="M597" s="413"/>
      <c r="N597" s="383"/>
      <c r="O597" s="384"/>
      <c r="P597" s="384"/>
      <c r="Q597" s="383"/>
      <c r="R597" s="383"/>
      <c r="S597" s="385"/>
      <c r="T597" s="380"/>
      <c r="U597" s="380"/>
      <c r="V597" s="380"/>
      <c r="W597" s="380"/>
      <c r="X597" s="380"/>
    </row>
    <row r="598" spans="1:24" ht="15.75" customHeight="1">
      <c r="A598" s="463"/>
      <c r="B598" s="380"/>
      <c r="C598" s="381"/>
      <c r="D598" s="381"/>
      <c r="E598" s="381"/>
      <c r="F598" s="381"/>
      <c r="G598" s="381"/>
      <c r="H598" s="381"/>
      <c r="I598" s="381"/>
      <c r="J598" s="381"/>
      <c r="K598" s="382"/>
      <c r="L598" s="380"/>
      <c r="M598" s="413"/>
      <c r="N598" s="383"/>
      <c r="O598" s="384"/>
      <c r="P598" s="384"/>
      <c r="Q598" s="383"/>
      <c r="R598" s="383"/>
      <c r="S598" s="385"/>
      <c r="T598" s="380"/>
      <c r="U598" s="380"/>
      <c r="V598" s="380"/>
      <c r="W598" s="380"/>
      <c r="X598" s="380"/>
    </row>
    <row r="599" spans="1:24" ht="15.75" customHeight="1">
      <c r="A599" s="463"/>
      <c r="B599" s="380"/>
      <c r="C599" s="381"/>
      <c r="D599" s="381"/>
      <c r="E599" s="381"/>
      <c r="F599" s="381"/>
      <c r="G599" s="381"/>
      <c r="H599" s="381"/>
      <c r="I599" s="381"/>
      <c r="J599" s="381"/>
      <c r="K599" s="382"/>
      <c r="L599" s="380"/>
      <c r="M599" s="413"/>
      <c r="N599" s="383"/>
      <c r="O599" s="384"/>
      <c r="P599" s="384"/>
      <c r="Q599" s="383"/>
      <c r="R599" s="383"/>
      <c r="S599" s="385"/>
      <c r="T599" s="380"/>
      <c r="U599" s="380"/>
      <c r="V599" s="380"/>
      <c r="W599" s="380"/>
      <c r="X599" s="380"/>
    </row>
    <row r="600" spans="1:24" ht="15.75" customHeight="1">
      <c r="A600" s="463"/>
      <c r="B600" s="380"/>
      <c r="C600" s="381"/>
      <c r="D600" s="381"/>
      <c r="E600" s="381"/>
      <c r="F600" s="381"/>
      <c r="G600" s="381"/>
      <c r="H600" s="381"/>
      <c r="I600" s="381"/>
      <c r="J600" s="381"/>
      <c r="K600" s="382"/>
      <c r="L600" s="380"/>
      <c r="M600" s="413"/>
      <c r="N600" s="383"/>
      <c r="O600" s="384"/>
      <c r="P600" s="384"/>
      <c r="Q600" s="383"/>
      <c r="R600" s="383"/>
      <c r="S600" s="385"/>
      <c r="T600" s="380"/>
      <c r="U600" s="380"/>
      <c r="V600" s="380"/>
      <c r="W600" s="380"/>
      <c r="X600" s="380"/>
    </row>
    <row r="601" spans="1:24" ht="15.75" customHeight="1">
      <c r="A601" s="463"/>
      <c r="B601" s="380"/>
      <c r="C601" s="381"/>
      <c r="D601" s="381"/>
      <c r="E601" s="381"/>
      <c r="F601" s="381"/>
      <c r="G601" s="381"/>
      <c r="H601" s="381"/>
      <c r="I601" s="381"/>
      <c r="J601" s="381"/>
      <c r="K601" s="382"/>
      <c r="L601" s="380"/>
      <c r="M601" s="413"/>
      <c r="N601" s="383"/>
      <c r="O601" s="384"/>
      <c r="P601" s="384"/>
      <c r="Q601" s="383"/>
      <c r="R601" s="383"/>
      <c r="S601" s="385"/>
      <c r="T601" s="380"/>
      <c r="U601" s="380"/>
      <c r="V601" s="380"/>
      <c r="W601" s="380"/>
      <c r="X601" s="380"/>
    </row>
    <row r="602" spans="1:24" ht="15.75" customHeight="1">
      <c r="A602" s="463"/>
      <c r="B602" s="380"/>
      <c r="C602" s="381"/>
      <c r="D602" s="381"/>
      <c r="E602" s="381"/>
      <c r="F602" s="381"/>
      <c r="G602" s="381"/>
      <c r="H602" s="381"/>
      <c r="I602" s="381"/>
      <c r="J602" s="381"/>
      <c r="K602" s="382"/>
      <c r="L602" s="380"/>
      <c r="M602" s="413"/>
      <c r="N602" s="383"/>
      <c r="O602" s="384"/>
      <c r="P602" s="384"/>
      <c r="Q602" s="383"/>
      <c r="R602" s="383"/>
      <c r="S602" s="385"/>
      <c r="T602" s="380"/>
      <c r="U602" s="380"/>
      <c r="V602" s="380"/>
      <c r="W602" s="380"/>
      <c r="X602" s="380"/>
    </row>
    <row r="603" spans="1:24" ht="15.75" customHeight="1">
      <c r="A603" s="463"/>
      <c r="B603" s="380"/>
      <c r="C603" s="381"/>
      <c r="D603" s="381"/>
      <c r="E603" s="381"/>
      <c r="F603" s="381"/>
      <c r="G603" s="381"/>
      <c r="H603" s="381"/>
      <c r="I603" s="381"/>
      <c r="J603" s="381"/>
      <c r="K603" s="382"/>
      <c r="L603" s="380"/>
      <c r="M603" s="413"/>
      <c r="N603" s="383"/>
      <c r="O603" s="384"/>
      <c r="P603" s="384"/>
      <c r="Q603" s="383"/>
      <c r="R603" s="383"/>
      <c r="S603" s="385"/>
      <c r="T603" s="380"/>
      <c r="U603" s="380"/>
      <c r="V603" s="380"/>
      <c r="W603" s="380"/>
      <c r="X603" s="380"/>
    </row>
    <row r="604" spans="1:24" ht="15.75" customHeight="1">
      <c r="A604" s="463"/>
      <c r="B604" s="380"/>
      <c r="C604" s="381"/>
      <c r="D604" s="381"/>
      <c r="E604" s="381"/>
      <c r="F604" s="381"/>
      <c r="G604" s="381"/>
      <c r="H604" s="381"/>
      <c r="I604" s="381"/>
      <c r="J604" s="381"/>
      <c r="K604" s="382"/>
      <c r="L604" s="380"/>
      <c r="M604" s="413"/>
      <c r="N604" s="383"/>
      <c r="O604" s="384"/>
      <c r="P604" s="384"/>
      <c r="Q604" s="383"/>
      <c r="R604" s="383"/>
      <c r="S604" s="385"/>
      <c r="T604" s="380"/>
      <c r="U604" s="380"/>
      <c r="V604" s="380"/>
      <c r="W604" s="380"/>
      <c r="X604" s="380"/>
    </row>
    <row r="605" spans="1:24" ht="15.75" customHeight="1">
      <c r="A605" s="463"/>
      <c r="B605" s="380"/>
      <c r="C605" s="381"/>
      <c r="D605" s="381"/>
      <c r="E605" s="381"/>
      <c r="F605" s="381"/>
      <c r="G605" s="381"/>
      <c r="H605" s="381"/>
      <c r="I605" s="381"/>
      <c r="J605" s="381"/>
      <c r="K605" s="382"/>
      <c r="L605" s="380"/>
      <c r="M605" s="413"/>
      <c r="N605" s="383"/>
      <c r="O605" s="384"/>
      <c r="P605" s="384"/>
      <c r="Q605" s="383"/>
      <c r="R605" s="383"/>
      <c r="S605" s="385"/>
      <c r="T605" s="380"/>
      <c r="U605" s="380"/>
      <c r="V605" s="380"/>
      <c r="W605" s="380"/>
      <c r="X605" s="380"/>
    </row>
    <row r="606" spans="1:24" ht="15.75" customHeight="1">
      <c r="A606" s="463"/>
      <c r="B606" s="380"/>
      <c r="C606" s="381"/>
      <c r="D606" s="381"/>
      <c r="E606" s="381"/>
      <c r="F606" s="381"/>
      <c r="G606" s="381"/>
      <c r="H606" s="381"/>
      <c r="I606" s="381"/>
      <c r="J606" s="381"/>
      <c r="K606" s="382"/>
      <c r="L606" s="380"/>
      <c r="M606" s="413"/>
      <c r="N606" s="383"/>
      <c r="O606" s="384"/>
      <c r="P606" s="384"/>
      <c r="Q606" s="383"/>
      <c r="R606" s="383"/>
      <c r="S606" s="385"/>
      <c r="T606" s="380"/>
      <c r="U606" s="380"/>
      <c r="V606" s="380"/>
      <c r="W606" s="380"/>
      <c r="X606" s="380"/>
    </row>
    <row r="607" spans="1:24" ht="15.75" customHeight="1">
      <c r="A607" s="463"/>
      <c r="B607" s="380"/>
      <c r="C607" s="381"/>
      <c r="D607" s="381"/>
      <c r="E607" s="381"/>
      <c r="F607" s="381"/>
      <c r="G607" s="381"/>
      <c r="H607" s="381"/>
      <c r="I607" s="381"/>
      <c r="J607" s="381"/>
      <c r="K607" s="382"/>
      <c r="L607" s="380"/>
      <c r="M607" s="413"/>
      <c r="N607" s="383"/>
      <c r="O607" s="384"/>
      <c r="P607" s="384"/>
      <c r="Q607" s="383"/>
      <c r="R607" s="383"/>
      <c r="S607" s="385"/>
      <c r="T607" s="380"/>
      <c r="U607" s="380"/>
      <c r="V607" s="380"/>
      <c r="W607" s="380"/>
      <c r="X607" s="380"/>
    </row>
    <row r="608" spans="1:24" ht="15.75" customHeight="1">
      <c r="A608" s="463"/>
      <c r="B608" s="380"/>
      <c r="C608" s="381"/>
      <c r="D608" s="381"/>
      <c r="E608" s="381"/>
      <c r="F608" s="381"/>
      <c r="G608" s="381"/>
      <c r="H608" s="381"/>
      <c r="I608" s="381"/>
      <c r="J608" s="381"/>
      <c r="K608" s="382"/>
      <c r="L608" s="380"/>
      <c r="M608" s="413"/>
      <c r="N608" s="383"/>
      <c r="O608" s="384"/>
      <c r="P608" s="384"/>
      <c r="Q608" s="383"/>
      <c r="R608" s="383"/>
      <c r="S608" s="385"/>
      <c r="T608" s="380"/>
      <c r="U608" s="380"/>
      <c r="V608" s="380"/>
      <c r="W608" s="380"/>
      <c r="X608" s="380"/>
    </row>
    <row r="609" spans="1:24" ht="15.75" customHeight="1">
      <c r="A609" s="463"/>
      <c r="B609" s="380"/>
      <c r="C609" s="381"/>
      <c r="D609" s="381"/>
      <c r="E609" s="381"/>
      <c r="F609" s="381"/>
      <c r="G609" s="381"/>
      <c r="H609" s="381"/>
      <c r="I609" s="381"/>
      <c r="J609" s="381"/>
      <c r="K609" s="382"/>
      <c r="L609" s="380"/>
      <c r="M609" s="413"/>
      <c r="N609" s="383"/>
      <c r="O609" s="384"/>
      <c r="P609" s="384"/>
      <c r="Q609" s="383"/>
      <c r="R609" s="383"/>
      <c r="S609" s="385"/>
      <c r="T609" s="380"/>
      <c r="U609" s="380"/>
      <c r="V609" s="380"/>
      <c r="W609" s="380"/>
      <c r="X609" s="380"/>
    </row>
    <row r="610" spans="1:24" ht="15.75" customHeight="1">
      <c r="A610" s="463"/>
      <c r="B610" s="380"/>
      <c r="C610" s="381"/>
      <c r="D610" s="381"/>
      <c r="E610" s="381"/>
      <c r="F610" s="381"/>
      <c r="G610" s="381"/>
      <c r="H610" s="381"/>
      <c r="I610" s="381"/>
      <c r="J610" s="381"/>
      <c r="K610" s="382"/>
      <c r="L610" s="380"/>
      <c r="M610" s="413"/>
      <c r="N610" s="383"/>
      <c r="O610" s="384"/>
      <c r="P610" s="384"/>
      <c r="Q610" s="383"/>
      <c r="R610" s="383"/>
      <c r="S610" s="385"/>
      <c r="T610" s="380"/>
      <c r="U610" s="380"/>
      <c r="V610" s="380"/>
      <c r="W610" s="380"/>
      <c r="X610" s="380"/>
    </row>
    <row r="611" spans="1:24" ht="15.75" customHeight="1">
      <c r="A611" s="463"/>
      <c r="B611" s="380"/>
      <c r="C611" s="381"/>
      <c r="D611" s="381"/>
      <c r="E611" s="381"/>
      <c r="F611" s="381"/>
      <c r="G611" s="381"/>
      <c r="H611" s="381"/>
      <c r="I611" s="381"/>
      <c r="J611" s="381"/>
      <c r="K611" s="382"/>
      <c r="L611" s="380"/>
      <c r="M611" s="413"/>
      <c r="N611" s="383"/>
      <c r="O611" s="384"/>
      <c r="P611" s="384"/>
      <c r="Q611" s="383"/>
      <c r="R611" s="383"/>
      <c r="S611" s="385"/>
      <c r="T611" s="380"/>
      <c r="U611" s="380"/>
      <c r="V611" s="380"/>
      <c r="W611" s="380"/>
      <c r="X611" s="380"/>
    </row>
    <row r="612" spans="1:24" ht="15.75" customHeight="1">
      <c r="A612" s="463"/>
      <c r="B612" s="380"/>
      <c r="C612" s="381"/>
      <c r="D612" s="381"/>
      <c r="E612" s="381"/>
      <c r="F612" s="381"/>
      <c r="G612" s="381"/>
      <c r="H612" s="381"/>
      <c r="I612" s="381"/>
      <c r="J612" s="381"/>
      <c r="K612" s="382"/>
      <c r="L612" s="380"/>
      <c r="M612" s="413"/>
      <c r="N612" s="383"/>
      <c r="O612" s="384"/>
      <c r="P612" s="384"/>
      <c r="Q612" s="383"/>
      <c r="R612" s="383"/>
      <c r="S612" s="385"/>
      <c r="T612" s="380"/>
      <c r="U612" s="380"/>
      <c r="V612" s="380"/>
      <c r="W612" s="380"/>
      <c r="X612" s="380"/>
    </row>
    <row r="613" spans="1:24" ht="15.75" customHeight="1">
      <c r="A613" s="463"/>
      <c r="B613" s="380"/>
      <c r="C613" s="381"/>
      <c r="D613" s="381"/>
      <c r="E613" s="381"/>
      <c r="F613" s="381"/>
      <c r="G613" s="381"/>
      <c r="H613" s="381"/>
      <c r="I613" s="381"/>
      <c r="J613" s="381"/>
      <c r="K613" s="382"/>
      <c r="L613" s="380"/>
      <c r="M613" s="413"/>
      <c r="N613" s="383"/>
      <c r="O613" s="384"/>
      <c r="P613" s="384"/>
      <c r="Q613" s="383"/>
      <c r="R613" s="383"/>
      <c r="S613" s="385"/>
      <c r="T613" s="380"/>
      <c r="U613" s="380"/>
      <c r="V613" s="380"/>
      <c r="W613" s="380"/>
      <c r="X613" s="380"/>
    </row>
    <row r="614" spans="1:24" ht="15.75" customHeight="1">
      <c r="A614" s="463"/>
      <c r="B614" s="380"/>
      <c r="C614" s="381"/>
      <c r="D614" s="381"/>
      <c r="E614" s="381"/>
      <c r="F614" s="381"/>
      <c r="G614" s="381"/>
      <c r="H614" s="381"/>
      <c r="I614" s="381"/>
      <c r="J614" s="381"/>
      <c r="K614" s="382"/>
      <c r="L614" s="380"/>
      <c r="M614" s="413"/>
      <c r="N614" s="383"/>
      <c r="O614" s="384"/>
      <c r="P614" s="384"/>
      <c r="Q614" s="383"/>
      <c r="R614" s="383"/>
      <c r="S614" s="385"/>
      <c r="T614" s="380"/>
      <c r="U614" s="380"/>
      <c r="V614" s="380"/>
      <c r="W614" s="380"/>
      <c r="X614" s="380"/>
    </row>
    <row r="615" spans="1:24" ht="15.75" customHeight="1">
      <c r="A615" s="463"/>
      <c r="B615" s="380"/>
      <c r="C615" s="381"/>
      <c r="D615" s="381"/>
      <c r="E615" s="381"/>
      <c r="F615" s="381"/>
      <c r="G615" s="381"/>
      <c r="H615" s="381"/>
      <c r="I615" s="381"/>
      <c r="J615" s="381"/>
      <c r="K615" s="382"/>
      <c r="L615" s="380"/>
      <c r="M615" s="413"/>
      <c r="N615" s="383"/>
      <c r="O615" s="384"/>
      <c r="P615" s="384"/>
      <c r="Q615" s="383"/>
      <c r="R615" s="383"/>
      <c r="S615" s="385"/>
      <c r="T615" s="380"/>
      <c r="U615" s="380"/>
      <c r="V615" s="380"/>
      <c r="W615" s="380"/>
      <c r="X615" s="380"/>
    </row>
    <row r="616" spans="1:24" ht="15.75" customHeight="1">
      <c r="A616" s="463"/>
      <c r="B616" s="380"/>
      <c r="C616" s="381"/>
      <c r="D616" s="381"/>
      <c r="E616" s="381"/>
      <c r="F616" s="381"/>
      <c r="G616" s="381"/>
      <c r="H616" s="381"/>
      <c r="I616" s="381"/>
      <c r="J616" s="381"/>
      <c r="K616" s="382"/>
      <c r="L616" s="380"/>
      <c r="M616" s="413"/>
      <c r="N616" s="383"/>
      <c r="O616" s="384"/>
      <c r="P616" s="384"/>
      <c r="Q616" s="383"/>
      <c r="R616" s="383"/>
      <c r="S616" s="385"/>
      <c r="T616" s="380"/>
      <c r="U616" s="380"/>
      <c r="V616" s="380"/>
      <c r="W616" s="380"/>
      <c r="X616" s="380"/>
    </row>
    <row r="617" spans="1:24" ht="15.75" customHeight="1">
      <c r="A617" s="463"/>
      <c r="B617" s="380"/>
      <c r="C617" s="381"/>
      <c r="D617" s="381"/>
      <c r="E617" s="381"/>
      <c r="F617" s="381"/>
      <c r="G617" s="381"/>
      <c r="H617" s="381"/>
      <c r="I617" s="381"/>
      <c r="J617" s="381"/>
      <c r="K617" s="382"/>
      <c r="L617" s="380"/>
      <c r="M617" s="413"/>
      <c r="N617" s="383"/>
      <c r="O617" s="384"/>
      <c r="P617" s="384"/>
      <c r="Q617" s="383"/>
      <c r="R617" s="383"/>
      <c r="S617" s="385"/>
      <c r="T617" s="380"/>
      <c r="U617" s="380"/>
      <c r="V617" s="380"/>
      <c r="W617" s="380"/>
      <c r="X617" s="380"/>
    </row>
    <row r="618" spans="1:24" ht="15.75" customHeight="1">
      <c r="A618" s="463"/>
      <c r="B618" s="380"/>
      <c r="C618" s="381"/>
      <c r="D618" s="381"/>
      <c r="E618" s="381"/>
      <c r="F618" s="381"/>
      <c r="G618" s="381"/>
      <c r="H618" s="381"/>
      <c r="I618" s="381"/>
      <c r="J618" s="381"/>
      <c r="K618" s="382"/>
      <c r="L618" s="380"/>
      <c r="M618" s="413"/>
      <c r="N618" s="383"/>
      <c r="O618" s="384"/>
      <c r="P618" s="384"/>
      <c r="Q618" s="383"/>
      <c r="R618" s="383"/>
      <c r="S618" s="385"/>
      <c r="T618" s="380"/>
      <c r="U618" s="380"/>
      <c r="V618" s="380"/>
      <c r="W618" s="380"/>
      <c r="X618" s="380"/>
    </row>
    <row r="619" spans="1:24" ht="15.75" customHeight="1">
      <c r="A619" s="463"/>
      <c r="B619" s="380"/>
      <c r="C619" s="381"/>
      <c r="D619" s="381"/>
      <c r="E619" s="381"/>
      <c r="F619" s="381"/>
      <c r="G619" s="381"/>
      <c r="H619" s="381"/>
      <c r="I619" s="381"/>
      <c r="J619" s="381"/>
      <c r="K619" s="382"/>
      <c r="L619" s="380"/>
      <c r="M619" s="413"/>
      <c r="N619" s="383"/>
      <c r="O619" s="384"/>
      <c r="P619" s="384"/>
      <c r="Q619" s="383"/>
      <c r="R619" s="383"/>
      <c r="S619" s="385"/>
      <c r="T619" s="380"/>
      <c r="U619" s="380"/>
      <c r="V619" s="380"/>
      <c r="W619" s="380"/>
      <c r="X619" s="380"/>
    </row>
    <row r="620" spans="1:24" ht="15.75" customHeight="1">
      <c r="A620" s="463"/>
      <c r="B620" s="380"/>
      <c r="C620" s="381"/>
      <c r="D620" s="381"/>
      <c r="E620" s="381"/>
      <c r="F620" s="381"/>
      <c r="G620" s="381"/>
      <c r="H620" s="381"/>
      <c r="I620" s="381"/>
      <c r="J620" s="381"/>
      <c r="K620" s="382"/>
      <c r="L620" s="380"/>
      <c r="M620" s="413"/>
      <c r="N620" s="383"/>
      <c r="O620" s="384"/>
      <c r="P620" s="384"/>
      <c r="Q620" s="383"/>
      <c r="R620" s="383"/>
      <c r="S620" s="385"/>
      <c r="T620" s="380"/>
      <c r="U620" s="380"/>
      <c r="V620" s="380"/>
      <c r="W620" s="380"/>
      <c r="X620" s="380"/>
    </row>
    <row r="621" spans="1:24" ht="15.75" customHeight="1">
      <c r="A621" s="463"/>
      <c r="B621" s="380"/>
      <c r="C621" s="381"/>
      <c r="D621" s="381"/>
      <c r="E621" s="381"/>
      <c r="F621" s="381"/>
      <c r="G621" s="381"/>
      <c r="H621" s="381"/>
      <c r="I621" s="381"/>
      <c r="J621" s="381"/>
      <c r="K621" s="382"/>
      <c r="L621" s="380"/>
      <c r="M621" s="413"/>
      <c r="N621" s="383"/>
      <c r="O621" s="384"/>
      <c r="P621" s="384"/>
      <c r="Q621" s="383"/>
      <c r="R621" s="383"/>
      <c r="S621" s="385"/>
      <c r="T621" s="380"/>
      <c r="U621" s="380"/>
      <c r="V621" s="380"/>
      <c r="W621" s="380"/>
      <c r="X621" s="380"/>
    </row>
    <row r="622" spans="1:24" ht="15.75" customHeight="1">
      <c r="A622" s="463"/>
      <c r="B622" s="380"/>
      <c r="C622" s="381"/>
      <c r="D622" s="381"/>
      <c r="E622" s="381"/>
      <c r="F622" s="381"/>
      <c r="G622" s="381"/>
      <c r="H622" s="381"/>
      <c r="I622" s="381"/>
      <c r="J622" s="381"/>
      <c r="K622" s="382"/>
      <c r="L622" s="380"/>
      <c r="M622" s="413"/>
      <c r="N622" s="383"/>
      <c r="O622" s="384"/>
      <c r="P622" s="384"/>
      <c r="Q622" s="383"/>
      <c r="R622" s="383"/>
      <c r="S622" s="385"/>
      <c r="T622" s="380"/>
      <c r="U622" s="380"/>
      <c r="V622" s="380"/>
      <c r="W622" s="380"/>
      <c r="X622" s="380"/>
    </row>
    <row r="623" spans="1:24" ht="15.75" customHeight="1">
      <c r="A623" s="463"/>
      <c r="B623" s="380"/>
      <c r="C623" s="381"/>
      <c r="D623" s="381"/>
      <c r="E623" s="381"/>
      <c r="F623" s="381"/>
      <c r="G623" s="381"/>
      <c r="H623" s="381"/>
      <c r="I623" s="381"/>
      <c r="J623" s="381"/>
      <c r="K623" s="382"/>
      <c r="L623" s="380"/>
      <c r="M623" s="413"/>
      <c r="N623" s="383"/>
      <c r="O623" s="384"/>
      <c r="P623" s="384"/>
      <c r="Q623" s="383"/>
      <c r="R623" s="383"/>
      <c r="S623" s="385"/>
      <c r="T623" s="380"/>
      <c r="U623" s="380"/>
      <c r="V623" s="380"/>
      <c r="W623" s="380"/>
      <c r="X623" s="380"/>
    </row>
    <row r="624" spans="1:24" ht="15.75" customHeight="1">
      <c r="A624" s="463"/>
      <c r="B624" s="380"/>
      <c r="C624" s="381"/>
      <c r="D624" s="381"/>
      <c r="E624" s="381"/>
      <c r="F624" s="381"/>
      <c r="G624" s="381"/>
      <c r="H624" s="381"/>
      <c r="I624" s="381"/>
      <c r="J624" s="381"/>
      <c r="K624" s="382"/>
      <c r="L624" s="380"/>
      <c r="M624" s="413"/>
      <c r="N624" s="383"/>
      <c r="O624" s="384"/>
      <c r="P624" s="384"/>
      <c r="Q624" s="383"/>
      <c r="R624" s="383"/>
      <c r="S624" s="385"/>
      <c r="T624" s="380"/>
      <c r="U624" s="380"/>
      <c r="V624" s="380"/>
      <c r="W624" s="380"/>
      <c r="X624" s="380"/>
    </row>
    <row r="625" spans="1:24" ht="15.75" customHeight="1">
      <c r="A625" s="463"/>
      <c r="B625" s="380"/>
      <c r="C625" s="381"/>
      <c r="D625" s="381"/>
      <c r="E625" s="381"/>
      <c r="F625" s="381"/>
      <c r="G625" s="381"/>
      <c r="H625" s="381"/>
      <c r="I625" s="381"/>
      <c r="J625" s="381"/>
      <c r="K625" s="382"/>
      <c r="L625" s="380"/>
      <c r="M625" s="413"/>
      <c r="N625" s="383"/>
      <c r="O625" s="384"/>
      <c r="P625" s="384"/>
      <c r="Q625" s="383"/>
      <c r="R625" s="383"/>
      <c r="S625" s="385"/>
      <c r="T625" s="380"/>
      <c r="U625" s="380"/>
      <c r="V625" s="380"/>
      <c r="W625" s="380"/>
      <c r="X625" s="380"/>
    </row>
    <row r="626" spans="1:24" ht="15.75" customHeight="1">
      <c r="A626" s="463"/>
      <c r="B626" s="380"/>
      <c r="C626" s="381"/>
      <c r="D626" s="381"/>
      <c r="E626" s="381"/>
      <c r="F626" s="381"/>
      <c r="G626" s="381"/>
      <c r="H626" s="381"/>
      <c r="I626" s="381"/>
      <c r="J626" s="381"/>
      <c r="K626" s="382"/>
      <c r="L626" s="380"/>
      <c r="M626" s="413"/>
      <c r="N626" s="383"/>
      <c r="O626" s="384"/>
      <c r="P626" s="384"/>
      <c r="Q626" s="383"/>
      <c r="R626" s="383"/>
      <c r="S626" s="385"/>
      <c r="T626" s="380"/>
      <c r="U626" s="380"/>
      <c r="V626" s="380"/>
      <c r="W626" s="380"/>
      <c r="X626" s="380"/>
    </row>
    <row r="627" spans="1:24" ht="15.75" customHeight="1">
      <c r="A627" s="463"/>
      <c r="B627" s="380"/>
      <c r="C627" s="381"/>
      <c r="D627" s="381"/>
      <c r="E627" s="381"/>
      <c r="F627" s="381"/>
      <c r="G627" s="381"/>
      <c r="H627" s="381"/>
      <c r="I627" s="381"/>
      <c r="J627" s="381"/>
      <c r="K627" s="382"/>
      <c r="L627" s="380"/>
      <c r="M627" s="413"/>
      <c r="N627" s="383"/>
      <c r="O627" s="384"/>
      <c r="P627" s="384"/>
      <c r="Q627" s="383"/>
      <c r="R627" s="383"/>
      <c r="S627" s="385"/>
      <c r="T627" s="380"/>
      <c r="U627" s="380"/>
      <c r="V627" s="380"/>
      <c r="W627" s="380"/>
      <c r="X627" s="380"/>
    </row>
    <row r="628" spans="1:24" ht="15.75" customHeight="1">
      <c r="A628" s="463"/>
      <c r="B628" s="380"/>
      <c r="C628" s="381"/>
      <c r="D628" s="381"/>
      <c r="E628" s="381"/>
      <c r="F628" s="381"/>
      <c r="G628" s="381"/>
      <c r="H628" s="381"/>
      <c r="I628" s="381"/>
      <c r="J628" s="381"/>
      <c r="K628" s="382"/>
      <c r="L628" s="380"/>
      <c r="M628" s="413"/>
      <c r="N628" s="383"/>
      <c r="O628" s="384"/>
      <c r="P628" s="384"/>
      <c r="Q628" s="383"/>
      <c r="R628" s="383"/>
      <c r="S628" s="385"/>
      <c r="T628" s="380"/>
      <c r="U628" s="380"/>
      <c r="V628" s="380"/>
      <c r="W628" s="380"/>
      <c r="X628" s="380"/>
    </row>
    <row r="629" spans="1:24" ht="15.75" customHeight="1">
      <c r="A629" s="463"/>
      <c r="B629" s="380"/>
      <c r="C629" s="381"/>
      <c r="D629" s="381"/>
      <c r="E629" s="381"/>
      <c r="F629" s="381"/>
      <c r="G629" s="381"/>
      <c r="H629" s="381"/>
      <c r="I629" s="381"/>
      <c r="J629" s="381"/>
      <c r="K629" s="382"/>
      <c r="L629" s="380"/>
      <c r="M629" s="413"/>
      <c r="N629" s="383"/>
      <c r="O629" s="384"/>
      <c r="P629" s="384"/>
      <c r="Q629" s="383"/>
      <c r="R629" s="383"/>
      <c r="S629" s="385"/>
      <c r="T629" s="380"/>
      <c r="U629" s="380"/>
      <c r="V629" s="380"/>
      <c r="W629" s="380"/>
      <c r="X629" s="380"/>
    </row>
    <row r="630" spans="1:24" ht="15.75" customHeight="1">
      <c r="A630" s="463"/>
      <c r="B630" s="380"/>
      <c r="C630" s="381"/>
      <c r="D630" s="381"/>
      <c r="E630" s="381"/>
      <c r="F630" s="381"/>
      <c r="G630" s="381"/>
      <c r="H630" s="381"/>
      <c r="I630" s="381"/>
      <c r="J630" s="381"/>
      <c r="K630" s="382"/>
      <c r="L630" s="380"/>
      <c r="M630" s="413"/>
      <c r="N630" s="383"/>
      <c r="O630" s="384"/>
      <c r="P630" s="384"/>
      <c r="Q630" s="383"/>
      <c r="R630" s="383"/>
      <c r="S630" s="385"/>
      <c r="T630" s="380"/>
      <c r="U630" s="380"/>
      <c r="V630" s="380"/>
      <c r="W630" s="380"/>
      <c r="X630" s="380"/>
    </row>
    <row r="631" spans="1:24" ht="15.75" customHeight="1">
      <c r="A631" s="463"/>
      <c r="B631" s="380"/>
      <c r="C631" s="381"/>
      <c r="D631" s="381"/>
      <c r="E631" s="381"/>
      <c r="F631" s="381"/>
      <c r="G631" s="381"/>
      <c r="H631" s="381"/>
      <c r="I631" s="381"/>
      <c r="J631" s="381"/>
      <c r="K631" s="382"/>
      <c r="L631" s="380"/>
      <c r="M631" s="413"/>
      <c r="N631" s="383"/>
      <c r="O631" s="384"/>
      <c r="P631" s="384"/>
      <c r="Q631" s="383"/>
      <c r="R631" s="383"/>
      <c r="S631" s="385"/>
      <c r="T631" s="380"/>
      <c r="U631" s="380"/>
      <c r="V631" s="380"/>
      <c r="W631" s="380"/>
      <c r="X631" s="380"/>
    </row>
    <row r="632" spans="1:24" ht="15.75" customHeight="1">
      <c r="A632" s="463"/>
      <c r="B632" s="380"/>
      <c r="C632" s="381"/>
      <c r="D632" s="381"/>
      <c r="E632" s="381"/>
      <c r="F632" s="381"/>
      <c r="G632" s="381"/>
      <c r="H632" s="381"/>
      <c r="I632" s="381"/>
      <c r="J632" s="381"/>
      <c r="K632" s="382"/>
      <c r="L632" s="380"/>
      <c r="M632" s="413"/>
      <c r="N632" s="383"/>
      <c r="O632" s="384"/>
      <c r="P632" s="384"/>
      <c r="Q632" s="383"/>
      <c r="R632" s="383"/>
      <c r="S632" s="385"/>
      <c r="T632" s="380"/>
      <c r="U632" s="380"/>
      <c r="V632" s="380"/>
      <c r="W632" s="380"/>
      <c r="X632" s="380"/>
    </row>
    <row r="633" spans="1:24" ht="15.75" customHeight="1">
      <c r="A633" s="463"/>
      <c r="B633" s="380"/>
      <c r="C633" s="381"/>
      <c r="D633" s="381"/>
      <c r="E633" s="381"/>
      <c r="F633" s="381"/>
      <c r="G633" s="381"/>
      <c r="H633" s="381"/>
      <c r="I633" s="381"/>
      <c r="J633" s="381"/>
      <c r="K633" s="382"/>
      <c r="L633" s="380"/>
      <c r="M633" s="413"/>
      <c r="N633" s="383"/>
      <c r="O633" s="384"/>
      <c r="P633" s="384"/>
      <c r="Q633" s="383"/>
      <c r="R633" s="383"/>
      <c r="S633" s="385"/>
      <c r="T633" s="380"/>
      <c r="U633" s="380"/>
      <c r="V633" s="380"/>
      <c r="W633" s="380"/>
      <c r="X633" s="380"/>
    </row>
    <row r="634" spans="1:24" ht="15.75" customHeight="1">
      <c r="A634" s="463"/>
      <c r="B634" s="380"/>
      <c r="C634" s="381"/>
      <c r="D634" s="381"/>
      <c r="E634" s="381"/>
      <c r="F634" s="381"/>
      <c r="G634" s="381"/>
      <c r="H634" s="381"/>
      <c r="I634" s="381"/>
      <c r="J634" s="381"/>
      <c r="K634" s="382"/>
      <c r="L634" s="380"/>
      <c r="M634" s="413"/>
      <c r="N634" s="383"/>
      <c r="O634" s="384"/>
      <c r="P634" s="384"/>
      <c r="Q634" s="383"/>
      <c r="R634" s="383"/>
      <c r="S634" s="385"/>
      <c r="T634" s="380"/>
      <c r="U634" s="380"/>
      <c r="V634" s="380"/>
      <c r="W634" s="380"/>
      <c r="X634" s="380"/>
    </row>
    <row r="635" spans="1:24" ht="15.75" customHeight="1">
      <c r="A635" s="463"/>
      <c r="B635" s="380"/>
      <c r="C635" s="381"/>
      <c r="D635" s="381"/>
      <c r="E635" s="381"/>
      <c r="F635" s="381"/>
      <c r="G635" s="381"/>
      <c r="H635" s="381"/>
      <c r="I635" s="381"/>
      <c r="J635" s="381"/>
      <c r="K635" s="382"/>
      <c r="L635" s="380"/>
      <c r="M635" s="413"/>
      <c r="N635" s="383"/>
      <c r="O635" s="384"/>
      <c r="P635" s="384"/>
      <c r="Q635" s="383"/>
      <c r="R635" s="383"/>
      <c r="S635" s="385"/>
      <c r="T635" s="380"/>
      <c r="U635" s="380"/>
      <c r="V635" s="380"/>
      <c r="W635" s="380"/>
      <c r="X635" s="380"/>
    </row>
    <row r="636" spans="1:24" ht="15.75" customHeight="1">
      <c r="A636" s="463"/>
      <c r="B636" s="380"/>
      <c r="C636" s="381"/>
      <c r="D636" s="381"/>
      <c r="E636" s="381"/>
      <c r="F636" s="381"/>
      <c r="G636" s="381"/>
      <c r="H636" s="381"/>
      <c r="I636" s="381"/>
      <c r="J636" s="381"/>
      <c r="K636" s="382"/>
      <c r="L636" s="380"/>
      <c r="M636" s="413"/>
      <c r="N636" s="383"/>
      <c r="O636" s="384"/>
      <c r="P636" s="384"/>
      <c r="Q636" s="383"/>
      <c r="R636" s="383"/>
      <c r="S636" s="385"/>
      <c r="T636" s="380"/>
      <c r="U636" s="380"/>
      <c r="V636" s="380"/>
      <c r="W636" s="380"/>
      <c r="X636" s="380"/>
    </row>
    <row r="637" spans="1:24" ht="15.75" customHeight="1">
      <c r="A637" s="463"/>
      <c r="B637" s="380"/>
      <c r="C637" s="381"/>
      <c r="D637" s="381"/>
      <c r="E637" s="381"/>
      <c r="F637" s="381"/>
      <c r="G637" s="381"/>
      <c r="H637" s="381"/>
      <c r="I637" s="381"/>
      <c r="J637" s="381"/>
      <c r="K637" s="382"/>
      <c r="L637" s="380"/>
      <c r="M637" s="413"/>
      <c r="N637" s="383"/>
      <c r="O637" s="384"/>
      <c r="P637" s="384"/>
      <c r="Q637" s="383"/>
      <c r="R637" s="383"/>
      <c r="S637" s="385"/>
      <c r="T637" s="380"/>
      <c r="U637" s="380"/>
      <c r="V637" s="380"/>
      <c r="W637" s="380"/>
      <c r="X637" s="380"/>
    </row>
    <row r="638" spans="1:24" ht="15.75" customHeight="1">
      <c r="A638" s="463"/>
      <c r="B638" s="380"/>
      <c r="C638" s="381"/>
      <c r="D638" s="381"/>
      <c r="E638" s="381"/>
      <c r="F638" s="381"/>
      <c r="G638" s="381"/>
      <c r="H638" s="381"/>
      <c r="I638" s="381"/>
      <c r="J638" s="381"/>
      <c r="K638" s="382"/>
      <c r="L638" s="380"/>
      <c r="M638" s="413"/>
      <c r="N638" s="383"/>
      <c r="O638" s="384"/>
      <c r="P638" s="384"/>
      <c r="Q638" s="383"/>
      <c r="R638" s="383"/>
      <c r="S638" s="385"/>
      <c r="T638" s="380"/>
      <c r="U638" s="380"/>
      <c r="V638" s="380"/>
      <c r="W638" s="380"/>
      <c r="X638" s="380"/>
    </row>
    <row r="639" spans="1:24" ht="15.75" customHeight="1">
      <c r="A639" s="463"/>
      <c r="B639" s="380"/>
      <c r="C639" s="381"/>
      <c r="D639" s="381"/>
      <c r="E639" s="381"/>
      <c r="F639" s="381"/>
      <c r="G639" s="381"/>
      <c r="H639" s="381"/>
      <c r="I639" s="381"/>
      <c r="J639" s="381"/>
      <c r="K639" s="382"/>
      <c r="L639" s="380"/>
      <c r="M639" s="413"/>
      <c r="N639" s="383"/>
      <c r="O639" s="384"/>
      <c r="P639" s="384"/>
      <c r="Q639" s="383"/>
      <c r="R639" s="383"/>
      <c r="S639" s="385"/>
      <c r="T639" s="380"/>
      <c r="U639" s="380"/>
      <c r="V639" s="380"/>
      <c r="W639" s="380"/>
      <c r="X639" s="380"/>
    </row>
    <row r="640" spans="1:24" ht="15.75" customHeight="1">
      <c r="A640" s="463"/>
      <c r="B640" s="380"/>
      <c r="C640" s="381"/>
      <c r="D640" s="381"/>
      <c r="E640" s="381"/>
      <c r="F640" s="381"/>
      <c r="G640" s="381"/>
      <c r="H640" s="381"/>
      <c r="I640" s="381"/>
      <c r="J640" s="381"/>
      <c r="K640" s="382"/>
      <c r="L640" s="380"/>
      <c r="M640" s="413"/>
      <c r="N640" s="383"/>
      <c r="O640" s="384"/>
      <c r="P640" s="384"/>
      <c r="Q640" s="383"/>
      <c r="R640" s="383"/>
      <c r="S640" s="385"/>
      <c r="T640" s="380"/>
      <c r="U640" s="380"/>
      <c r="V640" s="380"/>
      <c r="W640" s="380"/>
      <c r="X640" s="380"/>
    </row>
    <row r="641" spans="1:24" ht="15.75" customHeight="1">
      <c r="A641" s="463"/>
      <c r="B641" s="380"/>
      <c r="C641" s="381"/>
      <c r="D641" s="381"/>
      <c r="E641" s="381"/>
      <c r="F641" s="381"/>
      <c r="G641" s="381"/>
      <c r="H641" s="381"/>
      <c r="I641" s="381"/>
      <c r="J641" s="381"/>
      <c r="K641" s="382"/>
      <c r="L641" s="380"/>
      <c r="M641" s="413"/>
      <c r="N641" s="383"/>
      <c r="O641" s="384"/>
      <c r="P641" s="384"/>
      <c r="Q641" s="383"/>
      <c r="R641" s="383"/>
      <c r="S641" s="385"/>
      <c r="T641" s="380"/>
      <c r="U641" s="380"/>
      <c r="V641" s="380"/>
      <c r="W641" s="380"/>
      <c r="X641" s="380"/>
    </row>
    <row r="642" spans="1:24" ht="15.75" customHeight="1">
      <c r="A642" s="463"/>
      <c r="B642" s="380"/>
      <c r="C642" s="381"/>
      <c r="D642" s="381"/>
      <c r="E642" s="381"/>
      <c r="F642" s="381"/>
      <c r="G642" s="381"/>
      <c r="H642" s="381"/>
      <c r="I642" s="381"/>
      <c r="J642" s="381"/>
      <c r="K642" s="382"/>
      <c r="L642" s="380"/>
      <c r="M642" s="413"/>
      <c r="N642" s="383"/>
      <c r="O642" s="384"/>
      <c r="P642" s="384"/>
      <c r="Q642" s="383"/>
      <c r="R642" s="383"/>
      <c r="S642" s="385"/>
      <c r="T642" s="380"/>
      <c r="U642" s="380"/>
      <c r="V642" s="380"/>
      <c r="W642" s="380"/>
      <c r="X642" s="380"/>
    </row>
    <row r="643" spans="1:24" ht="15.75" customHeight="1">
      <c r="A643" s="463"/>
      <c r="B643" s="380"/>
      <c r="C643" s="381"/>
      <c r="D643" s="381"/>
      <c r="E643" s="381"/>
      <c r="F643" s="381"/>
      <c r="G643" s="381"/>
      <c r="H643" s="381"/>
      <c r="I643" s="381"/>
      <c r="J643" s="381"/>
      <c r="K643" s="382"/>
      <c r="L643" s="380"/>
      <c r="M643" s="413"/>
      <c r="N643" s="383"/>
      <c r="O643" s="384"/>
      <c r="P643" s="384"/>
      <c r="Q643" s="383"/>
      <c r="R643" s="383"/>
      <c r="S643" s="385"/>
      <c r="T643" s="380"/>
      <c r="U643" s="380"/>
      <c r="V643" s="380"/>
      <c r="W643" s="380"/>
      <c r="X643" s="380"/>
    </row>
    <row r="644" spans="1:24" ht="15.75" customHeight="1">
      <c r="A644" s="463"/>
      <c r="B644" s="380"/>
      <c r="C644" s="381"/>
      <c r="D644" s="381"/>
      <c r="E644" s="381"/>
      <c r="F644" s="381"/>
      <c r="G644" s="381"/>
      <c r="H644" s="381"/>
      <c r="I644" s="381"/>
      <c r="J644" s="381"/>
      <c r="K644" s="382"/>
      <c r="L644" s="380"/>
      <c r="M644" s="413"/>
      <c r="N644" s="383"/>
      <c r="O644" s="384"/>
      <c r="P644" s="384"/>
      <c r="Q644" s="383"/>
      <c r="R644" s="383"/>
      <c r="S644" s="385"/>
      <c r="T644" s="380"/>
      <c r="U644" s="380"/>
      <c r="V644" s="380"/>
      <c r="W644" s="380"/>
      <c r="X644" s="380"/>
    </row>
    <row r="645" spans="1:24" ht="15.75" customHeight="1">
      <c r="A645" s="463"/>
      <c r="B645" s="380"/>
      <c r="C645" s="381"/>
      <c r="D645" s="381"/>
      <c r="E645" s="381"/>
      <c r="F645" s="381"/>
      <c r="G645" s="381"/>
      <c r="H645" s="381"/>
      <c r="I645" s="381"/>
      <c r="J645" s="381"/>
      <c r="K645" s="382"/>
      <c r="L645" s="380"/>
      <c r="M645" s="413"/>
      <c r="N645" s="383"/>
      <c r="O645" s="384"/>
      <c r="P645" s="384"/>
      <c r="Q645" s="383"/>
      <c r="R645" s="383"/>
      <c r="S645" s="385"/>
      <c r="T645" s="380"/>
      <c r="U645" s="380"/>
      <c r="V645" s="380"/>
      <c r="W645" s="380"/>
      <c r="X645" s="380"/>
    </row>
    <row r="646" spans="1:24" ht="15.75" customHeight="1">
      <c r="A646" s="463"/>
      <c r="B646" s="380"/>
      <c r="C646" s="381"/>
      <c r="D646" s="381"/>
      <c r="E646" s="381"/>
      <c r="F646" s="381"/>
      <c r="G646" s="381"/>
      <c r="H646" s="381"/>
      <c r="I646" s="381"/>
      <c r="J646" s="381"/>
      <c r="K646" s="382"/>
      <c r="L646" s="380"/>
      <c r="M646" s="413"/>
      <c r="N646" s="383"/>
      <c r="O646" s="384"/>
      <c r="P646" s="384"/>
      <c r="Q646" s="383"/>
      <c r="R646" s="383"/>
      <c r="S646" s="385"/>
      <c r="T646" s="380"/>
      <c r="U646" s="380"/>
      <c r="V646" s="380"/>
      <c r="W646" s="380"/>
      <c r="X646" s="380"/>
    </row>
    <row r="647" spans="1:24" ht="15.75" customHeight="1">
      <c r="A647" s="463"/>
      <c r="B647" s="380"/>
      <c r="C647" s="381"/>
      <c r="D647" s="381"/>
      <c r="E647" s="381"/>
      <c r="F647" s="381"/>
      <c r="G647" s="381"/>
      <c r="H647" s="381"/>
      <c r="I647" s="381"/>
      <c r="J647" s="381"/>
      <c r="K647" s="382"/>
      <c r="L647" s="380"/>
      <c r="M647" s="413"/>
      <c r="N647" s="383"/>
      <c r="O647" s="384"/>
      <c r="P647" s="384"/>
      <c r="Q647" s="383"/>
      <c r="R647" s="383"/>
      <c r="S647" s="385"/>
      <c r="T647" s="380"/>
      <c r="U647" s="380"/>
      <c r="V647" s="380"/>
      <c r="W647" s="380"/>
      <c r="X647" s="380"/>
    </row>
    <row r="648" spans="1:24" ht="15.75" customHeight="1">
      <c r="A648" s="463"/>
      <c r="B648" s="380"/>
      <c r="C648" s="381"/>
      <c r="D648" s="381"/>
      <c r="E648" s="381"/>
      <c r="F648" s="381"/>
      <c r="G648" s="381"/>
      <c r="H648" s="381"/>
      <c r="I648" s="381"/>
      <c r="J648" s="381"/>
      <c r="K648" s="382"/>
      <c r="L648" s="380"/>
      <c r="M648" s="413"/>
      <c r="N648" s="383"/>
      <c r="O648" s="384"/>
      <c r="P648" s="384"/>
      <c r="Q648" s="383"/>
      <c r="R648" s="383"/>
      <c r="S648" s="385"/>
      <c r="T648" s="380"/>
      <c r="U648" s="380"/>
      <c r="V648" s="380"/>
      <c r="W648" s="380"/>
      <c r="X648" s="380"/>
    </row>
    <row r="649" spans="1:24" ht="15.75" customHeight="1">
      <c r="A649" s="463"/>
      <c r="B649" s="380"/>
      <c r="C649" s="381"/>
      <c r="D649" s="381"/>
      <c r="E649" s="381"/>
      <c r="F649" s="381"/>
      <c r="G649" s="381"/>
      <c r="H649" s="381"/>
      <c r="I649" s="381"/>
      <c r="J649" s="381"/>
      <c r="K649" s="382"/>
      <c r="L649" s="380"/>
      <c r="M649" s="413"/>
      <c r="N649" s="383"/>
      <c r="O649" s="384"/>
      <c r="P649" s="384"/>
      <c r="Q649" s="383"/>
      <c r="R649" s="383"/>
      <c r="S649" s="385"/>
      <c r="T649" s="380"/>
      <c r="U649" s="380"/>
      <c r="V649" s="380"/>
      <c r="W649" s="380"/>
      <c r="X649" s="380"/>
    </row>
    <row r="650" spans="1:24" ht="15.75" customHeight="1">
      <c r="A650" s="463"/>
      <c r="B650" s="380"/>
      <c r="C650" s="381"/>
      <c r="D650" s="381"/>
      <c r="E650" s="381"/>
      <c r="F650" s="381"/>
      <c r="G650" s="381"/>
      <c r="H650" s="381"/>
      <c r="I650" s="381"/>
      <c r="J650" s="381"/>
      <c r="K650" s="382"/>
      <c r="L650" s="380"/>
      <c r="M650" s="413"/>
      <c r="N650" s="383"/>
      <c r="O650" s="384"/>
      <c r="P650" s="384"/>
      <c r="Q650" s="383"/>
      <c r="R650" s="383"/>
      <c r="S650" s="385"/>
      <c r="T650" s="380"/>
      <c r="U650" s="380"/>
      <c r="V650" s="380"/>
      <c r="W650" s="380"/>
      <c r="X650" s="380"/>
    </row>
    <row r="651" spans="1:24" ht="15.75" customHeight="1">
      <c r="A651" s="463"/>
      <c r="B651" s="380"/>
      <c r="C651" s="381"/>
      <c r="D651" s="381"/>
      <c r="E651" s="381"/>
      <c r="F651" s="381"/>
      <c r="G651" s="381"/>
      <c r="H651" s="381"/>
      <c r="I651" s="381"/>
      <c r="J651" s="381"/>
      <c r="K651" s="382"/>
      <c r="L651" s="380"/>
      <c r="M651" s="413"/>
      <c r="N651" s="383"/>
      <c r="O651" s="384"/>
      <c r="P651" s="384"/>
      <c r="Q651" s="383"/>
      <c r="R651" s="383"/>
      <c r="S651" s="385"/>
      <c r="T651" s="380"/>
      <c r="U651" s="380"/>
      <c r="V651" s="380"/>
      <c r="W651" s="380"/>
      <c r="X651" s="380"/>
    </row>
    <row r="652" spans="1:24" ht="15.75" customHeight="1">
      <c r="A652" s="463"/>
      <c r="B652" s="380"/>
      <c r="C652" s="381"/>
      <c r="D652" s="381"/>
      <c r="E652" s="381"/>
      <c r="F652" s="381"/>
      <c r="G652" s="381"/>
      <c r="H652" s="381"/>
      <c r="I652" s="381"/>
      <c r="J652" s="381"/>
      <c r="K652" s="382"/>
      <c r="L652" s="380"/>
      <c r="M652" s="413"/>
      <c r="N652" s="383"/>
      <c r="O652" s="384"/>
      <c r="P652" s="384"/>
      <c r="Q652" s="383"/>
      <c r="R652" s="383"/>
      <c r="S652" s="385"/>
      <c r="T652" s="380"/>
      <c r="U652" s="380"/>
      <c r="V652" s="380"/>
      <c r="W652" s="380"/>
      <c r="X652" s="380"/>
    </row>
    <row r="653" spans="1:24" ht="15.75" customHeight="1">
      <c r="A653" s="463"/>
      <c r="B653" s="380"/>
      <c r="C653" s="381"/>
      <c r="D653" s="381"/>
      <c r="E653" s="381"/>
      <c r="F653" s="381"/>
      <c r="G653" s="381"/>
      <c r="H653" s="381"/>
      <c r="I653" s="381"/>
      <c r="J653" s="381"/>
      <c r="K653" s="382"/>
      <c r="L653" s="380"/>
      <c r="M653" s="413"/>
      <c r="N653" s="383"/>
      <c r="O653" s="384"/>
      <c r="P653" s="384"/>
      <c r="Q653" s="383"/>
      <c r="R653" s="383"/>
      <c r="S653" s="385"/>
      <c r="T653" s="380"/>
      <c r="U653" s="380"/>
      <c r="V653" s="380"/>
      <c r="W653" s="380"/>
      <c r="X653" s="380"/>
    </row>
    <row r="654" spans="1:24" ht="15.75" customHeight="1">
      <c r="A654" s="463"/>
      <c r="B654" s="380"/>
      <c r="C654" s="381"/>
      <c r="D654" s="381"/>
      <c r="E654" s="381"/>
      <c r="F654" s="381"/>
      <c r="G654" s="381"/>
      <c r="H654" s="381"/>
      <c r="I654" s="381"/>
      <c r="J654" s="381"/>
      <c r="K654" s="382"/>
      <c r="L654" s="380"/>
      <c r="M654" s="413"/>
      <c r="N654" s="383"/>
      <c r="O654" s="384"/>
      <c r="P654" s="384"/>
      <c r="Q654" s="383"/>
      <c r="R654" s="383"/>
      <c r="S654" s="385"/>
      <c r="T654" s="380"/>
      <c r="U654" s="380"/>
      <c r="V654" s="380"/>
      <c r="W654" s="380"/>
      <c r="X654" s="380"/>
    </row>
    <row r="655" spans="1:24" ht="15.75" customHeight="1">
      <c r="A655" s="463"/>
      <c r="B655" s="380"/>
      <c r="C655" s="381"/>
      <c r="D655" s="381"/>
      <c r="E655" s="381"/>
      <c r="F655" s="381"/>
      <c r="G655" s="381"/>
      <c r="H655" s="381"/>
      <c r="I655" s="381"/>
      <c r="J655" s="381"/>
      <c r="K655" s="382"/>
      <c r="L655" s="380"/>
      <c r="M655" s="413"/>
      <c r="N655" s="383"/>
      <c r="O655" s="384"/>
      <c r="P655" s="384"/>
      <c r="Q655" s="383"/>
      <c r="R655" s="383"/>
      <c r="S655" s="385"/>
      <c r="T655" s="380"/>
      <c r="U655" s="380"/>
      <c r="V655" s="380"/>
      <c r="W655" s="380"/>
      <c r="X655" s="380"/>
    </row>
    <row r="656" spans="1:24" ht="15.75" customHeight="1">
      <c r="A656" s="463"/>
      <c r="B656" s="380"/>
      <c r="C656" s="381"/>
      <c r="D656" s="381"/>
      <c r="E656" s="381"/>
      <c r="F656" s="381"/>
      <c r="G656" s="381"/>
      <c r="H656" s="381"/>
      <c r="I656" s="381"/>
      <c r="J656" s="381"/>
      <c r="K656" s="382"/>
      <c r="L656" s="380"/>
      <c r="M656" s="413"/>
      <c r="N656" s="383"/>
      <c r="O656" s="384"/>
      <c r="P656" s="384"/>
      <c r="Q656" s="383"/>
      <c r="R656" s="383"/>
      <c r="S656" s="385"/>
      <c r="T656" s="380"/>
      <c r="U656" s="380"/>
      <c r="V656" s="380"/>
      <c r="W656" s="380"/>
      <c r="X656" s="380"/>
    </row>
    <row r="657" spans="1:24" ht="15.75" customHeight="1">
      <c r="A657" s="463"/>
      <c r="B657" s="380"/>
      <c r="C657" s="381"/>
      <c r="D657" s="381"/>
      <c r="E657" s="381"/>
      <c r="F657" s="381"/>
      <c r="G657" s="381"/>
      <c r="H657" s="381"/>
      <c r="I657" s="381"/>
      <c r="J657" s="381"/>
      <c r="K657" s="382"/>
      <c r="L657" s="380"/>
      <c r="M657" s="413"/>
      <c r="N657" s="383"/>
      <c r="O657" s="384"/>
      <c r="P657" s="384"/>
      <c r="Q657" s="383"/>
      <c r="R657" s="383"/>
      <c r="S657" s="385"/>
      <c r="T657" s="380"/>
      <c r="U657" s="380"/>
      <c r="V657" s="380"/>
      <c r="W657" s="380"/>
      <c r="X657" s="380"/>
    </row>
    <row r="658" spans="1:24" ht="15.75" customHeight="1">
      <c r="A658" s="463"/>
      <c r="B658" s="380"/>
      <c r="C658" s="381"/>
      <c r="D658" s="381"/>
      <c r="E658" s="381"/>
      <c r="F658" s="381"/>
      <c r="G658" s="381"/>
      <c r="H658" s="381"/>
      <c r="I658" s="381"/>
      <c r="J658" s="381"/>
      <c r="K658" s="382"/>
      <c r="L658" s="380"/>
      <c r="M658" s="413"/>
      <c r="N658" s="383"/>
      <c r="O658" s="384"/>
      <c r="P658" s="384"/>
      <c r="Q658" s="383"/>
      <c r="R658" s="383"/>
      <c r="S658" s="385"/>
      <c r="T658" s="380"/>
      <c r="U658" s="380"/>
      <c r="V658" s="380"/>
      <c r="W658" s="380"/>
      <c r="X658" s="380"/>
    </row>
    <row r="659" spans="1:24" ht="15.75" customHeight="1">
      <c r="A659" s="463"/>
      <c r="B659" s="380"/>
      <c r="C659" s="381"/>
      <c r="D659" s="381"/>
      <c r="E659" s="381"/>
      <c r="F659" s="381"/>
      <c r="G659" s="381"/>
      <c r="H659" s="381"/>
      <c r="I659" s="381"/>
      <c r="J659" s="381"/>
      <c r="K659" s="382"/>
      <c r="L659" s="380"/>
      <c r="M659" s="413"/>
      <c r="N659" s="383"/>
      <c r="O659" s="384"/>
      <c r="P659" s="384"/>
      <c r="Q659" s="383"/>
      <c r="R659" s="383"/>
      <c r="S659" s="385"/>
      <c r="T659" s="380"/>
      <c r="U659" s="380"/>
      <c r="V659" s="380"/>
      <c r="W659" s="380"/>
      <c r="X659" s="380"/>
    </row>
    <row r="660" spans="1:24" ht="15.75" customHeight="1">
      <c r="A660" s="463"/>
      <c r="B660" s="380"/>
      <c r="C660" s="381"/>
      <c r="D660" s="381"/>
      <c r="E660" s="381"/>
      <c r="F660" s="381"/>
      <c r="G660" s="381"/>
      <c r="H660" s="381"/>
      <c r="I660" s="381"/>
      <c r="J660" s="381"/>
      <c r="K660" s="382"/>
      <c r="L660" s="380"/>
      <c r="M660" s="413"/>
      <c r="N660" s="383"/>
      <c r="O660" s="384"/>
      <c r="P660" s="384"/>
      <c r="Q660" s="383"/>
      <c r="R660" s="383"/>
      <c r="S660" s="385"/>
      <c r="T660" s="380"/>
      <c r="U660" s="380"/>
      <c r="V660" s="380"/>
      <c r="W660" s="380"/>
      <c r="X660" s="380"/>
    </row>
    <row r="661" spans="1:24" ht="15.75" customHeight="1">
      <c r="A661" s="463"/>
      <c r="B661" s="380"/>
      <c r="C661" s="381"/>
      <c r="D661" s="381"/>
      <c r="E661" s="381"/>
      <c r="F661" s="381"/>
      <c r="G661" s="381"/>
      <c r="H661" s="381"/>
      <c r="I661" s="381"/>
      <c r="J661" s="381"/>
      <c r="K661" s="382"/>
      <c r="L661" s="380"/>
      <c r="M661" s="413"/>
      <c r="N661" s="383"/>
      <c r="O661" s="384"/>
      <c r="P661" s="384"/>
      <c r="Q661" s="383"/>
      <c r="R661" s="383"/>
      <c r="S661" s="385"/>
      <c r="T661" s="380"/>
      <c r="U661" s="380"/>
      <c r="V661" s="380"/>
      <c r="W661" s="380"/>
      <c r="X661" s="380"/>
    </row>
    <row r="662" spans="1:24" ht="15.75" customHeight="1">
      <c r="A662" s="463"/>
      <c r="B662" s="380"/>
      <c r="C662" s="381"/>
      <c r="D662" s="381"/>
      <c r="E662" s="381"/>
      <c r="F662" s="381"/>
      <c r="G662" s="381"/>
      <c r="H662" s="381"/>
      <c r="I662" s="381"/>
      <c r="J662" s="381"/>
      <c r="K662" s="382"/>
      <c r="L662" s="380"/>
      <c r="M662" s="413"/>
      <c r="N662" s="383"/>
      <c r="O662" s="384"/>
      <c r="P662" s="384"/>
      <c r="Q662" s="383"/>
      <c r="R662" s="383"/>
      <c r="S662" s="385"/>
      <c r="T662" s="380"/>
      <c r="U662" s="380"/>
      <c r="V662" s="380"/>
      <c r="W662" s="380"/>
      <c r="X662" s="380"/>
    </row>
    <row r="663" spans="1:24" ht="15.75" customHeight="1">
      <c r="A663" s="463"/>
      <c r="B663" s="380"/>
      <c r="C663" s="381"/>
      <c r="D663" s="381"/>
      <c r="E663" s="381"/>
      <c r="F663" s="381"/>
      <c r="G663" s="381"/>
      <c r="H663" s="381"/>
      <c r="I663" s="381"/>
      <c r="J663" s="381"/>
      <c r="K663" s="382"/>
      <c r="L663" s="380"/>
      <c r="M663" s="413"/>
      <c r="N663" s="383"/>
      <c r="O663" s="384"/>
      <c r="P663" s="384"/>
      <c r="Q663" s="383"/>
      <c r="R663" s="383"/>
      <c r="S663" s="385"/>
      <c r="T663" s="380"/>
      <c r="U663" s="380"/>
      <c r="V663" s="380"/>
      <c r="W663" s="380"/>
      <c r="X663" s="380"/>
    </row>
    <row r="664" spans="1:24" ht="15.75" customHeight="1">
      <c r="A664" s="463"/>
      <c r="B664" s="380"/>
      <c r="C664" s="381"/>
      <c r="D664" s="381"/>
      <c r="E664" s="381"/>
      <c r="F664" s="381"/>
      <c r="G664" s="381"/>
      <c r="H664" s="381"/>
      <c r="I664" s="381"/>
      <c r="J664" s="381"/>
      <c r="K664" s="382"/>
      <c r="L664" s="380"/>
      <c r="M664" s="413"/>
      <c r="N664" s="383"/>
      <c r="O664" s="384"/>
      <c r="P664" s="384"/>
      <c r="Q664" s="383"/>
      <c r="R664" s="383"/>
      <c r="S664" s="385"/>
      <c r="T664" s="380"/>
      <c r="U664" s="380"/>
      <c r="V664" s="380"/>
      <c r="W664" s="380"/>
      <c r="X664" s="380"/>
    </row>
    <row r="665" spans="1:24" ht="15.75" customHeight="1">
      <c r="A665" s="463"/>
      <c r="B665" s="380"/>
      <c r="C665" s="381"/>
      <c r="D665" s="381"/>
      <c r="E665" s="381"/>
      <c r="F665" s="381"/>
      <c r="G665" s="381"/>
      <c r="H665" s="381"/>
      <c r="I665" s="381"/>
      <c r="J665" s="381"/>
      <c r="K665" s="382"/>
      <c r="L665" s="380"/>
      <c r="M665" s="413"/>
      <c r="N665" s="383"/>
      <c r="O665" s="384"/>
      <c r="P665" s="384"/>
      <c r="Q665" s="383"/>
      <c r="R665" s="383"/>
      <c r="S665" s="385"/>
      <c r="T665" s="380"/>
      <c r="U665" s="380"/>
      <c r="V665" s="380"/>
      <c r="W665" s="380"/>
      <c r="X665" s="380"/>
    </row>
    <row r="666" spans="1:24" ht="15.75" customHeight="1">
      <c r="A666" s="463"/>
      <c r="B666" s="380"/>
      <c r="C666" s="381"/>
      <c r="D666" s="381"/>
      <c r="E666" s="381"/>
      <c r="F666" s="381"/>
      <c r="G666" s="381"/>
      <c r="H666" s="381"/>
      <c r="I666" s="381"/>
      <c r="J666" s="381"/>
      <c r="K666" s="382"/>
      <c r="L666" s="380"/>
      <c r="M666" s="413"/>
      <c r="N666" s="383"/>
      <c r="O666" s="384"/>
      <c r="P666" s="384"/>
      <c r="Q666" s="383"/>
      <c r="R666" s="383"/>
      <c r="S666" s="385"/>
      <c r="T666" s="380"/>
      <c r="U666" s="380"/>
      <c r="V666" s="380"/>
      <c r="W666" s="380"/>
      <c r="X666" s="380"/>
    </row>
    <row r="667" spans="1:24" ht="15.75" customHeight="1">
      <c r="A667" s="463"/>
      <c r="B667" s="380"/>
      <c r="C667" s="381"/>
      <c r="D667" s="381"/>
      <c r="E667" s="381"/>
      <c r="F667" s="381"/>
      <c r="G667" s="381"/>
      <c r="H667" s="381"/>
      <c r="I667" s="381"/>
      <c r="J667" s="381"/>
      <c r="K667" s="382"/>
      <c r="L667" s="380"/>
      <c r="M667" s="413"/>
      <c r="N667" s="383"/>
      <c r="O667" s="384"/>
      <c r="P667" s="384"/>
      <c r="Q667" s="383"/>
      <c r="R667" s="383"/>
      <c r="S667" s="385"/>
      <c r="T667" s="380"/>
      <c r="U667" s="380"/>
      <c r="V667" s="380"/>
      <c r="W667" s="380"/>
      <c r="X667" s="380"/>
    </row>
    <row r="668" spans="1:24" ht="15.75" customHeight="1">
      <c r="A668" s="463"/>
      <c r="B668" s="380"/>
      <c r="C668" s="381"/>
      <c r="D668" s="381"/>
      <c r="E668" s="381"/>
      <c r="F668" s="381"/>
      <c r="G668" s="381"/>
      <c r="H668" s="381"/>
      <c r="I668" s="381"/>
      <c r="J668" s="381"/>
      <c r="K668" s="382"/>
      <c r="L668" s="380"/>
      <c r="M668" s="413"/>
      <c r="N668" s="383"/>
      <c r="O668" s="384"/>
      <c r="P668" s="384"/>
      <c r="Q668" s="383"/>
      <c r="R668" s="383"/>
      <c r="S668" s="385"/>
      <c r="T668" s="380"/>
      <c r="U668" s="380"/>
      <c r="V668" s="380"/>
      <c r="W668" s="380"/>
      <c r="X668" s="380"/>
    </row>
    <row r="669" spans="1:24" ht="15.75" customHeight="1">
      <c r="A669" s="463"/>
      <c r="B669" s="380"/>
      <c r="C669" s="381"/>
      <c r="D669" s="381"/>
      <c r="E669" s="381"/>
      <c r="F669" s="381"/>
      <c r="G669" s="381"/>
      <c r="H669" s="381"/>
      <c r="I669" s="381"/>
      <c r="J669" s="381"/>
      <c r="K669" s="382"/>
      <c r="L669" s="380"/>
      <c r="M669" s="413"/>
      <c r="N669" s="383"/>
      <c r="O669" s="384"/>
      <c r="P669" s="384"/>
      <c r="Q669" s="383"/>
      <c r="R669" s="383"/>
      <c r="S669" s="385"/>
      <c r="T669" s="380"/>
      <c r="U669" s="380"/>
      <c r="V669" s="380"/>
      <c r="W669" s="380"/>
      <c r="X669" s="380"/>
    </row>
    <row r="670" spans="1:24" ht="15.75" customHeight="1">
      <c r="A670" s="463"/>
      <c r="B670" s="380"/>
      <c r="C670" s="381"/>
      <c r="D670" s="381"/>
      <c r="E670" s="381"/>
      <c r="F670" s="381"/>
      <c r="G670" s="381"/>
      <c r="H670" s="381"/>
      <c r="I670" s="381"/>
      <c r="J670" s="381"/>
      <c r="K670" s="382"/>
      <c r="L670" s="380"/>
      <c r="M670" s="413"/>
      <c r="N670" s="383"/>
      <c r="O670" s="384"/>
      <c r="P670" s="384"/>
      <c r="Q670" s="383"/>
      <c r="R670" s="383"/>
      <c r="S670" s="385"/>
      <c r="T670" s="380"/>
      <c r="U670" s="380"/>
      <c r="V670" s="380"/>
      <c r="W670" s="380"/>
      <c r="X670" s="380"/>
    </row>
    <row r="671" spans="1:24" ht="15.75" customHeight="1">
      <c r="A671" s="463"/>
      <c r="B671" s="380"/>
      <c r="C671" s="381"/>
      <c r="D671" s="381"/>
      <c r="E671" s="381"/>
      <c r="F671" s="381"/>
      <c r="G671" s="381"/>
      <c r="H671" s="381"/>
      <c r="I671" s="381"/>
      <c r="J671" s="381"/>
      <c r="K671" s="382"/>
      <c r="L671" s="380"/>
      <c r="M671" s="413"/>
      <c r="N671" s="383"/>
      <c r="O671" s="384"/>
      <c r="P671" s="384"/>
      <c r="Q671" s="383"/>
      <c r="R671" s="383"/>
      <c r="S671" s="385"/>
      <c r="T671" s="380"/>
      <c r="U671" s="380"/>
      <c r="V671" s="380"/>
      <c r="W671" s="380"/>
      <c r="X671" s="380"/>
    </row>
    <row r="672" spans="1:24" ht="15.75" customHeight="1">
      <c r="A672" s="463"/>
      <c r="B672" s="380"/>
      <c r="C672" s="381"/>
      <c r="D672" s="381"/>
      <c r="E672" s="381"/>
      <c r="F672" s="381"/>
      <c r="G672" s="381"/>
      <c r="H672" s="381"/>
      <c r="I672" s="381"/>
      <c r="J672" s="381"/>
      <c r="K672" s="382"/>
      <c r="L672" s="380"/>
      <c r="M672" s="413"/>
      <c r="N672" s="383"/>
      <c r="O672" s="384"/>
      <c r="P672" s="384"/>
      <c r="Q672" s="383"/>
      <c r="R672" s="383"/>
      <c r="S672" s="385"/>
      <c r="T672" s="380"/>
      <c r="U672" s="380"/>
      <c r="V672" s="380"/>
      <c r="W672" s="380"/>
      <c r="X672" s="380"/>
    </row>
    <row r="673" spans="1:24" ht="15.75" customHeight="1">
      <c r="A673" s="463"/>
      <c r="B673" s="380"/>
      <c r="C673" s="381"/>
      <c r="D673" s="381"/>
      <c r="E673" s="381"/>
      <c r="F673" s="381"/>
      <c r="G673" s="381"/>
      <c r="H673" s="381"/>
      <c r="I673" s="381"/>
      <c r="J673" s="381"/>
      <c r="K673" s="382"/>
      <c r="L673" s="380"/>
      <c r="M673" s="413"/>
      <c r="N673" s="383"/>
      <c r="O673" s="384"/>
      <c r="P673" s="384"/>
      <c r="Q673" s="383"/>
      <c r="R673" s="383"/>
      <c r="S673" s="385"/>
      <c r="T673" s="380"/>
      <c r="U673" s="380"/>
      <c r="V673" s="380"/>
      <c r="W673" s="380"/>
      <c r="X673" s="380"/>
    </row>
    <row r="674" spans="1:24" ht="15.75" customHeight="1">
      <c r="A674" s="463"/>
      <c r="B674" s="380"/>
      <c r="C674" s="381"/>
      <c r="D674" s="381"/>
      <c r="E674" s="381"/>
      <c r="F674" s="381"/>
      <c r="G674" s="381"/>
      <c r="H674" s="381"/>
      <c r="I674" s="381"/>
      <c r="J674" s="381"/>
      <c r="K674" s="382"/>
      <c r="L674" s="380"/>
      <c r="M674" s="413"/>
      <c r="N674" s="383"/>
      <c r="O674" s="384"/>
      <c r="P674" s="384"/>
      <c r="Q674" s="383"/>
      <c r="R674" s="383"/>
      <c r="S674" s="385"/>
      <c r="T674" s="380"/>
      <c r="U674" s="380"/>
      <c r="V674" s="380"/>
      <c r="W674" s="380"/>
      <c r="X674" s="380"/>
    </row>
    <row r="675" spans="1:24" ht="15.75" customHeight="1">
      <c r="A675" s="463"/>
      <c r="B675" s="380"/>
      <c r="C675" s="381"/>
      <c r="D675" s="381"/>
      <c r="E675" s="381"/>
      <c r="F675" s="381"/>
      <c r="G675" s="381"/>
      <c r="H675" s="381"/>
      <c r="I675" s="381"/>
      <c r="J675" s="381"/>
      <c r="K675" s="382"/>
      <c r="L675" s="380"/>
      <c r="M675" s="413"/>
      <c r="N675" s="383"/>
      <c r="O675" s="384"/>
      <c r="P675" s="384"/>
      <c r="Q675" s="383"/>
      <c r="R675" s="383"/>
      <c r="S675" s="385"/>
      <c r="T675" s="380"/>
      <c r="U675" s="380"/>
      <c r="V675" s="380"/>
      <c r="W675" s="380"/>
      <c r="X675" s="380"/>
    </row>
    <row r="676" spans="1:24" ht="15.75" customHeight="1">
      <c r="A676" s="463"/>
      <c r="B676" s="380"/>
      <c r="C676" s="381"/>
      <c r="D676" s="381"/>
      <c r="E676" s="381"/>
      <c r="F676" s="381"/>
      <c r="G676" s="381"/>
      <c r="H676" s="381"/>
      <c r="I676" s="381"/>
      <c r="J676" s="381"/>
      <c r="K676" s="382"/>
      <c r="L676" s="380"/>
      <c r="M676" s="413"/>
      <c r="N676" s="383"/>
      <c r="O676" s="384"/>
      <c r="P676" s="384"/>
      <c r="Q676" s="383"/>
      <c r="R676" s="383"/>
      <c r="S676" s="385"/>
      <c r="T676" s="380"/>
      <c r="U676" s="380"/>
      <c r="V676" s="380"/>
      <c r="W676" s="380"/>
      <c r="X676" s="380"/>
    </row>
    <row r="677" spans="1:24" ht="15.75" customHeight="1">
      <c r="A677" s="463"/>
      <c r="B677" s="380"/>
      <c r="C677" s="381"/>
      <c r="D677" s="381"/>
      <c r="E677" s="381"/>
      <c r="F677" s="381"/>
      <c r="G677" s="381"/>
      <c r="H677" s="381"/>
      <c r="I677" s="381"/>
      <c r="J677" s="381"/>
      <c r="K677" s="382"/>
      <c r="L677" s="380"/>
      <c r="M677" s="413"/>
      <c r="N677" s="383"/>
      <c r="O677" s="384"/>
      <c r="P677" s="384"/>
      <c r="Q677" s="383"/>
      <c r="R677" s="383"/>
      <c r="S677" s="385"/>
      <c r="T677" s="380"/>
      <c r="U677" s="380"/>
      <c r="V677" s="380"/>
      <c r="W677" s="380"/>
      <c r="X677" s="380"/>
    </row>
    <row r="678" spans="1:24" ht="15.75" customHeight="1">
      <c r="A678" s="463"/>
      <c r="B678" s="380"/>
      <c r="C678" s="381"/>
      <c r="D678" s="381"/>
      <c r="E678" s="381"/>
      <c r="F678" s="381"/>
      <c r="G678" s="381"/>
      <c r="H678" s="381"/>
      <c r="I678" s="381"/>
      <c r="J678" s="381"/>
      <c r="K678" s="382"/>
      <c r="L678" s="380"/>
      <c r="M678" s="413"/>
      <c r="N678" s="383"/>
      <c r="O678" s="384"/>
      <c r="P678" s="384"/>
      <c r="Q678" s="383"/>
      <c r="R678" s="383"/>
      <c r="S678" s="385"/>
      <c r="T678" s="380"/>
      <c r="U678" s="380"/>
      <c r="V678" s="380"/>
      <c r="W678" s="380"/>
      <c r="X678" s="380"/>
    </row>
    <row r="679" spans="1:24" ht="15.75" customHeight="1">
      <c r="A679" s="463"/>
      <c r="B679" s="380"/>
      <c r="C679" s="381"/>
      <c r="D679" s="381"/>
      <c r="E679" s="381"/>
      <c r="F679" s="381"/>
      <c r="G679" s="381"/>
      <c r="H679" s="381"/>
      <c r="I679" s="381"/>
      <c r="J679" s="381"/>
      <c r="K679" s="382"/>
      <c r="L679" s="380"/>
      <c r="M679" s="413"/>
      <c r="N679" s="383"/>
      <c r="O679" s="384"/>
      <c r="P679" s="384"/>
      <c r="Q679" s="383"/>
      <c r="R679" s="383"/>
      <c r="S679" s="385"/>
      <c r="T679" s="380"/>
      <c r="U679" s="380"/>
      <c r="V679" s="380"/>
      <c r="W679" s="380"/>
      <c r="X679" s="380"/>
    </row>
    <row r="680" spans="1:24" ht="15.75" customHeight="1">
      <c r="A680" s="463"/>
      <c r="B680" s="380"/>
      <c r="C680" s="381"/>
      <c r="D680" s="381"/>
      <c r="E680" s="381"/>
      <c r="F680" s="381"/>
      <c r="G680" s="381"/>
      <c r="H680" s="381"/>
      <c r="I680" s="381"/>
      <c r="J680" s="381"/>
      <c r="K680" s="382"/>
      <c r="L680" s="380"/>
      <c r="M680" s="413"/>
      <c r="N680" s="383"/>
      <c r="O680" s="384"/>
      <c r="P680" s="384"/>
      <c r="Q680" s="383"/>
      <c r="R680" s="383"/>
      <c r="S680" s="385"/>
      <c r="T680" s="380"/>
      <c r="U680" s="380"/>
      <c r="V680" s="380"/>
      <c r="W680" s="380"/>
      <c r="X680" s="380"/>
    </row>
    <row r="681" spans="1:24" ht="15.75" customHeight="1">
      <c r="A681" s="463"/>
      <c r="B681" s="380"/>
      <c r="C681" s="381"/>
      <c r="D681" s="381"/>
      <c r="E681" s="381"/>
      <c r="F681" s="381"/>
      <c r="G681" s="381"/>
      <c r="H681" s="381"/>
      <c r="I681" s="381"/>
      <c r="J681" s="381"/>
      <c r="K681" s="382"/>
      <c r="L681" s="380"/>
      <c r="M681" s="413"/>
      <c r="N681" s="383"/>
      <c r="O681" s="384"/>
      <c r="P681" s="384"/>
      <c r="Q681" s="383"/>
      <c r="R681" s="383"/>
      <c r="S681" s="385"/>
      <c r="T681" s="380"/>
      <c r="U681" s="380"/>
      <c r="V681" s="380"/>
      <c r="W681" s="380"/>
      <c r="X681" s="380"/>
    </row>
    <row r="682" spans="1:24" ht="15.75" customHeight="1">
      <c r="A682" s="463"/>
      <c r="B682" s="380"/>
      <c r="C682" s="381"/>
      <c r="D682" s="381"/>
      <c r="E682" s="381"/>
      <c r="F682" s="381"/>
      <c r="G682" s="381"/>
      <c r="H682" s="381"/>
      <c r="I682" s="381"/>
      <c r="J682" s="381"/>
      <c r="K682" s="382"/>
      <c r="L682" s="380"/>
      <c r="M682" s="413"/>
      <c r="N682" s="383"/>
      <c r="O682" s="384"/>
      <c r="P682" s="384"/>
      <c r="Q682" s="383"/>
      <c r="R682" s="383"/>
      <c r="S682" s="385"/>
      <c r="T682" s="380"/>
      <c r="U682" s="380"/>
      <c r="V682" s="380"/>
      <c r="W682" s="380"/>
      <c r="X682" s="380"/>
    </row>
    <row r="683" spans="1:24" ht="15.75" customHeight="1">
      <c r="A683" s="463"/>
      <c r="B683" s="380"/>
      <c r="C683" s="381"/>
      <c r="D683" s="381"/>
      <c r="E683" s="381"/>
      <c r="F683" s="381"/>
      <c r="G683" s="381"/>
      <c r="H683" s="381"/>
      <c r="I683" s="381"/>
      <c r="J683" s="381"/>
      <c r="K683" s="382"/>
      <c r="L683" s="380"/>
      <c r="M683" s="413"/>
      <c r="N683" s="383"/>
      <c r="O683" s="384"/>
      <c r="P683" s="384"/>
      <c r="Q683" s="383"/>
      <c r="R683" s="383"/>
      <c r="S683" s="385"/>
      <c r="T683" s="380"/>
      <c r="U683" s="380"/>
      <c r="V683" s="380"/>
      <c r="W683" s="380"/>
      <c r="X683" s="380"/>
    </row>
    <row r="684" spans="1:24" ht="15.75" customHeight="1">
      <c r="A684" s="463"/>
      <c r="B684" s="380"/>
      <c r="C684" s="381"/>
      <c r="D684" s="381"/>
      <c r="E684" s="381"/>
      <c r="F684" s="381"/>
      <c r="G684" s="381"/>
      <c r="H684" s="381"/>
      <c r="I684" s="381"/>
      <c r="J684" s="381"/>
      <c r="K684" s="382"/>
      <c r="L684" s="380"/>
      <c r="M684" s="413"/>
      <c r="N684" s="383"/>
      <c r="O684" s="384"/>
      <c r="P684" s="384"/>
      <c r="Q684" s="383"/>
      <c r="R684" s="383"/>
      <c r="S684" s="385"/>
      <c r="T684" s="380"/>
      <c r="U684" s="380"/>
      <c r="V684" s="380"/>
      <c r="W684" s="380"/>
      <c r="X684" s="380"/>
    </row>
    <row r="685" spans="1:24" ht="15.75" customHeight="1">
      <c r="A685" s="463"/>
      <c r="B685" s="380"/>
      <c r="C685" s="381"/>
      <c r="D685" s="381"/>
      <c r="E685" s="381"/>
      <c r="F685" s="381"/>
      <c r="G685" s="381"/>
      <c r="H685" s="381"/>
      <c r="I685" s="381"/>
      <c r="J685" s="381"/>
      <c r="K685" s="382"/>
      <c r="L685" s="380"/>
      <c r="M685" s="413"/>
      <c r="N685" s="383"/>
      <c r="O685" s="384"/>
      <c r="P685" s="384"/>
      <c r="Q685" s="383"/>
      <c r="R685" s="383"/>
      <c r="S685" s="385"/>
      <c r="T685" s="380"/>
      <c r="U685" s="380"/>
      <c r="V685" s="380"/>
      <c r="W685" s="380"/>
      <c r="X685" s="380"/>
    </row>
    <row r="686" spans="1:24" ht="15.75" customHeight="1">
      <c r="A686" s="463"/>
      <c r="B686" s="380"/>
      <c r="C686" s="381"/>
      <c r="D686" s="381"/>
      <c r="E686" s="381"/>
      <c r="F686" s="381"/>
      <c r="G686" s="381"/>
      <c r="H686" s="381"/>
      <c r="I686" s="381"/>
      <c r="J686" s="381"/>
      <c r="K686" s="382"/>
      <c r="L686" s="380"/>
      <c r="M686" s="413"/>
      <c r="N686" s="383"/>
      <c r="O686" s="384"/>
      <c r="P686" s="384"/>
      <c r="Q686" s="383"/>
      <c r="R686" s="383"/>
      <c r="S686" s="385"/>
      <c r="T686" s="380"/>
      <c r="U686" s="380"/>
      <c r="V686" s="380"/>
      <c r="W686" s="380"/>
      <c r="X686" s="380"/>
    </row>
    <row r="687" spans="1:24" ht="15.75" customHeight="1">
      <c r="A687" s="463"/>
      <c r="B687" s="380"/>
      <c r="C687" s="381"/>
      <c r="D687" s="381"/>
      <c r="E687" s="381"/>
      <c r="F687" s="381"/>
      <c r="G687" s="381"/>
      <c r="H687" s="381"/>
      <c r="I687" s="381"/>
      <c r="J687" s="381"/>
      <c r="K687" s="382"/>
      <c r="L687" s="380"/>
      <c r="M687" s="413"/>
      <c r="N687" s="383"/>
      <c r="O687" s="384"/>
      <c r="P687" s="384"/>
      <c r="Q687" s="383"/>
      <c r="R687" s="383"/>
      <c r="S687" s="385"/>
      <c r="T687" s="380"/>
      <c r="U687" s="380"/>
      <c r="V687" s="380"/>
      <c r="W687" s="380"/>
      <c r="X687" s="380"/>
    </row>
    <row r="688" spans="1:24" ht="15.75" customHeight="1">
      <c r="A688" s="463"/>
      <c r="B688" s="380"/>
      <c r="C688" s="381"/>
      <c r="D688" s="381"/>
      <c r="E688" s="381"/>
      <c r="F688" s="381"/>
      <c r="G688" s="381"/>
      <c r="H688" s="381"/>
      <c r="I688" s="381"/>
      <c r="J688" s="381"/>
      <c r="K688" s="382"/>
      <c r="L688" s="380"/>
      <c r="M688" s="413"/>
      <c r="N688" s="383"/>
      <c r="O688" s="384"/>
      <c r="P688" s="384"/>
      <c r="Q688" s="383"/>
      <c r="R688" s="383"/>
      <c r="S688" s="385"/>
      <c r="T688" s="380"/>
      <c r="U688" s="380"/>
      <c r="V688" s="380"/>
      <c r="W688" s="380"/>
      <c r="X688" s="380"/>
    </row>
    <row r="689" spans="1:24" ht="15.75" customHeight="1">
      <c r="A689" s="463"/>
      <c r="B689" s="380"/>
      <c r="C689" s="381"/>
      <c r="D689" s="381"/>
      <c r="E689" s="381"/>
      <c r="F689" s="381"/>
      <c r="G689" s="381"/>
      <c r="H689" s="381"/>
      <c r="I689" s="381"/>
      <c r="J689" s="381"/>
      <c r="K689" s="382"/>
      <c r="L689" s="380"/>
      <c r="M689" s="413"/>
      <c r="N689" s="383"/>
      <c r="O689" s="384"/>
      <c r="P689" s="384"/>
      <c r="Q689" s="383"/>
      <c r="R689" s="383"/>
      <c r="S689" s="385"/>
      <c r="T689" s="380"/>
      <c r="U689" s="380"/>
      <c r="V689" s="380"/>
      <c r="W689" s="380"/>
      <c r="X689" s="380"/>
    </row>
    <row r="690" spans="1:24" ht="15.75" customHeight="1">
      <c r="A690" s="463"/>
      <c r="B690" s="380"/>
      <c r="C690" s="381"/>
      <c r="D690" s="381"/>
      <c r="E690" s="381"/>
      <c r="F690" s="381"/>
      <c r="G690" s="381"/>
      <c r="H690" s="381"/>
      <c r="I690" s="381"/>
      <c r="J690" s="381"/>
      <c r="K690" s="382"/>
      <c r="L690" s="380"/>
      <c r="M690" s="413"/>
      <c r="N690" s="383"/>
      <c r="O690" s="384"/>
      <c r="P690" s="384"/>
      <c r="Q690" s="383"/>
      <c r="R690" s="383"/>
      <c r="S690" s="385"/>
      <c r="T690" s="380"/>
      <c r="U690" s="380"/>
      <c r="V690" s="380"/>
      <c r="W690" s="380"/>
      <c r="X690" s="380"/>
    </row>
    <row r="691" spans="1:24" ht="15.75" customHeight="1">
      <c r="A691" s="463"/>
      <c r="B691" s="380"/>
      <c r="C691" s="381"/>
      <c r="D691" s="381"/>
      <c r="E691" s="381"/>
      <c r="F691" s="381"/>
      <c r="G691" s="381"/>
      <c r="H691" s="381"/>
      <c r="I691" s="381"/>
      <c r="J691" s="381"/>
      <c r="K691" s="382"/>
      <c r="L691" s="380"/>
      <c r="M691" s="413"/>
      <c r="N691" s="383"/>
      <c r="O691" s="384"/>
      <c r="P691" s="384"/>
      <c r="Q691" s="383"/>
      <c r="R691" s="383"/>
      <c r="S691" s="385"/>
      <c r="T691" s="380"/>
      <c r="U691" s="380"/>
      <c r="V691" s="380"/>
      <c r="W691" s="380"/>
      <c r="X691" s="380"/>
    </row>
    <row r="692" spans="1:24" ht="15.75" customHeight="1">
      <c r="A692" s="463"/>
      <c r="B692" s="380"/>
      <c r="C692" s="381"/>
      <c r="D692" s="381"/>
      <c r="E692" s="381"/>
      <c r="F692" s="381"/>
      <c r="G692" s="381"/>
      <c r="H692" s="381"/>
      <c r="I692" s="381"/>
      <c r="J692" s="381"/>
      <c r="K692" s="382"/>
      <c r="L692" s="380"/>
      <c r="M692" s="413"/>
      <c r="N692" s="383"/>
      <c r="O692" s="384"/>
      <c r="P692" s="384"/>
      <c r="Q692" s="383"/>
      <c r="R692" s="383"/>
      <c r="S692" s="385"/>
      <c r="T692" s="380"/>
      <c r="U692" s="380"/>
      <c r="V692" s="380"/>
      <c r="W692" s="380"/>
      <c r="X692" s="380"/>
    </row>
    <row r="693" spans="1:24" ht="15.75" customHeight="1">
      <c r="A693" s="463"/>
      <c r="B693" s="380"/>
      <c r="C693" s="381"/>
      <c r="D693" s="381"/>
      <c r="E693" s="381"/>
      <c r="F693" s="381"/>
      <c r="G693" s="381"/>
      <c r="H693" s="381"/>
      <c r="I693" s="381"/>
      <c r="J693" s="381"/>
      <c r="K693" s="382"/>
      <c r="L693" s="380"/>
      <c r="M693" s="413"/>
      <c r="N693" s="383"/>
      <c r="O693" s="384"/>
      <c r="P693" s="384"/>
      <c r="Q693" s="383"/>
      <c r="R693" s="383"/>
      <c r="S693" s="385"/>
      <c r="T693" s="380"/>
      <c r="U693" s="380"/>
      <c r="V693" s="380"/>
      <c r="W693" s="380"/>
      <c r="X693" s="380"/>
    </row>
    <row r="694" spans="1:24" ht="15.75" customHeight="1">
      <c r="A694" s="463"/>
      <c r="B694" s="380"/>
      <c r="C694" s="381"/>
      <c r="D694" s="381"/>
      <c r="E694" s="381"/>
      <c r="F694" s="381"/>
      <c r="G694" s="381"/>
      <c r="H694" s="381"/>
      <c r="I694" s="381"/>
      <c r="J694" s="381"/>
      <c r="K694" s="382"/>
      <c r="L694" s="380"/>
      <c r="M694" s="413"/>
      <c r="N694" s="383"/>
      <c r="O694" s="384"/>
      <c r="P694" s="384"/>
      <c r="Q694" s="383"/>
      <c r="R694" s="383"/>
      <c r="S694" s="385"/>
      <c r="T694" s="380"/>
      <c r="U694" s="380"/>
      <c r="V694" s="380"/>
      <c r="W694" s="380"/>
      <c r="X694" s="380"/>
    </row>
    <row r="695" spans="1:24" ht="15.75" customHeight="1">
      <c r="A695" s="463"/>
      <c r="B695" s="380"/>
      <c r="C695" s="381"/>
      <c r="D695" s="381"/>
      <c r="E695" s="381"/>
      <c r="F695" s="381"/>
      <c r="G695" s="381"/>
      <c r="H695" s="381"/>
      <c r="I695" s="381"/>
      <c r="J695" s="381"/>
      <c r="K695" s="382"/>
      <c r="L695" s="380"/>
      <c r="M695" s="413"/>
      <c r="N695" s="383"/>
      <c r="O695" s="384"/>
      <c r="P695" s="384"/>
      <c r="Q695" s="383"/>
      <c r="R695" s="383"/>
      <c r="S695" s="385"/>
      <c r="T695" s="380"/>
      <c r="U695" s="380"/>
      <c r="V695" s="380"/>
      <c r="W695" s="380"/>
      <c r="X695" s="380"/>
    </row>
    <row r="696" spans="1:24" ht="15.75" customHeight="1">
      <c r="A696" s="463"/>
      <c r="B696" s="380"/>
      <c r="C696" s="381"/>
      <c r="D696" s="381"/>
      <c r="E696" s="381"/>
      <c r="F696" s="381"/>
      <c r="G696" s="381"/>
      <c r="H696" s="381"/>
      <c r="I696" s="381"/>
      <c r="J696" s="381"/>
      <c r="K696" s="382"/>
      <c r="L696" s="380"/>
      <c r="M696" s="413"/>
      <c r="N696" s="383"/>
      <c r="O696" s="384"/>
      <c r="P696" s="384"/>
      <c r="Q696" s="383"/>
      <c r="R696" s="383"/>
      <c r="S696" s="385"/>
      <c r="T696" s="380"/>
      <c r="U696" s="380"/>
      <c r="V696" s="380"/>
      <c r="W696" s="380"/>
      <c r="X696" s="380"/>
    </row>
    <row r="697" spans="1:24" ht="15.75" customHeight="1">
      <c r="A697" s="463"/>
      <c r="B697" s="380"/>
      <c r="C697" s="381"/>
      <c r="D697" s="381"/>
      <c r="E697" s="381"/>
      <c r="F697" s="381"/>
      <c r="G697" s="381"/>
      <c r="H697" s="381"/>
      <c r="I697" s="381"/>
      <c r="J697" s="381"/>
      <c r="K697" s="382"/>
      <c r="L697" s="380"/>
      <c r="M697" s="413"/>
      <c r="N697" s="383"/>
      <c r="O697" s="384"/>
      <c r="P697" s="384"/>
      <c r="Q697" s="383"/>
      <c r="R697" s="383"/>
      <c r="S697" s="385"/>
      <c r="T697" s="380"/>
      <c r="U697" s="380"/>
      <c r="V697" s="380"/>
      <c r="W697" s="380"/>
      <c r="X697" s="380"/>
    </row>
    <row r="698" spans="1:24" ht="15.75" customHeight="1">
      <c r="A698" s="463"/>
      <c r="B698" s="380"/>
      <c r="C698" s="381"/>
      <c r="D698" s="381"/>
      <c r="E698" s="381"/>
      <c r="F698" s="381"/>
      <c r="G698" s="381"/>
      <c r="H698" s="381"/>
      <c r="I698" s="381"/>
      <c r="J698" s="381"/>
      <c r="K698" s="382"/>
      <c r="L698" s="380"/>
      <c r="M698" s="413"/>
      <c r="N698" s="383"/>
      <c r="O698" s="384"/>
      <c r="P698" s="384"/>
      <c r="Q698" s="383"/>
      <c r="R698" s="383"/>
      <c r="S698" s="385"/>
      <c r="T698" s="380"/>
      <c r="U698" s="380"/>
      <c r="V698" s="380"/>
      <c r="W698" s="380"/>
      <c r="X698" s="380"/>
    </row>
    <row r="699" spans="1:24" ht="15.75" customHeight="1">
      <c r="A699" s="463"/>
      <c r="B699" s="380"/>
      <c r="C699" s="381"/>
      <c r="D699" s="381"/>
      <c r="E699" s="381"/>
      <c r="F699" s="381"/>
      <c r="G699" s="381"/>
      <c r="H699" s="381"/>
      <c r="I699" s="381"/>
      <c r="J699" s="381"/>
      <c r="K699" s="382"/>
      <c r="L699" s="380"/>
      <c r="M699" s="413"/>
      <c r="N699" s="383"/>
      <c r="O699" s="384"/>
      <c r="P699" s="384"/>
      <c r="Q699" s="383"/>
      <c r="R699" s="383"/>
      <c r="S699" s="385"/>
      <c r="T699" s="380"/>
      <c r="U699" s="380"/>
      <c r="V699" s="380"/>
      <c r="W699" s="380"/>
      <c r="X699" s="380"/>
    </row>
    <row r="700" spans="1:24" ht="15.75" customHeight="1">
      <c r="A700" s="463"/>
      <c r="B700" s="380"/>
      <c r="C700" s="381"/>
      <c r="D700" s="381"/>
      <c r="E700" s="381"/>
      <c r="F700" s="381"/>
      <c r="G700" s="381"/>
      <c r="H700" s="381"/>
      <c r="I700" s="381"/>
      <c r="J700" s="381"/>
      <c r="K700" s="382"/>
      <c r="L700" s="380"/>
      <c r="M700" s="413"/>
      <c r="N700" s="383"/>
      <c r="O700" s="384"/>
      <c r="P700" s="384"/>
      <c r="Q700" s="383"/>
      <c r="R700" s="383"/>
      <c r="S700" s="385"/>
      <c r="T700" s="380"/>
      <c r="U700" s="380"/>
      <c r="V700" s="380"/>
      <c r="W700" s="380"/>
      <c r="X700" s="380"/>
    </row>
    <row r="701" spans="1:24" ht="15.75" customHeight="1">
      <c r="A701" s="463"/>
      <c r="B701" s="380"/>
      <c r="C701" s="381"/>
      <c r="D701" s="381"/>
      <c r="E701" s="381"/>
      <c r="F701" s="381"/>
      <c r="G701" s="381"/>
      <c r="H701" s="381"/>
      <c r="I701" s="381"/>
      <c r="J701" s="381"/>
      <c r="K701" s="382"/>
      <c r="L701" s="380"/>
      <c r="M701" s="413"/>
      <c r="N701" s="383"/>
      <c r="O701" s="384"/>
      <c r="P701" s="384"/>
      <c r="Q701" s="383"/>
      <c r="R701" s="383"/>
      <c r="S701" s="385"/>
      <c r="T701" s="380"/>
      <c r="U701" s="380"/>
      <c r="V701" s="380"/>
      <c r="W701" s="380"/>
      <c r="X701" s="380"/>
    </row>
    <row r="702" spans="1:24" ht="15.75" customHeight="1">
      <c r="A702" s="463"/>
      <c r="B702" s="380"/>
      <c r="C702" s="381"/>
      <c r="D702" s="381"/>
      <c r="E702" s="381"/>
      <c r="F702" s="381"/>
      <c r="G702" s="381"/>
      <c r="H702" s="381"/>
      <c r="I702" s="381"/>
      <c r="J702" s="381"/>
      <c r="K702" s="382"/>
      <c r="L702" s="380"/>
      <c r="M702" s="413"/>
      <c r="N702" s="383"/>
      <c r="O702" s="384"/>
      <c r="P702" s="384"/>
      <c r="Q702" s="383"/>
      <c r="R702" s="383"/>
      <c r="S702" s="385"/>
      <c r="T702" s="380"/>
      <c r="U702" s="380"/>
      <c r="V702" s="380"/>
      <c r="W702" s="380"/>
      <c r="X702" s="380"/>
    </row>
    <row r="703" spans="1:24" ht="15.75" customHeight="1">
      <c r="A703" s="463"/>
      <c r="B703" s="380"/>
      <c r="C703" s="381"/>
      <c r="D703" s="381"/>
      <c r="E703" s="381"/>
      <c r="F703" s="381"/>
      <c r="G703" s="381"/>
      <c r="H703" s="381"/>
      <c r="I703" s="381"/>
      <c r="J703" s="381"/>
      <c r="K703" s="382"/>
      <c r="L703" s="380"/>
      <c r="M703" s="413"/>
      <c r="N703" s="383"/>
      <c r="O703" s="384"/>
      <c r="P703" s="384"/>
      <c r="Q703" s="383"/>
      <c r="R703" s="383"/>
      <c r="S703" s="385"/>
      <c r="T703" s="380"/>
      <c r="U703" s="380"/>
      <c r="V703" s="380"/>
      <c r="W703" s="380"/>
      <c r="X703" s="380"/>
    </row>
    <row r="704" spans="1:24" ht="15.75" customHeight="1">
      <c r="A704" s="463"/>
      <c r="B704" s="380"/>
      <c r="C704" s="381"/>
      <c r="D704" s="381"/>
      <c r="E704" s="381"/>
      <c r="F704" s="381"/>
      <c r="G704" s="381"/>
      <c r="H704" s="381"/>
      <c r="I704" s="381"/>
      <c r="J704" s="381"/>
      <c r="K704" s="382"/>
      <c r="L704" s="380"/>
      <c r="M704" s="413"/>
      <c r="N704" s="383"/>
      <c r="O704" s="384"/>
      <c r="P704" s="384"/>
      <c r="Q704" s="383"/>
      <c r="R704" s="383"/>
      <c r="S704" s="385"/>
      <c r="T704" s="380"/>
      <c r="U704" s="380"/>
      <c r="V704" s="380"/>
      <c r="W704" s="380"/>
      <c r="X704" s="380"/>
    </row>
    <row r="705" spans="1:24" ht="15.75" customHeight="1">
      <c r="A705" s="463"/>
      <c r="B705" s="380"/>
      <c r="C705" s="381"/>
      <c r="D705" s="381"/>
      <c r="E705" s="381"/>
      <c r="F705" s="381"/>
      <c r="G705" s="381"/>
      <c r="H705" s="381"/>
      <c r="I705" s="381"/>
      <c r="J705" s="381"/>
      <c r="K705" s="382"/>
      <c r="L705" s="380"/>
      <c r="M705" s="413"/>
      <c r="N705" s="383"/>
      <c r="O705" s="384"/>
      <c r="P705" s="384"/>
      <c r="Q705" s="383"/>
      <c r="R705" s="383"/>
      <c r="S705" s="385"/>
      <c r="T705" s="380"/>
      <c r="U705" s="380"/>
      <c r="V705" s="380"/>
      <c r="W705" s="380"/>
      <c r="X705" s="380"/>
    </row>
    <row r="706" spans="1:24" ht="15.75" customHeight="1">
      <c r="A706" s="463"/>
      <c r="B706" s="380"/>
      <c r="C706" s="381"/>
      <c r="D706" s="381"/>
      <c r="E706" s="381"/>
      <c r="F706" s="381"/>
      <c r="G706" s="381"/>
      <c r="H706" s="381"/>
      <c r="I706" s="381"/>
      <c r="J706" s="381"/>
      <c r="K706" s="382"/>
      <c r="L706" s="380"/>
      <c r="M706" s="413"/>
      <c r="N706" s="383"/>
      <c r="O706" s="384"/>
      <c r="P706" s="384"/>
      <c r="Q706" s="383"/>
      <c r="R706" s="383"/>
      <c r="S706" s="385"/>
      <c r="T706" s="380"/>
      <c r="U706" s="380"/>
      <c r="V706" s="380"/>
      <c r="W706" s="380"/>
      <c r="X706" s="380"/>
    </row>
    <row r="707" spans="1:24" ht="15.75" customHeight="1">
      <c r="A707" s="463"/>
      <c r="B707" s="380"/>
      <c r="C707" s="381"/>
      <c r="D707" s="381"/>
      <c r="E707" s="381"/>
      <c r="F707" s="381"/>
      <c r="G707" s="381"/>
      <c r="H707" s="381"/>
      <c r="I707" s="381"/>
      <c r="J707" s="381"/>
      <c r="K707" s="382"/>
      <c r="L707" s="380"/>
      <c r="M707" s="413"/>
      <c r="N707" s="383"/>
      <c r="O707" s="384"/>
      <c r="P707" s="384"/>
      <c r="Q707" s="383"/>
      <c r="R707" s="383"/>
      <c r="S707" s="385"/>
      <c r="T707" s="380"/>
      <c r="U707" s="380"/>
      <c r="V707" s="380"/>
      <c r="W707" s="380"/>
      <c r="X707" s="380"/>
    </row>
    <row r="708" spans="1:24" ht="15.75" customHeight="1">
      <c r="A708" s="463"/>
      <c r="B708" s="380"/>
      <c r="C708" s="381"/>
      <c r="D708" s="381"/>
      <c r="E708" s="381"/>
      <c r="F708" s="381"/>
      <c r="G708" s="381"/>
      <c r="H708" s="381"/>
      <c r="I708" s="381"/>
      <c r="J708" s="381"/>
      <c r="K708" s="382"/>
      <c r="L708" s="380"/>
      <c r="M708" s="413"/>
      <c r="N708" s="383"/>
      <c r="O708" s="384"/>
      <c r="P708" s="384"/>
      <c r="Q708" s="383"/>
      <c r="R708" s="383"/>
      <c r="S708" s="385"/>
      <c r="T708" s="380"/>
      <c r="U708" s="380"/>
      <c r="V708" s="380"/>
      <c r="W708" s="380"/>
      <c r="X708" s="380"/>
    </row>
    <row r="709" spans="1:24" ht="15.75" customHeight="1">
      <c r="A709" s="463"/>
      <c r="B709" s="380"/>
      <c r="C709" s="381"/>
      <c r="D709" s="381"/>
      <c r="E709" s="381"/>
      <c r="F709" s="381"/>
      <c r="G709" s="381"/>
      <c r="H709" s="381"/>
      <c r="I709" s="381"/>
      <c r="J709" s="381"/>
      <c r="K709" s="382"/>
      <c r="L709" s="380"/>
      <c r="M709" s="413"/>
      <c r="N709" s="383"/>
      <c r="O709" s="384"/>
      <c r="P709" s="384"/>
      <c r="Q709" s="383"/>
      <c r="R709" s="383"/>
      <c r="S709" s="385"/>
      <c r="T709" s="380"/>
      <c r="U709" s="380"/>
      <c r="V709" s="380"/>
      <c r="W709" s="380"/>
      <c r="X709" s="380"/>
    </row>
    <row r="710" spans="1:24" ht="15.75" customHeight="1">
      <c r="A710" s="463"/>
      <c r="B710" s="380"/>
      <c r="C710" s="381"/>
      <c r="D710" s="381"/>
      <c r="E710" s="381"/>
      <c r="F710" s="381"/>
      <c r="G710" s="381"/>
      <c r="H710" s="381"/>
      <c r="I710" s="381"/>
      <c r="J710" s="381"/>
      <c r="K710" s="382"/>
      <c r="L710" s="380"/>
      <c r="M710" s="413"/>
      <c r="N710" s="383"/>
      <c r="O710" s="384"/>
      <c r="P710" s="384"/>
      <c r="Q710" s="383"/>
      <c r="R710" s="383"/>
      <c r="S710" s="385"/>
      <c r="T710" s="380"/>
      <c r="U710" s="380"/>
      <c r="V710" s="380"/>
      <c r="W710" s="380"/>
      <c r="X710" s="380"/>
    </row>
    <row r="711" spans="1:24" ht="15.75" customHeight="1">
      <c r="A711" s="463"/>
      <c r="B711" s="380"/>
      <c r="C711" s="381"/>
      <c r="D711" s="381"/>
      <c r="E711" s="381"/>
      <c r="F711" s="381"/>
      <c r="G711" s="381"/>
      <c r="H711" s="381"/>
      <c r="I711" s="381"/>
      <c r="J711" s="381"/>
      <c r="K711" s="382"/>
      <c r="L711" s="380"/>
      <c r="M711" s="413"/>
      <c r="N711" s="383"/>
      <c r="O711" s="384"/>
      <c r="P711" s="384"/>
      <c r="Q711" s="383"/>
      <c r="R711" s="383"/>
      <c r="S711" s="385"/>
      <c r="T711" s="380"/>
      <c r="U711" s="380"/>
      <c r="V711" s="380"/>
      <c r="W711" s="380"/>
      <c r="X711" s="380"/>
    </row>
    <row r="712" spans="1:24" ht="15.75" customHeight="1">
      <c r="A712" s="463"/>
      <c r="B712" s="380"/>
      <c r="C712" s="381"/>
      <c r="D712" s="381"/>
      <c r="E712" s="381"/>
      <c r="F712" s="381"/>
      <c r="G712" s="381"/>
      <c r="H712" s="381"/>
      <c r="I712" s="381"/>
      <c r="J712" s="381"/>
      <c r="K712" s="382"/>
      <c r="L712" s="380"/>
      <c r="M712" s="413"/>
      <c r="N712" s="383"/>
      <c r="O712" s="384"/>
      <c r="P712" s="384"/>
      <c r="Q712" s="383"/>
      <c r="R712" s="383"/>
      <c r="S712" s="385"/>
      <c r="T712" s="380"/>
      <c r="U712" s="380"/>
      <c r="V712" s="380"/>
      <c r="W712" s="380"/>
      <c r="X712" s="380"/>
    </row>
    <row r="713" spans="1:24" ht="15.75" customHeight="1">
      <c r="A713" s="463"/>
      <c r="B713" s="380"/>
      <c r="C713" s="381"/>
      <c r="D713" s="381"/>
      <c r="E713" s="381"/>
      <c r="F713" s="381"/>
      <c r="G713" s="381"/>
      <c r="H713" s="381"/>
      <c r="I713" s="381"/>
      <c r="J713" s="381"/>
      <c r="K713" s="382"/>
      <c r="L713" s="380"/>
      <c r="M713" s="413"/>
      <c r="N713" s="383"/>
      <c r="O713" s="384"/>
      <c r="P713" s="384"/>
      <c r="Q713" s="383"/>
      <c r="R713" s="383"/>
      <c r="S713" s="385"/>
      <c r="T713" s="380"/>
      <c r="U713" s="380"/>
      <c r="V713" s="380"/>
      <c r="W713" s="380"/>
      <c r="X713" s="380"/>
    </row>
    <row r="714" spans="1:24" ht="15.75" customHeight="1">
      <c r="A714" s="463"/>
      <c r="B714" s="380"/>
      <c r="C714" s="381"/>
      <c r="D714" s="381"/>
      <c r="E714" s="381"/>
      <c r="F714" s="381"/>
      <c r="G714" s="381"/>
      <c r="H714" s="381"/>
      <c r="I714" s="381"/>
      <c r="J714" s="381"/>
      <c r="K714" s="382"/>
      <c r="L714" s="380"/>
      <c r="M714" s="413"/>
      <c r="N714" s="383"/>
      <c r="O714" s="384"/>
      <c r="P714" s="384"/>
      <c r="Q714" s="383"/>
      <c r="R714" s="383"/>
      <c r="S714" s="385"/>
      <c r="T714" s="380"/>
      <c r="U714" s="380"/>
      <c r="V714" s="380"/>
      <c r="W714" s="380"/>
      <c r="X714" s="380"/>
    </row>
    <row r="715" spans="1:24" ht="15.75" customHeight="1">
      <c r="A715" s="463"/>
      <c r="B715" s="380"/>
      <c r="C715" s="381"/>
      <c r="D715" s="381"/>
      <c r="E715" s="381"/>
      <c r="F715" s="381"/>
      <c r="G715" s="381"/>
      <c r="H715" s="381"/>
      <c r="I715" s="381"/>
      <c r="J715" s="381"/>
      <c r="K715" s="382"/>
      <c r="L715" s="380"/>
      <c r="M715" s="413"/>
      <c r="N715" s="383"/>
      <c r="O715" s="384"/>
      <c r="P715" s="384"/>
      <c r="Q715" s="383"/>
      <c r="R715" s="383"/>
      <c r="S715" s="385"/>
      <c r="T715" s="380"/>
      <c r="U715" s="380"/>
      <c r="V715" s="380"/>
      <c r="W715" s="380"/>
      <c r="X715" s="380"/>
    </row>
    <row r="716" spans="1:24" ht="15.75" customHeight="1">
      <c r="A716" s="463"/>
      <c r="B716" s="380"/>
      <c r="C716" s="381"/>
      <c r="D716" s="381"/>
      <c r="E716" s="381"/>
      <c r="F716" s="381"/>
      <c r="G716" s="381"/>
      <c r="H716" s="381"/>
      <c r="I716" s="381"/>
      <c r="J716" s="381"/>
      <c r="K716" s="382"/>
      <c r="L716" s="380"/>
      <c r="M716" s="413"/>
      <c r="N716" s="383"/>
      <c r="O716" s="384"/>
      <c r="P716" s="384"/>
      <c r="Q716" s="383"/>
      <c r="R716" s="383"/>
      <c r="S716" s="385"/>
      <c r="T716" s="380"/>
      <c r="U716" s="380"/>
      <c r="V716" s="380"/>
      <c r="W716" s="380"/>
      <c r="X716" s="380"/>
    </row>
    <row r="717" spans="1:24" ht="15.75" customHeight="1">
      <c r="A717" s="463"/>
      <c r="B717" s="380"/>
      <c r="C717" s="381"/>
      <c r="D717" s="381"/>
      <c r="E717" s="381"/>
      <c r="F717" s="381"/>
      <c r="G717" s="381"/>
      <c r="H717" s="381"/>
      <c r="I717" s="381"/>
      <c r="J717" s="381"/>
      <c r="K717" s="382"/>
      <c r="L717" s="380"/>
      <c r="M717" s="413"/>
      <c r="N717" s="383"/>
      <c r="O717" s="384"/>
      <c r="P717" s="384"/>
      <c r="Q717" s="383"/>
      <c r="R717" s="383"/>
      <c r="S717" s="385"/>
      <c r="T717" s="380"/>
      <c r="U717" s="380"/>
      <c r="V717" s="380"/>
      <c r="W717" s="380"/>
      <c r="X717" s="380"/>
    </row>
    <row r="718" spans="1:24" ht="15.75" customHeight="1">
      <c r="A718" s="463"/>
      <c r="B718" s="380"/>
      <c r="C718" s="381"/>
      <c r="D718" s="381"/>
      <c r="E718" s="381"/>
      <c r="F718" s="381"/>
      <c r="G718" s="381"/>
      <c r="H718" s="381"/>
      <c r="I718" s="381"/>
      <c r="J718" s="381"/>
      <c r="K718" s="382"/>
      <c r="L718" s="380"/>
      <c r="M718" s="413"/>
      <c r="N718" s="383"/>
      <c r="O718" s="384"/>
      <c r="P718" s="384"/>
      <c r="Q718" s="383"/>
      <c r="R718" s="383"/>
      <c r="S718" s="385"/>
      <c r="T718" s="380"/>
      <c r="U718" s="380"/>
      <c r="V718" s="380"/>
      <c r="W718" s="380"/>
      <c r="X718" s="380"/>
    </row>
    <row r="719" spans="1:24" ht="15.75" customHeight="1">
      <c r="A719" s="463"/>
      <c r="B719" s="380"/>
      <c r="C719" s="381"/>
      <c r="D719" s="381"/>
      <c r="E719" s="381"/>
      <c r="F719" s="381"/>
      <c r="G719" s="381"/>
      <c r="H719" s="381"/>
      <c r="I719" s="381"/>
      <c r="J719" s="381"/>
      <c r="K719" s="382"/>
      <c r="L719" s="380"/>
      <c r="M719" s="413"/>
      <c r="N719" s="383"/>
      <c r="O719" s="384"/>
      <c r="P719" s="384"/>
      <c r="Q719" s="383"/>
      <c r="R719" s="383"/>
      <c r="S719" s="385"/>
      <c r="T719" s="380"/>
      <c r="U719" s="380"/>
      <c r="V719" s="380"/>
      <c r="W719" s="380"/>
      <c r="X719" s="380"/>
    </row>
    <row r="720" spans="1:24" ht="15.75" customHeight="1">
      <c r="A720" s="463"/>
      <c r="B720" s="380"/>
      <c r="C720" s="381"/>
      <c r="D720" s="381"/>
      <c r="E720" s="381"/>
      <c r="F720" s="381"/>
      <c r="G720" s="381"/>
      <c r="H720" s="381"/>
      <c r="I720" s="381"/>
      <c r="J720" s="381"/>
      <c r="K720" s="382"/>
      <c r="L720" s="380"/>
      <c r="M720" s="413"/>
      <c r="N720" s="383"/>
      <c r="O720" s="384"/>
      <c r="P720" s="384"/>
      <c r="Q720" s="383"/>
      <c r="R720" s="383"/>
      <c r="S720" s="385"/>
      <c r="T720" s="380"/>
      <c r="U720" s="380"/>
      <c r="V720" s="380"/>
      <c r="W720" s="380"/>
      <c r="X720" s="380"/>
    </row>
    <row r="721" spans="1:24" ht="15.75" customHeight="1">
      <c r="A721" s="463"/>
      <c r="B721" s="380"/>
      <c r="C721" s="381"/>
      <c r="D721" s="381"/>
      <c r="E721" s="381"/>
      <c r="F721" s="381"/>
      <c r="G721" s="381"/>
      <c r="H721" s="381"/>
      <c r="I721" s="381"/>
      <c r="J721" s="381"/>
      <c r="K721" s="382"/>
      <c r="L721" s="380"/>
      <c r="M721" s="413"/>
      <c r="N721" s="383"/>
      <c r="O721" s="384"/>
      <c r="P721" s="384"/>
      <c r="Q721" s="383"/>
      <c r="R721" s="383"/>
      <c r="S721" s="385"/>
      <c r="T721" s="380"/>
      <c r="U721" s="380"/>
      <c r="V721" s="380"/>
      <c r="W721" s="380"/>
      <c r="X721" s="380"/>
    </row>
    <row r="722" spans="1:24" ht="15.75" customHeight="1">
      <c r="A722" s="463"/>
      <c r="B722" s="380"/>
      <c r="C722" s="381"/>
      <c r="D722" s="381"/>
      <c r="E722" s="381"/>
      <c r="F722" s="381"/>
      <c r="G722" s="381"/>
      <c r="H722" s="381"/>
      <c r="I722" s="381"/>
      <c r="J722" s="381"/>
      <c r="K722" s="382"/>
      <c r="L722" s="380"/>
      <c r="M722" s="413"/>
      <c r="N722" s="383"/>
      <c r="O722" s="384"/>
      <c r="P722" s="384"/>
      <c r="Q722" s="383"/>
      <c r="R722" s="383"/>
      <c r="S722" s="385"/>
      <c r="T722" s="380"/>
      <c r="U722" s="380"/>
      <c r="V722" s="380"/>
      <c r="W722" s="380"/>
      <c r="X722" s="380"/>
    </row>
    <row r="723" spans="1:24" ht="15.75" customHeight="1">
      <c r="A723" s="463"/>
      <c r="B723" s="380"/>
      <c r="C723" s="381"/>
      <c r="D723" s="381"/>
      <c r="E723" s="381"/>
      <c r="F723" s="381"/>
      <c r="G723" s="381"/>
      <c r="H723" s="381"/>
      <c r="I723" s="381"/>
      <c r="J723" s="381"/>
      <c r="K723" s="382"/>
      <c r="L723" s="380"/>
      <c r="M723" s="413"/>
      <c r="N723" s="383"/>
      <c r="O723" s="384"/>
      <c r="P723" s="384"/>
      <c r="Q723" s="383"/>
      <c r="R723" s="383"/>
      <c r="S723" s="385"/>
      <c r="T723" s="380"/>
      <c r="U723" s="380"/>
      <c r="V723" s="380"/>
      <c r="W723" s="380"/>
      <c r="X723" s="380"/>
    </row>
    <row r="724" spans="1:24" ht="15.75" customHeight="1">
      <c r="A724" s="463"/>
      <c r="B724" s="380"/>
      <c r="C724" s="381"/>
      <c r="D724" s="381"/>
      <c r="E724" s="381"/>
      <c r="F724" s="381"/>
      <c r="G724" s="381"/>
      <c r="H724" s="381"/>
      <c r="I724" s="381"/>
      <c r="J724" s="381"/>
      <c r="K724" s="382"/>
      <c r="L724" s="380"/>
      <c r="M724" s="413"/>
      <c r="N724" s="383"/>
      <c r="O724" s="384"/>
      <c r="P724" s="384"/>
      <c r="Q724" s="383"/>
      <c r="R724" s="383"/>
      <c r="S724" s="385"/>
      <c r="T724" s="380"/>
      <c r="U724" s="380"/>
      <c r="V724" s="380"/>
      <c r="W724" s="380"/>
      <c r="X724" s="380"/>
    </row>
    <row r="725" spans="1:24" ht="15.75" customHeight="1">
      <c r="A725" s="463"/>
      <c r="B725" s="380"/>
      <c r="C725" s="381"/>
      <c r="D725" s="381"/>
      <c r="E725" s="381"/>
      <c r="F725" s="381"/>
      <c r="G725" s="381"/>
      <c r="H725" s="381"/>
      <c r="I725" s="381"/>
      <c r="J725" s="381"/>
      <c r="K725" s="382"/>
      <c r="L725" s="380"/>
      <c r="M725" s="413"/>
      <c r="N725" s="383"/>
      <c r="O725" s="384"/>
      <c r="P725" s="384"/>
      <c r="Q725" s="383"/>
      <c r="R725" s="383"/>
      <c r="S725" s="385"/>
      <c r="T725" s="380"/>
      <c r="U725" s="380"/>
      <c r="V725" s="380"/>
      <c r="W725" s="380"/>
      <c r="X725" s="380"/>
    </row>
    <row r="726" spans="1:24" ht="15.75" customHeight="1">
      <c r="A726" s="463"/>
      <c r="B726" s="380"/>
      <c r="C726" s="381"/>
      <c r="D726" s="381"/>
      <c r="E726" s="381"/>
      <c r="F726" s="381"/>
      <c r="G726" s="381"/>
      <c r="H726" s="381"/>
      <c r="I726" s="381"/>
      <c r="J726" s="381"/>
      <c r="K726" s="382"/>
      <c r="L726" s="380"/>
      <c r="M726" s="413"/>
      <c r="N726" s="383"/>
      <c r="O726" s="384"/>
      <c r="P726" s="384"/>
      <c r="Q726" s="383"/>
      <c r="R726" s="383"/>
      <c r="S726" s="385"/>
      <c r="T726" s="380"/>
      <c r="U726" s="380"/>
      <c r="V726" s="380"/>
      <c r="W726" s="380"/>
      <c r="X726" s="380"/>
    </row>
    <row r="727" spans="1:24" ht="15.75" customHeight="1">
      <c r="A727" s="463"/>
      <c r="B727" s="380"/>
      <c r="C727" s="381"/>
      <c r="D727" s="381"/>
      <c r="E727" s="381"/>
      <c r="F727" s="381"/>
      <c r="G727" s="381"/>
      <c r="H727" s="381"/>
      <c r="I727" s="381"/>
      <c r="J727" s="381"/>
      <c r="K727" s="382"/>
      <c r="L727" s="380"/>
      <c r="M727" s="413"/>
      <c r="N727" s="383"/>
      <c r="O727" s="384"/>
      <c r="P727" s="384"/>
      <c r="Q727" s="383"/>
      <c r="R727" s="383"/>
      <c r="S727" s="385"/>
      <c r="T727" s="380"/>
      <c r="U727" s="380"/>
      <c r="V727" s="380"/>
      <c r="W727" s="380"/>
      <c r="X727" s="380"/>
    </row>
    <row r="728" spans="1:24" ht="15.75" customHeight="1">
      <c r="A728" s="463"/>
      <c r="B728" s="380"/>
      <c r="C728" s="381"/>
      <c r="D728" s="381"/>
      <c r="E728" s="381"/>
      <c r="F728" s="381"/>
      <c r="G728" s="381"/>
      <c r="H728" s="381"/>
      <c r="I728" s="381"/>
      <c r="J728" s="381"/>
      <c r="K728" s="382"/>
      <c r="L728" s="380"/>
      <c r="M728" s="413"/>
      <c r="N728" s="383"/>
      <c r="O728" s="384"/>
      <c r="P728" s="384"/>
      <c r="Q728" s="383"/>
      <c r="R728" s="383"/>
      <c r="S728" s="385"/>
      <c r="T728" s="380"/>
      <c r="U728" s="380"/>
      <c r="V728" s="380"/>
      <c r="W728" s="380"/>
      <c r="X728" s="380"/>
    </row>
    <row r="729" spans="1:24" ht="15.75" customHeight="1">
      <c r="A729" s="463"/>
      <c r="B729" s="380"/>
      <c r="C729" s="381"/>
      <c r="D729" s="381"/>
      <c r="E729" s="381"/>
      <c r="F729" s="381"/>
      <c r="G729" s="381"/>
      <c r="H729" s="381"/>
      <c r="I729" s="381"/>
      <c r="J729" s="381"/>
      <c r="K729" s="382"/>
      <c r="L729" s="380"/>
      <c r="M729" s="413"/>
      <c r="N729" s="383"/>
      <c r="O729" s="384"/>
      <c r="P729" s="384"/>
      <c r="Q729" s="383"/>
      <c r="R729" s="383"/>
      <c r="S729" s="385"/>
      <c r="T729" s="380"/>
      <c r="U729" s="380"/>
      <c r="V729" s="380"/>
      <c r="W729" s="380"/>
      <c r="X729" s="380"/>
    </row>
    <row r="730" spans="1:24" ht="15.75" customHeight="1">
      <c r="A730" s="463"/>
      <c r="B730" s="380"/>
      <c r="C730" s="381"/>
      <c r="D730" s="381"/>
      <c r="E730" s="381"/>
      <c r="F730" s="381"/>
      <c r="G730" s="381"/>
      <c r="H730" s="381"/>
      <c r="I730" s="381"/>
      <c r="J730" s="381"/>
      <c r="K730" s="382"/>
      <c r="L730" s="380"/>
      <c r="M730" s="413"/>
      <c r="N730" s="383"/>
      <c r="O730" s="384"/>
      <c r="P730" s="384"/>
      <c r="Q730" s="383"/>
      <c r="R730" s="383"/>
      <c r="S730" s="385"/>
      <c r="T730" s="380"/>
      <c r="U730" s="380"/>
      <c r="V730" s="380"/>
      <c r="W730" s="380"/>
      <c r="X730" s="380"/>
    </row>
    <row r="731" spans="1:24" ht="15.75" customHeight="1">
      <c r="A731" s="463"/>
      <c r="B731" s="380"/>
      <c r="C731" s="381"/>
      <c r="D731" s="381"/>
      <c r="E731" s="381"/>
      <c r="F731" s="381"/>
      <c r="G731" s="381"/>
      <c r="H731" s="381"/>
      <c r="I731" s="381"/>
      <c r="J731" s="381"/>
      <c r="K731" s="382"/>
      <c r="L731" s="380"/>
      <c r="M731" s="413"/>
      <c r="N731" s="383"/>
      <c r="O731" s="384"/>
      <c r="P731" s="384"/>
      <c r="Q731" s="383"/>
      <c r="R731" s="383"/>
      <c r="S731" s="385"/>
      <c r="T731" s="380"/>
      <c r="U731" s="380"/>
      <c r="V731" s="380"/>
      <c r="W731" s="380"/>
      <c r="X731" s="380"/>
    </row>
    <row r="732" spans="1:24" ht="15.75" customHeight="1">
      <c r="A732" s="463"/>
      <c r="B732" s="380"/>
      <c r="C732" s="381"/>
      <c r="D732" s="381"/>
      <c r="E732" s="381"/>
      <c r="F732" s="381"/>
      <c r="G732" s="381"/>
      <c r="H732" s="381"/>
      <c r="I732" s="381"/>
      <c r="J732" s="381"/>
      <c r="K732" s="382"/>
      <c r="L732" s="380"/>
      <c r="M732" s="413"/>
      <c r="N732" s="383"/>
      <c r="O732" s="384"/>
      <c r="P732" s="384"/>
      <c r="Q732" s="383"/>
      <c r="R732" s="383"/>
      <c r="S732" s="385"/>
      <c r="T732" s="380"/>
      <c r="U732" s="380"/>
      <c r="V732" s="380"/>
      <c r="W732" s="380"/>
      <c r="X732" s="380"/>
    </row>
    <row r="733" spans="1:24" ht="15.75" customHeight="1">
      <c r="A733" s="463"/>
      <c r="B733" s="380"/>
      <c r="C733" s="381"/>
      <c r="D733" s="381"/>
      <c r="E733" s="381"/>
      <c r="F733" s="381"/>
      <c r="G733" s="381"/>
      <c r="H733" s="381"/>
      <c r="I733" s="381"/>
      <c r="J733" s="381"/>
      <c r="K733" s="382"/>
      <c r="L733" s="380"/>
      <c r="M733" s="413"/>
      <c r="N733" s="383"/>
      <c r="O733" s="384"/>
      <c r="P733" s="384"/>
      <c r="Q733" s="383"/>
      <c r="R733" s="383"/>
      <c r="S733" s="385"/>
      <c r="T733" s="380"/>
      <c r="U733" s="380"/>
      <c r="V733" s="380"/>
      <c r="W733" s="380"/>
      <c r="X733" s="380"/>
    </row>
    <row r="734" spans="1:24" ht="15.75" customHeight="1">
      <c r="A734" s="463"/>
      <c r="B734" s="380"/>
      <c r="C734" s="381"/>
      <c r="D734" s="381"/>
      <c r="E734" s="381"/>
      <c r="F734" s="381"/>
      <c r="G734" s="381"/>
      <c r="H734" s="381"/>
      <c r="I734" s="381"/>
      <c r="J734" s="381"/>
      <c r="K734" s="382"/>
      <c r="L734" s="380"/>
      <c r="M734" s="413"/>
      <c r="N734" s="383"/>
      <c r="O734" s="384"/>
      <c r="P734" s="384"/>
      <c r="Q734" s="383"/>
      <c r="R734" s="383"/>
      <c r="S734" s="385"/>
      <c r="T734" s="380"/>
      <c r="U734" s="380"/>
      <c r="V734" s="380"/>
      <c r="W734" s="380"/>
      <c r="X734" s="380"/>
    </row>
    <row r="735" spans="1:24" ht="15.75" customHeight="1">
      <c r="A735" s="463"/>
      <c r="B735" s="380"/>
      <c r="C735" s="381"/>
      <c r="D735" s="381"/>
      <c r="E735" s="381"/>
      <c r="F735" s="381"/>
      <c r="G735" s="381"/>
      <c r="H735" s="381"/>
      <c r="I735" s="381"/>
      <c r="J735" s="381"/>
      <c r="K735" s="382"/>
      <c r="L735" s="380"/>
      <c r="M735" s="413"/>
      <c r="N735" s="383"/>
      <c r="O735" s="384"/>
      <c r="P735" s="384"/>
      <c r="Q735" s="383"/>
      <c r="R735" s="383"/>
      <c r="S735" s="385"/>
      <c r="T735" s="380"/>
      <c r="U735" s="380"/>
      <c r="V735" s="380"/>
      <c r="W735" s="380"/>
      <c r="X735" s="380"/>
    </row>
    <row r="736" spans="1:24" ht="15.75" customHeight="1">
      <c r="A736" s="463"/>
      <c r="B736" s="380"/>
      <c r="C736" s="381"/>
      <c r="D736" s="381"/>
      <c r="E736" s="381"/>
      <c r="F736" s="381"/>
      <c r="G736" s="381"/>
      <c r="H736" s="381"/>
      <c r="I736" s="381"/>
      <c r="J736" s="381"/>
      <c r="K736" s="382"/>
      <c r="L736" s="380"/>
      <c r="M736" s="413"/>
      <c r="N736" s="383"/>
      <c r="O736" s="384"/>
      <c r="P736" s="384"/>
      <c r="Q736" s="383"/>
      <c r="R736" s="383"/>
      <c r="S736" s="385"/>
      <c r="T736" s="380"/>
      <c r="U736" s="380"/>
      <c r="V736" s="380"/>
      <c r="W736" s="380"/>
      <c r="X736" s="380"/>
    </row>
    <row r="737" spans="1:24" ht="15.75" customHeight="1">
      <c r="A737" s="463"/>
      <c r="B737" s="380"/>
      <c r="C737" s="381"/>
      <c r="D737" s="381"/>
      <c r="E737" s="381"/>
      <c r="F737" s="381"/>
      <c r="G737" s="381"/>
      <c r="H737" s="381"/>
      <c r="I737" s="381"/>
      <c r="J737" s="381"/>
      <c r="K737" s="382"/>
      <c r="L737" s="380"/>
      <c r="M737" s="413"/>
      <c r="N737" s="383"/>
      <c r="O737" s="384"/>
      <c r="P737" s="384"/>
      <c r="Q737" s="383"/>
      <c r="R737" s="383"/>
      <c r="S737" s="385"/>
      <c r="T737" s="380"/>
      <c r="U737" s="380"/>
      <c r="V737" s="380"/>
      <c r="W737" s="380"/>
      <c r="X737" s="380"/>
    </row>
    <row r="738" spans="1:24" ht="15.75" customHeight="1">
      <c r="A738" s="463"/>
      <c r="B738" s="380"/>
      <c r="C738" s="381"/>
      <c r="D738" s="381"/>
      <c r="E738" s="381"/>
      <c r="F738" s="381"/>
      <c r="G738" s="381"/>
      <c r="H738" s="381"/>
      <c r="I738" s="381"/>
      <c r="J738" s="381"/>
      <c r="K738" s="382"/>
      <c r="L738" s="380"/>
      <c r="M738" s="413"/>
      <c r="N738" s="383"/>
      <c r="O738" s="384"/>
      <c r="P738" s="384"/>
      <c r="Q738" s="383"/>
      <c r="R738" s="383"/>
      <c r="S738" s="385"/>
      <c r="T738" s="380"/>
      <c r="U738" s="380"/>
      <c r="V738" s="380"/>
      <c r="W738" s="380"/>
      <c r="X738" s="380"/>
    </row>
    <row r="739" spans="1:24" ht="15.75" customHeight="1">
      <c r="A739" s="463"/>
      <c r="B739" s="380"/>
      <c r="C739" s="381"/>
      <c r="D739" s="381"/>
      <c r="E739" s="381"/>
      <c r="F739" s="381"/>
      <c r="G739" s="381"/>
      <c r="H739" s="381"/>
      <c r="I739" s="381"/>
      <c r="J739" s="381"/>
      <c r="K739" s="382"/>
      <c r="L739" s="380"/>
      <c r="M739" s="413"/>
      <c r="N739" s="383"/>
      <c r="O739" s="384"/>
      <c r="P739" s="384"/>
      <c r="Q739" s="383"/>
      <c r="R739" s="383"/>
      <c r="S739" s="385"/>
      <c r="T739" s="380"/>
      <c r="U739" s="380"/>
      <c r="V739" s="380"/>
      <c r="W739" s="380"/>
      <c r="X739" s="380"/>
    </row>
    <row r="740" spans="1:24" ht="15.75" customHeight="1">
      <c r="A740" s="463"/>
      <c r="B740" s="380"/>
      <c r="C740" s="381"/>
      <c r="D740" s="381"/>
      <c r="E740" s="381"/>
      <c r="F740" s="381"/>
      <c r="G740" s="381"/>
      <c r="H740" s="381"/>
      <c r="I740" s="381"/>
      <c r="J740" s="381"/>
      <c r="K740" s="382"/>
      <c r="L740" s="380"/>
      <c r="M740" s="413"/>
      <c r="N740" s="383"/>
      <c r="O740" s="384"/>
      <c r="P740" s="384"/>
      <c r="Q740" s="383"/>
      <c r="R740" s="383"/>
      <c r="S740" s="385"/>
      <c r="T740" s="380"/>
      <c r="U740" s="380"/>
      <c r="V740" s="380"/>
      <c r="W740" s="380"/>
      <c r="X740" s="380"/>
    </row>
    <row r="741" spans="1:24" ht="15.75" customHeight="1">
      <c r="A741" s="463"/>
      <c r="B741" s="380"/>
      <c r="C741" s="381"/>
      <c r="D741" s="381"/>
      <c r="E741" s="381"/>
      <c r="F741" s="381"/>
      <c r="G741" s="381"/>
      <c r="H741" s="381"/>
      <c r="I741" s="381"/>
      <c r="J741" s="381"/>
      <c r="K741" s="382"/>
      <c r="L741" s="380"/>
      <c r="M741" s="413"/>
      <c r="N741" s="383"/>
      <c r="O741" s="384"/>
      <c r="P741" s="384"/>
      <c r="Q741" s="383"/>
      <c r="R741" s="383"/>
      <c r="S741" s="385"/>
      <c r="T741" s="380"/>
      <c r="U741" s="380"/>
      <c r="V741" s="380"/>
      <c r="W741" s="380"/>
      <c r="X741" s="380"/>
    </row>
    <row r="742" spans="1:24" ht="15.75" customHeight="1">
      <c r="A742" s="463"/>
      <c r="B742" s="380"/>
      <c r="C742" s="381"/>
      <c r="D742" s="381"/>
      <c r="E742" s="381"/>
      <c r="F742" s="381"/>
      <c r="G742" s="381"/>
      <c r="H742" s="381"/>
      <c r="I742" s="381"/>
      <c r="J742" s="381"/>
      <c r="K742" s="382"/>
      <c r="L742" s="380"/>
      <c r="M742" s="413"/>
      <c r="N742" s="383"/>
      <c r="O742" s="384"/>
      <c r="P742" s="384"/>
      <c r="Q742" s="383"/>
      <c r="R742" s="383"/>
      <c r="S742" s="385"/>
      <c r="T742" s="380"/>
      <c r="U742" s="380"/>
      <c r="V742" s="380"/>
      <c r="W742" s="380"/>
      <c r="X742" s="380"/>
    </row>
    <row r="743" spans="1:24" ht="15.75" customHeight="1">
      <c r="A743" s="463"/>
      <c r="B743" s="380"/>
      <c r="C743" s="381"/>
      <c r="D743" s="381"/>
      <c r="E743" s="381"/>
      <c r="F743" s="381"/>
      <c r="G743" s="381"/>
      <c r="H743" s="381"/>
      <c r="I743" s="381"/>
      <c r="J743" s="381"/>
      <c r="K743" s="382"/>
      <c r="L743" s="380"/>
      <c r="M743" s="413"/>
      <c r="N743" s="383"/>
      <c r="O743" s="384"/>
      <c r="P743" s="384"/>
      <c r="Q743" s="383"/>
      <c r="R743" s="383"/>
      <c r="S743" s="385"/>
      <c r="T743" s="380"/>
      <c r="U743" s="380"/>
      <c r="V743" s="380"/>
      <c r="W743" s="380"/>
      <c r="X743" s="380"/>
    </row>
    <row r="744" spans="1:24" ht="15.75" customHeight="1">
      <c r="A744" s="463"/>
      <c r="B744" s="380"/>
      <c r="C744" s="381"/>
      <c r="D744" s="381"/>
      <c r="E744" s="381"/>
      <c r="F744" s="381"/>
      <c r="G744" s="381"/>
      <c r="H744" s="381"/>
      <c r="I744" s="381"/>
      <c r="J744" s="381"/>
      <c r="K744" s="382"/>
      <c r="L744" s="380"/>
      <c r="M744" s="413"/>
      <c r="N744" s="383"/>
      <c r="O744" s="384"/>
      <c r="P744" s="384"/>
      <c r="Q744" s="383"/>
      <c r="R744" s="383"/>
      <c r="S744" s="385"/>
      <c r="T744" s="380"/>
      <c r="U744" s="380"/>
      <c r="V744" s="380"/>
      <c r="W744" s="380"/>
      <c r="X744" s="380"/>
    </row>
    <row r="745" spans="1:24" ht="15.75" customHeight="1">
      <c r="A745" s="463"/>
      <c r="B745" s="380"/>
      <c r="C745" s="381"/>
      <c r="D745" s="381"/>
      <c r="E745" s="381"/>
      <c r="F745" s="381"/>
      <c r="G745" s="381"/>
      <c r="H745" s="381"/>
      <c r="I745" s="381"/>
      <c r="J745" s="381"/>
      <c r="K745" s="382"/>
      <c r="L745" s="380"/>
      <c r="M745" s="413"/>
      <c r="N745" s="383"/>
      <c r="O745" s="384"/>
      <c r="P745" s="384"/>
      <c r="Q745" s="383"/>
      <c r="R745" s="383"/>
      <c r="S745" s="385"/>
      <c r="T745" s="380"/>
      <c r="U745" s="380"/>
      <c r="V745" s="380"/>
      <c r="W745" s="380"/>
      <c r="X745" s="380"/>
    </row>
    <row r="746" spans="1:24" ht="15.75" customHeight="1">
      <c r="A746" s="463"/>
      <c r="B746" s="380"/>
      <c r="C746" s="381"/>
      <c r="D746" s="381"/>
      <c r="E746" s="381"/>
      <c r="F746" s="381"/>
      <c r="G746" s="381"/>
      <c r="H746" s="381"/>
      <c r="I746" s="381"/>
      <c r="J746" s="381"/>
      <c r="K746" s="382"/>
      <c r="L746" s="380"/>
      <c r="M746" s="413"/>
      <c r="N746" s="383"/>
      <c r="O746" s="384"/>
      <c r="P746" s="384"/>
      <c r="Q746" s="383"/>
      <c r="R746" s="383"/>
      <c r="S746" s="385"/>
      <c r="T746" s="380"/>
      <c r="U746" s="380"/>
      <c r="V746" s="380"/>
      <c r="W746" s="380"/>
      <c r="X746" s="380"/>
    </row>
    <row r="747" spans="1:24" ht="15.75" customHeight="1">
      <c r="A747" s="463"/>
      <c r="B747" s="380"/>
      <c r="C747" s="381"/>
      <c r="D747" s="381"/>
      <c r="E747" s="381"/>
      <c r="F747" s="381"/>
      <c r="G747" s="381"/>
      <c r="H747" s="381"/>
      <c r="I747" s="381"/>
      <c r="J747" s="381"/>
      <c r="K747" s="382"/>
      <c r="L747" s="380"/>
      <c r="M747" s="413"/>
      <c r="N747" s="383"/>
      <c r="O747" s="384"/>
      <c r="P747" s="384"/>
      <c r="Q747" s="383"/>
      <c r="R747" s="383"/>
      <c r="S747" s="385"/>
      <c r="T747" s="380"/>
      <c r="U747" s="380"/>
      <c r="V747" s="380"/>
      <c r="W747" s="380"/>
      <c r="X747" s="380"/>
    </row>
    <row r="748" spans="1:24" ht="15.75" customHeight="1">
      <c r="A748" s="463"/>
      <c r="B748" s="380"/>
      <c r="C748" s="381"/>
      <c r="D748" s="381"/>
      <c r="E748" s="381"/>
      <c r="F748" s="381"/>
      <c r="G748" s="381"/>
      <c r="H748" s="381"/>
      <c r="I748" s="381"/>
      <c r="J748" s="381"/>
      <c r="K748" s="382"/>
      <c r="L748" s="380"/>
      <c r="M748" s="413"/>
      <c r="N748" s="383"/>
      <c r="O748" s="384"/>
      <c r="P748" s="384"/>
      <c r="Q748" s="383"/>
      <c r="R748" s="383"/>
      <c r="S748" s="385"/>
      <c r="T748" s="380"/>
      <c r="U748" s="380"/>
      <c r="V748" s="380"/>
      <c r="W748" s="380"/>
      <c r="X748" s="380"/>
    </row>
    <row r="749" spans="1:24" ht="15.75" customHeight="1">
      <c r="A749" s="463"/>
      <c r="B749" s="380"/>
      <c r="C749" s="381"/>
      <c r="D749" s="381"/>
      <c r="E749" s="381"/>
      <c r="F749" s="381"/>
      <c r="G749" s="381"/>
      <c r="H749" s="381"/>
      <c r="I749" s="381"/>
      <c r="J749" s="381"/>
      <c r="K749" s="382"/>
      <c r="L749" s="380"/>
      <c r="M749" s="413"/>
      <c r="N749" s="383"/>
      <c r="O749" s="384"/>
      <c r="P749" s="384"/>
      <c r="Q749" s="383"/>
      <c r="R749" s="383"/>
      <c r="S749" s="385"/>
      <c r="T749" s="380"/>
      <c r="U749" s="380"/>
      <c r="V749" s="380"/>
      <c r="W749" s="380"/>
      <c r="X749" s="380"/>
    </row>
    <row r="750" spans="1:24" ht="15.75" customHeight="1">
      <c r="A750" s="463"/>
      <c r="B750" s="380"/>
      <c r="C750" s="381"/>
      <c r="D750" s="381"/>
      <c r="E750" s="381"/>
      <c r="F750" s="381"/>
      <c r="G750" s="381"/>
      <c r="H750" s="381"/>
      <c r="I750" s="381"/>
      <c r="J750" s="381"/>
      <c r="K750" s="382"/>
      <c r="L750" s="380"/>
      <c r="M750" s="413"/>
      <c r="N750" s="383"/>
      <c r="O750" s="384"/>
      <c r="P750" s="384"/>
      <c r="Q750" s="383"/>
      <c r="R750" s="383"/>
      <c r="S750" s="385"/>
      <c r="T750" s="380"/>
      <c r="U750" s="380"/>
      <c r="V750" s="380"/>
      <c r="W750" s="380"/>
      <c r="X750" s="380"/>
    </row>
    <row r="751" spans="1:24" ht="15.75" customHeight="1">
      <c r="A751" s="463"/>
      <c r="B751" s="380"/>
      <c r="C751" s="381"/>
      <c r="D751" s="381"/>
      <c r="E751" s="381"/>
      <c r="F751" s="381"/>
      <c r="G751" s="381"/>
      <c r="H751" s="381"/>
      <c r="I751" s="381"/>
      <c r="J751" s="381"/>
      <c r="K751" s="382"/>
      <c r="L751" s="380"/>
      <c r="M751" s="413"/>
      <c r="N751" s="383"/>
      <c r="O751" s="384"/>
      <c r="P751" s="384"/>
      <c r="Q751" s="383"/>
      <c r="R751" s="383"/>
      <c r="S751" s="385"/>
      <c r="T751" s="380"/>
      <c r="U751" s="380"/>
      <c r="V751" s="380"/>
      <c r="W751" s="380"/>
      <c r="X751" s="380"/>
    </row>
    <row r="752" spans="1:24" ht="15.75" customHeight="1">
      <c r="A752" s="463"/>
      <c r="B752" s="380"/>
      <c r="C752" s="381"/>
      <c r="D752" s="381"/>
      <c r="E752" s="381"/>
      <c r="F752" s="381"/>
      <c r="G752" s="381"/>
      <c r="H752" s="381"/>
      <c r="I752" s="381"/>
      <c r="J752" s="381"/>
      <c r="K752" s="382"/>
      <c r="L752" s="380"/>
      <c r="M752" s="413"/>
      <c r="N752" s="383"/>
      <c r="O752" s="384"/>
      <c r="P752" s="384"/>
      <c r="Q752" s="383"/>
      <c r="R752" s="383"/>
      <c r="S752" s="385"/>
      <c r="T752" s="380"/>
      <c r="U752" s="380"/>
      <c r="V752" s="380"/>
      <c r="W752" s="380"/>
      <c r="X752" s="380"/>
    </row>
    <row r="753" spans="1:24" ht="15.75" customHeight="1">
      <c r="A753" s="463"/>
      <c r="B753" s="380"/>
      <c r="C753" s="381"/>
      <c r="D753" s="381"/>
      <c r="E753" s="381"/>
      <c r="F753" s="381"/>
      <c r="G753" s="381"/>
      <c r="H753" s="381"/>
      <c r="I753" s="381"/>
      <c r="J753" s="381"/>
      <c r="K753" s="382"/>
      <c r="L753" s="380"/>
      <c r="M753" s="413"/>
      <c r="N753" s="383"/>
      <c r="O753" s="384"/>
      <c r="P753" s="384"/>
      <c r="Q753" s="383"/>
      <c r="R753" s="383"/>
      <c r="S753" s="385"/>
      <c r="T753" s="380"/>
      <c r="U753" s="380"/>
      <c r="V753" s="380"/>
      <c r="W753" s="380"/>
      <c r="X753" s="380"/>
    </row>
    <row r="754" spans="1:24" ht="15.75" customHeight="1">
      <c r="A754" s="463"/>
      <c r="B754" s="380"/>
      <c r="C754" s="381"/>
      <c r="D754" s="381"/>
      <c r="E754" s="381"/>
      <c r="F754" s="381"/>
      <c r="G754" s="381"/>
      <c r="H754" s="381"/>
      <c r="I754" s="381"/>
      <c r="J754" s="381"/>
      <c r="K754" s="382"/>
      <c r="L754" s="380"/>
      <c r="M754" s="413"/>
      <c r="N754" s="383"/>
      <c r="O754" s="384"/>
      <c r="P754" s="384"/>
      <c r="Q754" s="383"/>
      <c r="R754" s="383"/>
      <c r="S754" s="385"/>
      <c r="T754" s="380"/>
      <c r="U754" s="380"/>
      <c r="V754" s="380"/>
      <c r="W754" s="380"/>
      <c r="X754" s="380"/>
    </row>
    <row r="755" spans="1:24" ht="15.75" customHeight="1">
      <c r="A755" s="463"/>
      <c r="B755" s="380"/>
      <c r="C755" s="381"/>
      <c r="D755" s="381"/>
      <c r="E755" s="381"/>
      <c r="F755" s="381"/>
      <c r="G755" s="381"/>
      <c r="H755" s="381"/>
      <c r="I755" s="381"/>
      <c r="J755" s="381"/>
      <c r="K755" s="382"/>
      <c r="L755" s="380"/>
      <c r="M755" s="413"/>
      <c r="N755" s="383"/>
      <c r="O755" s="384"/>
      <c r="P755" s="384"/>
      <c r="Q755" s="383"/>
      <c r="R755" s="383"/>
      <c r="S755" s="385"/>
      <c r="T755" s="380"/>
      <c r="U755" s="380"/>
      <c r="V755" s="380"/>
      <c r="W755" s="380"/>
      <c r="X755" s="380"/>
    </row>
    <row r="756" spans="1:24" ht="15.75" customHeight="1">
      <c r="A756" s="463"/>
      <c r="B756" s="380"/>
      <c r="C756" s="381"/>
      <c r="D756" s="381"/>
      <c r="E756" s="381"/>
      <c r="F756" s="381"/>
      <c r="G756" s="381"/>
      <c r="H756" s="381"/>
      <c r="I756" s="381"/>
      <c r="J756" s="381"/>
      <c r="K756" s="382"/>
      <c r="L756" s="380"/>
      <c r="M756" s="413"/>
      <c r="N756" s="383"/>
      <c r="O756" s="384"/>
      <c r="P756" s="384"/>
      <c r="Q756" s="383"/>
      <c r="R756" s="383"/>
      <c r="S756" s="385"/>
      <c r="T756" s="380"/>
      <c r="U756" s="380"/>
      <c r="V756" s="380"/>
      <c r="W756" s="380"/>
      <c r="X756" s="380"/>
    </row>
    <row r="757" spans="1:24" ht="15.75" customHeight="1">
      <c r="A757" s="463"/>
      <c r="B757" s="380"/>
      <c r="C757" s="381"/>
      <c r="D757" s="381"/>
      <c r="E757" s="381"/>
      <c r="F757" s="381"/>
      <c r="G757" s="381"/>
      <c r="H757" s="381"/>
      <c r="I757" s="381"/>
      <c r="J757" s="381"/>
      <c r="K757" s="382"/>
      <c r="L757" s="380"/>
      <c r="M757" s="413"/>
      <c r="N757" s="383"/>
      <c r="O757" s="384"/>
      <c r="P757" s="384"/>
      <c r="Q757" s="383"/>
      <c r="R757" s="383"/>
      <c r="S757" s="385"/>
      <c r="T757" s="380"/>
      <c r="U757" s="380"/>
      <c r="V757" s="380"/>
      <c r="W757" s="380"/>
      <c r="X757" s="380"/>
    </row>
    <row r="758" spans="1:24" ht="15.75" customHeight="1">
      <c r="A758" s="463"/>
      <c r="B758" s="380"/>
      <c r="C758" s="381"/>
      <c r="D758" s="381"/>
      <c r="E758" s="381"/>
      <c r="F758" s="381"/>
      <c r="G758" s="381"/>
      <c r="H758" s="381"/>
      <c r="I758" s="381"/>
      <c r="J758" s="381"/>
      <c r="K758" s="382"/>
      <c r="L758" s="380"/>
      <c r="M758" s="413"/>
      <c r="N758" s="383"/>
      <c r="O758" s="384"/>
      <c r="P758" s="384"/>
      <c r="Q758" s="383"/>
      <c r="R758" s="383"/>
      <c r="S758" s="385"/>
      <c r="T758" s="380"/>
      <c r="U758" s="380"/>
      <c r="V758" s="380"/>
      <c r="W758" s="380"/>
      <c r="X758" s="380"/>
    </row>
    <row r="759" spans="1:24" ht="15.75" customHeight="1">
      <c r="A759" s="463"/>
      <c r="B759" s="380"/>
      <c r="C759" s="381"/>
      <c r="D759" s="381"/>
      <c r="E759" s="381"/>
      <c r="F759" s="381"/>
      <c r="G759" s="381"/>
      <c r="H759" s="381"/>
      <c r="I759" s="381"/>
      <c r="J759" s="381"/>
      <c r="K759" s="382"/>
      <c r="L759" s="380"/>
      <c r="M759" s="413"/>
      <c r="N759" s="383"/>
      <c r="O759" s="384"/>
      <c r="P759" s="384"/>
      <c r="Q759" s="383"/>
      <c r="R759" s="383"/>
      <c r="S759" s="385"/>
      <c r="T759" s="380"/>
      <c r="U759" s="380"/>
      <c r="V759" s="380"/>
      <c r="W759" s="380"/>
      <c r="X759" s="380"/>
    </row>
    <row r="760" spans="1:24" ht="15.75" customHeight="1">
      <c r="A760" s="463"/>
      <c r="B760" s="380"/>
      <c r="C760" s="381"/>
      <c r="D760" s="381"/>
      <c r="E760" s="381"/>
      <c r="F760" s="381"/>
      <c r="G760" s="381"/>
      <c r="H760" s="381"/>
      <c r="I760" s="381"/>
      <c r="J760" s="381"/>
      <c r="K760" s="382"/>
      <c r="L760" s="380"/>
      <c r="M760" s="413"/>
      <c r="N760" s="383"/>
      <c r="O760" s="384"/>
      <c r="P760" s="384"/>
      <c r="Q760" s="383"/>
      <c r="R760" s="383"/>
      <c r="S760" s="385"/>
      <c r="T760" s="380"/>
      <c r="U760" s="380"/>
      <c r="V760" s="380"/>
      <c r="W760" s="380"/>
      <c r="X760" s="380"/>
    </row>
    <row r="761" spans="1:24" ht="15.75" customHeight="1">
      <c r="A761" s="463"/>
      <c r="B761" s="380"/>
      <c r="C761" s="381"/>
      <c r="D761" s="381"/>
      <c r="E761" s="381"/>
      <c r="F761" s="381"/>
      <c r="G761" s="381"/>
      <c r="H761" s="381"/>
      <c r="I761" s="381"/>
      <c r="J761" s="381"/>
      <c r="K761" s="382"/>
      <c r="L761" s="380"/>
      <c r="M761" s="413"/>
      <c r="N761" s="383"/>
      <c r="O761" s="384"/>
      <c r="P761" s="384"/>
      <c r="Q761" s="383"/>
      <c r="R761" s="383"/>
      <c r="S761" s="385"/>
      <c r="T761" s="380"/>
      <c r="U761" s="380"/>
      <c r="V761" s="380"/>
      <c r="W761" s="380"/>
      <c r="X761" s="380"/>
    </row>
    <row r="762" spans="1:24" ht="15.75" customHeight="1">
      <c r="A762" s="463"/>
      <c r="B762" s="380"/>
      <c r="C762" s="381"/>
      <c r="D762" s="381"/>
      <c r="E762" s="381"/>
      <c r="F762" s="381"/>
      <c r="G762" s="381"/>
      <c r="H762" s="381"/>
      <c r="I762" s="381"/>
      <c r="J762" s="381"/>
      <c r="K762" s="382"/>
      <c r="L762" s="380"/>
      <c r="M762" s="413"/>
      <c r="N762" s="383"/>
      <c r="O762" s="384"/>
      <c r="P762" s="384"/>
      <c r="Q762" s="383"/>
      <c r="R762" s="383"/>
      <c r="S762" s="385"/>
      <c r="T762" s="380"/>
      <c r="U762" s="380"/>
      <c r="V762" s="380"/>
      <c r="W762" s="380"/>
      <c r="X762" s="380"/>
    </row>
    <row r="763" spans="1:24" ht="15.75" customHeight="1">
      <c r="A763" s="463"/>
      <c r="B763" s="380"/>
      <c r="C763" s="381"/>
      <c r="D763" s="381"/>
      <c r="E763" s="381"/>
      <c r="F763" s="381"/>
      <c r="G763" s="381"/>
      <c r="H763" s="381"/>
      <c r="I763" s="381"/>
      <c r="J763" s="381"/>
      <c r="K763" s="382"/>
      <c r="L763" s="380"/>
      <c r="M763" s="413"/>
      <c r="N763" s="383"/>
      <c r="O763" s="384"/>
      <c r="P763" s="384"/>
      <c r="Q763" s="383"/>
      <c r="R763" s="383"/>
      <c r="S763" s="385"/>
      <c r="T763" s="380"/>
      <c r="U763" s="380"/>
      <c r="V763" s="380"/>
      <c r="W763" s="380"/>
      <c r="X763" s="380"/>
    </row>
    <row r="764" spans="1:24" ht="15.75" customHeight="1">
      <c r="A764" s="463"/>
      <c r="B764" s="380"/>
      <c r="C764" s="381"/>
      <c r="D764" s="381"/>
      <c r="E764" s="381"/>
      <c r="F764" s="381"/>
      <c r="G764" s="381"/>
      <c r="H764" s="381"/>
      <c r="I764" s="381"/>
      <c r="J764" s="381"/>
      <c r="K764" s="382"/>
      <c r="L764" s="380"/>
      <c r="M764" s="413"/>
      <c r="N764" s="383"/>
      <c r="O764" s="384"/>
      <c r="P764" s="384"/>
      <c r="Q764" s="383"/>
      <c r="R764" s="383"/>
      <c r="S764" s="385"/>
      <c r="T764" s="380"/>
      <c r="U764" s="380"/>
      <c r="V764" s="380"/>
      <c r="W764" s="380"/>
      <c r="X764" s="380"/>
    </row>
    <row r="765" spans="1:24" ht="15.75" customHeight="1">
      <c r="A765" s="463"/>
      <c r="B765" s="380"/>
      <c r="C765" s="381"/>
      <c r="D765" s="381"/>
      <c r="E765" s="381"/>
      <c r="F765" s="381"/>
      <c r="G765" s="381"/>
      <c r="H765" s="381"/>
      <c r="I765" s="381"/>
      <c r="J765" s="381"/>
      <c r="K765" s="382"/>
      <c r="L765" s="380"/>
      <c r="M765" s="413"/>
      <c r="N765" s="383"/>
      <c r="O765" s="384"/>
      <c r="P765" s="384"/>
      <c r="Q765" s="383"/>
      <c r="R765" s="383"/>
      <c r="S765" s="385"/>
      <c r="T765" s="380"/>
      <c r="U765" s="380"/>
      <c r="V765" s="380"/>
      <c r="W765" s="380"/>
      <c r="X765" s="380"/>
    </row>
    <row r="766" spans="1:24" ht="15.75" customHeight="1">
      <c r="A766" s="463"/>
      <c r="B766" s="380"/>
      <c r="C766" s="381"/>
      <c r="D766" s="381"/>
      <c r="E766" s="381"/>
      <c r="F766" s="381"/>
      <c r="G766" s="381"/>
      <c r="H766" s="381"/>
      <c r="I766" s="381"/>
      <c r="J766" s="381"/>
      <c r="K766" s="382"/>
      <c r="L766" s="380"/>
      <c r="M766" s="413"/>
      <c r="N766" s="383"/>
      <c r="O766" s="384"/>
      <c r="P766" s="384"/>
      <c r="Q766" s="383"/>
      <c r="R766" s="383"/>
      <c r="S766" s="385"/>
      <c r="T766" s="380"/>
      <c r="U766" s="380"/>
      <c r="V766" s="380"/>
      <c r="W766" s="380"/>
      <c r="X766" s="380"/>
    </row>
    <row r="767" spans="1:24" ht="15.75" customHeight="1">
      <c r="A767" s="463"/>
      <c r="B767" s="380"/>
      <c r="C767" s="381"/>
      <c r="D767" s="381"/>
      <c r="E767" s="381"/>
      <c r="F767" s="381"/>
      <c r="G767" s="381"/>
      <c r="H767" s="381"/>
      <c r="I767" s="381"/>
      <c r="J767" s="381"/>
      <c r="K767" s="382"/>
      <c r="L767" s="380"/>
      <c r="M767" s="413"/>
      <c r="N767" s="383"/>
      <c r="O767" s="384"/>
      <c r="P767" s="384"/>
      <c r="Q767" s="383"/>
      <c r="R767" s="383"/>
      <c r="S767" s="385"/>
      <c r="T767" s="380"/>
      <c r="U767" s="380"/>
      <c r="V767" s="380"/>
      <c r="W767" s="380"/>
      <c r="X767" s="380"/>
    </row>
    <row r="768" spans="1:24" ht="15.75" customHeight="1">
      <c r="A768" s="463"/>
      <c r="B768" s="380"/>
      <c r="C768" s="381"/>
      <c r="D768" s="381"/>
      <c r="E768" s="381"/>
      <c r="F768" s="381"/>
      <c r="G768" s="381"/>
      <c r="H768" s="381"/>
      <c r="I768" s="381"/>
      <c r="J768" s="381"/>
      <c r="K768" s="382"/>
      <c r="L768" s="380"/>
      <c r="M768" s="413"/>
      <c r="N768" s="383"/>
      <c r="O768" s="384"/>
      <c r="P768" s="384"/>
      <c r="Q768" s="383"/>
      <c r="R768" s="383"/>
      <c r="S768" s="385"/>
      <c r="T768" s="380"/>
      <c r="U768" s="380"/>
      <c r="V768" s="380"/>
      <c r="W768" s="380"/>
      <c r="X768" s="380"/>
    </row>
    <row r="769" spans="1:24" ht="15.75" customHeight="1">
      <c r="A769" s="463"/>
      <c r="B769" s="380"/>
      <c r="C769" s="381"/>
      <c r="D769" s="381"/>
      <c r="E769" s="381"/>
      <c r="F769" s="381"/>
      <c r="G769" s="381"/>
      <c r="H769" s="381"/>
      <c r="I769" s="381"/>
      <c r="J769" s="381"/>
      <c r="K769" s="382"/>
      <c r="L769" s="380"/>
      <c r="M769" s="413"/>
      <c r="N769" s="383"/>
      <c r="O769" s="384"/>
      <c r="P769" s="384"/>
      <c r="Q769" s="383"/>
      <c r="R769" s="383"/>
      <c r="S769" s="385"/>
      <c r="T769" s="380"/>
      <c r="U769" s="380"/>
      <c r="V769" s="380"/>
      <c r="W769" s="380"/>
      <c r="X769" s="380"/>
    </row>
    <row r="770" spans="1:24" ht="15.75" customHeight="1">
      <c r="A770" s="463"/>
      <c r="B770" s="380"/>
      <c r="C770" s="381"/>
      <c r="D770" s="381"/>
      <c r="E770" s="381"/>
      <c r="F770" s="381"/>
      <c r="G770" s="381"/>
      <c r="H770" s="381"/>
      <c r="I770" s="381"/>
      <c r="J770" s="381"/>
      <c r="K770" s="382"/>
      <c r="L770" s="380"/>
      <c r="M770" s="413"/>
      <c r="N770" s="383"/>
      <c r="O770" s="384"/>
      <c r="P770" s="384"/>
      <c r="Q770" s="383"/>
      <c r="R770" s="383"/>
      <c r="S770" s="385"/>
      <c r="T770" s="380"/>
      <c r="U770" s="380"/>
      <c r="V770" s="380"/>
      <c r="W770" s="380"/>
      <c r="X770" s="380"/>
    </row>
    <row r="771" spans="1:24" ht="15.75" customHeight="1">
      <c r="A771" s="463"/>
      <c r="B771" s="380"/>
      <c r="C771" s="381"/>
      <c r="D771" s="381"/>
      <c r="E771" s="381"/>
      <c r="F771" s="381"/>
      <c r="G771" s="381"/>
      <c r="H771" s="381"/>
      <c r="I771" s="381"/>
      <c r="J771" s="381"/>
      <c r="K771" s="382"/>
      <c r="L771" s="380"/>
      <c r="M771" s="413"/>
      <c r="N771" s="383"/>
      <c r="O771" s="384"/>
      <c r="P771" s="384"/>
      <c r="Q771" s="383"/>
      <c r="R771" s="383"/>
      <c r="S771" s="385"/>
      <c r="T771" s="380"/>
      <c r="U771" s="380"/>
      <c r="V771" s="380"/>
      <c r="W771" s="380"/>
      <c r="X771" s="380"/>
    </row>
    <row r="772" spans="1:24" ht="15.75" customHeight="1">
      <c r="A772" s="463"/>
      <c r="B772" s="380"/>
      <c r="C772" s="381"/>
      <c r="D772" s="381"/>
      <c r="E772" s="381"/>
      <c r="F772" s="381"/>
      <c r="G772" s="381"/>
      <c r="H772" s="381"/>
      <c r="I772" s="381"/>
      <c r="J772" s="381"/>
      <c r="K772" s="382"/>
      <c r="L772" s="380"/>
      <c r="M772" s="413"/>
      <c r="N772" s="383"/>
      <c r="O772" s="384"/>
      <c r="P772" s="384"/>
      <c r="Q772" s="383"/>
      <c r="R772" s="383"/>
      <c r="S772" s="385"/>
      <c r="T772" s="380"/>
      <c r="U772" s="380"/>
      <c r="V772" s="380"/>
      <c r="W772" s="380"/>
      <c r="X772" s="380"/>
    </row>
    <row r="773" spans="1:24" ht="15.75" customHeight="1">
      <c r="A773" s="463"/>
      <c r="B773" s="380"/>
      <c r="C773" s="381"/>
      <c r="D773" s="381"/>
      <c r="E773" s="381"/>
      <c r="F773" s="381"/>
      <c r="G773" s="381"/>
      <c r="H773" s="381"/>
      <c r="I773" s="381"/>
      <c r="J773" s="381"/>
      <c r="K773" s="382"/>
      <c r="L773" s="380"/>
      <c r="M773" s="413"/>
      <c r="N773" s="383"/>
      <c r="O773" s="384"/>
      <c r="P773" s="384"/>
      <c r="Q773" s="383"/>
      <c r="R773" s="383"/>
      <c r="S773" s="385"/>
      <c r="T773" s="380"/>
      <c r="U773" s="380"/>
      <c r="V773" s="380"/>
      <c r="W773" s="380"/>
      <c r="X773" s="380"/>
    </row>
    <row r="774" spans="1:24" ht="15.75" customHeight="1">
      <c r="A774" s="463"/>
      <c r="B774" s="380"/>
      <c r="C774" s="381"/>
      <c r="D774" s="381"/>
      <c r="E774" s="381"/>
      <c r="F774" s="381"/>
      <c r="G774" s="381"/>
      <c r="H774" s="381"/>
      <c r="I774" s="381"/>
      <c r="J774" s="381"/>
      <c r="K774" s="382"/>
      <c r="L774" s="380"/>
      <c r="M774" s="413"/>
      <c r="N774" s="383"/>
      <c r="O774" s="384"/>
      <c r="P774" s="384"/>
      <c r="Q774" s="383"/>
      <c r="R774" s="383"/>
      <c r="S774" s="385"/>
      <c r="T774" s="380"/>
      <c r="U774" s="380"/>
      <c r="V774" s="380"/>
      <c r="W774" s="380"/>
      <c r="X774" s="380"/>
    </row>
    <row r="775" spans="1:24" ht="15.75" customHeight="1">
      <c r="A775" s="463"/>
      <c r="B775" s="380"/>
      <c r="C775" s="381"/>
      <c r="D775" s="381"/>
      <c r="E775" s="381"/>
      <c r="F775" s="381"/>
      <c r="G775" s="381"/>
      <c r="H775" s="381"/>
      <c r="I775" s="381"/>
      <c r="J775" s="381"/>
      <c r="K775" s="382"/>
      <c r="L775" s="380"/>
      <c r="M775" s="413"/>
      <c r="N775" s="383"/>
      <c r="O775" s="384"/>
      <c r="P775" s="384"/>
      <c r="Q775" s="383"/>
      <c r="R775" s="383"/>
      <c r="S775" s="385"/>
      <c r="T775" s="380"/>
      <c r="U775" s="380"/>
      <c r="V775" s="380"/>
      <c r="W775" s="380"/>
      <c r="X775" s="380"/>
    </row>
    <row r="776" spans="1:24" ht="15.75" customHeight="1">
      <c r="A776" s="463"/>
      <c r="B776" s="380"/>
      <c r="C776" s="381"/>
      <c r="D776" s="381"/>
      <c r="E776" s="381"/>
      <c r="F776" s="381"/>
      <c r="G776" s="381"/>
      <c r="H776" s="381"/>
      <c r="I776" s="381"/>
      <c r="J776" s="381"/>
      <c r="K776" s="382"/>
      <c r="L776" s="380"/>
      <c r="M776" s="413"/>
      <c r="N776" s="383"/>
      <c r="O776" s="384"/>
      <c r="P776" s="384"/>
      <c r="Q776" s="383"/>
      <c r="R776" s="383"/>
      <c r="S776" s="385"/>
      <c r="T776" s="380"/>
      <c r="U776" s="380"/>
      <c r="V776" s="380"/>
      <c r="W776" s="380"/>
      <c r="X776" s="380"/>
    </row>
    <row r="777" spans="1:24" ht="15.75" customHeight="1">
      <c r="A777" s="463"/>
      <c r="B777" s="380"/>
      <c r="C777" s="381"/>
      <c r="D777" s="381"/>
      <c r="E777" s="381"/>
      <c r="F777" s="381"/>
      <c r="G777" s="381"/>
      <c r="H777" s="381"/>
      <c r="I777" s="381"/>
      <c r="J777" s="381"/>
      <c r="K777" s="382"/>
      <c r="L777" s="380"/>
      <c r="M777" s="413"/>
      <c r="N777" s="383"/>
      <c r="O777" s="384"/>
      <c r="P777" s="384"/>
      <c r="Q777" s="383"/>
      <c r="R777" s="383"/>
      <c r="S777" s="385"/>
      <c r="T777" s="380"/>
      <c r="U777" s="380"/>
      <c r="V777" s="380"/>
      <c r="W777" s="380"/>
      <c r="X777" s="380"/>
    </row>
    <row r="778" spans="1:24" ht="15.75" customHeight="1">
      <c r="A778" s="463"/>
      <c r="B778" s="380"/>
      <c r="C778" s="381"/>
      <c r="D778" s="381"/>
      <c r="E778" s="381"/>
      <c r="F778" s="381"/>
      <c r="G778" s="381"/>
      <c r="H778" s="381"/>
      <c r="I778" s="381"/>
      <c r="J778" s="381"/>
      <c r="K778" s="382"/>
      <c r="L778" s="380"/>
      <c r="M778" s="413"/>
      <c r="N778" s="383"/>
      <c r="O778" s="384"/>
      <c r="P778" s="384"/>
      <c r="Q778" s="383"/>
      <c r="R778" s="383"/>
      <c r="S778" s="385"/>
      <c r="T778" s="380"/>
      <c r="U778" s="380"/>
      <c r="V778" s="380"/>
      <c r="W778" s="380"/>
      <c r="X778" s="380"/>
    </row>
    <row r="779" spans="1:24" ht="15.75" customHeight="1">
      <c r="A779" s="463"/>
      <c r="B779" s="380"/>
      <c r="C779" s="381"/>
      <c r="D779" s="381"/>
      <c r="E779" s="381"/>
      <c r="F779" s="381"/>
      <c r="G779" s="381"/>
      <c r="H779" s="381"/>
      <c r="I779" s="381"/>
      <c r="J779" s="381"/>
      <c r="K779" s="382"/>
      <c r="L779" s="380"/>
      <c r="M779" s="413"/>
      <c r="N779" s="383"/>
      <c r="O779" s="384"/>
      <c r="P779" s="384"/>
      <c r="Q779" s="383"/>
      <c r="R779" s="383"/>
      <c r="S779" s="385"/>
      <c r="T779" s="380"/>
      <c r="U779" s="380"/>
      <c r="V779" s="380"/>
      <c r="W779" s="380"/>
      <c r="X779" s="380"/>
    </row>
    <row r="780" spans="1:24" ht="15.75" customHeight="1">
      <c r="A780" s="463"/>
      <c r="B780" s="380"/>
      <c r="C780" s="381"/>
      <c r="D780" s="381"/>
      <c r="E780" s="381"/>
      <c r="F780" s="381"/>
      <c r="G780" s="381"/>
      <c r="H780" s="381"/>
      <c r="I780" s="381"/>
      <c r="J780" s="381"/>
      <c r="K780" s="382"/>
      <c r="L780" s="380"/>
      <c r="M780" s="413"/>
      <c r="N780" s="383"/>
      <c r="O780" s="384"/>
      <c r="P780" s="384"/>
      <c r="Q780" s="383"/>
      <c r="R780" s="383"/>
      <c r="S780" s="385"/>
      <c r="T780" s="380"/>
      <c r="U780" s="380"/>
      <c r="V780" s="380"/>
      <c r="W780" s="380"/>
      <c r="X780" s="380"/>
    </row>
    <row r="781" spans="1:24" ht="15.75" customHeight="1">
      <c r="A781" s="463"/>
      <c r="B781" s="380"/>
      <c r="C781" s="381"/>
      <c r="D781" s="381"/>
      <c r="E781" s="381"/>
      <c r="F781" s="381"/>
      <c r="G781" s="381"/>
      <c r="H781" s="381"/>
      <c r="I781" s="381"/>
      <c r="J781" s="381"/>
      <c r="K781" s="382"/>
      <c r="L781" s="380"/>
      <c r="M781" s="413"/>
      <c r="N781" s="383"/>
      <c r="O781" s="384"/>
      <c r="P781" s="384"/>
      <c r="Q781" s="383"/>
      <c r="R781" s="383"/>
      <c r="S781" s="385"/>
      <c r="T781" s="380"/>
      <c r="U781" s="380"/>
      <c r="V781" s="380"/>
      <c r="W781" s="380"/>
      <c r="X781" s="380"/>
    </row>
    <row r="782" spans="1:24" ht="15.75" customHeight="1">
      <c r="A782" s="463"/>
      <c r="B782" s="380"/>
      <c r="C782" s="381"/>
      <c r="D782" s="381"/>
      <c r="E782" s="381"/>
      <c r="F782" s="381"/>
      <c r="G782" s="381"/>
      <c r="H782" s="381"/>
      <c r="I782" s="381"/>
      <c r="J782" s="381"/>
      <c r="K782" s="382"/>
      <c r="L782" s="380"/>
      <c r="M782" s="413"/>
      <c r="N782" s="383"/>
      <c r="O782" s="384"/>
      <c r="P782" s="384"/>
      <c r="Q782" s="383"/>
      <c r="R782" s="383"/>
      <c r="S782" s="385"/>
      <c r="T782" s="380"/>
      <c r="U782" s="380"/>
      <c r="V782" s="380"/>
      <c r="W782" s="380"/>
      <c r="X782" s="380"/>
    </row>
    <row r="783" spans="1:24" ht="15.75" customHeight="1">
      <c r="A783" s="463"/>
      <c r="B783" s="380"/>
      <c r="C783" s="381"/>
      <c r="D783" s="381"/>
      <c r="E783" s="381"/>
      <c r="F783" s="381"/>
      <c r="G783" s="381"/>
      <c r="H783" s="381"/>
      <c r="I783" s="381"/>
      <c r="J783" s="381"/>
      <c r="K783" s="382"/>
      <c r="L783" s="380"/>
      <c r="M783" s="413"/>
      <c r="N783" s="383"/>
      <c r="O783" s="384"/>
      <c r="P783" s="384"/>
      <c r="Q783" s="383"/>
      <c r="R783" s="383"/>
      <c r="S783" s="385"/>
      <c r="T783" s="380"/>
      <c r="U783" s="380"/>
      <c r="V783" s="380"/>
      <c r="W783" s="380"/>
      <c r="X783" s="380"/>
    </row>
    <row r="784" spans="1:24" ht="15.75" customHeight="1">
      <c r="A784" s="463"/>
      <c r="B784" s="380"/>
      <c r="C784" s="381"/>
      <c r="D784" s="381"/>
      <c r="E784" s="381"/>
      <c r="F784" s="381"/>
      <c r="G784" s="381"/>
      <c r="H784" s="381"/>
      <c r="I784" s="381"/>
      <c r="J784" s="381"/>
      <c r="K784" s="382"/>
      <c r="L784" s="380"/>
      <c r="M784" s="413"/>
      <c r="N784" s="383"/>
      <c r="O784" s="384"/>
      <c r="P784" s="384"/>
      <c r="Q784" s="383"/>
      <c r="R784" s="383"/>
      <c r="S784" s="385"/>
      <c r="T784" s="380"/>
      <c r="U784" s="380"/>
      <c r="V784" s="380"/>
      <c r="W784" s="380"/>
      <c r="X784" s="380"/>
    </row>
    <row r="785" spans="1:24" ht="15.75" customHeight="1">
      <c r="A785" s="463"/>
      <c r="B785" s="380"/>
      <c r="C785" s="381"/>
      <c r="D785" s="381"/>
      <c r="E785" s="381"/>
      <c r="F785" s="381"/>
      <c r="G785" s="381"/>
      <c r="H785" s="381"/>
      <c r="I785" s="381"/>
      <c r="J785" s="381"/>
      <c r="K785" s="382"/>
      <c r="L785" s="380"/>
      <c r="M785" s="413"/>
      <c r="N785" s="383"/>
      <c r="O785" s="384"/>
      <c r="P785" s="384"/>
      <c r="Q785" s="383"/>
      <c r="R785" s="383"/>
      <c r="S785" s="385"/>
      <c r="T785" s="380"/>
      <c r="U785" s="380"/>
      <c r="V785" s="380"/>
      <c r="W785" s="380"/>
      <c r="X785" s="380"/>
    </row>
    <row r="786" spans="1:24" ht="15.75" customHeight="1">
      <c r="A786" s="463"/>
      <c r="B786" s="380"/>
      <c r="C786" s="381"/>
      <c r="D786" s="381"/>
      <c r="E786" s="381"/>
      <c r="F786" s="381"/>
      <c r="G786" s="381"/>
      <c r="H786" s="381"/>
      <c r="I786" s="381"/>
      <c r="J786" s="381"/>
      <c r="K786" s="382"/>
      <c r="L786" s="380"/>
      <c r="M786" s="413"/>
      <c r="N786" s="383"/>
      <c r="O786" s="384"/>
      <c r="P786" s="384"/>
      <c r="Q786" s="383"/>
      <c r="R786" s="383"/>
      <c r="S786" s="385"/>
      <c r="T786" s="380"/>
      <c r="U786" s="380"/>
      <c r="V786" s="380"/>
      <c r="W786" s="380"/>
      <c r="X786" s="380"/>
    </row>
    <row r="787" spans="1:24" ht="15.75" customHeight="1">
      <c r="A787" s="463"/>
      <c r="B787" s="380"/>
      <c r="C787" s="381"/>
      <c r="D787" s="381"/>
      <c r="E787" s="381"/>
      <c r="F787" s="381"/>
      <c r="G787" s="381"/>
      <c r="H787" s="381"/>
      <c r="I787" s="381"/>
      <c r="J787" s="381"/>
      <c r="K787" s="382"/>
      <c r="L787" s="380"/>
      <c r="M787" s="413"/>
      <c r="N787" s="383"/>
      <c r="O787" s="384"/>
      <c r="P787" s="384"/>
      <c r="Q787" s="383"/>
      <c r="R787" s="383"/>
      <c r="S787" s="385"/>
      <c r="T787" s="380"/>
      <c r="U787" s="380"/>
      <c r="V787" s="380"/>
      <c r="W787" s="380"/>
      <c r="X787" s="380"/>
    </row>
    <row r="788" spans="1:24" ht="15.75" customHeight="1">
      <c r="A788" s="463"/>
      <c r="B788" s="380"/>
      <c r="C788" s="381"/>
      <c r="D788" s="381"/>
      <c r="E788" s="381"/>
      <c r="F788" s="381"/>
      <c r="G788" s="381"/>
      <c r="H788" s="381"/>
      <c r="I788" s="381"/>
      <c r="J788" s="381"/>
      <c r="K788" s="382"/>
      <c r="L788" s="380"/>
      <c r="M788" s="413"/>
      <c r="N788" s="383"/>
      <c r="O788" s="384"/>
      <c r="P788" s="384"/>
      <c r="Q788" s="383"/>
      <c r="R788" s="383"/>
      <c r="S788" s="385"/>
      <c r="T788" s="380"/>
      <c r="U788" s="380"/>
      <c r="V788" s="380"/>
      <c r="W788" s="380"/>
      <c r="X788" s="380"/>
    </row>
    <row r="789" spans="1:24" ht="15.75" customHeight="1">
      <c r="A789" s="463"/>
      <c r="B789" s="380"/>
      <c r="C789" s="381"/>
      <c r="D789" s="381"/>
      <c r="E789" s="381"/>
      <c r="F789" s="381"/>
      <c r="G789" s="381"/>
      <c r="H789" s="381"/>
      <c r="I789" s="381"/>
      <c r="J789" s="381"/>
      <c r="K789" s="382"/>
      <c r="L789" s="380"/>
      <c r="M789" s="413"/>
      <c r="N789" s="383"/>
      <c r="O789" s="384"/>
      <c r="P789" s="384"/>
      <c r="Q789" s="383"/>
      <c r="R789" s="383"/>
      <c r="S789" s="385"/>
      <c r="T789" s="380"/>
      <c r="U789" s="380"/>
      <c r="V789" s="380"/>
      <c r="W789" s="380"/>
      <c r="X789" s="380"/>
    </row>
    <row r="790" spans="1:24" ht="15.75" customHeight="1">
      <c r="A790" s="463"/>
      <c r="B790" s="380"/>
      <c r="C790" s="381"/>
      <c r="D790" s="381"/>
      <c r="E790" s="381"/>
      <c r="F790" s="381"/>
      <c r="G790" s="381"/>
      <c r="H790" s="381"/>
      <c r="I790" s="381"/>
      <c r="J790" s="381"/>
      <c r="K790" s="382"/>
      <c r="L790" s="380"/>
      <c r="M790" s="413"/>
      <c r="N790" s="383"/>
      <c r="O790" s="384"/>
      <c r="P790" s="384"/>
      <c r="Q790" s="383"/>
      <c r="R790" s="383"/>
      <c r="S790" s="385"/>
      <c r="T790" s="380"/>
      <c r="U790" s="380"/>
      <c r="V790" s="380"/>
      <c r="W790" s="380"/>
      <c r="X790" s="380"/>
    </row>
    <row r="791" spans="1:24" ht="15.75" customHeight="1">
      <c r="A791" s="463"/>
      <c r="B791" s="380"/>
      <c r="C791" s="381"/>
      <c r="D791" s="381"/>
      <c r="E791" s="381"/>
      <c r="F791" s="381"/>
      <c r="G791" s="381"/>
      <c r="H791" s="381"/>
      <c r="I791" s="381"/>
      <c r="J791" s="381"/>
      <c r="K791" s="382"/>
      <c r="L791" s="380"/>
      <c r="M791" s="413"/>
      <c r="N791" s="383"/>
      <c r="O791" s="384"/>
      <c r="P791" s="384"/>
      <c r="Q791" s="383"/>
      <c r="R791" s="383"/>
      <c r="S791" s="385"/>
      <c r="T791" s="380"/>
      <c r="U791" s="380"/>
      <c r="V791" s="380"/>
      <c r="W791" s="380"/>
      <c r="X791" s="380"/>
    </row>
    <row r="792" spans="1:24" ht="15.75" customHeight="1">
      <c r="A792" s="463"/>
      <c r="B792" s="380"/>
      <c r="C792" s="381"/>
      <c r="D792" s="381"/>
      <c r="E792" s="381"/>
      <c r="F792" s="381"/>
      <c r="G792" s="381"/>
      <c r="H792" s="381"/>
      <c r="I792" s="381"/>
      <c r="J792" s="381"/>
      <c r="K792" s="382"/>
      <c r="L792" s="380"/>
      <c r="M792" s="413"/>
      <c r="N792" s="383"/>
      <c r="O792" s="384"/>
      <c r="P792" s="384"/>
      <c r="Q792" s="383"/>
      <c r="R792" s="383"/>
      <c r="S792" s="385"/>
      <c r="T792" s="380"/>
      <c r="U792" s="380"/>
      <c r="V792" s="380"/>
      <c r="W792" s="380"/>
      <c r="X792" s="380"/>
    </row>
    <row r="793" spans="1:24" ht="15.75" customHeight="1">
      <c r="A793" s="463"/>
      <c r="B793" s="380"/>
      <c r="C793" s="381"/>
      <c r="D793" s="381"/>
      <c r="E793" s="381"/>
      <c r="F793" s="381"/>
      <c r="G793" s="381"/>
      <c r="H793" s="381"/>
      <c r="I793" s="381"/>
      <c r="J793" s="381"/>
      <c r="K793" s="382"/>
      <c r="L793" s="380"/>
      <c r="M793" s="413"/>
      <c r="N793" s="383"/>
      <c r="O793" s="384"/>
      <c r="P793" s="384"/>
      <c r="Q793" s="383"/>
      <c r="R793" s="383"/>
      <c r="S793" s="385"/>
      <c r="T793" s="380"/>
      <c r="U793" s="380"/>
      <c r="V793" s="380"/>
      <c r="W793" s="380"/>
      <c r="X793" s="380"/>
    </row>
    <row r="794" spans="1:24" ht="15.75" customHeight="1">
      <c r="A794" s="463"/>
      <c r="B794" s="380"/>
      <c r="C794" s="381"/>
      <c r="D794" s="381"/>
      <c r="E794" s="381"/>
      <c r="F794" s="381"/>
      <c r="G794" s="381"/>
      <c r="H794" s="381"/>
      <c r="I794" s="381"/>
      <c r="J794" s="381"/>
      <c r="K794" s="382"/>
      <c r="L794" s="380"/>
      <c r="M794" s="413"/>
      <c r="N794" s="383"/>
      <c r="O794" s="384"/>
      <c r="P794" s="384"/>
      <c r="Q794" s="383"/>
      <c r="R794" s="383"/>
      <c r="S794" s="385"/>
      <c r="T794" s="380"/>
      <c r="U794" s="380"/>
      <c r="V794" s="380"/>
      <c r="W794" s="380"/>
      <c r="X794" s="380"/>
    </row>
    <row r="795" spans="1:24" ht="15.75" customHeight="1">
      <c r="A795" s="463"/>
      <c r="B795" s="380"/>
      <c r="C795" s="381"/>
      <c r="D795" s="381"/>
      <c r="E795" s="381"/>
      <c r="F795" s="381"/>
      <c r="G795" s="381"/>
      <c r="H795" s="381"/>
      <c r="I795" s="381"/>
      <c r="J795" s="381"/>
      <c r="K795" s="382"/>
      <c r="L795" s="380"/>
      <c r="M795" s="413"/>
      <c r="N795" s="383"/>
      <c r="O795" s="384"/>
      <c r="P795" s="384"/>
      <c r="Q795" s="383"/>
      <c r="R795" s="383"/>
      <c r="S795" s="385"/>
      <c r="T795" s="380"/>
      <c r="U795" s="380"/>
      <c r="V795" s="380"/>
      <c r="W795" s="380"/>
      <c r="X795" s="380"/>
    </row>
    <row r="796" spans="1:24" ht="15.75" customHeight="1">
      <c r="A796" s="463"/>
      <c r="B796" s="380"/>
      <c r="C796" s="381"/>
      <c r="D796" s="381"/>
      <c r="E796" s="381"/>
      <c r="F796" s="381"/>
      <c r="G796" s="381"/>
      <c r="H796" s="381"/>
      <c r="I796" s="381"/>
      <c r="J796" s="381"/>
      <c r="K796" s="382"/>
      <c r="L796" s="380"/>
      <c r="M796" s="413"/>
      <c r="N796" s="383"/>
      <c r="O796" s="384"/>
      <c r="P796" s="384"/>
      <c r="Q796" s="383"/>
      <c r="R796" s="383"/>
      <c r="S796" s="385"/>
      <c r="T796" s="380"/>
      <c r="U796" s="380"/>
      <c r="V796" s="380"/>
      <c r="W796" s="380"/>
      <c r="X796" s="380"/>
    </row>
    <row r="797" spans="1:24" ht="15.75" customHeight="1">
      <c r="A797" s="463"/>
      <c r="B797" s="380"/>
      <c r="C797" s="381"/>
      <c r="D797" s="381"/>
      <c r="E797" s="381"/>
      <c r="F797" s="381"/>
      <c r="G797" s="381"/>
      <c r="H797" s="381"/>
      <c r="I797" s="381"/>
      <c r="J797" s="381"/>
      <c r="K797" s="382"/>
      <c r="L797" s="380"/>
      <c r="M797" s="413"/>
      <c r="N797" s="383"/>
      <c r="O797" s="384"/>
      <c r="P797" s="384"/>
      <c r="Q797" s="383"/>
      <c r="R797" s="383"/>
      <c r="S797" s="385"/>
      <c r="T797" s="380"/>
      <c r="U797" s="380"/>
      <c r="V797" s="380"/>
      <c r="W797" s="380"/>
      <c r="X797" s="380"/>
    </row>
    <row r="798" spans="1:24" ht="15.75" customHeight="1">
      <c r="A798" s="463"/>
      <c r="B798" s="380"/>
      <c r="C798" s="381"/>
      <c r="D798" s="381"/>
      <c r="E798" s="381"/>
      <c r="F798" s="381"/>
      <c r="G798" s="381"/>
      <c r="H798" s="381"/>
      <c r="I798" s="381"/>
      <c r="J798" s="381"/>
      <c r="K798" s="382"/>
      <c r="L798" s="380"/>
      <c r="M798" s="413"/>
      <c r="N798" s="383"/>
      <c r="O798" s="384"/>
      <c r="P798" s="384"/>
      <c r="Q798" s="383"/>
      <c r="R798" s="383"/>
      <c r="S798" s="385"/>
      <c r="T798" s="380"/>
      <c r="U798" s="380"/>
      <c r="V798" s="380"/>
      <c r="W798" s="380"/>
      <c r="X798" s="380"/>
    </row>
    <row r="799" spans="1:24" ht="15.75" customHeight="1">
      <c r="A799" s="463"/>
      <c r="B799" s="380"/>
      <c r="C799" s="381"/>
      <c r="D799" s="381"/>
      <c r="E799" s="381"/>
      <c r="F799" s="381"/>
      <c r="G799" s="381"/>
      <c r="H799" s="381"/>
      <c r="I799" s="381"/>
      <c r="J799" s="381"/>
      <c r="K799" s="382"/>
      <c r="L799" s="380"/>
      <c r="M799" s="413"/>
      <c r="N799" s="383"/>
      <c r="O799" s="384"/>
      <c r="P799" s="384"/>
      <c r="Q799" s="383"/>
      <c r="R799" s="383"/>
      <c r="S799" s="385"/>
      <c r="T799" s="380"/>
      <c r="U799" s="380"/>
      <c r="V799" s="380"/>
      <c r="W799" s="380"/>
      <c r="X799" s="380"/>
    </row>
    <row r="800" spans="1:24" ht="15.75" customHeight="1">
      <c r="A800" s="463"/>
      <c r="B800" s="380"/>
      <c r="C800" s="381"/>
      <c r="D800" s="381"/>
      <c r="E800" s="381"/>
      <c r="F800" s="381"/>
      <c r="G800" s="381"/>
      <c r="H800" s="381"/>
      <c r="I800" s="381"/>
      <c r="J800" s="381"/>
      <c r="K800" s="382"/>
      <c r="L800" s="380"/>
      <c r="M800" s="413"/>
      <c r="N800" s="383"/>
      <c r="O800" s="384"/>
      <c r="P800" s="384"/>
      <c r="Q800" s="383"/>
      <c r="R800" s="383"/>
      <c r="S800" s="385"/>
      <c r="T800" s="380"/>
      <c r="U800" s="380"/>
      <c r="V800" s="380"/>
      <c r="W800" s="380"/>
      <c r="X800" s="380"/>
    </row>
    <row r="801" spans="1:24" ht="15.75" customHeight="1">
      <c r="A801" s="463"/>
      <c r="B801" s="380"/>
      <c r="C801" s="381"/>
      <c r="D801" s="381"/>
      <c r="E801" s="381"/>
      <c r="F801" s="381"/>
      <c r="G801" s="381"/>
      <c r="H801" s="381"/>
      <c r="I801" s="381"/>
      <c r="J801" s="381"/>
      <c r="K801" s="382"/>
      <c r="L801" s="380"/>
      <c r="M801" s="413"/>
      <c r="N801" s="383"/>
      <c r="O801" s="384"/>
      <c r="P801" s="384"/>
      <c r="Q801" s="383"/>
      <c r="R801" s="383"/>
      <c r="S801" s="385"/>
      <c r="T801" s="380"/>
      <c r="U801" s="380"/>
      <c r="V801" s="380"/>
      <c r="W801" s="380"/>
      <c r="X801" s="380"/>
    </row>
    <row r="802" spans="1:24" ht="15.75" customHeight="1">
      <c r="A802" s="463"/>
      <c r="B802" s="380"/>
      <c r="C802" s="381"/>
      <c r="D802" s="381"/>
      <c r="E802" s="381"/>
      <c r="F802" s="381"/>
      <c r="G802" s="381"/>
      <c r="H802" s="381"/>
      <c r="I802" s="381"/>
      <c r="J802" s="381"/>
      <c r="K802" s="382"/>
      <c r="L802" s="380"/>
      <c r="M802" s="413"/>
      <c r="N802" s="383"/>
      <c r="O802" s="384"/>
      <c r="P802" s="384"/>
      <c r="Q802" s="383"/>
      <c r="R802" s="383"/>
      <c r="S802" s="385"/>
      <c r="T802" s="380"/>
      <c r="U802" s="380"/>
      <c r="V802" s="380"/>
      <c r="W802" s="380"/>
      <c r="X802" s="380"/>
    </row>
    <row r="803" spans="1:24" ht="15.75" customHeight="1">
      <c r="A803" s="463"/>
      <c r="B803" s="380"/>
      <c r="C803" s="381"/>
      <c r="D803" s="381"/>
      <c r="E803" s="381"/>
      <c r="F803" s="381"/>
      <c r="G803" s="381"/>
      <c r="H803" s="381"/>
      <c r="I803" s="381"/>
      <c r="J803" s="381"/>
      <c r="K803" s="382"/>
      <c r="L803" s="380"/>
      <c r="M803" s="413"/>
      <c r="N803" s="383"/>
      <c r="O803" s="384"/>
      <c r="P803" s="384"/>
      <c r="Q803" s="383"/>
      <c r="R803" s="383"/>
      <c r="S803" s="385"/>
      <c r="T803" s="380"/>
      <c r="U803" s="380"/>
      <c r="V803" s="380"/>
      <c r="W803" s="380"/>
      <c r="X803" s="380"/>
    </row>
    <row r="804" spans="1:24" ht="15.75" customHeight="1">
      <c r="A804" s="463"/>
      <c r="B804" s="380"/>
      <c r="C804" s="381"/>
      <c r="D804" s="381"/>
      <c r="E804" s="381"/>
      <c r="F804" s="381"/>
      <c r="G804" s="381"/>
      <c r="H804" s="381"/>
      <c r="I804" s="381"/>
      <c r="J804" s="381"/>
      <c r="K804" s="382"/>
      <c r="L804" s="380"/>
      <c r="M804" s="413"/>
      <c r="N804" s="383"/>
      <c r="O804" s="384"/>
      <c r="P804" s="384"/>
      <c r="Q804" s="383"/>
      <c r="R804" s="383"/>
      <c r="S804" s="385"/>
      <c r="T804" s="380"/>
      <c r="U804" s="380"/>
      <c r="V804" s="380"/>
      <c r="W804" s="380"/>
      <c r="X804" s="380"/>
    </row>
    <row r="805" spans="1:24" ht="15.75" customHeight="1">
      <c r="A805" s="463"/>
      <c r="B805" s="380"/>
      <c r="C805" s="381"/>
      <c r="D805" s="381"/>
      <c r="E805" s="381"/>
      <c r="F805" s="381"/>
      <c r="G805" s="381"/>
      <c r="H805" s="381"/>
      <c r="I805" s="381"/>
      <c r="J805" s="381"/>
      <c r="K805" s="382"/>
      <c r="L805" s="380"/>
      <c r="M805" s="413"/>
      <c r="N805" s="383"/>
      <c r="O805" s="384"/>
      <c r="P805" s="384"/>
      <c r="Q805" s="383"/>
      <c r="R805" s="383"/>
      <c r="S805" s="385"/>
      <c r="T805" s="380"/>
      <c r="U805" s="380"/>
      <c r="V805" s="380"/>
      <c r="W805" s="380"/>
      <c r="X805" s="380"/>
    </row>
    <row r="806" spans="1:24" ht="15.75" customHeight="1">
      <c r="A806" s="463"/>
      <c r="B806" s="380"/>
      <c r="C806" s="381"/>
      <c r="D806" s="381"/>
      <c r="E806" s="381"/>
      <c r="F806" s="381"/>
      <c r="G806" s="381"/>
      <c r="H806" s="381"/>
      <c r="I806" s="381"/>
      <c r="J806" s="381"/>
      <c r="K806" s="382"/>
      <c r="L806" s="380"/>
      <c r="M806" s="413"/>
      <c r="N806" s="383"/>
      <c r="O806" s="384"/>
      <c r="P806" s="384"/>
      <c r="Q806" s="383"/>
      <c r="R806" s="383"/>
      <c r="S806" s="385"/>
      <c r="T806" s="380"/>
      <c r="U806" s="380"/>
      <c r="V806" s="380"/>
      <c r="W806" s="380"/>
      <c r="X806" s="380"/>
    </row>
    <row r="807" spans="1:24" ht="15.75" customHeight="1">
      <c r="A807" s="463"/>
      <c r="B807" s="380"/>
      <c r="C807" s="381"/>
      <c r="D807" s="381"/>
      <c r="E807" s="381"/>
      <c r="F807" s="381"/>
      <c r="G807" s="381"/>
      <c r="H807" s="381"/>
      <c r="I807" s="381"/>
      <c r="J807" s="381"/>
      <c r="K807" s="382"/>
      <c r="L807" s="380"/>
      <c r="M807" s="413"/>
      <c r="N807" s="383"/>
      <c r="O807" s="384"/>
      <c r="P807" s="384"/>
      <c r="Q807" s="383"/>
      <c r="R807" s="383"/>
      <c r="S807" s="385"/>
      <c r="T807" s="380"/>
      <c r="U807" s="380"/>
      <c r="V807" s="380"/>
      <c r="W807" s="380"/>
      <c r="X807" s="380"/>
    </row>
    <row r="808" spans="1:24" ht="15.75" customHeight="1">
      <c r="A808" s="463"/>
      <c r="B808" s="380"/>
      <c r="C808" s="381"/>
      <c r="D808" s="381"/>
      <c r="E808" s="381"/>
      <c r="F808" s="381"/>
      <c r="G808" s="381"/>
      <c r="H808" s="381"/>
      <c r="I808" s="381"/>
      <c r="J808" s="381"/>
      <c r="K808" s="382"/>
      <c r="L808" s="380"/>
      <c r="M808" s="413"/>
      <c r="N808" s="383"/>
      <c r="O808" s="384"/>
      <c r="P808" s="384"/>
      <c r="Q808" s="383"/>
      <c r="R808" s="383"/>
      <c r="S808" s="385"/>
      <c r="T808" s="380"/>
      <c r="U808" s="380"/>
      <c r="V808" s="380"/>
      <c r="W808" s="380"/>
      <c r="X808" s="380"/>
    </row>
    <row r="809" spans="1:24" ht="15.75" customHeight="1">
      <c r="A809" s="463"/>
      <c r="B809" s="380"/>
      <c r="C809" s="381"/>
      <c r="D809" s="381"/>
      <c r="E809" s="381"/>
      <c r="F809" s="381"/>
      <c r="G809" s="381"/>
      <c r="H809" s="381"/>
      <c r="I809" s="381"/>
      <c r="J809" s="381"/>
      <c r="K809" s="382"/>
      <c r="L809" s="380"/>
      <c r="M809" s="413"/>
      <c r="N809" s="383"/>
      <c r="O809" s="384"/>
      <c r="P809" s="384"/>
      <c r="Q809" s="383"/>
      <c r="R809" s="383"/>
      <c r="S809" s="385"/>
      <c r="T809" s="380"/>
      <c r="U809" s="380"/>
      <c r="V809" s="380"/>
      <c r="W809" s="380"/>
      <c r="X809" s="380"/>
    </row>
    <row r="810" spans="1:24" ht="15.75" customHeight="1">
      <c r="A810" s="463"/>
      <c r="B810" s="380"/>
      <c r="C810" s="381"/>
      <c r="D810" s="381"/>
      <c r="E810" s="381"/>
      <c r="F810" s="381"/>
      <c r="G810" s="381"/>
      <c r="H810" s="381"/>
      <c r="I810" s="381"/>
      <c r="J810" s="381"/>
      <c r="K810" s="382"/>
      <c r="L810" s="380"/>
      <c r="M810" s="413"/>
      <c r="N810" s="383"/>
      <c r="O810" s="384"/>
      <c r="P810" s="384"/>
      <c r="Q810" s="383"/>
      <c r="R810" s="383"/>
      <c r="S810" s="385"/>
      <c r="T810" s="380"/>
      <c r="U810" s="380"/>
      <c r="V810" s="380"/>
      <c r="W810" s="380"/>
      <c r="X810" s="380"/>
    </row>
    <row r="811" spans="1:24" ht="15.75" customHeight="1">
      <c r="A811" s="463"/>
      <c r="B811" s="380"/>
      <c r="C811" s="381"/>
      <c r="D811" s="381"/>
      <c r="E811" s="381"/>
      <c r="F811" s="381"/>
      <c r="G811" s="381"/>
      <c r="H811" s="381"/>
      <c r="I811" s="381"/>
      <c r="J811" s="381"/>
      <c r="K811" s="382"/>
      <c r="L811" s="380"/>
      <c r="M811" s="413"/>
      <c r="N811" s="383"/>
      <c r="O811" s="384"/>
      <c r="P811" s="384"/>
      <c r="Q811" s="383"/>
      <c r="R811" s="383"/>
      <c r="S811" s="385"/>
      <c r="T811" s="380"/>
      <c r="U811" s="380"/>
      <c r="V811" s="380"/>
      <c r="W811" s="380"/>
      <c r="X811" s="380"/>
    </row>
    <row r="812" spans="1:24" ht="15.75" customHeight="1">
      <c r="A812" s="463"/>
      <c r="B812" s="380"/>
      <c r="C812" s="381"/>
      <c r="D812" s="381"/>
      <c r="E812" s="381"/>
      <c r="F812" s="381"/>
      <c r="G812" s="381"/>
      <c r="H812" s="381"/>
      <c r="I812" s="381"/>
      <c r="J812" s="381"/>
      <c r="K812" s="382"/>
      <c r="L812" s="380"/>
      <c r="M812" s="413"/>
      <c r="N812" s="383"/>
      <c r="O812" s="384"/>
      <c r="P812" s="384"/>
      <c r="Q812" s="383"/>
      <c r="R812" s="383"/>
      <c r="S812" s="385"/>
      <c r="T812" s="380"/>
      <c r="U812" s="380"/>
      <c r="V812" s="380"/>
      <c r="W812" s="380"/>
      <c r="X812" s="380"/>
    </row>
    <row r="813" spans="1:24" ht="15.75" customHeight="1">
      <c r="A813" s="463"/>
      <c r="B813" s="380"/>
      <c r="C813" s="381"/>
      <c r="D813" s="381"/>
      <c r="E813" s="381"/>
      <c r="F813" s="381"/>
      <c r="G813" s="381"/>
      <c r="H813" s="381"/>
      <c r="I813" s="381"/>
      <c r="J813" s="381"/>
      <c r="K813" s="382"/>
      <c r="L813" s="380"/>
      <c r="M813" s="413"/>
      <c r="N813" s="383"/>
      <c r="O813" s="384"/>
      <c r="P813" s="384"/>
      <c r="Q813" s="383"/>
      <c r="R813" s="383"/>
      <c r="S813" s="385"/>
      <c r="T813" s="380"/>
      <c r="U813" s="380"/>
      <c r="V813" s="380"/>
      <c r="W813" s="380"/>
      <c r="X813" s="380"/>
    </row>
    <row r="814" spans="1:24" ht="15.75" customHeight="1">
      <c r="A814" s="463"/>
      <c r="B814" s="380"/>
      <c r="C814" s="381"/>
      <c r="D814" s="381"/>
      <c r="E814" s="381"/>
      <c r="F814" s="381"/>
      <c r="G814" s="381"/>
      <c r="H814" s="381"/>
      <c r="I814" s="381"/>
      <c r="J814" s="381"/>
      <c r="K814" s="382"/>
      <c r="L814" s="380"/>
      <c r="M814" s="413"/>
      <c r="N814" s="383"/>
      <c r="O814" s="384"/>
      <c r="P814" s="384"/>
      <c r="Q814" s="383"/>
      <c r="R814" s="383"/>
      <c r="S814" s="385"/>
      <c r="T814" s="380"/>
      <c r="U814" s="380"/>
      <c r="V814" s="380"/>
      <c r="W814" s="380"/>
      <c r="X814" s="380"/>
    </row>
    <row r="815" spans="1:24" ht="15.75" customHeight="1">
      <c r="A815" s="463"/>
      <c r="B815" s="380"/>
      <c r="C815" s="381"/>
      <c r="D815" s="381"/>
      <c r="E815" s="381"/>
      <c r="F815" s="381"/>
      <c r="G815" s="381"/>
      <c r="H815" s="381"/>
      <c r="I815" s="381"/>
      <c r="J815" s="381"/>
      <c r="K815" s="382"/>
      <c r="L815" s="380"/>
      <c r="M815" s="413"/>
      <c r="N815" s="383"/>
      <c r="O815" s="384"/>
      <c r="P815" s="384"/>
      <c r="Q815" s="383"/>
      <c r="R815" s="383"/>
      <c r="S815" s="385"/>
      <c r="T815" s="380"/>
      <c r="U815" s="380"/>
      <c r="V815" s="380"/>
      <c r="W815" s="380"/>
      <c r="X815" s="380"/>
    </row>
    <row r="816" spans="1:24" ht="15.75" customHeight="1">
      <c r="A816" s="463"/>
      <c r="B816" s="380"/>
      <c r="C816" s="381"/>
      <c r="D816" s="381"/>
      <c r="E816" s="381"/>
      <c r="F816" s="381"/>
      <c r="G816" s="381"/>
      <c r="H816" s="381"/>
      <c r="I816" s="381"/>
      <c r="J816" s="381"/>
      <c r="K816" s="382"/>
      <c r="L816" s="380"/>
      <c r="M816" s="413"/>
      <c r="N816" s="383"/>
      <c r="O816" s="384"/>
      <c r="P816" s="384"/>
      <c r="Q816" s="383"/>
      <c r="R816" s="383"/>
      <c r="S816" s="385"/>
      <c r="T816" s="380"/>
      <c r="U816" s="380"/>
      <c r="V816" s="380"/>
      <c r="W816" s="380"/>
      <c r="X816" s="380"/>
    </row>
    <row r="817" spans="1:24" ht="15.75" customHeight="1">
      <c r="A817" s="463"/>
      <c r="B817" s="380"/>
      <c r="C817" s="381"/>
      <c r="D817" s="381"/>
      <c r="E817" s="381"/>
      <c r="F817" s="381"/>
      <c r="G817" s="381"/>
      <c r="H817" s="381"/>
      <c r="I817" s="381"/>
      <c r="J817" s="381"/>
      <c r="K817" s="382"/>
      <c r="L817" s="380"/>
      <c r="M817" s="413"/>
      <c r="N817" s="383"/>
      <c r="O817" s="384"/>
      <c r="P817" s="384"/>
      <c r="Q817" s="383"/>
      <c r="R817" s="383"/>
      <c r="S817" s="385"/>
      <c r="T817" s="380"/>
      <c r="U817" s="380"/>
      <c r="V817" s="380"/>
      <c r="W817" s="380"/>
      <c r="X817" s="380"/>
    </row>
    <row r="818" spans="1:24" ht="15.75" customHeight="1">
      <c r="A818" s="463"/>
      <c r="B818" s="380"/>
      <c r="C818" s="381"/>
      <c r="D818" s="381"/>
      <c r="E818" s="381"/>
      <c r="F818" s="381"/>
      <c r="G818" s="381"/>
      <c r="H818" s="381"/>
      <c r="I818" s="381"/>
      <c r="J818" s="381"/>
      <c r="K818" s="382"/>
      <c r="L818" s="380"/>
      <c r="M818" s="413"/>
      <c r="N818" s="383"/>
      <c r="O818" s="384"/>
      <c r="P818" s="384"/>
      <c r="Q818" s="383"/>
      <c r="R818" s="383"/>
      <c r="S818" s="385"/>
      <c r="T818" s="380"/>
      <c r="U818" s="380"/>
      <c r="V818" s="380"/>
      <c r="W818" s="380"/>
      <c r="X818" s="380"/>
    </row>
    <row r="819" spans="1:24" ht="15.75" customHeight="1">
      <c r="A819" s="463"/>
      <c r="B819" s="380"/>
      <c r="C819" s="381"/>
      <c r="D819" s="381"/>
      <c r="E819" s="381"/>
      <c r="F819" s="381"/>
      <c r="G819" s="381"/>
      <c r="H819" s="381"/>
      <c r="I819" s="381"/>
      <c r="J819" s="381"/>
      <c r="K819" s="382"/>
      <c r="L819" s="380"/>
      <c r="M819" s="413"/>
      <c r="N819" s="383"/>
      <c r="O819" s="384"/>
      <c r="P819" s="384"/>
      <c r="Q819" s="383"/>
      <c r="R819" s="383"/>
      <c r="S819" s="385"/>
      <c r="T819" s="380"/>
      <c r="U819" s="380"/>
      <c r="V819" s="380"/>
      <c r="W819" s="380"/>
      <c r="X819" s="380"/>
    </row>
    <row r="820" spans="1:24" ht="15.75" customHeight="1">
      <c r="A820" s="463"/>
      <c r="B820" s="380"/>
      <c r="C820" s="381"/>
      <c r="D820" s="381"/>
      <c r="E820" s="381"/>
      <c r="F820" s="381"/>
      <c r="G820" s="381"/>
      <c r="H820" s="381"/>
      <c r="I820" s="381"/>
      <c r="J820" s="381"/>
      <c r="K820" s="382"/>
      <c r="L820" s="380"/>
      <c r="M820" s="413"/>
      <c r="N820" s="383"/>
      <c r="O820" s="384"/>
      <c r="P820" s="384"/>
      <c r="Q820" s="383"/>
      <c r="R820" s="383"/>
      <c r="S820" s="385"/>
      <c r="T820" s="380"/>
      <c r="U820" s="380"/>
      <c r="V820" s="380"/>
      <c r="W820" s="380"/>
      <c r="X820" s="380"/>
    </row>
    <row r="821" spans="1:24" ht="15.75" customHeight="1">
      <c r="A821" s="463"/>
      <c r="B821" s="380"/>
      <c r="C821" s="381"/>
      <c r="D821" s="381"/>
      <c r="E821" s="381"/>
      <c r="F821" s="381"/>
      <c r="G821" s="381"/>
      <c r="H821" s="381"/>
      <c r="I821" s="381"/>
      <c r="J821" s="381"/>
      <c r="K821" s="382"/>
      <c r="L821" s="380"/>
      <c r="M821" s="413"/>
      <c r="N821" s="383"/>
      <c r="O821" s="384"/>
      <c r="P821" s="384"/>
      <c r="Q821" s="383"/>
      <c r="R821" s="383"/>
      <c r="S821" s="385"/>
      <c r="T821" s="380"/>
      <c r="U821" s="380"/>
      <c r="V821" s="380"/>
      <c r="W821" s="380"/>
      <c r="X821" s="380"/>
    </row>
    <row r="822" spans="1:24" ht="15.75" customHeight="1">
      <c r="A822" s="463"/>
      <c r="B822" s="380"/>
      <c r="C822" s="381"/>
      <c r="D822" s="381"/>
      <c r="E822" s="381"/>
      <c r="F822" s="381"/>
      <c r="G822" s="381"/>
      <c r="H822" s="381"/>
      <c r="I822" s="381"/>
      <c r="J822" s="381"/>
      <c r="K822" s="382"/>
      <c r="L822" s="380"/>
      <c r="M822" s="413"/>
      <c r="N822" s="383"/>
      <c r="O822" s="384"/>
      <c r="P822" s="384"/>
      <c r="Q822" s="383"/>
      <c r="R822" s="383"/>
      <c r="S822" s="385"/>
      <c r="T822" s="380"/>
      <c r="U822" s="380"/>
      <c r="V822" s="380"/>
      <c r="W822" s="380"/>
      <c r="X822" s="380"/>
    </row>
    <row r="823" spans="1:24" ht="15.75" customHeight="1">
      <c r="A823" s="463"/>
      <c r="B823" s="380"/>
      <c r="C823" s="381"/>
      <c r="D823" s="381"/>
      <c r="E823" s="381"/>
      <c r="F823" s="381"/>
      <c r="G823" s="381"/>
      <c r="H823" s="381"/>
      <c r="I823" s="381"/>
      <c r="J823" s="381"/>
      <c r="K823" s="382"/>
      <c r="L823" s="380"/>
      <c r="M823" s="413"/>
      <c r="N823" s="383"/>
      <c r="O823" s="384"/>
      <c r="P823" s="384"/>
      <c r="Q823" s="383"/>
      <c r="R823" s="383"/>
      <c r="S823" s="385"/>
      <c r="T823" s="380"/>
      <c r="U823" s="380"/>
      <c r="V823" s="380"/>
      <c r="W823" s="380"/>
      <c r="X823" s="380"/>
    </row>
    <row r="824" spans="1:24" ht="15.75" customHeight="1">
      <c r="A824" s="463"/>
      <c r="B824" s="380"/>
      <c r="C824" s="381"/>
      <c r="D824" s="381"/>
      <c r="E824" s="381"/>
      <c r="F824" s="381"/>
      <c r="G824" s="381"/>
      <c r="H824" s="381"/>
      <c r="I824" s="381"/>
      <c r="J824" s="381"/>
      <c r="K824" s="382"/>
      <c r="L824" s="380"/>
      <c r="M824" s="413"/>
      <c r="N824" s="383"/>
      <c r="O824" s="384"/>
      <c r="P824" s="384"/>
      <c r="Q824" s="383"/>
      <c r="R824" s="383"/>
      <c r="S824" s="385"/>
      <c r="T824" s="380"/>
      <c r="U824" s="380"/>
      <c r="V824" s="380"/>
      <c r="W824" s="380"/>
      <c r="X824" s="380"/>
    </row>
    <row r="825" spans="1:24" ht="15.75" customHeight="1">
      <c r="A825" s="463"/>
      <c r="B825" s="380"/>
      <c r="C825" s="381"/>
      <c r="D825" s="381"/>
      <c r="E825" s="381"/>
      <c r="F825" s="381"/>
      <c r="G825" s="381"/>
      <c r="H825" s="381"/>
      <c r="I825" s="381"/>
      <c r="J825" s="381"/>
      <c r="K825" s="382"/>
      <c r="L825" s="380"/>
      <c r="M825" s="413"/>
      <c r="N825" s="383"/>
      <c r="O825" s="384"/>
      <c r="P825" s="384"/>
      <c r="Q825" s="383"/>
      <c r="R825" s="383"/>
      <c r="S825" s="385"/>
      <c r="T825" s="380"/>
      <c r="U825" s="380"/>
      <c r="V825" s="380"/>
      <c r="W825" s="380"/>
      <c r="X825" s="380"/>
    </row>
    <row r="826" spans="1:24" ht="15.75" customHeight="1">
      <c r="A826" s="463"/>
      <c r="B826" s="380"/>
      <c r="C826" s="381"/>
      <c r="D826" s="381"/>
      <c r="E826" s="381"/>
      <c r="F826" s="381"/>
      <c r="G826" s="381"/>
      <c r="H826" s="381"/>
      <c r="I826" s="381"/>
      <c r="J826" s="381"/>
      <c r="K826" s="382"/>
      <c r="L826" s="380"/>
      <c r="M826" s="413"/>
      <c r="N826" s="383"/>
      <c r="O826" s="384"/>
      <c r="P826" s="384"/>
      <c r="Q826" s="383"/>
      <c r="R826" s="383"/>
      <c r="S826" s="385"/>
      <c r="T826" s="380"/>
      <c r="U826" s="380"/>
      <c r="V826" s="380"/>
      <c r="W826" s="380"/>
      <c r="X826" s="380"/>
    </row>
    <row r="827" spans="1:24" ht="15.75" customHeight="1">
      <c r="A827" s="463"/>
      <c r="B827" s="380"/>
      <c r="C827" s="381"/>
      <c r="D827" s="381"/>
      <c r="E827" s="381"/>
      <c r="F827" s="381"/>
      <c r="G827" s="381"/>
      <c r="H827" s="381"/>
      <c r="I827" s="381"/>
      <c r="J827" s="381"/>
      <c r="K827" s="382"/>
      <c r="L827" s="380"/>
      <c r="M827" s="413"/>
      <c r="N827" s="383"/>
      <c r="O827" s="384"/>
      <c r="P827" s="384"/>
      <c r="Q827" s="383"/>
      <c r="R827" s="383"/>
      <c r="S827" s="385"/>
      <c r="T827" s="380"/>
      <c r="U827" s="380"/>
      <c r="V827" s="380"/>
      <c r="W827" s="380"/>
      <c r="X827" s="380"/>
    </row>
    <row r="828" spans="1:24" ht="15.75" customHeight="1">
      <c r="A828" s="463"/>
      <c r="B828" s="380"/>
      <c r="C828" s="381"/>
      <c r="D828" s="381"/>
      <c r="E828" s="381"/>
      <c r="F828" s="381"/>
      <c r="G828" s="381"/>
      <c r="H828" s="381"/>
      <c r="I828" s="381"/>
      <c r="J828" s="381"/>
      <c r="K828" s="382"/>
      <c r="L828" s="380"/>
      <c r="M828" s="413"/>
      <c r="N828" s="383"/>
      <c r="O828" s="384"/>
      <c r="P828" s="384"/>
      <c r="Q828" s="383"/>
      <c r="R828" s="383"/>
      <c r="S828" s="385"/>
      <c r="T828" s="380"/>
      <c r="U828" s="380"/>
      <c r="V828" s="380"/>
      <c r="W828" s="380"/>
      <c r="X828" s="380"/>
    </row>
    <row r="829" spans="1:24" ht="15.75" customHeight="1">
      <c r="A829" s="463"/>
      <c r="B829" s="380"/>
      <c r="C829" s="381"/>
      <c r="D829" s="381"/>
      <c r="E829" s="381"/>
      <c r="F829" s="381"/>
      <c r="G829" s="381"/>
      <c r="H829" s="381"/>
      <c r="I829" s="381"/>
      <c r="J829" s="381"/>
      <c r="K829" s="382"/>
      <c r="L829" s="380"/>
      <c r="M829" s="413"/>
      <c r="N829" s="383"/>
      <c r="O829" s="384"/>
      <c r="P829" s="384"/>
      <c r="Q829" s="383"/>
      <c r="R829" s="383"/>
      <c r="S829" s="385"/>
      <c r="T829" s="380"/>
      <c r="U829" s="380"/>
      <c r="V829" s="380"/>
      <c r="W829" s="380"/>
      <c r="X829" s="380"/>
    </row>
    <row r="830" spans="1:24" ht="15.75" customHeight="1">
      <c r="A830" s="463"/>
      <c r="B830" s="380"/>
      <c r="C830" s="381"/>
      <c r="D830" s="381"/>
      <c r="E830" s="381"/>
      <c r="F830" s="381"/>
      <c r="G830" s="381"/>
      <c r="H830" s="381"/>
      <c r="I830" s="381"/>
      <c r="J830" s="381"/>
      <c r="K830" s="382"/>
      <c r="L830" s="380"/>
      <c r="M830" s="413"/>
      <c r="N830" s="383"/>
      <c r="O830" s="384"/>
      <c r="P830" s="384"/>
      <c r="Q830" s="383"/>
      <c r="R830" s="383"/>
      <c r="S830" s="385"/>
      <c r="T830" s="380"/>
      <c r="U830" s="380"/>
      <c r="V830" s="380"/>
      <c r="W830" s="380"/>
      <c r="X830" s="380"/>
    </row>
    <row r="831" spans="1:24" ht="15.75" customHeight="1">
      <c r="A831" s="463"/>
      <c r="B831" s="380"/>
      <c r="C831" s="381"/>
      <c r="D831" s="381"/>
      <c r="E831" s="381"/>
      <c r="F831" s="381"/>
      <c r="G831" s="381"/>
      <c r="H831" s="381"/>
      <c r="I831" s="381"/>
      <c r="J831" s="381"/>
      <c r="K831" s="382"/>
      <c r="L831" s="380"/>
      <c r="M831" s="413"/>
      <c r="N831" s="383"/>
      <c r="O831" s="384"/>
      <c r="P831" s="384"/>
      <c r="Q831" s="383"/>
      <c r="R831" s="383"/>
      <c r="S831" s="385"/>
      <c r="T831" s="380"/>
      <c r="U831" s="380"/>
      <c r="V831" s="380"/>
      <c r="W831" s="380"/>
      <c r="X831" s="380"/>
    </row>
    <row r="832" spans="1:24" ht="15.75" customHeight="1">
      <c r="A832" s="463"/>
      <c r="B832" s="380"/>
      <c r="C832" s="381"/>
      <c r="D832" s="381"/>
      <c r="E832" s="381"/>
      <c r="F832" s="381"/>
      <c r="G832" s="381"/>
      <c r="H832" s="381"/>
      <c r="I832" s="381"/>
      <c r="J832" s="381"/>
      <c r="K832" s="382"/>
      <c r="L832" s="380"/>
      <c r="M832" s="413"/>
      <c r="N832" s="383"/>
      <c r="O832" s="384"/>
      <c r="P832" s="384"/>
      <c r="Q832" s="383"/>
      <c r="R832" s="383"/>
      <c r="S832" s="385"/>
      <c r="T832" s="380"/>
      <c r="U832" s="380"/>
      <c r="V832" s="380"/>
      <c r="W832" s="380"/>
      <c r="X832" s="380"/>
    </row>
    <row r="833" spans="1:24" ht="15.75" customHeight="1">
      <c r="A833" s="463"/>
      <c r="B833" s="380"/>
      <c r="C833" s="381"/>
      <c r="D833" s="381"/>
      <c r="E833" s="381"/>
      <c r="F833" s="381"/>
      <c r="G833" s="381"/>
      <c r="H833" s="381"/>
      <c r="I833" s="381"/>
      <c r="J833" s="381"/>
      <c r="K833" s="382"/>
      <c r="L833" s="380"/>
      <c r="M833" s="413"/>
      <c r="N833" s="383"/>
      <c r="O833" s="384"/>
      <c r="P833" s="384"/>
      <c r="Q833" s="383"/>
      <c r="R833" s="383"/>
      <c r="S833" s="385"/>
      <c r="T833" s="380"/>
      <c r="U833" s="380"/>
      <c r="V833" s="380"/>
      <c r="W833" s="380"/>
      <c r="X833" s="380"/>
    </row>
    <row r="834" spans="1:24" ht="15.75" customHeight="1">
      <c r="A834" s="463"/>
      <c r="B834" s="380"/>
      <c r="C834" s="381"/>
      <c r="D834" s="381"/>
      <c r="E834" s="381"/>
      <c r="F834" s="381"/>
      <c r="G834" s="381"/>
      <c r="H834" s="381"/>
      <c r="I834" s="381"/>
      <c r="J834" s="381"/>
      <c r="K834" s="382"/>
      <c r="L834" s="380"/>
      <c r="M834" s="413"/>
      <c r="N834" s="383"/>
      <c r="O834" s="384"/>
      <c r="P834" s="384"/>
      <c r="Q834" s="383"/>
      <c r="R834" s="383"/>
      <c r="S834" s="385"/>
      <c r="T834" s="380"/>
      <c r="U834" s="380"/>
      <c r="V834" s="380"/>
      <c r="W834" s="380"/>
      <c r="X834" s="380"/>
    </row>
    <row r="835" spans="1:24" ht="15.75" customHeight="1">
      <c r="A835" s="463"/>
      <c r="B835" s="380"/>
      <c r="C835" s="381"/>
      <c r="D835" s="381"/>
      <c r="E835" s="381"/>
      <c r="F835" s="381"/>
      <c r="G835" s="381"/>
      <c r="H835" s="381"/>
      <c r="I835" s="381"/>
      <c r="J835" s="381"/>
      <c r="K835" s="382"/>
      <c r="L835" s="380"/>
      <c r="M835" s="413"/>
      <c r="N835" s="383"/>
      <c r="O835" s="384"/>
      <c r="P835" s="384"/>
      <c r="Q835" s="383"/>
      <c r="R835" s="383"/>
      <c r="S835" s="385"/>
      <c r="T835" s="380"/>
      <c r="U835" s="380"/>
      <c r="V835" s="380"/>
      <c r="W835" s="380"/>
      <c r="X835" s="380"/>
    </row>
    <row r="836" spans="1:24" ht="15.75" customHeight="1">
      <c r="A836" s="463"/>
      <c r="B836" s="380"/>
      <c r="C836" s="381"/>
      <c r="D836" s="381"/>
      <c r="E836" s="381"/>
      <c r="F836" s="381"/>
      <c r="G836" s="381"/>
      <c r="H836" s="381"/>
      <c r="I836" s="381"/>
      <c r="J836" s="381"/>
      <c r="K836" s="382"/>
      <c r="L836" s="380"/>
      <c r="M836" s="413"/>
      <c r="N836" s="383"/>
      <c r="O836" s="384"/>
      <c r="P836" s="384"/>
      <c r="Q836" s="383"/>
      <c r="R836" s="383"/>
      <c r="S836" s="385"/>
      <c r="T836" s="380"/>
      <c r="U836" s="380"/>
      <c r="V836" s="380"/>
      <c r="W836" s="380"/>
      <c r="X836" s="380"/>
    </row>
    <row r="837" spans="1:24" ht="15.75" customHeight="1">
      <c r="A837" s="463"/>
      <c r="B837" s="380"/>
      <c r="C837" s="381"/>
      <c r="D837" s="381"/>
      <c r="E837" s="381"/>
      <c r="F837" s="381"/>
      <c r="G837" s="381"/>
      <c r="H837" s="381"/>
      <c r="I837" s="381"/>
      <c r="J837" s="381"/>
      <c r="K837" s="382"/>
      <c r="L837" s="380"/>
      <c r="M837" s="413"/>
      <c r="N837" s="383"/>
      <c r="O837" s="384"/>
      <c r="P837" s="384"/>
      <c r="Q837" s="383"/>
      <c r="R837" s="383"/>
      <c r="S837" s="385"/>
      <c r="T837" s="380"/>
      <c r="U837" s="380"/>
      <c r="V837" s="380"/>
      <c r="W837" s="380"/>
      <c r="X837" s="380"/>
    </row>
    <row r="838" spans="1:24" ht="15.75" customHeight="1">
      <c r="A838" s="463"/>
      <c r="B838" s="380"/>
      <c r="C838" s="381"/>
      <c r="D838" s="381"/>
      <c r="E838" s="381"/>
      <c r="F838" s="381"/>
      <c r="G838" s="381"/>
      <c r="H838" s="381"/>
      <c r="I838" s="381"/>
      <c r="J838" s="381"/>
      <c r="K838" s="382"/>
      <c r="L838" s="380"/>
      <c r="M838" s="413"/>
      <c r="N838" s="383"/>
      <c r="O838" s="384"/>
      <c r="P838" s="384"/>
      <c r="Q838" s="383"/>
      <c r="R838" s="383"/>
      <c r="S838" s="385"/>
      <c r="T838" s="380"/>
      <c r="U838" s="380"/>
      <c r="V838" s="380"/>
      <c r="W838" s="380"/>
      <c r="X838" s="380"/>
    </row>
    <row r="839" spans="1:24" ht="15.75" customHeight="1">
      <c r="A839" s="463"/>
      <c r="B839" s="380"/>
      <c r="C839" s="381"/>
      <c r="D839" s="381"/>
      <c r="E839" s="381"/>
      <c r="F839" s="381"/>
      <c r="G839" s="381"/>
      <c r="H839" s="381"/>
      <c r="I839" s="381"/>
      <c r="J839" s="381"/>
      <c r="K839" s="382"/>
      <c r="L839" s="380"/>
      <c r="M839" s="413"/>
      <c r="N839" s="383"/>
      <c r="O839" s="384"/>
      <c r="P839" s="384"/>
      <c r="Q839" s="383"/>
      <c r="R839" s="383"/>
      <c r="S839" s="385"/>
      <c r="T839" s="380"/>
      <c r="U839" s="380"/>
      <c r="V839" s="380"/>
      <c r="W839" s="380"/>
      <c r="X839" s="380"/>
    </row>
    <row r="840" spans="1:24" ht="15.75" customHeight="1">
      <c r="A840" s="463"/>
      <c r="B840" s="380"/>
      <c r="C840" s="381"/>
      <c r="D840" s="381"/>
      <c r="E840" s="381"/>
      <c r="F840" s="381"/>
      <c r="G840" s="381"/>
      <c r="H840" s="381"/>
      <c r="I840" s="381"/>
      <c r="J840" s="381"/>
      <c r="K840" s="382"/>
      <c r="L840" s="380"/>
      <c r="M840" s="413"/>
      <c r="N840" s="383"/>
      <c r="O840" s="384"/>
      <c r="P840" s="384"/>
      <c r="Q840" s="383"/>
      <c r="R840" s="383"/>
      <c r="S840" s="385"/>
      <c r="T840" s="380"/>
      <c r="U840" s="380"/>
      <c r="V840" s="380"/>
      <c r="W840" s="380"/>
      <c r="X840" s="380"/>
    </row>
    <row r="841" spans="1:24" ht="15.75" customHeight="1">
      <c r="A841" s="463"/>
      <c r="B841" s="380"/>
      <c r="C841" s="381"/>
      <c r="D841" s="381"/>
      <c r="E841" s="381"/>
      <c r="F841" s="381"/>
      <c r="G841" s="381"/>
      <c r="H841" s="381"/>
      <c r="I841" s="381"/>
      <c r="J841" s="381"/>
      <c r="K841" s="382"/>
      <c r="L841" s="380"/>
      <c r="M841" s="413"/>
      <c r="N841" s="383"/>
      <c r="O841" s="384"/>
      <c r="P841" s="384"/>
      <c r="Q841" s="383"/>
      <c r="R841" s="383"/>
      <c r="S841" s="385"/>
      <c r="T841" s="380"/>
      <c r="U841" s="380"/>
      <c r="V841" s="380"/>
      <c r="W841" s="380"/>
      <c r="X841" s="380"/>
    </row>
    <row r="842" spans="1:24" ht="15.75" customHeight="1">
      <c r="A842" s="463"/>
      <c r="B842" s="380"/>
      <c r="C842" s="381"/>
      <c r="D842" s="381"/>
      <c r="E842" s="381"/>
      <c r="F842" s="381"/>
      <c r="G842" s="381"/>
      <c r="H842" s="381"/>
      <c r="I842" s="381"/>
      <c r="J842" s="381"/>
      <c r="K842" s="382"/>
      <c r="L842" s="380"/>
      <c r="M842" s="413"/>
      <c r="N842" s="383"/>
      <c r="O842" s="384"/>
      <c r="P842" s="384"/>
      <c r="Q842" s="383"/>
      <c r="R842" s="383"/>
      <c r="S842" s="385"/>
      <c r="T842" s="380"/>
      <c r="U842" s="380"/>
      <c r="V842" s="380"/>
      <c r="W842" s="380"/>
      <c r="X842" s="380"/>
    </row>
    <row r="843" spans="1:24" ht="15.75" customHeight="1">
      <c r="A843" s="463"/>
      <c r="B843" s="380"/>
      <c r="C843" s="381"/>
      <c r="D843" s="381"/>
      <c r="E843" s="381"/>
      <c r="F843" s="381"/>
      <c r="G843" s="381"/>
      <c r="H843" s="381"/>
      <c r="I843" s="381"/>
      <c r="J843" s="381"/>
      <c r="K843" s="382"/>
      <c r="L843" s="380"/>
      <c r="M843" s="413"/>
      <c r="N843" s="383"/>
      <c r="O843" s="384"/>
      <c r="P843" s="384"/>
      <c r="Q843" s="383"/>
      <c r="R843" s="383"/>
      <c r="S843" s="385"/>
      <c r="T843" s="380"/>
      <c r="U843" s="380"/>
      <c r="V843" s="380"/>
      <c r="W843" s="380"/>
      <c r="X843" s="380"/>
    </row>
    <row r="844" spans="1:24" ht="15.75" customHeight="1">
      <c r="A844" s="463"/>
      <c r="B844" s="380"/>
      <c r="C844" s="381"/>
      <c r="D844" s="381"/>
      <c r="E844" s="381"/>
      <c r="F844" s="381"/>
      <c r="G844" s="381"/>
      <c r="H844" s="381"/>
      <c r="I844" s="381"/>
      <c r="J844" s="381"/>
      <c r="K844" s="382"/>
      <c r="L844" s="380"/>
      <c r="M844" s="413"/>
      <c r="N844" s="383"/>
      <c r="O844" s="384"/>
      <c r="P844" s="384"/>
      <c r="Q844" s="383"/>
      <c r="R844" s="383"/>
      <c r="S844" s="385"/>
      <c r="T844" s="380"/>
      <c r="U844" s="380"/>
      <c r="V844" s="380"/>
      <c r="W844" s="380"/>
      <c r="X844" s="380"/>
    </row>
    <row r="845" spans="1:24" ht="15.75" customHeight="1">
      <c r="A845" s="463"/>
      <c r="B845" s="380"/>
      <c r="C845" s="381"/>
      <c r="D845" s="381"/>
      <c r="E845" s="381"/>
      <c r="F845" s="381"/>
      <c r="G845" s="381"/>
      <c r="H845" s="381"/>
      <c r="I845" s="381"/>
      <c r="J845" s="381"/>
      <c r="K845" s="382"/>
      <c r="L845" s="380"/>
      <c r="M845" s="413"/>
      <c r="N845" s="383"/>
      <c r="O845" s="384"/>
      <c r="P845" s="384"/>
      <c r="Q845" s="383"/>
      <c r="R845" s="383"/>
      <c r="S845" s="385"/>
      <c r="T845" s="380"/>
      <c r="U845" s="380"/>
      <c r="V845" s="380"/>
      <c r="W845" s="380"/>
      <c r="X845" s="380"/>
    </row>
    <row r="846" spans="1:24" ht="15.75" customHeight="1">
      <c r="A846" s="463"/>
      <c r="B846" s="380"/>
      <c r="C846" s="381"/>
      <c r="D846" s="381"/>
      <c r="E846" s="381"/>
      <c r="F846" s="381"/>
      <c r="G846" s="381"/>
      <c r="H846" s="381"/>
      <c r="I846" s="381"/>
      <c r="J846" s="381"/>
      <c r="K846" s="382"/>
      <c r="L846" s="380"/>
      <c r="M846" s="413"/>
      <c r="N846" s="383"/>
      <c r="O846" s="384"/>
      <c r="P846" s="384"/>
      <c r="Q846" s="383"/>
      <c r="R846" s="383"/>
      <c r="S846" s="385"/>
      <c r="T846" s="380"/>
      <c r="U846" s="380"/>
      <c r="V846" s="380"/>
      <c r="W846" s="380"/>
      <c r="X846" s="380"/>
    </row>
    <row r="847" spans="1:24" ht="15.75" customHeight="1">
      <c r="A847" s="463"/>
      <c r="B847" s="380"/>
      <c r="C847" s="381"/>
      <c r="D847" s="381"/>
      <c r="E847" s="381"/>
      <c r="F847" s="381"/>
      <c r="G847" s="381"/>
      <c r="H847" s="381"/>
      <c r="I847" s="381"/>
      <c r="J847" s="381"/>
      <c r="K847" s="382"/>
      <c r="L847" s="380"/>
      <c r="M847" s="413"/>
      <c r="N847" s="383"/>
      <c r="O847" s="384"/>
      <c r="P847" s="384"/>
      <c r="Q847" s="383"/>
      <c r="R847" s="383"/>
      <c r="S847" s="385"/>
      <c r="T847" s="380"/>
      <c r="U847" s="380"/>
      <c r="V847" s="380"/>
      <c r="W847" s="380"/>
      <c r="X847" s="380"/>
    </row>
    <row r="848" spans="1:24" ht="15.75" customHeight="1">
      <c r="A848" s="463"/>
      <c r="B848" s="380"/>
      <c r="C848" s="381"/>
      <c r="D848" s="381"/>
      <c r="E848" s="381"/>
      <c r="F848" s="381"/>
      <c r="G848" s="381"/>
      <c r="H848" s="381"/>
      <c r="I848" s="381"/>
      <c r="J848" s="381"/>
      <c r="K848" s="382"/>
      <c r="L848" s="380"/>
      <c r="M848" s="413"/>
      <c r="N848" s="383"/>
      <c r="O848" s="384"/>
      <c r="P848" s="384"/>
      <c r="Q848" s="383"/>
      <c r="R848" s="383"/>
      <c r="S848" s="385"/>
      <c r="T848" s="380"/>
      <c r="U848" s="380"/>
      <c r="V848" s="380"/>
      <c r="W848" s="380"/>
      <c r="X848" s="380"/>
    </row>
    <row r="849" spans="1:24" ht="15.75" customHeight="1">
      <c r="A849" s="463"/>
      <c r="B849" s="380"/>
      <c r="C849" s="381"/>
      <c r="D849" s="381"/>
      <c r="E849" s="381"/>
      <c r="F849" s="381"/>
      <c r="G849" s="381"/>
      <c r="H849" s="381"/>
      <c r="I849" s="381"/>
      <c r="J849" s="381"/>
      <c r="K849" s="382"/>
      <c r="L849" s="380"/>
      <c r="M849" s="413"/>
      <c r="N849" s="383"/>
      <c r="O849" s="384"/>
      <c r="P849" s="384"/>
      <c r="Q849" s="383"/>
      <c r="R849" s="383"/>
      <c r="S849" s="385"/>
      <c r="T849" s="380"/>
      <c r="U849" s="380"/>
      <c r="V849" s="380"/>
      <c r="W849" s="380"/>
      <c r="X849" s="380"/>
    </row>
    <row r="850" spans="1:24" ht="15.75" customHeight="1">
      <c r="A850" s="463"/>
      <c r="B850" s="380"/>
      <c r="C850" s="381"/>
      <c r="D850" s="381"/>
      <c r="E850" s="381"/>
      <c r="F850" s="381"/>
      <c r="G850" s="381"/>
      <c r="H850" s="381"/>
      <c r="I850" s="381"/>
      <c r="J850" s="381"/>
      <c r="K850" s="382"/>
      <c r="L850" s="380"/>
      <c r="M850" s="413"/>
      <c r="N850" s="383"/>
      <c r="O850" s="384"/>
      <c r="P850" s="384"/>
      <c r="Q850" s="383"/>
      <c r="R850" s="383"/>
      <c r="S850" s="385"/>
      <c r="T850" s="380"/>
      <c r="U850" s="380"/>
      <c r="V850" s="380"/>
      <c r="W850" s="380"/>
      <c r="X850" s="380"/>
    </row>
    <row r="851" spans="1:24" ht="15.75" customHeight="1">
      <c r="A851" s="463"/>
      <c r="B851" s="380"/>
      <c r="C851" s="381"/>
      <c r="D851" s="381"/>
      <c r="E851" s="381"/>
      <c r="F851" s="381"/>
      <c r="G851" s="381"/>
      <c r="H851" s="381"/>
      <c r="I851" s="381"/>
      <c r="J851" s="381"/>
      <c r="K851" s="382"/>
      <c r="L851" s="380"/>
      <c r="M851" s="413"/>
      <c r="N851" s="383"/>
      <c r="O851" s="384"/>
      <c r="P851" s="384"/>
      <c r="Q851" s="383"/>
      <c r="R851" s="383"/>
      <c r="S851" s="385"/>
      <c r="T851" s="380"/>
      <c r="U851" s="380"/>
      <c r="V851" s="380"/>
      <c r="W851" s="380"/>
      <c r="X851" s="380"/>
    </row>
    <row r="852" spans="1:24" ht="15.75" customHeight="1">
      <c r="A852" s="463"/>
      <c r="B852" s="380"/>
      <c r="C852" s="381"/>
      <c r="D852" s="381"/>
      <c r="E852" s="381"/>
      <c r="F852" s="381"/>
      <c r="G852" s="381"/>
      <c r="H852" s="381"/>
      <c r="I852" s="381"/>
      <c r="J852" s="381"/>
      <c r="K852" s="382"/>
      <c r="L852" s="380"/>
      <c r="M852" s="413"/>
      <c r="N852" s="383"/>
      <c r="O852" s="384"/>
      <c r="P852" s="384"/>
      <c r="Q852" s="383"/>
      <c r="R852" s="383"/>
      <c r="S852" s="385"/>
      <c r="T852" s="380"/>
      <c r="U852" s="380"/>
      <c r="V852" s="380"/>
      <c r="W852" s="380"/>
      <c r="X852" s="380"/>
    </row>
    <row r="853" spans="1:24" ht="15.75" customHeight="1">
      <c r="A853" s="463"/>
      <c r="B853" s="380"/>
      <c r="C853" s="381"/>
      <c r="D853" s="381"/>
      <c r="E853" s="381"/>
      <c r="F853" s="381"/>
      <c r="G853" s="381"/>
      <c r="H853" s="381"/>
      <c r="I853" s="381"/>
      <c r="J853" s="381"/>
      <c r="K853" s="382"/>
      <c r="L853" s="380"/>
      <c r="M853" s="413"/>
      <c r="N853" s="383"/>
      <c r="O853" s="384"/>
      <c r="P853" s="384"/>
      <c r="Q853" s="383"/>
      <c r="R853" s="383"/>
      <c r="S853" s="385"/>
      <c r="T853" s="380"/>
      <c r="U853" s="380"/>
      <c r="V853" s="380"/>
      <c r="W853" s="380"/>
      <c r="X853" s="380"/>
    </row>
    <row r="854" spans="1:24" ht="15.75" customHeight="1">
      <c r="A854" s="463"/>
      <c r="B854" s="380"/>
      <c r="C854" s="381"/>
      <c r="D854" s="381"/>
      <c r="E854" s="381"/>
      <c r="F854" s="381"/>
      <c r="G854" s="381"/>
      <c r="H854" s="381"/>
      <c r="I854" s="381"/>
      <c r="J854" s="381"/>
      <c r="K854" s="382"/>
      <c r="L854" s="380"/>
      <c r="M854" s="413"/>
      <c r="N854" s="383"/>
      <c r="O854" s="384"/>
      <c r="P854" s="384"/>
      <c r="Q854" s="383"/>
      <c r="R854" s="383"/>
      <c r="S854" s="385"/>
      <c r="T854" s="380"/>
      <c r="U854" s="380"/>
      <c r="V854" s="380"/>
      <c r="W854" s="380"/>
      <c r="X854" s="380"/>
    </row>
    <row r="855" spans="1:24" ht="15.75" customHeight="1">
      <c r="A855" s="463"/>
      <c r="B855" s="380"/>
      <c r="C855" s="381"/>
      <c r="D855" s="381"/>
      <c r="E855" s="381"/>
      <c r="F855" s="381"/>
      <c r="G855" s="381"/>
      <c r="H855" s="381"/>
      <c r="I855" s="381"/>
      <c r="J855" s="381"/>
      <c r="K855" s="382"/>
      <c r="L855" s="380"/>
      <c r="M855" s="413"/>
      <c r="N855" s="383"/>
      <c r="O855" s="384"/>
      <c r="P855" s="384"/>
      <c r="Q855" s="383"/>
      <c r="R855" s="383"/>
      <c r="S855" s="385"/>
      <c r="T855" s="380"/>
      <c r="U855" s="380"/>
      <c r="V855" s="380"/>
      <c r="W855" s="380"/>
      <c r="X855" s="380"/>
    </row>
    <row r="856" spans="1:24" ht="15.75" customHeight="1">
      <c r="A856" s="463"/>
      <c r="B856" s="380"/>
      <c r="C856" s="381"/>
      <c r="D856" s="381"/>
      <c r="E856" s="381"/>
      <c r="F856" s="381"/>
      <c r="G856" s="381"/>
      <c r="H856" s="381"/>
      <c r="I856" s="381"/>
      <c r="J856" s="381"/>
      <c r="K856" s="382"/>
      <c r="L856" s="380"/>
      <c r="M856" s="413"/>
      <c r="N856" s="383"/>
      <c r="O856" s="384"/>
      <c r="P856" s="384"/>
      <c r="Q856" s="383"/>
      <c r="R856" s="383"/>
      <c r="S856" s="385"/>
      <c r="T856" s="380"/>
      <c r="U856" s="380"/>
      <c r="V856" s="380"/>
      <c r="W856" s="380"/>
      <c r="X856" s="380"/>
    </row>
    <row r="857" spans="1:24" ht="15.75" customHeight="1">
      <c r="A857" s="463"/>
      <c r="B857" s="380"/>
      <c r="C857" s="381"/>
      <c r="D857" s="381"/>
      <c r="E857" s="381"/>
      <c r="F857" s="381"/>
      <c r="G857" s="381"/>
      <c r="H857" s="381"/>
      <c r="I857" s="381"/>
      <c r="J857" s="381"/>
      <c r="K857" s="382"/>
      <c r="L857" s="380"/>
      <c r="M857" s="413"/>
      <c r="N857" s="383"/>
      <c r="O857" s="384"/>
      <c r="P857" s="384"/>
      <c r="Q857" s="383"/>
      <c r="R857" s="383"/>
      <c r="S857" s="385"/>
      <c r="T857" s="380"/>
      <c r="U857" s="380"/>
      <c r="V857" s="380"/>
      <c r="W857" s="380"/>
      <c r="X857" s="380"/>
    </row>
    <row r="858" spans="1:24" ht="15.75" customHeight="1">
      <c r="A858" s="463"/>
      <c r="B858" s="380"/>
      <c r="C858" s="381"/>
      <c r="D858" s="381"/>
      <c r="E858" s="381"/>
      <c r="F858" s="381"/>
      <c r="G858" s="381"/>
      <c r="H858" s="381"/>
      <c r="I858" s="381"/>
      <c r="J858" s="381"/>
      <c r="K858" s="382"/>
      <c r="L858" s="380"/>
      <c r="M858" s="413"/>
      <c r="N858" s="383"/>
      <c r="O858" s="384"/>
      <c r="P858" s="384"/>
      <c r="Q858" s="383"/>
      <c r="R858" s="383"/>
      <c r="S858" s="385"/>
      <c r="T858" s="380"/>
      <c r="U858" s="380"/>
      <c r="V858" s="380"/>
      <c r="W858" s="380"/>
      <c r="X858" s="380"/>
    </row>
    <row r="859" spans="1:24" ht="15.75" customHeight="1">
      <c r="A859" s="463"/>
      <c r="B859" s="380"/>
      <c r="C859" s="381"/>
      <c r="D859" s="381"/>
      <c r="E859" s="381"/>
      <c r="F859" s="381"/>
      <c r="G859" s="381"/>
      <c r="H859" s="381"/>
      <c r="I859" s="381"/>
      <c r="J859" s="381"/>
      <c r="K859" s="382"/>
      <c r="L859" s="380"/>
      <c r="M859" s="413"/>
      <c r="N859" s="383"/>
      <c r="O859" s="384"/>
      <c r="P859" s="384"/>
      <c r="Q859" s="383"/>
      <c r="R859" s="383"/>
      <c r="S859" s="385"/>
      <c r="T859" s="380"/>
      <c r="U859" s="380"/>
      <c r="V859" s="380"/>
      <c r="W859" s="380"/>
      <c r="X859" s="380"/>
    </row>
    <row r="860" spans="1:24" ht="15.75" customHeight="1">
      <c r="A860" s="463"/>
      <c r="B860" s="380"/>
      <c r="C860" s="381"/>
      <c r="D860" s="381"/>
      <c r="E860" s="381"/>
      <c r="F860" s="381"/>
      <c r="G860" s="381"/>
      <c r="H860" s="381"/>
      <c r="I860" s="381"/>
      <c r="J860" s="381"/>
      <c r="K860" s="382"/>
      <c r="L860" s="380"/>
      <c r="M860" s="413"/>
      <c r="N860" s="383"/>
      <c r="O860" s="384"/>
      <c r="P860" s="384"/>
      <c r="Q860" s="383"/>
      <c r="R860" s="383"/>
      <c r="S860" s="385"/>
      <c r="T860" s="380"/>
      <c r="U860" s="380"/>
      <c r="V860" s="380"/>
      <c r="W860" s="380"/>
      <c r="X860" s="380"/>
    </row>
    <row r="861" spans="1:24" ht="15.75" customHeight="1">
      <c r="A861" s="463"/>
      <c r="B861" s="380"/>
      <c r="C861" s="381"/>
      <c r="D861" s="381"/>
      <c r="E861" s="381"/>
      <c r="F861" s="381"/>
      <c r="G861" s="381"/>
      <c r="H861" s="381"/>
      <c r="I861" s="381"/>
      <c r="J861" s="381"/>
      <c r="K861" s="382"/>
      <c r="L861" s="380"/>
      <c r="M861" s="413"/>
      <c r="N861" s="383"/>
      <c r="O861" s="384"/>
      <c r="P861" s="384"/>
      <c r="Q861" s="383"/>
      <c r="R861" s="383"/>
      <c r="S861" s="385"/>
      <c r="T861" s="380"/>
      <c r="U861" s="380"/>
      <c r="V861" s="380"/>
      <c r="W861" s="380"/>
      <c r="X861" s="380"/>
    </row>
    <row r="862" spans="1:24" ht="15.75" customHeight="1">
      <c r="A862" s="463"/>
      <c r="B862" s="380"/>
      <c r="C862" s="381"/>
      <c r="D862" s="381"/>
      <c r="E862" s="381"/>
      <c r="F862" s="381"/>
      <c r="G862" s="381"/>
      <c r="H862" s="381"/>
      <c r="I862" s="381"/>
      <c r="J862" s="381"/>
      <c r="K862" s="382"/>
      <c r="L862" s="380"/>
      <c r="M862" s="413"/>
      <c r="N862" s="383"/>
      <c r="O862" s="384"/>
      <c r="P862" s="384"/>
      <c r="Q862" s="383"/>
      <c r="R862" s="383"/>
      <c r="S862" s="385"/>
      <c r="T862" s="380"/>
      <c r="U862" s="380"/>
      <c r="V862" s="380"/>
      <c r="W862" s="380"/>
      <c r="X862" s="380"/>
    </row>
    <row r="863" spans="1:24" ht="15.75" customHeight="1">
      <c r="A863" s="463"/>
      <c r="B863" s="380"/>
      <c r="C863" s="381"/>
      <c r="D863" s="381"/>
      <c r="E863" s="381"/>
      <c r="F863" s="381"/>
      <c r="G863" s="381"/>
      <c r="H863" s="381"/>
      <c r="I863" s="381"/>
      <c r="J863" s="381"/>
      <c r="K863" s="382"/>
      <c r="L863" s="380"/>
      <c r="M863" s="413"/>
      <c r="N863" s="383"/>
      <c r="O863" s="384"/>
      <c r="P863" s="384"/>
      <c r="Q863" s="383"/>
      <c r="R863" s="383"/>
      <c r="S863" s="385"/>
      <c r="T863" s="380"/>
      <c r="U863" s="380"/>
      <c r="V863" s="380"/>
      <c r="W863" s="380"/>
      <c r="X863" s="380"/>
    </row>
    <row r="864" spans="1:24" ht="15.75" customHeight="1">
      <c r="A864" s="463"/>
      <c r="B864" s="380"/>
      <c r="C864" s="381"/>
      <c r="D864" s="381"/>
      <c r="E864" s="381"/>
      <c r="F864" s="381"/>
      <c r="G864" s="381"/>
      <c r="H864" s="381"/>
      <c r="I864" s="381"/>
      <c r="J864" s="381"/>
      <c r="K864" s="382"/>
      <c r="L864" s="380"/>
      <c r="M864" s="413"/>
      <c r="N864" s="383"/>
      <c r="O864" s="384"/>
      <c r="P864" s="384"/>
      <c r="Q864" s="383"/>
      <c r="R864" s="383"/>
      <c r="S864" s="385"/>
      <c r="T864" s="380"/>
      <c r="U864" s="380"/>
      <c r="V864" s="380"/>
      <c r="W864" s="380"/>
      <c r="X864" s="380"/>
    </row>
    <row r="865" spans="1:24" ht="15.75" customHeight="1">
      <c r="A865" s="463"/>
      <c r="B865" s="380"/>
      <c r="C865" s="381"/>
      <c r="D865" s="381"/>
      <c r="E865" s="381"/>
      <c r="F865" s="381"/>
      <c r="G865" s="381"/>
      <c r="H865" s="381"/>
      <c r="I865" s="381"/>
      <c r="J865" s="381"/>
      <c r="K865" s="382"/>
      <c r="L865" s="380"/>
      <c r="M865" s="413"/>
      <c r="N865" s="383"/>
      <c r="O865" s="384"/>
      <c r="P865" s="384"/>
      <c r="Q865" s="383"/>
      <c r="R865" s="383"/>
      <c r="S865" s="385"/>
      <c r="T865" s="380"/>
      <c r="U865" s="380"/>
      <c r="V865" s="380"/>
      <c r="W865" s="380"/>
      <c r="X865" s="380"/>
    </row>
    <row r="866" spans="1:24" ht="15.75" customHeight="1">
      <c r="A866" s="463"/>
      <c r="B866" s="380"/>
      <c r="C866" s="381"/>
      <c r="D866" s="381"/>
      <c r="E866" s="381"/>
      <c r="F866" s="381"/>
      <c r="G866" s="381"/>
      <c r="H866" s="381"/>
      <c r="I866" s="381"/>
      <c r="J866" s="381"/>
      <c r="K866" s="382"/>
      <c r="L866" s="380"/>
      <c r="M866" s="413"/>
      <c r="N866" s="383"/>
      <c r="O866" s="384"/>
      <c r="P866" s="384"/>
      <c r="Q866" s="383"/>
      <c r="R866" s="383"/>
      <c r="S866" s="385"/>
      <c r="T866" s="380"/>
      <c r="U866" s="380"/>
      <c r="V866" s="380"/>
      <c r="W866" s="380"/>
      <c r="X866" s="380"/>
    </row>
    <row r="867" spans="1:24" ht="15.75" customHeight="1">
      <c r="A867" s="463"/>
      <c r="B867" s="380"/>
      <c r="C867" s="381"/>
      <c r="D867" s="381"/>
      <c r="E867" s="381"/>
      <c r="F867" s="381"/>
      <c r="G867" s="381"/>
      <c r="H867" s="381"/>
      <c r="I867" s="381"/>
      <c r="J867" s="381"/>
      <c r="K867" s="382"/>
      <c r="L867" s="380"/>
      <c r="M867" s="413"/>
      <c r="N867" s="383"/>
      <c r="O867" s="384"/>
      <c r="P867" s="384"/>
      <c r="Q867" s="383"/>
      <c r="R867" s="383"/>
      <c r="S867" s="385"/>
      <c r="T867" s="380"/>
      <c r="U867" s="380"/>
      <c r="V867" s="380"/>
      <c r="W867" s="380"/>
      <c r="X867" s="380"/>
    </row>
    <row r="868" spans="1:24" ht="15.75" customHeight="1">
      <c r="A868" s="463"/>
      <c r="B868" s="380"/>
      <c r="C868" s="381"/>
      <c r="D868" s="381"/>
      <c r="E868" s="381"/>
      <c r="F868" s="381"/>
      <c r="G868" s="381"/>
      <c r="H868" s="381"/>
      <c r="I868" s="381"/>
      <c r="J868" s="381"/>
      <c r="K868" s="382"/>
      <c r="L868" s="380"/>
      <c r="M868" s="413"/>
      <c r="N868" s="383"/>
      <c r="O868" s="384"/>
      <c r="P868" s="384"/>
      <c r="Q868" s="383"/>
      <c r="R868" s="383"/>
      <c r="S868" s="385"/>
      <c r="T868" s="380"/>
      <c r="U868" s="380"/>
      <c r="V868" s="380"/>
      <c r="W868" s="380"/>
      <c r="X868" s="380"/>
    </row>
    <row r="869" spans="1:24" ht="15.75" customHeight="1">
      <c r="A869" s="463"/>
      <c r="B869" s="380"/>
      <c r="C869" s="381"/>
      <c r="D869" s="381"/>
      <c r="E869" s="381"/>
      <c r="F869" s="381"/>
      <c r="G869" s="381"/>
      <c r="H869" s="381"/>
      <c r="I869" s="381"/>
      <c r="J869" s="381"/>
      <c r="K869" s="382"/>
      <c r="L869" s="380"/>
      <c r="M869" s="413"/>
      <c r="N869" s="383"/>
      <c r="O869" s="384"/>
      <c r="P869" s="384"/>
      <c r="Q869" s="383"/>
      <c r="R869" s="383"/>
      <c r="S869" s="385"/>
      <c r="T869" s="380"/>
      <c r="U869" s="380"/>
      <c r="V869" s="380"/>
      <c r="W869" s="380"/>
      <c r="X869" s="380"/>
    </row>
    <row r="870" spans="1:24" ht="15.75" customHeight="1">
      <c r="A870" s="463"/>
      <c r="B870" s="380"/>
      <c r="C870" s="381"/>
      <c r="D870" s="381"/>
      <c r="E870" s="381"/>
      <c r="F870" s="381"/>
      <c r="G870" s="381"/>
      <c r="H870" s="381"/>
      <c r="I870" s="381"/>
      <c r="J870" s="381"/>
      <c r="K870" s="382"/>
      <c r="L870" s="380"/>
      <c r="M870" s="413"/>
      <c r="N870" s="383"/>
      <c r="O870" s="384"/>
      <c r="P870" s="384"/>
      <c r="Q870" s="383"/>
      <c r="R870" s="383"/>
      <c r="S870" s="385"/>
      <c r="T870" s="380"/>
      <c r="U870" s="380"/>
      <c r="V870" s="380"/>
      <c r="W870" s="380"/>
      <c r="X870" s="380"/>
    </row>
    <row r="871" spans="1:24" ht="15.75" customHeight="1">
      <c r="A871" s="463"/>
      <c r="B871" s="380"/>
      <c r="C871" s="381"/>
      <c r="D871" s="381"/>
      <c r="E871" s="381"/>
      <c r="F871" s="381"/>
      <c r="G871" s="381"/>
      <c r="H871" s="381"/>
      <c r="I871" s="381"/>
      <c r="J871" s="381"/>
      <c r="K871" s="382"/>
      <c r="L871" s="380"/>
      <c r="M871" s="413"/>
      <c r="N871" s="383"/>
      <c r="O871" s="384"/>
      <c r="P871" s="384"/>
      <c r="Q871" s="383"/>
      <c r="R871" s="383"/>
      <c r="S871" s="385"/>
      <c r="T871" s="380"/>
      <c r="U871" s="380"/>
      <c r="V871" s="380"/>
      <c r="W871" s="380"/>
      <c r="X871" s="380"/>
    </row>
    <row r="872" spans="1:24" ht="15.75" customHeight="1">
      <c r="A872" s="463"/>
      <c r="B872" s="380"/>
      <c r="C872" s="381"/>
      <c r="D872" s="381"/>
      <c r="E872" s="381"/>
      <c r="F872" s="381"/>
      <c r="G872" s="381"/>
      <c r="H872" s="381"/>
      <c r="I872" s="381"/>
      <c r="J872" s="381"/>
      <c r="K872" s="382"/>
      <c r="L872" s="380"/>
      <c r="M872" s="413"/>
      <c r="N872" s="383"/>
      <c r="O872" s="384"/>
      <c r="P872" s="384"/>
      <c r="Q872" s="383"/>
      <c r="R872" s="383"/>
      <c r="S872" s="385"/>
      <c r="T872" s="380"/>
      <c r="U872" s="380"/>
      <c r="V872" s="380"/>
      <c r="W872" s="380"/>
      <c r="X872" s="380"/>
    </row>
    <row r="873" spans="1:24" ht="15.75" customHeight="1">
      <c r="A873" s="463"/>
      <c r="B873" s="380"/>
      <c r="C873" s="381"/>
      <c r="D873" s="381"/>
      <c r="E873" s="381"/>
      <c r="F873" s="381"/>
      <c r="G873" s="381"/>
      <c r="H873" s="381"/>
      <c r="I873" s="381"/>
      <c r="J873" s="381"/>
      <c r="K873" s="382"/>
      <c r="L873" s="380"/>
      <c r="M873" s="413"/>
      <c r="N873" s="383"/>
      <c r="O873" s="384"/>
      <c r="P873" s="384"/>
      <c r="Q873" s="383"/>
      <c r="R873" s="383"/>
      <c r="S873" s="385"/>
      <c r="T873" s="380"/>
      <c r="U873" s="380"/>
      <c r="V873" s="380"/>
      <c r="W873" s="380"/>
      <c r="X873" s="380"/>
    </row>
    <row r="874" spans="1:24" ht="15.75" customHeight="1">
      <c r="A874" s="463"/>
      <c r="B874" s="380"/>
      <c r="C874" s="381"/>
      <c r="D874" s="381"/>
      <c r="E874" s="381"/>
      <c r="F874" s="381"/>
      <c r="G874" s="381"/>
      <c r="H874" s="381"/>
      <c r="I874" s="381"/>
      <c r="J874" s="381"/>
      <c r="K874" s="382"/>
      <c r="L874" s="380"/>
      <c r="M874" s="413"/>
      <c r="N874" s="383"/>
      <c r="O874" s="384"/>
      <c r="P874" s="384"/>
      <c r="Q874" s="383"/>
      <c r="R874" s="383"/>
      <c r="S874" s="385"/>
      <c r="T874" s="380"/>
      <c r="U874" s="380"/>
      <c r="V874" s="380"/>
      <c r="W874" s="380"/>
      <c r="X874" s="380"/>
    </row>
    <row r="875" spans="1:24" ht="15.75" customHeight="1">
      <c r="A875" s="463"/>
      <c r="B875" s="380"/>
      <c r="C875" s="381"/>
      <c r="D875" s="381"/>
      <c r="E875" s="381"/>
      <c r="F875" s="381"/>
      <c r="G875" s="381"/>
      <c r="H875" s="381"/>
      <c r="I875" s="381"/>
      <c r="J875" s="381"/>
      <c r="K875" s="382"/>
      <c r="L875" s="380"/>
      <c r="M875" s="413"/>
      <c r="N875" s="383"/>
      <c r="O875" s="384"/>
      <c r="P875" s="384"/>
      <c r="Q875" s="383"/>
      <c r="R875" s="383"/>
      <c r="S875" s="385"/>
      <c r="T875" s="380"/>
      <c r="U875" s="380"/>
      <c r="V875" s="380"/>
      <c r="W875" s="380"/>
      <c r="X875" s="380"/>
    </row>
    <row r="876" spans="1:24" ht="15.75" customHeight="1">
      <c r="A876" s="463"/>
      <c r="B876" s="380"/>
      <c r="C876" s="381"/>
      <c r="D876" s="381"/>
      <c r="E876" s="381"/>
      <c r="F876" s="381"/>
      <c r="G876" s="381"/>
      <c r="H876" s="381"/>
      <c r="I876" s="381"/>
      <c r="J876" s="381"/>
      <c r="K876" s="382"/>
      <c r="L876" s="380"/>
      <c r="M876" s="413"/>
      <c r="N876" s="383"/>
      <c r="O876" s="384"/>
      <c r="P876" s="384"/>
      <c r="Q876" s="383"/>
      <c r="R876" s="383"/>
      <c r="S876" s="385"/>
      <c r="T876" s="380"/>
      <c r="U876" s="380"/>
      <c r="V876" s="380"/>
      <c r="W876" s="380"/>
      <c r="X876" s="380"/>
    </row>
    <row r="877" spans="1:24" ht="15.75" customHeight="1">
      <c r="A877" s="463"/>
      <c r="B877" s="380"/>
      <c r="C877" s="381"/>
      <c r="D877" s="381"/>
      <c r="E877" s="381"/>
      <c r="F877" s="381"/>
      <c r="G877" s="381"/>
      <c r="H877" s="381"/>
      <c r="I877" s="381"/>
      <c r="J877" s="381"/>
      <c r="K877" s="382"/>
      <c r="L877" s="380"/>
      <c r="M877" s="413"/>
      <c r="N877" s="383"/>
      <c r="O877" s="384"/>
      <c r="P877" s="384"/>
      <c r="Q877" s="383"/>
      <c r="R877" s="383"/>
      <c r="S877" s="385"/>
      <c r="T877" s="380"/>
      <c r="U877" s="380"/>
      <c r="V877" s="380"/>
      <c r="W877" s="380"/>
      <c r="X877" s="380"/>
    </row>
    <row r="878" spans="1:24" ht="15.75" customHeight="1">
      <c r="A878" s="463"/>
      <c r="B878" s="380"/>
      <c r="C878" s="381"/>
      <c r="D878" s="381"/>
      <c r="E878" s="381"/>
      <c r="F878" s="381"/>
      <c r="G878" s="381"/>
      <c r="H878" s="381"/>
      <c r="I878" s="381"/>
      <c r="J878" s="381"/>
      <c r="K878" s="382"/>
      <c r="L878" s="380"/>
      <c r="M878" s="413"/>
      <c r="N878" s="383"/>
      <c r="O878" s="384"/>
      <c r="P878" s="384"/>
      <c r="Q878" s="383"/>
      <c r="R878" s="383"/>
      <c r="S878" s="385"/>
      <c r="T878" s="380"/>
      <c r="U878" s="380"/>
      <c r="V878" s="380"/>
      <c r="W878" s="380"/>
      <c r="X878" s="380"/>
    </row>
    <row r="879" spans="1:24" ht="15.75" customHeight="1">
      <c r="A879" s="463"/>
      <c r="B879" s="380"/>
      <c r="C879" s="381"/>
      <c r="D879" s="381"/>
      <c r="E879" s="381"/>
      <c r="F879" s="381"/>
      <c r="G879" s="381"/>
      <c r="H879" s="381"/>
      <c r="I879" s="381"/>
      <c r="J879" s="381"/>
      <c r="K879" s="382"/>
      <c r="L879" s="380"/>
      <c r="M879" s="413"/>
      <c r="N879" s="383"/>
      <c r="O879" s="384"/>
      <c r="P879" s="384"/>
      <c r="Q879" s="383"/>
      <c r="R879" s="383"/>
      <c r="S879" s="385"/>
      <c r="T879" s="380"/>
      <c r="U879" s="380"/>
      <c r="V879" s="380"/>
      <c r="W879" s="380"/>
      <c r="X879" s="380"/>
    </row>
    <row r="880" spans="1:24" ht="15.75" customHeight="1">
      <c r="A880" s="463"/>
      <c r="B880" s="380"/>
      <c r="C880" s="381"/>
      <c r="D880" s="381"/>
      <c r="E880" s="381"/>
      <c r="F880" s="381"/>
      <c r="G880" s="381"/>
      <c r="H880" s="381"/>
      <c r="I880" s="381"/>
      <c r="J880" s="381"/>
      <c r="K880" s="382"/>
      <c r="L880" s="380"/>
      <c r="M880" s="413"/>
      <c r="N880" s="383"/>
      <c r="O880" s="384"/>
      <c r="P880" s="384"/>
      <c r="Q880" s="383"/>
      <c r="R880" s="383"/>
      <c r="S880" s="385"/>
      <c r="T880" s="380"/>
      <c r="U880" s="380"/>
      <c r="V880" s="380"/>
      <c r="W880" s="380"/>
      <c r="X880" s="380"/>
    </row>
    <row r="881" spans="1:24" ht="15.75" customHeight="1">
      <c r="A881" s="463"/>
      <c r="B881" s="380"/>
      <c r="C881" s="381"/>
      <c r="D881" s="381"/>
      <c r="E881" s="381"/>
      <c r="F881" s="381"/>
      <c r="G881" s="381"/>
      <c r="H881" s="381"/>
      <c r="I881" s="381"/>
      <c r="J881" s="381"/>
      <c r="K881" s="382"/>
      <c r="L881" s="380"/>
      <c r="M881" s="413"/>
      <c r="N881" s="383"/>
      <c r="O881" s="384"/>
      <c r="P881" s="384"/>
      <c r="Q881" s="383"/>
      <c r="R881" s="383"/>
      <c r="S881" s="385"/>
      <c r="T881" s="380"/>
      <c r="U881" s="380"/>
      <c r="V881" s="380"/>
      <c r="W881" s="380"/>
      <c r="X881" s="380"/>
    </row>
    <row r="882" spans="1:24" ht="15.75" customHeight="1">
      <c r="A882" s="463"/>
      <c r="B882" s="380"/>
      <c r="C882" s="381"/>
      <c r="D882" s="381"/>
      <c r="E882" s="381"/>
      <c r="F882" s="381"/>
      <c r="G882" s="381"/>
      <c r="H882" s="381"/>
      <c r="I882" s="381"/>
      <c r="J882" s="381"/>
      <c r="K882" s="382"/>
      <c r="L882" s="380"/>
      <c r="M882" s="413"/>
      <c r="N882" s="383"/>
      <c r="O882" s="384"/>
      <c r="P882" s="384"/>
      <c r="Q882" s="383"/>
      <c r="R882" s="383"/>
      <c r="S882" s="385"/>
      <c r="T882" s="380"/>
      <c r="U882" s="380"/>
      <c r="V882" s="380"/>
      <c r="W882" s="380"/>
      <c r="X882" s="380"/>
    </row>
    <row r="883" spans="1:24" ht="15.75" customHeight="1">
      <c r="A883" s="463"/>
      <c r="B883" s="380"/>
      <c r="C883" s="381"/>
      <c r="D883" s="381"/>
      <c r="E883" s="381"/>
      <c r="F883" s="381"/>
      <c r="G883" s="381"/>
      <c r="H883" s="381"/>
      <c r="I883" s="381"/>
      <c r="J883" s="381"/>
      <c r="K883" s="382"/>
      <c r="L883" s="380"/>
      <c r="M883" s="413"/>
      <c r="N883" s="383"/>
      <c r="O883" s="384"/>
      <c r="P883" s="384"/>
      <c r="Q883" s="383"/>
      <c r="R883" s="383"/>
      <c r="S883" s="385"/>
      <c r="T883" s="380"/>
      <c r="U883" s="380"/>
      <c r="V883" s="380"/>
      <c r="W883" s="380"/>
      <c r="X883" s="380"/>
    </row>
    <row r="884" spans="1:24" ht="15.75" customHeight="1">
      <c r="A884" s="463"/>
      <c r="B884" s="380"/>
      <c r="C884" s="381"/>
      <c r="D884" s="381"/>
      <c r="E884" s="381"/>
      <c r="F884" s="381"/>
      <c r="G884" s="381"/>
      <c r="H884" s="381"/>
      <c r="I884" s="381"/>
      <c r="J884" s="381"/>
      <c r="K884" s="382"/>
      <c r="L884" s="380"/>
      <c r="M884" s="413"/>
      <c r="N884" s="383"/>
      <c r="O884" s="384"/>
      <c r="P884" s="384"/>
      <c r="Q884" s="383"/>
      <c r="R884" s="383"/>
      <c r="S884" s="385"/>
      <c r="T884" s="380"/>
      <c r="U884" s="380"/>
      <c r="V884" s="380"/>
      <c r="W884" s="380"/>
      <c r="X884" s="380"/>
    </row>
    <row r="885" spans="1:24" ht="15.75" customHeight="1">
      <c r="A885" s="463"/>
      <c r="B885" s="380"/>
      <c r="C885" s="381"/>
      <c r="D885" s="381"/>
      <c r="E885" s="381"/>
      <c r="F885" s="381"/>
      <c r="G885" s="381"/>
      <c r="H885" s="381"/>
      <c r="I885" s="381"/>
      <c r="J885" s="381"/>
      <c r="K885" s="382"/>
      <c r="L885" s="380"/>
      <c r="M885" s="413"/>
      <c r="N885" s="383"/>
      <c r="O885" s="384"/>
      <c r="P885" s="384"/>
      <c r="Q885" s="383"/>
      <c r="R885" s="383"/>
      <c r="S885" s="385"/>
      <c r="T885" s="380"/>
      <c r="U885" s="380"/>
      <c r="V885" s="380"/>
      <c r="W885" s="380"/>
      <c r="X885" s="380"/>
    </row>
    <row r="886" spans="1:24" ht="15.75" customHeight="1">
      <c r="A886" s="463"/>
      <c r="B886" s="380"/>
      <c r="C886" s="381"/>
      <c r="D886" s="381"/>
      <c r="E886" s="381"/>
      <c r="F886" s="381"/>
      <c r="G886" s="381"/>
      <c r="H886" s="381"/>
      <c r="I886" s="381"/>
      <c r="J886" s="381"/>
      <c r="K886" s="382"/>
      <c r="L886" s="380"/>
      <c r="M886" s="413"/>
      <c r="N886" s="383"/>
      <c r="O886" s="384"/>
      <c r="P886" s="384"/>
      <c r="Q886" s="383"/>
      <c r="R886" s="383"/>
      <c r="S886" s="385"/>
      <c r="T886" s="380"/>
      <c r="U886" s="380"/>
      <c r="V886" s="380"/>
      <c r="W886" s="380"/>
      <c r="X886" s="380"/>
    </row>
    <row r="887" spans="1:24" ht="15.75" customHeight="1">
      <c r="A887" s="463"/>
      <c r="B887" s="380"/>
      <c r="C887" s="381"/>
      <c r="D887" s="381"/>
      <c r="E887" s="381"/>
      <c r="F887" s="381"/>
      <c r="G887" s="381"/>
      <c r="H887" s="381"/>
      <c r="I887" s="381"/>
      <c r="J887" s="381"/>
      <c r="K887" s="382"/>
      <c r="L887" s="380"/>
      <c r="M887" s="413"/>
      <c r="N887" s="383"/>
      <c r="O887" s="384"/>
      <c r="P887" s="384"/>
      <c r="Q887" s="383"/>
      <c r="R887" s="383"/>
      <c r="S887" s="385"/>
      <c r="T887" s="380"/>
      <c r="U887" s="380"/>
      <c r="V887" s="380"/>
      <c r="W887" s="380"/>
      <c r="X887" s="380"/>
    </row>
    <row r="888" spans="1:24" ht="15.75" customHeight="1">
      <c r="A888" s="463"/>
      <c r="B888" s="380"/>
      <c r="C888" s="381"/>
      <c r="D888" s="381"/>
      <c r="E888" s="381"/>
      <c r="F888" s="381"/>
      <c r="G888" s="381"/>
      <c r="H888" s="381"/>
      <c r="I888" s="381"/>
      <c r="J888" s="381"/>
      <c r="K888" s="382"/>
      <c r="L888" s="380"/>
      <c r="M888" s="413"/>
      <c r="N888" s="383"/>
      <c r="O888" s="384"/>
      <c r="P888" s="384"/>
      <c r="Q888" s="383"/>
      <c r="R888" s="383"/>
      <c r="S888" s="385"/>
      <c r="T888" s="380"/>
      <c r="U888" s="380"/>
      <c r="V888" s="380"/>
      <c r="W888" s="380"/>
      <c r="X888" s="380"/>
    </row>
    <row r="889" spans="1:24" ht="15.75" customHeight="1">
      <c r="A889" s="463"/>
      <c r="B889" s="380"/>
      <c r="C889" s="381"/>
      <c r="D889" s="381"/>
      <c r="E889" s="381"/>
      <c r="F889" s="381"/>
      <c r="G889" s="381"/>
      <c r="H889" s="381"/>
      <c r="I889" s="381"/>
      <c r="J889" s="381"/>
      <c r="K889" s="382"/>
      <c r="L889" s="380"/>
      <c r="M889" s="413"/>
      <c r="N889" s="383"/>
      <c r="O889" s="384"/>
      <c r="P889" s="384"/>
      <c r="Q889" s="383"/>
      <c r="R889" s="383"/>
      <c r="S889" s="385"/>
      <c r="T889" s="380"/>
      <c r="U889" s="380"/>
      <c r="V889" s="380"/>
      <c r="W889" s="380"/>
      <c r="X889" s="380"/>
    </row>
    <row r="890" spans="1:24" ht="15.75" customHeight="1">
      <c r="A890" s="463"/>
      <c r="B890" s="380"/>
      <c r="C890" s="381"/>
      <c r="D890" s="381"/>
      <c r="E890" s="381"/>
      <c r="F890" s="381"/>
      <c r="G890" s="381"/>
      <c r="H890" s="381"/>
      <c r="I890" s="381"/>
      <c r="J890" s="381"/>
      <c r="K890" s="382"/>
      <c r="L890" s="380"/>
      <c r="M890" s="413"/>
      <c r="N890" s="383"/>
      <c r="O890" s="384"/>
      <c r="P890" s="384"/>
      <c r="Q890" s="383"/>
      <c r="R890" s="383"/>
      <c r="S890" s="385"/>
      <c r="T890" s="380"/>
      <c r="U890" s="380"/>
      <c r="V890" s="380"/>
      <c r="W890" s="380"/>
      <c r="X890" s="380"/>
    </row>
    <row r="891" spans="1:24" ht="15.75" customHeight="1">
      <c r="A891" s="463"/>
      <c r="B891" s="380"/>
      <c r="C891" s="381"/>
      <c r="D891" s="381"/>
      <c r="E891" s="381"/>
      <c r="F891" s="381"/>
      <c r="G891" s="381"/>
      <c r="H891" s="381"/>
      <c r="I891" s="381"/>
      <c r="J891" s="381"/>
      <c r="K891" s="382"/>
      <c r="L891" s="380"/>
      <c r="M891" s="413"/>
      <c r="N891" s="383"/>
      <c r="O891" s="384"/>
      <c r="P891" s="384"/>
      <c r="Q891" s="383"/>
      <c r="R891" s="383"/>
      <c r="S891" s="385"/>
      <c r="T891" s="380"/>
      <c r="U891" s="380"/>
      <c r="V891" s="380"/>
      <c r="W891" s="380"/>
      <c r="X891" s="380"/>
    </row>
    <row r="892" spans="1:24" ht="15.75" customHeight="1">
      <c r="A892" s="463"/>
      <c r="B892" s="380"/>
      <c r="C892" s="381"/>
      <c r="D892" s="381"/>
      <c r="E892" s="381"/>
      <c r="F892" s="381"/>
      <c r="G892" s="381"/>
      <c r="H892" s="381"/>
      <c r="I892" s="381"/>
      <c r="J892" s="381"/>
      <c r="K892" s="382"/>
      <c r="L892" s="380"/>
      <c r="M892" s="413"/>
      <c r="N892" s="383"/>
      <c r="O892" s="384"/>
      <c r="P892" s="384"/>
      <c r="Q892" s="383"/>
      <c r="R892" s="383"/>
      <c r="S892" s="385"/>
      <c r="T892" s="380"/>
      <c r="U892" s="380"/>
      <c r="V892" s="380"/>
      <c r="W892" s="380"/>
      <c r="X892" s="380"/>
    </row>
    <row r="893" spans="1:24" ht="15.75" customHeight="1">
      <c r="A893" s="463"/>
      <c r="B893" s="380"/>
      <c r="C893" s="381"/>
      <c r="D893" s="381"/>
      <c r="E893" s="381"/>
      <c r="F893" s="381"/>
      <c r="G893" s="381"/>
      <c r="H893" s="381"/>
      <c r="I893" s="381"/>
      <c r="J893" s="381"/>
      <c r="K893" s="382"/>
      <c r="L893" s="380"/>
      <c r="M893" s="413"/>
      <c r="N893" s="383"/>
      <c r="O893" s="384"/>
      <c r="P893" s="384"/>
      <c r="Q893" s="383"/>
      <c r="R893" s="383"/>
      <c r="S893" s="385"/>
      <c r="T893" s="380"/>
      <c r="U893" s="380"/>
      <c r="V893" s="380"/>
      <c r="W893" s="380"/>
      <c r="X893" s="380"/>
    </row>
    <row r="894" spans="1:24" ht="15.75" customHeight="1">
      <c r="A894" s="463"/>
      <c r="B894" s="380"/>
      <c r="C894" s="381"/>
      <c r="D894" s="381"/>
      <c r="E894" s="381"/>
      <c r="F894" s="381"/>
      <c r="G894" s="381"/>
      <c r="H894" s="381"/>
      <c r="I894" s="381"/>
      <c r="J894" s="381"/>
      <c r="K894" s="382"/>
      <c r="L894" s="380"/>
      <c r="M894" s="413"/>
      <c r="N894" s="383"/>
      <c r="O894" s="384"/>
      <c r="P894" s="384"/>
      <c r="Q894" s="383"/>
      <c r="R894" s="383"/>
      <c r="S894" s="385"/>
      <c r="T894" s="380"/>
      <c r="U894" s="380"/>
      <c r="V894" s="380"/>
      <c r="W894" s="380"/>
      <c r="X894" s="380"/>
    </row>
    <row r="895" spans="1:24" ht="15.75" customHeight="1">
      <c r="A895" s="463"/>
      <c r="B895" s="380"/>
      <c r="C895" s="381"/>
      <c r="D895" s="381"/>
      <c r="E895" s="381"/>
      <c r="F895" s="381"/>
      <c r="G895" s="381"/>
      <c r="H895" s="381"/>
      <c r="I895" s="381"/>
      <c r="J895" s="381"/>
      <c r="K895" s="382"/>
      <c r="L895" s="380"/>
      <c r="M895" s="413"/>
      <c r="N895" s="383"/>
      <c r="O895" s="384"/>
      <c r="P895" s="384"/>
      <c r="Q895" s="383"/>
      <c r="R895" s="383"/>
      <c r="S895" s="385"/>
      <c r="T895" s="380"/>
      <c r="U895" s="380"/>
      <c r="V895" s="380"/>
      <c r="W895" s="380"/>
      <c r="X895" s="380"/>
    </row>
    <row r="896" spans="1:24" ht="15.75" customHeight="1">
      <c r="A896" s="463"/>
      <c r="B896" s="380"/>
      <c r="C896" s="381"/>
      <c r="D896" s="381"/>
      <c r="E896" s="381"/>
      <c r="F896" s="381"/>
      <c r="G896" s="381"/>
      <c r="H896" s="381"/>
      <c r="I896" s="381"/>
      <c r="J896" s="381"/>
      <c r="K896" s="382"/>
      <c r="L896" s="380"/>
      <c r="M896" s="413"/>
      <c r="N896" s="383"/>
      <c r="O896" s="384"/>
      <c r="P896" s="384"/>
      <c r="Q896" s="383"/>
      <c r="R896" s="383"/>
      <c r="S896" s="385"/>
      <c r="T896" s="380"/>
      <c r="U896" s="380"/>
      <c r="V896" s="380"/>
      <c r="W896" s="380"/>
      <c r="X896" s="380"/>
    </row>
    <row r="897" spans="1:24" ht="15.75" customHeight="1">
      <c r="A897" s="463"/>
      <c r="B897" s="380"/>
      <c r="C897" s="381"/>
      <c r="D897" s="381"/>
      <c r="E897" s="381"/>
      <c r="F897" s="381"/>
      <c r="G897" s="381"/>
      <c r="H897" s="381"/>
      <c r="I897" s="381"/>
      <c r="J897" s="381"/>
      <c r="K897" s="382"/>
      <c r="L897" s="380"/>
      <c r="M897" s="413"/>
      <c r="N897" s="383"/>
      <c r="O897" s="384"/>
      <c r="P897" s="384"/>
      <c r="Q897" s="383"/>
      <c r="R897" s="383"/>
      <c r="S897" s="385"/>
      <c r="T897" s="380"/>
      <c r="U897" s="380"/>
      <c r="V897" s="380"/>
      <c r="W897" s="380"/>
      <c r="X897" s="380"/>
    </row>
    <row r="898" spans="1:24" ht="15.75" customHeight="1">
      <c r="A898" s="463"/>
      <c r="B898" s="380"/>
      <c r="C898" s="381"/>
      <c r="D898" s="381"/>
      <c r="E898" s="381"/>
      <c r="F898" s="381"/>
      <c r="G898" s="381"/>
      <c r="H898" s="381"/>
      <c r="I898" s="381"/>
      <c r="J898" s="381"/>
      <c r="K898" s="382"/>
      <c r="L898" s="380"/>
      <c r="M898" s="413"/>
      <c r="N898" s="383"/>
      <c r="O898" s="384"/>
      <c r="P898" s="384"/>
      <c r="Q898" s="383"/>
      <c r="R898" s="383"/>
      <c r="S898" s="385"/>
      <c r="T898" s="380"/>
      <c r="U898" s="380"/>
      <c r="V898" s="380"/>
      <c r="W898" s="380"/>
      <c r="X898" s="380"/>
    </row>
    <row r="899" spans="1:24" ht="15.75" customHeight="1">
      <c r="A899" s="463"/>
      <c r="B899" s="380"/>
      <c r="C899" s="381"/>
      <c r="D899" s="381"/>
      <c r="E899" s="381"/>
      <c r="F899" s="381"/>
      <c r="G899" s="381"/>
      <c r="H899" s="381"/>
      <c r="I899" s="381"/>
      <c r="J899" s="381"/>
      <c r="K899" s="382"/>
      <c r="L899" s="380"/>
      <c r="M899" s="413"/>
      <c r="N899" s="383"/>
      <c r="O899" s="384"/>
      <c r="P899" s="384"/>
      <c r="Q899" s="383"/>
      <c r="R899" s="383"/>
      <c r="S899" s="385"/>
      <c r="T899" s="380"/>
      <c r="U899" s="380"/>
      <c r="V899" s="380"/>
      <c r="W899" s="380"/>
      <c r="X899" s="380"/>
    </row>
    <row r="900" spans="1:24" ht="15.75" customHeight="1">
      <c r="A900" s="463"/>
      <c r="B900" s="380"/>
      <c r="C900" s="381"/>
      <c r="D900" s="381"/>
      <c r="E900" s="381"/>
      <c r="F900" s="381"/>
      <c r="G900" s="381"/>
      <c r="H900" s="381"/>
      <c r="I900" s="381"/>
      <c r="J900" s="381"/>
      <c r="K900" s="382"/>
      <c r="L900" s="380"/>
      <c r="M900" s="413"/>
      <c r="N900" s="383"/>
      <c r="O900" s="384"/>
      <c r="P900" s="384"/>
      <c r="Q900" s="383"/>
      <c r="R900" s="383"/>
      <c r="S900" s="385"/>
      <c r="T900" s="380"/>
      <c r="U900" s="380"/>
      <c r="V900" s="380"/>
      <c r="W900" s="380"/>
      <c r="X900" s="380"/>
    </row>
    <row r="901" spans="1:24" ht="15.75" customHeight="1">
      <c r="A901" s="463"/>
      <c r="B901" s="380"/>
      <c r="C901" s="381"/>
      <c r="D901" s="381"/>
      <c r="E901" s="381"/>
      <c r="F901" s="381"/>
      <c r="G901" s="381"/>
      <c r="H901" s="381"/>
      <c r="I901" s="381"/>
      <c r="J901" s="381"/>
      <c r="K901" s="382"/>
      <c r="L901" s="380"/>
      <c r="M901" s="413"/>
      <c r="N901" s="383"/>
      <c r="O901" s="384"/>
      <c r="P901" s="384"/>
      <c r="Q901" s="383"/>
      <c r="R901" s="383"/>
      <c r="S901" s="385"/>
      <c r="T901" s="380"/>
      <c r="U901" s="380"/>
      <c r="V901" s="380"/>
      <c r="W901" s="380"/>
      <c r="X901" s="380"/>
    </row>
    <row r="902" spans="1:24" ht="15.75" customHeight="1">
      <c r="A902" s="463"/>
      <c r="B902" s="380"/>
      <c r="C902" s="381"/>
      <c r="D902" s="381"/>
      <c r="E902" s="381"/>
      <c r="F902" s="381"/>
      <c r="G902" s="381"/>
      <c r="H902" s="381"/>
      <c r="I902" s="381"/>
      <c r="J902" s="381"/>
      <c r="K902" s="382"/>
      <c r="L902" s="380"/>
      <c r="M902" s="413"/>
      <c r="N902" s="383"/>
      <c r="O902" s="384"/>
      <c r="P902" s="384"/>
      <c r="Q902" s="383"/>
      <c r="R902" s="383"/>
      <c r="S902" s="385"/>
      <c r="T902" s="380"/>
      <c r="U902" s="380"/>
      <c r="V902" s="380"/>
      <c r="W902" s="380"/>
      <c r="X902" s="380"/>
    </row>
    <row r="903" spans="1:24" ht="15.75" customHeight="1">
      <c r="A903" s="463"/>
      <c r="B903" s="380"/>
      <c r="C903" s="381"/>
      <c r="D903" s="381"/>
      <c r="E903" s="381"/>
      <c r="F903" s="381"/>
      <c r="G903" s="381"/>
      <c r="H903" s="381"/>
      <c r="I903" s="381"/>
      <c r="J903" s="381"/>
      <c r="K903" s="382"/>
      <c r="L903" s="380"/>
      <c r="M903" s="413"/>
      <c r="N903" s="383"/>
      <c r="O903" s="384"/>
      <c r="P903" s="384"/>
      <c r="Q903" s="383"/>
      <c r="R903" s="383"/>
      <c r="S903" s="385"/>
      <c r="T903" s="380"/>
      <c r="U903" s="380"/>
      <c r="V903" s="380"/>
      <c r="W903" s="380"/>
      <c r="X903" s="380"/>
    </row>
    <row r="904" spans="1:24" ht="15.75" customHeight="1">
      <c r="A904" s="463"/>
      <c r="B904" s="380"/>
      <c r="C904" s="381"/>
      <c r="D904" s="381"/>
      <c r="E904" s="381"/>
      <c r="F904" s="381"/>
      <c r="G904" s="381"/>
      <c r="H904" s="381"/>
      <c r="I904" s="381"/>
      <c r="J904" s="381"/>
      <c r="K904" s="382"/>
      <c r="L904" s="380"/>
      <c r="M904" s="413"/>
      <c r="N904" s="383"/>
      <c r="O904" s="384"/>
      <c r="P904" s="384"/>
      <c r="Q904" s="383"/>
      <c r="R904" s="383"/>
      <c r="S904" s="385"/>
      <c r="T904" s="380"/>
      <c r="U904" s="380"/>
      <c r="V904" s="380"/>
      <c r="W904" s="380"/>
      <c r="X904" s="380"/>
    </row>
    <row r="905" spans="1:24" ht="15.75" customHeight="1">
      <c r="A905" s="463"/>
      <c r="B905" s="380"/>
      <c r="C905" s="381"/>
      <c r="D905" s="381"/>
      <c r="E905" s="381"/>
      <c r="F905" s="381"/>
      <c r="G905" s="381"/>
      <c r="H905" s="381"/>
      <c r="I905" s="381"/>
      <c r="J905" s="381"/>
      <c r="K905" s="382"/>
      <c r="L905" s="380"/>
      <c r="M905" s="413"/>
      <c r="N905" s="383"/>
      <c r="O905" s="384"/>
      <c r="P905" s="384"/>
      <c r="Q905" s="383"/>
      <c r="R905" s="383"/>
      <c r="S905" s="385"/>
      <c r="T905" s="380"/>
      <c r="U905" s="380"/>
      <c r="V905" s="380"/>
      <c r="W905" s="380"/>
      <c r="X905" s="380"/>
    </row>
    <row r="906" spans="1:24" ht="15.75" customHeight="1">
      <c r="A906" s="463"/>
      <c r="B906" s="380"/>
      <c r="C906" s="381"/>
      <c r="D906" s="381"/>
      <c r="E906" s="381"/>
      <c r="F906" s="381"/>
      <c r="G906" s="381"/>
      <c r="H906" s="381"/>
      <c r="I906" s="381"/>
      <c r="J906" s="381"/>
      <c r="K906" s="382"/>
      <c r="L906" s="380"/>
      <c r="M906" s="413"/>
      <c r="N906" s="383"/>
      <c r="O906" s="384"/>
      <c r="P906" s="384"/>
      <c r="Q906" s="383"/>
      <c r="R906" s="383"/>
      <c r="S906" s="385"/>
      <c r="T906" s="380"/>
      <c r="U906" s="380"/>
      <c r="V906" s="380"/>
      <c r="W906" s="380"/>
      <c r="X906" s="380"/>
    </row>
    <row r="907" spans="1:24" ht="15.75" customHeight="1">
      <c r="A907" s="463"/>
      <c r="B907" s="380"/>
      <c r="C907" s="381"/>
      <c r="D907" s="381"/>
      <c r="E907" s="381"/>
      <c r="F907" s="381"/>
      <c r="G907" s="381"/>
      <c r="H907" s="381"/>
      <c r="I907" s="381"/>
      <c r="J907" s="381"/>
      <c r="K907" s="382"/>
      <c r="L907" s="380"/>
      <c r="M907" s="413"/>
      <c r="N907" s="383"/>
      <c r="O907" s="384"/>
      <c r="P907" s="384"/>
      <c r="Q907" s="383"/>
      <c r="R907" s="383"/>
      <c r="S907" s="385"/>
      <c r="T907" s="380"/>
      <c r="U907" s="380"/>
      <c r="V907" s="380"/>
      <c r="W907" s="380"/>
      <c r="X907" s="380"/>
    </row>
    <row r="908" spans="1:24" ht="15.75" customHeight="1">
      <c r="A908" s="463"/>
      <c r="B908" s="380"/>
      <c r="C908" s="381"/>
      <c r="D908" s="381"/>
      <c r="E908" s="381"/>
      <c r="F908" s="381"/>
      <c r="G908" s="381"/>
      <c r="H908" s="381"/>
      <c r="I908" s="381"/>
      <c r="J908" s="381"/>
      <c r="K908" s="382"/>
      <c r="L908" s="380"/>
      <c r="M908" s="413"/>
      <c r="N908" s="383"/>
      <c r="O908" s="384"/>
      <c r="P908" s="384"/>
      <c r="Q908" s="383"/>
      <c r="R908" s="383"/>
      <c r="S908" s="385"/>
      <c r="T908" s="380"/>
      <c r="U908" s="380"/>
      <c r="V908" s="380"/>
      <c r="W908" s="380"/>
      <c r="X908" s="380"/>
    </row>
    <row r="909" spans="1:24" ht="15.75" customHeight="1">
      <c r="A909" s="463"/>
      <c r="B909" s="380"/>
      <c r="C909" s="381"/>
      <c r="D909" s="381"/>
      <c r="E909" s="381"/>
      <c r="F909" s="381"/>
      <c r="G909" s="381"/>
      <c r="H909" s="381"/>
      <c r="I909" s="381"/>
      <c r="J909" s="381"/>
      <c r="K909" s="382"/>
      <c r="L909" s="380"/>
      <c r="M909" s="413"/>
      <c r="N909" s="383"/>
      <c r="O909" s="384"/>
      <c r="P909" s="384"/>
      <c r="Q909" s="383"/>
      <c r="R909" s="383"/>
      <c r="S909" s="385"/>
      <c r="T909" s="380"/>
      <c r="U909" s="380"/>
      <c r="V909" s="380"/>
      <c r="W909" s="380"/>
      <c r="X909" s="380"/>
    </row>
    <row r="910" spans="1:24" ht="15.75" customHeight="1">
      <c r="A910" s="463"/>
      <c r="B910" s="380"/>
      <c r="C910" s="381"/>
      <c r="D910" s="381"/>
      <c r="E910" s="381"/>
      <c r="F910" s="381"/>
      <c r="G910" s="381"/>
      <c r="H910" s="381"/>
      <c r="I910" s="381"/>
      <c r="J910" s="381"/>
      <c r="K910" s="382"/>
      <c r="L910" s="380"/>
      <c r="M910" s="413"/>
      <c r="N910" s="383"/>
      <c r="O910" s="384"/>
      <c r="P910" s="384"/>
      <c r="Q910" s="383"/>
      <c r="R910" s="383"/>
      <c r="S910" s="385"/>
      <c r="T910" s="380"/>
      <c r="U910" s="380"/>
      <c r="V910" s="380"/>
      <c r="W910" s="380"/>
      <c r="X910" s="380"/>
    </row>
    <row r="911" spans="1:24" ht="15.75" customHeight="1">
      <c r="A911" s="463"/>
      <c r="B911" s="380"/>
      <c r="C911" s="381"/>
      <c r="D911" s="381"/>
      <c r="E911" s="381"/>
      <c r="F911" s="381"/>
      <c r="G911" s="381"/>
      <c r="H911" s="381"/>
      <c r="I911" s="381"/>
      <c r="J911" s="381"/>
      <c r="K911" s="382"/>
      <c r="L911" s="380"/>
      <c r="M911" s="413"/>
      <c r="N911" s="383"/>
      <c r="O911" s="384"/>
      <c r="P911" s="384"/>
      <c r="Q911" s="383"/>
      <c r="R911" s="383"/>
      <c r="S911" s="385"/>
      <c r="T911" s="380"/>
      <c r="U911" s="380"/>
      <c r="V911" s="380"/>
      <c r="W911" s="380"/>
      <c r="X911" s="380"/>
    </row>
    <row r="912" spans="1:24" ht="15.75" customHeight="1">
      <c r="A912" s="463"/>
      <c r="B912" s="380"/>
      <c r="C912" s="381"/>
      <c r="D912" s="381"/>
      <c r="E912" s="381"/>
      <c r="F912" s="381"/>
      <c r="G912" s="381"/>
      <c r="H912" s="381"/>
      <c r="I912" s="381"/>
      <c r="J912" s="381"/>
      <c r="K912" s="382"/>
      <c r="L912" s="380"/>
      <c r="M912" s="413"/>
      <c r="N912" s="383"/>
      <c r="O912" s="384"/>
      <c r="P912" s="384"/>
      <c r="Q912" s="383"/>
      <c r="R912" s="383"/>
      <c r="S912" s="385"/>
      <c r="T912" s="380"/>
      <c r="U912" s="380"/>
      <c r="V912" s="380"/>
      <c r="W912" s="380"/>
      <c r="X912" s="380"/>
    </row>
    <row r="913" spans="1:24" ht="15.75" customHeight="1">
      <c r="A913" s="463"/>
      <c r="B913" s="380"/>
      <c r="C913" s="381"/>
      <c r="D913" s="381"/>
      <c r="E913" s="381"/>
      <c r="F913" s="381"/>
      <c r="G913" s="381"/>
      <c r="H913" s="381"/>
      <c r="I913" s="381"/>
      <c r="J913" s="381"/>
      <c r="K913" s="382"/>
      <c r="L913" s="380"/>
      <c r="M913" s="413"/>
      <c r="N913" s="383"/>
      <c r="O913" s="384"/>
      <c r="P913" s="384"/>
      <c r="Q913" s="383"/>
      <c r="R913" s="383"/>
      <c r="S913" s="385"/>
      <c r="T913" s="380"/>
      <c r="U913" s="380"/>
      <c r="V913" s="380"/>
      <c r="W913" s="380"/>
      <c r="X913" s="380"/>
    </row>
    <row r="914" spans="1:24" ht="15.75" customHeight="1">
      <c r="A914" s="463"/>
      <c r="B914" s="380"/>
      <c r="C914" s="381"/>
      <c r="D914" s="381"/>
      <c r="E914" s="381"/>
      <c r="F914" s="381"/>
      <c r="G914" s="381"/>
      <c r="H914" s="381"/>
      <c r="I914" s="381"/>
      <c r="J914" s="381"/>
      <c r="K914" s="382"/>
      <c r="L914" s="380"/>
      <c r="M914" s="413"/>
      <c r="N914" s="383"/>
      <c r="O914" s="384"/>
      <c r="P914" s="384"/>
      <c r="Q914" s="383"/>
      <c r="R914" s="383"/>
      <c r="S914" s="385"/>
      <c r="T914" s="380"/>
      <c r="U914" s="380"/>
      <c r="V914" s="380"/>
      <c r="W914" s="380"/>
      <c r="X914" s="380"/>
    </row>
    <row r="915" spans="1:24" ht="15.75" customHeight="1">
      <c r="A915" s="463"/>
      <c r="B915" s="380"/>
      <c r="C915" s="381"/>
      <c r="D915" s="381"/>
      <c r="E915" s="381"/>
      <c r="F915" s="381"/>
      <c r="G915" s="381"/>
      <c r="H915" s="381"/>
      <c r="I915" s="381"/>
      <c r="J915" s="381"/>
      <c r="K915" s="382"/>
      <c r="L915" s="380"/>
      <c r="M915" s="413"/>
      <c r="N915" s="383"/>
      <c r="O915" s="384"/>
      <c r="P915" s="384"/>
      <c r="Q915" s="383"/>
      <c r="R915" s="383"/>
      <c r="S915" s="385"/>
      <c r="T915" s="380"/>
      <c r="U915" s="380"/>
      <c r="V915" s="380"/>
      <c r="W915" s="380"/>
      <c r="X915" s="380"/>
    </row>
    <row r="916" spans="1:24" ht="15.75" customHeight="1">
      <c r="A916" s="463"/>
      <c r="B916" s="380"/>
      <c r="C916" s="381"/>
      <c r="D916" s="381"/>
      <c r="E916" s="381"/>
      <c r="F916" s="381"/>
      <c r="G916" s="381"/>
      <c r="H916" s="381"/>
      <c r="I916" s="381"/>
      <c r="J916" s="381"/>
      <c r="K916" s="382"/>
      <c r="L916" s="380"/>
      <c r="M916" s="413"/>
      <c r="N916" s="383"/>
      <c r="O916" s="384"/>
      <c r="P916" s="384"/>
      <c r="Q916" s="383"/>
      <c r="R916" s="383"/>
      <c r="S916" s="385"/>
      <c r="T916" s="380"/>
      <c r="U916" s="380"/>
      <c r="V916" s="380"/>
      <c r="W916" s="380"/>
      <c r="X916" s="380"/>
    </row>
    <row r="917" spans="1:24" ht="15.75" customHeight="1">
      <c r="A917" s="463"/>
      <c r="B917" s="380"/>
      <c r="C917" s="381"/>
      <c r="D917" s="381"/>
      <c r="E917" s="381"/>
      <c r="F917" s="381"/>
      <c r="G917" s="381"/>
      <c r="H917" s="381"/>
      <c r="I917" s="381"/>
      <c r="J917" s="381"/>
      <c r="K917" s="382"/>
      <c r="L917" s="380"/>
      <c r="M917" s="413"/>
      <c r="N917" s="383"/>
      <c r="O917" s="384"/>
      <c r="P917" s="384"/>
      <c r="Q917" s="383"/>
      <c r="R917" s="383"/>
      <c r="S917" s="385"/>
      <c r="T917" s="380"/>
      <c r="U917" s="380"/>
      <c r="V917" s="380"/>
      <c r="W917" s="380"/>
      <c r="X917" s="380"/>
    </row>
    <row r="918" spans="1:24" ht="15.75" customHeight="1">
      <c r="A918" s="463"/>
      <c r="B918" s="380"/>
      <c r="C918" s="381"/>
      <c r="D918" s="381"/>
      <c r="E918" s="381"/>
      <c r="F918" s="381"/>
      <c r="G918" s="381"/>
      <c r="H918" s="381"/>
      <c r="I918" s="381"/>
      <c r="J918" s="381"/>
      <c r="K918" s="382"/>
      <c r="L918" s="380"/>
      <c r="M918" s="413"/>
      <c r="N918" s="383"/>
      <c r="O918" s="384"/>
      <c r="P918" s="384"/>
      <c r="Q918" s="383"/>
      <c r="R918" s="383"/>
      <c r="S918" s="385"/>
      <c r="T918" s="380"/>
      <c r="U918" s="380"/>
      <c r="V918" s="380"/>
      <c r="W918" s="380"/>
      <c r="X918" s="380"/>
    </row>
    <row r="919" spans="1:24" ht="15.75" customHeight="1">
      <c r="A919" s="463"/>
      <c r="B919" s="380"/>
      <c r="C919" s="381"/>
      <c r="D919" s="381"/>
      <c r="E919" s="381"/>
      <c r="F919" s="381"/>
      <c r="G919" s="381"/>
      <c r="H919" s="381"/>
      <c r="I919" s="381"/>
      <c r="J919" s="381"/>
      <c r="K919" s="382"/>
      <c r="L919" s="380"/>
      <c r="M919" s="413"/>
      <c r="N919" s="383"/>
      <c r="O919" s="384"/>
      <c r="P919" s="384"/>
      <c r="Q919" s="383"/>
      <c r="R919" s="383"/>
      <c r="S919" s="385"/>
      <c r="T919" s="380"/>
      <c r="U919" s="380"/>
      <c r="V919" s="380"/>
      <c r="W919" s="380"/>
      <c r="X919" s="380"/>
    </row>
    <row r="920" spans="1:24" ht="15.75" customHeight="1">
      <c r="A920" s="463"/>
      <c r="B920" s="380"/>
      <c r="C920" s="381"/>
      <c r="D920" s="381"/>
      <c r="E920" s="381"/>
      <c r="F920" s="381"/>
      <c r="G920" s="381"/>
      <c r="H920" s="381"/>
      <c r="I920" s="381"/>
      <c r="J920" s="381"/>
      <c r="K920" s="382"/>
      <c r="L920" s="380"/>
      <c r="M920" s="413"/>
      <c r="N920" s="383"/>
      <c r="O920" s="384"/>
      <c r="P920" s="384"/>
      <c r="Q920" s="383"/>
      <c r="R920" s="383"/>
      <c r="S920" s="385"/>
      <c r="T920" s="380"/>
      <c r="U920" s="380"/>
      <c r="V920" s="380"/>
      <c r="W920" s="380"/>
      <c r="X920" s="380"/>
    </row>
    <row r="921" spans="1:24" ht="15.75" customHeight="1">
      <c r="A921" s="463"/>
      <c r="B921" s="380"/>
      <c r="C921" s="381"/>
      <c r="D921" s="381"/>
      <c r="E921" s="381"/>
      <c r="F921" s="381"/>
      <c r="G921" s="381"/>
      <c r="H921" s="381"/>
      <c r="I921" s="381"/>
      <c r="J921" s="381"/>
      <c r="K921" s="382"/>
      <c r="L921" s="380"/>
      <c r="M921" s="413"/>
      <c r="N921" s="383"/>
      <c r="O921" s="384"/>
      <c r="P921" s="384"/>
      <c r="Q921" s="383"/>
      <c r="R921" s="383"/>
      <c r="S921" s="385"/>
      <c r="T921" s="380"/>
      <c r="U921" s="380"/>
      <c r="V921" s="380"/>
      <c r="W921" s="380"/>
      <c r="X921" s="380"/>
    </row>
    <row r="922" spans="1:24" ht="15.75" customHeight="1">
      <c r="A922" s="463"/>
      <c r="B922" s="380"/>
      <c r="C922" s="381"/>
      <c r="D922" s="381"/>
      <c r="E922" s="381"/>
      <c r="F922" s="381"/>
      <c r="G922" s="381"/>
      <c r="H922" s="381"/>
      <c r="I922" s="381"/>
      <c r="J922" s="381"/>
      <c r="K922" s="382"/>
      <c r="L922" s="380"/>
      <c r="M922" s="413"/>
      <c r="N922" s="383"/>
      <c r="O922" s="384"/>
      <c r="P922" s="384"/>
      <c r="Q922" s="383"/>
      <c r="R922" s="383"/>
      <c r="S922" s="385"/>
      <c r="T922" s="380"/>
      <c r="U922" s="380"/>
      <c r="V922" s="380"/>
      <c r="W922" s="380"/>
      <c r="X922" s="380"/>
    </row>
    <row r="923" spans="1:24" ht="15.75" customHeight="1">
      <c r="A923" s="463"/>
      <c r="B923" s="380"/>
      <c r="C923" s="381"/>
      <c r="D923" s="381"/>
      <c r="E923" s="381"/>
      <c r="F923" s="381"/>
      <c r="G923" s="381"/>
      <c r="H923" s="381"/>
      <c r="I923" s="381"/>
      <c r="J923" s="381"/>
      <c r="K923" s="382"/>
      <c r="L923" s="380"/>
      <c r="M923" s="413"/>
      <c r="N923" s="383"/>
      <c r="O923" s="384"/>
      <c r="P923" s="384"/>
      <c r="Q923" s="383"/>
      <c r="R923" s="383"/>
      <c r="S923" s="385"/>
      <c r="T923" s="380"/>
      <c r="U923" s="380"/>
      <c r="V923" s="380"/>
      <c r="W923" s="380"/>
      <c r="X923" s="380"/>
    </row>
    <row r="924" spans="1:24" ht="15.75" customHeight="1">
      <c r="A924" s="463"/>
      <c r="B924" s="380"/>
      <c r="C924" s="381"/>
      <c r="D924" s="381"/>
      <c r="E924" s="381"/>
      <c r="F924" s="381"/>
      <c r="G924" s="381"/>
      <c r="H924" s="381"/>
      <c r="I924" s="381"/>
      <c r="J924" s="381"/>
      <c r="K924" s="382"/>
      <c r="L924" s="380"/>
      <c r="M924" s="413"/>
      <c r="N924" s="383"/>
      <c r="O924" s="384"/>
      <c r="P924" s="384"/>
      <c r="Q924" s="383"/>
      <c r="R924" s="383"/>
      <c r="S924" s="385"/>
      <c r="T924" s="380"/>
      <c r="U924" s="380"/>
      <c r="V924" s="380"/>
      <c r="W924" s="380"/>
      <c r="X924" s="380"/>
    </row>
    <row r="925" spans="1:24" ht="15.75" customHeight="1">
      <c r="A925" s="463"/>
      <c r="B925" s="380"/>
      <c r="C925" s="381"/>
      <c r="D925" s="381"/>
      <c r="E925" s="381"/>
      <c r="F925" s="381"/>
      <c r="G925" s="381"/>
      <c r="H925" s="381"/>
      <c r="I925" s="381"/>
      <c r="J925" s="381"/>
      <c r="K925" s="382"/>
      <c r="L925" s="380"/>
      <c r="M925" s="413"/>
      <c r="N925" s="383"/>
      <c r="O925" s="384"/>
      <c r="P925" s="384"/>
      <c r="Q925" s="383"/>
      <c r="R925" s="383"/>
      <c r="S925" s="385"/>
      <c r="T925" s="380"/>
      <c r="U925" s="380"/>
      <c r="V925" s="380"/>
      <c r="W925" s="380"/>
      <c r="X925" s="380"/>
    </row>
    <row r="926" spans="1:24" ht="15.75" customHeight="1">
      <c r="A926" s="463"/>
      <c r="B926" s="380"/>
      <c r="C926" s="381"/>
      <c r="D926" s="381"/>
      <c r="E926" s="381"/>
      <c r="F926" s="381"/>
      <c r="G926" s="381"/>
      <c r="H926" s="381"/>
      <c r="I926" s="381"/>
      <c r="J926" s="381"/>
      <c r="K926" s="382"/>
      <c r="L926" s="380"/>
      <c r="M926" s="413"/>
      <c r="N926" s="383"/>
      <c r="O926" s="384"/>
      <c r="P926" s="384"/>
      <c r="Q926" s="383"/>
      <c r="R926" s="383"/>
      <c r="S926" s="385"/>
      <c r="T926" s="380"/>
      <c r="U926" s="380"/>
      <c r="V926" s="380"/>
      <c r="W926" s="380"/>
      <c r="X926" s="380"/>
    </row>
    <row r="927" spans="1:24" ht="15.75" customHeight="1">
      <c r="A927" s="463"/>
      <c r="B927" s="380"/>
      <c r="C927" s="381"/>
      <c r="D927" s="381"/>
      <c r="E927" s="381"/>
      <c r="F927" s="381"/>
      <c r="G927" s="381"/>
      <c r="H927" s="381"/>
      <c r="I927" s="381"/>
      <c r="J927" s="381"/>
      <c r="K927" s="382"/>
      <c r="L927" s="380"/>
      <c r="M927" s="413"/>
      <c r="N927" s="383"/>
      <c r="O927" s="384"/>
      <c r="P927" s="384"/>
      <c r="Q927" s="383"/>
      <c r="R927" s="383"/>
      <c r="S927" s="385"/>
      <c r="T927" s="380"/>
      <c r="U927" s="380"/>
      <c r="V927" s="380"/>
      <c r="W927" s="380"/>
      <c r="X927" s="380"/>
    </row>
    <row r="928" spans="1:24" ht="15.75" customHeight="1">
      <c r="A928" s="463"/>
      <c r="B928" s="380"/>
      <c r="C928" s="381"/>
      <c r="D928" s="381"/>
      <c r="E928" s="381"/>
      <c r="F928" s="381"/>
      <c r="G928" s="381"/>
      <c r="H928" s="381"/>
      <c r="I928" s="381"/>
      <c r="J928" s="381"/>
      <c r="K928" s="382"/>
      <c r="L928" s="380"/>
      <c r="M928" s="413"/>
      <c r="N928" s="383"/>
      <c r="O928" s="384"/>
      <c r="P928" s="384"/>
      <c r="Q928" s="383"/>
      <c r="R928" s="383"/>
      <c r="S928" s="385"/>
      <c r="T928" s="380"/>
      <c r="U928" s="380"/>
      <c r="V928" s="380"/>
      <c r="W928" s="380"/>
      <c r="X928" s="380"/>
    </row>
    <row r="929" spans="1:24" ht="15.75" customHeight="1">
      <c r="A929" s="463"/>
      <c r="B929" s="380"/>
      <c r="C929" s="381"/>
      <c r="D929" s="381"/>
      <c r="E929" s="381"/>
      <c r="F929" s="381"/>
      <c r="G929" s="381"/>
      <c r="H929" s="381"/>
      <c r="I929" s="381"/>
      <c r="J929" s="381"/>
      <c r="K929" s="382"/>
      <c r="L929" s="380"/>
      <c r="M929" s="413"/>
      <c r="N929" s="383"/>
      <c r="O929" s="384"/>
      <c r="P929" s="384"/>
      <c r="Q929" s="383"/>
      <c r="R929" s="383"/>
      <c r="S929" s="385"/>
      <c r="T929" s="380"/>
      <c r="U929" s="380"/>
      <c r="V929" s="380"/>
      <c r="W929" s="380"/>
      <c r="X929" s="380"/>
    </row>
    <row r="930" spans="1:24" ht="15.75" customHeight="1">
      <c r="A930" s="463"/>
      <c r="B930" s="380"/>
      <c r="C930" s="381"/>
      <c r="D930" s="381"/>
      <c r="E930" s="381"/>
      <c r="F930" s="381"/>
      <c r="G930" s="381"/>
      <c r="H930" s="381"/>
      <c r="I930" s="381"/>
      <c r="J930" s="381"/>
      <c r="K930" s="382"/>
      <c r="L930" s="380"/>
      <c r="M930" s="413"/>
      <c r="N930" s="383"/>
      <c r="O930" s="384"/>
      <c r="P930" s="384"/>
      <c r="Q930" s="383"/>
      <c r="R930" s="383"/>
      <c r="S930" s="385"/>
      <c r="T930" s="380"/>
      <c r="U930" s="380"/>
      <c r="V930" s="380"/>
      <c r="W930" s="380"/>
      <c r="X930" s="380"/>
    </row>
    <row r="931" spans="1:24" ht="15.75" customHeight="1">
      <c r="A931" s="463"/>
      <c r="B931" s="380"/>
      <c r="C931" s="381"/>
      <c r="D931" s="381"/>
      <c r="E931" s="381"/>
      <c r="F931" s="381"/>
      <c r="G931" s="381"/>
      <c r="H931" s="381"/>
      <c r="I931" s="381"/>
      <c r="J931" s="381"/>
      <c r="K931" s="382"/>
      <c r="L931" s="380"/>
      <c r="M931" s="413"/>
      <c r="N931" s="383"/>
      <c r="O931" s="384"/>
      <c r="P931" s="384"/>
      <c r="Q931" s="383"/>
      <c r="R931" s="383"/>
      <c r="S931" s="385"/>
      <c r="T931" s="380"/>
      <c r="U931" s="380"/>
      <c r="V931" s="380"/>
      <c r="W931" s="380"/>
      <c r="X931" s="380"/>
    </row>
    <row r="932" spans="1:24" ht="15.75" customHeight="1">
      <c r="A932" s="463"/>
      <c r="B932" s="380"/>
      <c r="C932" s="381"/>
      <c r="D932" s="381"/>
      <c r="E932" s="381"/>
      <c r="F932" s="381"/>
      <c r="G932" s="381"/>
      <c r="H932" s="381"/>
      <c r="I932" s="381"/>
      <c r="J932" s="381"/>
      <c r="K932" s="382"/>
      <c r="L932" s="380"/>
      <c r="M932" s="413"/>
      <c r="N932" s="383"/>
      <c r="O932" s="384"/>
      <c r="P932" s="384"/>
      <c r="Q932" s="383"/>
      <c r="R932" s="383"/>
      <c r="S932" s="385"/>
      <c r="T932" s="380"/>
      <c r="U932" s="380"/>
      <c r="V932" s="380"/>
      <c r="W932" s="380"/>
      <c r="X932" s="380"/>
    </row>
    <row r="933" spans="1:24" ht="15.75" customHeight="1">
      <c r="A933" s="463"/>
      <c r="B933" s="380"/>
      <c r="C933" s="381"/>
      <c r="D933" s="381"/>
      <c r="E933" s="381"/>
      <c r="F933" s="381"/>
      <c r="G933" s="381"/>
      <c r="H933" s="381"/>
      <c r="I933" s="381"/>
      <c r="J933" s="381"/>
      <c r="K933" s="382"/>
      <c r="L933" s="380"/>
      <c r="M933" s="413"/>
      <c r="N933" s="383"/>
      <c r="O933" s="384"/>
      <c r="P933" s="384"/>
      <c r="Q933" s="383"/>
      <c r="R933" s="383"/>
      <c r="S933" s="385"/>
      <c r="T933" s="380"/>
      <c r="U933" s="380"/>
      <c r="V933" s="380"/>
      <c r="W933" s="380"/>
      <c r="X933" s="380"/>
    </row>
    <row r="934" spans="1:24" ht="15.75" customHeight="1">
      <c r="A934" s="463"/>
      <c r="B934" s="380"/>
      <c r="C934" s="381"/>
      <c r="D934" s="381"/>
      <c r="E934" s="381"/>
      <c r="F934" s="381"/>
      <c r="G934" s="381"/>
      <c r="H934" s="381"/>
      <c r="I934" s="381"/>
      <c r="J934" s="381"/>
      <c r="K934" s="382"/>
      <c r="L934" s="380"/>
      <c r="M934" s="413"/>
      <c r="N934" s="383"/>
      <c r="O934" s="384"/>
      <c r="P934" s="384"/>
      <c r="Q934" s="383"/>
      <c r="R934" s="383"/>
      <c r="S934" s="385"/>
      <c r="T934" s="380"/>
      <c r="U934" s="380"/>
      <c r="V934" s="380"/>
      <c r="W934" s="380"/>
      <c r="X934" s="380"/>
    </row>
    <row r="935" spans="1:24" ht="15.75" customHeight="1">
      <c r="A935" s="463"/>
      <c r="B935" s="380"/>
      <c r="C935" s="381"/>
      <c r="D935" s="381"/>
      <c r="E935" s="381"/>
      <c r="F935" s="381"/>
      <c r="G935" s="381"/>
      <c r="H935" s="381"/>
      <c r="I935" s="381"/>
      <c r="J935" s="381"/>
      <c r="K935" s="382"/>
      <c r="L935" s="380"/>
      <c r="M935" s="413"/>
      <c r="N935" s="383"/>
      <c r="O935" s="384"/>
      <c r="P935" s="384"/>
      <c r="Q935" s="383"/>
      <c r="R935" s="383"/>
      <c r="S935" s="385"/>
      <c r="T935" s="380"/>
      <c r="U935" s="380"/>
      <c r="V935" s="380"/>
      <c r="W935" s="380"/>
      <c r="X935" s="380"/>
    </row>
    <row r="936" spans="1:24" ht="15.75" customHeight="1">
      <c r="A936" s="463"/>
      <c r="B936" s="380"/>
      <c r="C936" s="381"/>
      <c r="D936" s="381"/>
      <c r="E936" s="381"/>
      <c r="F936" s="381"/>
      <c r="G936" s="381"/>
      <c r="H936" s="381"/>
      <c r="I936" s="381"/>
      <c r="J936" s="381"/>
      <c r="K936" s="382"/>
      <c r="L936" s="380"/>
      <c r="M936" s="413"/>
      <c r="N936" s="383"/>
      <c r="O936" s="384"/>
      <c r="P936" s="384"/>
      <c r="Q936" s="383"/>
      <c r="R936" s="383"/>
      <c r="S936" s="385"/>
      <c r="T936" s="380"/>
      <c r="U936" s="380"/>
      <c r="V936" s="380"/>
      <c r="W936" s="380"/>
      <c r="X936" s="380"/>
    </row>
    <row r="937" spans="1:24" ht="15.75" customHeight="1">
      <c r="A937" s="463"/>
      <c r="B937" s="380"/>
      <c r="C937" s="381"/>
      <c r="D937" s="381"/>
      <c r="E937" s="381"/>
      <c r="F937" s="381"/>
      <c r="G937" s="381"/>
      <c r="H937" s="381"/>
      <c r="I937" s="381"/>
      <c r="J937" s="381"/>
      <c r="K937" s="382"/>
      <c r="L937" s="380"/>
      <c r="M937" s="413"/>
      <c r="N937" s="383"/>
      <c r="O937" s="384"/>
      <c r="P937" s="384"/>
      <c r="Q937" s="383"/>
      <c r="R937" s="383"/>
      <c r="S937" s="385"/>
      <c r="T937" s="380"/>
      <c r="U937" s="380"/>
      <c r="V937" s="380"/>
      <c r="W937" s="380"/>
      <c r="X937" s="380"/>
    </row>
    <row r="938" spans="1:24" ht="15.75" customHeight="1">
      <c r="A938" s="463"/>
      <c r="B938" s="380"/>
      <c r="C938" s="381"/>
      <c r="D938" s="381"/>
      <c r="E938" s="381"/>
      <c r="F938" s="381"/>
      <c r="G938" s="381"/>
      <c r="H938" s="381"/>
      <c r="I938" s="381"/>
      <c r="J938" s="381"/>
      <c r="K938" s="382"/>
      <c r="L938" s="380"/>
      <c r="M938" s="413"/>
      <c r="N938" s="383"/>
      <c r="O938" s="384"/>
      <c r="P938" s="384"/>
      <c r="Q938" s="383"/>
      <c r="R938" s="383"/>
      <c r="S938" s="385"/>
      <c r="T938" s="380"/>
      <c r="U938" s="380"/>
      <c r="V938" s="380"/>
      <c r="W938" s="380"/>
      <c r="X938" s="380"/>
    </row>
    <row r="939" spans="1:24" ht="15.75" customHeight="1">
      <c r="A939" s="463"/>
      <c r="B939" s="380"/>
      <c r="C939" s="381"/>
      <c r="D939" s="381"/>
      <c r="E939" s="381"/>
      <c r="F939" s="381"/>
      <c r="G939" s="381"/>
      <c r="H939" s="381"/>
      <c r="I939" s="381"/>
      <c r="J939" s="381"/>
      <c r="K939" s="382"/>
      <c r="L939" s="380"/>
      <c r="M939" s="413"/>
      <c r="N939" s="383"/>
      <c r="O939" s="384"/>
      <c r="P939" s="384"/>
      <c r="Q939" s="383"/>
      <c r="R939" s="383"/>
      <c r="S939" s="385"/>
      <c r="T939" s="380"/>
      <c r="U939" s="380"/>
      <c r="V939" s="380"/>
      <c r="W939" s="380"/>
      <c r="X939" s="380"/>
    </row>
    <row r="940" spans="1:24" ht="15.75" customHeight="1">
      <c r="A940" s="463"/>
      <c r="B940" s="380"/>
      <c r="C940" s="381"/>
      <c r="D940" s="381"/>
      <c r="E940" s="381"/>
      <c r="F940" s="381"/>
      <c r="G940" s="381"/>
      <c r="H940" s="381"/>
      <c r="I940" s="381"/>
      <c r="J940" s="381"/>
      <c r="K940" s="382"/>
      <c r="L940" s="380"/>
      <c r="M940" s="413"/>
      <c r="N940" s="383"/>
      <c r="O940" s="384"/>
      <c r="P940" s="384"/>
      <c r="Q940" s="383"/>
      <c r="R940" s="383"/>
      <c r="S940" s="385"/>
      <c r="T940" s="380"/>
      <c r="U940" s="380"/>
      <c r="V940" s="380"/>
      <c r="W940" s="380"/>
      <c r="X940" s="380"/>
    </row>
    <row r="941" spans="1:24" ht="15.75" customHeight="1">
      <c r="A941" s="463"/>
      <c r="B941" s="380"/>
      <c r="C941" s="381"/>
      <c r="D941" s="381"/>
      <c r="E941" s="381"/>
      <c r="F941" s="381"/>
      <c r="G941" s="381"/>
      <c r="H941" s="381"/>
      <c r="I941" s="381"/>
      <c r="J941" s="381"/>
      <c r="K941" s="382"/>
      <c r="L941" s="380"/>
      <c r="M941" s="413"/>
      <c r="N941" s="383"/>
      <c r="O941" s="384"/>
      <c r="P941" s="384"/>
      <c r="Q941" s="383"/>
      <c r="R941" s="383"/>
      <c r="S941" s="385"/>
      <c r="T941" s="380"/>
      <c r="U941" s="380"/>
      <c r="V941" s="380"/>
      <c r="W941" s="380"/>
      <c r="X941" s="380"/>
    </row>
    <row r="942" spans="1:24" ht="15.75" customHeight="1">
      <c r="A942" s="463"/>
      <c r="B942" s="380"/>
      <c r="C942" s="381"/>
      <c r="D942" s="381"/>
      <c r="E942" s="381"/>
      <c r="F942" s="381"/>
      <c r="G942" s="381"/>
      <c r="H942" s="381"/>
      <c r="I942" s="381"/>
      <c r="J942" s="381"/>
      <c r="K942" s="382"/>
      <c r="L942" s="380"/>
      <c r="M942" s="413"/>
      <c r="N942" s="383"/>
      <c r="O942" s="384"/>
      <c r="P942" s="384"/>
      <c r="Q942" s="383"/>
      <c r="R942" s="383"/>
      <c r="S942" s="385"/>
      <c r="T942" s="380"/>
      <c r="U942" s="380"/>
      <c r="V942" s="380"/>
      <c r="W942" s="380"/>
      <c r="X942" s="380"/>
    </row>
    <row r="943" spans="1:24" ht="15.75" customHeight="1">
      <c r="A943" s="463"/>
      <c r="B943" s="380"/>
      <c r="C943" s="381"/>
      <c r="D943" s="381"/>
      <c r="E943" s="381"/>
      <c r="F943" s="381"/>
      <c r="G943" s="381"/>
      <c r="H943" s="381"/>
      <c r="I943" s="381"/>
      <c r="J943" s="381"/>
      <c r="K943" s="382"/>
      <c r="L943" s="380"/>
      <c r="M943" s="413"/>
      <c r="N943" s="383"/>
      <c r="O943" s="384"/>
      <c r="P943" s="384"/>
      <c r="Q943" s="383"/>
      <c r="R943" s="383"/>
      <c r="S943" s="385"/>
      <c r="T943" s="380"/>
      <c r="U943" s="380"/>
      <c r="V943" s="380"/>
      <c r="W943" s="380"/>
      <c r="X943" s="380"/>
    </row>
    <row r="944" spans="1:24" ht="15.75" customHeight="1">
      <c r="A944" s="463"/>
      <c r="B944" s="380"/>
      <c r="C944" s="381"/>
      <c r="D944" s="381"/>
      <c r="E944" s="381"/>
      <c r="F944" s="381"/>
      <c r="G944" s="381"/>
      <c r="H944" s="381"/>
      <c r="I944" s="381"/>
      <c r="J944" s="381"/>
      <c r="K944" s="382"/>
      <c r="L944" s="380"/>
      <c r="M944" s="413"/>
      <c r="N944" s="383"/>
      <c r="O944" s="384"/>
      <c r="P944" s="384"/>
      <c r="Q944" s="383"/>
      <c r="R944" s="383"/>
      <c r="S944" s="385"/>
      <c r="T944" s="380"/>
      <c r="U944" s="380"/>
      <c r="V944" s="380"/>
      <c r="W944" s="380"/>
      <c r="X944" s="380"/>
    </row>
    <row r="945" spans="1:24" ht="15.75" customHeight="1">
      <c r="A945" s="463"/>
      <c r="B945" s="380"/>
      <c r="C945" s="381"/>
      <c r="D945" s="381"/>
      <c r="E945" s="381"/>
      <c r="F945" s="381"/>
      <c r="G945" s="381"/>
      <c r="H945" s="381"/>
      <c r="I945" s="381"/>
      <c r="J945" s="381"/>
      <c r="K945" s="382"/>
      <c r="L945" s="380"/>
      <c r="M945" s="413"/>
      <c r="N945" s="383"/>
      <c r="O945" s="384"/>
      <c r="P945" s="384"/>
      <c r="Q945" s="383"/>
      <c r="R945" s="383"/>
      <c r="S945" s="385"/>
      <c r="T945" s="380"/>
      <c r="U945" s="380"/>
      <c r="V945" s="380"/>
      <c r="W945" s="380"/>
      <c r="X945" s="380"/>
    </row>
    <row r="946" spans="1:24" ht="15.75" customHeight="1">
      <c r="A946" s="463"/>
      <c r="B946" s="380"/>
      <c r="C946" s="381"/>
      <c r="D946" s="381"/>
      <c r="E946" s="381"/>
      <c r="F946" s="381"/>
      <c r="G946" s="381"/>
      <c r="H946" s="381"/>
      <c r="I946" s="381"/>
      <c r="J946" s="381"/>
      <c r="K946" s="382"/>
      <c r="L946" s="380"/>
      <c r="M946" s="413"/>
      <c r="N946" s="383"/>
      <c r="O946" s="384"/>
      <c r="P946" s="384"/>
      <c r="Q946" s="383"/>
      <c r="R946" s="383"/>
      <c r="S946" s="385"/>
      <c r="T946" s="380"/>
      <c r="U946" s="380"/>
      <c r="V946" s="380"/>
      <c r="W946" s="380"/>
      <c r="X946" s="380"/>
    </row>
    <row r="947" spans="1:24" ht="15.75" customHeight="1">
      <c r="A947" s="463"/>
      <c r="B947" s="380"/>
      <c r="C947" s="381"/>
      <c r="D947" s="381"/>
      <c r="E947" s="381"/>
      <c r="F947" s="381"/>
      <c r="G947" s="381"/>
      <c r="H947" s="381"/>
      <c r="I947" s="381"/>
      <c r="J947" s="381"/>
      <c r="K947" s="382"/>
      <c r="L947" s="380"/>
      <c r="M947" s="413"/>
      <c r="N947" s="383"/>
      <c r="O947" s="384"/>
      <c r="P947" s="384"/>
      <c r="Q947" s="383"/>
      <c r="R947" s="383"/>
      <c r="S947" s="385"/>
      <c r="T947" s="380"/>
      <c r="U947" s="380"/>
      <c r="V947" s="380"/>
      <c r="W947" s="380"/>
      <c r="X947" s="380"/>
    </row>
    <row r="948" spans="1:24" ht="15.75" customHeight="1">
      <c r="A948" s="463"/>
      <c r="B948" s="380"/>
      <c r="C948" s="381"/>
      <c r="D948" s="381"/>
      <c r="E948" s="381"/>
      <c r="F948" s="381"/>
      <c r="G948" s="381"/>
      <c r="H948" s="381"/>
      <c r="I948" s="381"/>
      <c r="J948" s="381"/>
      <c r="K948" s="382"/>
      <c r="L948" s="380"/>
      <c r="M948" s="413"/>
      <c r="N948" s="383"/>
      <c r="O948" s="384"/>
      <c r="P948" s="384"/>
      <c r="Q948" s="383"/>
      <c r="R948" s="383"/>
      <c r="S948" s="385"/>
      <c r="T948" s="380"/>
      <c r="U948" s="380"/>
      <c r="V948" s="380"/>
      <c r="W948" s="380"/>
      <c r="X948" s="380"/>
    </row>
    <row r="949" spans="1:24" ht="15.75" customHeight="1">
      <c r="A949" s="463"/>
      <c r="B949" s="380"/>
      <c r="C949" s="381"/>
      <c r="D949" s="381"/>
      <c r="E949" s="381"/>
      <c r="F949" s="381"/>
      <c r="G949" s="381"/>
      <c r="H949" s="381"/>
      <c r="I949" s="381"/>
      <c r="J949" s="381"/>
      <c r="K949" s="382"/>
      <c r="L949" s="380"/>
      <c r="M949" s="413"/>
      <c r="N949" s="383"/>
      <c r="O949" s="384"/>
      <c r="P949" s="384"/>
      <c r="Q949" s="383"/>
      <c r="R949" s="383"/>
      <c r="S949" s="385"/>
      <c r="T949" s="380"/>
      <c r="U949" s="380"/>
      <c r="V949" s="380"/>
      <c r="W949" s="380"/>
      <c r="X949" s="380"/>
    </row>
    <row r="950" spans="1:24" ht="15.75" customHeight="1">
      <c r="A950" s="463"/>
      <c r="B950" s="380"/>
      <c r="C950" s="381"/>
      <c r="D950" s="381"/>
      <c r="E950" s="381"/>
      <c r="F950" s="381"/>
      <c r="G950" s="381"/>
      <c r="H950" s="381"/>
      <c r="I950" s="381"/>
      <c r="J950" s="381"/>
      <c r="K950" s="382"/>
      <c r="L950" s="380"/>
      <c r="M950" s="413"/>
      <c r="N950" s="383"/>
      <c r="O950" s="384"/>
      <c r="P950" s="384"/>
      <c r="Q950" s="383"/>
      <c r="R950" s="383"/>
      <c r="S950" s="385"/>
      <c r="T950" s="380"/>
      <c r="U950" s="380"/>
      <c r="V950" s="380"/>
      <c r="W950" s="380"/>
      <c r="X950" s="380"/>
    </row>
    <row r="951" spans="1:24" ht="15.75" customHeight="1">
      <c r="A951" s="463"/>
      <c r="B951" s="380"/>
      <c r="C951" s="381"/>
      <c r="D951" s="381"/>
      <c r="E951" s="381"/>
      <c r="F951" s="381"/>
      <c r="G951" s="381"/>
      <c r="H951" s="381"/>
      <c r="I951" s="381"/>
      <c r="J951" s="381"/>
      <c r="K951" s="382"/>
      <c r="L951" s="380"/>
      <c r="M951" s="413"/>
      <c r="N951" s="383"/>
      <c r="O951" s="384"/>
      <c r="P951" s="384"/>
      <c r="Q951" s="383"/>
      <c r="R951" s="383"/>
      <c r="S951" s="385"/>
      <c r="T951" s="380"/>
      <c r="U951" s="380"/>
      <c r="V951" s="380"/>
      <c r="W951" s="380"/>
      <c r="X951" s="380"/>
    </row>
    <row r="952" spans="1:24" ht="15.75" customHeight="1">
      <c r="A952" s="463"/>
      <c r="B952" s="380"/>
      <c r="C952" s="381"/>
      <c r="D952" s="381"/>
      <c r="E952" s="381"/>
      <c r="F952" s="381"/>
      <c r="G952" s="381"/>
      <c r="H952" s="381"/>
      <c r="I952" s="381"/>
      <c r="J952" s="381"/>
      <c r="K952" s="382"/>
      <c r="L952" s="380"/>
      <c r="M952" s="413"/>
      <c r="N952" s="383"/>
      <c r="O952" s="384"/>
      <c r="P952" s="384"/>
      <c r="Q952" s="383"/>
      <c r="R952" s="383"/>
      <c r="S952" s="385"/>
      <c r="T952" s="380"/>
      <c r="U952" s="380"/>
      <c r="V952" s="380"/>
      <c r="W952" s="380"/>
      <c r="X952" s="380"/>
    </row>
    <row r="953" spans="1:24" ht="15.75" customHeight="1">
      <c r="A953" s="463"/>
      <c r="B953" s="380"/>
      <c r="C953" s="381"/>
      <c r="D953" s="381"/>
      <c r="E953" s="381"/>
      <c r="F953" s="381"/>
      <c r="G953" s="381"/>
      <c r="H953" s="381"/>
      <c r="I953" s="381"/>
      <c r="J953" s="381"/>
      <c r="K953" s="382"/>
      <c r="L953" s="380"/>
      <c r="M953" s="413"/>
      <c r="N953" s="383"/>
      <c r="O953" s="384"/>
      <c r="P953" s="384"/>
      <c r="Q953" s="383"/>
      <c r="R953" s="383"/>
      <c r="S953" s="385"/>
      <c r="T953" s="380"/>
      <c r="U953" s="380"/>
      <c r="V953" s="380"/>
      <c r="W953" s="380"/>
      <c r="X953" s="380"/>
    </row>
    <row r="954" spans="1:24" ht="15.75" customHeight="1">
      <c r="A954" s="463"/>
      <c r="B954" s="380"/>
      <c r="C954" s="381"/>
      <c r="D954" s="381"/>
      <c r="E954" s="381"/>
      <c r="F954" s="381"/>
      <c r="G954" s="381"/>
      <c r="H954" s="381"/>
      <c r="I954" s="381"/>
      <c r="J954" s="381"/>
      <c r="K954" s="382"/>
      <c r="L954" s="380"/>
      <c r="M954" s="413"/>
      <c r="N954" s="383"/>
      <c r="O954" s="384"/>
      <c r="P954" s="384"/>
      <c r="Q954" s="383"/>
      <c r="R954" s="383"/>
      <c r="S954" s="385"/>
      <c r="T954" s="380"/>
      <c r="U954" s="380"/>
      <c r="V954" s="380"/>
      <c r="W954" s="380"/>
      <c r="X954" s="380"/>
    </row>
    <row r="955" spans="1:24" ht="15.75" customHeight="1">
      <c r="A955" s="463"/>
      <c r="B955" s="380"/>
      <c r="C955" s="381"/>
      <c r="D955" s="381"/>
      <c r="E955" s="381"/>
      <c r="F955" s="381"/>
      <c r="G955" s="381"/>
      <c r="H955" s="381"/>
      <c r="I955" s="381"/>
      <c r="J955" s="381"/>
      <c r="K955" s="382"/>
      <c r="L955" s="380"/>
      <c r="M955" s="413"/>
      <c r="N955" s="383"/>
      <c r="O955" s="384"/>
      <c r="P955" s="384"/>
      <c r="Q955" s="383"/>
      <c r="R955" s="383"/>
      <c r="S955" s="385"/>
      <c r="T955" s="380"/>
      <c r="U955" s="380"/>
      <c r="V955" s="380"/>
      <c r="W955" s="380"/>
      <c r="X955" s="380"/>
    </row>
    <row r="956" spans="1:24" ht="15.75" customHeight="1">
      <c r="A956" s="463"/>
      <c r="B956" s="380"/>
      <c r="C956" s="381"/>
      <c r="D956" s="381"/>
      <c r="E956" s="381"/>
      <c r="F956" s="381"/>
      <c r="G956" s="381"/>
      <c r="H956" s="381"/>
      <c r="I956" s="381"/>
      <c r="J956" s="381"/>
      <c r="K956" s="382"/>
      <c r="L956" s="380"/>
      <c r="M956" s="413"/>
      <c r="N956" s="383"/>
      <c r="O956" s="384"/>
      <c r="P956" s="384"/>
      <c r="Q956" s="383"/>
      <c r="R956" s="383"/>
      <c r="S956" s="385"/>
      <c r="T956" s="380"/>
      <c r="U956" s="380"/>
      <c r="V956" s="380"/>
      <c r="W956" s="380"/>
      <c r="X956" s="380"/>
    </row>
    <row r="957" spans="1:24" ht="15.75" customHeight="1">
      <c r="A957" s="463"/>
      <c r="B957" s="380"/>
      <c r="C957" s="381"/>
      <c r="D957" s="381"/>
      <c r="E957" s="381"/>
      <c r="F957" s="381"/>
      <c r="G957" s="381"/>
      <c r="H957" s="381"/>
      <c r="I957" s="381"/>
      <c r="J957" s="381"/>
      <c r="K957" s="382"/>
      <c r="L957" s="380"/>
      <c r="M957" s="413"/>
      <c r="N957" s="383"/>
      <c r="O957" s="384"/>
      <c r="P957" s="384"/>
      <c r="Q957" s="383"/>
      <c r="R957" s="383"/>
      <c r="S957" s="385"/>
      <c r="T957" s="380"/>
      <c r="U957" s="380"/>
      <c r="V957" s="380"/>
      <c r="W957" s="380"/>
      <c r="X957" s="380"/>
    </row>
    <row r="958" spans="1:24" ht="15.75" customHeight="1">
      <c r="A958" s="463"/>
      <c r="B958" s="380"/>
      <c r="C958" s="381"/>
      <c r="D958" s="381"/>
      <c r="E958" s="381"/>
      <c r="F958" s="381"/>
      <c r="G958" s="381"/>
      <c r="H958" s="381"/>
      <c r="I958" s="381"/>
      <c r="J958" s="381"/>
      <c r="K958" s="382"/>
      <c r="L958" s="380"/>
      <c r="M958" s="413"/>
      <c r="N958" s="383"/>
      <c r="O958" s="384"/>
      <c r="P958" s="384"/>
      <c r="Q958" s="383"/>
      <c r="R958" s="383"/>
      <c r="S958" s="385"/>
      <c r="T958" s="380"/>
      <c r="U958" s="380"/>
      <c r="V958" s="380"/>
      <c r="W958" s="380"/>
      <c r="X958" s="380"/>
    </row>
    <row r="959" spans="1:24" ht="15.75" customHeight="1">
      <c r="A959" s="463"/>
      <c r="B959" s="380"/>
      <c r="C959" s="381"/>
      <c r="D959" s="381"/>
      <c r="E959" s="381"/>
      <c r="F959" s="381"/>
      <c r="G959" s="381"/>
      <c r="H959" s="381"/>
      <c r="I959" s="381"/>
      <c r="J959" s="381"/>
      <c r="K959" s="382"/>
      <c r="L959" s="380"/>
      <c r="M959" s="413"/>
      <c r="N959" s="383"/>
      <c r="O959" s="384"/>
      <c r="P959" s="384"/>
      <c r="Q959" s="383"/>
      <c r="R959" s="383"/>
      <c r="S959" s="385"/>
      <c r="T959" s="380"/>
      <c r="U959" s="380"/>
      <c r="V959" s="380"/>
      <c r="W959" s="380"/>
      <c r="X959" s="380"/>
    </row>
    <row r="960" spans="1:24" ht="15.75" customHeight="1">
      <c r="A960" s="463"/>
      <c r="B960" s="380"/>
      <c r="C960" s="381"/>
      <c r="D960" s="381"/>
      <c r="E960" s="381"/>
      <c r="F960" s="381"/>
      <c r="G960" s="381"/>
      <c r="H960" s="381"/>
      <c r="I960" s="381"/>
      <c r="J960" s="381"/>
      <c r="K960" s="382"/>
      <c r="L960" s="380"/>
      <c r="M960" s="413"/>
      <c r="N960" s="383"/>
      <c r="O960" s="384"/>
      <c r="P960" s="384"/>
      <c r="Q960" s="383"/>
      <c r="R960" s="383"/>
      <c r="S960" s="385"/>
      <c r="T960" s="380"/>
      <c r="U960" s="380"/>
      <c r="V960" s="380"/>
      <c r="W960" s="380"/>
      <c r="X960" s="380"/>
    </row>
    <row r="961" spans="1:24" ht="15.75" customHeight="1">
      <c r="A961" s="463"/>
      <c r="B961" s="380"/>
      <c r="C961" s="381"/>
      <c r="D961" s="381"/>
      <c r="E961" s="381"/>
      <c r="F961" s="381"/>
      <c r="G961" s="381"/>
      <c r="H961" s="381"/>
      <c r="I961" s="381"/>
      <c r="J961" s="381"/>
      <c r="K961" s="382"/>
      <c r="L961" s="380"/>
      <c r="M961" s="413"/>
      <c r="N961" s="383"/>
      <c r="O961" s="384"/>
      <c r="P961" s="384"/>
      <c r="Q961" s="383"/>
      <c r="R961" s="383"/>
      <c r="S961" s="385"/>
      <c r="T961" s="380"/>
      <c r="U961" s="380"/>
      <c r="V961" s="380"/>
      <c r="W961" s="380"/>
      <c r="X961" s="380"/>
    </row>
    <row r="962" spans="1:24" ht="15.75" customHeight="1">
      <c r="A962" s="463"/>
      <c r="B962" s="380"/>
      <c r="C962" s="381"/>
      <c r="D962" s="381"/>
      <c r="E962" s="381"/>
      <c r="F962" s="381"/>
      <c r="G962" s="381"/>
      <c r="H962" s="381"/>
      <c r="I962" s="381"/>
      <c r="J962" s="381"/>
      <c r="K962" s="382"/>
      <c r="L962" s="380"/>
      <c r="M962" s="413"/>
      <c r="N962" s="383"/>
      <c r="O962" s="384"/>
      <c r="P962" s="384"/>
      <c r="Q962" s="383"/>
      <c r="R962" s="383"/>
      <c r="S962" s="385"/>
      <c r="T962" s="380"/>
      <c r="U962" s="380"/>
      <c r="V962" s="380"/>
      <c r="W962" s="380"/>
      <c r="X962" s="380"/>
    </row>
    <row r="963" spans="1:24" ht="15.75" customHeight="1">
      <c r="A963" s="463"/>
      <c r="B963" s="380"/>
      <c r="C963" s="381"/>
      <c r="D963" s="381"/>
      <c r="E963" s="381"/>
      <c r="F963" s="381"/>
      <c r="G963" s="381"/>
      <c r="H963" s="381"/>
      <c r="I963" s="381"/>
      <c r="J963" s="381"/>
      <c r="K963" s="382"/>
      <c r="L963" s="380"/>
      <c r="M963" s="413"/>
      <c r="N963" s="383"/>
      <c r="O963" s="384"/>
      <c r="P963" s="384"/>
      <c r="Q963" s="383"/>
      <c r="R963" s="383"/>
      <c r="S963" s="385"/>
      <c r="T963" s="380"/>
      <c r="U963" s="380"/>
      <c r="V963" s="380"/>
      <c r="W963" s="380"/>
      <c r="X963" s="380"/>
    </row>
    <row r="964" spans="1:24" ht="15.75" customHeight="1">
      <c r="A964" s="463"/>
      <c r="B964" s="380"/>
      <c r="C964" s="381"/>
      <c r="D964" s="381"/>
      <c r="E964" s="381"/>
      <c r="F964" s="381"/>
      <c r="G964" s="381"/>
      <c r="H964" s="381"/>
      <c r="I964" s="381"/>
      <c r="J964" s="381"/>
      <c r="K964" s="382"/>
      <c r="L964" s="380"/>
      <c r="M964" s="413"/>
      <c r="N964" s="383"/>
      <c r="O964" s="384"/>
      <c r="P964" s="384"/>
      <c r="Q964" s="383"/>
      <c r="R964" s="383"/>
      <c r="S964" s="385"/>
      <c r="T964" s="380"/>
      <c r="U964" s="380"/>
      <c r="V964" s="380"/>
      <c r="W964" s="380"/>
      <c r="X964" s="380"/>
    </row>
    <row r="965" spans="1:24" ht="15.75" customHeight="1">
      <c r="A965" s="463"/>
      <c r="B965" s="380"/>
      <c r="C965" s="381"/>
      <c r="D965" s="381"/>
      <c r="E965" s="381"/>
      <c r="F965" s="381"/>
      <c r="G965" s="381"/>
      <c r="H965" s="381"/>
      <c r="I965" s="381"/>
      <c r="J965" s="381"/>
      <c r="K965" s="382"/>
      <c r="L965" s="380"/>
      <c r="M965" s="413"/>
      <c r="N965" s="383"/>
      <c r="O965" s="384"/>
      <c r="P965" s="384"/>
      <c r="Q965" s="383"/>
      <c r="R965" s="383"/>
      <c r="S965" s="385"/>
      <c r="T965" s="380"/>
      <c r="U965" s="380"/>
      <c r="V965" s="380"/>
      <c r="W965" s="380"/>
      <c r="X965" s="380"/>
    </row>
    <row r="966" spans="1:24" ht="15.75" customHeight="1">
      <c r="A966" s="463"/>
      <c r="B966" s="380"/>
      <c r="C966" s="381"/>
      <c r="D966" s="381"/>
      <c r="E966" s="381"/>
      <c r="F966" s="381"/>
      <c r="G966" s="381"/>
      <c r="H966" s="381"/>
      <c r="I966" s="381"/>
      <c r="J966" s="381"/>
      <c r="K966" s="382"/>
      <c r="L966" s="380"/>
      <c r="M966" s="413"/>
      <c r="N966" s="383"/>
      <c r="O966" s="384"/>
      <c r="P966" s="384"/>
      <c r="Q966" s="383"/>
      <c r="R966" s="383"/>
      <c r="S966" s="385"/>
      <c r="T966" s="380"/>
      <c r="U966" s="380"/>
      <c r="V966" s="380"/>
      <c r="W966" s="380"/>
      <c r="X966" s="380"/>
    </row>
    <row r="967" spans="1:24" ht="15.75" customHeight="1">
      <c r="A967" s="463"/>
      <c r="B967" s="380"/>
      <c r="C967" s="381"/>
      <c r="D967" s="381"/>
      <c r="E967" s="381"/>
      <c r="F967" s="381"/>
      <c r="G967" s="381"/>
      <c r="H967" s="381"/>
      <c r="I967" s="381"/>
      <c r="J967" s="381"/>
      <c r="K967" s="382"/>
      <c r="L967" s="380"/>
      <c r="M967" s="413"/>
      <c r="N967" s="383"/>
      <c r="O967" s="384"/>
      <c r="P967" s="384"/>
      <c r="Q967" s="383"/>
      <c r="R967" s="383"/>
      <c r="S967" s="385"/>
      <c r="T967" s="380"/>
      <c r="U967" s="380"/>
      <c r="V967" s="380"/>
      <c r="W967" s="380"/>
      <c r="X967" s="380"/>
    </row>
    <row r="968" spans="1:24" ht="15.75" customHeight="1">
      <c r="A968" s="463"/>
      <c r="B968" s="380"/>
      <c r="C968" s="381"/>
      <c r="D968" s="381"/>
      <c r="E968" s="381"/>
      <c r="F968" s="381"/>
      <c r="G968" s="381"/>
      <c r="H968" s="381"/>
      <c r="I968" s="381"/>
      <c r="J968" s="381"/>
      <c r="K968" s="382"/>
      <c r="L968" s="380"/>
      <c r="M968" s="413"/>
      <c r="N968" s="383"/>
      <c r="O968" s="384"/>
      <c r="P968" s="384"/>
      <c r="Q968" s="383"/>
      <c r="R968" s="383"/>
      <c r="S968" s="385"/>
      <c r="T968" s="380"/>
      <c r="U968" s="380"/>
      <c r="V968" s="380"/>
      <c r="W968" s="380"/>
      <c r="X968" s="380"/>
    </row>
    <row r="969" spans="1:24" ht="15.75" customHeight="1">
      <c r="A969" s="463"/>
      <c r="B969" s="380"/>
      <c r="C969" s="381"/>
      <c r="D969" s="381"/>
      <c r="E969" s="381"/>
      <c r="F969" s="381"/>
      <c r="G969" s="381"/>
      <c r="H969" s="381"/>
      <c r="I969" s="381"/>
      <c r="J969" s="381"/>
      <c r="K969" s="382"/>
      <c r="L969" s="380"/>
      <c r="M969" s="413"/>
      <c r="N969" s="383"/>
      <c r="O969" s="384"/>
      <c r="P969" s="384"/>
      <c r="Q969" s="383"/>
      <c r="R969" s="383"/>
      <c r="S969" s="385"/>
      <c r="T969" s="380"/>
      <c r="U969" s="380"/>
      <c r="V969" s="380"/>
      <c r="W969" s="380"/>
      <c r="X969" s="380"/>
    </row>
    <row r="970" spans="1:24" ht="15.75" customHeight="1">
      <c r="A970" s="463"/>
      <c r="B970" s="380"/>
      <c r="C970" s="381"/>
      <c r="D970" s="381"/>
      <c r="E970" s="381"/>
      <c r="F970" s="381"/>
      <c r="G970" s="381"/>
      <c r="H970" s="381"/>
      <c r="I970" s="381"/>
      <c r="J970" s="381"/>
      <c r="K970" s="382"/>
      <c r="L970" s="380"/>
      <c r="M970" s="413"/>
      <c r="N970" s="383"/>
      <c r="O970" s="384"/>
      <c r="P970" s="384"/>
      <c r="Q970" s="383"/>
      <c r="R970" s="383"/>
      <c r="S970" s="385"/>
      <c r="T970" s="380"/>
      <c r="U970" s="380"/>
      <c r="V970" s="380"/>
      <c r="W970" s="380"/>
      <c r="X970" s="380"/>
    </row>
    <row r="971" spans="1:24" ht="15.75" customHeight="1">
      <c r="A971" s="463"/>
      <c r="B971" s="380"/>
      <c r="C971" s="381"/>
      <c r="D971" s="381"/>
      <c r="E971" s="381"/>
      <c r="F971" s="381"/>
      <c r="G971" s="381"/>
      <c r="H971" s="381"/>
      <c r="I971" s="381"/>
      <c r="J971" s="381"/>
      <c r="K971" s="382"/>
      <c r="L971" s="380"/>
      <c r="M971" s="413"/>
      <c r="N971" s="383"/>
      <c r="O971" s="384"/>
      <c r="P971" s="384"/>
      <c r="Q971" s="383"/>
      <c r="R971" s="383"/>
      <c r="S971" s="385"/>
      <c r="T971" s="380"/>
      <c r="U971" s="380"/>
      <c r="V971" s="380"/>
      <c r="W971" s="380"/>
      <c r="X971" s="380"/>
    </row>
    <row r="972" spans="1:24" ht="15.75" customHeight="1">
      <c r="A972" s="463"/>
      <c r="B972" s="380"/>
      <c r="C972" s="381"/>
      <c r="D972" s="381"/>
      <c r="E972" s="381"/>
      <c r="F972" s="381"/>
      <c r="G972" s="381"/>
      <c r="H972" s="381"/>
      <c r="I972" s="381"/>
      <c r="J972" s="381"/>
      <c r="K972" s="382"/>
      <c r="L972" s="380"/>
      <c r="M972" s="413"/>
      <c r="N972" s="383"/>
      <c r="O972" s="384"/>
      <c r="P972" s="384"/>
      <c r="Q972" s="383"/>
      <c r="R972" s="383"/>
      <c r="S972" s="385"/>
      <c r="T972" s="380"/>
      <c r="U972" s="380"/>
      <c r="V972" s="380"/>
      <c r="W972" s="380"/>
      <c r="X972" s="380"/>
    </row>
    <row r="973" spans="1:24" ht="15.75" customHeight="1">
      <c r="A973" s="463"/>
      <c r="B973" s="380"/>
      <c r="C973" s="381"/>
      <c r="D973" s="381"/>
      <c r="E973" s="381"/>
      <c r="F973" s="381"/>
      <c r="G973" s="381"/>
      <c r="H973" s="381"/>
      <c r="I973" s="381"/>
      <c r="J973" s="381"/>
      <c r="K973" s="382"/>
      <c r="L973" s="380"/>
      <c r="M973" s="413"/>
      <c r="N973" s="383"/>
      <c r="O973" s="384"/>
      <c r="P973" s="384"/>
      <c r="Q973" s="383"/>
      <c r="R973" s="383"/>
      <c r="S973" s="385"/>
      <c r="T973" s="380"/>
      <c r="U973" s="380"/>
      <c r="V973" s="380"/>
      <c r="W973" s="380"/>
      <c r="X973" s="380"/>
    </row>
    <row r="974" spans="1:24" ht="15.75" customHeight="1">
      <c r="A974" s="463"/>
      <c r="B974" s="380"/>
      <c r="C974" s="381"/>
      <c r="D974" s="381"/>
      <c r="E974" s="381"/>
      <c r="F974" s="381"/>
      <c r="G974" s="381"/>
      <c r="H974" s="381"/>
      <c r="I974" s="381"/>
      <c r="J974" s="381"/>
      <c r="K974" s="382"/>
      <c r="L974" s="380"/>
      <c r="M974" s="413"/>
      <c r="N974" s="383"/>
      <c r="O974" s="384"/>
      <c r="P974" s="384"/>
      <c r="Q974" s="383"/>
      <c r="R974" s="383"/>
      <c r="S974" s="385"/>
      <c r="T974" s="380"/>
      <c r="U974" s="380"/>
      <c r="V974" s="380"/>
      <c r="W974" s="380"/>
      <c r="X974" s="380"/>
    </row>
    <row r="975" spans="1:24" ht="15.75" customHeight="1">
      <c r="A975" s="463"/>
      <c r="B975" s="380"/>
      <c r="C975" s="381"/>
      <c r="D975" s="381"/>
      <c r="E975" s="381"/>
      <c r="F975" s="381"/>
      <c r="G975" s="381"/>
      <c r="H975" s="381"/>
      <c r="I975" s="381"/>
      <c r="J975" s="381"/>
      <c r="K975" s="382"/>
      <c r="L975" s="380"/>
      <c r="M975" s="413"/>
      <c r="N975" s="383"/>
      <c r="O975" s="384"/>
      <c r="P975" s="384"/>
      <c r="Q975" s="383"/>
      <c r="R975" s="383"/>
      <c r="S975" s="385"/>
      <c r="T975" s="380"/>
      <c r="U975" s="380"/>
      <c r="V975" s="380"/>
      <c r="W975" s="380"/>
      <c r="X975" s="380"/>
    </row>
    <row r="976" spans="1:24" ht="15.75" customHeight="1">
      <c r="A976" s="463"/>
      <c r="B976" s="380"/>
      <c r="C976" s="381"/>
      <c r="D976" s="381"/>
      <c r="E976" s="381"/>
      <c r="F976" s="381"/>
      <c r="G976" s="381"/>
      <c r="H976" s="381"/>
      <c r="I976" s="381"/>
      <c r="J976" s="381"/>
      <c r="K976" s="382"/>
      <c r="L976" s="380"/>
      <c r="M976" s="413"/>
      <c r="N976" s="383"/>
      <c r="O976" s="384"/>
      <c r="P976" s="384"/>
      <c r="Q976" s="383"/>
      <c r="R976" s="383"/>
      <c r="S976" s="385"/>
      <c r="T976" s="380"/>
      <c r="U976" s="380"/>
      <c r="V976" s="380"/>
      <c r="W976" s="380"/>
      <c r="X976" s="380"/>
    </row>
    <row r="977" spans="1:24" ht="15.75" customHeight="1">
      <c r="A977" s="463"/>
      <c r="B977" s="380"/>
      <c r="C977" s="381"/>
      <c r="D977" s="381"/>
      <c r="E977" s="381"/>
      <c r="F977" s="381"/>
      <c r="G977" s="381"/>
      <c r="H977" s="381"/>
      <c r="I977" s="381"/>
      <c r="J977" s="381"/>
      <c r="K977" s="382"/>
      <c r="L977" s="380"/>
      <c r="M977" s="413"/>
      <c r="N977" s="383"/>
      <c r="O977" s="384"/>
      <c r="P977" s="384"/>
      <c r="Q977" s="383"/>
      <c r="R977" s="383"/>
      <c r="S977" s="385"/>
      <c r="T977" s="380"/>
      <c r="U977" s="380"/>
      <c r="V977" s="380"/>
      <c r="W977" s="380"/>
      <c r="X977" s="380"/>
    </row>
    <row r="978" spans="1:24" ht="15.75" customHeight="1">
      <c r="A978" s="463"/>
      <c r="B978" s="380"/>
      <c r="C978" s="381"/>
      <c r="D978" s="381"/>
      <c r="E978" s="381"/>
      <c r="F978" s="381"/>
      <c r="G978" s="381"/>
      <c r="H978" s="381"/>
      <c r="I978" s="381"/>
      <c r="J978" s="381"/>
      <c r="K978" s="382"/>
      <c r="L978" s="380"/>
      <c r="M978" s="413"/>
      <c r="N978" s="383"/>
      <c r="O978" s="384"/>
      <c r="P978" s="384"/>
      <c r="Q978" s="383"/>
      <c r="R978" s="383"/>
      <c r="S978" s="385"/>
      <c r="T978" s="380"/>
      <c r="U978" s="380"/>
      <c r="V978" s="380"/>
      <c r="W978" s="380"/>
      <c r="X978" s="380"/>
    </row>
    <row r="979" spans="1:24" ht="15.75" customHeight="1">
      <c r="A979" s="463"/>
      <c r="B979" s="380"/>
      <c r="C979" s="381"/>
      <c r="D979" s="381"/>
      <c r="E979" s="381"/>
      <c r="F979" s="381"/>
      <c r="G979" s="381"/>
      <c r="H979" s="381"/>
      <c r="I979" s="381"/>
      <c r="J979" s="381"/>
      <c r="K979" s="382"/>
      <c r="L979" s="380"/>
      <c r="M979" s="413"/>
      <c r="N979" s="383"/>
      <c r="O979" s="384"/>
      <c r="P979" s="384"/>
      <c r="Q979" s="383"/>
      <c r="R979" s="383"/>
      <c r="S979" s="385"/>
      <c r="T979" s="380"/>
      <c r="U979" s="380"/>
      <c r="V979" s="380"/>
      <c r="W979" s="380"/>
      <c r="X979" s="380"/>
    </row>
    <row r="980" spans="1:24" ht="15.75" customHeight="1">
      <c r="A980" s="463"/>
      <c r="B980" s="380"/>
      <c r="C980" s="381"/>
      <c r="D980" s="381"/>
      <c r="E980" s="381"/>
      <c r="F980" s="381"/>
      <c r="G980" s="381"/>
      <c r="H980" s="381"/>
      <c r="I980" s="381"/>
      <c r="J980" s="381"/>
      <c r="K980" s="382"/>
      <c r="L980" s="380"/>
      <c r="M980" s="413"/>
      <c r="N980" s="383"/>
      <c r="O980" s="384"/>
      <c r="P980" s="384"/>
      <c r="Q980" s="383"/>
      <c r="R980" s="383"/>
      <c r="S980" s="385"/>
      <c r="T980" s="380"/>
      <c r="U980" s="380"/>
      <c r="V980" s="380"/>
      <c r="W980" s="380"/>
      <c r="X980" s="380"/>
    </row>
    <row r="981" spans="1:24" ht="15.75" customHeight="1">
      <c r="A981" s="463"/>
      <c r="B981" s="380"/>
      <c r="C981" s="381"/>
      <c r="D981" s="381"/>
      <c r="E981" s="381"/>
      <c r="F981" s="381"/>
      <c r="G981" s="381"/>
      <c r="H981" s="381"/>
      <c r="I981" s="381"/>
      <c r="J981" s="381"/>
      <c r="K981" s="382"/>
      <c r="L981" s="380"/>
      <c r="M981" s="413"/>
      <c r="N981" s="383"/>
      <c r="O981" s="384"/>
      <c r="P981" s="384"/>
      <c r="Q981" s="383"/>
      <c r="R981" s="383"/>
      <c r="S981" s="385"/>
      <c r="T981" s="380"/>
      <c r="U981" s="380"/>
      <c r="V981" s="380"/>
      <c r="W981" s="380"/>
      <c r="X981" s="380"/>
    </row>
    <row r="982" spans="1:24" ht="15.75" customHeight="1">
      <c r="A982" s="463"/>
      <c r="B982" s="380"/>
      <c r="C982" s="381"/>
      <c r="D982" s="381"/>
      <c r="E982" s="381"/>
      <c r="F982" s="381"/>
      <c r="G982" s="381"/>
      <c r="H982" s="381"/>
      <c r="I982" s="381"/>
      <c r="J982" s="381"/>
      <c r="K982" s="382"/>
      <c r="L982" s="380"/>
      <c r="M982" s="413"/>
      <c r="N982" s="383"/>
      <c r="O982" s="384"/>
      <c r="P982" s="384"/>
      <c r="Q982" s="383"/>
      <c r="R982" s="383"/>
      <c r="S982" s="385"/>
      <c r="T982" s="380"/>
      <c r="U982" s="380"/>
      <c r="V982" s="380"/>
      <c r="W982" s="380"/>
      <c r="X982" s="380"/>
    </row>
    <row r="983" spans="1:24" ht="15.75" customHeight="1">
      <c r="A983" s="463"/>
      <c r="B983" s="380"/>
      <c r="C983" s="381"/>
      <c r="D983" s="381"/>
      <c r="E983" s="381"/>
      <c r="F983" s="381"/>
      <c r="G983" s="381"/>
      <c r="H983" s="381"/>
      <c r="I983" s="381"/>
      <c r="J983" s="381"/>
      <c r="K983" s="382"/>
      <c r="L983" s="380"/>
      <c r="M983" s="413"/>
      <c r="N983" s="383"/>
      <c r="O983" s="384"/>
      <c r="P983" s="384"/>
      <c r="Q983" s="383"/>
      <c r="R983" s="383"/>
      <c r="S983" s="385"/>
      <c r="T983" s="380"/>
      <c r="U983" s="380"/>
      <c r="V983" s="380"/>
      <c r="W983" s="380"/>
      <c r="X983" s="380"/>
    </row>
    <row r="984" spans="1:24" ht="15.75" customHeight="1">
      <c r="A984" s="463"/>
      <c r="B984" s="380"/>
      <c r="C984" s="381"/>
      <c r="D984" s="381"/>
      <c r="E984" s="381"/>
      <c r="F984" s="381"/>
      <c r="G984" s="381"/>
      <c r="H984" s="381"/>
      <c r="I984" s="381"/>
      <c r="J984" s="381"/>
      <c r="K984" s="382"/>
      <c r="L984" s="380"/>
      <c r="M984" s="413"/>
      <c r="N984" s="383"/>
      <c r="O984" s="384"/>
      <c r="P984" s="384"/>
      <c r="Q984" s="383"/>
      <c r="R984" s="383"/>
      <c r="S984" s="385"/>
      <c r="T984" s="380"/>
      <c r="U984" s="380"/>
      <c r="V984" s="380"/>
      <c r="W984" s="380"/>
      <c r="X984" s="380"/>
    </row>
    <row r="985" spans="1:24" ht="15.75" customHeight="1">
      <c r="A985" s="463"/>
      <c r="B985" s="380"/>
      <c r="C985" s="381"/>
      <c r="D985" s="381"/>
      <c r="E985" s="381"/>
      <c r="F985" s="381"/>
      <c r="G985" s="381"/>
      <c r="H985" s="381"/>
      <c r="I985" s="381"/>
      <c r="J985" s="381"/>
      <c r="K985" s="382"/>
      <c r="L985" s="380"/>
      <c r="M985" s="413"/>
      <c r="N985" s="383"/>
      <c r="O985" s="384"/>
      <c r="P985" s="384"/>
      <c r="Q985" s="383"/>
      <c r="R985" s="383"/>
      <c r="S985" s="385"/>
      <c r="T985" s="380"/>
      <c r="U985" s="380"/>
      <c r="V985" s="380"/>
      <c r="W985" s="380"/>
      <c r="X985" s="380"/>
    </row>
    <row r="986" spans="1:24" ht="15.75" customHeight="1">
      <c r="A986" s="463"/>
      <c r="B986" s="380"/>
      <c r="C986" s="381"/>
      <c r="D986" s="381"/>
      <c r="E986" s="381"/>
      <c r="F986" s="381"/>
      <c r="G986" s="381"/>
      <c r="H986" s="381"/>
      <c r="I986" s="381"/>
      <c r="J986" s="381"/>
      <c r="K986" s="382"/>
      <c r="L986" s="380"/>
      <c r="M986" s="413"/>
      <c r="N986" s="383"/>
      <c r="O986" s="384"/>
      <c r="P986" s="384"/>
      <c r="Q986" s="383"/>
      <c r="R986" s="383"/>
      <c r="S986" s="385"/>
      <c r="T986" s="380"/>
      <c r="U986" s="380"/>
      <c r="V986" s="380"/>
      <c r="W986" s="380"/>
      <c r="X986" s="380"/>
    </row>
    <row r="987" spans="1:24" ht="15.75" customHeight="1">
      <c r="A987" s="463"/>
      <c r="B987" s="380"/>
      <c r="C987" s="381"/>
      <c r="D987" s="381"/>
      <c r="E987" s="381"/>
      <c r="F987" s="381"/>
      <c r="G987" s="381"/>
      <c r="H987" s="381"/>
      <c r="I987" s="381"/>
      <c r="J987" s="381"/>
      <c r="K987" s="382"/>
      <c r="L987" s="380"/>
      <c r="M987" s="413"/>
      <c r="N987" s="383"/>
      <c r="O987" s="384"/>
      <c r="P987" s="384"/>
      <c r="Q987" s="383"/>
      <c r="R987" s="383"/>
      <c r="S987" s="385"/>
      <c r="T987" s="380"/>
      <c r="U987" s="380"/>
      <c r="V987" s="380"/>
      <c r="W987" s="380"/>
      <c r="X987" s="380"/>
    </row>
    <row r="988" spans="1:24" ht="15.75" customHeight="1">
      <c r="A988" s="463"/>
      <c r="B988" s="380"/>
      <c r="C988" s="381"/>
      <c r="D988" s="381"/>
      <c r="E988" s="381"/>
      <c r="F988" s="381"/>
      <c r="G988" s="381"/>
      <c r="H988" s="381"/>
      <c r="I988" s="381"/>
      <c r="J988" s="381"/>
      <c r="K988" s="382"/>
      <c r="L988" s="380"/>
      <c r="M988" s="413"/>
      <c r="N988" s="383"/>
      <c r="O988" s="384"/>
      <c r="P988" s="384"/>
      <c r="Q988" s="383"/>
      <c r="R988" s="383"/>
      <c r="S988" s="385"/>
      <c r="T988" s="380"/>
      <c r="U988" s="380"/>
      <c r="V988" s="380"/>
      <c r="W988" s="380"/>
      <c r="X988" s="380"/>
    </row>
    <row r="989" spans="1:24" ht="15.75" customHeight="1">
      <c r="A989" s="463"/>
      <c r="B989" s="380"/>
      <c r="C989" s="381"/>
      <c r="D989" s="381"/>
      <c r="E989" s="381"/>
      <c r="F989" s="381"/>
      <c r="G989" s="381"/>
      <c r="H989" s="381"/>
      <c r="I989" s="381"/>
      <c r="J989" s="381"/>
      <c r="K989" s="382"/>
      <c r="L989" s="380"/>
      <c r="M989" s="413"/>
      <c r="N989" s="383"/>
      <c r="O989" s="384"/>
      <c r="P989" s="384"/>
      <c r="Q989" s="383"/>
      <c r="R989" s="383"/>
      <c r="S989" s="385"/>
      <c r="T989" s="380"/>
      <c r="U989" s="380"/>
      <c r="V989" s="380"/>
      <c r="W989" s="380"/>
      <c r="X989" s="380"/>
    </row>
    <row r="990" spans="1:24" ht="15.75" customHeight="1">
      <c r="A990" s="463"/>
      <c r="B990" s="380"/>
      <c r="C990" s="381"/>
      <c r="D990" s="381"/>
      <c r="E990" s="381"/>
      <c r="F990" s="381"/>
      <c r="G990" s="381"/>
      <c r="H990" s="381"/>
      <c r="I990" s="381"/>
      <c r="J990" s="381"/>
      <c r="K990" s="382"/>
      <c r="L990" s="380"/>
      <c r="M990" s="413"/>
      <c r="N990" s="383"/>
      <c r="O990" s="384"/>
      <c r="P990" s="384"/>
      <c r="Q990" s="383"/>
      <c r="R990" s="383"/>
      <c r="S990" s="385"/>
      <c r="T990" s="380"/>
      <c r="U990" s="380"/>
      <c r="V990" s="380"/>
      <c r="W990" s="380"/>
      <c r="X990" s="380"/>
    </row>
    <row r="991" spans="1:24" ht="15.75" customHeight="1">
      <c r="A991" s="463"/>
      <c r="B991" s="380"/>
      <c r="C991" s="381"/>
      <c r="D991" s="381"/>
      <c r="E991" s="381"/>
      <c r="F991" s="381"/>
      <c r="G991" s="381"/>
      <c r="H991" s="381"/>
      <c r="I991" s="381"/>
      <c r="J991" s="381"/>
      <c r="K991" s="382"/>
      <c r="L991" s="380"/>
      <c r="M991" s="413"/>
      <c r="N991" s="383"/>
      <c r="O991" s="384"/>
      <c r="P991" s="384"/>
      <c r="Q991" s="383"/>
      <c r="R991" s="383"/>
      <c r="S991" s="385"/>
      <c r="T991" s="380"/>
      <c r="U991" s="380"/>
      <c r="V991" s="380"/>
      <c r="W991" s="380"/>
      <c r="X991" s="380"/>
    </row>
    <row r="992" spans="1:24" ht="15.75" customHeight="1">
      <c r="A992" s="463"/>
      <c r="B992" s="380"/>
      <c r="C992" s="381"/>
      <c r="D992" s="381"/>
      <c r="E992" s="381"/>
      <c r="F992" s="381"/>
      <c r="G992" s="381"/>
      <c r="H992" s="381"/>
      <c r="I992" s="381"/>
      <c r="J992" s="381"/>
      <c r="K992" s="382"/>
      <c r="L992" s="380"/>
      <c r="M992" s="413"/>
      <c r="N992" s="383"/>
      <c r="O992" s="384"/>
      <c r="P992" s="384"/>
      <c r="Q992" s="383"/>
      <c r="R992" s="383"/>
      <c r="S992" s="385"/>
      <c r="T992" s="380"/>
      <c r="U992" s="380"/>
      <c r="V992" s="380"/>
      <c r="W992" s="380"/>
      <c r="X992" s="380"/>
    </row>
    <row r="993" spans="1:24" ht="15.75" customHeight="1">
      <c r="A993" s="463"/>
      <c r="B993" s="380"/>
      <c r="C993" s="381"/>
      <c r="D993" s="381"/>
      <c r="E993" s="381"/>
      <c r="F993" s="381"/>
      <c r="G993" s="381"/>
      <c r="H993" s="381"/>
      <c r="I993" s="381"/>
      <c r="J993" s="381"/>
      <c r="K993" s="382"/>
      <c r="L993" s="380"/>
      <c r="M993" s="413"/>
      <c r="N993" s="383"/>
      <c r="O993" s="384"/>
      <c r="P993" s="384"/>
      <c r="Q993" s="383"/>
      <c r="R993" s="383"/>
      <c r="S993" s="385"/>
      <c r="T993" s="380"/>
      <c r="U993" s="380"/>
      <c r="V993" s="380"/>
      <c r="W993" s="380"/>
      <c r="X993" s="380"/>
    </row>
    <row r="994" spans="1:24" ht="15.75" customHeight="1">
      <c r="A994" s="463"/>
      <c r="B994" s="380"/>
      <c r="C994" s="381"/>
      <c r="D994" s="381"/>
      <c r="E994" s="381"/>
      <c r="F994" s="381"/>
      <c r="G994" s="381"/>
      <c r="H994" s="381"/>
      <c r="I994" s="381"/>
      <c r="J994" s="381"/>
      <c r="K994" s="382"/>
      <c r="L994" s="380"/>
      <c r="M994" s="413"/>
      <c r="N994" s="383"/>
      <c r="O994" s="384"/>
      <c r="P994" s="384"/>
      <c r="Q994" s="383"/>
      <c r="R994" s="383"/>
      <c r="S994" s="385"/>
      <c r="T994" s="380"/>
      <c r="U994" s="380"/>
      <c r="V994" s="380"/>
      <c r="W994" s="380"/>
      <c r="X994" s="380"/>
    </row>
    <row r="995" spans="1:24" ht="15.75" customHeight="1">
      <c r="A995" s="463"/>
      <c r="B995" s="380"/>
      <c r="C995" s="381"/>
      <c r="D995" s="381"/>
      <c r="E995" s="381"/>
      <c r="F995" s="381"/>
      <c r="G995" s="381"/>
      <c r="H995" s="381"/>
      <c r="I995" s="381"/>
      <c r="J995" s="381"/>
      <c r="K995" s="382"/>
      <c r="L995" s="380"/>
      <c r="M995" s="413"/>
      <c r="N995" s="383"/>
      <c r="O995" s="384"/>
      <c r="P995" s="384"/>
      <c r="Q995" s="383"/>
      <c r="R995" s="383"/>
      <c r="S995" s="385"/>
      <c r="T995" s="380"/>
      <c r="U995" s="380"/>
      <c r="V995" s="380"/>
      <c r="W995" s="380"/>
      <c r="X995" s="380"/>
    </row>
    <row r="996" spans="1:24" ht="15.75" customHeight="1">
      <c r="A996" s="463"/>
      <c r="B996" s="380"/>
      <c r="C996" s="381"/>
      <c r="D996" s="381"/>
      <c r="E996" s="381"/>
      <c r="F996" s="381"/>
      <c r="G996" s="381"/>
      <c r="H996" s="381"/>
      <c r="I996" s="381"/>
      <c r="J996" s="381"/>
      <c r="K996" s="382"/>
      <c r="L996" s="380"/>
      <c r="M996" s="413"/>
      <c r="N996" s="383"/>
      <c r="O996" s="384"/>
      <c r="P996" s="384"/>
      <c r="Q996" s="383"/>
      <c r="R996" s="383"/>
      <c r="S996" s="385"/>
      <c r="T996" s="380"/>
      <c r="U996" s="380"/>
      <c r="V996" s="380"/>
      <c r="W996" s="380"/>
      <c r="X996" s="380"/>
    </row>
    <row r="997" spans="1:24" ht="15.75" customHeight="1">
      <c r="A997" s="463"/>
      <c r="B997" s="380"/>
      <c r="C997" s="381"/>
      <c r="D997" s="381"/>
      <c r="E997" s="381"/>
      <c r="F997" s="381"/>
      <c r="G997" s="381"/>
      <c r="H997" s="381"/>
      <c r="I997" s="381"/>
      <c r="J997" s="381"/>
      <c r="K997" s="382"/>
      <c r="L997" s="380"/>
      <c r="M997" s="413"/>
      <c r="N997" s="383"/>
      <c r="O997" s="384"/>
      <c r="P997" s="384"/>
      <c r="Q997" s="383"/>
      <c r="R997" s="383"/>
      <c r="S997" s="385"/>
      <c r="T997" s="380"/>
      <c r="U997" s="380"/>
      <c r="V997" s="380"/>
      <c r="W997" s="380"/>
      <c r="X997" s="380"/>
    </row>
    <row r="998" spans="1:24" ht="15.75" customHeight="1">
      <c r="A998" s="463"/>
      <c r="B998" s="380"/>
      <c r="C998" s="381"/>
      <c r="D998" s="381"/>
      <c r="E998" s="381"/>
      <c r="F998" s="381"/>
      <c r="G998" s="381"/>
      <c r="H998" s="381"/>
      <c r="I998" s="381"/>
      <c r="J998" s="381"/>
      <c r="K998" s="382"/>
      <c r="L998" s="380"/>
      <c r="M998" s="413"/>
      <c r="N998" s="383"/>
      <c r="O998" s="384"/>
      <c r="P998" s="384"/>
      <c r="Q998" s="383"/>
      <c r="R998" s="383"/>
      <c r="S998" s="385"/>
      <c r="T998" s="380"/>
      <c r="U998" s="380"/>
      <c r="V998" s="380"/>
      <c r="W998" s="380"/>
      <c r="X998" s="380"/>
    </row>
    <row r="999" spans="1:24" ht="15.75" customHeight="1">
      <c r="A999" s="463"/>
      <c r="B999" s="380"/>
      <c r="C999" s="381"/>
      <c r="D999" s="381"/>
      <c r="E999" s="381"/>
      <c r="F999" s="381"/>
      <c r="G999" s="381"/>
      <c r="H999" s="381"/>
      <c r="I999" s="381"/>
      <c r="J999" s="381"/>
      <c r="K999" s="382"/>
      <c r="L999" s="380"/>
      <c r="M999" s="413"/>
      <c r="N999" s="383"/>
      <c r="O999" s="384"/>
      <c r="P999" s="384"/>
      <c r="Q999" s="383"/>
      <c r="R999" s="383"/>
      <c r="S999" s="385"/>
      <c r="T999" s="380"/>
      <c r="U999" s="380"/>
      <c r="V999" s="380"/>
      <c r="W999" s="380"/>
      <c r="X999" s="380"/>
    </row>
    <row r="1000" spans="1:24" ht="15.75" customHeight="1">
      <c r="A1000" s="463"/>
      <c r="B1000" s="380"/>
      <c r="C1000" s="381"/>
      <c r="D1000" s="381"/>
      <c r="E1000" s="381"/>
      <c r="F1000" s="381"/>
      <c r="G1000" s="381"/>
      <c r="H1000" s="381"/>
      <c r="I1000" s="381"/>
      <c r="J1000" s="381"/>
      <c r="K1000" s="382"/>
      <c r="L1000" s="380"/>
      <c r="M1000" s="413"/>
      <c r="N1000" s="383"/>
      <c r="O1000" s="384"/>
      <c r="P1000" s="384"/>
      <c r="Q1000" s="383"/>
      <c r="R1000" s="383"/>
      <c r="S1000" s="385"/>
      <c r="T1000" s="380"/>
      <c r="U1000" s="380"/>
      <c r="V1000" s="380"/>
      <c r="W1000" s="380"/>
      <c r="X1000" s="380"/>
    </row>
    <row r="1001" spans="1:24" ht="15.75" customHeight="1">
      <c r="A1001" s="463"/>
      <c r="B1001" s="380"/>
      <c r="C1001" s="381"/>
      <c r="D1001" s="381"/>
      <c r="E1001" s="381"/>
      <c r="F1001" s="381"/>
      <c r="G1001" s="381"/>
      <c r="H1001" s="381"/>
      <c r="I1001" s="381"/>
      <c r="J1001" s="381"/>
      <c r="K1001" s="382"/>
      <c r="L1001" s="380"/>
      <c r="M1001" s="413"/>
      <c r="N1001" s="383"/>
      <c r="O1001" s="384"/>
      <c r="P1001" s="384"/>
      <c r="Q1001" s="383"/>
      <c r="R1001" s="383"/>
      <c r="S1001" s="385"/>
      <c r="T1001" s="380"/>
      <c r="U1001" s="380"/>
      <c r="V1001" s="380"/>
      <c r="W1001" s="380"/>
      <c r="X1001" s="380"/>
    </row>
    <row r="1002" spans="1:24" ht="15.75" customHeight="1">
      <c r="A1002" s="463"/>
      <c r="B1002" s="380"/>
      <c r="C1002" s="381"/>
      <c r="D1002" s="381"/>
      <c r="E1002" s="381"/>
      <c r="F1002" s="381"/>
      <c r="G1002" s="381"/>
      <c r="H1002" s="381"/>
      <c r="I1002" s="381"/>
      <c r="J1002" s="381"/>
      <c r="K1002" s="382"/>
      <c r="L1002" s="380"/>
      <c r="M1002" s="413"/>
      <c r="N1002" s="383"/>
      <c r="O1002" s="384"/>
      <c r="P1002" s="384"/>
      <c r="Q1002" s="383"/>
      <c r="R1002" s="383"/>
      <c r="S1002" s="385"/>
      <c r="T1002" s="380"/>
      <c r="U1002" s="380"/>
      <c r="V1002" s="380"/>
      <c r="W1002" s="380"/>
      <c r="X1002" s="380"/>
    </row>
    <row r="1003" spans="1:24" ht="15.75" customHeight="1">
      <c r="A1003" s="463"/>
      <c r="B1003" s="380"/>
      <c r="C1003" s="381"/>
      <c r="D1003" s="381"/>
      <c r="E1003" s="381"/>
      <c r="F1003" s="381"/>
      <c r="G1003" s="381"/>
      <c r="H1003" s="381"/>
      <c r="I1003" s="381"/>
      <c r="J1003" s="381"/>
      <c r="K1003" s="382"/>
      <c r="L1003" s="380"/>
      <c r="M1003" s="413"/>
      <c r="N1003" s="383"/>
      <c r="O1003" s="384"/>
      <c r="P1003" s="384"/>
      <c r="Q1003" s="383"/>
      <c r="R1003" s="383"/>
      <c r="S1003" s="385"/>
      <c r="T1003" s="380"/>
      <c r="U1003" s="380"/>
      <c r="V1003" s="380"/>
      <c r="W1003" s="380"/>
      <c r="X1003" s="380"/>
    </row>
    <row r="1004" spans="1:24" ht="15.75" customHeight="1">
      <c r="A1004" s="463"/>
      <c r="B1004" s="380"/>
      <c r="C1004" s="381"/>
      <c r="D1004" s="381"/>
      <c r="E1004" s="381"/>
      <c r="F1004" s="381"/>
      <c r="G1004" s="381"/>
      <c r="H1004" s="381"/>
      <c r="I1004" s="381"/>
      <c r="J1004" s="381"/>
      <c r="K1004" s="382"/>
      <c r="L1004" s="380"/>
      <c r="M1004" s="413"/>
      <c r="N1004" s="383"/>
      <c r="O1004" s="384"/>
      <c r="P1004" s="384"/>
      <c r="Q1004" s="383"/>
      <c r="R1004" s="383"/>
      <c r="S1004" s="385"/>
      <c r="T1004" s="380"/>
      <c r="U1004" s="380"/>
      <c r="V1004" s="380"/>
      <c r="W1004" s="380"/>
      <c r="X1004" s="380"/>
    </row>
    <row r="1005" spans="1:24" ht="15.75" customHeight="1">
      <c r="A1005" s="463"/>
      <c r="B1005" s="380"/>
      <c r="C1005" s="381"/>
      <c r="D1005" s="381"/>
      <c r="E1005" s="381"/>
      <c r="F1005" s="381"/>
      <c r="G1005" s="381"/>
      <c r="H1005" s="381"/>
      <c r="I1005" s="381"/>
      <c r="J1005" s="381"/>
      <c r="K1005" s="382"/>
      <c r="L1005" s="380"/>
      <c r="M1005" s="413"/>
      <c r="N1005" s="383"/>
      <c r="O1005" s="384"/>
      <c r="P1005" s="384"/>
      <c r="Q1005" s="383"/>
      <c r="R1005" s="383"/>
      <c r="S1005" s="385"/>
      <c r="T1005" s="380"/>
      <c r="U1005" s="380"/>
      <c r="V1005" s="380"/>
      <c r="W1005" s="380"/>
      <c r="X1005" s="380"/>
    </row>
    <row r="1006" spans="1:24" ht="15.75" customHeight="1">
      <c r="A1006" s="463"/>
      <c r="B1006" s="380"/>
      <c r="C1006" s="381"/>
      <c r="D1006" s="381"/>
      <c r="E1006" s="381"/>
      <c r="F1006" s="381"/>
      <c r="G1006" s="381"/>
      <c r="H1006" s="381"/>
      <c r="I1006" s="381"/>
      <c r="J1006" s="381"/>
      <c r="K1006" s="382"/>
      <c r="L1006" s="380"/>
      <c r="M1006" s="413"/>
      <c r="N1006" s="383"/>
      <c r="O1006" s="384"/>
      <c r="P1006" s="384"/>
      <c r="Q1006" s="383"/>
      <c r="R1006" s="383"/>
      <c r="S1006" s="385"/>
      <c r="T1006" s="380"/>
      <c r="U1006" s="380"/>
      <c r="V1006" s="380"/>
      <c r="W1006" s="380"/>
      <c r="X1006" s="380"/>
    </row>
    <row r="1007" spans="1:24" ht="15.75" customHeight="1">
      <c r="A1007" s="463"/>
      <c r="B1007" s="380"/>
      <c r="C1007" s="381"/>
      <c r="D1007" s="381"/>
      <c r="E1007" s="381"/>
      <c r="F1007" s="381"/>
      <c r="G1007" s="381"/>
      <c r="H1007" s="381"/>
      <c r="I1007" s="381"/>
      <c r="J1007" s="381"/>
      <c r="K1007" s="382"/>
      <c r="L1007" s="380"/>
      <c r="M1007" s="413"/>
      <c r="N1007" s="383"/>
      <c r="O1007" s="384"/>
      <c r="P1007" s="384"/>
      <c r="Q1007" s="383"/>
      <c r="R1007" s="383"/>
      <c r="S1007" s="385"/>
      <c r="T1007" s="380"/>
      <c r="U1007" s="380"/>
      <c r="V1007" s="380"/>
      <c r="W1007" s="380"/>
      <c r="X1007" s="380"/>
    </row>
    <row r="1008" spans="1:24" ht="15.75" customHeight="1">
      <c r="A1008" s="463"/>
      <c r="B1008" s="380"/>
      <c r="C1008" s="381"/>
      <c r="D1008" s="381"/>
      <c r="E1008" s="381"/>
      <c r="F1008" s="381"/>
      <c r="G1008" s="381"/>
      <c r="H1008" s="381"/>
      <c r="I1008" s="381"/>
      <c r="J1008" s="381"/>
      <c r="K1008" s="382"/>
      <c r="L1008" s="380"/>
      <c r="M1008" s="413"/>
      <c r="N1008" s="383"/>
      <c r="O1008" s="384"/>
      <c r="P1008" s="384"/>
      <c r="Q1008" s="383"/>
      <c r="R1008" s="383"/>
      <c r="S1008" s="385"/>
      <c r="T1008" s="380"/>
      <c r="U1008" s="380"/>
      <c r="V1008" s="380"/>
      <c r="W1008" s="380"/>
      <c r="X1008" s="380"/>
    </row>
    <row r="1009" spans="1:24" ht="15.75" customHeight="1">
      <c r="A1009" s="463"/>
      <c r="B1009" s="380"/>
      <c r="C1009" s="381"/>
      <c r="D1009" s="381"/>
      <c r="E1009" s="381"/>
      <c r="F1009" s="381"/>
      <c r="G1009" s="381"/>
      <c r="H1009" s="381"/>
      <c r="I1009" s="381"/>
      <c r="J1009" s="381"/>
      <c r="K1009" s="382"/>
      <c r="L1009" s="380"/>
      <c r="M1009" s="413"/>
      <c r="N1009" s="383"/>
      <c r="O1009" s="384"/>
      <c r="P1009" s="384"/>
      <c r="Q1009" s="383"/>
      <c r="R1009" s="383"/>
      <c r="S1009" s="385"/>
      <c r="T1009" s="380"/>
      <c r="U1009" s="380"/>
      <c r="V1009" s="380"/>
      <c r="W1009" s="380"/>
      <c r="X1009" s="380"/>
    </row>
    <row r="1010" spans="1:24" ht="15.75" customHeight="1">
      <c r="A1010" s="463"/>
      <c r="B1010" s="380"/>
      <c r="C1010" s="381"/>
      <c r="D1010" s="381"/>
      <c r="E1010" s="381"/>
      <c r="F1010" s="381"/>
      <c r="G1010" s="381"/>
      <c r="H1010" s="381"/>
      <c r="I1010" s="381"/>
      <c r="J1010" s="381"/>
      <c r="K1010" s="382"/>
      <c r="L1010" s="380"/>
      <c r="M1010" s="413"/>
      <c r="N1010" s="383"/>
      <c r="O1010" s="384"/>
      <c r="P1010" s="384"/>
      <c r="Q1010" s="383"/>
      <c r="R1010" s="383"/>
      <c r="S1010" s="385"/>
      <c r="T1010" s="380"/>
      <c r="U1010" s="380"/>
      <c r="V1010" s="380"/>
      <c r="W1010" s="380"/>
      <c r="X1010" s="380"/>
    </row>
    <row r="1011" spans="1:24" ht="15.75" customHeight="1">
      <c r="A1011" s="463"/>
      <c r="B1011" s="380"/>
      <c r="C1011" s="381"/>
      <c r="D1011" s="381"/>
      <c r="E1011" s="381"/>
      <c r="F1011" s="381"/>
      <c r="G1011" s="381"/>
      <c r="H1011" s="381"/>
      <c r="I1011" s="381"/>
      <c r="J1011" s="381"/>
      <c r="K1011" s="382"/>
      <c r="L1011" s="380"/>
      <c r="M1011" s="413"/>
      <c r="N1011" s="383"/>
      <c r="O1011" s="384"/>
      <c r="P1011" s="384"/>
      <c r="Q1011" s="383"/>
      <c r="R1011" s="383"/>
      <c r="S1011" s="385"/>
      <c r="T1011" s="380"/>
      <c r="U1011" s="380"/>
      <c r="V1011" s="380"/>
      <c r="W1011" s="380"/>
      <c r="X1011" s="380"/>
    </row>
    <row r="1012" spans="1:24" ht="15.75" customHeight="1">
      <c r="A1012" s="463"/>
      <c r="B1012" s="380"/>
      <c r="C1012" s="381"/>
      <c r="D1012" s="381"/>
      <c r="E1012" s="381"/>
      <c r="F1012" s="381"/>
      <c r="G1012" s="381"/>
      <c r="H1012" s="381"/>
      <c r="I1012" s="381"/>
      <c r="J1012" s="381"/>
      <c r="K1012" s="382"/>
      <c r="L1012" s="380"/>
      <c r="M1012" s="413"/>
      <c r="N1012" s="383"/>
      <c r="O1012" s="384"/>
      <c r="P1012" s="384"/>
      <c r="Q1012" s="383"/>
      <c r="R1012" s="383"/>
      <c r="S1012" s="385"/>
      <c r="T1012" s="380"/>
      <c r="U1012" s="380"/>
      <c r="V1012" s="380"/>
      <c r="W1012" s="380"/>
      <c r="X1012" s="380"/>
    </row>
    <row r="1013" spans="1:24" ht="15.75" customHeight="1">
      <c r="A1013" s="463"/>
      <c r="B1013" s="380"/>
      <c r="C1013" s="381"/>
      <c r="D1013" s="381"/>
      <c r="E1013" s="381"/>
      <c r="F1013" s="381"/>
      <c r="G1013" s="381"/>
      <c r="H1013" s="381"/>
      <c r="I1013" s="381"/>
      <c r="J1013" s="381"/>
      <c r="K1013" s="382"/>
      <c r="L1013" s="380"/>
      <c r="M1013" s="413"/>
      <c r="N1013" s="383"/>
      <c r="O1013" s="384"/>
      <c r="P1013" s="384"/>
      <c r="Q1013" s="383"/>
      <c r="R1013" s="383"/>
      <c r="S1013" s="385"/>
      <c r="T1013" s="380"/>
      <c r="U1013" s="380"/>
      <c r="V1013" s="380"/>
      <c r="W1013" s="380"/>
      <c r="X1013" s="380"/>
    </row>
    <row r="1014" spans="1:24" ht="15.75" customHeight="1">
      <c r="A1014" s="463"/>
      <c r="B1014" s="380"/>
      <c r="C1014" s="381"/>
      <c r="D1014" s="381"/>
      <c r="E1014" s="381"/>
      <c r="F1014" s="381"/>
      <c r="G1014" s="381"/>
      <c r="H1014" s="381"/>
      <c r="I1014" s="381"/>
      <c r="J1014" s="381"/>
      <c r="K1014" s="382"/>
      <c r="L1014" s="380"/>
      <c r="M1014" s="413"/>
      <c r="N1014" s="383"/>
      <c r="O1014" s="384"/>
      <c r="P1014" s="384"/>
      <c r="Q1014" s="383"/>
      <c r="R1014" s="383"/>
      <c r="S1014" s="385"/>
      <c r="T1014" s="380"/>
      <c r="U1014" s="380"/>
      <c r="V1014" s="380"/>
      <c r="W1014" s="380"/>
      <c r="X1014" s="380"/>
    </row>
    <row r="1015" spans="1:24" ht="15.75" customHeight="1">
      <c r="A1015" s="463"/>
      <c r="B1015" s="380"/>
      <c r="C1015" s="381"/>
      <c r="D1015" s="381"/>
      <c r="E1015" s="381"/>
      <c r="F1015" s="381"/>
      <c r="G1015" s="381"/>
      <c r="H1015" s="381"/>
      <c r="I1015" s="381"/>
      <c r="J1015" s="381"/>
      <c r="K1015" s="382"/>
      <c r="L1015" s="380"/>
      <c r="M1015" s="413"/>
      <c r="N1015" s="383"/>
      <c r="O1015" s="384"/>
      <c r="P1015" s="384"/>
      <c r="Q1015" s="383"/>
      <c r="R1015" s="383"/>
      <c r="S1015" s="385"/>
      <c r="T1015" s="380"/>
      <c r="U1015" s="380"/>
      <c r="V1015" s="380"/>
      <c r="W1015" s="380"/>
      <c r="X1015" s="380"/>
    </row>
    <row r="1016" spans="1:24" ht="15.75" customHeight="1">
      <c r="A1016" s="463"/>
      <c r="B1016" s="380"/>
      <c r="C1016" s="381"/>
      <c r="D1016" s="381"/>
      <c r="E1016" s="381"/>
      <c r="F1016" s="381"/>
      <c r="G1016" s="381"/>
      <c r="H1016" s="381"/>
      <c r="I1016" s="381"/>
      <c r="J1016" s="381"/>
      <c r="K1016" s="382"/>
      <c r="L1016" s="380"/>
      <c r="M1016" s="413"/>
      <c r="N1016" s="383"/>
      <c r="O1016" s="384"/>
      <c r="P1016" s="384"/>
      <c r="Q1016" s="383"/>
      <c r="R1016" s="383"/>
      <c r="S1016" s="385"/>
      <c r="T1016" s="380"/>
      <c r="U1016" s="380"/>
      <c r="V1016" s="380"/>
      <c r="W1016" s="380"/>
      <c r="X1016" s="380"/>
    </row>
    <row r="1017" spans="1:24" ht="15.75" customHeight="1">
      <c r="A1017" s="463"/>
      <c r="B1017" s="380"/>
      <c r="C1017" s="381"/>
      <c r="D1017" s="381"/>
      <c r="E1017" s="381"/>
      <c r="F1017" s="381"/>
      <c r="G1017" s="381"/>
      <c r="H1017" s="381"/>
      <c r="I1017" s="381"/>
      <c r="J1017" s="381"/>
      <c r="K1017" s="382"/>
      <c r="L1017" s="380"/>
      <c r="M1017" s="413"/>
      <c r="N1017" s="383"/>
      <c r="O1017" s="384"/>
      <c r="P1017" s="384"/>
      <c r="Q1017" s="383"/>
      <c r="R1017" s="383"/>
      <c r="S1017" s="385"/>
      <c r="T1017" s="380"/>
      <c r="U1017" s="380"/>
      <c r="V1017" s="380"/>
      <c r="W1017" s="380"/>
      <c r="X1017" s="380"/>
    </row>
    <row r="1018" spans="1:24" ht="15.75" customHeight="1">
      <c r="A1018" s="463"/>
      <c r="B1018" s="380"/>
      <c r="C1018" s="381"/>
      <c r="D1018" s="381"/>
      <c r="E1018" s="381"/>
      <c r="F1018" s="381"/>
      <c r="G1018" s="381"/>
      <c r="H1018" s="381"/>
      <c r="I1018" s="381"/>
      <c r="J1018" s="381"/>
      <c r="K1018" s="382"/>
      <c r="L1018" s="380"/>
      <c r="M1018" s="413"/>
      <c r="N1018" s="383"/>
      <c r="O1018" s="384"/>
      <c r="P1018" s="384"/>
      <c r="Q1018" s="383"/>
      <c r="R1018" s="383"/>
      <c r="S1018" s="385"/>
      <c r="T1018" s="380"/>
      <c r="U1018" s="380"/>
      <c r="V1018" s="380"/>
      <c r="W1018" s="380"/>
      <c r="X1018" s="380"/>
    </row>
    <row r="1019" spans="1:24" ht="15.75" customHeight="1">
      <c r="A1019" s="463"/>
      <c r="B1019" s="380"/>
      <c r="C1019" s="381"/>
      <c r="D1019" s="381"/>
      <c r="E1019" s="381"/>
      <c r="F1019" s="381"/>
      <c r="G1019" s="381"/>
      <c r="H1019" s="381"/>
      <c r="I1019" s="381"/>
      <c r="J1019" s="381"/>
      <c r="K1019" s="382"/>
      <c r="L1019" s="380"/>
      <c r="M1019" s="413"/>
      <c r="N1019" s="383"/>
      <c r="O1019" s="384"/>
      <c r="P1019" s="384"/>
      <c r="Q1019" s="383"/>
      <c r="R1019" s="383"/>
      <c r="S1019" s="385"/>
      <c r="T1019" s="380"/>
      <c r="U1019" s="380"/>
      <c r="V1019" s="380"/>
      <c r="W1019" s="380"/>
      <c r="X1019" s="380"/>
    </row>
    <row r="1020" spans="1:24" ht="15.75" customHeight="1">
      <c r="A1020" s="463"/>
      <c r="B1020" s="380"/>
      <c r="C1020" s="381"/>
      <c r="D1020" s="381"/>
      <c r="E1020" s="381"/>
      <c r="F1020" s="381"/>
      <c r="G1020" s="381"/>
      <c r="H1020" s="381"/>
      <c r="I1020" s="381"/>
      <c r="J1020" s="381"/>
      <c r="K1020" s="382"/>
      <c r="L1020" s="380"/>
      <c r="M1020" s="413"/>
      <c r="N1020" s="383"/>
      <c r="O1020" s="384"/>
      <c r="P1020" s="384"/>
      <c r="Q1020" s="383"/>
      <c r="R1020" s="383"/>
      <c r="S1020" s="385"/>
      <c r="T1020" s="380"/>
      <c r="U1020" s="380"/>
      <c r="V1020" s="380"/>
      <c r="W1020" s="380"/>
      <c r="X1020" s="380"/>
    </row>
    <row r="1021" spans="1:24" ht="15.75" customHeight="1">
      <c r="A1021" s="463"/>
      <c r="B1021" s="380"/>
      <c r="C1021" s="381"/>
      <c r="D1021" s="381"/>
      <c r="E1021" s="381"/>
      <c r="F1021" s="381"/>
      <c r="G1021" s="381"/>
      <c r="H1021" s="381"/>
      <c r="I1021" s="381"/>
      <c r="J1021" s="381"/>
      <c r="K1021" s="382"/>
      <c r="L1021" s="380"/>
      <c r="M1021" s="413"/>
      <c r="N1021" s="383"/>
      <c r="O1021" s="384"/>
      <c r="P1021" s="384"/>
      <c r="Q1021" s="383"/>
      <c r="R1021" s="383"/>
      <c r="S1021" s="385"/>
      <c r="T1021" s="380"/>
      <c r="U1021" s="380"/>
      <c r="V1021" s="380"/>
      <c r="W1021" s="380"/>
      <c r="X1021" s="380"/>
    </row>
    <row r="1022" spans="1:24" ht="15.75" customHeight="1">
      <c r="A1022" s="463"/>
      <c r="B1022" s="380"/>
      <c r="C1022" s="381"/>
      <c r="D1022" s="381"/>
      <c r="E1022" s="381"/>
      <c r="F1022" s="381"/>
      <c r="G1022" s="381"/>
      <c r="H1022" s="381"/>
      <c r="I1022" s="381"/>
      <c r="J1022" s="381"/>
      <c r="K1022" s="382"/>
      <c r="L1022" s="380"/>
      <c r="M1022" s="413"/>
      <c r="N1022" s="383"/>
      <c r="O1022" s="384"/>
      <c r="P1022" s="384"/>
      <c r="Q1022" s="383"/>
      <c r="R1022" s="383"/>
      <c r="S1022" s="385"/>
      <c r="T1022" s="380"/>
      <c r="U1022" s="380"/>
      <c r="V1022" s="380"/>
      <c r="W1022" s="380"/>
      <c r="X1022" s="380"/>
    </row>
    <row r="1023" spans="1:24" ht="15.75" customHeight="1">
      <c r="A1023" s="463"/>
      <c r="B1023" s="380"/>
      <c r="C1023" s="381"/>
      <c r="D1023" s="381"/>
      <c r="E1023" s="381"/>
      <c r="F1023" s="381"/>
      <c r="G1023" s="381"/>
      <c r="H1023" s="381"/>
      <c r="I1023" s="381"/>
      <c r="J1023" s="381"/>
      <c r="K1023" s="382"/>
      <c r="L1023" s="380"/>
      <c r="M1023" s="413"/>
      <c r="N1023" s="383"/>
      <c r="O1023" s="384"/>
      <c r="P1023" s="384"/>
      <c r="Q1023" s="383"/>
      <c r="R1023" s="383"/>
      <c r="S1023" s="385"/>
      <c r="T1023" s="380"/>
      <c r="U1023" s="380"/>
      <c r="V1023" s="380"/>
      <c r="W1023" s="380"/>
      <c r="X1023" s="380"/>
    </row>
    <row r="1024" spans="1:24" ht="15.75" customHeight="1">
      <c r="A1024" s="463"/>
      <c r="B1024" s="380"/>
      <c r="C1024" s="381"/>
      <c r="D1024" s="381"/>
      <c r="E1024" s="381"/>
      <c r="F1024" s="381"/>
      <c r="G1024" s="381"/>
      <c r="H1024" s="381"/>
      <c r="I1024" s="381"/>
      <c r="J1024" s="381"/>
      <c r="K1024" s="382"/>
      <c r="L1024" s="380"/>
      <c r="M1024" s="413"/>
      <c r="N1024" s="383"/>
      <c r="O1024" s="384"/>
      <c r="P1024" s="384"/>
      <c r="Q1024" s="383"/>
      <c r="R1024" s="383"/>
      <c r="S1024" s="385"/>
      <c r="T1024" s="380"/>
      <c r="U1024" s="380"/>
      <c r="V1024" s="380"/>
      <c r="W1024" s="380"/>
      <c r="X1024" s="380"/>
    </row>
    <row r="1025" spans="1:24" ht="15.75" customHeight="1">
      <c r="A1025" s="463"/>
      <c r="B1025" s="380"/>
      <c r="C1025" s="381"/>
      <c r="D1025" s="381"/>
      <c r="E1025" s="381"/>
      <c r="F1025" s="381"/>
      <c r="G1025" s="381"/>
      <c r="H1025" s="381"/>
      <c r="I1025" s="381"/>
      <c r="J1025" s="381"/>
      <c r="K1025" s="382"/>
      <c r="L1025" s="380"/>
      <c r="M1025" s="413"/>
      <c r="N1025" s="383"/>
      <c r="O1025" s="384"/>
      <c r="P1025" s="384"/>
      <c r="Q1025" s="383"/>
      <c r="R1025" s="383"/>
      <c r="S1025" s="385"/>
      <c r="T1025" s="380"/>
      <c r="U1025" s="380"/>
      <c r="V1025" s="380"/>
      <c r="W1025" s="380"/>
      <c r="X1025" s="380"/>
    </row>
    <row r="1026" spans="1:24" ht="15.75" customHeight="1">
      <c r="A1026" s="463"/>
      <c r="B1026" s="380"/>
      <c r="C1026" s="381"/>
      <c r="D1026" s="381"/>
      <c r="E1026" s="381"/>
      <c r="F1026" s="381"/>
      <c r="G1026" s="381"/>
      <c r="H1026" s="381"/>
      <c r="I1026" s="381"/>
      <c r="J1026" s="381"/>
      <c r="K1026" s="382"/>
      <c r="L1026" s="380"/>
      <c r="M1026" s="413"/>
      <c r="N1026" s="383"/>
      <c r="O1026" s="384"/>
      <c r="P1026" s="384"/>
      <c r="Q1026" s="383"/>
      <c r="R1026" s="383"/>
      <c r="S1026" s="385"/>
      <c r="T1026" s="380"/>
      <c r="U1026" s="380"/>
      <c r="V1026" s="380"/>
      <c r="W1026" s="380"/>
      <c r="X1026" s="380"/>
    </row>
    <row r="1027" spans="1:24" ht="15.75" customHeight="1">
      <c r="A1027" s="463"/>
      <c r="B1027" s="380"/>
      <c r="C1027" s="381"/>
      <c r="D1027" s="381"/>
      <c r="E1027" s="381"/>
      <c r="F1027" s="381"/>
      <c r="G1027" s="381"/>
      <c r="H1027" s="381"/>
      <c r="I1027" s="381"/>
      <c r="J1027" s="381"/>
      <c r="K1027" s="382"/>
      <c r="L1027" s="380"/>
      <c r="M1027" s="413"/>
      <c r="N1027" s="383"/>
      <c r="O1027" s="384"/>
      <c r="P1027" s="384"/>
      <c r="Q1027" s="383"/>
      <c r="R1027" s="383"/>
      <c r="S1027" s="385"/>
      <c r="T1027" s="380"/>
      <c r="U1027" s="380"/>
      <c r="V1027" s="380"/>
      <c r="W1027" s="380"/>
      <c r="X1027" s="380"/>
    </row>
    <row r="1028" spans="1:24" ht="15.75" customHeight="1">
      <c r="A1028" s="463"/>
      <c r="B1028" s="380"/>
      <c r="C1028" s="381"/>
      <c r="D1028" s="381"/>
      <c r="E1028" s="381"/>
      <c r="F1028" s="381"/>
      <c r="G1028" s="381"/>
      <c r="H1028" s="381"/>
      <c r="I1028" s="381"/>
      <c r="J1028" s="381"/>
      <c r="K1028" s="382"/>
      <c r="L1028" s="380"/>
      <c r="M1028" s="413"/>
      <c r="N1028" s="383"/>
      <c r="O1028" s="384"/>
      <c r="P1028" s="384"/>
      <c r="Q1028" s="383"/>
      <c r="R1028" s="383"/>
      <c r="S1028" s="385"/>
      <c r="T1028" s="380"/>
      <c r="U1028" s="380"/>
      <c r="V1028" s="380"/>
      <c r="W1028" s="380"/>
      <c r="X1028" s="380"/>
    </row>
    <row r="1029" spans="1:24" ht="15.75" customHeight="1">
      <c r="A1029" s="463"/>
      <c r="B1029" s="380"/>
      <c r="C1029" s="381"/>
      <c r="D1029" s="381"/>
      <c r="E1029" s="381"/>
      <c r="F1029" s="381"/>
      <c r="G1029" s="381"/>
      <c r="H1029" s="381"/>
      <c r="I1029" s="381"/>
      <c r="J1029" s="381"/>
      <c r="K1029" s="382"/>
      <c r="L1029" s="380"/>
      <c r="M1029" s="413"/>
      <c r="N1029" s="383"/>
      <c r="O1029" s="384"/>
      <c r="P1029" s="384"/>
      <c r="Q1029" s="383"/>
      <c r="R1029" s="383"/>
      <c r="S1029" s="385"/>
      <c r="T1029" s="380"/>
      <c r="U1029" s="380"/>
      <c r="V1029" s="380"/>
      <c r="W1029" s="380"/>
      <c r="X1029" s="380"/>
    </row>
    <row r="1030" spans="1:24" ht="15.75" customHeight="1">
      <c r="A1030" s="463"/>
      <c r="B1030" s="380"/>
      <c r="C1030" s="381"/>
      <c r="D1030" s="381"/>
      <c r="E1030" s="381"/>
      <c r="F1030" s="381"/>
      <c r="G1030" s="381"/>
      <c r="H1030" s="381"/>
      <c r="I1030" s="381"/>
      <c r="J1030" s="381"/>
      <c r="K1030" s="382"/>
      <c r="L1030" s="380"/>
      <c r="M1030" s="413"/>
      <c r="N1030" s="383"/>
      <c r="O1030" s="384"/>
      <c r="P1030" s="384"/>
      <c r="Q1030" s="383"/>
      <c r="R1030" s="383"/>
      <c r="S1030" s="385"/>
      <c r="T1030" s="380"/>
      <c r="U1030" s="380"/>
      <c r="V1030" s="380"/>
      <c r="W1030" s="380"/>
      <c r="X1030" s="380"/>
    </row>
    <row r="1031" spans="1:24" ht="15.75" customHeight="1">
      <c r="A1031" s="463"/>
      <c r="B1031" s="380"/>
      <c r="C1031" s="381"/>
      <c r="D1031" s="381"/>
      <c r="E1031" s="381"/>
      <c r="F1031" s="381"/>
      <c r="G1031" s="381"/>
      <c r="H1031" s="381"/>
      <c r="I1031" s="381"/>
      <c r="J1031" s="381"/>
      <c r="K1031" s="382"/>
      <c r="L1031" s="380"/>
      <c r="M1031" s="413"/>
      <c r="N1031" s="383"/>
      <c r="O1031" s="384"/>
      <c r="P1031" s="384"/>
      <c r="Q1031" s="383"/>
      <c r="R1031" s="383"/>
      <c r="S1031" s="385"/>
      <c r="T1031" s="380"/>
      <c r="U1031" s="380"/>
      <c r="V1031" s="380"/>
      <c r="W1031" s="380"/>
      <c r="X1031" s="380"/>
    </row>
    <row r="1032" spans="1:24" ht="15.75" customHeight="1">
      <c r="A1032" s="463"/>
      <c r="B1032" s="380"/>
      <c r="C1032" s="381"/>
      <c r="D1032" s="381"/>
      <c r="E1032" s="381"/>
      <c r="F1032" s="381"/>
      <c r="G1032" s="381"/>
      <c r="H1032" s="381"/>
      <c r="I1032" s="381"/>
      <c r="J1032" s="381"/>
      <c r="K1032" s="382"/>
      <c r="L1032" s="380"/>
      <c r="M1032" s="413"/>
      <c r="N1032" s="383"/>
      <c r="O1032" s="384"/>
      <c r="P1032" s="384"/>
      <c r="Q1032" s="383"/>
      <c r="R1032" s="383"/>
      <c r="S1032" s="385"/>
      <c r="T1032" s="380"/>
      <c r="U1032" s="380"/>
      <c r="V1032" s="380"/>
      <c r="W1032" s="380"/>
      <c r="X1032" s="380"/>
    </row>
    <row r="1033" spans="1:24" ht="15.75" customHeight="1">
      <c r="A1033" s="463"/>
      <c r="B1033" s="380"/>
      <c r="C1033" s="381"/>
      <c r="D1033" s="381"/>
      <c r="E1033" s="381"/>
      <c r="F1033" s="381"/>
      <c r="G1033" s="381"/>
      <c r="H1033" s="381"/>
      <c r="I1033" s="381"/>
      <c r="J1033" s="381"/>
      <c r="K1033" s="382"/>
      <c r="L1033" s="380"/>
      <c r="M1033" s="413"/>
      <c r="N1033" s="383"/>
      <c r="O1033" s="384"/>
      <c r="P1033" s="384"/>
      <c r="Q1033" s="383"/>
      <c r="R1033" s="383"/>
      <c r="S1033" s="385"/>
      <c r="T1033" s="380"/>
      <c r="U1033" s="380"/>
      <c r="V1033" s="380"/>
      <c r="W1033" s="380"/>
      <c r="X1033" s="380"/>
    </row>
    <row r="1034" spans="1:24" ht="15.75" customHeight="1">
      <c r="A1034" s="463"/>
      <c r="B1034" s="380"/>
      <c r="C1034" s="381"/>
      <c r="D1034" s="381"/>
      <c r="E1034" s="381"/>
      <c r="F1034" s="381"/>
      <c r="G1034" s="381"/>
      <c r="H1034" s="381"/>
      <c r="I1034" s="381"/>
      <c r="J1034" s="381"/>
      <c r="K1034" s="382"/>
      <c r="L1034" s="380"/>
      <c r="M1034" s="413"/>
      <c r="N1034" s="383"/>
      <c r="O1034" s="384"/>
      <c r="P1034" s="384"/>
      <c r="Q1034" s="383"/>
      <c r="R1034" s="383"/>
      <c r="S1034" s="385"/>
      <c r="T1034" s="380"/>
      <c r="U1034" s="380"/>
      <c r="V1034" s="380"/>
      <c r="W1034" s="380"/>
      <c r="X1034" s="380"/>
    </row>
    <row r="1035" spans="1:24" ht="15.75" customHeight="1">
      <c r="A1035" s="463"/>
      <c r="B1035" s="380"/>
      <c r="C1035" s="381"/>
      <c r="D1035" s="381"/>
      <c r="E1035" s="381"/>
      <c r="F1035" s="381"/>
      <c r="G1035" s="381"/>
      <c r="H1035" s="381"/>
      <c r="I1035" s="381"/>
      <c r="J1035" s="381"/>
      <c r="K1035" s="382"/>
      <c r="L1035" s="380"/>
      <c r="M1035" s="413"/>
      <c r="N1035" s="383"/>
      <c r="O1035" s="384"/>
      <c r="P1035" s="384"/>
      <c r="Q1035" s="383"/>
      <c r="R1035" s="383"/>
      <c r="S1035" s="385"/>
      <c r="T1035" s="380"/>
      <c r="U1035" s="380"/>
      <c r="V1035" s="380"/>
      <c r="W1035" s="380"/>
      <c r="X1035" s="380"/>
    </row>
    <row r="1036" spans="1:24" ht="15.75" customHeight="1">
      <c r="A1036" s="463"/>
      <c r="B1036" s="380"/>
      <c r="C1036" s="381"/>
      <c r="D1036" s="381"/>
      <c r="E1036" s="381"/>
      <c r="F1036" s="381"/>
      <c r="G1036" s="381"/>
      <c r="H1036" s="381"/>
      <c r="I1036" s="381"/>
      <c r="J1036" s="381"/>
      <c r="K1036" s="382"/>
      <c r="L1036" s="380"/>
      <c r="M1036" s="413"/>
      <c r="N1036" s="383"/>
      <c r="O1036" s="384"/>
      <c r="P1036" s="384"/>
      <c r="Q1036" s="383"/>
      <c r="R1036" s="383"/>
      <c r="S1036" s="385"/>
      <c r="T1036" s="380"/>
      <c r="U1036" s="380"/>
      <c r="V1036" s="380"/>
      <c r="W1036" s="380"/>
      <c r="X1036" s="380"/>
    </row>
    <row r="1037" spans="1:24" ht="15.75" customHeight="1">
      <c r="A1037" s="463"/>
      <c r="B1037" s="380"/>
      <c r="C1037" s="381"/>
      <c r="D1037" s="381"/>
      <c r="E1037" s="381"/>
      <c r="F1037" s="381"/>
      <c r="G1037" s="381"/>
      <c r="H1037" s="381"/>
      <c r="I1037" s="381"/>
      <c r="J1037" s="381"/>
      <c r="K1037" s="382"/>
      <c r="L1037" s="380"/>
      <c r="M1037" s="413"/>
      <c r="N1037" s="383"/>
      <c r="O1037" s="384"/>
      <c r="P1037" s="384"/>
      <c r="Q1037" s="383"/>
      <c r="R1037" s="383"/>
      <c r="S1037" s="385"/>
      <c r="T1037" s="380"/>
      <c r="U1037" s="380"/>
      <c r="V1037" s="380"/>
      <c r="W1037" s="380"/>
      <c r="X1037" s="380"/>
    </row>
    <row r="1038" spans="1:24" ht="15.75" customHeight="1">
      <c r="A1038" s="463"/>
      <c r="B1038" s="380"/>
      <c r="C1038" s="381"/>
      <c r="D1038" s="381"/>
      <c r="E1038" s="381"/>
      <c r="F1038" s="381"/>
      <c r="G1038" s="381"/>
      <c r="H1038" s="381"/>
      <c r="I1038" s="381"/>
      <c r="J1038" s="381"/>
      <c r="K1038" s="382"/>
      <c r="L1038" s="380"/>
      <c r="M1038" s="413"/>
      <c r="N1038" s="383"/>
      <c r="O1038" s="384"/>
      <c r="P1038" s="384"/>
      <c r="Q1038" s="383"/>
      <c r="R1038" s="383"/>
      <c r="S1038" s="385"/>
      <c r="T1038" s="380"/>
      <c r="U1038" s="380"/>
      <c r="V1038" s="380"/>
      <c r="W1038" s="380"/>
      <c r="X1038" s="380"/>
    </row>
    <row r="1039" spans="1:24" ht="15.75" customHeight="1">
      <c r="A1039" s="463"/>
      <c r="B1039" s="380"/>
      <c r="C1039" s="381"/>
      <c r="D1039" s="381"/>
      <c r="E1039" s="381"/>
      <c r="F1039" s="381"/>
      <c r="G1039" s="381"/>
      <c r="H1039" s="381"/>
      <c r="I1039" s="381"/>
      <c r="J1039" s="381"/>
      <c r="K1039" s="382"/>
      <c r="L1039" s="380"/>
      <c r="M1039" s="413"/>
      <c r="N1039" s="383"/>
      <c r="O1039" s="384"/>
      <c r="P1039" s="384"/>
      <c r="Q1039" s="383"/>
      <c r="R1039" s="383"/>
      <c r="S1039" s="385"/>
      <c r="T1039" s="380"/>
      <c r="U1039" s="380"/>
      <c r="V1039" s="380"/>
      <c r="W1039" s="380"/>
      <c r="X1039" s="380"/>
    </row>
    <row r="1040" spans="1:24" ht="15.75" customHeight="1">
      <c r="A1040" s="463"/>
      <c r="B1040" s="380"/>
      <c r="C1040" s="381"/>
      <c r="D1040" s="381"/>
      <c r="E1040" s="381"/>
      <c r="F1040" s="381"/>
      <c r="G1040" s="381"/>
      <c r="H1040" s="381"/>
      <c r="I1040" s="381"/>
      <c r="J1040" s="381"/>
      <c r="K1040" s="382"/>
      <c r="L1040" s="380"/>
      <c r="M1040" s="413"/>
      <c r="N1040" s="383"/>
      <c r="O1040" s="384"/>
      <c r="P1040" s="384"/>
      <c r="Q1040" s="383"/>
      <c r="R1040" s="383"/>
      <c r="S1040" s="385"/>
      <c r="T1040" s="380"/>
      <c r="U1040" s="380"/>
      <c r="V1040" s="380"/>
      <c r="W1040" s="380"/>
      <c r="X1040" s="380"/>
    </row>
    <row r="1041" spans="1:24" ht="15.75" customHeight="1">
      <c r="A1041" s="463"/>
      <c r="B1041" s="380"/>
      <c r="C1041" s="381"/>
      <c r="D1041" s="381"/>
      <c r="E1041" s="381"/>
      <c r="F1041" s="381"/>
      <c r="G1041" s="381"/>
      <c r="H1041" s="381"/>
      <c r="I1041" s="381"/>
      <c r="J1041" s="381"/>
      <c r="K1041" s="382"/>
      <c r="L1041" s="380"/>
      <c r="M1041" s="413"/>
      <c r="N1041" s="383"/>
      <c r="O1041" s="384"/>
      <c r="P1041" s="384"/>
      <c r="Q1041" s="383"/>
      <c r="R1041" s="383"/>
      <c r="S1041" s="385"/>
      <c r="T1041" s="380"/>
      <c r="U1041" s="380"/>
      <c r="V1041" s="380"/>
      <c r="W1041" s="380"/>
      <c r="X1041" s="380"/>
    </row>
    <row r="1042" spans="1:24" ht="15.75" customHeight="1">
      <c r="A1042" s="463"/>
      <c r="B1042" s="380"/>
      <c r="C1042" s="381"/>
      <c r="D1042" s="381"/>
      <c r="E1042" s="381"/>
      <c r="F1042" s="381"/>
      <c r="G1042" s="381"/>
      <c r="H1042" s="381"/>
      <c r="I1042" s="381"/>
      <c r="J1042" s="381"/>
      <c r="K1042" s="382"/>
      <c r="L1042" s="380"/>
      <c r="M1042" s="413"/>
      <c r="N1042" s="383"/>
      <c r="O1042" s="384"/>
      <c r="P1042" s="384"/>
      <c r="Q1042" s="383"/>
      <c r="R1042" s="383"/>
      <c r="S1042" s="385"/>
      <c r="T1042" s="380"/>
      <c r="U1042" s="380"/>
      <c r="V1042" s="380"/>
      <c r="W1042" s="380"/>
      <c r="X1042" s="380"/>
    </row>
    <row r="1043" spans="1:24" ht="15.75" customHeight="1">
      <c r="A1043" s="463"/>
      <c r="B1043" s="380"/>
      <c r="C1043" s="381"/>
      <c r="D1043" s="381"/>
      <c r="E1043" s="381"/>
      <c r="F1043" s="381"/>
      <c r="G1043" s="381"/>
      <c r="H1043" s="381"/>
      <c r="I1043" s="381"/>
      <c r="J1043" s="381"/>
      <c r="K1043" s="382"/>
      <c r="L1043" s="380"/>
      <c r="M1043" s="413"/>
      <c r="N1043" s="383"/>
      <c r="O1043" s="384"/>
      <c r="P1043" s="384"/>
      <c r="Q1043" s="383"/>
      <c r="R1043" s="383"/>
      <c r="S1043" s="385"/>
      <c r="T1043" s="380"/>
      <c r="U1043" s="380"/>
      <c r="V1043" s="380"/>
      <c r="W1043" s="380"/>
      <c r="X1043" s="380"/>
    </row>
    <row r="1044" spans="1:24" ht="15.75" customHeight="1">
      <c r="A1044" s="463"/>
      <c r="B1044" s="380"/>
      <c r="C1044" s="381"/>
      <c r="D1044" s="381"/>
      <c r="E1044" s="381"/>
      <c r="F1044" s="381"/>
      <c r="G1044" s="381"/>
      <c r="H1044" s="381"/>
      <c r="I1044" s="381"/>
      <c r="J1044" s="381"/>
      <c r="K1044" s="382"/>
      <c r="L1044" s="380"/>
      <c r="M1044" s="413"/>
      <c r="N1044" s="383"/>
      <c r="O1044" s="384"/>
      <c r="P1044" s="384"/>
      <c r="Q1044" s="383"/>
      <c r="R1044" s="383"/>
      <c r="S1044" s="385"/>
      <c r="T1044" s="380"/>
      <c r="U1044" s="380"/>
      <c r="V1044" s="380"/>
      <c r="W1044" s="380"/>
      <c r="X1044" s="380"/>
    </row>
    <row r="1045" spans="1:24" ht="15.75" customHeight="1">
      <c r="A1045" s="463"/>
      <c r="B1045" s="380"/>
      <c r="C1045" s="381"/>
      <c r="D1045" s="381"/>
      <c r="E1045" s="381"/>
      <c r="F1045" s="381"/>
      <c r="G1045" s="381"/>
      <c r="H1045" s="381"/>
      <c r="I1045" s="381"/>
      <c r="J1045" s="381"/>
      <c r="K1045" s="382"/>
      <c r="L1045" s="380"/>
      <c r="M1045" s="413"/>
      <c r="N1045" s="383"/>
      <c r="O1045" s="384"/>
      <c r="P1045" s="384"/>
      <c r="Q1045" s="383"/>
      <c r="R1045" s="383"/>
      <c r="S1045" s="385"/>
      <c r="T1045" s="380"/>
      <c r="U1045" s="380"/>
      <c r="V1045" s="380"/>
      <c r="W1045" s="380"/>
      <c r="X1045" s="380"/>
    </row>
    <row r="1046" spans="1:24" ht="15.75" customHeight="1">
      <c r="A1046" s="463"/>
      <c r="B1046" s="380"/>
      <c r="C1046" s="381"/>
      <c r="D1046" s="381"/>
      <c r="E1046" s="381"/>
      <c r="F1046" s="381"/>
      <c r="G1046" s="381"/>
      <c r="H1046" s="381"/>
      <c r="I1046" s="381"/>
      <c r="J1046" s="381"/>
      <c r="K1046" s="382"/>
      <c r="L1046" s="380"/>
      <c r="M1046" s="413"/>
      <c r="N1046" s="383"/>
      <c r="O1046" s="384"/>
      <c r="P1046" s="384"/>
      <c r="Q1046" s="383"/>
      <c r="R1046" s="383"/>
      <c r="S1046" s="385"/>
      <c r="T1046" s="380"/>
      <c r="U1046" s="380"/>
      <c r="V1046" s="380"/>
      <c r="W1046" s="380"/>
      <c r="X1046" s="380"/>
    </row>
    <row r="1047" spans="1:24" ht="15.75" customHeight="1">
      <c r="A1047" s="463"/>
      <c r="B1047" s="380"/>
      <c r="C1047" s="381"/>
      <c r="D1047" s="381"/>
      <c r="E1047" s="381"/>
      <c r="F1047" s="381"/>
      <c r="G1047" s="381"/>
      <c r="H1047" s="381"/>
      <c r="I1047" s="381"/>
      <c r="J1047" s="381"/>
      <c r="K1047" s="382"/>
      <c r="L1047" s="380"/>
      <c r="M1047" s="413"/>
      <c r="N1047" s="383"/>
      <c r="O1047" s="384"/>
      <c r="P1047" s="384"/>
      <c r="Q1047" s="383"/>
      <c r="R1047" s="383"/>
      <c r="S1047" s="385"/>
      <c r="T1047" s="380"/>
      <c r="U1047" s="380"/>
      <c r="V1047" s="380"/>
      <c r="W1047" s="380"/>
      <c r="X1047" s="380"/>
    </row>
    <row r="1048" spans="1:24" ht="15.75" customHeight="1">
      <c r="A1048" s="463"/>
      <c r="B1048" s="380"/>
      <c r="C1048" s="381"/>
      <c r="D1048" s="381"/>
      <c r="E1048" s="381"/>
      <c r="F1048" s="381"/>
      <c r="G1048" s="381"/>
      <c r="H1048" s="381"/>
      <c r="I1048" s="381"/>
      <c r="J1048" s="381"/>
      <c r="K1048" s="382"/>
      <c r="L1048" s="380"/>
      <c r="M1048" s="413"/>
      <c r="N1048" s="383"/>
      <c r="O1048" s="384"/>
      <c r="P1048" s="384"/>
      <c r="Q1048" s="383"/>
      <c r="R1048" s="383"/>
      <c r="S1048" s="385"/>
      <c r="T1048" s="380"/>
      <c r="U1048" s="380"/>
      <c r="V1048" s="380"/>
      <c r="W1048" s="380"/>
      <c r="X1048" s="380"/>
    </row>
    <row r="1049" spans="1:24" ht="15.75" customHeight="1">
      <c r="A1049" s="463"/>
      <c r="B1049" s="380"/>
      <c r="C1049" s="381"/>
      <c r="D1049" s="381"/>
      <c r="E1049" s="381"/>
      <c r="F1049" s="381"/>
      <c r="G1049" s="381"/>
      <c r="H1049" s="381"/>
      <c r="I1049" s="381"/>
      <c r="J1049" s="381"/>
      <c r="K1049" s="382"/>
      <c r="L1049" s="380"/>
      <c r="M1049" s="413"/>
      <c r="N1049" s="383"/>
      <c r="O1049" s="384"/>
      <c r="P1049" s="384"/>
      <c r="Q1049" s="383"/>
      <c r="R1049" s="383"/>
      <c r="S1049" s="385"/>
      <c r="T1049" s="380"/>
      <c r="U1049" s="380"/>
      <c r="V1049" s="380"/>
      <c r="W1049" s="380"/>
      <c r="X1049" s="380"/>
    </row>
    <row r="1050" spans="1:24" ht="15.75" customHeight="1">
      <c r="A1050" s="463"/>
      <c r="B1050" s="380"/>
      <c r="C1050" s="381"/>
      <c r="D1050" s="381"/>
      <c r="E1050" s="381"/>
      <c r="F1050" s="381"/>
      <c r="G1050" s="381"/>
      <c r="H1050" s="381"/>
      <c r="I1050" s="381"/>
      <c r="J1050" s="381"/>
      <c r="K1050" s="382"/>
      <c r="L1050" s="380"/>
      <c r="M1050" s="413"/>
      <c r="N1050" s="383"/>
      <c r="O1050" s="384"/>
      <c r="P1050" s="384"/>
      <c r="Q1050" s="383"/>
      <c r="R1050" s="383"/>
      <c r="S1050" s="385"/>
      <c r="T1050" s="380"/>
      <c r="U1050" s="380"/>
      <c r="V1050" s="380"/>
      <c r="W1050" s="380"/>
      <c r="X1050" s="380"/>
    </row>
    <row r="1051" spans="1:24" ht="15.75" customHeight="1">
      <c r="A1051" s="463"/>
      <c r="B1051" s="380"/>
      <c r="C1051" s="381"/>
      <c r="D1051" s="381"/>
      <c r="E1051" s="381"/>
      <c r="F1051" s="381"/>
      <c r="G1051" s="381"/>
      <c r="H1051" s="381"/>
      <c r="I1051" s="381"/>
      <c r="J1051" s="381"/>
      <c r="K1051" s="382"/>
      <c r="L1051" s="380"/>
      <c r="M1051" s="413"/>
      <c r="N1051" s="383"/>
      <c r="O1051" s="384"/>
      <c r="P1051" s="384"/>
      <c r="Q1051" s="383"/>
      <c r="R1051" s="383"/>
      <c r="S1051" s="385"/>
      <c r="T1051" s="380"/>
      <c r="U1051" s="380"/>
      <c r="V1051" s="380"/>
      <c r="W1051" s="380"/>
      <c r="X1051" s="380"/>
    </row>
    <row r="1052" spans="1:24" ht="15.75" customHeight="1">
      <c r="A1052" s="463"/>
      <c r="B1052" s="380"/>
      <c r="C1052" s="381"/>
      <c r="D1052" s="381"/>
      <c r="E1052" s="381"/>
      <c r="F1052" s="381"/>
      <c r="G1052" s="381"/>
      <c r="H1052" s="381"/>
      <c r="I1052" s="381"/>
      <c r="J1052" s="381"/>
      <c r="K1052" s="382"/>
      <c r="L1052" s="380"/>
      <c r="M1052" s="413"/>
      <c r="N1052" s="383"/>
      <c r="O1052" s="384"/>
      <c r="P1052" s="384"/>
      <c r="Q1052" s="383"/>
      <c r="R1052" s="383"/>
      <c r="S1052" s="385"/>
      <c r="T1052" s="380"/>
      <c r="U1052" s="380"/>
      <c r="V1052" s="380"/>
      <c r="W1052" s="380"/>
      <c r="X1052" s="380"/>
    </row>
    <row r="1053" spans="1:24" ht="15.75" customHeight="1">
      <c r="A1053" s="463"/>
      <c r="B1053" s="380"/>
      <c r="C1053" s="381"/>
      <c r="D1053" s="381"/>
      <c r="E1053" s="381"/>
      <c r="F1053" s="381"/>
      <c r="G1053" s="381"/>
      <c r="H1053" s="381"/>
      <c r="I1053" s="381"/>
      <c r="J1053" s="381"/>
      <c r="K1053" s="382"/>
      <c r="L1053" s="380"/>
      <c r="M1053" s="413"/>
      <c r="N1053" s="383"/>
      <c r="O1053" s="384"/>
      <c r="P1053" s="384"/>
      <c r="Q1053" s="383"/>
      <c r="R1053" s="383"/>
      <c r="S1053" s="385"/>
      <c r="T1053" s="380"/>
      <c r="U1053" s="380"/>
      <c r="V1053" s="380"/>
      <c r="W1053" s="380"/>
      <c r="X1053" s="380"/>
    </row>
    <row r="1054" spans="1:24" ht="15.75" customHeight="1">
      <c r="A1054" s="463"/>
      <c r="B1054" s="380"/>
      <c r="C1054" s="381"/>
      <c r="D1054" s="381"/>
      <c r="E1054" s="381"/>
      <c r="F1054" s="381"/>
      <c r="G1054" s="381"/>
      <c r="H1054" s="381"/>
      <c r="I1054" s="381"/>
      <c r="J1054" s="381"/>
      <c r="K1054" s="382"/>
      <c r="L1054" s="380"/>
      <c r="M1054" s="413"/>
      <c r="N1054" s="383"/>
      <c r="O1054" s="384"/>
      <c r="P1054" s="384"/>
      <c r="Q1054" s="383"/>
      <c r="R1054" s="383"/>
      <c r="S1054" s="385"/>
      <c r="T1054" s="380"/>
      <c r="U1054" s="380"/>
      <c r="V1054" s="380"/>
      <c r="W1054" s="380"/>
      <c r="X1054" s="380"/>
    </row>
    <row r="1055" spans="1:24" ht="15.75" customHeight="1">
      <c r="A1055" s="463"/>
      <c r="B1055" s="380"/>
      <c r="C1055" s="381"/>
      <c r="D1055" s="381"/>
      <c r="E1055" s="381"/>
      <c r="F1055" s="381"/>
      <c r="G1055" s="381"/>
      <c r="H1055" s="381"/>
      <c r="I1055" s="381"/>
      <c r="J1055" s="381"/>
      <c r="K1055" s="382"/>
      <c r="L1055" s="380"/>
      <c r="M1055" s="413"/>
      <c r="N1055" s="383"/>
      <c r="O1055" s="384"/>
      <c r="P1055" s="384"/>
      <c r="Q1055" s="383"/>
      <c r="R1055" s="383"/>
      <c r="S1055" s="385"/>
      <c r="T1055" s="380"/>
      <c r="U1055" s="380"/>
      <c r="V1055" s="380"/>
      <c r="W1055" s="380"/>
      <c r="X1055" s="380"/>
    </row>
    <row r="1056" spans="1:24" ht="15.75" customHeight="1">
      <c r="A1056" s="463"/>
      <c r="B1056" s="380"/>
      <c r="C1056" s="381"/>
      <c r="D1056" s="381"/>
      <c r="E1056" s="381"/>
      <c r="F1056" s="381"/>
      <c r="G1056" s="381"/>
      <c r="H1056" s="381"/>
      <c r="I1056" s="381"/>
      <c r="J1056" s="381"/>
      <c r="K1056" s="382"/>
      <c r="L1056" s="380"/>
      <c r="M1056" s="413"/>
      <c r="N1056" s="383"/>
      <c r="O1056" s="384"/>
      <c r="P1056" s="384"/>
      <c r="Q1056" s="383"/>
      <c r="R1056" s="383"/>
      <c r="S1056" s="385"/>
      <c r="T1056" s="380"/>
      <c r="U1056" s="380"/>
      <c r="V1056" s="380"/>
      <c r="W1056" s="380"/>
      <c r="X1056" s="380"/>
    </row>
    <row r="1057" spans="1:24" ht="15.75" customHeight="1">
      <c r="A1057" s="463"/>
      <c r="B1057" s="380"/>
      <c r="C1057" s="381"/>
      <c r="D1057" s="381"/>
      <c r="E1057" s="381"/>
      <c r="F1057" s="381"/>
      <c r="G1057" s="381"/>
      <c r="H1057" s="381"/>
      <c r="I1057" s="381"/>
      <c r="J1057" s="381"/>
      <c r="K1057" s="382"/>
      <c r="L1057" s="380"/>
      <c r="M1057" s="413"/>
      <c r="N1057" s="383"/>
      <c r="O1057" s="384"/>
      <c r="P1057" s="384"/>
      <c r="Q1057" s="383"/>
      <c r="R1057" s="383"/>
      <c r="S1057" s="385"/>
      <c r="T1057" s="380"/>
      <c r="U1057" s="380"/>
      <c r="V1057" s="380"/>
      <c r="W1057" s="380"/>
      <c r="X1057" s="380"/>
    </row>
    <row r="1058" spans="1:24" ht="15.75" customHeight="1">
      <c r="A1058" s="463"/>
      <c r="B1058" s="380"/>
      <c r="C1058" s="381"/>
      <c r="D1058" s="381"/>
      <c r="E1058" s="381"/>
      <c r="F1058" s="381"/>
      <c r="G1058" s="381"/>
      <c r="H1058" s="381"/>
      <c r="I1058" s="381"/>
      <c r="J1058" s="381"/>
      <c r="K1058" s="382"/>
      <c r="L1058" s="380"/>
      <c r="M1058" s="413"/>
      <c r="N1058" s="383"/>
      <c r="O1058" s="384"/>
      <c r="P1058" s="384"/>
      <c r="Q1058" s="383"/>
      <c r="R1058" s="383"/>
      <c r="S1058" s="385"/>
      <c r="T1058" s="380"/>
      <c r="U1058" s="380"/>
      <c r="V1058" s="380"/>
      <c r="W1058" s="380"/>
      <c r="X1058" s="380"/>
    </row>
    <row r="1059" spans="1:24" ht="15.75" customHeight="1">
      <c r="A1059" s="463"/>
      <c r="B1059" s="380"/>
      <c r="C1059" s="381"/>
      <c r="D1059" s="381"/>
      <c r="E1059" s="381"/>
      <c r="F1059" s="381"/>
      <c r="G1059" s="381"/>
      <c r="H1059" s="381"/>
      <c r="I1059" s="381"/>
      <c r="J1059" s="381"/>
      <c r="K1059" s="382"/>
      <c r="L1059" s="380"/>
      <c r="M1059" s="413"/>
      <c r="N1059" s="383"/>
      <c r="O1059" s="384"/>
      <c r="P1059" s="384"/>
      <c r="Q1059" s="383"/>
      <c r="R1059" s="383"/>
      <c r="S1059" s="385"/>
      <c r="T1059" s="380"/>
      <c r="U1059" s="380"/>
      <c r="V1059" s="380"/>
      <c r="W1059" s="380"/>
      <c r="X1059" s="380"/>
    </row>
    <row r="1060" spans="1:24" ht="15.75" customHeight="1">
      <c r="A1060" s="463"/>
      <c r="B1060" s="380"/>
      <c r="C1060" s="381"/>
      <c r="D1060" s="381"/>
      <c r="E1060" s="381"/>
      <c r="F1060" s="381"/>
      <c r="G1060" s="381"/>
      <c r="H1060" s="381"/>
      <c r="I1060" s="381"/>
      <c r="J1060" s="381"/>
      <c r="K1060" s="382"/>
      <c r="L1060" s="380"/>
      <c r="M1060" s="413"/>
      <c r="N1060" s="383"/>
      <c r="O1060" s="384"/>
      <c r="P1060" s="384"/>
      <c r="Q1060" s="383"/>
      <c r="R1060" s="383"/>
      <c r="S1060" s="385"/>
      <c r="T1060" s="380"/>
      <c r="U1060" s="380"/>
      <c r="V1060" s="380"/>
      <c r="W1060" s="380"/>
      <c r="X1060" s="380"/>
    </row>
    <row r="1061" spans="1:24" ht="15.75" customHeight="1">
      <c r="A1061" s="463"/>
      <c r="B1061" s="380"/>
      <c r="C1061" s="381"/>
      <c r="D1061" s="381"/>
      <c r="E1061" s="381"/>
      <c r="F1061" s="381"/>
      <c r="G1061" s="381"/>
      <c r="H1061" s="381"/>
      <c r="I1061" s="381"/>
      <c r="J1061" s="381"/>
      <c r="K1061" s="382"/>
      <c r="L1061" s="380"/>
      <c r="M1061" s="413"/>
      <c r="N1061" s="383"/>
      <c r="O1061" s="384"/>
      <c r="P1061" s="384"/>
      <c r="Q1061" s="383"/>
      <c r="R1061" s="383"/>
      <c r="S1061" s="385"/>
      <c r="T1061" s="380"/>
      <c r="U1061" s="380"/>
      <c r="V1061" s="380"/>
      <c r="W1061" s="380"/>
      <c r="X1061" s="380"/>
    </row>
    <row r="1062" spans="1:24" ht="15.75" customHeight="1">
      <c r="A1062" s="463"/>
      <c r="B1062" s="380"/>
      <c r="C1062" s="381"/>
      <c r="D1062" s="381"/>
      <c r="E1062" s="381"/>
      <c r="F1062" s="381"/>
      <c r="G1062" s="381"/>
      <c r="H1062" s="381"/>
      <c r="I1062" s="381"/>
      <c r="J1062" s="381"/>
      <c r="K1062" s="382"/>
      <c r="L1062" s="380"/>
      <c r="M1062" s="413"/>
      <c r="N1062" s="383"/>
      <c r="O1062" s="384"/>
      <c r="P1062" s="384"/>
      <c r="Q1062" s="383"/>
      <c r="R1062" s="383"/>
      <c r="S1062" s="385"/>
      <c r="T1062" s="380"/>
      <c r="U1062" s="380"/>
      <c r="V1062" s="380"/>
      <c r="W1062" s="380"/>
      <c r="X1062" s="380"/>
    </row>
    <row r="1063" spans="1:24" ht="15.75" customHeight="1">
      <c r="A1063" s="463"/>
      <c r="B1063" s="380"/>
      <c r="C1063" s="381"/>
      <c r="D1063" s="381"/>
      <c r="E1063" s="381"/>
      <c r="F1063" s="381"/>
      <c r="G1063" s="381"/>
      <c r="H1063" s="381"/>
      <c r="I1063" s="381"/>
      <c r="J1063" s="381"/>
      <c r="K1063" s="382"/>
      <c r="L1063" s="380"/>
      <c r="M1063" s="413"/>
      <c r="N1063" s="383"/>
      <c r="O1063" s="384"/>
      <c r="P1063" s="384"/>
      <c r="Q1063" s="383"/>
      <c r="R1063" s="383"/>
      <c r="S1063" s="385"/>
      <c r="T1063" s="380"/>
      <c r="U1063" s="380"/>
      <c r="V1063" s="380"/>
      <c r="W1063" s="380"/>
      <c r="X1063" s="380"/>
    </row>
    <row r="1064" spans="1:24" ht="15.75" customHeight="1">
      <c r="A1064" s="463"/>
      <c r="B1064" s="380"/>
      <c r="C1064" s="381"/>
      <c r="D1064" s="381"/>
      <c r="E1064" s="381"/>
      <c r="F1064" s="381"/>
      <c r="G1064" s="381"/>
      <c r="H1064" s="381"/>
      <c r="I1064" s="381"/>
      <c r="J1064" s="381"/>
      <c r="K1064" s="382"/>
      <c r="L1064" s="380"/>
      <c r="M1064" s="413"/>
      <c r="N1064" s="383"/>
      <c r="O1064" s="384"/>
      <c r="P1064" s="384"/>
      <c r="Q1064" s="383"/>
      <c r="R1064" s="383"/>
      <c r="S1064" s="385"/>
      <c r="T1064" s="380"/>
      <c r="U1064" s="380"/>
      <c r="V1064" s="380"/>
      <c r="W1064" s="380"/>
      <c r="X1064" s="380"/>
    </row>
    <row r="1065" spans="1:24" ht="15.75" customHeight="1">
      <c r="A1065" s="463"/>
      <c r="B1065" s="380"/>
      <c r="C1065" s="381"/>
      <c r="D1065" s="381"/>
      <c r="E1065" s="381"/>
      <c r="F1065" s="381"/>
      <c r="G1065" s="381"/>
      <c r="H1065" s="381"/>
      <c r="I1065" s="381"/>
      <c r="J1065" s="381"/>
      <c r="K1065" s="382"/>
      <c r="L1065" s="380"/>
      <c r="M1065" s="413"/>
      <c r="N1065" s="383"/>
      <c r="O1065" s="384"/>
      <c r="P1065" s="384"/>
      <c r="Q1065" s="383"/>
      <c r="R1065" s="383"/>
      <c r="S1065" s="385"/>
      <c r="T1065" s="380"/>
      <c r="U1065" s="380"/>
      <c r="V1065" s="380"/>
      <c r="W1065" s="380"/>
      <c r="X1065" s="380"/>
    </row>
    <row r="1066" spans="1:24" ht="15.75" customHeight="1">
      <c r="A1066" s="463"/>
      <c r="B1066" s="380"/>
      <c r="C1066" s="381"/>
      <c r="D1066" s="381"/>
      <c r="E1066" s="381"/>
      <c r="F1066" s="381"/>
      <c r="G1066" s="381"/>
      <c r="H1066" s="381"/>
      <c r="I1066" s="381"/>
      <c r="J1066" s="381"/>
      <c r="K1066" s="382"/>
      <c r="L1066" s="380"/>
      <c r="M1066" s="413"/>
      <c r="N1066" s="383"/>
      <c r="O1066" s="384"/>
      <c r="P1066" s="384"/>
      <c r="Q1066" s="383"/>
      <c r="R1066" s="383"/>
      <c r="S1066" s="385"/>
      <c r="T1066" s="380"/>
      <c r="U1066" s="380"/>
      <c r="V1066" s="380"/>
      <c r="W1066" s="380"/>
      <c r="X1066" s="380"/>
    </row>
    <row r="1067" spans="1:24" ht="15.75" customHeight="1">
      <c r="A1067" s="463"/>
      <c r="B1067" s="380"/>
      <c r="C1067" s="381"/>
      <c r="D1067" s="381"/>
      <c r="E1067" s="381"/>
      <c r="F1067" s="381"/>
      <c r="G1067" s="381"/>
      <c r="H1067" s="381"/>
      <c r="I1067" s="381"/>
      <c r="J1067" s="381"/>
      <c r="K1067" s="382"/>
      <c r="L1067" s="380"/>
      <c r="M1067" s="413"/>
      <c r="N1067" s="383"/>
      <c r="O1067" s="384"/>
      <c r="P1067" s="384"/>
      <c r="Q1067" s="383"/>
      <c r="R1067" s="383"/>
      <c r="S1067" s="385"/>
      <c r="T1067" s="380"/>
      <c r="U1067" s="380"/>
      <c r="V1067" s="380"/>
      <c r="W1067" s="380"/>
      <c r="X1067" s="380"/>
    </row>
    <row r="1068" spans="1:24" ht="15.75" customHeight="1">
      <c r="A1068" s="463"/>
      <c r="B1068" s="380"/>
      <c r="C1068" s="381"/>
      <c r="D1068" s="381"/>
      <c r="E1068" s="381"/>
      <c r="F1068" s="381"/>
      <c r="G1068" s="381"/>
      <c r="H1068" s="381"/>
      <c r="I1068" s="381"/>
      <c r="J1068" s="381"/>
      <c r="K1068" s="382"/>
      <c r="L1068" s="380"/>
      <c r="M1068" s="413"/>
      <c r="N1068" s="383"/>
      <c r="O1068" s="384"/>
      <c r="P1068" s="384"/>
      <c r="Q1068" s="383"/>
      <c r="R1068" s="383"/>
      <c r="S1068" s="385"/>
      <c r="T1068" s="380"/>
      <c r="U1068" s="380"/>
      <c r="V1068" s="380"/>
      <c r="W1068" s="380"/>
      <c r="X1068" s="380"/>
    </row>
    <row r="1069" spans="1:24" ht="15.75" customHeight="1">
      <c r="A1069" s="463"/>
      <c r="B1069" s="380"/>
      <c r="C1069" s="381"/>
      <c r="D1069" s="381"/>
      <c r="E1069" s="381"/>
      <c r="F1069" s="381"/>
      <c r="G1069" s="381"/>
      <c r="H1069" s="381"/>
      <c r="I1069" s="381"/>
      <c r="J1069" s="381"/>
      <c r="K1069" s="382"/>
      <c r="L1069" s="380"/>
      <c r="M1069" s="413"/>
      <c r="N1069" s="383"/>
      <c r="O1069" s="384"/>
      <c r="P1069" s="384"/>
      <c r="Q1069" s="383"/>
      <c r="R1069" s="383"/>
      <c r="S1069" s="385"/>
      <c r="T1069" s="380"/>
      <c r="U1069" s="380"/>
      <c r="V1069" s="380"/>
      <c r="W1069" s="380"/>
      <c r="X1069" s="380"/>
    </row>
    <row r="1070" spans="1:24" ht="15.75" customHeight="1">
      <c r="A1070" s="463"/>
      <c r="B1070" s="380"/>
      <c r="C1070" s="381"/>
      <c r="D1070" s="381"/>
      <c r="E1070" s="381"/>
      <c r="F1070" s="381"/>
      <c r="G1070" s="381"/>
      <c r="H1070" s="381"/>
      <c r="I1070" s="381"/>
      <c r="J1070" s="381"/>
      <c r="K1070" s="382"/>
      <c r="L1070" s="380"/>
      <c r="M1070" s="413"/>
      <c r="N1070" s="383"/>
      <c r="O1070" s="384"/>
      <c r="P1070" s="384"/>
      <c r="Q1070" s="383"/>
      <c r="R1070" s="383"/>
      <c r="S1070" s="385"/>
      <c r="T1070" s="380"/>
      <c r="U1070" s="380"/>
      <c r="V1070" s="380"/>
      <c r="W1070" s="380"/>
      <c r="X1070" s="380"/>
    </row>
    <row r="1071" spans="1:24" ht="15.75" customHeight="1">
      <c r="A1071" s="463"/>
      <c r="B1071" s="380"/>
      <c r="C1071" s="381"/>
      <c r="D1071" s="381"/>
      <c r="E1071" s="381"/>
      <c r="F1071" s="381"/>
      <c r="G1071" s="381"/>
      <c r="H1071" s="381"/>
      <c r="I1071" s="381"/>
      <c r="J1071" s="381"/>
      <c r="K1071" s="382"/>
      <c r="L1071" s="380"/>
      <c r="M1071" s="413"/>
      <c r="N1071" s="383"/>
      <c r="O1071" s="384"/>
      <c r="P1071" s="384"/>
      <c r="Q1071" s="383"/>
      <c r="R1071" s="383"/>
      <c r="S1071" s="385"/>
      <c r="T1071" s="380"/>
      <c r="U1071" s="380"/>
      <c r="V1071" s="380"/>
      <c r="W1071" s="380"/>
      <c r="X1071" s="380"/>
    </row>
    <row r="1072" spans="1:24" ht="15.75" customHeight="1">
      <c r="A1072" s="463"/>
      <c r="B1072" s="380"/>
      <c r="C1072" s="381"/>
      <c r="D1072" s="381"/>
      <c r="E1072" s="381"/>
      <c r="F1072" s="381"/>
      <c r="G1072" s="381"/>
      <c r="H1072" s="381"/>
      <c r="I1072" s="381"/>
      <c r="J1072" s="381"/>
      <c r="K1072" s="382"/>
      <c r="L1072" s="380"/>
      <c r="M1072" s="413"/>
      <c r="N1072" s="383"/>
      <c r="O1072" s="384"/>
      <c r="P1072" s="384"/>
      <c r="Q1072" s="383"/>
      <c r="R1072" s="383"/>
      <c r="S1072" s="385"/>
      <c r="T1072" s="380"/>
      <c r="U1072" s="380"/>
      <c r="V1072" s="380"/>
      <c r="W1072" s="380"/>
      <c r="X1072" s="380"/>
    </row>
    <row r="1073" spans="1:24" ht="15.75" customHeight="1">
      <c r="A1073" s="463"/>
      <c r="B1073" s="380"/>
      <c r="C1073" s="381"/>
      <c r="D1073" s="381"/>
      <c r="E1073" s="381"/>
      <c r="F1073" s="381"/>
      <c r="G1073" s="381"/>
      <c r="H1073" s="381"/>
      <c r="I1073" s="381"/>
      <c r="J1073" s="381"/>
      <c r="K1073" s="382"/>
      <c r="L1073" s="380"/>
      <c r="M1073" s="413"/>
      <c r="N1073" s="383"/>
      <c r="O1073" s="384"/>
      <c r="P1073" s="384"/>
      <c r="Q1073" s="383"/>
      <c r="R1073" s="383"/>
      <c r="S1073" s="385"/>
      <c r="T1073" s="380"/>
      <c r="U1073" s="380"/>
      <c r="V1073" s="380"/>
      <c r="W1073" s="380"/>
      <c r="X1073" s="380"/>
    </row>
    <row r="1074" spans="1:24" ht="15.75" customHeight="1">
      <c r="A1074" s="463"/>
      <c r="B1074" s="380"/>
      <c r="C1074" s="381"/>
      <c r="D1074" s="381"/>
      <c r="E1074" s="381"/>
      <c r="F1074" s="381"/>
      <c r="G1074" s="381"/>
      <c r="H1074" s="381"/>
      <c r="I1074" s="381"/>
      <c r="J1074" s="381"/>
      <c r="K1074" s="382"/>
      <c r="L1074" s="380"/>
      <c r="M1074" s="413"/>
      <c r="N1074" s="383"/>
      <c r="O1074" s="384"/>
      <c r="P1074" s="384"/>
      <c r="Q1074" s="383"/>
      <c r="R1074" s="383"/>
      <c r="S1074" s="385"/>
      <c r="T1074" s="380"/>
      <c r="U1074" s="380"/>
      <c r="V1074" s="380"/>
      <c r="W1074" s="380"/>
      <c r="X1074" s="380"/>
    </row>
    <row r="1075" spans="1:24" ht="15.75" customHeight="1">
      <c r="A1075" s="463"/>
      <c r="B1075" s="380"/>
      <c r="C1075" s="381"/>
      <c r="D1075" s="381"/>
      <c r="E1075" s="381"/>
      <c r="F1075" s="381"/>
      <c r="G1075" s="381"/>
      <c r="H1075" s="381"/>
      <c r="I1075" s="381"/>
      <c r="J1075" s="381"/>
      <c r="K1075" s="382"/>
      <c r="L1075" s="380"/>
      <c r="M1075" s="413"/>
      <c r="N1075" s="383"/>
      <c r="O1075" s="384"/>
      <c r="P1075" s="384"/>
      <c r="Q1075" s="383"/>
      <c r="R1075" s="383"/>
      <c r="S1075" s="385"/>
      <c r="T1075" s="380"/>
      <c r="U1075" s="380"/>
      <c r="V1075" s="380"/>
      <c r="W1075" s="380"/>
      <c r="X1075" s="380"/>
    </row>
    <row r="1076" spans="1:24" ht="15.75" customHeight="1">
      <c r="A1076" s="463"/>
      <c r="B1076" s="380"/>
      <c r="C1076" s="381"/>
      <c r="D1076" s="381"/>
      <c r="E1076" s="381"/>
      <c r="F1076" s="381"/>
      <c r="G1076" s="381"/>
      <c r="H1076" s="381"/>
      <c r="I1076" s="381"/>
      <c r="J1076" s="381"/>
      <c r="K1076" s="382"/>
      <c r="L1076" s="380"/>
      <c r="M1076" s="413"/>
      <c r="N1076" s="383"/>
      <c r="O1076" s="384"/>
      <c r="P1076" s="384"/>
      <c r="Q1076" s="383"/>
      <c r="R1076" s="383"/>
      <c r="S1076" s="385"/>
      <c r="T1076" s="380"/>
      <c r="U1076" s="380"/>
      <c r="V1076" s="380"/>
      <c r="W1076" s="380"/>
      <c r="X1076" s="380"/>
    </row>
    <row r="1077" spans="1:24" ht="15.75" customHeight="1">
      <c r="A1077" s="463"/>
      <c r="B1077" s="380"/>
      <c r="C1077" s="381"/>
      <c r="D1077" s="381"/>
      <c r="E1077" s="381"/>
      <c r="F1077" s="381"/>
      <c r="G1077" s="381"/>
      <c r="H1077" s="381"/>
      <c r="I1077" s="381"/>
      <c r="J1077" s="381"/>
      <c r="K1077" s="382"/>
      <c r="L1077" s="380"/>
      <c r="M1077" s="413"/>
      <c r="N1077" s="383"/>
      <c r="O1077" s="384"/>
      <c r="P1077" s="384"/>
      <c r="Q1077" s="383"/>
      <c r="R1077" s="383"/>
      <c r="S1077" s="385"/>
      <c r="T1077" s="380"/>
      <c r="U1077" s="380"/>
      <c r="V1077" s="380"/>
      <c r="W1077" s="380"/>
      <c r="X1077" s="380"/>
    </row>
    <row r="1078" spans="1:24" ht="15.75" customHeight="1">
      <c r="A1078" s="463"/>
      <c r="B1078" s="380"/>
      <c r="C1078" s="381"/>
      <c r="D1078" s="381"/>
      <c r="E1078" s="381"/>
      <c r="F1078" s="381"/>
      <c r="G1078" s="381"/>
      <c r="H1078" s="381"/>
      <c r="I1078" s="381"/>
      <c r="J1078" s="381"/>
      <c r="K1078" s="382"/>
      <c r="L1078" s="380"/>
      <c r="M1078" s="413"/>
      <c r="N1078" s="383"/>
      <c r="O1078" s="384"/>
      <c r="P1078" s="384"/>
      <c r="Q1078" s="383"/>
      <c r="R1078" s="383"/>
      <c r="S1078" s="385"/>
      <c r="T1078" s="380"/>
      <c r="U1078" s="380"/>
      <c r="V1078" s="380"/>
      <c r="W1078" s="380"/>
      <c r="X1078" s="380"/>
    </row>
    <row r="1079" spans="1:24" ht="15.75" customHeight="1">
      <c r="A1079" s="463"/>
      <c r="B1079" s="380"/>
      <c r="C1079" s="381"/>
      <c r="D1079" s="381"/>
      <c r="E1079" s="381"/>
      <c r="F1079" s="381"/>
      <c r="G1079" s="381"/>
      <c r="H1079" s="381"/>
      <c r="I1079" s="381"/>
      <c r="J1079" s="381"/>
      <c r="K1079" s="382"/>
      <c r="L1079" s="380"/>
      <c r="M1079" s="413"/>
      <c r="N1079" s="383"/>
      <c r="O1079" s="384"/>
      <c r="P1079" s="384"/>
      <c r="Q1079" s="383"/>
      <c r="R1079" s="383"/>
      <c r="S1079" s="385"/>
      <c r="T1079" s="380"/>
      <c r="U1079" s="380"/>
      <c r="V1079" s="380"/>
      <c r="W1079" s="380"/>
      <c r="X1079" s="380"/>
    </row>
    <row r="1080" spans="1:24" ht="15.75" customHeight="1">
      <c r="A1080" s="463"/>
      <c r="B1080" s="380"/>
      <c r="C1080" s="381"/>
      <c r="D1080" s="381"/>
      <c r="E1080" s="381"/>
      <c r="F1080" s="381"/>
      <c r="G1080" s="381"/>
      <c r="H1080" s="381"/>
      <c r="I1080" s="381"/>
      <c r="J1080" s="381"/>
      <c r="K1080" s="382"/>
      <c r="L1080" s="380"/>
      <c r="M1080" s="413"/>
      <c r="N1080" s="383"/>
      <c r="O1080" s="384"/>
      <c r="P1080" s="384"/>
      <c r="Q1080" s="383"/>
      <c r="R1080" s="383"/>
      <c r="S1080" s="385"/>
      <c r="T1080" s="380"/>
      <c r="U1080" s="380"/>
      <c r="V1080" s="380"/>
      <c r="W1080" s="380"/>
      <c r="X1080" s="380"/>
    </row>
    <row r="1081" spans="1:24" ht="15.75" customHeight="1">
      <c r="A1081" s="463"/>
      <c r="B1081" s="380"/>
      <c r="C1081" s="381"/>
      <c r="D1081" s="381"/>
      <c r="E1081" s="381"/>
      <c r="F1081" s="381"/>
      <c r="G1081" s="381"/>
      <c r="H1081" s="381"/>
      <c r="I1081" s="381"/>
      <c r="J1081" s="381"/>
      <c r="K1081" s="382"/>
      <c r="L1081" s="380"/>
      <c r="M1081" s="413"/>
      <c r="N1081" s="383"/>
      <c r="O1081" s="384"/>
      <c r="P1081" s="384"/>
      <c r="Q1081" s="383"/>
      <c r="R1081" s="383"/>
      <c r="S1081" s="385"/>
      <c r="T1081" s="380"/>
      <c r="U1081" s="380"/>
      <c r="V1081" s="380"/>
      <c r="W1081" s="380"/>
      <c r="X1081" s="380"/>
    </row>
    <row r="1082" spans="1:24" ht="15.75" customHeight="1">
      <c r="A1082" s="463"/>
      <c r="B1082" s="380"/>
      <c r="C1082" s="381"/>
      <c r="D1082" s="381"/>
      <c r="E1082" s="381"/>
      <c r="F1082" s="381"/>
      <c r="G1082" s="381"/>
      <c r="H1082" s="381"/>
      <c r="I1082" s="381"/>
      <c r="J1082" s="381"/>
      <c r="K1082" s="382"/>
      <c r="L1082" s="380"/>
      <c r="M1082" s="413"/>
      <c r="N1082" s="383"/>
      <c r="O1082" s="384"/>
      <c r="P1082" s="384"/>
      <c r="Q1082" s="383"/>
      <c r="R1082" s="383"/>
      <c r="S1082" s="385"/>
      <c r="T1082" s="380"/>
      <c r="U1082" s="380"/>
      <c r="V1082" s="380"/>
      <c r="W1082" s="380"/>
      <c r="X1082" s="380"/>
    </row>
    <row r="1083" spans="1:24" ht="15.75" customHeight="1">
      <c r="A1083" s="463"/>
      <c r="B1083" s="380"/>
      <c r="C1083" s="381"/>
      <c r="D1083" s="381"/>
      <c r="E1083" s="381"/>
      <c r="F1083" s="381"/>
      <c r="G1083" s="381"/>
      <c r="H1083" s="381"/>
      <c r="I1083" s="381"/>
      <c r="J1083" s="381"/>
      <c r="K1083" s="382"/>
      <c r="L1083" s="380"/>
      <c r="M1083" s="413"/>
      <c r="N1083" s="383"/>
      <c r="O1083" s="384"/>
      <c r="P1083" s="384"/>
      <c r="Q1083" s="383"/>
      <c r="R1083" s="383"/>
      <c r="S1083" s="385"/>
      <c r="T1083" s="380"/>
      <c r="U1083" s="380"/>
      <c r="V1083" s="380"/>
      <c r="W1083" s="380"/>
      <c r="X1083" s="380"/>
    </row>
    <row r="1084" spans="1:24" ht="15.75" customHeight="1">
      <c r="A1084" s="463"/>
      <c r="B1084" s="380"/>
      <c r="C1084" s="381"/>
      <c r="D1084" s="381"/>
      <c r="E1084" s="381"/>
      <c r="F1084" s="381"/>
      <c r="G1084" s="381"/>
      <c r="H1084" s="381"/>
      <c r="I1084" s="381"/>
      <c r="J1084" s="381"/>
      <c r="K1084" s="382"/>
      <c r="L1084" s="380"/>
      <c r="M1084" s="413"/>
      <c r="N1084" s="383"/>
      <c r="O1084" s="384"/>
      <c r="P1084" s="384"/>
      <c r="Q1084" s="383"/>
      <c r="R1084" s="383"/>
      <c r="S1084" s="385"/>
      <c r="T1084" s="380"/>
      <c r="U1084" s="380"/>
      <c r="V1084" s="380"/>
      <c r="W1084" s="380"/>
      <c r="X1084" s="380"/>
    </row>
    <row r="1085" spans="1:24" ht="15.75" customHeight="1">
      <c r="A1085" s="463"/>
      <c r="B1085" s="380"/>
      <c r="C1085" s="381"/>
      <c r="D1085" s="381"/>
      <c r="E1085" s="381"/>
      <c r="F1085" s="381"/>
      <c r="G1085" s="381"/>
      <c r="H1085" s="381"/>
      <c r="I1085" s="381"/>
      <c r="J1085" s="381"/>
      <c r="K1085" s="382"/>
      <c r="L1085" s="380"/>
      <c r="M1085" s="413"/>
      <c r="N1085" s="383"/>
      <c r="O1085" s="384"/>
      <c r="P1085" s="384"/>
      <c r="Q1085" s="383"/>
      <c r="R1085" s="383"/>
      <c r="S1085" s="385"/>
      <c r="T1085" s="380"/>
      <c r="U1085" s="380"/>
      <c r="V1085" s="380"/>
      <c r="W1085" s="380"/>
      <c r="X1085" s="380"/>
    </row>
    <row r="1086" spans="1:24" ht="15.75" customHeight="1">
      <c r="A1086" s="463"/>
      <c r="B1086" s="380"/>
      <c r="C1086" s="381"/>
      <c r="D1086" s="381"/>
      <c r="E1086" s="381"/>
      <c r="F1086" s="381"/>
      <c r="G1086" s="381"/>
      <c r="H1086" s="381"/>
      <c r="I1086" s="381"/>
      <c r="J1086" s="381"/>
      <c r="K1086" s="382"/>
      <c r="L1086" s="380"/>
      <c r="M1086" s="413"/>
      <c r="N1086" s="383"/>
      <c r="O1086" s="384"/>
      <c r="P1086" s="384"/>
      <c r="Q1086" s="383"/>
      <c r="R1086" s="383"/>
      <c r="S1086" s="385"/>
      <c r="T1086" s="380"/>
      <c r="U1086" s="380"/>
      <c r="V1086" s="380"/>
      <c r="W1086" s="380"/>
      <c r="X1086" s="380"/>
    </row>
    <row r="1087" spans="1:24" ht="15.75" customHeight="1">
      <c r="A1087" s="463"/>
      <c r="B1087" s="380"/>
      <c r="C1087" s="381"/>
      <c r="D1087" s="381"/>
      <c r="E1087" s="381"/>
      <c r="F1087" s="381"/>
      <c r="G1087" s="381"/>
      <c r="H1087" s="381"/>
      <c r="I1087" s="381"/>
      <c r="J1087" s="381"/>
      <c r="K1087" s="382"/>
      <c r="L1087" s="380"/>
      <c r="M1087" s="413"/>
      <c r="N1087" s="383"/>
      <c r="O1087" s="384"/>
      <c r="P1087" s="384"/>
      <c r="Q1087" s="383"/>
      <c r="R1087" s="383"/>
      <c r="S1087" s="385"/>
      <c r="T1087" s="380"/>
      <c r="U1087" s="380"/>
      <c r="V1087" s="380"/>
      <c r="W1087" s="380"/>
      <c r="X1087" s="380"/>
    </row>
    <row r="1088" spans="1:24" ht="15.75" customHeight="1">
      <c r="A1088" s="463"/>
      <c r="B1088" s="380"/>
      <c r="C1088" s="381"/>
      <c r="D1088" s="381"/>
      <c r="E1088" s="381"/>
      <c r="F1088" s="381"/>
      <c r="G1088" s="381"/>
      <c r="H1088" s="381"/>
      <c r="I1088" s="381"/>
      <c r="J1088" s="381"/>
      <c r="K1088" s="382"/>
      <c r="L1088" s="380"/>
      <c r="M1088" s="413"/>
      <c r="N1088" s="383"/>
      <c r="O1088" s="384"/>
      <c r="P1088" s="384"/>
      <c r="Q1088" s="383"/>
      <c r="R1088" s="383"/>
      <c r="S1088" s="385"/>
      <c r="T1088" s="380"/>
      <c r="U1088" s="380"/>
      <c r="V1088" s="380"/>
      <c r="W1088" s="380"/>
      <c r="X1088" s="380"/>
    </row>
    <row r="1089" spans="1:24" ht="15.75" customHeight="1">
      <c r="A1089" s="463"/>
      <c r="B1089" s="380"/>
      <c r="C1089" s="381"/>
      <c r="D1089" s="381"/>
      <c r="E1089" s="381"/>
      <c r="F1089" s="381"/>
      <c r="G1089" s="381"/>
      <c r="H1089" s="381"/>
      <c r="I1089" s="381"/>
      <c r="J1089" s="381"/>
      <c r="K1089" s="382"/>
      <c r="L1089" s="380"/>
      <c r="M1089" s="413"/>
      <c r="N1089" s="383"/>
      <c r="O1089" s="384"/>
      <c r="P1089" s="384"/>
      <c r="Q1089" s="383"/>
      <c r="R1089" s="383"/>
      <c r="S1089" s="385"/>
      <c r="T1089" s="380"/>
      <c r="U1089" s="380"/>
      <c r="V1089" s="380"/>
      <c r="W1089" s="380"/>
      <c r="X1089" s="380"/>
    </row>
    <row r="1090" spans="1:24" ht="15.75" customHeight="1">
      <c r="A1090" s="463"/>
      <c r="B1090" s="380"/>
      <c r="C1090" s="381"/>
      <c r="D1090" s="381"/>
      <c r="E1090" s="381"/>
      <c r="F1090" s="381"/>
      <c r="G1090" s="381"/>
      <c r="H1090" s="381"/>
      <c r="I1090" s="381"/>
      <c r="J1090" s="381"/>
      <c r="K1090" s="382"/>
      <c r="L1090" s="380"/>
      <c r="M1090" s="413"/>
      <c r="N1090" s="383"/>
      <c r="O1090" s="384"/>
      <c r="P1090" s="384"/>
      <c r="Q1090" s="383"/>
      <c r="R1090" s="383"/>
      <c r="S1090" s="385"/>
      <c r="T1090" s="380"/>
      <c r="U1090" s="380"/>
      <c r="V1090" s="380"/>
      <c r="W1090" s="380"/>
      <c r="X1090" s="380"/>
    </row>
    <row r="1091" spans="1:24" ht="15.75" customHeight="1">
      <c r="A1091" s="463"/>
      <c r="B1091" s="380"/>
      <c r="C1091" s="381"/>
      <c r="D1091" s="381"/>
      <c r="E1091" s="381"/>
      <c r="F1091" s="381"/>
      <c r="G1091" s="381"/>
      <c r="H1091" s="381"/>
      <c r="I1091" s="381"/>
      <c r="J1091" s="381"/>
      <c r="K1091" s="382"/>
      <c r="L1091" s="380"/>
      <c r="M1091" s="413"/>
      <c r="N1091" s="383"/>
      <c r="O1091" s="384"/>
      <c r="P1091" s="384"/>
      <c r="Q1091" s="383"/>
      <c r="R1091" s="383"/>
      <c r="S1091" s="385"/>
      <c r="T1091" s="380"/>
      <c r="U1091" s="380"/>
      <c r="V1091" s="380"/>
      <c r="W1091" s="380"/>
      <c r="X1091" s="380"/>
    </row>
    <row r="1092" spans="1:24" ht="15.75" customHeight="1">
      <c r="A1092" s="463"/>
      <c r="B1092" s="380"/>
      <c r="C1092" s="381"/>
      <c r="D1092" s="381"/>
      <c r="E1092" s="381"/>
      <c r="F1092" s="381"/>
      <c r="G1092" s="381"/>
      <c r="H1092" s="381"/>
      <c r="I1092" s="381"/>
      <c r="J1092" s="381"/>
      <c r="K1092" s="382"/>
      <c r="L1092" s="380"/>
      <c r="M1092" s="413"/>
      <c r="N1092" s="383"/>
      <c r="O1092" s="384"/>
      <c r="P1092" s="384"/>
      <c r="Q1092" s="383"/>
      <c r="R1092" s="383"/>
      <c r="S1092" s="385"/>
      <c r="T1092" s="380"/>
      <c r="U1092" s="380"/>
      <c r="V1092" s="380"/>
      <c r="W1092" s="380"/>
      <c r="X1092" s="380"/>
    </row>
    <row r="1093" spans="1:24" ht="15.75" customHeight="1">
      <c r="A1093" s="463"/>
      <c r="B1093" s="380"/>
      <c r="C1093" s="381"/>
      <c r="D1093" s="381"/>
      <c r="E1093" s="381"/>
      <c r="F1093" s="381"/>
      <c r="G1093" s="381"/>
      <c r="H1093" s="381"/>
      <c r="I1093" s="381"/>
      <c r="J1093" s="381"/>
      <c r="K1093" s="382"/>
      <c r="L1093" s="380"/>
      <c r="M1093" s="413"/>
      <c r="N1093" s="383"/>
      <c r="O1093" s="384"/>
      <c r="P1093" s="384"/>
      <c r="Q1093" s="383"/>
      <c r="R1093" s="383"/>
      <c r="S1093" s="385"/>
      <c r="T1093" s="380"/>
      <c r="U1093" s="380"/>
      <c r="V1093" s="380"/>
      <c r="W1093" s="380"/>
      <c r="X1093" s="380"/>
    </row>
    <row r="1094" spans="1:24" ht="15.75" customHeight="1">
      <c r="A1094" s="463"/>
      <c r="B1094" s="380"/>
      <c r="C1094" s="381"/>
      <c r="D1094" s="381"/>
      <c r="E1094" s="381"/>
      <c r="F1094" s="381"/>
      <c r="G1094" s="381"/>
      <c r="H1094" s="381"/>
      <c r="I1094" s="381"/>
      <c r="J1094" s="381"/>
      <c r="K1094" s="382"/>
      <c r="L1094" s="380"/>
      <c r="M1094" s="413"/>
      <c r="N1094" s="383"/>
      <c r="O1094" s="384"/>
      <c r="P1094" s="384"/>
      <c r="Q1094" s="383"/>
      <c r="R1094" s="383"/>
      <c r="S1094" s="385"/>
      <c r="T1094" s="380"/>
      <c r="U1094" s="380"/>
      <c r="V1094" s="380"/>
      <c r="W1094" s="380"/>
      <c r="X1094" s="380"/>
    </row>
    <row r="1095" spans="1:24" ht="15.75" customHeight="1">
      <c r="A1095" s="463"/>
      <c r="B1095" s="380"/>
      <c r="C1095" s="381"/>
      <c r="D1095" s="381"/>
      <c r="E1095" s="381"/>
      <c r="F1095" s="381"/>
      <c r="G1095" s="381"/>
      <c r="H1095" s="381"/>
      <c r="I1095" s="381"/>
      <c r="J1095" s="381"/>
      <c r="K1095" s="382"/>
      <c r="L1095" s="380"/>
      <c r="M1095" s="413"/>
      <c r="N1095" s="383"/>
      <c r="O1095" s="384"/>
      <c r="P1095" s="384"/>
      <c r="Q1095" s="383"/>
      <c r="R1095" s="383"/>
      <c r="S1095" s="385"/>
      <c r="T1095" s="380"/>
      <c r="U1095" s="380"/>
      <c r="V1095" s="380"/>
      <c r="W1095" s="380"/>
      <c r="X1095" s="380"/>
    </row>
    <row r="1096" spans="1:24" ht="15.75" customHeight="1">
      <c r="A1096" s="463"/>
      <c r="B1096" s="380"/>
      <c r="C1096" s="381"/>
      <c r="D1096" s="381"/>
      <c r="E1096" s="381"/>
      <c r="F1096" s="381"/>
      <c r="G1096" s="381"/>
      <c r="H1096" s="381"/>
      <c r="I1096" s="381"/>
      <c r="J1096" s="381"/>
      <c r="K1096" s="382"/>
      <c r="L1096" s="380"/>
      <c r="M1096" s="413"/>
      <c r="N1096" s="383"/>
      <c r="O1096" s="384"/>
      <c r="P1096" s="384"/>
      <c r="Q1096" s="383"/>
      <c r="R1096" s="383"/>
      <c r="S1096" s="385"/>
      <c r="T1096" s="380"/>
      <c r="U1096" s="380"/>
      <c r="V1096" s="380"/>
      <c r="W1096" s="380"/>
      <c r="X1096" s="380"/>
    </row>
    <row r="1097" spans="1:24" ht="15.75" customHeight="1">
      <c r="A1097" s="463"/>
      <c r="B1097" s="380"/>
      <c r="C1097" s="381"/>
      <c r="D1097" s="381"/>
      <c r="E1097" s="381"/>
      <c r="F1097" s="381"/>
      <c r="G1097" s="381"/>
      <c r="H1097" s="381"/>
      <c r="I1097" s="381"/>
      <c r="J1097" s="381"/>
      <c r="K1097" s="382"/>
      <c r="L1097" s="380"/>
      <c r="M1097" s="413"/>
      <c r="N1097" s="383"/>
      <c r="O1097" s="384"/>
      <c r="P1097" s="384"/>
      <c r="Q1097" s="383"/>
      <c r="R1097" s="383"/>
      <c r="S1097" s="385"/>
      <c r="T1097" s="380"/>
      <c r="U1097" s="380"/>
      <c r="V1097" s="380"/>
      <c r="W1097" s="380"/>
      <c r="X1097" s="380"/>
    </row>
    <row r="1098" spans="1:24" ht="15.75" customHeight="1">
      <c r="A1098" s="463"/>
      <c r="B1098" s="380"/>
      <c r="C1098" s="381"/>
      <c r="D1098" s="381"/>
      <c r="E1098" s="381"/>
      <c r="F1098" s="381"/>
      <c r="G1098" s="381"/>
      <c r="H1098" s="381"/>
      <c r="I1098" s="381"/>
      <c r="J1098" s="381"/>
      <c r="K1098" s="382"/>
      <c r="L1098" s="380"/>
      <c r="M1098" s="413"/>
      <c r="N1098" s="383"/>
      <c r="O1098" s="384"/>
      <c r="P1098" s="384"/>
      <c r="Q1098" s="383"/>
      <c r="R1098" s="383"/>
      <c r="S1098" s="385"/>
      <c r="T1098" s="380"/>
      <c r="U1098" s="380"/>
      <c r="V1098" s="380"/>
      <c r="W1098" s="380"/>
      <c r="X1098" s="380"/>
    </row>
    <row r="1099" spans="1:24" ht="15.75" customHeight="1">
      <c r="A1099" s="463"/>
      <c r="B1099" s="380"/>
      <c r="C1099" s="381"/>
      <c r="D1099" s="381"/>
      <c r="E1099" s="381"/>
      <c r="F1099" s="381"/>
      <c r="G1099" s="381"/>
      <c r="H1099" s="381"/>
      <c r="I1099" s="381"/>
      <c r="J1099" s="381"/>
      <c r="K1099" s="382"/>
      <c r="L1099" s="380"/>
      <c r="M1099" s="413"/>
      <c r="N1099" s="383"/>
      <c r="O1099" s="384"/>
      <c r="P1099" s="384"/>
      <c r="Q1099" s="383"/>
      <c r="R1099" s="383"/>
      <c r="S1099" s="385"/>
      <c r="T1099" s="380"/>
      <c r="U1099" s="380"/>
      <c r="V1099" s="380"/>
      <c r="W1099" s="380"/>
      <c r="X1099" s="380"/>
    </row>
    <row r="1100" spans="1:24" ht="15.75" customHeight="1">
      <c r="A1100" s="463"/>
      <c r="B1100" s="380"/>
      <c r="C1100" s="381"/>
      <c r="D1100" s="381"/>
      <c r="E1100" s="381"/>
      <c r="F1100" s="381"/>
      <c r="G1100" s="381"/>
      <c r="H1100" s="381"/>
      <c r="I1100" s="381"/>
      <c r="J1100" s="381"/>
      <c r="K1100" s="382"/>
      <c r="L1100" s="380"/>
      <c r="M1100" s="413"/>
      <c r="N1100" s="383"/>
      <c r="O1100" s="384"/>
      <c r="P1100" s="384"/>
      <c r="Q1100" s="383"/>
      <c r="R1100" s="383"/>
      <c r="S1100" s="385"/>
      <c r="T1100" s="380"/>
      <c r="U1100" s="380"/>
      <c r="V1100" s="380"/>
      <c r="W1100" s="380"/>
      <c r="X1100" s="380"/>
    </row>
    <row r="1101" spans="1:24" ht="15.75" customHeight="1">
      <c r="A1101" s="463"/>
      <c r="B1101" s="380"/>
      <c r="C1101" s="381"/>
      <c r="D1101" s="381"/>
      <c r="E1101" s="381"/>
      <c r="F1101" s="381"/>
      <c r="G1101" s="381"/>
      <c r="H1101" s="381"/>
      <c r="I1101" s="381"/>
      <c r="J1101" s="381"/>
      <c r="K1101" s="382"/>
      <c r="L1101" s="380"/>
      <c r="M1101" s="413"/>
      <c r="N1101" s="383"/>
      <c r="O1101" s="384"/>
      <c r="P1101" s="384"/>
      <c r="Q1101" s="383"/>
      <c r="R1101" s="383"/>
      <c r="S1101" s="385"/>
      <c r="T1101" s="380"/>
      <c r="U1101" s="380"/>
      <c r="V1101" s="380"/>
      <c r="W1101" s="380"/>
      <c r="X1101" s="380"/>
    </row>
    <row r="1102" spans="1:24" ht="15.75" customHeight="1">
      <c r="A1102" s="463"/>
      <c r="B1102" s="380"/>
      <c r="C1102" s="381"/>
      <c r="D1102" s="381"/>
      <c r="E1102" s="381"/>
      <c r="F1102" s="381"/>
      <c r="G1102" s="381"/>
      <c r="H1102" s="381"/>
      <c r="I1102" s="381"/>
      <c r="J1102" s="381"/>
      <c r="K1102" s="382"/>
      <c r="L1102" s="380"/>
      <c r="M1102" s="413"/>
      <c r="N1102" s="383"/>
      <c r="O1102" s="384"/>
      <c r="P1102" s="384"/>
      <c r="Q1102" s="383"/>
      <c r="R1102" s="383"/>
      <c r="S1102" s="385"/>
      <c r="T1102" s="380"/>
      <c r="U1102" s="380"/>
      <c r="V1102" s="380"/>
      <c r="W1102" s="380"/>
      <c r="X1102" s="380"/>
    </row>
    <row r="1103" spans="1:24" ht="15.75" customHeight="1">
      <c r="A1103" s="463"/>
      <c r="B1103" s="380"/>
      <c r="C1103" s="381"/>
      <c r="D1103" s="381"/>
      <c r="E1103" s="381"/>
      <c r="F1103" s="381"/>
      <c r="G1103" s="381"/>
      <c r="H1103" s="381"/>
      <c r="I1103" s="381"/>
      <c r="J1103" s="381"/>
      <c r="K1103" s="382"/>
      <c r="L1103" s="380"/>
      <c r="M1103" s="413"/>
      <c r="N1103" s="383"/>
      <c r="O1103" s="384"/>
      <c r="P1103" s="384"/>
      <c r="Q1103" s="383"/>
      <c r="R1103" s="383"/>
      <c r="S1103" s="385"/>
      <c r="T1103" s="380"/>
      <c r="U1103" s="380"/>
      <c r="V1103" s="380"/>
      <c r="W1103" s="380"/>
      <c r="X1103" s="380"/>
    </row>
    <row r="1104" spans="1:24" ht="15.75" customHeight="1">
      <c r="A1104" s="463"/>
      <c r="B1104" s="380"/>
      <c r="C1104" s="381"/>
      <c r="D1104" s="381"/>
      <c r="E1104" s="381"/>
      <c r="F1104" s="381"/>
      <c r="G1104" s="381"/>
      <c r="H1104" s="381"/>
      <c r="I1104" s="381"/>
      <c r="J1104" s="381"/>
      <c r="K1104" s="382"/>
      <c r="L1104" s="380"/>
      <c r="M1104" s="413"/>
      <c r="N1104" s="383"/>
      <c r="O1104" s="384"/>
      <c r="P1104" s="384"/>
      <c r="Q1104" s="383"/>
      <c r="R1104" s="383"/>
      <c r="S1104" s="385"/>
      <c r="T1104" s="380"/>
      <c r="U1104" s="380"/>
      <c r="V1104" s="380"/>
      <c r="W1104" s="380"/>
      <c r="X1104" s="380"/>
    </row>
    <row r="1105" spans="1:24" ht="15.75" customHeight="1">
      <c r="A1105" s="463"/>
      <c r="B1105" s="380"/>
      <c r="C1105" s="381"/>
      <c r="D1105" s="381"/>
      <c r="E1105" s="381"/>
      <c r="F1105" s="381"/>
      <c r="G1105" s="381"/>
      <c r="H1105" s="381"/>
      <c r="I1105" s="381"/>
      <c r="J1105" s="381"/>
      <c r="K1105" s="382"/>
      <c r="L1105" s="380"/>
      <c r="M1105" s="413"/>
      <c r="N1105" s="383"/>
      <c r="O1105" s="384"/>
      <c r="P1105" s="384"/>
      <c r="Q1105" s="383"/>
      <c r="R1105" s="383"/>
      <c r="S1105" s="385"/>
      <c r="T1105" s="380"/>
      <c r="U1105" s="380"/>
      <c r="V1105" s="380"/>
      <c r="W1105" s="380"/>
      <c r="X1105" s="380"/>
    </row>
    <row r="1106" spans="1:24" ht="15.75" customHeight="1">
      <c r="A1106" s="463"/>
      <c r="B1106" s="380"/>
      <c r="C1106" s="381"/>
      <c r="D1106" s="381"/>
      <c r="E1106" s="381"/>
      <c r="F1106" s="381"/>
      <c r="G1106" s="381"/>
      <c r="H1106" s="381"/>
      <c r="I1106" s="381"/>
      <c r="J1106" s="381"/>
      <c r="K1106" s="382"/>
      <c r="L1106" s="380"/>
      <c r="M1106" s="413"/>
      <c r="N1106" s="383"/>
      <c r="O1106" s="384"/>
      <c r="P1106" s="384"/>
      <c r="Q1106" s="383"/>
      <c r="R1106" s="383"/>
      <c r="S1106" s="385"/>
      <c r="T1106" s="380"/>
      <c r="U1106" s="380"/>
      <c r="V1106" s="380"/>
      <c r="W1106" s="380"/>
      <c r="X1106" s="380"/>
    </row>
    <row r="1107" spans="1:24" ht="15.75" customHeight="1">
      <c r="A1107" s="463"/>
      <c r="B1107" s="380"/>
      <c r="C1107" s="381"/>
      <c r="D1107" s="381"/>
      <c r="E1107" s="381"/>
      <c r="F1107" s="381"/>
      <c r="G1107" s="381"/>
      <c r="H1107" s="381"/>
      <c r="I1107" s="381"/>
      <c r="J1107" s="381"/>
      <c r="K1107" s="382"/>
      <c r="L1107" s="380"/>
      <c r="M1107" s="413"/>
      <c r="N1107" s="383"/>
      <c r="O1107" s="384"/>
      <c r="P1107" s="384"/>
      <c r="Q1107" s="383"/>
      <c r="R1107" s="383"/>
      <c r="S1107" s="385"/>
      <c r="T1107" s="380"/>
      <c r="U1107" s="380"/>
      <c r="V1107" s="380"/>
      <c r="W1107" s="380"/>
      <c r="X1107" s="380"/>
    </row>
    <row r="1108" spans="1:24" ht="15.75" customHeight="1">
      <c r="A1108" s="463"/>
      <c r="B1108" s="380"/>
      <c r="C1108" s="381"/>
      <c r="D1108" s="381"/>
      <c r="E1108" s="381"/>
      <c r="F1108" s="381"/>
      <c r="G1108" s="381"/>
      <c r="H1108" s="381"/>
      <c r="I1108" s="381"/>
      <c r="J1108" s="381"/>
      <c r="K1108" s="382"/>
      <c r="L1108" s="380"/>
      <c r="M1108" s="413"/>
      <c r="N1108" s="383"/>
      <c r="O1108" s="384"/>
      <c r="P1108" s="384"/>
      <c r="Q1108" s="383"/>
      <c r="R1108" s="383"/>
      <c r="S1108" s="385"/>
      <c r="T1108" s="380"/>
      <c r="U1108" s="380"/>
      <c r="V1108" s="380"/>
      <c r="W1108" s="380"/>
      <c r="X1108" s="380"/>
    </row>
    <row r="1109" spans="1:24" ht="15.75" customHeight="1">
      <c r="A1109" s="463"/>
      <c r="B1109" s="380"/>
      <c r="C1109" s="381"/>
      <c r="D1109" s="381"/>
      <c r="E1109" s="381"/>
      <c r="F1109" s="381"/>
      <c r="G1109" s="381"/>
      <c r="H1109" s="381"/>
      <c r="I1109" s="381"/>
      <c r="J1109" s="381"/>
      <c r="K1109" s="382"/>
      <c r="L1109" s="380"/>
      <c r="M1109" s="413"/>
      <c r="N1109" s="383"/>
      <c r="O1109" s="384"/>
      <c r="P1109" s="384"/>
      <c r="Q1109" s="383"/>
      <c r="R1109" s="383"/>
      <c r="S1109" s="385"/>
      <c r="T1109" s="380"/>
      <c r="U1109" s="380"/>
      <c r="V1109" s="380"/>
      <c r="W1109" s="380"/>
      <c r="X1109" s="380"/>
    </row>
    <row r="1110" spans="1:24" ht="15.75" customHeight="1">
      <c r="A1110" s="463"/>
      <c r="B1110" s="380"/>
      <c r="C1110" s="381"/>
      <c r="D1110" s="381"/>
      <c r="E1110" s="381"/>
      <c r="F1110" s="381"/>
      <c r="G1110" s="381"/>
      <c r="H1110" s="381"/>
      <c r="I1110" s="381"/>
      <c r="J1110" s="381"/>
      <c r="K1110" s="382"/>
      <c r="L1110" s="380"/>
      <c r="M1110" s="413"/>
      <c r="N1110" s="383"/>
      <c r="O1110" s="384"/>
      <c r="P1110" s="384"/>
      <c r="Q1110" s="383"/>
      <c r="R1110" s="383"/>
      <c r="S1110" s="385"/>
      <c r="T1110" s="380"/>
      <c r="U1110" s="380"/>
      <c r="V1110" s="380"/>
      <c r="W1110" s="380"/>
      <c r="X1110" s="380"/>
    </row>
    <row r="1111" spans="1:24" ht="15.75" customHeight="1">
      <c r="A1111" s="463"/>
      <c r="B1111" s="380"/>
      <c r="C1111" s="381"/>
      <c r="D1111" s="381"/>
      <c r="E1111" s="381"/>
      <c r="F1111" s="381"/>
      <c r="G1111" s="381"/>
      <c r="H1111" s="381"/>
      <c r="I1111" s="381"/>
      <c r="J1111" s="381"/>
      <c r="K1111" s="382"/>
      <c r="L1111" s="380"/>
      <c r="M1111" s="413"/>
      <c r="N1111" s="383"/>
      <c r="O1111" s="384"/>
      <c r="P1111" s="384"/>
      <c r="Q1111" s="383"/>
      <c r="R1111" s="383"/>
      <c r="S1111" s="385"/>
      <c r="T1111" s="380"/>
      <c r="U1111" s="380"/>
      <c r="V1111" s="380"/>
      <c r="W1111" s="380"/>
      <c r="X1111" s="380"/>
    </row>
    <row r="1112" spans="1:24" ht="15.75" customHeight="1">
      <c r="A1112" s="463"/>
      <c r="B1112" s="380"/>
      <c r="C1112" s="381"/>
      <c r="D1112" s="381"/>
      <c r="E1112" s="381"/>
      <c r="F1112" s="381"/>
      <c r="G1112" s="381"/>
      <c r="H1112" s="381"/>
      <c r="I1112" s="381"/>
      <c r="J1112" s="381"/>
      <c r="K1112" s="382"/>
      <c r="L1112" s="380"/>
      <c r="M1112" s="413"/>
      <c r="N1112" s="383"/>
      <c r="O1112" s="384"/>
      <c r="P1112" s="384"/>
      <c r="Q1112" s="383"/>
      <c r="R1112" s="383"/>
      <c r="S1112" s="385"/>
      <c r="T1112" s="380"/>
      <c r="U1112" s="380"/>
      <c r="V1112" s="380"/>
      <c r="W1112" s="380"/>
      <c r="X1112" s="380"/>
    </row>
    <row r="1113" spans="1:24" ht="15.75" customHeight="1">
      <c r="A1113" s="463"/>
      <c r="B1113" s="380"/>
      <c r="C1113" s="381"/>
      <c r="D1113" s="381"/>
      <c r="E1113" s="381"/>
      <c r="F1113" s="381"/>
      <c r="G1113" s="381"/>
      <c r="H1113" s="381"/>
      <c r="I1113" s="381"/>
      <c r="J1113" s="381"/>
      <c r="K1113" s="382"/>
      <c r="L1113" s="380"/>
      <c r="M1113" s="413"/>
      <c r="N1113" s="383"/>
      <c r="O1113" s="384"/>
      <c r="P1113" s="384"/>
      <c r="Q1113" s="383"/>
      <c r="R1113" s="383"/>
      <c r="S1113" s="385"/>
      <c r="T1113" s="380"/>
      <c r="U1113" s="380"/>
      <c r="V1113" s="380"/>
      <c r="W1113" s="380"/>
      <c r="X1113" s="380"/>
    </row>
    <row r="1114" spans="1:24" ht="15.75" customHeight="1">
      <c r="A1114" s="463"/>
      <c r="B1114" s="380"/>
      <c r="C1114" s="381"/>
      <c r="D1114" s="381"/>
      <c r="E1114" s="381"/>
      <c r="F1114" s="381"/>
      <c r="G1114" s="381"/>
      <c r="H1114" s="381"/>
      <c r="I1114" s="381"/>
      <c r="J1114" s="381"/>
      <c r="K1114" s="382"/>
      <c r="L1114" s="380"/>
      <c r="M1114" s="413"/>
      <c r="N1114" s="383"/>
      <c r="O1114" s="384"/>
      <c r="P1114" s="384"/>
      <c r="Q1114" s="383"/>
      <c r="R1114" s="383"/>
      <c r="S1114" s="385"/>
      <c r="T1114" s="380"/>
      <c r="U1114" s="380"/>
      <c r="V1114" s="380"/>
      <c r="W1114" s="380"/>
      <c r="X1114" s="380"/>
    </row>
    <row r="1115" spans="1:24" ht="15.75" customHeight="1">
      <c r="A1115" s="463"/>
      <c r="B1115" s="380"/>
      <c r="C1115" s="381"/>
      <c r="D1115" s="381"/>
      <c r="E1115" s="381"/>
      <c r="F1115" s="381"/>
      <c r="G1115" s="381"/>
      <c r="H1115" s="381"/>
      <c r="I1115" s="381"/>
      <c r="J1115" s="381"/>
      <c r="K1115" s="382"/>
      <c r="L1115" s="380"/>
      <c r="M1115" s="413"/>
      <c r="N1115" s="383"/>
      <c r="O1115" s="384"/>
      <c r="P1115" s="384"/>
      <c r="Q1115" s="383"/>
      <c r="R1115" s="383"/>
      <c r="S1115" s="385"/>
      <c r="T1115" s="380"/>
      <c r="U1115" s="380"/>
      <c r="V1115" s="380"/>
      <c r="W1115" s="380"/>
      <c r="X1115" s="380"/>
    </row>
    <row r="1116" spans="1:24" ht="15.75" customHeight="1">
      <c r="A1116" s="463"/>
      <c r="B1116" s="380"/>
      <c r="C1116" s="381"/>
      <c r="D1116" s="381"/>
      <c r="E1116" s="381"/>
      <c r="F1116" s="381"/>
      <c r="G1116" s="381"/>
      <c r="H1116" s="381"/>
      <c r="I1116" s="381"/>
      <c r="J1116" s="381"/>
      <c r="K1116" s="382"/>
      <c r="L1116" s="380"/>
      <c r="M1116" s="413"/>
      <c r="N1116" s="383"/>
      <c r="O1116" s="384"/>
      <c r="P1116" s="384"/>
      <c r="Q1116" s="383"/>
      <c r="R1116" s="383"/>
      <c r="S1116" s="385"/>
      <c r="T1116" s="380"/>
      <c r="U1116" s="380"/>
      <c r="V1116" s="380"/>
      <c r="W1116" s="380"/>
      <c r="X1116" s="380"/>
    </row>
    <row r="1117" spans="1:24" ht="15.75" customHeight="1">
      <c r="A1117" s="463"/>
      <c r="B1117" s="380"/>
      <c r="C1117" s="381"/>
      <c r="D1117" s="381"/>
      <c r="E1117" s="381"/>
      <c r="F1117" s="381"/>
      <c r="G1117" s="381"/>
      <c r="H1117" s="381"/>
      <c r="I1117" s="381"/>
      <c r="J1117" s="381"/>
      <c r="K1117" s="382"/>
      <c r="L1117" s="380"/>
      <c r="M1117" s="413"/>
      <c r="N1117" s="383"/>
      <c r="O1117" s="384"/>
      <c r="P1117" s="384"/>
      <c r="Q1117" s="383"/>
      <c r="R1117" s="383"/>
      <c r="S1117" s="385"/>
      <c r="T1117" s="380"/>
      <c r="U1117" s="380"/>
      <c r="V1117" s="380"/>
      <c r="W1117" s="380"/>
      <c r="X1117" s="380"/>
    </row>
    <row r="1118" spans="1:24" ht="15.75" customHeight="1">
      <c r="A1118" s="463"/>
      <c r="B1118" s="380"/>
      <c r="C1118" s="381"/>
      <c r="D1118" s="381"/>
      <c r="E1118" s="381"/>
      <c r="F1118" s="381"/>
      <c r="G1118" s="381"/>
      <c r="H1118" s="381"/>
      <c r="I1118" s="381"/>
      <c r="J1118" s="381"/>
      <c r="K1118" s="382"/>
      <c r="L1118" s="380"/>
      <c r="M1118" s="413"/>
      <c r="N1118" s="383"/>
      <c r="O1118" s="384"/>
      <c r="P1118" s="384"/>
      <c r="Q1118" s="383"/>
      <c r="R1118" s="383"/>
      <c r="S1118" s="385"/>
      <c r="T1118" s="380"/>
      <c r="U1118" s="380"/>
      <c r="V1118" s="380"/>
      <c r="W1118" s="380"/>
      <c r="X1118" s="380"/>
    </row>
    <row r="1119" spans="1:24" ht="15.75" customHeight="1">
      <c r="A1119" s="463"/>
      <c r="B1119" s="380"/>
      <c r="C1119" s="381"/>
      <c r="D1119" s="381"/>
      <c r="E1119" s="381"/>
      <c r="F1119" s="381"/>
      <c r="G1119" s="381"/>
      <c r="H1119" s="381"/>
      <c r="I1119" s="381"/>
      <c r="J1119" s="381"/>
      <c r="K1119" s="382"/>
      <c r="L1119" s="380"/>
      <c r="M1119" s="413"/>
      <c r="N1119" s="383"/>
      <c r="O1119" s="384"/>
      <c r="P1119" s="384"/>
      <c r="Q1119" s="383"/>
      <c r="R1119" s="383"/>
      <c r="S1119" s="385"/>
      <c r="T1119" s="380"/>
      <c r="U1119" s="380"/>
      <c r="V1119" s="380"/>
      <c r="W1119" s="380"/>
      <c r="X1119" s="380"/>
    </row>
    <row r="1120" spans="1:24" ht="15.75" customHeight="1">
      <c r="A1120" s="463"/>
      <c r="B1120" s="380"/>
      <c r="C1120" s="381"/>
      <c r="D1120" s="381"/>
      <c r="E1120" s="381"/>
      <c r="F1120" s="381"/>
      <c r="G1120" s="381"/>
      <c r="H1120" s="381"/>
      <c r="I1120" s="381"/>
      <c r="J1120" s="381"/>
      <c r="K1120" s="382"/>
      <c r="L1120" s="380"/>
      <c r="M1120" s="413"/>
      <c r="N1120" s="383"/>
      <c r="O1120" s="384"/>
      <c r="P1120" s="384"/>
      <c r="Q1120" s="383"/>
      <c r="R1120" s="383"/>
      <c r="S1120" s="385"/>
      <c r="T1120" s="380"/>
      <c r="U1120" s="380"/>
      <c r="V1120" s="380"/>
      <c r="W1120" s="380"/>
      <c r="X1120" s="380"/>
    </row>
    <row r="1121" spans="1:24" ht="15.75" customHeight="1">
      <c r="A1121" s="463"/>
      <c r="B1121" s="380"/>
      <c r="C1121" s="381"/>
      <c r="D1121" s="381"/>
      <c r="E1121" s="381"/>
      <c r="F1121" s="381"/>
      <c r="G1121" s="381"/>
      <c r="H1121" s="381"/>
      <c r="I1121" s="381"/>
      <c r="J1121" s="381"/>
      <c r="K1121" s="382"/>
      <c r="L1121" s="380"/>
      <c r="M1121" s="413"/>
      <c r="N1121" s="383"/>
      <c r="O1121" s="384"/>
      <c r="P1121" s="384"/>
      <c r="Q1121" s="383"/>
      <c r="R1121" s="383"/>
      <c r="S1121" s="385"/>
      <c r="T1121" s="380"/>
      <c r="U1121" s="380"/>
      <c r="V1121" s="380"/>
      <c r="W1121" s="380"/>
      <c r="X1121" s="380"/>
    </row>
    <row r="1122" spans="1:24" ht="15.75" customHeight="1">
      <c r="A1122" s="463"/>
      <c r="B1122" s="380"/>
      <c r="C1122" s="381"/>
      <c r="D1122" s="381"/>
      <c r="E1122" s="381"/>
      <c r="F1122" s="381"/>
      <c r="G1122" s="381"/>
      <c r="H1122" s="381"/>
      <c r="I1122" s="381"/>
      <c r="J1122" s="381"/>
      <c r="K1122" s="382"/>
      <c r="L1122" s="380"/>
      <c r="M1122" s="413"/>
      <c r="N1122" s="383"/>
      <c r="O1122" s="384"/>
      <c r="P1122" s="384"/>
      <c r="Q1122" s="383"/>
      <c r="R1122" s="383"/>
      <c r="S1122" s="385"/>
      <c r="T1122" s="380"/>
      <c r="U1122" s="380"/>
      <c r="V1122" s="380"/>
      <c r="W1122" s="380"/>
      <c r="X1122" s="380"/>
    </row>
    <row r="1123" spans="1:24" ht="15.75" customHeight="1">
      <c r="A1123" s="463"/>
      <c r="B1123" s="380"/>
      <c r="C1123" s="381"/>
      <c r="D1123" s="381"/>
      <c r="E1123" s="381"/>
      <c r="F1123" s="381"/>
      <c r="G1123" s="381"/>
      <c r="H1123" s="381"/>
      <c r="I1123" s="381"/>
      <c r="J1123" s="381"/>
      <c r="K1123" s="382"/>
      <c r="L1123" s="380"/>
      <c r="M1123" s="413"/>
      <c r="N1123" s="383"/>
      <c r="O1123" s="384"/>
      <c r="P1123" s="384"/>
      <c r="Q1123" s="383"/>
      <c r="R1123" s="383"/>
      <c r="S1123" s="385"/>
      <c r="T1123" s="380"/>
      <c r="U1123" s="380"/>
      <c r="V1123" s="380"/>
      <c r="W1123" s="380"/>
      <c r="X1123" s="380"/>
    </row>
    <row r="1124" spans="1:24" ht="15.75" customHeight="1">
      <c r="A1124" s="463"/>
      <c r="B1124" s="380"/>
      <c r="C1124" s="381"/>
      <c r="D1124" s="381"/>
      <c r="E1124" s="381"/>
      <c r="F1124" s="381"/>
      <c r="G1124" s="381"/>
      <c r="H1124" s="381"/>
      <c r="I1124" s="381"/>
      <c r="J1124" s="381"/>
      <c r="K1124" s="382"/>
      <c r="L1124" s="380"/>
      <c r="M1124" s="413"/>
      <c r="N1124" s="383"/>
      <c r="O1124" s="384"/>
      <c r="P1124" s="384"/>
      <c r="Q1124" s="383"/>
      <c r="R1124" s="383"/>
      <c r="S1124" s="385"/>
      <c r="T1124" s="380"/>
      <c r="U1124" s="380"/>
      <c r="V1124" s="380"/>
      <c r="W1124" s="380"/>
      <c r="X1124" s="380"/>
    </row>
    <row r="1125" spans="1:24" ht="15.75" customHeight="1">
      <c r="A1125" s="463"/>
      <c r="B1125" s="380"/>
      <c r="C1125" s="381"/>
      <c r="D1125" s="381"/>
      <c r="E1125" s="381"/>
      <c r="F1125" s="381"/>
      <c r="G1125" s="381"/>
      <c r="H1125" s="381"/>
      <c r="I1125" s="381"/>
      <c r="J1125" s="381"/>
      <c r="K1125" s="382"/>
      <c r="L1125" s="380"/>
      <c r="M1125" s="413"/>
      <c r="N1125" s="383"/>
      <c r="O1125" s="384"/>
      <c r="P1125" s="384"/>
      <c r="Q1125" s="383"/>
      <c r="R1125" s="383"/>
      <c r="S1125" s="385"/>
      <c r="T1125" s="380"/>
      <c r="U1125" s="380"/>
      <c r="V1125" s="380"/>
      <c r="W1125" s="380"/>
      <c r="X1125" s="380"/>
    </row>
    <row r="1126" spans="1:24" ht="15.75" customHeight="1">
      <c r="A1126" s="463"/>
      <c r="B1126" s="380"/>
      <c r="C1126" s="381"/>
      <c r="D1126" s="381"/>
      <c r="E1126" s="381"/>
      <c r="F1126" s="381"/>
      <c r="G1126" s="381"/>
      <c r="H1126" s="381"/>
      <c r="I1126" s="381"/>
      <c r="J1126" s="381"/>
      <c r="K1126" s="382"/>
      <c r="L1126" s="380"/>
      <c r="M1126" s="413"/>
      <c r="N1126" s="383"/>
      <c r="O1126" s="384"/>
      <c r="P1126" s="384"/>
      <c r="Q1126" s="383"/>
      <c r="R1126" s="383"/>
      <c r="S1126" s="385"/>
      <c r="T1126" s="380"/>
      <c r="U1126" s="380"/>
      <c r="V1126" s="380"/>
      <c r="W1126" s="380"/>
      <c r="X1126" s="380"/>
    </row>
    <row r="1127" spans="1:24" ht="15.75" customHeight="1">
      <c r="A1127" s="463"/>
      <c r="B1127" s="380"/>
      <c r="C1127" s="381"/>
      <c r="D1127" s="381"/>
      <c r="E1127" s="381"/>
      <c r="F1127" s="381"/>
      <c r="G1127" s="381"/>
      <c r="H1127" s="381"/>
      <c r="I1127" s="381"/>
      <c r="J1127" s="381"/>
      <c r="K1127" s="382"/>
      <c r="L1127" s="380"/>
      <c r="M1127" s="413"/>
      <c r="N1127" s="383"/>
      <c r="O1127" s="384"/>
      <c r="P1127" s="384"/>
      <c r="Q1127" s="383"/>
      <c r="R1127" s="383"/>
      <c r="S1127" s="385"/>
      <c r="T1127" s="380"/>
      <c r="U1127" s="380"/>
      <c r="V1127" s="380"/>
      <c r="W1127" s="380"/>
      <c r="X1127" s="380"/>
    </row>
    <row r="1128" spans="1:24" ht="15.75" customHeight="1">
      <c r="A1128" s="463"/>
      <c r="B1128" s="380"/>
      <c r="C1128" s="381"/>
      <c r="D1128" s="381"/>
      <c r="E1128" s="381"/>
      <c r="F1128" s="381"/>
      <c r="G1128" s="381"/>
      <c r="H1128" s="381"/>
      <c r="I1128" s="381"/>
      <c r="J1128" s="381"/>
      <c r="K1128" s="382"/>
      <c r="L1128" s="380"/>
      <c r="M1128" s="413"/>
      <c r="N1128" s="383"/>
      <c r="O1128" s="384"/>
      <c r="P1128" s="384"/>
      <c r="Q1128" s="383"/>
      <c r="R1128" s="383"/>
      <c r="S1128" s="385"/>
      <c r="T1128" s="380"/>
      <c r="U1128" s="380"/>
      <c r="V1128" s="380"/>
      <c r="W1128" s="380"/>
      <c r="X1128" s="380"/>
    </row>
    <row r="1129" spans="1:24" ht="15.75" customHeight="1">
      <c r="A1129" s="463"/>
      <c r="B1129" s="380"/>
      <c r="C1129" s="381"/>
      <c r="D1129" s="381"/>
      <c r="E1129" s="381"/>
      <c r="F1129" s="381"/>
      <c r="G1129" s="381"/>
      <c r="H1129" s="381"/>
      <c r="I1129" s="381"/>
      <c r="J1129" s="381"/>
      <c r="K1129" s="382"/>
      <c r="L1129" s="380"/>
      <c r="M1129" s="413"/>
      <c r="N1129" s="383"/>
      <c r="O1129" s="384"/>
      <c r="P1129" s="384"/>
      <c r="Q1129" s="383"/>
      <c r="R1129" s="383"/>
      <c r="S1129" s="385"/>
      <c r="T1129" s="380"/>
      <c r="U1129" s="380"/>
      <c r="V1129" s="380"/>
      <c r="W1129" s="380"/>
      <c r="X1129" s="380"/>
    </row>
    <row r="1130" spans="1:24" ht="15.75" customHeight="1">
      <c r="A1130" s="463"/>
      <c r="B1130" s="380"/>
      <c r="C1130" s="381"/>
      <c r="D1130" s="381"/>
      <c r="E1130" s="381"/>
      <c r="F1130" s="381"/>
      <c r="G1130" s="381"/>
      <c r="H1130" s="381"/>
      <c r="I1130" s="381"/>
      <c r="J1130" s="381"/>
      <c r="K1130" s="382"/>
      <c r="L1130" s="380"/>
      <c r="M1130" s="413"/>
      <c r="N1130" s="383"/>
      <c r="O1130" s="384"/>
      <c r="P1130" s="384"/>
      <c r="Q1130" s="383"/>
      <c r="R1130" s="383"/>
      <c r="S1130" s="385"/>
      <c r="T1130" s="380"/>
      <c r="U1130" s="380"/>
      <c r="V1130" s="380"/>
      <c r="W1130" s="380"/>
      <c r="X1130" s="380"/>
    </row>
    <row r="1131" spans="1:24" ht="15.75" customHeight="1">
      <c r="A1131" s="463"/>
      <c r="B1131" s="380"/>
      <c r="C1131" s="381"/>
      <c r="D1131" s="381"/>
      <c r="E1131" s="381"/>
      <c r="F1131" s="381"/>
      <c r="G1131" s="381"/>
      <c r="H1131" s="381"/>
      <c r="I1131" s="381"/>
      <c r="J1131" s="381"/>
      <c r="K1131" s="382"/>
      <c r="L1131" s="380"/>
      <c r="M1131" s="413"/>
      <c r="N1131" s="383"/>
      <c r="O1131" s="384"/>
      <c r="P1131" s="384"/>
      <c r="Q1131" s="383"/>
      <c r="R1131" s="383"/>
      <c r="S1131" s="385"/>
      <c r="T1131" s="380"/>
      <c r="U1131" s="380"/>
      <c r="V1131" s="380"/>
      <c r="W1131" s="380"/>
      <c r="X1131" s="380"/>
    </row>
    <row r="1132" spans="1:24" ht="15.75" customHeight="1">
      <c r="A1132" s="463"/>
      <c r="B1132" s="380"/>
      <c r="C1132" s="381"/>
      <c r="D1132" s="381"/>
      <c r="E1132" s="381"/>
      <c r="F1132" s="381"/>
      <c r="G1132" s="381"/>
      <c r="H1132" s="381"/>
      <c r="I1132" s="381"/>
      <c r="J1132" s="381"/>
      <c r="K1132" s="382"/>
      <c r="L1132" s="380"/>
      <c r="M1132" s="413"/>
      <c r="N1132" s="383"/>
      <c r="O1132" s="384"/>
      <c r="P1132" s="384"/>
      <c r="Q1132" s="383"/>
      <c r="R1132" s="383"/>
      <c r="S1132" s="385"/>
      <c r="T1132" s="380"/>
      <c r="U1132" s="380"/>
      <c r="V1132" s="380"/>
      <c r="W1132" s="380"/>
      <c r="X1132" s="380"/>
    </row>
    <row r="1133" spans="1:24" ht="15.75" customHeight="1">
      <c r="A1133" s="463"/>
      <c r="B1133" s="380"/>
      <c r="C1133" s="381"/>
      <c r="D1133" s="381"/>
      <c r="E1133" s="381"/>
      <c r="F1133" s="381"/>
      <c r="G1133" s="381"/>
      <c r="H1133" s="381"/>
      <c r="I1133" s="381"/>
      <c r="J1133" s="381"/>
      <c r="K1133" s="382"/>
      <c r="L1133" s="380"/>
      <c r="M1133" s="413"/>
      <c r="N1133" s="383"/>
      <c r="O1133" s="384"/>
      <c r="P1133" s="384"/>
      <c r="Q1133" s="383"/>
      <c r="R1133" s="383"/>
      <c r="S1133" s="385"/>
      <c r="T1133" s="380"/>
      <c r="U1133" s="380"/>
      <c r="V1133" s="380"/>
      <c r="W1133" s="380"/>
      <c r="X1133" s="380"/>
    </row>
    <row r="1134" spans="1:24" ht="15.75" customHeight="1">
      <c r="A1134" s="463"/>
      <c r="B1134" s="380"/>
      <c r="C1134" s="381"/>
      <c r="D1134" s="381"/>
      <c r="E1134" s="381"/>
      <c r="F1134" s="381"/>
      <c r="G1134" s="381"/>
      <c r="H1134" s="381"/>
      <c r="I1134" s="381"/>
      <c r="J1134" s="381"/>
      <c r="K1134" s="382"/>
      <c r="L1134" s="380"/>
      <c r="M1134" s="413"/>
      <c r="N1134" s="383"/>
      <c r="O1134" s="384"/>
      <c r="P1134" s="384"/>
      <c r="Q1134" s="383"/>
      <c r="R1134" s="383"/>
      <c r="S1134" s="385"/>
      <c r="T1134" s="380"/>
      <c r="U1134" s="380"/>
      <c r="V1134" s="380"/>
      <c r="W1134" s="380"/>
      <c r="X1134" s="380"/>
    </row>
    <row r="1135" spans="1:24" ht="15.75" customHeight="1">
      <c r="A1135" s="463"/>
      <c r="B1135" s="380"/>
      <c r="C1135" s="381"/>
      <c r="D1135" s="381"/>
      <c r="E1135" s="381"/>
      <c r="F1135" s="381"/>
      <c r="G1135" s="381"/>
      <c r="H1135" s="381"/>
      <c r="I1135" s="381"/>
      <c r="J1135" s="381"/>
      <c r="K1135" s="382"/>
      <c r="L1135" s="380"/>
      <c r="M1135" s="413"/>
      <c r="N1135" s="383"/>
      <c r="O1135" s="384"/>
      <c r="P1135" s="384"/>
      <c r="Q1135" s="383"/>
      <c r="R1135" s="383"/>
      <c r="S1135" s="385"/>
      <c r="T1135" s="380"/>
      <c r="U1135" s="380"/>
      <c r="V1135" s="380"/>
      <c r="W1135" s="380"/>
      <c r="X1135" s="380"/>
    </row>
    <row r="1136" spans="1:24" ht="15.75" customHeight="1">
      <c r="A1136" s="463"/>
      <c r="B1136" s="380"/>
      <c r="C1136" s="381"/>
      <c r="D1136" s="381"/>
      <c r="E1136" s="381"/>
      <c r="F1136" s="381"/>
      <c r="G1136" s="381"/>
      <c r="H1136" s="381"/>
      <c r="I1136" s="381"/>
      <c r="J1136" s="381"/>
      <c r="K1136" s="382"/>
      <c r="L1136" s="380"/>
      <c r="M1136" s="413"/>
      <c r="N1136" s="383"/>
      <c r="O1136" s="384"/>
      <c r="P1136" s="384"/>
      <c r="Q1136" s="383"/>
      <c r="R1136" s="383"/>
      <c r="S1136" s="385"/>
      <c r="T1136" s="380"/>
      <c r="U1136" s="380"/>
      <c r="V1136" s="380"/>
      <c r="W1136" s="380"/>
      <c r="X1136" s="380"/>
    </row>
    <row r="1137" spans="1:24" ht="15.75" customHeight="1">
      <c r="A1137" s="463"/>
      <c r="B1137" s="380"/>
      <c r="C1137" s="381"/>
      <c r="D1137" s="381"/>
      <c r="E1137" s="381"/>
      <c r="F1137" s="381"/>
      <c r="G1137" s="381"/>
      <c r="H1137" s="381"/>
      <c r="I1137" s="381"/>
      <c r="J1137" s="381"/>
      <c r="K1137" s="382"/>
      <c r="L1137" s="380"/>
      <c r="M1137" s="413"/>
      <c r="N1137" s="383"/>
      <c r="O1137" s="384"/>
      <c r="P1137" s="384"/>
      <c r="Q1137" s="383"/>
      <c r="R1137" s="383"/>
      <c r="S1137" s="385"/>
      <c r="T1137" s="380"/>
      <c r="U1137" s="380"/>
      <c r="V1137" s="380"/>
      <c r="W1137" s="380"/>
      <c r="X1137" s="380"/>
    </row>
    <row r="1138" spans="1:24" ht="15.75" customHeight="1">
      <c r="A1138" s="463"/>
      <c r="B1138" s="380"/>
      <c r="C1138" s="381"/>
      <c r="D1138" s="381"/>
      <c r="E1138" s="381"/>
      <c r="F1138" s="381"/>
      <c r="G1138" s="381"/>
      <c r="H1138" s="381"/>
      <c r="I1138" s="381"/>
      <c r="J1138" s="381"/>
      <c r="K1138" s="382"/>
      <c r="L1138" s="380"/>
      <c r="M1138" s="413"/>
      <c r="N1138" s="383"/>
      <c r="O1138" s="384"/>
      <c r="P1138" s="384"/>
      <c r="Q1138" s="383"/>
      <c r="R1138" s="383"/>
      <c r="S1138" s="385"/>
      <c r="T1138" s="380"/>
      <c r="U1138" s="380"/>
      <c r="V1138" s="380"/>
      <c r="W1138" s="380"/>
      <c r="X1138" s="380"/>
    </row>
    <row r="1139" spans="1:24" ht="15.75" customHeight="1">
      <c r="A1139" s="463"/>
      <c r="B1139" s="380"/>
      <c r="C1139" s="381"/>
      <c r="D1139" s="381"/>
      <c r="E1139" s="381"/>
      <c r="F1139" s="381"/>
      <c r="G1139" s="381"/>
      <c r="H1139" s="381"/>
      <c r="I1139" s="381"/>
      <c r="J1139" s="381"/>
      <c r="K1139" s="382"/>
      <c r="L1139" s="380"/>
      <c r="M1139" s="413"/>
      <c r="N1139" s="383"/>
      <c r="O1139" s="384"/>
      <c r="P1139" s="384"/>
      <c r="Q1139" s="383"/>
      <c r="R1139" s="383"/>
      <c r="S1139" s="385"/>
      <c r="T1139" s="380"/>
      <c r="U1139" s="380"/>
      <c r="V1139" s="380"/>
      <c r="W1139" s="380"/>
      <c r="X1139" s="380"/>
    </row>
    <row r="1140" spans="1:24" ht="15.75" customHeight="1">
      <c r="A1140" s="463"/>
      <c r="B1140" s="380"/>
      <c r="C1140" s="381"/>
      <c r="D1140" s="381"/>
      <c r="E1140" s="381"/>
      <c r="F1140" s="381"/>
      <c r="G1140" s="381"/>
      <c r="H1140" s="381"/>
      <c r="I1140" s="381"/>
      <c r="J1140" s="381"/>
      <c r="K1140" s="382"/>
      <c r="L1140" s="380"/>
      <c r="M1140" s="413"/>
      <c r="N1140" s="383"/>
      <c r="O1140" s="384"/>
      <c r="P1140" s="384"/>
      <c r="Q1140" s="383"/>
      <c r="R1140" s="383"/>
      <c r="S1140" s="385"/>
      <c r="T1140" s="380"/>
      <c r="U1140" s="380"/>
      <c r="V1140" s="380"/>
      <c r="W1140" s="380"/>
      <c r="X1140" s="380"/>
    </row>
    <row r="1141" spans="1:24" ht="15.75" customHeight="1">
      <c r="A1141" s="463"/>
      <c r="B1141" s="380"/>
      <c r="C1141" s="381"/>
      <c r="D1141" s="381"/>
      <c r="E1141" s="381"/>
      <c r="F1141" s="381"/>
      <c r="G1141" s="381"/>
      <c r="H1141" s="381"/>
      <c r="I1141" s="381"/>
      <c r="J1141" s="381"/>
      <c r="K1141" s="382"/>
      <c r="L1141" s="380"/>
      <c r="M1141" s="413"/>
      <c r="N1141" s="383"/>
      <c r="O1141" s="384"/>
      <c r="P1141" s="384"/>
      <c r="Q1141" s="383"/>
      <c r="R1141" s="383"/>
      <c r="S1141" s="385"/>
      <c r="T1141" s="380"/>
      <c r="U1141" s="380"/>
      <c r="V1141" s="380"/>
      <c r="W1141" s="380"/>
      <c r="X1141" s="380"/>
    </row>
    <row r="1142" spans="1:24" ht="15.75" customHeight="1">
      <c r="A1142" s="463"/>
      <c r="B1142" s="380"/>
      <c r="C1142" s="381"/>
      <c r="D1142" s="381"/>
      <c r="E1142" s="381"/>
      <c r="F1142" s="381"/>
      <c r="G1142" s="381"/>
      <c r="H1142" s="381"/>
      <c r="I1142" s="381"/>
      <c r="J1142" s="381"/>
      <c r="K1142" s="382"/>
      <c r="L1142" s="380"/>
      <c r="M1142" s="413"/>
      <c r="N1142" s="383"/>
      <c r="O1142" s="384"/>
      <c r="P1142" s="384"/>
      <c r="Q1142" s="383"/>
      <c r="R1142" s="383"/>
      <c r="S1142" s="385"/>
      <c r="T1142" s="380"/>
      <c r="U1142" s="380"/>
      <c r="V1142" s="380"/>
      <c r="W1142" s="380"/>
      <c r="X1142" s="380"/>
    </row>
    <row r="1143" spans="1:24" ht="15.75" customHeight="1">
      <c r="A1143" s="463"/>
      <c r="B1143" s="380"/>
      <c r="C1143" s="381"/>
      <c r="D1143" s="381"/>
      <c r="E1143" s="381"/>
      <c r="F1143" s="381"/>
      <c r="G1143" s="381"/>
      <c r="H1143" s="381"/>
      <c r="I1143" s="381"/>
      <c r="J1143" s="381"/>
      <c r="K1143" s="382"/>
      <c r="L1143" s="380"/>
      <c r="M1143" s="413"/>
      <c r="N1143" s="383"/>
      <c r="O1143" s="384"/>
      <c r="P1143" s="384"/>
      <c r="Q1143" s="383"/>
      <c r="R1143" s="383"/>
      <c r="S1143" s="385"/>
      <c r="T1143" s="380"/>
      <c r="U1143" s="380"/>
      <c r="V1143" s="380"/>
      <c r="W1143" s="380"/>
      <c r="X1143" s="380"/>
    </row>
    <row r="1144" spans="1:24" ht="15.75" customHeight="1">
      <c r="A1144" s="463"/>
      <c r="B1144" s="380"/>
      <c r="C1144" s="381"/>
      <c r="D1144" s="381"/>
      <c r="E1144" s="381"/>
      <c r="F1144" s="381"/>
      <c r="G1144" s="381"/>
      <c r="H1144" s="381"/>
      <c r="I1144" s="381"/>
      <c r="J1144" s="381"/>
      <c r="K1144" s="382"/>
      <c r="L1144" s="380"/>
      <c r="M1144" s="413"/>
      <c r="N1144" s="383"/>
      <c r="O1144" s="384"/>
      <c r="P1144" s="384"/>
      <c r="Q1144" s="383"/>
      <c r="R1144" s="383"/>
      <c r="S1144" s="385"/>
      <c r="T1144" s="380"/>
      <c r="U1144" s="380"/>
      <c r="V1144" s="380"/>
      <c r="W1144" s="380"/>
      <c r="X1144" s="380"/>
    </row>
    <row r="1145" spans="1:24" ht="15.75" customHeight="1">
      <c r="A1145" s="463"/>
      <c r="B1145" s="380"/>
      <c r="C1145" s="381"/>
      <c r="D1145" s="381"/>
      <c r="E1145" s="381"/>
      <c r="F1145" s="381"/>
      <c r="G1145" s="381"/>
      <c r="H1145" s="381"/>
      <c r="I1145" s="381"/>
      <c r="J1145" s="381"/>
      <c r="K1145" s="382"/>
      <c r="L1145" s="380"/>
      <c r="M1145" s="413"/>
      <c r="N1145" s="383"/>
      <c r="O1145" s="384"/>
      <c r="P1145" s="384"/>
      <c r="Q1145" s="383"/>
      <c r="R1145" s="383"/>
      <c r="S1145" s="385"/>
      <c r="T1145" s="380"/>
      <c r="U1145" s="380"/>
      <c r="V1145" s="380"/>
      <c r="W1145" s="380"/>
      <c r="X1145" s="380"/>
    </row>
    <row r="1146" spans="1:24" ht="15.75" customHeight="1">
      <c r="A1146" s="463"/>
      <c r="B1146" s="380"/>
      <c r="C1146" s="381"/>
      <c r="D1146" s="381"/>
      <c r="E1146" s="381"/>
      <c r="F1146" s="381"/>
      <c r="G1146" s="381"/>
      <c r="H1146" s="381"/>
      <c r="I1146" s="381"/>
      <c r="J1146" s="381"/>
      <c r="K1146" s="382"/>
      <c r="L1146" s="380"/>
      <c r="M1146" s="413"/>
      <c r="N1146" s="383"/>
      <c r="O1146" s="384"/>
      <c r="P1146" s="384"/>
      <c r="Q1146" s="383"/>
      <c r="R1146" s="383"/>
      <c r="S1146" s="385"/>
      <c r="T1146" s="380"/>
      <c r="U1146" s="380"/>
      <c r="V1146" s="380"/>
      <c r="W1146" s="380"/>
      <c r="X1146" s="380"/>
    </row>
    <row r="1147" spans="1:24" ht="15.75" customHeight="1">
      <c r="A1147" s="463"/>
      <c r="B1147" s="380"/>
      <c r="C1147" s="381"/>
      <c r="D1147" s="381"/>
      <c r="E1147" s="381"/>
      <c r="F1147" s="381"/>
      <c r="G1147" s="381"/>
      <c r="H1147" s="381"/>
      <c r="I1147" s="381"/>
      <c r="J1147" s="381"/>
      <c r="K1147" s="382"/>
      <c r="L1147" s="380"/>
      <c r="M1147" s="413"/>
      <c r="N1147" s="383"/>
      <c r="O1147" s="384"/>
      <c r="P1147" s="384"/>
      <c r="Q1147" s="383"/>
      <c r="R1147" s="383"/>
      <c r="S1147" s="385"/>
      <c r="T1147" s="380"/>
      <c r="U1147" s="380"/>
      <c r="V1147" s="380"/>
      <c r="W1147" s="380"/>
      <c r="X1147" s="380"/>
    </row>
    <row r="1148" spans="1:24" ht="15.75" customHeight="1">
      <c r="A1148" s="463"/>
      <c r="B1148" s="380"/>
      <c r="C1148" s="381"/>
      <c r="D1148" s="381"/>
      <c r="E1148" s="381"/>
      <c r="F1148" s="381"/>
      <c r="G1148" s="381"/>
      <c r="H1148" s="381"/>
      <c r="I1148" s="381"/>
      <c r="J1148" s="381"/>
      <c r="K1148" s="382"/>
      <c r="L1148" s="380"/>
      <c r="M1148" s="413"/>
      <c r="N1148" s="383"/>
      <c r="O1148" s="384"/>
      <c r="P1148" s="384"/>
      <c r="Q1148" s="383"/>
      <c r="R1148" s="383"/>
      <c r="S1148" s="385"/>
      <c r="T1148" s="380"/>
      <c r="U1148" s="380"/>
      <c r="V1148" s="380"/>
      <c r="W1148" s="380"/>
      <c r="X1148" s="380"/>
    </row>
    <row r="1149" spans="1:24" ht="15.75" customHeight="1">
      <c r="A1149" s="463"/>
      <c r="B1149" s="380"/>
      <c r="C1149" s="381"/>
      <c r="D1149" s="381"/>
      <c r="E1149" s="381"/>
      <c r="F1149" s="381"/>
      <c r="G1149" s="381"/>
      <c r="H1149" s="381"/>
      <c r="I1149" s="381"/>
      <c r="J1149" s="381"/>
      <c r="K1149" s="382"/>
      <c r="L1149" s="380"/>
      <c r="M1149" s="413"/>
      <c r="N1149" s="383"/>
      <c r="O1149" s="384"/>
      <c r="P1149" s="384"/>
      <c r="Q1149" s="383"/>
      <c r="R1149" s="383"/>
      <c r="S1149" s="385"/>
      <c r="T1149" s="380"/>
      <c r="U1149" s="380"/>
      <c r="V1149" s="380"/>
      <c r="W1149" s="380"/>
      <c r="X1149" s="380"/>
    </row>
    <row r="1150" spans="1:24" ht="15.75" customHeight="1">
      <c r="A1150" s="463"/>
      <c r="B1150" s="380"/>
      <c r="C1150" s="381"/>
      <c r="D1150" s="381"/>
      <c r="E1150" s="381"/>
      <c r="F1150" s="381"/>
      <c r="G1150" s="381"/>
      <c r="H1150" s="381"/>
      <c r="I1150" s="381"/>
      <c r="J1150" s="381"/>
      <c r="K1150" s="382"/>
      <c r="L1150" s="380"/>
      <c r="M1150" s="413"/>
      <c r="N1150" s="383"/>
      <c r="O1150" s="384"/>
      <c r="P1150" s="384"/>
      <c r="Q1150" s="383"/>
      <c r="R1150" s="383"/>
      <c r="S1150" s="385"/>
      <c r="T1150" s="380"/>
      <c r="U1150" s="380"/>
      <c r="V1150" s="380"/>
      <c r="W1150" s="380"/>
      <c r="X1150" s="380"/>
    </row>
    <row r="1151" spans="1:24" ht="15.75" customHeight="1">
      <c r="A1151" s="463"/>
      <c r="B1151" s="380"/>
      <c r="C1151" s="381"/>
      <c r="D1151" s="381"/>
      <c r="E1151" s="381"/>
      <c r="F1151" s="381"/>
      <c r="G1151" s="381"/>
      <c r="H1151" s="381"/>
      <c r="I1151" s="381"/>
      <c r="J1151" s="381"/>
      <c r="K1151" s="382"/>
      <c r="L1151" s="380"/>
      <c r="M1151" s="413"/>
      <c r="N1151" s="383"/>
      <c r="O1151" s="384"/>
      <c r="P1151" s="384"/>
      <c r="Q1151" s="383"/>
      <c r="R1151" s="383"/>
      <c r="S1151" s="385"/>
      <c r="T1151" s="380"/>
      <c r="U1151" s="380"/>
      <c r="V1151" s="380"/>
      <c r="W1151" s="380"/>
      <c r="X1151" s="380"/>
    </row>
    <row r="1152" spans="1:24" ht="15.75" customHeight="1">
      <c r="A1152" s="463"/>
      <c r="B1152" s="380"/>
      <c r="C1152" s="381"/>
      <c r="D1152" s="381"/>
      <c r="E1152" s="381"/>
      <c r="F1152" s="381"/>
      <c r="G1152" s="381"/>
      <c r="H1152" s="381"/>
      <c r="I1152" s="381"/>
      <c r="J1152" s="381"/>
      <c r="K1152" s="382"/>
      <c r="L1152" s="380"/>
      <c r="M1152" s="413"/>
      <c r="N1152" s="383"/>
      <c r="O1152" s="384"/>
      <c r="P1152" s="384"/>
      <c r="Q1152" s="383"/>
      <c r="R1152" s="383"/>
      <c r="S1152" s="385"/>
      <c r="T1152" s="380"/>
      <c r="U1152" s="380"/>
      <c r="V1152" s="380"/>
      <c r="W1152" s="380"/>
      <c r="X1152" s="380"/>
    </row>
    <row r="1153" spans="1:24" ht="15.75" customHeight="1">
      <c r="A1153" s="463"/>
      <c r="B1153" s="380"/>
      <c r="C1153" s="381"/>
      <c r="D1153" s="381"/>
      <c r="E1153" s="381"/>
      <c r="F1153" s="381"/>
      <c r="G1153" s="381"/>
      <c r="H1153" s="381"/>
      <c r="I1153" s="381"/>
      <c r="J1153" s="381"/>
      <c r="K1153" s="382"/>
      <c r="L1153" s="380"/>
      <c r="M1153" s="413"/>
      <c r="N1153" s="383"/>
      <c r="O1153" s="384"/>
      <c r="P1153" s="384"/>
      <c r="Q1153" s="383"/>
      <c r="R1153" s="383"/>
      <c r="S1153" s="385"/>
      <c r="T1153" s="380"/>
      <c r="U1153" s="380"/>
      <c r="V1153" s="380"/>
      <c r="W1153" s="380"/>
      <c r="X1153" s="380"/>
    </row>
    <row r="1154" spans="1:24" ht="15.75" customHeight="1">
      <c r="A1154" s="463"/>
      <c r="B1154" s="380"/>
      <c r="C1154" s="381"/>
      <c r="D1154" s="381"/>
      <c r="E1154" s="381"/>
      <c r="F1154" s="381"/>
      <c r="G1154" s="381"/>
      <c r="H1154" s="381"/>
      <c r="I1154" s="381"/>
      <c r="J1154" s="381"/>
      <c r="K1154" s="382"/>
      <c r="L1154" s="380"/>
      <c r="M1154" s="413"/>
      <c r="N1154" s="383"/>
      <c r="O1154" s="384"/>
      <c r="P1154" s="384"/>
      <c r="Q1154" s="383"/>
      <c r="R1154" s="383"/>
      <c r="S1154" s="385"/>
      <c r="T1154" s="380"/>
      <c r="U1154" s="380"/>
      <c r="V1154" s="380"/>
      <c r="W1154" s="380"/>
      <c r="X1154" s="380"/>
    </row>
    <row r="1155" spans="1:24" ht="15.75" customHeight="1">
      <c r="A1155" s="463"/>
      <c r="B1155" s="380"/>
      <c r="C1155" s="381"/>
      <c r="D1155" s="381"/>
      <c r="E1155" s="381"/>
      <c r="F1155" s="381"/>
      <c r="G1155" s="381"/>
      <c r="H1155" s="381"/>
      <c r="I1155" s="381"/>
      <c r="J1155" s="381"/>
      <c r="K1155" s="382"/>
      <c r="L1155" s="380"/>
      <c r="M1155" s="413"/>
      <c r="N1155" s="383"/>
      <c r="O1155" s="384"/>
      <c r="P1155" s="384"/>
      <c r="Q1155" s="383"/>
      <c r="R1155" s="383"/>
      <c r="S1155" s="385"/>
      <c r="T1155" s="380"/>
      <c r="U1155" s="380"/>
      <c r="V1155" s="380"/>
      <c r="W1155" s="380"/>
      <c r="X1155" s="380"/>
    </row>
    <row r="1156" spans="1:24" ht="15.75" customHeight="1">
      <c r="A1156" s="463"/>
      <c r="B1156" s="380"/>
      <c r="C1156" s="381"/>
      <c r="D1156" s="381"/>
      <c r="E1156" s="381"/>
      <c r="F1156" s="381"/>
      <c r="G1156" s="381"/>
      <c r="H1156" s="381"/>
      <c r="I1156" s="381"/>
      <c r="J1156" s="381"/>
      <c r="K1156" s="382"/>
      <c r="L1156" s="380"/>
      <c r="M1156" s="413"/>
      <c r="N1156" s="383"/>
      <c r="O1156" s="384"/>
      <c r="P1156" s="384"/>
      <c r="Q1156" s="383"/>
      <c r="R1156" s="383"/>
      <c r="S1156" s="385"/>
      <c r="T1156" s="380"/>
      <c r="U1156" s="380"/>
      <c r="V1156" s="380"/>
      <c r="W1156" s="380"/>
      <c r="X1156" s="380"/>
    </row>
    <row r="1157" spans="1:24" ht="15.75" customHeight="1">
      <c r="A1157" s="463"/>
      <c r="B1157" s="380"/>
      <c r="C1157" s="381"/>
      <c r="D1157" s="381"/>
      <c r="E1157" s="381"/>
      <c r="F1157" s="381"/>
      <c r="G1157" s="381"/>
      <c r="H1157" s="381"/>
      <c r="I1157" s="381"/>
      <c r="J1157" s="381"/>
      <c r="K1157" s="382"/>
      <c r="L1157" s="380"/>
      <c r="M1157" s="413"/>
      <c r="N1157" s="383"/>
      <c r="O1157" s="384"/>
      <c r="P1157" s="384"/>
      <c r="Q1157" s="383"/>
      <c r="R1157" s="383"/>
      <c r="S1157" s="385"/>
      <c r="T1157" s="380"/>
      <c r="U1157" s="380"/>
      <c r="V1157" s="380"/>
      <c r="W1157" s="380"/>
      <c r="X1157" s="380"/>
    </row>
    <row r="1158" spans="1:24" ht="15.75" customHeight="1">
      <c r="A1158" s="463"/>
      <c r="B1158" s="380"/>
      <c r="C1158" s="381"/>
      <c r="D1158" s="381"/>
      <c r="E1158" s="381"/>
      <c r="F1158" s="381"/>
      <c r="G1158" s="381"/>
      <c r="H1158" s="381"/>
      <c r="I1158" s="381"/>
      <c r="J1158" s="381"/>
      <c r="K1158" s="382"/>
      <c r="L1158" s="380"/>
      <c r="M1158" s="413"/>
      <c r="N1158" s="383"/>
      <c r="O1158" s="384"/>
      <c r="P1158" s="384"/>
      <c r="Q1158" s="383"/>
      <c r="R1158" s="383"/>
      <c r="S1158" s="385"/>
      <c r="T1158" s="380"/>
      <c r="U1158" s="380"/>
      <c r="V1158" s="380"/>
      <c r="W1158" s="380"/>
      <c r="X1158" s="380"/>
    </row>
    <row r="1159" spans="1:24" ht="15.75" customHeight="1">
      <c r="A1159" s="463"/>
      <c r="B1159" s="380"/>
      <c r="C1159" s="381"/>
      <c r="D1159" s="381"/>
      <c r="E1159" s="381"/>
      <c r="F1159" s="381"/>
      <c r="G1159" s="381"/>
      <c r="H1159" s="381"/>
      <c r="I1159" s="381"/>
      <c r="J1159" s="381"/>
      <c r="K1159" s="382"/>
      <c r="L1159" s="380"/>
      <c r="M1159" s="413"/>
      <c r="N1159" s="383"/>
      <c r="O1159" s="384"/>
      <c r="P1159" s="384"/>
      <c r="Q1159" s="383"/>
      <c r="R1159" s="383"/>
      <c r="S1159" s="385"/>
      <c r="T1159" s="380"/>
      <c r="U1159" s="380"/>
      <c r="V1159" s="380"/>
      <c r="W1159" s="380"/>
      <c r="X1159" s="380"/>
    </row>
    <row r="1160" spans="1:24" ht="15.75" customHeight="1">
      <c r="A1160" s="463"/>
      <c r="B1160" s="380"/>
      <c r="C1160" s="381"/>
      <c r="D1160" s="381"/>
      <c r="E1160" s="381"/>
      <c r="F1160" s="381"/>
      <c r="G1160" s="381"/>
      <c r="H1160" s="381"/>
      <c r="I1160" s="381"/>
      <c r="J1160" s="381"/>
      <c r="K1160" s="382"/>
      <c r="L1160" s="380"/>
      <c r="M1160" s="413"/>
      <c r="N1160" s="383"/>
      <c r="O1160" s="384"/>
      <c r="P1160" s="384"/>
      <c r="Q1160" s="383"/>
      <c r="R1160" s="383"/>
      <c r="S1160" s="385"/>
      <c r="T1160" s="380"/>
      <c r="U1160" s="380"/>
      <c r="V1160" s="380"/>
      <c r="W1160" s="380"/>
      <c r="X1160" s="380"/>
    </row>
    <row r="1161" spans="1:24" ht="15.75" customHeight="1">
      <c r="A1161" s="463"/>
      <c r="B1161" s="380"/>
      <c r="C1161" s="381"/>
      <c r="D1161" s="381"/>
      <c r="E1161" s="381"/>
      <c r="F1161" s="381"/>
      <c r="G1161" s="381"/>
      <c r="H1161" s="381"/>
      <c r="I1161" s="381"/>
      <c r="J1161" s="381"/>
      <c r="K1161" s="382"/>
      <c r="L1161" s="380"/>
      <c r="M1161" s="413"/>
      <c r="N1161" s="383"/>
      <c r="O1161" s="384"/>
      <c r="P1161" s="384"/>
      <c r="Q1161" s="383"/>
      <c r="R1161" s="383"/>
      <c r="S1161" s="385"/>
      <c r="T1161" s="380"/>
      <c r="U1161" s="380"/>
      <c r="V1161" s="380"/>
      <c r="W1161" s="380"/>
      <c r="X1161" s="380"/>
    </row>
    <row r="1162" spans="1:24" ht="15.75" customHeight="1">
      <c r="A1162" s="463"/>
      <c r="B1162" s="380"/>
      <c r="C1162" s="381"/>
      <c r="D1162" s="381"/>
      <c r="E1162" s="381"/>
      <c r="F1162" s="381"/>
      <c r="G1162" s="381"/>
      <c r="H1162" s="381"/>
      <c r="I1162" s="381"/>
      <c r="J1162" s="381"/>
      <c r="K1162" s="382"/>
      <c r="L1162" s="380"/>
      <c r="M1162" s="413"/>
      <c r="N1162" s="383"/>
      <c r="O1162" s="384"/>
      <c r="P1162" s="384"/>
      <c r="Q1162" s="383"/>
      <c r="R1162" s="383"/>
      <c r="S1162" s="385"/>
      <c r="T1162" s="380"/>
      <c r="U1162" s="380"/>
      <c r="V1162" s="380"/>
      <c r="W1162" s="380"/>
      <c r="X1162" s="380"/>
    </row>
    <row r="1163" spans="1:24" ht="15.75" customHeight="1">
      <c r="A1163" s="463"/>
      <c r="B1163" s="380"/>
      <c r="C1163" s="381"/>
      <c r="D1163" s="381"/>
      <c r="E1163" s="381"/>
      <c r="F1163" s="381"/>
      <c r="G1163" s="381"/>
      <c r="H1163" s="381"/>
      <c r="I1163" s="381"/>
      <c r="J1163" s="381"/>
      <c r="K1163" s="382"/>
      <c r="L1163" s="380"/>
      <c r="M1163" s="413"/>
      <c r="N1163" s="383"/>
      <c r="O1163" s="384"/>
      <c r="P1163" s="384"/>
      <c r="Q1163" s="383"/>
      <c r="R1163" s="383"/>
      <c r="S1163" s="385"/>
      <c r="T1163" s="380"/>
      <c r="U1163" s="380"/>
      <c r="V1163" s="380"/>
      <c r="W1163" s="380"/>
      <c r="X1163" s="380"/>
    </row>
    <row r="1164" spans="1:24" ht="15.75" customHeight="1">
      <c r="A1164" s="463"/>
      <c r="B1164" s="380"/>
      <c r="C1164" s="381"/>
      <c r="D1164" s="381"/>
      <c r="E1164" s="381"/>
      <c r="F1164" s="381"/>
      <c r="G1164" s="381"/>
      <c r="H1164" s="381"/>
      <c r="I1164" s="381"/>
      <c r="J1164" s="381"/>
      <c r="K1164" s="382"/>
      <c r="L1164" s="380"/>
      <c r="M1164" s="413"/>
      <c r="N1164" s="383"/>
      <c r="O1164" s="384"/>
      <c r="P1164" s="384"/>
      <c r="Q1164" s="383"/>
      <c r="R1164" s="383"/>
      <c r="S1164" s="385"/>
      <c r="T1164" s="380"/>
      <c r="U1164" s="380"/>
      <c r="V1164" s="380"/>
      <c r="W1164" s="380"/>
      <c r="X1164" s="380"/>
    </row>
    <row r="1165" spans="1:24" ht="15.75" customHeight="1">
      <c r="A1165" s="463"/>
      <c r="B1165" s="380"/>
      <c r="C1165" s="381"/>
      <c r="D1165" s="381"/>
      <c r="E1165" s="381"/>
      <c r="F1165" s="381"/>
      <c r="G1165" s="381"/>
      <c r="H1165" s="381"/>
      <c r="I1165" s="381"/>
      <c r="J1165" s="381"/>
      <c r="K1165" s="382"/>
      <c r="L1165" s="380"/>
      <c r="M1165" s="413"/>
      <c r="N1165" s="383"/>
      <c r="O1165" s="384"/>
      <c r="P1165" s="384"/>
      <c r="Q1165" s="383"/>
      <c r="R1165" s="383"/>
      <c r="S1165" s="385"/>
      <c r="T1165" s="380"/>
      <c r="U1165" s="380"/>
      <c r="V1165" s="380"/>
      <c r="W1165" s="380"/>
      <c r="X1165" s="380"/>
    </row>
    <row r="1166" spans="1:24" ht="15.75" customHeight="1">
      <c r="A1166" s="463"/>
      <c r="B1166" s="380"/>
      <c r="C1166" s="381"/>
      <c r="D1166" s="381"/>
      <c r="E1166" s="381"/>
      <c r="F1166" s="381"/>
      <c r="G1166" s="381"/>
      <c r="H1166" s="381"/>
      <c r="I1166" s="381"/>
      <c r="J1166" s="381"/>
      <c r="K1166" s="382"/>
      <c r="L1166" s="380"/>
      <c r="M1166" s="413"/>
      <c r="N1166" s="383"/>
      <c r="O1166" s="384"/>
      <c r="P1166" s="384"/>
      <c r="Q1166" s="383"/>
      <c r="R1166" s="383"/>
      <c r="S1166" s="385"/>
      <c r="T1166" s="380"/>
      <c r="U1166" s="380"/>
      <c r="V1166" s="380"/>
      <c r="W1166" s="380"/>
      <c r="X1166" s="380"/>
    </row>
    <row r="1167" spans="1:24" ht="15.75" customHeight="1">
      <c r="A1167" s="463"/>
      <c r="B1167" s="380"/>
      <c r="C1167" s="381"/>
      <c r="D1167" s="381"/>
      <c r="E1167" s="381"/>
      <c r="F1167" s="381"/>
      <c r="G1167" s="381"/>
      <c r="H1167" s="381"/>
      <c r="I1167" s="381"/>
      <c r="J1167" s="381"/>
      <c r="K1167" s="382"/>
      <c r="L1167" s="380"/>
      <c r="M1167" s="413"/>
      <c r="N1167" s="383"/>
      <c r="O1167" s="384"/>
      <c r="P1167" s="384"/>
      <c r="Q1167" s="383"/>
      <c r="R1167" s="383"/>
      <c r="S1167" s="385"/>
      <c r="T1167" s="380"/>
      <c r="U1167" s="380"/>
      <c r="V1167" s="380"/>
      <c r="W1167" s="380"/>
      <c r="X1167" s="380"/>
    </row>
    <row r="1168" spans="1:24" ht="15.75" customHeight="1">
      <c r="A1168" s="463"/>
      <c r="B1168" s="380"/>
      <c r="C1168" s="381"/>
      <c r="D1168" s="381"/>
      <c r="E1168" s="381"/>
      <c r="F1168" s="381"/>
      <c r="G1168" s="381"/>
      <c r="H1168" s="381"/>
      <c r="I1168" s="381"/>
      <c r="J1168" s="381"/>
      <c r="K1168" s="382"/>
      <c r="L1168" s="380"/>
      <c r="M1168" s="413"/>
      <c r="N1168" s="383"/>
      <c r="O1168" s="384"/>
      <c r="P1168" s="384"/>
      <c r="Q1168" s="383"/>
      <c r="R1168" s="383"/>
      <c r="S1168" s="385"/>
      <c r="T1168" s="380"/>
      <c r="U1168" s="380"/>
      <c r="V1168" s="380"/>
      <c r="W1168" s="380"/>
      <c r="X1168" s="380"/>
    </row>
    <row r="1169" spans="1:24" ht="15.75" customHeight="1">
      <c r="A1169" s="463"/>
      <c r="B1169" s="380"/>
      <c r="C1169" s="381"/>
      <c r="D1169" s="381"/>
      <c r="E1169" s="381"/>
      <c r="F1169" s="381"/>
      <c r="G1169" s="381"/>
      <c r="H1169" s="381"/>
      <c r="I1169" s="381"/>
      <c r="J1169" s="381"/>
      <c r="K1169" s="382"/>
      <c r="L1169" s="380"/>
      <c r="M1169" s="413"/>
      <c r="N1169" s="383"/>
      <c r="O1169" s="384"/>
      <c r="P1169" s="384"/>
      <c r="Q1169" s="383"/>
      <c r="R1169" s="383"/>
      <c r="S1169" s="385"/>
      <c r="T1169" s="380"/>
      <c r="U1169" s="380"/>
      <c r="V1169" s="380"/>
      <c r="W1169" s="380"/>
      <c r="X1169" s="380"/>
    </row>
    <row r="1170" spans="1:24" ht="15.75" customHeight="1">
      <c r="A1170" s="463"/>
      <c r="B1170" s="380"/>
      <c r="C1170" s="381"/>
      <c r="D1170" s="381"/>
      <c r="E1170" s="381"/>
      <c r="F1170" s="381"/>
      <c r="G1170" s="381"/>
      <c r="H1170" s="381"/>
      <c r="I1170" s="381"/>
      <c r="J1170" s="381"/>
      <c r="K1170" s="382"/>
      <c r="L1170" s="380"/>
      <c r="M1170" s="413"/>
      <c r="N1170" s="383"/>
      <c r="O1170" s="384"/>
      <c r="P1170" s="384"/>
      <c r="Q1170" s="383"/>
      <c r="R1170" s="383"/>
      <c r="S1170" s="385"/>
      <c r="T1170" s="380"/>
      <c r="U1170" s="380"/>
      <c r="V1170" s="380"/>
      <c r="W1170" s="380"/>
      <c r="X1170" s="380"/>
    </row>
    <row r="1171" spans="1:24" ht="15.75" customHeight="1">
      <c r="A1171" s="463"/>
      <c r="B1171" s="380"/>
      <c r="C1171" s="381"/>
      <c r="D1171" s="381"/>
      <c r="E1171" s="381"/>
      <c r="F1171" s="381"/>
      <c r="G1171" s="381"/>
      <c r="H1171" s="381"/>
      <c r="I1171" s="381"/>
      <c r="J1171" s="381"/>
      <c r="K1171" s="382"/>
      <c r="L1171" s="380"/>
      <c r="M1171" s="413"/>
      <c r="N1171" s="383"/>
      <c r="O1171" s="384"/>
      <c r="P1171" s="384"/>
      <c r="Q1171" s="383"/>
      <c r="R1171" s="383"/>
      <c r="S1171" s="385"/>
      <c r="T1171" s="380"/>
      <c r="U1171" s="380"/>
      <c r="V1171" s="380"/>
      <c r="W1171" s="380"/>
      <c r="X1171" s="380"/>
    </row>
    <row r="1172" spans="1:24" ht="15.75" customHeight="1">
      <c r="A1172" s="463"/>
      <c r="B1172" s="380"/>
      <c r="C1172" s="381"/>
      <c r="D1172" s="381"/>
      <c r="E1172" s="381"/>
      <c r="F1172" s="381"/>
      <c r="G1172" s="381"/>
      <c r="H1172" s="381"/>
      <c r="I1172" s="381"/>
      <c r="J1172" s="381"/>
      <c r="K1172" s="382"/>
      <c r="L1172" s="380"/>
      <c r="M1172" s="413"/>
      <c r="N1172" s="383"/>
      <c r="O1172" s="384"/>
      <c r="P1172" s="384"/>
      <c r="Q1172" s="383"/>
      <c r="R1172" s="383"/>
      <c r="S1172" s="385"/>
      <c r="T1172" s="380"/>
      <c r="U1172" s="380"/>
      <c r="V1172" s="380"/>
      <c r="W1172" s="380"/>
      <c r="X1172" s="380"/>
    </row>
    <row r="1173" spans="1:24" ht="15.75" customHeight="1">
      <c r="A1173" s="463"/>
      <c r="B1173" s="380"/>
      <c r="C1173" s="381"/>
      <c r="D1173" s="381"/>
      <c r="E1173" s="381"/>
      <c r="F1173" s="381"/>
      <c r="G1173" s="381"/>
      <c r="H1173" s="381"/>
      <c r="I1173" s="381"/>
      <c r="J1173" s="381"/>
      <c r="K1173" s="382"/>
      <c r="L1173" s="380"/>
      <c r="M1173" s="413"/>
      <c r="N1173" s="383"/>
      <c r="O1173" s="384"/>
      <c r="P1173" s="384"/>
      <c r="Q1173" s="383"/>
      <c r="R1173" s="383"/>
      <c r="S1173" s="385"/>
      <c r="T1173" s="380"/>
      <c r="U1173" s="380"/>
      <c r="V1173" s="380"/>
      <c r="W1173" s="380"/>
      <c r="X1173" s="380"/>
    </row>
    <row r="1174" spans="1:24" ht="15.75" customHeight="1">
      <c r="A1174" s="463"/>
      <c r="B1174" s="380"/>
      <c r="C1174" s="381"/>
      <c r="D1174" s="381"/>
      <c r="E1174" s="381"/>
      <c r="F1174" s="381"/>
      <c r="G1174" s="381"/>
      <c r="H1174" s="381"/>
      <c r="I1174" s="381"/>
      <c r="J1174" s="381"/>
      <c r="K1174" s="382"/>
      <c r="L1174" s="380"/>
      <c r="M1174" s="413"/>
      <c r="N1174" s="383"/>
      <c r="O1174" s="384"/>
      <c r="P1174" s="384"/>
      <c r="Q1174" s="383"/>
      <c r="R1174" s="383"/>
      <c r="S1174" s="385"/>
      <c r="T1174" s="380"/>
      <c r="U1174" s="380"/>
      <c r="V1174" s="380"/>
      <c r="W1174" s="380"/>
      <c r="X1174" s="380"/>
    </row>
    <row r="1175" spans="1:24" ht="15.75" customHeight="1">
      <c r="A1175" s="463"/>
      <c r="B1175" s="380"/>
      <c r="C1175" s="381"/>
      <c r="D1175" s="381"/>
      <c r="E1175" s="381"/>
      <c r="F1175" s="381"/>
      <c r="G1175" s="381"/>
      <c r="H1175" s="381"/>
      <c r="I1175" s="381"/>
      <c r="J1175" s="381"/>
      <c r="K1175" s="382"/>
      <c r="L1175" s="380"/>
      <c r="M1175" s="413"/>
      <c r="N1175" s="383"/>
      <c r="O1175" s="384"/>
      <c r="P1175" s="384"/>
      <c r="Q1175" s="383"/>
      <c r="R1175" s="383"/>
      <c r="S1175" s="385"/>
      <c r="T1175" s="380"/>
      <c r="U1175" s="380"/>
      <c r="V1175" s="380"/>
      <c r="W1175" s="380"/>
      <c r="X1175" s="380"/>
    </row>
    <row r="1176" spans="1:24" ht="15.75" customHeight="1">
      <c r="A1176" s="463"/>
      <c r="B1176" s="380"/>
      <c r="C1176" s="381"/>
      <c r="D1176" s="381"/>
      <c r="E1176" s="381"/>
      <c r="F1176" s="381"/>
      <c r="G1176" s="381"/>
      <c r="H1176" s="381"/>
      <c r="I1176" s="381"/>
      <c r="J1176" s="381"/>
      <c r="K1176" s="382"/>
      <c r="L1176" s="380"/>
      <c r="M1176" s="413"/>
      <c r="N1176" s="383"/>
      <c r="O1176" s="384"/>
      <c r="P1176" s="384"/>
      <c r="Q1176" s="383"/>
      <c r="R1176" s="383"/>
      <c r="S1176" s="385"/>
      <c r="T1176" s="380"/>
      <c r="U1176" s="380"/>
      <c r="V1176" s="380"/>
      <c r="W1176" s="380"/>
      <c r="X1176" s="380"/>
    </row>
    <row r="1177" spans="1:24" ht="15.75" customHeight="1">
      <c r="A1177" s="463"/>
      <c r="B1177" s="380"/>
      <c r="C1177" s="381"/>
      <c r="D1177" s="381"/>
      <c r="E1177" s="381"/>
      <c r="F1177" s="381"/>
      <c r="G1177" s="381"/>
      <c r="H1177" s="381"/>
      <c r="I1177" s="381"/>
      <c r="J1177" s="381"/>
      <c r="K1177" s="382"/>
      <c r="L1177" s="380"/>
      <c r="M1177" s="413"/>
      <c r="N1177" s="383"/>
      <c r="O1177" s="384"/>
      <c r="P1177" s="384"/>
      <c r="Q1177" s="383"/>
      <c r="R1177" s="383"/>
      <c r="S1177" s="385"/>
      <c r="T1177" s="380"/>
      <c r="U1177" s="380"/>
      <c r="V1177" s="380"/>
      <c r="W1177" s="380"/>
      <c r="X1177" s="380"/>
    </row>
    <row r="1178" spans="1:24" ht="15.75" customHeight="1">
      <c r="A1178" s="463"/>
      <c r="B1178" s="380"/>
      <c r="C1178" s="381"/>
      <c r="D1178" s="381"/>
      <c r="E1178" s="381"/>
      <c r="F1178" s="381"/>
      <c r="G1178" s="381"/>
      <c r="H1178" s="381"/>
      <c r="I1178" s="381"/>
      <c r="J1178" s="381"/>
      <c r="K1178" s="382"/>
      <c r="L1178" s="380"/>
      <c r="M1178" s="413"/>
      <c r="N1178" s="383"/>
      <c r="O1178" s="384"/>
      <c r="P1178" s="384"/>
      <c r="Q1178" s="383"/>
      <c r="R1178" s="383"/>
      <c r="S1178" s="385"/>
      <c r="T1178" s="380"/>
      <c r="U1178" s="380"/>
      <c r="V1178" s="380"/>
      <c r="W1178" s="380"/>
      <c r="X1178" s="380"/>
    </row>
    <row r="1179" spans="1:24" ht="15.75" customHeight="1">
      <c r="A1179" s="463"/>
      <c r="B1179" s="380"/>
      <c r="C1179" s="381"/>
      <c r="D1179" s="381"/>
      <c r="E1179" s="381"/>
      <c r="F1179" s="381"/>
      <c r="G1179" s="381"/>
      <c r="H1179" s="381"/>
      <c r="I1179" s="381"/>
      <c r="J1179" s="381"/>
      <c r="K1179" s="382"/>
      <c r="L1179" s="380"/>
      <c r="M1179" s="413"/>
      <c r="N1179" s="383"/>
      <c r="O1179" s="384"/>
      <c r="P1179" s="384"/>
      <c r="Q1179" s="383"/>
      <c r="R1179" s="383"/>
      <c r="S1179" s="385"/>
      <c r="T1179" s="380"/>
      <c r="U1179" s="380"/>
      <c r="V1179" s="380"/>
      <c r="W1179" s="380"/>
      <c r="X1179" s="380"/>
    </row>
    <row r="1180" spans="1:24" ht="15.75" customHeight="1">
      <c r="A1180" s="463"/>
      <c r="B1180" s="380"/>
      <c r="C1180" s="381"/>
      <c r="D1180" s="381"/>
      <c r="E1180" s="381"/>
      <c r="F1180" s="381"/>
      <c r="G1180" s="381"/>
      <c r="H1180" s="381"/>
      <c r="I1180" s="381"/>
      <c r="J1180" s="381"/>
      <c r="K1180" s="382"/>
      <c r="L1180" s="380"/>
      <c r="M1180" s="413"/>
      <c r="N1180" s="383"/>
      <c r="O1180" s="384"/>
      <c r="P1180" s="384"/>
      <c r="Q1180" s="383"/>
      <c r="R1180" s="383"/>
      <c r="S1180" s="385"/>
      <c r="T1180" s="380"/>
      <c r="U1180" s="380"/>
      <c r="V1180" s="380"/>
      <c r="W1180" s="380"/>
      <c r="X1180" s="380"/>
    </row>
    <row r="1181" spans="1:24" ht="15.75" customHeight="1">
      <c r="A1181" s="463"/>
      <c r="B1181" s="380"/>
      <c r="C1181" s="381"/>
      <c r="D1181" s="381"/>
      <c r="E1181" s="381"/>
      <c r="F1181" s="381"/>
      <c r="G1181" s="381"/>
      <c r="H1181" s="381"/>
      <c r="I1181" s="381"/>
      <c r="J1181" s="381"/>
      <c r="K1181" s="382"/>
      <c r="L1181" s="380"/>
      <c r="M1181" s="413"/>
      <c r="N1181" s="383"/>
      <c r="O1181" s="384"/>
      <c r="P1181" s="384"/>
      <c r="Q1181" s="383"/>
      <c r="R1181" s="383"/>
      <c r="S1181" s="385"/>
      <c r="T1181" s="380"/>
      <c r="U1181" s="380"/>
      <c r="V1181" s="380"/>
      <c r="W1181" s="380"/>
      <c r="X1181" s="380"/>
    </row>
    <row r="1182" spans="1:24" ht="15.75" customHeight="1">
      <c r="A1182" s="463"/>
      <c r="B1182" s="380"/>
      <c r="C1182" s="381"/>
      <c r="D1182" s="381"/>
      <c r="E1182" s="381"/>
      <c r="F1182" s="381"/>
      <c r="G1182" s="381"/>
      <c r="H1182" s="381"/>
      <c r="I1182" s="381"/>
      <c r="J1182" s="381"/>
      <c r="K1182" s="382"/>
      <c r="L1182" s="380"/>
      <c r="M1182" s="413"/>
      <c r="N1182" s="383"/>
      <c r="O1182" s="384"/>
      <c r="P1182" s="384"/>
      <c r="Q1182" s="383"/>
      <c r="R1182" s="383"/>
      <c r="S1182" s="385"/>
      <c r="T1182" s="380"/>
      <c r="U1182" s="380"/>
      <c r="V1182" s="380"/>
      <c r="W1182" s="380"/>
      <c r="X1182" s="380"/>
    </row>
    <row r="1183" spans="1:24" ht="15.75" customHeight="1">
      <c r="A1183" s="463"/>
      <c r="B1183" s="380"/>
      <c r="C1183" s="381"/>
      <c r="D1183" s="381"/>
      <c r="E1183" s="381"/>
      <c r="F1183" s="381"/>
      <c r="G1183" s="381"/>
      <c r="H1183" s="381"/>
      <c r="I1183" s="381"/>
      <c r="J1183" s="381"/>
      <c r="K1183" s="382"/>
      <c r="L1183" s="380"/>
      <c r="M1183" s="413"/>
      <c r="N1183" s="383"/>
      <c r="O1183" s="384"/>
      <c r="P1183" s="384"/>
      <c r="Q1183" s="383"/>
      <c r="R1183" s="383"/>
      <c r="S1183" s="385"/>
      <c r="T1183" s="380"/>
      <c r="U1183" s="380"/>
      <c r="V1183" s="380"/>
      <c r="W1183" s="380"/>
      <c r="X1183" s="380"/>
    </row>
    <row r="1184" spans="1:24" ht="15.75" customHeight="1">
      <c r="A1184" s="463"/>
      <c r="B1184" s="380"/>
      <c r="C1184" s="381"/>
      <c r="D1184" s="381"/>
      <c r="E1184" s="381"/>
      <c r="F1184" s="381"/>
      <c r="G1184" s="381"/>
      <c r="H1184" s="381"/>
      <c r="I1184" s="381"/>
      <c r="J1184" s="381"/>
      <c r="K1184" s="382"/>
      <c r="L1184" s="380"/>
      <c r="M1184" s="413"/>
      <c r="N1184" s="383"/>
      <c r="O1184" s="384"/>
      <c r="P1184" s="384"/>
      <c r="Q1184" s="383"/>
      <c r="R1184" s="383"/>
      <c r="S1184" s="385"/>
      <c r="T1184" s="380"/>
      <c r="U1184" s="380"/>
      <c r="V1184" s="380"/>
      <c r="W1184" s="380"/>
      <c r="X1184" s="380"/>
    </row>
    <row r="1185" spans="1:24" ht="15.75" customHeight="1">
      <c r="A1185" s="463"/>
      <c r="B1185" s="380"/>
      <c r="C1185" s="381"/>
      <c r="D1185" s="381"/>
      <c r="E1185" s="381"/>
      <c r="F1185" s="381"/>
      <c r="G1185" s="381"/>
      <c r="H1185" s="381"/>
      <c r="I1185" s="381"/>
      <c r="J1185" s="381"/>
      <c r="K1185" s="382"/>
      <c r="L1185" s="380"/>
      <c r="M1185" s="413"/>
      <c r="N1185" s="383"/>
      <c r="O1185" s="384"/>
      <c r="P1185" s="384"/>
      <c r="Q1185" s="383"/>
      <c r="R1185" s="383"/>
      <c r="S1185" s="385"/>
      <c r="T1185" s="380"/>
      <c r="U1185" s="380"/>
      <c r="V1185" s="380"/>
      <c r="W1185" s="380"/>
      <c r="X1185" s="380"/>
    </row>
    <row r="1186" spans="1:24" ht="15.75" customHeight="1">
      <c r="A1186" s="463"/>
      <c r="B1186" s="380"/>
      <c r="C1186" s="381"/>
      <c r="D1186" s="381"/>
      <c r="E1186" s="381"/>
      <c r="F1186" s="381"/>
      <c r="G1186" s="381"/>
      <c r="H1186" s="381"/>
      <c r="I1186" s="381"/>
      <c r="J1186" s="381"/>
      <c r="K1186" s="382"/>
      <c r="L1186" s="380"/>
      <c r="M1186" s="413"/>
      <c r="N1186" s="383"/>
      <c r="O1186" s="384"/>
      <c r="P1186" s="384"/>
      <c r="Q1186" s="383"/>
      <c r="R1186" s="383"/>
      <c r="S1186" s="385"/>
      <c r="T1186" s="380"/>
      <c r="U1186" s="380"/>
      <c r="V1186" s="380"/>
      <c r="W1186" s="380"/>
      <c r="X1186" s="380"/>
    </row>
    <row r="1187" spans="1:24" ht="15.75" customHeight="1">
      <c r="A1187" s="463"/>
      <c r="B1187" s="380"/>
      <c r="C1187" s="381"/>
      <c r="D1187" s="381"/>
      <c r="E1187" s="381"/>
      <c r="F1187" s="381"/>
      <c r="G1187" s="381"/>
      <c r="H1187" s="381"/>
      <c r="I1187" s="381"/>
      <c r="J1187" s="381"/>
      <c r="K1187" s="382"/>
      <c r="L1187" s="380"/>
      <c r="M1187" s="413"/>
      <c r="N1187" s="383"/>
      <c r="O1187" s="384"/>
      <c r="P1187" s="384"/>
      <c r="Q1187" s="383"/>
      <c r="R1187" s="383"/>
      <c r="S1187" s="385"/>
      <c r="T1187" s="380"/>
      <c r="U1187" s="380"/>
      <c r="V1187" s="380"/>
      <c r="W1187" s="380"/>
      <c r="X1187" s="380"/>
    </row>
    <row r="1188" spans="1:24" ht="15.75" customHeight="1">
      <c r="A1188" s="463"/>
      <c r="B1188" s="380"/>
      <c r="C1188" s="381"/>
      <c r="D1188" s="381"/>
      <c r="E1188" s="381"/>
      <c r="F1188" s="381"/>
      <c r="G1188" s="381"/>
      <c r="H1188" s="381"/>
      <c r="I1188" s="381"/>
      <c r="J1188" s="381"/>
      <c r="K1188" s="382"/>
      <c r="L1188" s="380"/>
      <c r="M1188" s="413"/>
      <c r="N1188" s="383"/>
      <c r="O1188" s="384"/>
      <c r="P1188" s="384"/>
      <c r="Q1188" s="383"/>
      <c r="R1188" s="383"/>
      <c r="S1188" s="385"/>
      <c r="T1188" s="380"/>
      <c r="U1188" s="380"/>
      <c r="V1188" s="380"/>
      <c r="W1188" s="380"/>
      <c r="X1188" s="380"/>
    </row>
    <row r="1189" spans="1:24" ht="15.75" customHeight="1">
      <c r="A1189" s="463"/>
      <c r="B1189" s="380"/>
      <c r="C1189" s="381"/>
      <c r="D1189" s="381"/>
      <c r="E1189" s="381"/>
      <c r="F1189" s="381"/>
      <c r="G1189" s="381"/>
      <c r="H1189" s="381"/>
      <c r="I1189" s="381"/>
      <c r="J1189" s="381"/>
      <c r="K1189" s="382"/>
      <c r="L1189" s="380"/>
      <c r="M1189" s="413"/>
      <c r="N1189" s="383"/>
      <c r="O1189" s="384"/>
      <c r="P1189" s="384"/>
      <c r="Q1189" s="383"/>
      <c r="R1189" s="383"/>
      <c r="S1189" s="385"/>
      <c r="T1189" s="380"/>
      <c r="U1189" s="380"/>
      <c r="V1189" s="380"/>
      <c r="W1189" s="380"/>
      <c r="X1189" s="380"/>
    </row>
    <row r="1190" spans="1:24" ht="15.75" customHeight="1">
      <c r="A1190" s="463"/>
      <c r="B1190" s="380"/>
      <c r="C1190" s="381"/>
      <c r="D1190" s="381"/>
      <c r="E1190" s="381"/>
      <c r="F1190" s="381"/>
      <c r="G1190" s="381"/>
      <c r="H1190" s="381"/>
      <c r="I1190" s="381"/>
      <c r="J1190" s="381"/>
      <c r="K1190" s="382"/>
      <c r="L1190" s="380"/>
      <c r="M1190" s="413"/>
      <c r="N1190" s="383"/>
      <c r="O1190" s="384"/>
      <c r="P1190" s="384"/>
      <c r="Q1190" s="383"/>
      <c r="R1190" s="383"/>
      <c r="S1190" s="385"/>
      <c r="T1190" s="380"/>
      <c r="U1190" s="380"/>
      <c r="V1190" s="380"/>
      <c r="W1190" s="380"/>
      <c r="X1190" s="380"/>
    </row>
    <row r="1191" spans="1:24" ht="15.75" customHeight="1">
      <c r="A1191" s="463"/>
      <c r="B1191" s="380"/>
      <c r="C1191" s="381"/>
      <c r="D1191" s="381"/>
      <c r="E1191" s="381"/>
      <c r="F1191" s="381"/>
      <c r="G1191" s="381"/>
      <c r="H1191" s="381"/>
      <c r="I1191" s="381"/>
      <c r="J1191" s="381"/>
      <c r="K1191" s="382"/>
      <c r="L1191" s="380"/>
      <c r="M1191" s="413"/>
      <c r="N1191" s="383"/>
      <c r="O1191" s="384"/>
      <c r="P1191" s="384"/>
      <c r="Q1191" s="383"/>
      <c r="R1191" s="383"/>
      <c r="S1191" s="385"/>
      <c r="T1191" s="380"/>
      <c r="U1191" s="380"/>
      <c r="V1191" s="380"/>
      <c r="W1191" s="380"/>
      <c r="X1191" s="380"/>
    </row>
    <row r="1192" spans="1:24" ht="15.75" customHeight="1">
      <c r="A1192" s="463"/>
      <c r="B1192" s="380"/>
      <c r="C1192" s="381"/>
      <c r="D1192" s="381"/>
      <c r="E1192" s="381"/>
      <c r="F1192" s="381"/>
      <c r="G1192" s="381"/>
      <c r="H1192" s="381"/>
      <c r="I1192" s="381"/>
      <c r="J1192" s="381"/>
      <c r="K1192" s="382"/>
      <c r="L1192" s="380"/>
      <c r="M1192" s="413"/>
      <c r="N1192" s="383"/>
      <c r="O1192" s="384"/>
      <c r="P1192" s="384"/>
      <c r="Q1192" s="383"/>
      <c r="R1192" s="383"/>
      <c r="S1192" s="385"/>
      <c r="T1192" s="380"/>
      <c r="U1192" s="380"/>
      <c r="V1192" s="380"/>
      <c r="W1192" s="380"/>
      <c r="X1192" s="380"/>
    </row>
    <row r="1193" spans="1:24" ht="15.75" customHeight="1">
      <c r="A1193" s="463"/>
      <c r="B1193" s="380"/>
      <c r="C1193" s="381"/>
      <c r="D1193" s="381"/>
      <c r="E1193" s="381"/>
      <c r="F1193" s="381"/>
      <c r="G1193" s="381"/>
      <c r="H1193" s="381"/>
      <c r="I1193" s="381"/>
      <c r="J1193" s="381"/>
      <c r="K1193" s="382"/>
      <c r="L1193" s="380"/>
      <c r="M1193" s="413"/>
      <c r="N1193" s="383"/>
      <c r="O1193" s="384"/>
      <c r="P1193" s="384"/>
      <c r="Q1193" s="383"/>
      <c r="R1193" s="383"/>
      <c r="S1193" s="385"/>
      <c r="T1193" s="380"/>
      <c r="U1193" s="380"/>
      <c r="V1193" s="380"/>
      <c r="W1193" s="380"/>
      <c r="X1193" s="380"/>
    </row>
    <row r="1194" spans="1:24" ht="15.75" customHeight="1">
      <c r="A1194" s="463"/>
      <c r="B1194" s="380"/>
      <c r="C1194" s="381"/>
      <c r="D1194" s="381"/>
      <c r="E1194" s="381"/>
      <c r="F1194" s="381"/>
      <c r="G1194" s="381"/>
      <c r="H1194" s="381"/>
      <c r="I1194" s="381"/>
      <c r="J1194" s="381"/>
      <c r="K1194" s="382"/>
      <c r="L1194" s="380"/>
      <c r="M1194" s="413"/>
      <c r="N1194" s="383"/>
      <c r="O1194" s="384"/>
      <c r="P1194" s="384"/>
      <c r="Q1194" s="383"/>
      <c r="R1194" s="383"/>
      <c r="S1194" s="385"/>
      <c r="T1194" s="380"/>
      <c r="U1194" s="380"/>
      <c r="V1194" s="380"/>
      <c r="W1194" s="380"/>
      <c r="X1194" s="380"/>
    </row>
    <row r="1195" spans="1:24" ht="15.75" customHeight="1">
      <c r="A1195" s="463"/>
      <c r="B1195" s="380"/>
      <c r="C1195" s="381"/>
      <c r="D1195" s="381"/>
      <c r="E1195" s="381"/>
      <c r="F1195" s="381"/>
      <c r="G1195" s="381"/>
      <c r="H1195" s="381"/>
      <c r="I1195" s="381"/>
      <c r="J1195" s="381"/>
      <c r="K1195" s="382"/>
      <c r="L1195" s="380"/>
      <c r="M1195" s="413"/>
      <c r="N1195" s="383"/>
      <c r="O1195" s="384"/>
      <c r="P1195" s="384"/>
      <c r="Q1195" s="383"/>
      <c r="R1195" s="383"/>
      <c r="S1195" s="385"/>
      <c r="T1195" s="380"/>
      <c r="U1195" s="380"/>
      <c r="V1195" s="380"/>
      <c r="W1195" s="380"/>
      <c r="X1195" s="380"/>
    </row>
    <row r="1196" spans="1:24" ht="15.75" customHeight="1">
      <c r="A1196" s="463"/>
      <c r="B1196" s="380"/>
      <c r="C1196" s="381"/>
      <c r="D1196" s="381"/>
      <c r="E1196" s="381"/>
      <c r="F1196" s="381"/>
      <c r="G1196" s="381"/>
      <c r="H1196" s="381"/>
      <c r="I1196" s="381"/>
      <c r="J1196" s="381"/>
      <c r="K1196" s="382"/>
      <c r="L1196" s="380"/>
      <c r="M1196" s="413"/>
      <c r="N1196" s="383"/>
      <c r="O1196" s="384"/>
      <c r="P1196" s="384"/>
      <c r="Q1196" s="383"/>
      <c r="R1196" s="383"/>
      <c r="S1196" s="385"/>
      <c r="T1196" s="380"/>
      <c r="U1196" s="380"/>
      <c r="V1196" s="380"/>
      <c r="W1196" s="380"/>
      <c r="X1196" s="380"/>
    </row>
    <row r="1197" spans="1:24" ht="15.75" customHeight="1">
      <c r="A1197" s="463"/>
      <c r="B1197" s="380"/>
      <c r="C1197" s="381"/>
      <c r="D1197" s="381"/>
      <c r="E1197" s="381"/>
      <c r="F1197" s="381"/>
      <c r="G1197" s="381"/>
      <c r="H1197" s="381"/>
      <c r="I1197" s="381"/>
      <c r="J1197" s="381"/>
      <c r="K1197" s="382"/>
      <c r="L1197" s="380"/>
      <c r="M1197" s="413"/>
      <c r="N1197" s="383"/>
      <c r="O1197" s="384"/>
      <c r="P1197" s="384"/>
      <c r="Q1197" s="383"/>
      <c r="R1197" s="383"/>
      <c r="S1197" s="385"/>
      <c r="T1197" s="380"/>
      <c r="U1197" s="380"/>
      <c r="V1197" s="380"/>
      <c r="W1197" s="380"/>
      <c r="X1197" s="380"/>
    </row>
    <row r="1198" spans="1:24" ht="15.75" customHeight="1">
      <c r="A1198" s="463"/>
      <c r="B1198" s="380"/>
      <c r="C1198" s="381"/>
      <c r="D1198" s="381"/>
      <c r="E1198" s="381"/>
      <c r="F1198" s="381"/>
      <c r="G1198" s="381"/>
      <c r="H1198" s="381"/>
      <c r="I1198" s="381"/>
      <c r="J1198" s="381"/>
      <c r="K1198" s="382"/>
      <c r="L1198" s="380"/>
      <c r="M1198" s="413"/>
      <c r="N1198" s="383"/>
      <c r="O1198" s="384"/>
      <c r="P1198" s="384"/>
      <c r="Q1198" s="383"/>
      <c r="R1198" s="383"/>
      <c r="S1198" s="385"/>
      <c r="T1198" s="380"/>
      <c r="U1198" s="380"/>
      <c r="V1198" s="380"/>
      <c r="W1198" s="380"/>
      <c r="X1198" s="380"/>
    </row>
    <row r="1199" spans="1:24" ht="15.75" customHeight="1">
      <c r="A1199" s="463"/>
      <c r="B1199" s="380"/>
      <c r="C1199" s="381"/>
      <c r="D1199" s="381"/>
      <c r="E1199" s="381"/>
      <c r="F1199" s="381"/>
      <c r="G1199" s="381"/>
      <c r="H1199" s="381"/>
      <c r="I1199" s="381"/>
      <c r="J1199" s="381"/>
      <c r="K1199" s="382"/>
      <c r="L1199" s="380"/>
      <c r="M1199" s="413"/>
      <c r="N1199" s="383"/>
      <c r="O1199" s="384"/>
      <c r="P1199" s="384"/>
      <c r="Q1199" s="383"/>
      <c r="R1199" s="383"/>
      <c r="S1199" s="385"/>
      <c r="T1199" s="380"/>
      <c r="U1199" s="380"/>
      <c r="V1199" s="380"/>
      <c r="W1199" s="380"/>
      <c r="X1199" s="380"/>
    </row>
    <row r="1200" spans="1:24" ht="15.75" customHeight="1">
      <c r="A1200" s="463"/>
      <c r="B1200" s="380"/>
      <c r="C1200" s="381"/>
      <c r="D1200" s="381"/>
      <c r="E1200" s="381"/>
      <c r="F1200" s="381"/>
      <c r="G1200" s="381"/>
      <c r="H1200" s="381"/>
      <c r="I1200" s="381"/>
      <c r="J1200" s="381"/>
      <c r="K1200" s="382"/>
      <c r="L1200" s="380"/>
      <c r="M1200" s="413"/>
      <c r="N1200" s="383"/>
      <c r="O1200" s="384"/>
      <c r="P1200" s="384"/>
      <c r="Q1200" s="383"/>
      <c r="R1200" s="383"/>
      <c r="S1200" s="385"/>
      <c r="T1200" s="380"/>
      <c r="U1200" s="380"/>
      <c r="V1200" s="380"/>
      <c r="W1200" s="380"/>
      <c r="X1200" s="380"/>
    </row>
    <row r="1201" spans="1:24" ht="15.75" customHeight="1">
      <c r="A1201" s="463"/>
      <c r="B1201" s="380"/>
      <c r="C1201" s="381"/>
      <c r="D1201" s="381"/>
      <c r="E1201" s="381"/>
      <c r="F1201" s="381"/>
      <c r="G1201" s="381"/>
      <c r="H1201" s="381"/>
      <c r="I1201" s="381"/>
      <c r="J1201" s="381"/>
      <c r="K1201" s="382"/>
      <c r="L1201" s="380"/>
      <c r="M1201" s="413"/>
      <c r="N1201" s="383"/>
      <c r="O1201" s="384"/>
      <c r="P1201" s="384"/>
      <c r="Q1201" s="383"/>
      <c r="R1201" s="383"/>
      <c r="S1201" s="385"/>
      <c r="T1201" s="380"/>
      <c r="U1201" s="380"/>
      <c r="V1201" s="380"/>
      <c r="W1201" s="380"/>
      <c r="X1201" s="380"/>
    </row>
    <row r="1202" spans="1:24" ht="15.75" customHeight="1">
      <c r="A1202" s="463"/>
      <c r="B1202" s="380"/>
      <c r="C1202" s="381"/>
      <c r="D1202" s="381"/>
      <c r="E1202" s="381"/>
      <c r="F1202" s="381"/>
      <c r="G1202" s="381"/>
      <c r="H1202" s="381"/>
      <c r="I1202" s="381"/>
      <c r="J1202" s="381"/>
      <c r="K1202" s="382"/>
      <c r="L1202" s="380"/>
      <c r="M1202" s="413"/>
      <c r="N1202" s="383"/>
      <c r="O1202" s="384"/>
      <c r="P1202" s="384"/>
      <c r="Q1202" s="383"/>
      <c r="R1202" s="383"/>
      <c r="S1202" s="385"/>
      <c r="T1202" s="380"/>
      <c r="U1202" s="380"/>
      <c r="V1202" s="380"/>
      <c r="W1202" s="380"/>
      <c r="X1202" s="380"/>
    </row>
    <row r="1203" spans="1:24" ht="15.75" customHeight="1">
      <c r="A1203" s="463"/>
      <c r="B1203" s="380"/>
      <c r="C1203" s="381"/>
      <c r="D1203" s="381"/>
      <c r="E1203" s="381"/>
      <c r="F1203" s="381"/>
      <c r="G1203" s="381"/>
      <c r="H1203" s="381"/>
      <c r="I1203" s="381"/>
      <c r="J1203" s="381"/>
      <c r="K1203" s="382"/>
      <c r="L1203" s="380"/>
      <c r="M1203" s="413"/>
      <c r="N1203" s="383"/>
      <c r="O1203" s="384"/>
      <c r="P1203" s="384"/>
      <c r="Q1203" s="383"/>
      <c r="R1203" s="383"/>
      <c r="S1203" s="385"/>
      <c r="T1203" s="380"/>
      <c r="U1203" s="380"/>
      <c r="V1203" s="380"/>
      <c r="W1203" s="380"/>
      <c r="X1203" s="380"/>
    </row>
    <row r="1204" spans="1:24" ht="15.75" customHeight="1">
      <c r="A1204" s="463"/>
      <c r="B1204" s="380"/>
      <c r="C1204" s="381"/>
      <c r="D1204" s="381"/>
      <c r="E1204" s="381"/>
      <c r="F1204" s="381"/>
      <c r="G1204" s="381"/>
      <c r="H1204" s="381"/>
      <c r="I1204" s="381"/>
      <c r="J1204" s="381"/>
      <c r="K1204" s="382"/>
      <c r="L1204" s="380"/>
      <c r="M1204" s="413"/>
      <c r="N1204" s="383"/>
      <c r="O1204" s="384"/>
      <c r="P1204" s="384"/>
      <c r="Q1204" s="383"/>
      <c r="R1204" s="383"/>
      <c r="S1204" s="385"/>
      <c r="T1204" s="380"/>
      <c r="U1204" s="380"/>
      <c r="V1204" s="380"/>
      <c r="W1204" s="380"/>
      <c r="X1204" s="380"/>
    </row>
    <row r="1205" spans="1:24" ht="15.75" customHeight="1">
      <c r="A1205" s="463"/>
      <c r="B1205" s="380"/>
      <c r="C1205" s="381"/>
      <c r="D1205" s="381"/>
      <c r="E1205" s="381"/>
      <c r="F1205" s="381"/>
      <c r="G1205" s="381"/>
      <c r="H1205" s="381"/>
      <c r="I1205" s="381"/>
      <c r="J1205" s="381"/>
      <c r="K1205" s="382"/>
      <c r="L1205" s="380"/>
      <c r="M1205" s="413"/>
      <c r="N1205" s="383"/>
      <c r="O1205" s="384"/>
      <c r="P1205" s="384"/>
      <c r="Q1205" s="383"/>
      <c r="R1205" s="383"/>
      <c r="S1205" s="385"/>
      <c r="T1205" s="380"/>
      <c r="U1205" s="380"/>
      <c r="V1205" s="380"/>
      <c r="W1205" s="380"/>
      <c r="X1205" s="380"/>
    </row>
    <row r="1206" spans="1:24" ht="15.75" customHeight="1">
      <c r="A1206" s="463"/>
      <c r="B1206" s="380"/>
      <c r="C1206" s="381"/>
      <c r="D1206" s="381"/>
      <c r="E1206" s="381"/>
      <c r="F1206" s="381"/>
      <c r="G1206" s="381"/>
      <c r="H1206" s="381"/>
      <c r="I1206" s="381"/>
      <c r="J1206" s="381"/>
      <c r="K1206" s="382"/>
      <c r="L1206" s="380"/>
      <c r="M1206" s="413"/>
      <c r="N1206" s="383"/>
      <c r="O1206" s="384"/>
      <c r="P1206" s="384"/>
      <c r="Q1206" s="383"/>
      <c r="R1206" s="383"/>
      <c r="S1206" s="385"/>
      <c r="T1206" s="380"/>
      <c r="U1206" s="380"/>
      <c r="V1206" s="380"/>
      <c r="W1206" s="380"/>
      <c r="X1206" s="380"/>
    </row>
    <row r="1207" spans="1:24" ht="15.75" customHeight="1">
      <c r="A1207" s="463"/>
      <c r="B1207" s="380"/>
      <c r="C1207" s="381"/>
      <c r="D1207" s="381"/>
      <c r="E1207" s="381"/>
      <c r="F1207" s="381"/>
      <c r="G1207" s="381"/>
      <c r="H1207" s="381"/>
      <c r="I1207" s="381"/>
      <c r="J1207" s="381"/>
      <c r="K1207" s="382"/>
      <c r="L1207" s="380"/>
      <c r="M1207" s="413"/>
      <c r="N1207" s="383"/>
      <c r="O1207" s="384"/>
      <c r="P1207" s="384"/>
      <c r="Q1207" s="383"/>
      <c r="R1207" s="383"/>
      <c r="S1207" s="385"/>
      <c r="T1207" s="380"/>
      <c r="U1207" s="380"/>
      <c r="V1207" s="380"/>
      <c r="W1207" s="380"/>
      <c r="X1207" s="380"/>
    </row>
    <row r="1208" spans="1:24" ht="15.75" customHeight="1">
      <c r="A1208" s="463"/>
      <c r="B1208" s="380"/>
      <c r="C1208" s="381"/>
      <c r="D1208" s="381"/>
      <c r="E1208" s="381"/>
      <c r="F1208" s="381"/>
      <c r="G1208" s="381"/>
      <c r="H1208" s="381"/>
      <c r="I1208" s="381"/>
      <c r="J1208" s="381"/>
      <c r="K1208" s="382"/>
      <c r="L1208" s="380"/>
      <c r="M1208" s="413"/>
      <c r="N1208" s="383"/>
      <c r="O1208" s="384"/>
      <c r="P1208" s="384"/>
      <c r="Q1208" s="383"/>
      <c r="R1208" s="383"/>
      <c r="S1208" s="385"/>
      <c r="T1208" s="380"/>
      <c r="U1208" s="380"/>
      <c r="V1208" s="380"/>
      <c r="W1208" s="380"/>
      <c r="X1208" s="380"/>
    </row>
    <row r="1209" spans="1:24" ht="15.75" customHeight="1">
      <c r="A1209" s="463"/>
      <c r="B1209" s="380"/>
      <c r="C1209" s="381"/>
      <c r="D1209" s="381"/>
      <c r="E1209" s="381"/>
      <c r="F1209" s="381"/>
      <c r="G1209" s="381"/>
      <c r="H1209" s="381"/>
      <c r="I1209" s="381"/>
      <c r="J1209" s="381"/>
      <c r="K1209" s="382"/>
      <c r="L1209" s="380"/>
      <c r="M1209" s="413"/>
      <c r="N1209" s="383"/>
      <c r="O1209" s="384"/>
      <c r="P1209" s="384"/>
      <c r="Q1209" s="383"/>
      <c r="R1209" s="383"/>
      <c r="S1209" s="385"/>
      <c r="T1209" s="380"/>
      <c r="U1209" s="380"/>
      <c r="V1209" s="380"/>
      <c r="W1209" s="380"/>
      <c r="X1209" s="380"/>
    </row>
    <row r="1210" spans="1:24" ht="15.75" customHeight="1">
      <c r="A1210" s="463"/>
      <c r="B1210" s="380"/>
      <c r="C1210" s="381"/>
      <c r="D1210" s="381"/>
      <c r="E1210" s="381"/>
      <c r="F1210" s="381"/>
      <c r="G1210" s="381"/>
      <c r="H1210" s="381"/>
      <c r="I1210" s="381"/>
      <c r="J1210" s="381"/>
      <c r="K1210" s="382"/>
      <c r="L1210" s="380"/>
      <c r="M1210" s="413"/>
      <c r="N1210" s="383"/>
      <c r="O1210" s="384"/>
      <c r="P1210" s="384"/>
      <c r="Q1210" s="383"/>
      <c r="R1210" s="383"/>
      <c r="S1210" s="385"/>
      <c r="T1210" s="380"/>
      <c r="U1210" s="380"/>
      <c r="V1210" s="380"/>
      <c r="W1210" s="380"/>
      <c r="X1210" s="380"/>
    </row>
    <row r="1211" spans="1:24" ht="15.75" customHeight="1">
      <c r="A1211" s="463"/>
      <c r="B1211" s="380"/>
      <c r="C1211" s="381"/>
      <c r="D1211" s="381"/>
      <c r="E1211" s="381"/>
      <c r="F1211" s="381"/>
      <c r="G1211" s="381"/>
      <c r="H1211" s="381"/>
      <c r="I1211" s="381"/>
      <c r="J1211" s="381"/>
      <c r="K1211" s="382"/>
      <c r="L1211" s="380"/>
      <c r="M1211" s="413"/>
      <c r="N1211" s="383"/>
      <c r="O1211" s="384"/>
      <c r="P1211" s="384"/>
      <c r="Q1211" s="383"/>
      <c r="R1211" s="383"/>
      <c r="S1211" s="385"/>
      <c r="T1211" s="380"/>
      <c r="U1211" s="380"/>
      <c r="V1211" s="380"/>
      <c r="W1211" s="380"/>
      <c r="X1211" s="380"/>
    </row>
    <row r="1212" spans="1:24" ht="15.75" customHeight="1">
      <c r="A1212" s="463"/>
      <c r="B1212" s="380"/>
      <c r="C1212" s="381"/>
      <c r="D1212" s="381"/>
      <c r="E1212" s="381"/>
      <c r="F1212" s="381"/>
      <c r="G1212" s="381"/>
      <c r="H1212" s="381"/>
      <c r="I1212" s="381"/>
      <c r="J1212" s="381"/>
      <c r="K1212" s="382"/>
      <c r="L1212" s="380"/>
      <c r="M1212" s="413"/>
      <c r="N1212" s="383"/>
      <c r="O1212" s="384"/>
      <c r="P1212" s="384"/>
      <c r="Q1212" s="383"/>
      <c r="R1212" s="383"/>
      <c r="S1212" s="385"/>
      <c r="T1212" s="380"/>
      <c r="U1212" s="380"/>
      <c r="V1212" s="380"/>
      <c r="W1212" s="380"/>
      <c r="X1212" s="380"/>
    </row>
    <row r="1213" spans="1:24" ht="15.75" customHeight="1">
      <c r="A1213" s="463"/>
      <c r="B1213" s="380"/>
      <c r="C1213" s="381"/>
      <c r="D1213" s="381"/>
      <c r="E1213" s="381"/>
      <c r="F1213" s="381"/>
      <c r="G1213" s="381"/>
      <c r="H1213" s="381"/>
      <c r="I1213" s="381"/>
      <c r="J1213" s="381"/>
      <c r="K1213" s="382"/>
      <c r="L1213" s="380"/>
      <c r="M1213" s="413"/>
      <c r="N1213" s="383"/>
      <c r="O1213" s="384"/>
      <c r="P1213" s="384"/>
      <c r="Q1213" s="383"/>
      <c r="R1213" s="383"/>
      <c r="S1213" s="385"/>
      <c r="T1213" s="380"/>
      <c r="U1213" s="380"/>
      <c r="V1213" s="380"/>
      <c r="W1213" s="380"/>
      <c r="X1213" s="380"/>
    </row>
    <row r="1214" spans="1:24" ht="15.75" customHeight="1">
      <c r="A1214" s="463"/>
      <c r="B1214" s="380"/>
      <c r="C1214" s="381"/>
      <c r="D1214" s="381"/>
      <c r="E1214" s="381"/>
      <c r="F1214" s="381"/>
      <c r="G1214" s="381"/>
      <c r="H1214" s="381"/>
      <c r="I1214" s="381"/>
      <c r="J1214" s="381"/>
      <c r="K1214" s="382"/>
      <c r="L1214" s="380"/>
      <c r="M1214" s="413"/>
      <c r="N1214" s="383"/>
      <c r="O1214" s="384"/>
      <c r="P1214" s="384"/>
      <c r="Q1214" s="383"/>
      <c r="R1214" s="383"/>
      <c r="S1214" s="385"/>
      <c r="T1214" s="380"/>
      <c r="U1214" s="380"/>
      <c r="V1214" s="380"/>
      <c r="W1214" s="380"/>
      <c r="X1214" s="380"/>
    </row>
    <row r="1215" spans="1:24" ht="15.75" customHeight="1">
      <c r="A1215" s="463"/>
      <c r="B1215" s="380"/>
      <c r="C1215" s="381"/>
      <c r="D1215" s="381"/>
      <c r="E1215" s="381"/>
      <c r="F1215" s="381"/>
      <c r="G1215" s="381"/>
      <c r="H1215" s="381"/>
      <c r="I1215" s="381"/>
      <c r="J1215" s="381"/>
      <c r="K1215" s="382"/>
      <c r="L1215" s="380"/>
      <c r="M1215" s="413"/>
      <c r="N1215" s="383"/>
      <c r="O1215" s="384"/>
      <c r="P1215" s="384"/>
      <c r="Q1215" s="383"/>
      <c r="R1215" s="383"/>
      <c r="S1215" s="385"/>
      <c r="T1215" s="380"/>
      <c r="U1215" s="380"/>
      <c r="V1215" s="380"/>
      <c r="W1215" s="380"/>
      <c r="X1215" s="380"/>
    </row>
    <row r="1216" spans="1:24" ht="15.75" customHeight="1">
      <c r="A1216" s="463"/>
      <c r="B1216" s="380"/>
      <c r="C1216" s="381"/>
      <c r="D1216" s="381"/>
      <c r="E1216" s="381"/>
      <c r="F1216" s="381"/>
      <c r="G1216" s="381"/>
      <c r="H1216" s="381"/>
      <c r="I1216" s="381"/>
      <c r="J1216" s="381"/>
      <c r="K1216" s="382"/>
      <c r="L1216" s="380"/>
      <c r="M1216" s="413"/>
      <c r="N1216" s="383"/>
      <c r="O1216" s="384"/>
      <c r="P1216" s="384"/>
      <c r="Q1216" s="383"/>
      <c r="R1216" s="383"/>
      <c r="S1216" s="385"/>
      <c r="T1216" s="380"/>
      <c r="U1216" s="380"/>
      <c r="V1216" s="380"/>
      <c r="W1216" s="380"/>
      <c r="X1216" s="380"/>
    </row>
    <row r="1217" spans="1:24" ht="15.75" customHeight="1">
      <c r="A1217" s="463"/>
      <c r="B1217" s="380"/>
      <c r="C1217" s="381"/>
      <c r="D1217" s="381"/>
      <c r="E1217" s="381"/>
      <c r="F1217" s="381"/>
      <c r="G1217" s="381"/>
      <c r="H1217" s="381"/>
      <c r="I1217" s="381"/>
      <c r="J1217" s="381"/>
      <c r="K1217" s="382"/>
      <c r="L1217" s="380"/>
      <c r="M1217" s="413"/>
      <c r="N1217" s="383"/>
      <c r="O1217" s="384"/>
      <c r="P1217" s="384"/>
      <c r="Q1217" s="383"/>
      <c r="R1217" s="383"/>
      <c r="S1217" s="385"/>
      <c r="T1217" s="380"/>
      <c r="U1217" s="380"/>
      <c r="V1217" s="380"/>
      <c r="W1217" s="380"/>
      <c r="X1217" s="380"/>
    </row>
    <row r="1218" spans="1:24" ht="15.75" customHeight="1">
      <c r="A1218" s="463"/>
      <c r="B1218" s="380"/>
      <c r="C1218" s="381"/>
      <c r="D1218" s="381"/>
      <c r="E1218" s="381"/>
      <c r="F1218" s="381"/>
      <c r="G1218" s="381"/>
      <c r="H1218" s="381"/>
      <c r="I1218" s="381"/>
      <c r="J1218" s="381"/>
      <c r="K1218" s="382"/>
      <c r="L1218" s="380"/>
      <c r="M1218" s="413"/>
      <c r="N1218" s="383"/>
      <c r="O1218" s="384"/>
      <c r="P1218" s="384"/>
      <c r="Q1218" s="383"/>
      <c r="R1218" s="383"/>
      <c r="S1218" s="385"/>
      <c r="T1218" s="380"/>
      <c r="U1218" s="380"/>
      <c r="V1218" s="380"/>
      <c r="W1218" s="380"/>
      <c r="X1218" s="380"/>
    </row>
    <row r="1219" spans="1:24" ht="15.75" customHeight="1">
      <c r="A1219" s="463"/>
      <c r="B1219" s="380"/>
      <c r="C1219" s="381"/>
      <c r="D1219" s="381"/>
      <c r="E1219" s="381"/>
      <c r="F1219" s="381"/>
      <c r="G1219" s="381"/>
      <c r="H1219" s="381"/>
      <c r="I1219" s="381"/>
      <c r="J1219" s="381"/>
      <c r="K1219" s="382"/>
      <c r="L1219" s="380"/>
      <c r="M1219" s="413"/>
      <c r="N1219" s="383"/>
      <c r="O1219" s="384"/>
      <c r="P1219" s="384"/>
      <c r="Q1219" s="383"/>
      <c r="R1219" s="383"/>
      <c r="S1219" s="385"/>
      <c r="T1219" s="380"/>
      <c r="U1219" s="380"/>
      <c r="V1219" s="380"/>
      <c r="W1219" s="380"/>
      <c r="X1219" s="380"/>
    </row>
    <row r="1220" spans="1:24" ht="15.75" customHeight="1">
      <c r="A1220" s="463"/>
      <c r="B1220" s="380"/>
      <c r="C1220" s="381"/>
      <c r="D1220" s="381"/>
      <c r="E1220" s="381"/>
      <c r="F1220" s="381"/>
      <c r="G1220" s="381"/>
      <c r="H1220" s="381"/>
      <c r="I1220" s="381"/>
      <c r="J1220" s="381"/>
      <c r="K1220" s="382"/>
      <c r="L1220" s="380"/>
      <c r="M1220" s="413"/>
      <c r="N1220" s="383"/>
      <c r="O1220" s="384"/>
      <c r="P1220" s="384"/>
      <c r="Q1220" s="383"/>
      <c r="R1220" s="383"/>
      <c r="S1220" s="385"/>
      <c r="T1220" s="380"/>
      <c r="U1220" s="380"/>
      <c r="V1220" s="380"/>
      <c r="W1220" s="380"/>
      <c r="X1220" s="380"/>
    </row>
    <row r="1221" spans="1:24" ht="15.75" customHeight="1">
      <c r="A1221" s="463"/>
      <c r="B1221" s="380"/>
      <c r="C1221" s="381"/>
      <c r="D1221" s="381"/>
      <c r="E1221" s="381"/>
      <c r="F1221" s="381"/>
      <c r="G1221" s="381"/>
      <c r="H1221" s="381"/>
      <c r="I1221" s="381"/>
      <c r="J1221" s="381"/>
      <c r="K1221" s="382"/>
      <c r="L1221" s="380"/>
      <c r="M1221" s="413"/>
      <c r="N1221" s="383"/>
      <c r="O1221" s="384"/>
      <c r="P1221" s="384"/>
      <c r="Q1221" s="383"/>
      <c r="R1221" s="383"/>
      <c r="S1221" s="385"/>
      <c r="T1221" s="380"/>
      <c r="U1221" s="380"/>
      <c r="V1221" s="380"/>
      <c r="W1221" s="380"/>
      <c r="X1221" s="380"/>
    </row>
    <row r="1222" spans="1:24" ht="15.75" customHeight="1">
      <c r="A1222" s="463"/>
      <c r="B1222" s="380"/>
      <c r="C1222" s="381"/>
      <c r="D1222" s="381"/>
      <c r="E1222" s="381"/>
      <c r="F1222" s="381"/>
      <c r="G1222" s="381"/>
      <c r="H1222" s="381"/>
      <c r="I1222" s="381"/>
      <c r="J1222" s="381"/>
      <c r="K1222" s="382"/>
      <c r="L1222" s="380"/>
      <c r="M1222" s="413"/>
      <c r="N1222" s="383"/>
      <c r="O1222" s="384"/>
      <c r="P1222" s="384"/>
      <c r="Q1222" s="383"/>
      <c r="R1222" s="383"/>
      <c r="S1222" s="385"/>
      <c r="T1222" s="380"/>
      <c r="U1222" s="380"/>
      <c r="V1222" s="380"/>
      <c r="W1222" s="380"/>
      <c r="X1222" s="380"/>
    </row>
    <row r="1223" spans="1:24" ht="15.75" customHeight="1">
      <c r="A1223" s="463"/>
      <c r="B1223" s="380"/>
      <c r="C1223" s="381"/>
      <c r="D1223" s="381"/>
      <c r="E1223" s="381"/>
      <c r="F1223" s="381"/>
      <c r="G1223" s="381"/>
      <c r="H1223" s="381"/>
      <c r="I1223" s="381"/>
      <c r="J1223" s="381"/>
      <c r="K1223" s="382"/>
      <c r="L1223" s="380"/>
      <c r="M1223" s="413"/>
      <c r="N1223" s="383"/>
      <c r="O1223" s="384"/>
      <c r="P1223" s="384"/>
      <c r="Q1223" s="383"/>
      <c r="R1223" s="383"/>
      <c r="S1223" s="385"/>
      <c r="T1223" s="380"/>
      <c r="U1223" s="380"/>
      <c r="V1223" s="380"/>
      <c r="W1223" s="380"/>
      <c r="X1223" s="380"/>
    </row>
    <row r="1224" spans="1:24" ht="15.75" customHeight="1">
      <c r="A1224" s="463"/>
      <c r="B1224" s="380"/>
      <c r="C1224" s="381"/>
      <c r="D1224" s="381"/>
      <c r="E1224" s="381"/>
      <c r="F1224" s="381"/>
      <c r="G1224" s="381"/>
      <c r="H1224" s="381"/>
      <c r="I1224" s="381"/>
      <c r="J1224" s="381"/>
      <c r="K1224" s="382"/>
      <c r="L1224" s="380"/>
      <c r="M1224" s="413"/>
      <c r="N1224" s="383"/>
      <c r="O1224" s="384"/>
      <c r="P1224" s="384"/>
      <c r="Q1224" s="383"/>
      <c r="R1224" s="383"/>
      <c r="S1224" s="385"/>
      <c r="T1224" s="380"/>
      <c r="U1224" s="380"/>
      <c r="V1224" s="380"/>
      <c r="W1224" s="380"/>
      <c r="X1224" s="380"/>
    </row>
    <row r="1225" spans="1:24" ht="15.75" customHeight="1">
      <c r="A1225" s="463"/>
      <c r="B1225" s="380"/>
      <c r="C1225" s="381"/>
      <c r="D1225" s="381"/>
      <c r="E1225" s="381"/>
      <c r="F1225" s="381"/>
      <c r="G1225" s="381"/>
      <c r="H1225" s="381"/>
      <c r="I1225" s="381"/>
      <c r="J1225" s="381"/>
      <c r="K1225" s="382"/>
      <c r="L1225" s="380"/>
      <c r="M1225" s="413"/>
      <c r="N1225" s="383"/>
      <c r="O1225" s="384"/>
      <c r="P1225" s="384"/>
      <c r="Q1225" s="383"/>
      <c r="R1225" s="383"/>
      <c r="S1225" s="385"/>
      <c r="T1225" s="380"/>
      <c r="U1225" s="380"/>
      <c r="V1225" s="380"/>
      <c r="W1225" s="380"/>
      <c r="X1225" s="380"/>
    </row>
    <row r="1226" spans="1:24" ht="15.75" customHeight="1">
      <c r="A1226" s="463"/>
      <c r="B1226" s="380"/>
      <c r="C1226" s="381"/>
      <c r="D1226" s="381"/>
      <c r="E1226" s="381"/>
      <c r="F1226" s="381"/>
      <c r="G1226" s="381"/>
      <c r="H1226" s="381"/>
      <c r="I1226" s="381"/>
      <c r="J1226" s="381"/>
      <c r="K1226" s="382"/>
      <c r="L1226" s="380"/>
      <c r="M1226" s="413"/>
      <c r="N1226" s="383"/>
      <c r="O1226" s="384"/>
      <c r="P1226" s="384"/>
      <c r="Q1226" s="383"/>
      <c r="R1226" s="383"/>
      <c r="S1226" s="385"/>
      <c r="T1226" s="380"/>
      <c r="U1226" s="380"/>
      <c r="V1226" s="380"/>
      <c r="W1226" s="380"/>
      <c r="X1226" s="380"/>
    </row>
    <row r="1227" spans="1:24" ht="15.75" customHeight="1">
      <c r="A1227" s="463"/>
      <c r="B1227" s="380"/>
      <c r="C1227" s="381"/>
      <c r="D1227" s="381"/>
      <c r="E1227" s="381"/>
      <c r="F1227" s="381"/>
      <c r="G1227" s="381"/>
      <c r="H1227" s="381"/>
      <c r="I1227" s="381"/>
      <c r="J1227" s="381"/>
      <c r="K1227" s="382"/>
      <c r="L1227" s="380"/>
      <c r="M1227" s="413"/>
      <c r="N1227" s="383"/>
      <c r="O1227" s="384"/>
      <c r="P1227" s="384"/>
      <c r="Q1227" s="383"/>
      <c r="R1227" s="383"/>
      <c r="S1227" s="385"/>
      <c r="T1227" s="380"/>
      <c r="U1227" s="380"/>
      <c r="V1227" s="380"/>
      <c r="W1227" s="380"/>
      <c r="X1227" s="380"/>
    </row>
    <row r="1228" spans="1:24" ht="15.75" customHeight="1">
      <c r="A1228" s="463"/>
      <c r="B1228" s="380"/>
      <c r="C1228" s="381"/>
      <c r="D1228" s="381"/>
      <c r="E1228" s="381"/>
      <c r="F1228" s="381"/>
      <c r="G1228" s="381"/>
      <c r="H1228" s="381"/>
      <c r="I1228" s="381"/>
      <c r="J1228" s="381"/>
      <c r="K1228" s="382"/>
      <c r="L1228" s="380"/>
      <c r="M1228" s="413"/>
      <c r="N1228" s="383"/>
      <c r="O1228" s="384"/>
      <c r="P1228" s="384"/>
      <c r="Q1228" s="383"/>
      <c r="R1228" s="383"/>
      <c r="S1228" s="385"/>
      <c r="T1228" s="380"/>
      <c r="U1228" s="380"/>
      <c r="V1228" s="380"/>
      <c r="W1228" s="380"/>
      <c r="X1228" s="380"/>
    </row>
    <row r="1229" spans="1:24" ht="15.75" customHeight="1">
      <c r="A1229" s="463"/>
      <c r="B1229" s="380"/>
      <c r="C1229" s="381"/>
      <c r="D1229" s="381"/>
      <c r="E1229" s="381"/>
      <c r="F1229" s="381"/>
      <c r="G1229" s="381"/>
      <c r="H1229" s="381"/>
      <c r="I1229" s="381"/>
      <c r="J1229" s="381"/>
      <c r="K1229" s="382"/>
      <c r="L1229" s="380"/>
      <c r="M1229" s="413"/>
      <c r="N1229" s="383"/>
      <c r="O1229" s="384"/>
      <c r="P1229" s="384"/>
      <c r="Q1229" s="383"/>
      <c r="R1229" s="383"/>
      <c r="S1229" s="385"/>
      <c r="T1229" s="380"/>
      <c r="U1229" s="380"/>
      <c r="V1229" s="380"/>
      <c r="W1229" s="380"/>
      <c r="X1229" s="380"/>
    </row>
    <row r="1230" spans="1:24" ht="15.75" customHeight="1">
      <c r="A1230" s="463"/>
      <c r="B1230" s="380"/>
      <c r="C1230" s="381"/>
      <c r="D1230" s="381"/>
      <c r="E1230" s="381"/>
      <c r="F1230" s="381"/>
      <c r="G1230" s="381"/>
      <c r="H1230" s="381"/>
      <c r="I1230" s="381"/>
      <c r="J1230" s="381"/>
      <c r="K1230" s="382"/>
      <c r="L1230" s="380"/>
      <c r="M1230" s="413"/>
      <c r="N1230" s="383"/>
      <c r="O1230" s="384"/>
      <c r="P1230" s="384"/>
      <c r="Q1230" s="383"/>
      <c r="R1230" s="383"/>
      <c r="S1230" s="385"/>
      <c r="T1230" s="380"/>
      <c r="U1230" s="380"/>
      <c r="V1230" s="380"/>
      <c r="W1230" s="380"/>
      <c r="X1230" s="380"/>
    </row>
    <row r="1231" spans="1:24" ht="15.75" customHeight="1">
      <c r="A1231" s="463"/>
      <c r="B1231" s="380"/>
      <c r="C1231" s="381"/>
      <c r="D1231" s="381"/>
      <c r="E1231" s="381"/>
      <c r="F1231" s="381"/>
      <c r="G1231" s="381"/>
      <c r="H1231" s="381"/>
      <c r="I1231" s="381"/>
      <c r="J1231" s="381"/>
      <c r="K1231" s="382"/>
      <c r="L1231" s="380"/>
      <c r="M1231" s="413"/>
      <c r="N1231" s="383"/>
      <c r="O1231" s="384"/>
      <c r="P1231" s="384"/>
      <c r="Q1231" s="383"/>
      <c r="R1231" s="383"/>
      <c r="S1231" s="385"/>
      <c r="T1231" s="380"/>
      <c r="U1231" s="380"/>
      <c r="V1231" s="380"/>
      <c r="W1231" s="380"/>
      <c r="X1231" s="380"/>
    </row>
    <row r="1232" spans="1:24" ht="15.75" customHeight="1">
      <c r="A1232" s="463"/>
      <c r="B1232" s="380"/>
      <c r="C1232" s="381"/>
      <c r="D1232" s="381"/>
      <c r="E1232" s="381"/>
      <c r="F1232" s="381"/>
      <c r="G1232" s="381"/>
      <c r="H1232" s="381"/>
      <c r="I1232" s="381"/>
      <c r="J1232" s="381"/>
      <c r="K1232" s="382"/>
      <c r="L1232" s="380"/>
      <c r="M1232" s="413"/>
      <c r="N1232" s="383"/>
      <c r="O1232" s="384"/>
      <c r="P1232" s="384"/>
      <c r="Q1232" s="383"/>
      <c r="R1232" s="383"/>
      <c r="S1232" s="385"/>
      <c r="T1232" s="380"/>
      <c r="U1232" s="380"/>
      <c r="V1232" s="380"/>
      <c r="W1232" s="380"/>
      <c r="X1232" s="380"/>
    </row>
    <row r="1233" spans="1:24" ht="15.75" customHeight="1">
      <c r="A1233" s="463"/>
      <c r="B1233" s="380"/>
      <c r="C1233" s="381"/>
      <c r="D1233" s="381"/>
      <c r="E1233" s="381"/>
      <c r="F1233" s="381"/>
      <c r="G1233" s="381"/>
      <c r="H1233" s="381"/>
      <c r="I1233" s="381"/>
      <c r="J1233" s="381"/>
      <c r="K1233" s="382"/>
      <c r="L1233" s="380"/>
      <c r="M1233" s="413"/>
      <c r="N1233" s="383"/>
      <c r="O1233" s="384"/>
      <c r="P1233" s="384"/>
      <c r="Q1233" s="383"/>
      <c r="R1233" s="383"/>
      <c r="S1233" s="385"/>
      <c r="T1233" s="380"/>
      <c r="U1233" s="380"/>
      <c r="V1233" s="380"/>
      <c r="W1233" s="380"/>
      <c r="X1233" s="380"/>
    </row>
    <row r="1234" spans="1:24" ht="15.75" customHeight="1">
      <c r="A1234" s="463"/>
      <c r="B1234" s="380"/>
      <c r="C1234" s="381"/>
      <c r="D1234" s="381"/>
      <c r="E1234" s="381"/>
      <c r="F1234" s="381"/>
      <c r="G1234" s="381"/>
      <c r="H1234" s="381"/>
      <c r="I1234" s="381"/>
      <c r="J1234" s="381"/>
      <c r="K1234" s="382"/>
      <c r="L1234" s="380"/>
      <c r="M1234" s="413"/>
      <c r="N1234" s="383"/>
      <c r="O1234" s="384"/>
      <c r="P1234" s="384"/>
      <c r="Q1234" s="383"/>
      <c r="R1234" s="383"/>
      <c r="S1234" s="385"/>
      <c r="T1234" s="380"/>
      <c r="U1234" s="380"/>
      <c r="V1234" s="380"/>
      <c r="W1234" s="380"/>
      <c r="X1234" s="380"/>
    </row>
    <row r="1235" spans="1:24" ht="15.75" customHeight="1">
      <c r="A1235" s="463"/>
      <c r="B1235" s="380"/>
      <c r="C1235" s="381"/>
      <c r="D1235" s="381"/>
      <c r="E1235" s="381"/>
      <c r="F1235" s="381"/>
      <c r="G1235" s="381"/>
      <c r="H1235" s="381"/>
      <c r="I1235" s="381"/>
      <c r="J1235" s="381"/>
      <c r="K1235" s="382"/>
      <c r="L1235" s="380"/>
      <c r="M1235" s="413"/>
      <c r="N1235" s="383"/>
      <c r="O1235" s="384"/>
      <c r="P1235" s="384"/>
      <c r="Q1235" s="383"/>
      <c r="R1235" s="383"/>
      <c r="S1235" s="385"/>
      <c r="T1235" s="380"/>
      <c r="U1235" s="380"/>
      <c r="V1235" s="380"/>
      <c r="W1235" s="380"/>
      <c r="X1235" s="380"/>
    </row>
    <row r="1236" spans="1:24" ht="15.75" customHeight="1">
      <c r="A1236" s="463"/>
      <c r="B1236" s="380"/>
      <c r="C1236" s="381"/>
      <c r="D1236" s="381"/>
      <c r="E1236" s="381"/>
      <c r="F1236" s="381"/>
      <c r="G1236" s="381"/>
      <c r="H1236" s="381"/>
      <c r="I1236" s="381"/>
      <c r="J1236" s="381"/>
      <c r="K1236" s="382"/>
      <c r="L1236" s="380"/>
      <c r="M1236" s="413"/>
      <c r="N1236" s="383"/>
      <c r="O1236" s="384"/>
      <c r="P1236" s="384"/>
      <c r="Q1236" s="383"/>
      <c r="R1236" s="383"/>
      <c r="S1236" s="385"/>
      <c r="T1236" s="380"/>
      <c r="U1236" s="380"/>
      <c r="V1236" s="380"/>
      <c r="W1236" s="380"/>
      <c r="X1236" s="380"/>
    </row>
    <row r="1237" spans="1:24" ht="15.75" customHeight="1">
      <c r="A1237" s="463"/>
      <c r="B1237" s="380"/>
      <c r="C1237" s="381"/>
      <c r="D1237" s="381"/>
      <c r="E1237" s="381"/>
      <c r="F1237" s="381"/>
      <c r="G1237" s="381"/>
      <c r="H1237" s="381"/>
      <c r="I1237" s="381"/>
      <c r="J1237" s="381"/>
      <c r="K1237" s="382"/>
      <c r="L1237" s="380"/>
      <c r="M1237" s="413"/>
      <c r="N1237" s="383"/>
      <c r="O1237" s="384"/>
      <c r="P1237" s="384"/>
      <c r="Q1237" s="383"/>
      <c r="R1237" s="383"/>
      <c r="S1237" s="385"/>
      <c r="T1237" s="380"/>
      <c r="U1237" s="380"/>
      <c r="V1237" s="380"/>
      <c r="W1237" s="380"/>
      <c r="X1237" s="380"/>
    </row>
    <row r="1238" spans="1:24" ht="15.75" customHeight="1">
      <c r="A1238" s="463"/>
      <c r="B1238" s="380"/>
      <c r="C1238" s="381"/>
      <c r="D1238" s="381"/>
      <c r="E1238" s="381"/>
      <c r="F1238" s="381"/>
      <c r="G1238" s="381"/>
      <c r="H1238" s="381"/>
      <c r="I1238" s="381"/>
      <c r="J1238" s="381"/>
      <c r="K1238" s="382"/>
      <c r="L1238" s="380"/>
      <c r="M1238" s="413"/>
      <c r="N1238" s="383"/>
      <c r="O1238" s="384"/>
      <c r="P1238" s="384"/>
      <c r="Q1238" s="383"/>
      <c r="R1238" s="383"/>
      <c r="S1238" s="385"/>
      <c r="T1238" s="380"/>
      <c r="U1238" s="380"/>
      <c r="V1238" s="380"/>
      <c r="W1238" s="380"/>
      <c r="X1238" s="380"/>
    </row>
    <row r="1239" spans="1:24" ht="15.75" customHeight="1">
      <c r="A1239" s="463"/>
      <c r="B1239" s="380"/>
      <c r="C1239" s="381"/>
      <c r="D1239" s="381"/>
      <c r="E1239" s="381"/>
      <c r="F1239" s="381"/>
      <c r="G1239" s="381"/>
      <c r="H1239" s="381"/>
      <c r="I1239" s="381"/>
      <c r="J1239" s="381"/>
      <c r="K1239" s="382"/>
      <c r="L1239" s="380"/>
      <c r="M1239" s="413"/>
      <c r="N1239" s="383"/>
      <c r="O1239" s="384"/>
      <c r="P1239" s="384"/>
      <c r="Q1239" s="383"/>
      <c r="R1239" s="383"/>
      <c r="S1239" s="385"/>
      <c r="T1239" s="380"/>
      <c r="U1239" s="380"/>
      <c r="V1239" s="380"/>
      <c r="W1239" s="380"/>
      <c r="X1239" s="380"/>
    </row>
    <row r="1240" spans="1:24" ht="15.75" customHeight="1">
      <c r="A1240" s="463"/>
      <c r="B1240" s="380"/>
      <c r="C1240" s="381"/>
      <c r="D1240" s="381"/>
      <c r="E1240" s="381"/>
      <c r="F1240" s="381"/>
      <c r="G1240" s="381"/>
      <c r="H1240" s="381"/>
      <c r="I1240" s="381"/>
      <c r="J1240" s="381"/>
      <c r="K1240" s="382"/>
      <c r="L1240" s="380"/>
      <c r="M1240" s="413"/>
      <c r="N1240" s="383"/>
      <c r="O1240" s="384"/>
      <c r="P1240" s="384"/>
      <c r="Q1240" s="383"/>
      <c r="R1240" s="383"/>
      <c r="S1240" s="385"/>
      <c r="T1240" s="380"/>
      <c r="U1240" s="380"/>
      <c r="V1240" s="380"/>
      <c r="W1240" s="380"/>
      <c r="X1240" s="380"/>
    </row>
    <row r="1241" spans="1:24" ht="15.75" customHeight="1">
      <c r="A1241" s="463"/>
      <c r="B1241" s="380"/>
      <c r="C1241" s="381"/>
      <c r="D1241" s="381"/>
      <c r="E1241" s="381"/>
      <c r="F1241" s="381"/>
      <c r="G1241" s="381"/>
      <c r="H1241" s="381"/>
      <c r="I1241" s="381"/>
      <c r="J1241" s="381"/>
      <c r="K1241" s="382"/>
      <c r="L1241" s="380"/>
      <c r="M1241" s="413"/>
      <c r="N1241" s="383"/>
      <c r="O1241" s="384"/>
      <c r="P1241" s="384"/>
      <c r="Q1241" s="383"/>
      <c r="R1241" s="383"/>
      <c r="S1241" s="385"/>
      <c r="T1241" s="380"/>
      <c r="U1241" s="380"/>
      <c r="V1241" s="380"/>
      <c r="W1241" s="380"/>
      <c r="X1241" s="380"/>
    </row>
    <row r="1242" spans="1:24" ht="15.75" customHeight="1">
      <c r="A1242" s="463"/>
      <c r="B1242" s="380"/>
      <c r="C1242" s="381"/>
      <c r="D1242" s="381"/>
      <c r="E1242" s="381"/>
      <c r="F1242" s="381"/>
      <c r="G1242" s="381"/>
      <c r="H1242" s="381"/>
      <c r="I1242" s="381"/>
      <c r="J1242" s="381"/>
      <c r="K1242" s="382"/>
      <c r="L1242" s="380"/>
      <c r="M1242" s="413"/>
      <c r="N1242" s="383"/>
      <c r="O1242" s="384"/>
      <c r="P1242" s="384"/>
      <c r="Q1242" s="383"/>
      <c r="R1242" s="383"/>
      <c r="S1242" s="385"/>
      <c r="T1242" s="380"/>
      <c r="U1242" s="380"/>
      <c r="V1242" s="380"/>
      <c r="W1242" s="380"/>
      <c r="X1242" s="380"/>
    </row>
    <row r="1243" spans="1:24" ht="15.75" customHeight="1">
      <c r="A1243" s="463"/>
      <c r="B1243" s="380"/>
      <c r="C1243" s="381"/>
      <c r="D1243" s="381"/>
      <c r="E1243" s="381"/>
      <c r="F1243" s="381"/>
      <c r="G1243" s="381"/>
      <c r="H1243" s="381"/>
      <c r="I1243" s="381"/>
      <c r="J1243" s="381"/>
      <c r="K1243" s="382"/>
      <c r="L1243" s="380"/>
      <c r="M1243" s="413"/>
      <c r="N1243" s="383"/>
      <c r="O1243" s="384"/>
      <c r="P1243" s="384"/>
      <c r="Q1243" s="383"/>
      <c r="R1243" s="383"/>
      <c r="S1243" s="385"/>
      <c r="T1243" s="380"/>
      <c r="U1243" s="380"/>
      <c r="V1243" s="380"/>
      <c r="W1243" s="380"/>
      <c r="X1243" s="380"/>
    </row>
    <row r="1244" spans="1:24" ht="15.75" customHeight="1">
      <c r="A1244" s="463"/>
      <c r="B1244" s="380"/>
      <c r="C1244" s="381"/>
      <c r="D1244" s="381"/>
      <c r="E1244" s="381"/>
      <c r="F1244" s="381"/>
      <c r="G1244" s="381"/>
      <c r="H1244" s="381"/>
      <c r="I1244" s="381"/>
      <c r="J1244" s="381"/>
      <c r="K1244" s="382"/>
      <c r="L1244" s="380"/>
      <c r="M1244" s="413"/>
      <c r="N1244" s="383"/>
      <c r="O1244" s="384"/>
      <c r="P1244" s="384"/>
      <c r="Q1244" s="383"/>
      <c r="R1244" s="383"/>
      <c r="S1244" s="385"/>
      <c r="T1244" s="380"/>
      <c r="U1244" s="380"/>
      <c r="V1244" s="380"/>
      <c r="W1244" s="380"/>
      <c r="X1244" s="380"/>
    </row>
    <row r="1245" spans="1:24" ht="15.75" customHeight="1">
      <c r="A1245" s="463"/>
      <c r="B1245" s="380"/>
      <c r="C1245" s="381"/>
      <c r="D1245" s="381"/>
      <c r="E1245" s="381"/>
      <c r="F1245" s="381"/>
      <c r="G1245" s="381"/>
      <c r="H1245" s="381"/>
      <c r="I1245" s="381"/>
      <c r="J1245" s="381"/>
      <c r="K1245" s="382"/>
      <c r="L1245" s="380"/>
      <c r="M1245" s="413"/>
      <c r="N1245" s="383"/>
      <c r="O1245" s="384"/>
      <c r="P1245" s="384"/>
      <c r="Q1245" s="383"/>
      <c r="R1245" s="383"/>
      <c r="S1245" s="385"/>
      <c r="T1245" s="380"/>
      <c r="U1245" s="380"/>
      <c r="V1245" s="380"/>
      <c r="W1245" s="380"/>
      <c r="X1245" s="380"/>
    </row>
    <row r="1246" spans="1:24" ht="15.75" customHeight="1">
      <c r="A1246" s="463"/>
      <c r="B1246" s="380"/>
      <c r="C1246" s="381"/>
      <c r="D1246" s="381"/>
      <c r="E1246" s="381"/>
      <c r="F1246" s="381"/>
      <c r="G1246" s="381"/>
      <c r="H1246" s="381"/>
      <c r="I1246" s="381"/>
      <c r="J1246" s="381"/>
      <c r="K1246" s="382"/>
      <c r="L1246" s="380"/>
      <c r="M1246" s="413"/>
      <c r="N1246" s="383"/>
      <c r="O1246" s="384"/>
      <c r="P1246" s="384"/>
      <c r="Q1246" s="383"/>
      <c r="R1246" s="383"/>
      <c r="S1246" s="385"/>
      <c r="T1246" s="380"/>
      <c r="U1246" s="380"/>
      <c r="V1246" s="380"/>
      <c r="W1246" s="380"/>
      <c r="X1246" s="380"/>
    </row>
    <row r="1247" spans="1:24" ht="15.75" customHeight="1">
      <c r="A1247" s="463"/>
      <c r="B1247" s="380"/>
      <c r="C1247" s="381"/>
      <c r="D1247" s="381"/>
      <c r="E1247" s="381"/>
      <c r="F1247" s="381"/>
      <c r="G1247" s="381"/>
      <c r="H1247" s="381"/>
      <c r="I1247" s="381"/>
      <c r="J1247" s="381"/>
      <c r="K1247" s="382"/>
      <c r="L1247" s="380"/>
      <c r="M1247" s="413"/>
      <c r="N1247" s="383"/>
      <c r="O1247" s="384"/>
      <c r="P1247" s="384"/>
      <c r="Q1247" s="383"/>
      <c r="R1247" s="383"/>
      <c r="S1247" s="385"/>
      <c r="T1247" s="380"/>
      <c r="U1247" s="380"/>
      <c r="V1247" s="380"/>
      <c r="W1247" s="380"/>
      <c r="X1247" s="380"/>
    </row>
    <row r="1248" spans="1:24" ht="15.75" customHeight="1">
      <c r="A1248" s="463"/>
      <c r="B1248" s="380"/>
      <c r="C1248" s="381"/>
      <c r="D1248" s="381"/>
      <c r="E1248" s="381"/>
      <c r="F1248" s="381"/>
      <c r="G1248" s="381"/>
      <c r="H1248" s="381"/>
      <c r="I1248" s="381"/>
      <c r="J1248" s="381"/>
      <c r="K1248" s="382"/>
      <c r="L1248" s="380"/>
      <c r="M1248" s="413"/>
      <c r="N1248" s="383"/>
      <c r="O1248" s="384"/>
      <c r="P1248" s="384"/>
      <c r="Q1248" s="383"/>
      <c r="R1248" s="383"/>
      <c r="S1248" s="385"/>
      <c r="T1248" s="380"/>
      <c r="U1248" s="380"/>
      <c r="V1248" s="380"/>
      <c r="W1248" s="380"/>
      <c r="X1248" s="380"/>
    </row>
    <row r="1249" spans="1:24" ht="15.75" customHeight="1">
      <c r="A1249" s="463"/>
      <c r="B1249" s="380"/>
      <c r="C1249" s="381"/>
      <c r="D1249" s="381"/>
      <c r="E1249" s="381"/>
      <c r="F1249" s="381"/>
      <c r="G1249" s="381"/>
      <c r="H1249" s="381"/>
      <c r="I1249" s="381"/>
      <c r="J1249" s="381"/>
      <c r="K1249" s="382"/>
      <c r="L1249" s="380"/>
      <c r="M1249" s="413"/>
      <c r="N1249" s="383"/>
      <c r="O1249" s="384"/>
      <c r="P1249" s="384"/>
      <c r="Q1249" s="383"/>
      <c r="R1249" s="383"/>
      <c r="S1249" s="385"/>
      <c r="T1249" s="380"/>
      <c r="U1249" s="380"/>
      <c r="V1249" s="380"/>
      <c r="W1249" s="380"/>
      <c r="X1249" s="380"/>
    </row>
    <row r="1250" spans="1:24" ht="15.75" customHeight="1">
      <c r="A1250" s="463"/>
      <c r="B1250" s="380"/>
      <c r="C1250" s="381"/>
      <c r="D1250" s="381"/>
      <c r="E1250" s="381"/>
      <c r="F1250" s="381"/>
      <c r="G1250" s="381"/>
      <c r="H1250" s="381"/>
      <c r="I1250" s="381"/>
      <c r="J1250" s="381"/>
      <c r="K1250" s="382"/>
      <c r="L1250" s="380"/>
      <c r="M1250" s="413"/>
      <c r="N1250" s="383"/>
      <c r="O1250" s="384"/>
      <c r="P1250" s="384"/>
      <c r="Q1250" s="383"/>
      <c r="R1250" s="383"/>
      <c r="S1250" s="385"/>
      <c r="T1250" s="380"/>
      <c r="U1250" s="380"/>
      <c r="V1250" s="380"/>
      <c r="W1250" s="380"/>
      <c r="X1250" s="380"/>
    </row>
    <row r="1251" spans="1:24" ht="15.75" customHeight="1">
      <c r="A1251" s="463"/>
      <c r="B1251" s="380"/>
      <c r="C1251" s="381"/>
      <c r="D1251" s="381"/>
      <c r="E1251" s="381"/>
      <c r="F1251" s="381"/>
      <c r="G1251" s="381"/>
      <c r="H1251" s="381"/>
      <c r="I1251" s="381"/>
      <c r="J1251" s="381"/>
      <c r="K1251" s="382"/>
      <c r="L1251" s="380"/>
      <c r="M1251" s="413"/>
      <c r="N1251" s="383"/>
      <c r="O1251" s="384"/>
      <c r="P1251" s="384"/>
      <c r="Q1251" s="383"/>
      <c r="R1251" s="383"/>
      <c r="S1251" s="385"/>
      <c r="T1251" s="380"/>
      <c r="U1251" s="380"/>
      <c r="V1251" s="380"/>
      <c r="W1251" s="380"/>
      <c r="X1251" s="380"/>
    </row>
    <row r="1252" spans="1:24" ht="15.75" customHeight="1">
      <c r="A1252" s="463"/>
      <c r="B1252" s="380"/>
      <c r="C1252" s="381"/>
      <c r="D1252" s="381"/>
      <c r="E1252" s="381"/>
      <c r="F1252" s="381"/>
      <c r="G1252" s="381"/>
      <c r="H1252" s="381"/>
      <c r="I1252" s="381"/>
      <c r="J1252" s="381"/>
      <c r="K1252" s="382"/>
      <c r="L1252" s="380"/>
      <c r="M1252" s="413"/>
      <c r="N1252" s="383"/>
      <c r="O1252" s="384"/>
      <c r="P1252" s="384"/>
      <c r="Q1252" s="383"/>
      <c r="R1252" s="383"/>
      <c r="S1252" s="385"/>
      <c r="T1252" s="380"/>
      <c r="U1252" s="380"/>
      <c r="V1252" s="380"/>
      <c r="W1252" s="380"/>
      <c r="X1252" s="380"/>
    </row>
    <row r="1253" spans="1:24" ht="15.75" customHeight="1">
      <c r="A1253" s="463"/>
      <c r="B1253" s="380"/>
      <c r="C1253" s="381"/>
      <c r="D1253" s="381"/>
      <c r="E1253" s="381"/>
      <c r="F1253" s="381"/>
      <c r="G1253" s="381"/>
      <c r="H1253" s="381"/>
      <c r="I1253" s="381"/>
      <c r="J1253" s="381"/>
      <c r="K1253" s="382"/>
      <c r="L1253" s="380"/>
      <c r="M1253" s="413"/>
      <c r="N1253" s="383"/>
      <c r="O1253" s="384"/>
      <c r="P1253" s="384"/>
      <c r="Q1253" s="383"/>
      <c r="R1253" s="383"/>
      <c r="S1253" s="385"/>
      <c r="T1253" s="380"/>
      <c r="U1253" s="380"/>
      <c r="V1253" s="380"/>
      <c r="W1253" s="380"/>
      <c r="X1253" s="380"/>
    </row>
    <row r="1254" spans="1:24" ht="15.75" customHeight="1">
      <c r="A1254" s="463"/>
      <c r="B1254" s="380"/>
      <c r="C1254" s="381"/>
      <c r="D1254" s="381"/>
      <c r="E1254" s="381"/>
      <c r="F1254" s="381"/>
      <c r="G1254" s="381"/>
      <c r="H1254" s="381"/>
      <c r="I1254" s="381"/>
      <c r="J1254" s="381"/>
      <c r="K1254" s="382"/>
      <c r="L1254" s="380"/>
      <c r="M1254" s="413"/>
      <c r="N1254" s="383"/>
      <c r="O1254" s="384"/>
      <c r="P1254" s="384"/>
      <c r="Q1254" s="383"/>
      <c r="R1254" s="383"/>
      <c r="S1254" s="385"/>
      <c r="T1254" s="380"/>
      <c r="U1254" s="380"/>
      <c r="V1254" s="380"/>
      <c r="W1254" s="380"/>
      <c r="X1254" s="380"/>
    </row>
    <row r="1255" spans="1:24" ht="15.75" customHeight="1">
      <c r="A1255" s="463"/>
      <c r="B1255" s="380"/>
      <c r="C1255" s="381"/>
      <c r="D1255" s="381"/>
      <c r="E1255" s="381"/>
      <c r="F1255" s="381"/>
      <c r="G1255" s="381"/>
      <c r="H1255" s="381"/>
      <c r="I1255" s="381"/>
      <c r="J1255" s="381"/>
      <c r="K1255" s="382"/>
      <c r="L1255" s="380"/>
      <c r="M1255" s="413"/>
      <c r="N1255" s="383"/>
      <c r="O1255" s="384"/>
      <c r="P1255" s="384"/>
      <c r="Q1255" s="383"/>
      <c r="R1255" s="383"/>
      <c r="S1255" s="385"/>
      <c r="T1255" s="380"/>
      <c r="U1255" s="380"/>
      <c r="V1255" s="380"/>
      <c r="W1255" s="380"/>
      <c r="X1255" s="380"/>
    </row>
    <row r="1256" spans="1:24" ht="15.75" customHeight="1">
      <c r="A1256" s="463"/>
      <c r="B1256" s="380"/>
      <c r="C1256" s="381"/>
      <c r="D1256" s="381"/>
      <c r="E1256" s="381"/>
      <c r="F1256" s="381"/>
      <c r="G1256" s="381"/>
      <c r="H1256" s="381"/>
      <c r="I1256" s="381"/>
      <c r="J1256" s="381"/>
      <c r="K1256" s="382"/>
      <c r="L1256" s="380"/>
      <c r="M1256" s="413"/>
      <c r="N1256" s="383"/>
      <c r="O1256" s="384"/>
      <c r="P1256" s="384"/>
      <c r="Q1256" s="383"/>
      <c r="R1256" s="383"/>
      <c r="S1256" s="385"/>
      <c r="T1256" s="380"/>
      <c r="U1256" s="380"/>
      <c r="V1256" s="380"/>
      <c r="W1256" s="380"/>
      <c r="X1256" s="380"/>
    </row>
    <row r="1257" spans="1:24" ht="15.75" customHeight="1">
      <c r="A1257" s="463"/>
      <c r="B1257" s="380"/>
      <c r="C1257" s="381"/>
      <c r="D1257" s="381"/>
      <c r="E1257" s="381"/>
      <c r="F1257" s="381"/>
      <c r="G1257" s="381"/>
      <c r="H1257" s="381"/>
      <c r="I1257" s="381"/>
      <c r="J1257" s="381"/>
      <c r="K1257" s="382"/>
      <c r="L1257" s="380"/>
      <c r="M1257" s="413"/>
      <c r="N1257" s="383"/>
      <c r="O1257" s="384"/>
      <c r="P1257" s="384"/>
      <c r="Q1257" s="383"/>
      <c r="R1257" s="383"/>
      <c r="S1257" s="385"/>
      <c r="T1257" s="380"/>
      <c r="U1257" s="380"/>
      <c r="V1257" s="380"/>
      <c r="W1257" s="380"/>
      <c r="X1257" s="380"/>
    </row>
    <row r="1258" spans="1:24" ht="15.75" customHeight="1">
      <c r="A1258" s="463"/>
      <c r="B1258" s="380"/>
      <c r="C1258" s="381"/>
      <c r="D1258" s="381"/>
      <c r="E1258" s="381"/>
      <c r="F1258" s="381"/>
      <c r="G1258" s="381"/>
      <c r="H1258" s="381"/>
      <c r="I1258" s="381"/>
      <c r="J1258" s="381"/>
      <c r="K1258" s="382"/>
      <c r="L1258" s="380"/>
      <c r="M1258" s="413"/>
      <c r="N1258" s="383"/>
      <c r="O1258" s="384"/>
      <c r="P1258" s="384"/>
      <c r="Q1258" s="383"/>
      <c r="R1258" s="383"/>
      <c r="S1258" s="385"/>
      <c r="T1258" s="380"/>
      <c r="U1258" s="380"/>
      <c r="V1258" s="380"/>
      <c r="W1258" s="380"/>
      <c r="X1258" s="380"/>
    </row>
    <row r="1259" spans="1:24" ht="15.75" customHeight="1">
      <c r="A1259" s="463"/>
      <c r="B1259" s="380"/>
      <c r="C1259" s="381"/>
      <c r="D1259" s="381"/>
      <c r="E1259" s="381"/>
      <c r="F1259" s="381"/>
      <c r="G1259" s="381"/>
      <c r="H1259" s="381"/>
      <c r="I1259" s="381"/>
      <c r="J1259" s="381"/>
      <c r="K1259" s="382"/>
      <c r="L1259" s="380"/>
      <c r="M1259" s="413"/>
      <c r="N1259" s="383"/>
      <c r="O1259" s="384"/>
      <c r="P1259" s="384"/>
      <c r="Q1259" s="383"/>
      <c r="R1259" s="383"/>
      <c r="S1259" s="385"/>
      <c r="T1259" s="380"/>
      <c r="U1259" s="380"/>
      <c r="V1259" s="380"/>
      <c r="W1259" s="380"/>
      <c r="X1259" s="380"/>
    </row>
    <row r="1260" spans="1:24" ht="15.75" customHeight="1">
      <c r="A1260" s="463"/>
      <c r="B1260" s="380"/>
      <c r="C1260" s="381"/>
      <c r="D1260" s="381"/>
      <c r="E1260" s="381"/>
      <c r="F1260" s="381"/>
      <c r="G1260" s="381"/>
      <c r="H1260" s="381"/>
      <c r="I1260" s="381"/>
      <c r="J1260" s="381"/>
      <c r="K1260" s="382"/>
      <c r="L1260" s="380"/>
      <c r="M1260" s="413"/>
      <c r="N1260" s="383"/>
      <c r="O1260" s="384"/>
      <c r="P1260" s="384"/>
      <c r="Q1260" s="383"/>
      <c r="R1260" s="383"/>
      <c r="S1260" s="385"/>
      <c r="T1260" s="380"/>
      <c r="U1260" s="380"/>
      <c r="V1260" s="380"/>
      <c r="W1260" s="380"/>
      <c r="X1260" s="380"/>
    </row>
    <row r="1261" spans="1:24" ht="15.75" customHeight="1">
      <c r="A1261" s="463"/>
      <c r="B1261" s="380"/>
      <c r="C1261" s="381"/>
      <c r="D1261" s="381"/>
      <c r="E1261" s="381"/>
      <c r="F1261" s="381"/>
      <c r="G1261" s="381"/>
      <c r="H1261" s="381"/>
      <c r="I1261" s="381"/>
      <c r="J1261" s="381"/>
      <c r="K1261" s="382"/>
      <c r="L1261" s="380"/>
      <c r="M1261" s="413"/>
      <c r="N1261" s="383"/>
      <c r="O1261" s="384"/>
      <c r="P1261" s="384"/>
      <c r="Q1261" s="383"/>
      <c r="R1261" s="383"/>
      <c r="S1261" s="385"/>
      <c r="T1261" s="380"/>
      <c r="U1261" s="380"/>
      <c r="V1261" s="380"/>
      <c r="W1261" s="380"/>
      <c r="X1261" s="380"/>
    </row>
    <row r="1262" spans="1:24" ht="15.75" customHeight="1">
      <c r="A1262" s="463"/>
      <c r="B1262" s="380"/>
      <c r="C1262" s="381"/>
      <c r="D1262" s="381"/>
      <c r="E1262" s="381"/>
      <c r="F1262" s="381"/>
      <c r="G1262" s="381"/>
      <c r="H1262" s="381"/>
      <c r="I1262" s="381"/>
      <c r="J1262" s="381"/>
      <c r="K1262" s="382"/>
      <c r="L1262" s="380"/>
      <c r="M1262" s="413"/>
      <c r="N1262" s="383"/>
      <c r="O1262" s="384"/>
      <c r="P1262" s="384"/>
      <c r="Q1262" s="383"/>
      <c r="R1262" s="383"/>
      <c r="S1262" s="385"/>
      <c r="T1262" s="380"/>
      <c r="U1262" s="380"/>
      <c r="V1262" s="380"/>
      <c r="W1262" s="380"/>
      <c r="X1262" s="380"/>
    </row>
    <row r="1263" spans="1:24" ht="15.75" customHeight="1">
      <c r="A1263" s="463"/>
      <c r="B1263" s="380"/>
      <c r="C1263" s="381"/>
      <c r="D1263" s="381"/>
      <c r="E1263" s="381"/>
      <c r="F1263" s="381"/>
      <c r="G1263" s="381"/>
      <c r="H1263" s="381"/>
      <c r="I1263" s="381"/>
      <c r="J1263" s="381"/>
      <c r="K1263" s="382"/>
      <c r="L1263" s="380"/>
      <c r="M1263" s="413"/>
      <c r="N1263" s="383"/>
      <c r="O1263" s="384"/>
      <c r="P1263" s="384"/>
      <c r="Q1263" s="383"/>
      <c r="R1263" s="383"/>
      <c r="S1263" s="385"/>
      <c r="T1263" s="380"/>
      <c r="U1263" s="380"/>
      <c r="V1263" s="380"/>
      <c r="W1263" s="380"/>
      <c r="X1263" s="380"/>
    </row>
    <row r="1264" spans="1:24" ht="15.75" customHeight="1">
      <c r="A1264" s="463"/>
      <c r="B1264" s="380"/>
      <c r="C1264" s="381"/>
      <c r="D1264" s="381"/>
      <c r="E1264" s="381"/>
      <c r="F1264" s="381"/>
      <c r="G1264" s="381"/>
      <c r="H1264" s="381"/>
      <c r="I1264" s="381"/>
      <c r="J1264" s="381"/>
      <c r="K1264" s="382"/>
      <c r="L1264" s="380"/>
      <c r="M1264" s="413"/>
      <c r="N1264" s="383"/>
      <c r="O1264" s="384"/>
      <c r="P1264" s="384"/>
      <c r="Q1264" s="383"/>
      <c r="R1264" s="383"/>
      <c r="S1264" s="385"/>
      <c r="T1264" s="380"/>
      <c r="U1264" s="380"/>
      <c r="V1264" s="380"/>
      <c r="W1264" s="380"/>
      <c r="X1264" s="380"/>
    </row>
    <row r="1265" spans="1:24" ht="15.75" customHeight="1">
      <c r="A1265" s="463"/>
      <c r="B1265" s="380"/>
      <c r="C1265" s="381"/>
      <c r="D1265" s="381"/>
      <c r="E1265" s="381"/>
      <c r="F1265" s="381"/>
      <c r="G1265" s="381"/>
      <c r="H1265" s="381"/>
      <c r="I1265" s="381"/>
      <c r="J1265" s="381"/>
      <c r="K1265" s="382"/>
      <c r="L1265" s="380"/>
      <c r="M1265" s="413"/>
      <c r="N1265" s="383"/>
      <c r="O1265" s="384"/>
      <c r="P1265" s="384"/>
      <c r="Q1265" s="383"/>
      <c r="R1265" s="383"/>
      <c r="S1265" s="385"/>
      <c r="T1265" s="380"/>
      <c r="U1265" s="380"/>
      <c r="V1265" s="380"/>
      <c r="W1265" s="380"/>
      <c r="X1265" s="380"/>
    </row>
    <row r="1266" spans="1:24" ht="15.75" customHeight="1">
      <c r="A1266" s="463"/>
      <c r="B1266" s="380"/>
      <c r="C1266" s="381"/>
      <c r="D1266" s="381"/>
      <c r="E1266" s="381"/>
      <c r="F1266" s="381"/>
      <c r="G1266" s="381"/>
      <c r="H1266" s="381"/>
      <c r="I1266" s="381"/>
      <c r="J1266" s="381"/>
      <c r="K1266" s="382"/>
      <c r="L1266" s="380"/>
      <c r="M1266" s="413"/>
      <c r="N1266" s="383"/>
      <c r="O1266" s="384"/>
      <c r="P1266" s="384"/>
      <c r="Q1266" s="383"/>
      <c r="R1266" s="383"/>
      <c r="S1266" s="385"/>
      <c r="T1266" s="380"/>
      <c r="U1266" s="380"/>
      <c r="V1266" s="380"/>
      <c r="W1266" s="380"/>
      <c r="X1266" s="380"/>
    </row>
    <row r="1267" spans="1:24" ht="15.75" customHeight="1">
      <c r="A1267" s="463"/>
      <c r="B1267" s="380"/>
      <c r="C1267" s="381"/>
      <c r="D1267" s="381"/>
      <c r="E1267" s="381"/>
      <c r="F1267" s="381"/>
      <c r="G1267" s="381"/>
      <c r="H1267" s="381"/>
      <c r="I1267" s="381"/>
      <c r="J1267" s="381"/>
      <c r="K1267" s="382"/>
      <c r="L1267" s="380"/>
      <c r="M1267" s="413"/>
      <c r="N1267" s="383"/>
      <c r="O1267" s="384"/>
      <c r="P1267" s="384"/>
      <c r="Q1267" s="383"/>
      <c r="R1267" s="383"/>
      <c r="S1267" s="385"/>
      <c r="T1267" s="380"/>
      <c r="U1267" s="380"/>
      <c r="V1267" s="380"/>
      <c r="W1267" s="380"/>
      <c r="X1267" s="380"/>
    </row>
    <row r="1268" spans="1:24" ht="15.75" customHeight="1">
      <c r="A1268" s="463"/>
      <c r="B1268" s="380"/>
      <c r="C1268" s="381"/>
      <c r="D1268" s="381"/>
      <c r="E1268" s="381"/>
      <c r="F1268" s="381"/>
      <c r="G1268" s="381"/>
      <c r="H1268" s="381"/>
      <c r="I1268" s="381"/>
      <c r="J1268" s="381"/>
      <c r="K1268" s="382"/>
      <c r="L1268" s="380"/>
      <c r="M1268" s="413"/>
      <c r="N1268" s="383"/>
      <c r="O1268" s="384"/>
      <c r="P1268" s="384"/>
      <c r="Q1268" s="383"/>
      <c r="R1268" s="383"/>
      <c r="S1268" s="385"/>
      <c r="T1268" s="380"/>
      <c r="U1268" s="380"/>
      <c r="V1268" s="380"/>
      <c r="W1268" s="380"/>
      <c r="X1268" s="380"/>
    </row>
    <row r="1269" spans="1:24" ht="15.75" customHeight="1">
      <c r="A1269" s="463"/>
      <c r="B1269" s="380"/>
      <c r="C1269" s="381"/>
      <c r="D1269" s="381"/>
      <c r="E1269" s="381"/>
      <c r="F1269" s="381"/>
      <c r="G1269" s="381"/>
      <c r="H1269" s="381"/>
      <c r="I1269" s="381"/>
      <c r="J1269" s="381"/>
      <c r="K1269" s="382"/>
      <c r="L1269" s="380"/>
      <c r="M1269" s="413"/>
      <c r="N1269" s="383"/>
      <c r="O1269" s="384"/>
      <c r="P1269" s="384"/>
      <c r="Q1269" s="383"/>
      <c r="R1269" s="383"/>
      <c r="S1269" s="385"/>
      <c r="T1269" s="380"/>
      <c r="U1269" s="380"/>
      <c r="V1269" s="380"/>
      <c r="W1269" s="380"/>
      <c r="X1269" s="380"/>
    </row>
    <row r="1270" spans="1:24" ht="15.75" customHeight="1">
      <c r="A1270" s="463"/>
      <c r="B1270" s="380"/>
      <c r="C1270" s="381"/>
      <c r="D1270" s="381"/>
      <c r="E1270" s="381"/>
      <c r="F1270" s="381"/>
      <c r="G1270" s="381"/>
      <c r="H1270" s="381"/>
      <c r="I1270" s="381"/>
      <c r="J1270" s="381"/>
      <c r="K1270" s="382"/>
      <c r="L1270" s="380"/>
      <c r="M1270" s="413"/>
      <c r="N1270" s="383"/>
      <c r="O1270" s="384"/>
      <c r="P1270" s="384"/>
      <c r="Q1270" s="383"/>
      <c r="R1270" s="383"/>
      <c r="S1270" s="385"/>
      <c r="T1270" s="380"/>
      <c r="U1270" s="380"/>
      <c r="V1270" s="380"/>
      <c r="W1270" s="380"/>
      <c r="X1270" s="380"/>
    </row>
    <row r="1271" spans="1:24" ht="15.75" customHeight="1">
      <c r="A1271" s="463"/>
      <c r="B1271" s="380"/>
      <c r="C1271" s="381"/>
      <c r="D1271" s="381"/>
      <c r="E1271" s="381"/>
      <c r="F1271" s="381"/>
      <c r="G1271" s="381"/>
      <c r="H1271" s="381"/>
      <c r="I1271" s="381"/>
      <c r="J1271" s="381"/>
      <c r="K1271" s="382"/>
      <c r="L1271" s="380"/>
      <c r="M1271" s="413"/>
      <c r="N1271" s="383"/>
      <c r="O1271" s="384"/>
      <c r="P1271" s="384"/>
      <c r="Q1271" s="383"/>
      <c r="R1271" s="383"/>
      <c r="S1271" s="385"/>
      <c r="T1271" s="380"/>
      <c r="U1271" s="380"/>
      <c r="V1271" s="380"/>
      <c r="W1271" s="380"/>
      <c r="X1271" s="380"/>
    </row>
    <row r="1272" spans="1:24" ht="15.75" customHeight="1">
      <c r="A1272" s="463"/>
      <c r="B1272" s="380"/>
      <c r="C1272" s="381"/>
      <c r="D1272" s="381"/>
      <c r="E1272" s="381"/>
      <c r="F1272" s="381"/>
      <c r="G1272" s="381"/>
      <c r="H1272" s="381"/>
      <c r="I1272" s="381"/>
      <c r="J1272" s="381"/>
      <c r="K1272" s="382"/>
      <c r="L1272" s="380"/>
      <c r="M1272" s="413"/>
      <c r="N1272" s="383"/>
      <c r="O1272" s="384"/>
      <c r="P1272" s="384"/>
      <c r="Q1272" s="383"/>
      <c r="R1272" s="383"/>
      <c r="S1272" s="385"/>
      <c r="T1272" s="380"/>
      <c r="U1272" s="380"/>
      <c r="V1272" s="380"/>
      <c r="W1272" s="380"/>
      <c r="X1272" s="380"/>
    </row>
    <row r="1273" spans="1:24" ht="15.75" customHeight="1">
      <c r="A1273" s="463"/>
      <c r="B1273" s="380"/>
      <c r="C1273" s="381"/>
      <c r="D1273" s="381"/>
      <c r="E1273" s="381"/>
      <c r="F1273" s="381"/>
      <c r="G1273" s="381"/>
      <c r="H1273" s="381"/>
      <c r="I1273" s="381"/>
      <c r="J1273" s="381"/>
      <c r="K1273" s="382"/>
      <c r="L1273" s="380"/>
      <c r="M1273" s="413"/>
      <c r="N1273" s="383"/>
      <c r="O1273" s="384"/>
      <c r="P1273" s="384"/>
      <c r="Q1273" s="383"/>
      <c r="R1273" s="383"/>
      <c r="S1273" s="385"/>
      <c r="T1273" s="380"/>
      <c r="U1273" s="380"/>
      <c r="V1273" s="380"/>
      <c r="W1273" s="380"/>
      <c r="X1273" s="380"/>
    </row>
    <row r="1274" spans="1:24" ht="15.75" customHeight="1">
      <c r="A1274" s="463"/>
      <c r="B1274" s="380"/>
      <c r="C1274" s="381"/>
      <c r="D1274" s="381"/>
      <c r="E1274" s="381"/>
      <c r="F1274" s="381"/>
      <c r="G1274" s="381"/>
      <c r="H1274" s="381"/>
      <c r="I1274" s="381"/>
      <c r="J1274" s="381"/>
      <c r="K1274" s="382"/>
      <c r="L1274" s="380"/>
      <c r="M1274" s="413"/>
      <c r="N1274" s="383"/>
      <c r="O1274" s="384"/>
      <c r="P1274" s="384"/>
      <c r="Q1274" s="383"/>
      <c r="R1274" s="383"/>
      <c r="S1274" s="385"/>
      <c r="T1274" s="380"/>
      <c r="U1274" s="380"/>
      <c r="V1274" s="380"/>
      <c r="W1274" s="380"/>
      <c r="X1274" s="380"/>
    </row>
    <row r="1275" spans="1:24" ht="15.75" customHeight="1">
      <c r="A1275" s="463"/>
      <c r="B1275" s="380"/>
      <c r="C1275" s="381"/>
      <c r="D1275" s="381"/>
      <c r="E1275" s="381"/>
      <c r="F1275" s="381"/>
      <c r="G1275" s="381"/>
      <c r="H1275" s="381"/>
      <c r="I1275" s="381"/>
      <c r="J1275" s="381"/>
      <c r="K1275" s="382"/>
      <c r="L1275" s="380"/>
      <c r="M1275" s="413"/>
      <c r="N1275" s="383"/>
      <c r="O1275" s="384"/>
      <c r="P1275" s="384"/>
      <c r="Q1275" s="383"/>
      <c r="R1275" s="383"/>
      <c r="S1275" s="385"/>
      <c r="T1275" s="380"/>
      <c r="U1275" s="380"/>
      <c r="V1275" s="380"/>
      <c r="W1275" s="380"/>
      <c r="X1275" s="380"/>
    </row>
    <row r="1276" spans="1:24" ht="15.75" customHeight="1">
      <c r="A1276" s="463"/>
      <c r="B1276" s="380"/>
      <c r="C1276" s="381"/>
      <c r="D1276" s="381"/>
      <c r="E1276" s="381"/>
      <c r="F1276" s="381"/>
      <c r="G1276" s="381"/>
      <c r="H1276" s="381"/>
      <c r="I1276" s="381"/>
      <c r="J1276" s="381"/>
      <c r="K1276" s="382"/>
      <c r="L1276" s="380"/>
      <c r="M1276" s="413"/>
      <c r="N1276" s="383"/>
      <c r="O1276" s="384"/>
      <c r="P1276" s="384"/>
      <c r="Q1276" s="383"/>
      <c r="R1276" s="383"/>
      <c r="S1276" s="385"/>
      <c r="T1276" s="380"/>
      <c r="U1276" s="380"/>
      <c r="V1276" s="380"/>
      <c r="W1276" s="380"/>
      <c r="X1276" s="380"/>
    </row>
    <row r="1277" spans="1:24" ht="15.75" customHeight="1">
      <c r="A1277" s="463"/>
      <c r="B1277" s="380"/>
      <c r="C1277" s="381"/>
      <c r="D1277" s="381"/>
      <c r="E1277" s="381"/>
      <c r="F1277" s="381"/>
      <c r="G1277" s="381"/>
      <c r="H1277" s="381"/>
      <c r="I1277" s="381"/>
      <c r="J1277" s="381"/>
      <c r="K1277" s="382"/>
      <c r="L1277" s="380"/>
      <c r="M1277" s="413"/>
      <c r="N1277" s="383"/>
      <c r="O1277" s="384"/>
      <c r="P1277" s="384"/>
      <c r="Q1277" s="383"/>
      <c r="R1277" s="383"/>
      <c r="S1277" s="385"/>
      <c r="T1277" s="380"/>
      <c r="U1277" s="380"/>
      <c r="V1277" s="380"/>
      <c r="W1277" s="380"/>
      <c r="X1277" s="380"/>
    </row>
    <row r="1278" spans="1:24" ht="15.75" customHeight="1">
      <c r="A1278" s="463"/>
      <c r="B1278" s="380"/>
      <c r="C1278" s="381"/>
      <c r="D1278" s="381"/>
      <c r="E1278" s="381"/>
      <c r="F1278" s="381"/>
      <c r="G1278" s="381"/>
      <c r="H1278" s="381"/>
      <c r="I1278" s="381"/>
      <c r="J1278" s="381"/>
      <c r="K1278" s="382"/>
      <c r="L1278" s="380"/>
      <c r="M1278" s="413"/>
      <c r="N1278" s="383"/>
      <c r="O1278" s="384"/>
      <c r="P1278" s="384"/>
      <c r="Q1278" s="383"/>
      <c r="R1278" s="383"/>
      <c r="S1278" s="385"/>
      <c r="T1278" s="380"/>
      <c r="U1278" s="380"/>
      <c r="V1278" s="380"/>
      <c r="W1278" s="380"/>
      <c r="X1278" s="380"/>
    </row>
    <row r="1279" spans="1:24" ht="15.75" customHeight="1">
      <c r="A1279" s="463"/>
      <c r="B1279" s="380"/>
      <c r="C1279" s="381"/>
      <c r="D1279" s="381"/>
      <c r="E1279" s="381"/>
      <c r="F1279" s="381"/>
      <c r="G1279" s="381"/>
      <c r="H1279" s="381"/>
      <c r="I1279" s="381"/>
      <c r="J1279" s="381"/>
      <c r="K1279" s="382"/>
      <c r="L1279" s="380"/>
      <c r="M1279" s="413"/>
      <c r="N1279" s="383"/>
      <c r="O1279" s="384"/>
      <c r="P1279" s="384"/>
      <c r="Q1279" s="383"/>
      <c r="R1279" s="383"/>
      <c r="S1279" s="385"/>
      <c r="T1279" s="380"/>
      <c r="U1279" s="380"/>
      <c r="V1279" s="380"/>
      <c r="W1279" s="380"/>
      <c r="X1279" s="380"/>
    </row>
    <row r="1280" spans="1:24" ht="15.75" customHeight="1">
      <c r="A1280" s="463"/>
      <c r="B1280" s="380"/>
      <c r="C1280" s="381"/>
      <c r="D1280" s="381"/>
      <c r="E1280" s="381"/>
      <c r="F1280" s="381"/>
      <c r="G1280" s="381"/>
      <c r="H1280" s="381"/>
      <c r="I1280" s="381"/>
      <c r="J1280" s="381"/>
      <c r="K1280" s="382"/>
      <c r="L1280" s="380"/>
      <c r="M1280" s="413"/>
      <c r="N1280" s="383"/>
      <c r="O1280" s="384"/>
      <c r="P1280" s="384"/>
      <c r="Q1280" s="383"/>
      <c r="R1280" s="383"/>
      <c r="S1280" s="385"/>
      <c r="T1280" s="380"/>
      <c r="U1280" s="380"/>
      <c r="V1280" s="380"/>
      <c r="W1280" s="380"/>
      <c r="X1280" s="380"/>
    </row>
    <row r="1281" spans="1:24" ht="15.75" customHeight="1">
      <c r="A1281" s="463"/>
      <c r="B1281" s="380"/>
      <c r="C1281" s="381"/>
      <c r="D1281" s="381"/>
      <c r="E1281" s="381"/>
      <c r="F1281" s="381"/>
      <c r="G1281" s="381"/>
      <c r="H1281" s="381"/>
      <c r="I1281" s="381"/>
      <c r="J1281" s="381"/>
      <c r="K1281" s="382"/>
      <c r="L1281" s="380"/>
      <c r="M1281" s="413"/>
      <c r="N1281" s="383"/>
      <c r="O1281" s="384"/>
      <c r="P1281" s="384"/>
      <c r="Q1281" s="383"/>
      <c r="R1281" s="383"/>
      <c r="S1281" s="385"/>
      <c r="T1281" s="380"/>
      <c r="U1281" s="380"/>
      <c r="V1281" s="380"/>
      <c r="W1281" s="380"/>
      <c r="X1281" s="380"/>
    </row>
    <row r="1282" spans="1:24" ht="15.75" customHeight="1">
      <c r="A1282" s="463"/>
      <c r="B1282" s="380"/>
      <c r="C1282" s="381"/>
      <c r="D1282" s="381"/>
      <c r="E1282" s="381"/>
      <c r="F1282" s="381"/>
      <c r="G1282" s="381"/>
      <c r="H1282" s="381"/>
      <c r="I1282" s="381"/>
      <c r="J1282" s="381"/>
      <c r="K1282" s="382"/>
      <c r="L1282" s="380"/>
      <c r="M1282" s="413"/>
      <c r="N1282" s="383"/>
      <c r="O1282" s="384"/>
      <c r="P1282" s="384"/>
      <c r="Q1282" s="383"/>
      <c r="R1282" s="383"/>
      <c r="S1282" s="385"/>
      <c r="T1282" s="380"/>
      <c r="U1282" s="380"/>
      <c r="V1282" s="380"/>
      <c r="W1282" s="380"/>
      <c r="X1282" s="380"/>
    </row>
    <row r="1283" spans="1:24" ht="15.75" customHeight="1">
      <c r="A1283" s="463"/>
      <c r="B1283" s="380"/>
      <c r="C1283" s="381"/>
      <c r="D1283" s="381"/>
      <c r="E1283" s="381"/>
      <c r="F1283" s="381"/>
      <c r="G1283" s="381"/>
      <c r="H1283" s="381"/>
      <c r="I1283" s="381"/>
      <c r="J1283" s="381"/>
      <c r="K1283" s="382"/>
      <c r="L1283" s="380"/>
      <c r="M1283" s="413"/>
      <c r="N1283" s="383"/>
      <c r="O1283" s="384"/>
      <c r="P1283" s="384"/>
      <c r="Q1283" s="383"/>
      <c r="R1283" s="383"/>
      <c r="S1283" s="385"/>
      <c r="T1283" s="380"/>
      <c r="U1283" s="380"/>
      <c r="V1283" s="380"/>
      <c r="W1283" s="380"/>
      <c r="X1283" s="380"/>
    </row>
    <row r="1284" spans="1:24" ht="15.75" customHeight="1">
      <c r="A1284" s="463"/>
      <c r="B1284" s="380"/>
      <c r="C1284" s="381"/>
      <c r="D1284" s="381"/>
      <c r="E1284" s="381"/>
      <c r="F1284" s="381"/>
      <c r="G1284" s="381"/>
      <c r="H1284" s="381"/>
      <c r="I1284" s="381"/>
      <c r="J1284" s="381"/>
      <c r="K1284" s="382"/>
      <c r="L1284" s="380"/>
      <c r="M1284" s="413"/>
      <c r="N1284" s="383"/>
      <c r="O1284" s="384"/>
      <c r="P1284" s="384"/>
      <c r="Q1284" s="383"/>
      <c r="R1284" s="383"/>
      <c r="S1284" s="385"/>
      <c r="T1284" s="380"/>
      <c r="U1284" s="380"/>
      <c r="V1284" s="380"/>
      <c r="W1284" s="380"/>
      <c r="X1284" s="380"/>
    </row>
    <row r="1285" spans="1:24" ht="15.75" customHeight="1">
      <c r="A1285" s="463"/>
      <c r="B1285" s="380"/>
      <c r="C1285" s="381"/>
      <c r="D1285" s="381"/>
      <c r="E1285" s="381"/>
      <c r="F1285" s="381"/>
      <c r="G1285" s="381"/>
      <c r="H1285" s="381"/>
      <c r="I1285" s="381"/>
      <c r="J1285" s="381"/>
      <c r="K1285" s="382"/>
      <c r="L1285" s="380"/>
      <c r="M1285" s="413"/>
      <c r="N1285" s="383"/>
      <c r="O1285" s="384"/>
      <c r="P1285" s="384"/>
      <c r="Q1285" s="383"/>
      <c r="R1285" s="383"/>
      <c r="S1285" s="385"/>
      <c r="T1285" s="380"/>
      <c r="U1285" s="380"/>
      <c r="V1285" s="380"/>
      <c r="W1285" s="380"/>
      <c r="X1285" s="380"/>
    </row>
    <row r="1286" spans="1:24" ht="15.75" customHeight="1">
      <c r="A1286" s="463"/>
      <c r="B1286" s="380"/>
      <c r="C1286" s="381"/>
      <c r="D1286" s="381"/>
      <c r="E1286" s="381"/>
      <c r="F1286" s="381"/>
      <c r="G1286" s="381"/>
      <c r="H1286" s="381"/>
      <c r="I1286" s="381"/>
      <c r="J1286" s="381"/>
      <c r="K1286" s="382"/>
      <c r="L1286" s="380"/>
      <c r="M1286" s="413"/>
      <c r="N1286" s="383"/>
      <c r="O1286" s="384"/>
      <c r="P1286" s="384"/>
      <c r="Q1286" s="383"/>
      <c r="R1286" s="383"/>
      <c r="S1286" s="385"/>
      <c r="T1286" s="380"/>
      <c r="U1286" s="380"/>
      <c r="V1286" s="380"/>
      <c r="W1286" s="380"/>
      <c r="X1286" s="380"/>
    </row>
    <row r="1287" spans="1:24" ht="15.75" customHeight="1">
      <c r="A1287" s="463"/>
      <c r="B1287" s="380"/>
      <c r="C1287" s="381"/>
      <c r="D1287" s="381"/>
      <c r="E1287" s="381"/>
      <c r="F1287" s="381"/>
      <c r="G1287" s="381"/>
      <c r="H1287" s="381"/>
      <c r="I1287" s="381"/>
      <c r="J1287" s="381"/>
      <c r="K1287" s="382"/>
      <c r="L1287" s="380"/>
      <c r="M1287" s="413"/>
      <c r="N1287" s="383"/>
      <c r="O1287" s="384"/>
      <c r="P1287" s="384"/>
      <c r="Q1287" s="383"/>
      <c r="R1287" s="383"/>
      <c r="S1287" s="385"/>
      <c r="T1287" s="380"/>
      <c r="U1287" s="380"/>
      <c r="V1287" s="380"/>
      <c r="W1287" s="380"/>
      <c r="X1287" s="380"/>
    </row>
    <row r="1288" spans="1:24" ht="15.75" customHeight="1">
      <c r="A1288" s="463"/>
      <c r="B1288" s="380"/>
      <c r="C1288" s="381"/>
      <c r="D1288" s="381"/>
      <c r="E1288" s="381"/>
      <c r="F1288" s="381"/>
      <c r="G1288" s="381"/>
      <c r="H1288" s="381"/>
      <c r="I1288" s="381"/>
      <c r="J1288" s="381"/>
      <c r="K1288" s="382"/>
      <c r="L1288" s="380"/>
      <c r="M1288" s="413"/>
      <c r="N1288" s="383"/>
      <c r="O1288" s="384"/>
      <c r="P1288" s="384"/>
      <c r="Q1288" s="383"/>
      <c r="R1288" s="383"/>
      <c r="S1288" s="385"/>
      <c r="T1288" s="380"/>
      <c r="U1288" s="380"/>
      <c r="V1288" s="380"/>
      <c r="W1288" s="380"/>
      <c r="X1288" s="380"/>
    </row>
    <row r="1289" spans="1:24" ht="15.75" customHeight="1">
      <c r="A1289" s="463"/>
      <c r="B1289" s="380"/>
      <c r="C1289" s="381"/>
      <c r="D1289" s="381"/>
      <c r="E1289" s="381"/>
      <c r="F1289" s="381"/>
      <c r="G1289" s="381"/>
      <c r="H1289" s="381"/>
      <c r="I1289" s="381"/>
      <c r="J1289" s="381"/>
      <c r="K1289" s="382"/>
      <c r="L1289" s="380"/>
      <c r="M1289" s="413"/>
      <c r="N1289" s="383"/>
      <c r="O1289" s="384"/>
      <c r="P1289" s="384"/>
      <c r="Q1289" s="383"/>
      <c r="R1289" s="383"/>
      <c r="S1289" s="385"/>
      <c r="T1289" s="380"/>
      <c r="U1289" s="380"/>
      <c r="V1289" s="380"/>
      <c r="W1289" s="380"/>
      <c r="X1289" s="380"/>
    </row>
    <row r="1290" spans="1:24" ht="15.75" customHeight="1">
      <c r="A1290" s="463"/>
      <c r="B1290" s="380"/>
      <c r="C1290" s="381"/>
      <c r="D1290" s="381"/>
      <c r="E1290" s="381"/>
      <c r="F1290" s="381"/>
      <c r="G1290" s="381"/>
      <c r="H1290" s="381"/>
      <c r="I1290" s="381"/>
      <c r="J1290" s="381"/>
      <c r="K1290" s="382"/>
      <c r="L1290" s="380"/>
      <c r="M1290" s="413"/>
      <c r="N1290" s="383"/>
      <c r="O1290" s="384"/>
      <c r="P1290" s="384"/>
      <c r="Q1290" s="383"/>
      <c r="R1290" s="383"/>
      <c r="S1290" s="385"/>
      <c r="T1290" s="380"/>
      <c r="U1290" s="380"/>
      <c r="V1290" s="380"/>
      <c r="W1290" s="380"/>
      <c r="X1290" s="380"/>
    </row>
    <row r="1291" spans="1:24" ht="15.75" customHeight="1">
      <c r="A1291" s="463"/>
      <c r="B1291" s="380"/>
      <c r="C1291" s="381"/>
      <c r="D1291" s="381"/>
      <c r="E1291" s="381"/>
      <c r="F1291" s="381"/>
      <c r="G1291" s="381"/>
      <c r="H1291" s="381"/>
      <c r="I1291" s="381"/>
      <c r="J1291" s="381"/>
      <c r="K1291" s="382"/>
      <c r="L1291" s="380"/>
      <c r="M1291" s="413"/>
      <c r="N1291" s="383"/>
      <c r="O1291" s="384"/>
      <c r="P1291" s="384"/>
      <c r="Q1291" s="383"/>
      <c r="R1291" s="383"/>
      <c r="S1291" s="385"/>
      <c r="T1291" s="380"/>
      <c r="U1291" s="380"/>
      <c r="V1291" s="380"/>
      <c r="W1291" s="380"/>
      <c r="X1291" s="380"/>
    </row>
    <row r="1292" spans="1:24" ht="15.75" customHeight="1">
      <c r="A1292" s="463"/>
      <c r="B1292" s="380"/>
      <c r="C1292" s="381"/>
      <c r="D1292" s="381"/>
      <c r="E1292" s="381"/>
      <c r="F1292" s="381"/>
      <c r="G1292" s="381"/>
      <c r="H1292" s="381"/>
      <c r="I1292" s="381"/>
      <c r="J1292" s="381"/>
      <c r="K1292" s="382"/>
      <c r="L1292" s="380"/>
      <c r="M1292" s="413"/>
      <c r="N1292" s="383"/>
      <c r="O1292" s="384"/>
      <c r="P1292" s="384"/>
      <c r="Q1292" s="383"/>
      <c r="R1292" s="383"/>
      <c r="S1292" s="385"/>
      <c r="T1292" s="380"/>
      <c r="U1292" s="380"/>
      <c r="V1292" s="380"/>
      <c r="W1292" s="380"/>
      <c r="X1292" s="380"/>
    </row>
    <row r="1293" spans="1:24" ht="15.75" customHeight="1">
      <c r="A1293" s="463"/>
      <c r="B1293" s="380"/>
      <c r="C1293" s="381"/>
      <c r="D1293" s="381"/>
      <c r="E1293" s="381"/>
      <c r="F1293" s="381"/>
      <c r="G1293" s="381"/>
      <c r="H1293" s="381"/>
      <c r="I1293" s="381"/>
      <c r="J1293" s="381"/>
      <c r="K1293" s="382"/>
      <c r="L1293" s="380"/>
      <c r="M1293" s="413"/>
      <c r="N1293" s="383"/>
      <c r="O1293" s="384"/>
      <c r="P1293" s="384"/>
      <c r="Q1293" s="383"/>
      <c r="R1293" s="383"/>
      <c r="S1293" s="385"/>
      <c r="T1293" s="380"/>
      <c r="U1293" s="380"/>
      <c r="V1293" s="380"/>
      <c r="W1293" s="380"/>
      <c r="X1293" s="380"/>
    </row>
    <row r="1294" spans="1:24" ht="15.75" customHeight="1">
      <c r="A1294" s="463"/>
      <c r="B1294" s="380"/>
      <c r="C1294" s="381"/>
      <c r="D1294" s="381"/>
      <c r="E1294" s="381"/>
      <c r="F1294" s="381"/>
      <c r="G1294" s="381"/>
      <c r="H1294" s="381"/>
      <c r="I1294" s="381"/>
      <c r="J1294" s="381"/>
      <c r="K1294" s="382"/>
      <c r="L1294" s="380"/>
      <c r="M1294" s="413"/>
      <c r="N1294" s="383"/>
      <c r="O1294" s="384"/>
      <c r="P1294" s="384"/>
      <c r="Q1294" s="383"/>
      <c r="R1294" s="383"/>
      <c r="S1294" s="385"/>
      <c r="T1294" s="380"/>
      <c r="U1294" s="380"/>
      <c r="V1294" s="380"/>
      <c r="W1294" s="380"/>
      <c r="X1294" s="380"/>
    </row>
    <row r="1295" spans="1:24" ht="15.75" customHeight="1">
      <c r="A1295" s="463"/>
      <c r="B1295" s="380"/>
      <c r="C1295" s="381"/>
      <c r="D1295" s="381"/>
      <c r="E1295" s="381"/>
      <c r="F1295" s="381"/>
      <c r="G1295" s="381"/>
      <c r="H1295" s="381"/>
      <c r="I1295" s="381"/>
      <c r="J1295" s="381"/>
      <c r="K1295" s="382"/>
      <c r="L1295" s="380"/>
      <c r="M1295" s="413"/>
      <c r="N1295" s="383"/>
      <c r="O1295" s="384"/>
      <c r="P1295" s="384"/>
      <c r="Q1295" s="383"/>
      <c r="R1295" s="383"/>
      <c r="S1295" s="385"/>
      <c r="T1295" s="380"/>
      <c r="U1295" s="380"/>
      <c r="V1295" s="380"/>
      <c r="W1295" s="380"/>
      <c r="X1295" s="380"/>
    </row>
    <row r="1296" spans="1:24" ht="15.75" customHeight="1">
      <c r="A1296" s="463"/>
      <c r="B1296" s="380"/>
      <c r="C1296" s="381"/>
      <c r="D1296" s="381"/>
      <c r="E1296" s="381"/>
      <c r="F1296" s="381"/>
      <c r="G1296" s="381"/>
      <c r="H1296" s="381"/>
      <c r="I1296" s="381"/>
      <c r="J1296" s="381"/>
      <c r="K1296" s="382"/>
      <c r="L1296" s="380"/>
      <c r="M1296" s="413"/>
      <c r="N1296" s="383"/>
      <c r="O1296" s="384"/>
      <c r="P1296" s="384"/>
      <c r="Q1296" s="383"/>
      <c r="R1296" s="383"/>
      <c r="S1296" s="385"/>
      <c r="T1296" s="380"/>
      <c r="U1296" s="380"/>
      <c r="V1296" s="380"/>
      <c r="W1296" s="380"/>
      <c r="X1296" s="380"/>
    </row>
    <row r="1297" spans="1:24" ht="15.75" customHeight="1">
      <c r="A1297" s="463"/>
      <c r="B1297" s="380"/>
      <c r="C1297" s="381"/>
      <c r="D1297" s="381"/>
      <c r="E1297" s="381"/>
      <c r="F1297" s="381"/>
      <c r="G1297" s="381"/>
      <c r="H1297" s="381"/>
      <c r="I1297" s="381"/>
      <c r="J1297" s="381"/>
      <c r="K1297" s="382"/>
      <c r="L1297" s="380"/>
      <c r="M1297" s="413"/>
      <c r="N1297" s="383"/>
      <c r="O1297" s="384"/>
      <c r="P1297" s="384"/>
      <c r="Q1297" s="383"/>
      <c r="R1297" s="383"/>
      <c r="S1297" s="385"/>
      <c r="T1297" s="380"/>
      <c r="U1297" s="380"/>
      <c r="V1297" s="380"/>
      <c r="W1297" s="380"/>
      <c r="X1297" s="380"/>
    </row>
    <row r="1298" spans="1:24" ht="15.75" customHeight="1">
      <c r="A1298" s="463"/>
      <c r="B1298" s="380"/>
      <c r="C1298" s="381"/>
      <c r="D1298" s="381"/>
      <c r="E1298" s="381"/>
      <c r="F1298" s="381"/>
      <c r="G1298" s="381"/>
      <c r="H1298" s="381"/>
      <c r="I1298" s="381"/>
      <c r="J1298" s="381"/>
      <c r="K1298" s="382"/>
      <c r="L1298" s="380"/>
      <c r="M1298" s="413"/>
      <c r="N1298" s="383"/>
      <c r="O1298" s="384"/>
      <c r="P1298" s="384"/>
      <c r="Q1298" s="383"/>
      <c r="R1298" s="383"/>
      <c r="S1298" s="385"/>
      <c r="T1298" s="380"/>
      <c r="U1298" s="380"/>
      <c r="V1298" s="380"/>
      <c r="W1298" s="380"/>
      <c r="X1298" s="380"/>
    </row>
    <row r="1299" spans="1:24" ht="15.75" customHeight="1">
      <c r="A1299" s="463"/>
      <c r="B1299" s="380"/>
      <c r="C1299" s="381"/>
      <c r="D1299" s="381"/>
      <c r="E1299" s="381"/>
      <c r="F1299" s="381"/>
      <c r="G1299" s="381"/>
      <c r="H1299" s="381"/>
      <c r="I1299" s="381"/>
      <c r="J1299" s="381"/>
      <c r="K1299" s="382"/>
      <c r="L1299" s="380"/>
      <c r="M1299" s="413"/>
      <c r="N1299" s="383"/>
      <c r="O1299" s="384"/>
      <c r="P1299" s="384"/>
      <c r="Q1299" s="383"/>
      <c r="R1299" s="383"/>
      <c r="S1299" s="385"/>
      <c r="T1299" s="380"/>
      <c r="U1299" s="380"/>
      <c r="V1299" s="380"/>
      <c r="W1299" s="380"/>
      <c r="X1299" s="380"/>
    </row>
    <row r="1300" spans="1:24" ht="15.75" customHeight="1">
      <c r="A1300" s="463"/>
      <c r="B1300" s="380"/>
      <c r="C1300" s="381"/>
      <c r="D1300" s="381"/>
      <c r="E1300" s="381"/>
      <c r="F1300" s="381"/>
      <c r="G1300" s="381"/>
      <c r="H1300" s="381"/>
      <c r="I1300" s="381"/>
      <c r="J1300" s="381"/>
      <c r="K1300" s="382"/>
      <c r="L1300" s="380"/>
      <c r="M1300" s="413"/>
      <c r="N1300" s="383"/>
      <c r="O1300" s="384"/>
      <c r="P1300" s="384"/>
      <c r="Q1300" s="383"/>
      <c r="R1300" s="383"/>
      <c r="S1300" s="385"/>
      <c r="T1300" s="380"/>
      <c r="U1300" s="380"/>
      <c r="V1300" s="380"/>
      <c r="W1300" s="380"/>
      <c r="X1300" s="380"/>
    </row>
    <row r="1301" spans="1:24" ht="15.75" customHeight="1">
      <c r="A1301" s="463"/>
      <c r="B1301" s="380"/>
      <c r="C1301" s="381"/>
      <c r="D1301" s="381"/>
      <c r="E1301" s="381"/>
      <c r="F1301" s="381"/>
      <c r="G1301" s="381"/>
      <c r="H1301" s="381"/>
      <c r="I1301" s="381"/>
      <c r="J1301" s="381"/>
      <c r="K1301" s="382"/>
      <c r="L1301" s="380"/>
      <c r="M1301" s="413"/>
      <c r="N1301" s="383"/>
      <c r="O1301" s="384"/>
      <c r="P1301" s="384"/>
      <c r="Q1301" s="383"/>
      <c r="R1301" s="383"/>
      <c r="S1301" s="385"/>
      <c r="T1301" s="380"/>
      <c r="U1301" s="380"/>
      <c r="V1301" s="380"/>
      <c r="W1301" s="380"/>
      <c r="X1301" s="380"/>
    </row>
    <row r="1302" spans="1:24" ht="15.75" customHeight="1">
      <c r="A1302" s="463"/>
      <c r="B1302" s="380"/>
      <c r="C1302" s="381"/>
      <c r="D1302" s="381"/>
      <c r="E1302" s="381"/>
      <c r="F1302" s="381"/>
      <c r="G1302" s="381"/>
      <c r="H1302" s="381"/>
      <c r="I1302" s="381"/>
      <c r="J1302" s="381"/>
      <c r="K1302" s="382"/>
      <c r="L1302" s="380"/>
      <c r="M1302" s="413"/>
      <c r="N1302" s="383"/>
      <c r="O1302" s="384"/>
      <c r="P1302" s="384"/>
      <c r="Q1302" s="383"/>
      <c r="R1302" s="383"/>
      <c r="S1302" s="385"/>
      <c r="T1302" s="380"/>
      <c r="U1302" s="380"/>
      <c r="V1302" s="380"/>
      <c r="W1302" s="380"/>
      <c r="X1302" s="380"/>
    </row>
    <row r="1303" spans="1:24" ht="15.75" customHeight="1">
      <c r="A1303" s="463"/>
      <c r="B1303" s="380"/>
      <c r="C1303" s="381"/>
      <c r="D1303" s="381"/>
      <c r="E1303" s="381"/>
      <c r="F1303" s="381"/>
      <c r="G1303" s="381"/>
      <c r="H1303" s="381"/>
      <c r="I1303" s="381"/>
      <c r="J1303" s="381"/>
      <c r="K1303" s="382"/>
      <c r="L1303" s="380"/>
      <c r="M1303" s="413"/>
      <c r="N1303" s="383"/>
      <c r="O1303" s="384"/>
      <c r="P1303" s="384"/>
      <c r="Q1303" s="383"/>
      <c r="R1303" s="383"/>
      <c r="S1303" s="385"/>
      <c r="T1303" s="380"/>
      <c r="U1303" s="380"/>
      <c r="V1303" s="380"/>
      <c r="W1303" s="380"/>
      <c r="X1303" s="380"/>
    </row>
    <row r="1304" spans="1:24" ht="15.75" customHeight="1">
      <c r="A1304" s="463"/>
      <c r="B1304" s="380"/>
      <c r="C1304" s="381"/>
      <c r="D1304" s="381"/>
      <c r="E1304" s="381"/>
      <c r="F1304" s="381"/>
      <c r="G1304" s="381"/>
      <c r="H1304" s="381"/>
      <c r="I1304" s="381"/>
      <c r="J1304" s="381"/>
      <c r="K1304" s="382"/>
      <c r="L1304" s="380"/>
      <c r="M1304" s="413"/>
      <c r="N1304" s="383"/>
      <c r="O1304" s="384"/>
      <c r="P1304" s="384"/>
      <c r="Q1304" s="383"/>
      <c r="R1304" s="383"/>
      <c r="S1304" s="385"/>
      <c r="T1304" s="380"/>
      <c r="U1304" s="380"/>
      <c r="V1304" s="380"/>
      <c r="W1304" s="380"/>
      <c r="X1304" s="380"/>
    </row>
    <row r="1305" spans="1:24" ht="15.75" customHeight="1">
      <c r="A1305" s="463"/>
      <c r="B1305" s="380"/>
      <c r="C1305" s="381"/>
      <c r="D1305" s="381"/>
      <c r="E1305" s="381"/>
      <c r="F1305" s="381"/>
      <c r="G1305" s="381"/>
      <c r="H1305" s="381"/>
      <c r="I1305" s="381"/>
      <c r="J1305" s="381"/>
      <c r="K1305" s="382"/>
      <c r="L1305" s="380"/>
      <c r="M1305" s="413"/>
      <c r="N1305" s="383"/>
      <c r="O1305" s="384"/>
      <c r="P1305" s="384"/>
      <c r="Q1305" s="383"/>
      <c r="R1305" s="383"/>
      <c r="S1305" s="385"/>
      <c r="T1305" s="380"/>
      <c r="U1305" s="380"/>
      <c r="V1305" s="380"/>
      <c r="W1305" s="380"/>
      <c r="X1305" s="380"/>
    </row>
    <row r="1306" spans="1:24" ht="15.75" customHeight="1">
      <c r="A1306" s="463"/>
      <c r="B1306" s="380"/>
      <c r="C1306" s="381"/>
      <c r="D1306" s="381"/>
      <c r="E1306" s="381"/>
      <c r="F1306" s="381"/>
      <c r="G1306" s="381"/>
      <c r="H1306" s="381"/>
      <c r="I1306" s="381"/>
      <c r="J1306" s="381"/>
      <c r="K1306" s="382"/>
      <c r="L1306" s="380"/>
      <c r="M1306" s="413"/>
      <c r="N1306" s="383"/>
      <c r="O1306" s="384"/>
      <c r="P1306" s="384"/>
      <c r="Q1306" s="383"/>
      <c r="R1306" s="383"/>
      <c r="S1306" s="385"/>
      <c r="T1306" s="380"/>
      <c r="U1306" s="380"/>
      <c r="V1306" s="380"/>
      <c r="W1306" s="380"/>
      <c r="X1306" s="380"/>
    </row>
    <row r="1307" spans="1:24" ht="15.75" customHeight="1">
      <c r="A1307" s="463"/>
      <c r="B1307" s="380"/>
      <c r="C1307" s="381"/>
      <c r="D1307" s="381"/>
      <c r="E1307" s="381"/>
      <c r="F1307" s="381"/>
      <c r="G1307" s="381"/>
      <c r="H1307" s="381"/>
      <c r="I1307" s="381"/>
      <c r="J1307" s="381"/>
      <c r="K1307" s="382"/>
      <c r="L1307" s="380"/>
      <c r="M1307" s="413"/>
      <c r="N1307" s="383"/>
      <c r="O1307" s="384"/>
      <c r="P1307" s="384"/>
      <c r="Q1307" s="383"/>
      <c r="R1307" s="383"/>
      <c r="S1307" s="385"/>
      <c r="T1307" s="380"/>
      <c r="U1307" s="380"/>
      <c r="V1307" s="380"/>
      <c r="W1307" s="380"/>
      <c r="X1307" s="380"/>
    </row>
    <row r="1308" spans="1:24" ht="15.75" customHeight="1">
      <c r="A1308" s="463"/>
      <c r="B1308" s="380"/>
      <c r="C1308" s="381"/>
      <c r="D1308" s="381"/>
      <c r="E1308" s="381"/>
      <c r="F1308" s="381"/>
      <c r="G1308" s="381"/>
      <c r="H1308" s="381"/>
      <c r="I1308" s="381"/>
      <c r="J1308" s="381"/>
      <c r="K1308" s="382"/>
      <c r="L1308" s="380"/>
      <c r="M1308" s="413"/>
      <c r="N1308" s="383"/>
      <c r="O1308" s="384"/>
      <c r="P1308" s="384"/>
      <c r="Q1308" s="383"/>
      <c r="R1308" s="383"/>
      <c r="S1308" s="385"/>
      <c r="T1308" s="380"/>
      <c r="U1308" s="380"/>
      <c r="V1308" s="380"/>
      <c r="W1308" s="380"/>
      <c r="X1308" s="380"/>
    </row>
    <row r="1309" spans="1:24" ht="15.75" customHeight="1">
      <c r="A1309" s="463"/>
      <c r="B1309" s="380"/>
      <c r="C1309" s="381"/>
      <c r="D1309" s="381"/>
      <c r="E1309" s="381"/>
      <c r="F1309" s="381"/>
      <c r="G1309" s="381"/>
      <c r="H1309" s="381"/>
      <c r="I1309" s="381"/>
      <c r="J1309" s="381"/>
      <c r="K1309" s="382"/>
      <c r="L1309" s="380"/>
      <c r="M1309" s="413"/>
      <c r="N1309" s="383"/>
      <c r="O1309" s="384"/>
      <c r="P1309" s="384"/>
      <c r="Q1309" s="383"/>
      <c r="R1309" s="383"/>
      <c r="S1309" s="385"/>
      <c r="T1309" s="380"/>
      <c r="U1309" s="380"/>
      <c r="V1309" s="380"/>
      <c r="W1309" s="380"/>
      <c r="X1309" s="380"/>
    </row>
    <row r="1310" spans="1:24" ht="15.75" customHeight="1">
      <c r="A1310" s="463"/>
      <c r="B1310" s="380"/>
      <c r="C1310" s="381"/>
      <c r="D1310" s="381"/>
      <c r="E1310" s="381"/>
      <c r="F1310" s="381"/>
      <c r="G1310" s="381"/>
      <c r="H1310" s="381"/>
      <c r="I1310" s="381"/>
      <c r="J1310" s="381"/>
      <c r="K1310" s="382"/>
      <c r="L1310" s="380"/>
      <c r="M1310" s="413"/>
      <c r="N1310" s="383"/>
      <c r="O1310" s="384"/>
      <c r="P1310" s="384"/>
      <c r="Q1310" s="383"/>
      <c r="R1310" s="383"/>
      <c r="S1310" s="385"/>
      <c r="T1310" s="380"/>
      <c r="U1310" s="380"/>
      <c r="V1310" s="380"/>
      <c r="W1310" s="380"/>
      <c r="X1310" s="380"/>
    </row>
    <row r="1311" spans="1:24" ht="15.75" customHeight="1">
      <c r="A1311" s="463"/>
      <c r="B1311" s="380"/>
      <c r="C1311" s="381"/>
      <c r="D1311" s="381"/>
      <c r="E1311" s="381"/>
      <c r="F1311" s="381"/>
      <c r="G1311" s="381"/>
      <c r="H1311" s="381"/>
      <c r="I1311" s="381"/>
      <c r="J1311" s="381"/>
      <c r="K1311" s="382"/>
      <c r="L1311" s="380"/>
      <c r="M1311" s="413"/>
      <c r="N1311" s="383"/>
      <c r="O1311" s="384"/>
      <c r="P1311" s="384"/>
      <c r="Q1311" s="383"/>
      <c r="R1311" s="383"/>
      <c r="S1311" s="385"/>
      <c r="T1311" s="380"/>
      <c r="U1311" s="380"/>
      <c r="V1311" s="380"/>
      <c r="W1311" s="380"/>
      <c r="X1311" s="380"/>
    </row>
    <row r="1312" spans="1:24" ht="15.75" customHeight="1">
      <c r="A1312" s="463"/>
      <c r="B1312" s="380"/>
      <c r="C1312" s="381"/>
      <c r="D1312" s="381"/>
      <c r="E1312" s="381"/>
      <c r="F1312" s="381"/>
      <c r="G1312" s="381"/>
      <c r="H1312" s="381"/>
      <c r="I1312" s="381"/>
      <c r="J1312" s="381"/>
      <c r="K1312" s="382"/>
      <c r="L1312" s="380"/>
      <c r="M1312" s="413"/>
      <c r="N1312" s="383"/>
      <c r="O1312" s="384"/>
      <c r="P1312" s="384"/>
      <c r="Q1312" s="383"/>
      <c r="R1312" s="383"/>
      <c r="S1312" s="385"/>
      <c r="T1312" s="380"/>
      <c r="U1312" s="380"/>
      <c r="V1312" s="380"/>
      <c r="W1312" s="380"/>
      <c r="X1312" s="380"/>
    </row>
    <row r="1313" spans="1:24" ht="15.75" customHeight="1">
      <c r="A1313" s="463"/>
      <c r="B1313" s="380"/>
      <c r="C1313" s="381"/>
      <c r="D1313" s="381"/>
      <c r="E1313" s="381"/>
      <c r="F1313" s="381"/>
      <c r="G1313" s="381"/>
      <c r="H1313" s="381"/>
      <c r="I1313" s="381"/>
      <c r="J1313" s="381"/>
      <c r="K1313" s="382"/>
      <c r="L1313" s="380"/>
      <c r="M1313" s="413"/>
      <c r="N1313" s="383"/>
      <c r="O1313" s="384"/>
      <c r="P1313" s="384"/>
      <c r="Q1313" s="383"/>
      <c r="R1313" s="383"/>
      <c r="S1313" s="385"/>
      <c r="T1313" s="380"/>
      <c r="U1313" s="380"/>
      <c r="V1313" s="380"/>
      <c r="W1313" s="380"/>
      <c r="X1313" s="380"/>
    </row>
    <row r="1314" spans="1:24" ht="15.75" customHeight="1">
      <c r="A1314" s="463"/>
      <c r="B1314" s="380"/>
      <c r="C1314" s="381"/>
      <c r="D1314" s="381"/>
      <c r="E1314" s="381"/>
      <c r="F1314" s="381"/>
      <c r="G1314" s="381"/>
      <c r="H1314" s="381"/>
      <c r="I1314" s="381"/>
      <c r="J1314" s="381"/>
      <c r="K1314" s="382"/>
      <c r="L1314" s="380"/>
      <c r="M1314" s="413"/>
      <c r="N1314" s="383"/>
      <c r="O1314" s="384"/>
      <c r="P1314" s="384"/>
      <c r="Q1314" s="383"/>
      <c r="R1314" s="383"/>
      <c r="S1314" s="385"/>
      <c r="T1314" s="380"/>
      <c r="U1314" s="380"/>
      <c r="V1314" s="380"/>
      <c r="W1314" s="380"/>
      <c r="X1314" s="380"/>
    </row>
    <row r="1315" spans="1:24" ht="15.75" customHeight="1">
      <c r="A1315" s="463"/>
      <c r="B1315" s="380"/>
      <c r="C1315" s="381"/>
      <c r="D1315" s="381"/>
      <c r="E1315" s="381"/>
      <c r="F1315" s="381"/>
      <c r="G1315" s="381"/>
      <c r="H1315" s="381"/>
      <c r="I1315" s="381"/>
      <c r="J1315" s="381"/>
      <c r="K1315" s="382"/>
      <c r="L1315" s="380"/>
      <c r="M1315" s="413"/>
      <c r="N1315" s="383"/>
      <c r="O1315" s="384"/>
      <c r="P1315" s="384"/>
      <c r="Q1315" s="383"/>
      <c r="R1315" s="383"/>
      <c r="S1315" s="385"/>
      <c r="T1315" s="380"/>
      <c r="U1315" s="380"/>
      <c r="V1315" s="380"/>
      <c r="W1315" s="380"/>
      <c r="X1315" s="380"/>
    </row>
    <row r="1316" spans="1:24" ht="15.75" customHeight="1">
      <c r="A1316" s="463"/>
      <c r="B1316" s="380"/>
      <c r="C1316" s="381"/>
      <c r="D1316" s="381"/>
      <c r="E1316" s="381"/>
      <c r="F1316" s="381"/>
      <c r="G1316" s="381"/>
      <c r="H1316" s="381"/>
      <c r="I1316" s="381"/>
      <c r="J1316" s="381"/>
      <c r="K1316" s="382"/>
      <c r="L1316" s="380"/>
      <c r="M1316" s="413"/>
      <c r="N1316" s="383"/>
      <c r="O1316" s="384"/>
      <c r="P1316" s="384"/>
      <c r="Q1316" s="383"/>
      <c r="R1316" s="383"/>
      <c r="S1316" s="385"/>
      <c r="T1316" s="380"/>
      <c r="U1316" s="380"/>
      <c r="V1316" s="380"/>
      <c r="W1316" s="380"/>
      <c r="X1316" s="380"/>
    </row>
    <row r="1317" spans="1:24" ht="15.75" customHeight="1">
      <c r="A1317" s="463"/>
      <c r="B1317" s="380"/>
      <c r="C1317" s="381"/>
      <c r="D1317" s="381"/>
      <c r="E1317" s="381"/>
      <c r="F1317" s="381"/>
      <c r="G1317" s="381"/>
      <c r="H1317" s="381"/>
      <c r="I1317" s="381"/>
      <c r="J1317" s="381"/>
      <c r="K1317" s="382"/>
      <c r="L1317" s="380"/>
      <c r="M1317" s="413"/>
      <c r="N1317" s="383"/>
      <c r="O1317" s="384"/>
      <c r="P1317" s="384"/>
      <c r="Q1317" s="383"/>
      <c r="R1317" s="383"/>
      <c r="S1317" s="385"/>
      <c r="T1317" s="380"/>
      <c r="U1317" s="380"/>
      <c r="V1317" s="380"/>
      <c r="W1317" s="380"/>
      <c r="X1317" s="380"/>
    </row>
    <row r="1318" spans="1:24" ht="15.75" customHeight="1">
      <c r="A1318" s="463"/>
      <c r="B1318" s="380"/>
      <c r="C1318" s="381"/>
      <c r="D1318" s="381"/>
      <c r="E1318" s="381"/>
      <c r="F1318" s="381"/>
      <c r="G1318" s="381"/>
      <c r="H1318" s="381"/>
      <c r="I1318" s="381"/>
      <c r="J1318" s="381"/>
      <c r="K1318" s="382"/>
      <c r="L1318" s="380"/>
      <c r="M1318" s="413"/>
      <c r="N1318" s="383"/>
      <c r="O1318" s="384"/>
      <c r="P1318" s="384"/>
      <c r="Q1318" s="383"/>
      <c r="R1318" s="383"/>
      <c r="S1318" s="385"/>
      <c r="T1318" s="380"/>
      <c r="U1318" s="380"/>
      <c r="V1318" s="380"/>
      <c r="W1318" s="380"/>
      <c r="X1318" s="380"/>
    </row>
    <row r="1319" spans="1:24" ht="15.75" customHeight="1">
      <c r="A1319" s="463"/>
      <c r="B1319" s="380"/>
      <c r="C1319" s="381"/>
      <c r="D1319" s="381"/>
      <c r="E1319" s="381"/>
      <c r="F1319" s="381"/>
      <c r="G1319" s="381"/>
      <c r="H1319" s="381"/>
      <c r="I1319" s="381"/>
      <c r="J1319" s="381"/>
      <c r="K1319" s="382"/>
      <c r="L1319" s="380"/>
      <c r="M1319" s="413"/>
      <c r="N1319" s="383"/>
      <c r="O1319" s="384"/>
      <c r="P1319" s="384"/>
      <c r="Q1319" s="383"/>
      <c r="R1319" s="383"/>
      <c r="S1319" s="385"/>
      <c r="T1319" s="380"/>
      <c r="U1319" s="380"/>
      <c r="V1319" s="380"/>
      <c r="W1319" s="380"/>
      <c r="X1319" s="380"/>
    </row>
    <row r="1320" spans="1:24" ht="15.75" customHeight="1">
      <c r="A1320" s="463"/>
      <c r="B1320" s="380"/>
      <c r="C1320" s="381"/>
      <c r="D1320" s="381"/>
      <c r="E1320" s="381"/>
      <c r="F1320" s="381"/>
      <c r="G1320" s="381"/>
      <c r="H1320" s="381"/>
      <c r="I1320" s="381"/>
      <c r="J1320" s="381"/>
      <c r="K1320" s="382"/>
      <c r="L1320" s="380"/>
      <c r="M1320" s="413"/>
      <c r="N1320" s="383"/>
      <c r="O1320" s="384"/>
      <c r="P1320" s="384"/>
      <c r="Q1320" s="383"/>
      <c r="R1320" s="383"/>
      <c r="S1320" s="385"/>
      <c r="T1320" s="380"/>
      <c r="U1320" s="380"/>
      <c r="V1320" s="380"/>
      <c r="W1320" s="380"/>
      <c r="X1320" s="380"/>
    </row>
    <row r="1321" spans="1:24" ht="15.75" customHeight="1">
      <c r="A1321" s="463"/>
      <c r="B1321" s="380"/>
      <c r="C1321" s="381"/>
      <c r="D1321" s="381"/>
      <c r="E1321" s="381"/>
      <c r="F1321" s="381"/>
      <c r="G1321" s="381"/>
      <c r="H1321" s="381"/>
      <c r="I1321" s="381"/>
      <c r="J1321" s="381"/>
      <c r="K1321" s="382"/>
      <c r="L1321" s="380"/>
      <c r="M1321" s="413"/>
      <c r="N1321" s="383"/>
      <c r="O1321" s="384"/>
      <c r="P1321" s="384"/>
      <c r="Q1321" s="383"/>
      <c r="R1321" s="383"/>
      <c r="S1321" s="385"/>
      <c r="T1321" s="380"/>
      <c r="U1321" s="380"/>
      <c r="V1321" s="380"/>
      <c r="W1321" s="380"/>
      <c r="X1321" s="380"/>
    </row>
    <row r="1322" spans="1:24" ht="15.75" customHeight="1">
      <c r="A1322" s="463"/>
      <c r="B1322" s="380"/>
      <c r="C1322" s="381"/>
      <c r="D1322" s="381"/>
      <c r="E1322" s="381"/>
      <c r="F1322" s="381"/>
      <c r="G1322" s="381"/>
      <c r="H1322" s="381"/>
      <c r="I1322" s="381"/>
      <c r="J1322" s="381"/>
      <c r="K1322" s="382"/>
      <c r="L1322" s="380"/>
      <c r="M1322" s="413"/>
      <c r="N1322" s="383"/>
      <c r="O1322" s="384"/>
      <c r="P1322" s="384"/>
      <c r="Q1322" s="383"/>
      <c r="R1322" s="383"/>
      <c r="S1322" s="385"/>
      <c r="T1322" s="380"/>
      <c r="U1322" s="380"/>
      <c r="V1322" s="380"/>
      <c r="W1322" s="380"/>
      <c r="X1322" s="380"/>
    </row>
    <row r="1323" spans="1:24" ht="15.75" customHeight="1">
      <c r="A1323" s="463"/>
      <c r="B1323" s="380"/>
      <c r="C1323" s="381"/>
      <c r="D1323" s="381"/>
      <c r="E1323" s="381"/>
      <c r="F1323" s="381"/>
      <c r="G1323" s="381"/>
      <c r="H1323" s="381"/>
      <c r="I1323" s="381"/>
      <c r="J1323" s="381"/>
      <c r="K1323" s="382"/>
      <c r="L1323" s="380"/>
      <c r="M1323" s="413"/>
      <c r="N1323" s="383"/>
      <c r="O1323" s="384"/>
      <c r="P1323" s="384"/>
      <c r="Q1323" s="383"/>
      <c r="R1323" s="383"/>
      <c r="S1323" s="385"/>
      <c r="T1323" s="380"/>
      <c r="U1323" s="380"/>
      <c r="V1323" s="380"/>
      <c r="W1323" s="380"/>
      <c r="X1323" s="380"/>
    </row>
    <row r="1324" spans="1:24" ht="15.75" customHeight="1">
      <c r="A1324" s="463"/>
      <c r="B1324" s="380"/>
      <c r="C1324" s="381"/>
      <c r="D1324" s="381"/>
      <c r="E1324" s="381"/>
      <c r="F1324" s="381"/>
      <c r="G1324" s="381"/>
      <c r="H1324" s="381"/>
      <c r="I1324" s="381"/>
      <c r="J1324" s="381"/>
      <c r="K1324" s="382"/>
      <c r="L1324" s="380"/>
      <c r="M1324" s="413"/>
      <c r="N1324" s="383"/>
      <c r="O1324" s="384"/>
      <c r="P1324" s="384"/>
      <c r="Q1324" s="383"/>
      <c r="R1324" s="383"/>
      <c r="S1324" s="385"/>
      <c r="T1324" s="380"/>
      <c r="U1324" s="380"/>
      <c r="V1324" s="380"/>
      <c r="W1324" s="380"/>
      <c r="X1324" s="380"/>
    </row>
    <row r="1325" spans="1:24" ht="15.75" customHeight="1">
      <c r="A1325" s="463"/>
      <c r="B1325" s="380"/>
      <c r="C1325" s="381"/>
      <c r="D1325" s="381"/>
      <c r="E1325" s="381"/>
      <c r="F1325" s="381"/>
      <c r="G1325" s="381"/>
      <c r="H1325" s="381"/>
      <c r="I1325" s="381"/>
      <c r="J1325" s="381"/>
      <c r="K1325" s="382"/>
      <c r="L1325" s="380"/>
      <c r="M1325" s="413"/>
      <c r="N1325" s="383"/>
      <c r="O1325" s="384"/>
      <c r="P1325" s="384"/>
      <c r="Q1325" s="383"/>
      <c r="R1325" s="383"/>
      <c r="S1325" s="385"/>
      <c r="T1325" s="380"/>
      <c r="U1325" s="380"/>
      <c r="V1325" s="380"/>
      <c r="W1325" s="380"/>
      <c r="X1325" s="380"/>
    </row>
    <row r="1326" spans="1:24" ht="15.75" customHeight="1">
      <c r="A1326" s="463"/>
      <c r="B1326" s="380"/>
      <c r="C1326" s="381"/>
      <c r="D1326" s="381"/>
      <c r="E1326" s="381"/>
      <c r="F1326" s="381"/>
      <c r="G1326" s="381"/>
      <c r="H1326" s="381"/>
      <c r="I1326" s="381"/>
      <c r="J1326" s="381"/>
      <c r="K1326" s="382"/>
      <c r="L1326" s="380"/>
      <c r="M1326" s="413"/>
      <c r="N1326" s="383"/>
      <c r="O1326" s="384"/>
      <c r="P1326" s="384"/>
      <c r="Q1326" s="383"/>
      <c r="R1326" s="383"/>
      <c r="S1326" s="385"/>
      <c r="T1326" s="380"/>
      <c r="U1326" s="380"/>
      <c r="V1326" s="380"/>
      <c r="W1326" s="380"/>
      <c r="X1326" s="380"/>
    </row>
    <row r="1327" spans="1:24" ht="15.75" customHeight="1">
      <c r="A1327" s="463"/>
      <c r="B1327" s="380"/>
      <c r="C1327" s="381"/>
      <c r="D1327" s="381"/>
      <c r="E1327" s="381"/>
      <c r="F1327" s="381"/>
      <c r="G1327" s="381"/>
      <c r="H1327" s="381"/>
      <c r="I1327" s="381"/>
      <c r="J1327" s="381"/>
      <c r="K1327" s="382"/>
      <c r="L1327" s="380"/>
      <c r="M1327" s="413"/>
      <c r="N1327" s="383"/>
      <c r="O1327" s="384"/>
      <c r="P1327" s="384"/>
      <c r="Q1327" s="383"/>
      <c r="R1327" s="383"/>
      <c r="S1327" s="385"/>
      <c r="T1327" s="380"/>
      <c r="U1327" s="380"/>
      <c r="V1327" s="380"/>
      <c r="W1327" s="380"/>
      <c r="X1327" s="380"/>
    </row>
    <row r="1328" spans="1:24" ht="15.75" customHeight="1">
      <c r="A1328" s="463"/>
      <c r="B1328" s="380"/>
      <c r="C1328" s="381"/>
      <c r="D1328" s="381"/>
      <c r="E1328" s="381"/>
      <c r="F1328" s="381"/>
      <c r="G1328" s="381"/>
      <c r="H1328" s="381"/>
      <c r="I1328" s="381"/>
      <c r="J1328" s="381"/>
      <c r="K1328" s="382"/>
      <c r="L1328" s="380"/>
      <c r="M1328" s="413"/>
      <c r="N1328" s="383"/>
      <c r="O1328" s="384"/>
      <c r="P1328" s="384"/>
      <c r="Q1328" s="383"/>
      <c r="R1328" s="383"/>
      <c r="S1328" s="385"/>
      <c r="T1328" s="380"/>
      <c r="U1328" s="380"/>
      <c r="V1328" s="380"/>
      <c r="W1328" s="380"/>
      <c r="X1328" s="380"/>
    </row>
    <row r="1329" spans="1:24" ht="15.75" customHeight="1">
      <c r="A1329" s="463"/>
      <c r="B1329" s="380"/>
      <c r="C1329" s="381"/>
      <c r="D1329" s="381"/>
      <c r="E1329" s="381"/>
      <c r="F1329" s="381"/>
      <c r="G1329" s="381"/>
      <c r="H1329" s="381"/>
      <c r="I1329" s="381"/>
      <c r="J1329" s="381"/>
      <c r="K1329" s="382"/>
      <c r="L1329" s="380"/>
      <c r="M1329" s="413"/>
      <c r="N1329" s="383"/>
      <c r="O1329" s="384"/>
      <c r="P1329" s="384"/>
      <c r="Q1329" s="383"/>
      <c r="R1329" s="383"/>
      <c r="S1329" s="385"/>
      <c r="T1329" s="380"/>
      <c r="U1329" s="380"/>
      <c r="V1329" s="380"/>
      <c r="W1329" s="380"/>
      <c r="X1329" s="380"/>
    </row>
    <row r="1330" spans="1:24" ht="15.75" customHeight="1">
      <c r="A1330" s="463"/>
      <c r="B1330" s="380"/>
      <c r="C1330" s="381"/>
      <c r="D1330" s="381"/>
      <c r="E1330" s="381"/>
      <c r="F1330" s="381"/>
      <c r="G1330" s="381"/>
      <c r="H1330" s="381"/>
      <c r="I1330" s="381"/>
      <c r="J1330" s="381"/>
      <c r="K1330" s="382"/>
      <c r="L1330" s="380"/>
      <c r="M1330" s="413"/>
      <c r="N1330" s="383"/>
      <c r="O1330" s="384"/>
      <c r="P1330" s="384"/>
      <c r="Q1330" s="383"/>
      <c r="R1330" s="383"/>
      <c r="S1330" s="385"/>
      <c r="T1330" s="380"/>
      <c r="U1330" s="380"/>
      <c r="V1330" s="380"/>
      <c r="W1330" s="380"/>
      <c r="X1330" s="380"/>
    </row>
    <row r="1331" spans="1:24" ht="15.75" customHeight="1">
      <c r="A1331" s="463"/>
      <c r="B1331" s="380"/>
      <c r="C1331" s="381"/>
      <c r="D1331" s="381"/>
      <c r="E1331" s="381"/>
      <c r="F1331" s="381"/>
      <c r="G1331" s="381"/>
      <c r="H1331" s="381"/>
      <c r="I1331" s="381"/>
      <c r="J1331" s="381"/>
      <c r="K1331" s="382"/>
      <c r="L1331" s="380"/>
      <c r="M1331" s="413"/>
      <c r="N1331" s="383"/>
      <c r="O1331" s="384"/>
      <c r="P1331" s="384"/>
      <c r="Q1331" s="383"/>
      <c r="R1331" s="383"/>
      <c r="S1331" s="385"/>
      <c r="T1331" s="380"/>
      <c r="U1331" s="380"/>
      <c r="V1331" s="380"/>
      <c r="W1331" s="380"/>
      <c r="X1331" s="380"/>
    </row>
    <row r="1332" spans="1:24" ht="15.75" customHeight="1">
      <c r="A1332" s="463"/>
      <c r="B1332" s="380"/>
      <c r="C1332" s="381"/>
      <c r="D1332" s="381"/>
      <c r="E1332" s="381"/>
      <c r="F1332" s="381"/>
      <c r="G1332" s="381"/>
      <c r="H1332" s="381"/>
      <c r="I1332" s="381"/>
      <c r="J1332" s="381"/>
      <c r="K1332" s="382"/>
      <c r="L1332" s="380"/>
      <c r="M1332" s="413"/>
      <c r="N1332" s="383"/>
      <c r="O1332" s="384"/>
      <c r="P1332" s="384"/>
      <c r="Q1332" s="383"/>
      <c r="R1332" s="383"/>
      <c r="S1332" s="385"/>
      <c r="T1332" s="380"/>
      <c r="U1332" s="380"/>
      <c r="V1332" s="380"/>
      <c r="W1332" s="380"/>
      <c r="X1332" s="380"/>
    </row>
    <row r="1333" spans="1:24" ht="15.75" customHeight="1">
      <c r="A1333" s="463"/>
      <c r="B1333" s="380"/>
      <c r="C1333" s="381"/>
      <c r="D1333" s="381"/>
      <c r="E1333" s="381"/>
      <c r="F1333" s="381"/>
      <c r="G1333" s="381"/>
      <c r="H1333" s="381"/>
      <c r="I1333" s="381"/>
      <c r="J1333" s="381"/>
      <c r="K1333" s="382"/>
      <c r="L1333" s="380"/>
      <c r="M1333" s="413"/>
      <c r="N1333" s="383"/>
      <c r="O1333" s="384"/>
      <c r="P1333" s="384"/>
      <c r="Q1333" s="383"/>
      <c r="R1333" s="383"/>
      <c r="S1333" s="385"/>
      <c r="T1333" s="380"/>
      <c r="U1333" s="380"/>
      <c r="V1333" s="380"/>
      <c r="W1333" s="380"/>
      <c r="X1333" s="380"/>
    </row>
    <row r="1334" spans="1:24" ht="15.75" customHeight="1">
      <c r="A1334" s="463"/>
      <c r="B1334" s="380"/>
      <c r="C1334" s="381"/>
      <c r="D1334" s="381"/>
      <c r="E1334" s="381"/>
      <c r="F1334" s="381"/>
      <c r="G1334" s="381"/>
      <c r="H1334" s="381"/>
      <c r="I1334" s="381"/>
      <c r="J1334" s="381"/>
      <c r="K1334" s="382"/>
      <c r="L1334" s="380"/>
      <c r="M1334" s="413"/>
      <c r="N1334" s="383"/>
      <c r="O1334" s="384"/>
      <c r="P1334" s="384"/>
      <c r="Q1334" s="383"/>
      <c r="R1334" s="383"/>
      <c r="S1334" s="385"/>
      <c r="T1334" s="380"/>
      <c r="U1334" s="380"/>
      <c r="V1334" s="380"/>
      <c r="W1334" s="380"/>
      <c r="X1334" s="380"/>
    </row>
    <row r="1335" spans="1:24" ht="15.75" customHeight="1">
      <c r="A1335" s="463"/>
      <c r="B1335" s="380"/>
      <c r="C1335" s="381"/>
      <c r="D1335" s="381"/>
      <c r="E1335" s="381"/>
      <c r="F1335" s="381"/>
      <c r="G1335" s="381"/>
      <c r="H1335" s="381"/>
      <c r="I1335" s="381"/>
      <c r="J1335" s="381"/>
      <c r="K1335" s="382"/>
      <c r="L1335" s="380"/>
      <c r="M1335" s="413"/>
      <c r="N1335" s="383"/>
      <c r="O1335" s="384"/>
      <c r="P1335" s="384"/>
      <c r="Q1335" s="383"/>
      <c r="R1335" s="383"/>
      <c r="S1335" s="385"/>
      <c r="T1335" s="380"/>
      <c r="U1335" s="380"/>
      <c r="V1335" s="380"/>
      <c r="W1335" s="380"/>
      <c r="X1335" s="380"/>
    </row>
    <row r="1336" spans="1:24" ht="15.75" customHeight="1">
      <c r="A1336" s="463"/>
      <c r="B1336" s="380"/>
      <c r="C1336" s="381"/>
      <c r="D1336" s="381"/>
      <c r="E1336" s="381"/>
      <c r="F1336" s="381"/>
      <c r="G1336" s="381"/>
      <c r="H1336" s="381"/>
      <c r="I1336" s="381"/>
      <c r="J1336" s="381"/>
      <c r="K1336" s="382"/>
      <c r="L1336" s="380"/>
      <c r="M1336" s="413"/>
      <c r="N1336" s="383"/>
      <c r="O1336" s="384"/>
      <c r="P1336" s="384"/>
      <c r="Q1336" s="383"/>
      <c r="R1336" s="383"/>
      <c r="S1336" s="385"/>
      <c r="T1336" s="380"/>
      <c r="U1336" s="380"/>
      <c r="V1336" s="380"/>
      <c r="W1336" s="380"/>
      <c r="X1336" s="380"/>
    </row>
    <row r="1337" spans="1:24" ht="15.75" customHeight="1">
      <c r="A1337" s="463"/>
      <c r="B1337" s="380"/>
      <c r="C1337" s="381"/>
      <c r="D1337" s="381"/>
      <c r="E1337" s="381"/>
      <c r="F1337" s="381"/>
      <c r="G1337" s="381"/>
      <c r="H1337" s="381"/>
      <c r="I1337" s="381"/>
      <c r="J1337" s="381"/>
      <c r="K1337" s="382"/>
      <c r="L1337" s="380"/>
      <c r="M1337" s="413"/>
      <c r="N1337" s="383"/>
      <c r="O1337" s="384"/>
      <c r="P1337" s="384"/>
      <c r="Q1337" s="383"/>
      <c r="R1337" s="383"/>
      <c r="S1337" s="385"/>
      <c r="T1337" s="380"/>
      <c r="U1337" s="380"/>
      <c r="V1337" s="380"/>
      <c r="W1337" s="380"/>
      <c r="X1337" s="380"/>
    </row>
    <row r="1338" spans="1:24" ht="15.75" customHeight="1">
      <c r="A1338" s="463"/>
      <c r="B1338" s="380"/>
      <c r="C1338" s="381"/>
      <c r="D1338" s="381"/>
      <c r="E1338" s="381"/>
      <c r="F1338" s="381"/>
      <c r="G1338" s="381"/>
      <c r="H1338" s="381"/>
      <c r="I1338" s="381"/>
      <c r="J1338" s="381"/>
      <c r="K1338" s="382"/>
      <c r="L1338" s="380"/>
      <c r="M1338" s="413"/>
      <c r="N1338" s="383"/>
      <c r="O1338" s="384"/>
      <c r="P1338" s="384"/>
      <c r="Q1338" s="383"/>
      <c r="R1338" s="383"/>
      <c r="S1338" s="385"/>
      <c r="T1338" s="380"/>
      <c r="U1338" s="380"/>
      <c r="V1338" s="380"/>
      <c r="W1338" s="380"/>
      <c r="X1338" s="380"/>
    </row>
    <row r="1339" spans="1:24" ht="15.75" customHeight="1">
      <c r="A1339" s="463"/>
      <c r="B1339" s="380"/>
      <c r="C1339" s="381"/>
      <c r="D1339" s="381"/>
      <c r="E1339" s="381"/>
      <c r="F1339" s="381"/>
      <c r="G1339" s="381"/>
      <c r="H1339" s="381"/>
      <c r="I1339" s="381"/>
      <c r="J1339" s="381"/>
      <c r="K1339" s="382"/>
      <c r="L1339" s="380"/>
      <c r="M1339" s="413"/>
      <c r="N1339" s="383"/>
      <c r="O1339" s="384"/>
      <c r="P1339" s="384"/>
      <c r="Q1339" s="383"/>
      <c r="R1339" s="383"/>
      <c r="S1339" s="385"/>
      <c r="T1339" s="380"/>
      <c r="U1339" s="380"/>
      <c r="V1339" s="380"/>
      <c r="W1339" s="380"/>
      <c r="X1339" s="380"/>
    </row>
    <row r="1340" spans="1:24" ht="15.75" customHeight="1">
      <c r="A1340" s="463"/>
      <c r="B1340" s="380"/>
      <c r="C1340" s="381"/>
      <c r="D1340" s="381"/>
      <c r="E1340" s="381"/>
      <c r="F1340" s="381"/>
      <c r="G1340" s="381"/>
      <c r="H1340" s="381"/>
      <c r="I1340" s="381"/>
      <c r="J1340" s="381"/>
      <c r="K1340" s="382"/>
      <c r="L1340" s="380"/>
      <c r="M1340" s="413"/>
      <c r="N1340" s="383"/>
      <c r="O1340" s="384"/>
      <c r="P1340" s="384"/>
      <c r="Q1340" s="383"/>
      <c r="R1340" s="383"/>
      <c r="S1340" s="385"/>
      <c r="T1340" s="380"/>
      <c r="U1340" s="380"/>
      <c r="V1340" s="380"/>
      <c r="W1340" s="380"/>
      <c r="X1340" s="380"/>
    </row>
    <row r="1341" spans="1:24" ht="15.75" customHeight="1">
      <c r="A1341" s="463"/>
      <c r="B1341" s="380"/>
      <c r="C1341" s="381"/>
      <c r="D1341" s="381"/>
      <c r="E1341" s="381"/>
      <c r="F1341" s="381"/>
      <c r="G1341" s="381"/>
      <c r="H1341" s="381"/>
      <c r="I1341" s="381"/>
      <c r="J1341" s="381"/>
      <c r="K1341" s="382"/>
      <c r="L1341" s="380"/>
      <c r="M1341" s="413"/>
      <c r="N1341" s="383"/>
      <c r="O1341" s="384"/>
      <c r="P1341" s="384"/>
      <c r="Q1341" s="383"/>
      <c r="R1341" s="383"/>
      <c r="S1341" s="385"/>
      <c r="T1341" s="380"/>
      <c r="U1341" s="380"/>
      <c r="V1341" s="380"/>
      <c r="W1341" s="380"/>
      <c r="X1341" s="380"/>
    </row>
    <row r="1342" spans="1:24" ht="15.75" customHeight="1">
      <c r="A1342" s="463"/>
      <c r="B1342" s="380"/>
      <c r="C1342" s="381"/>
      <c r="D1342" s="381"/>
      <c r="E1342" s="381"/>
      <c r="F1342" s="381"/>
      <c r="G1342" s="381"/>
      <c r="H1342" s="381"/>
      <c r="I1342" s="381"/>
      <c r="J1342" s="381"/>
      <c r="K1342" s="382"/>
      <c r="L1342" s="380"/>
      <c r="M1342" s="413"/>
      <c r="N1342" s="383"/>
      <c r="O1342" s="384"/>
      <c r="P1342" s="384"/>
      <c r="Q1342" s="383"/>
      <c r="R1342" s="383"/>
      <c r="S1342" s="385"/>
      <c r="T1342" s="380"/>
      <c r="U1342" s="380"/>
      <c r="V1342" s="380"/>
      <c r="W1342" s="380"/>
      <c r="X1342" s="380"/>
    </row>
    <row r="1343" spans="1:24" ht="15.75" customHeight="1">
      <c r="A1343" s="463"/>
      <c r="B1343" s="380"/>
      <c r="C1343" s="381"/>
      <c r="D1343" s="381"/>
      <c r="E1343" s="381"/>
      <c r="F1343" s="381"/>
      <c r="G1343" s="381"/>
      <c r="H1343" s="381"/>
      <c r="I1343" s="381"/>
      <c r="J1343" s="381"/>
      <c r="K1343" s="382"/>
      <c r="L1343" s="380"/>
      <c r="M1343" s="413"/>
      <c r="N1343" s="383"/>
      <c r="O1343" s="384"/>
      <c r="P1343" s="384"/>
      <c r="Q1343" s="383"/>
      <c r="R1343" s="383"/>
      <c r="S1343" s="385"/>
      <c r="T1343" s="380"/>
      <c r="U1343" s="380"/>
      <c r="V1343" s="380"/>
      <c r="W1343" s="380"/>
      <c r="X1343" s="380"/>
    </row>
    <row r="1344" spans="1:24" ht="15.75" customHeight="1">
      <c r="A1344" s="463"/>
      <c r="B1344" s="380"/>
      <c r="C1344" s="381"/>
      <c r="D1344" s="381"/>
      <c r="E1344" s="381"/>
      <c r="F1344" s="381"/>
      <c r="G1344" s="381"/>
      <c r="H1344" s="381"/>
      <c r="I1344" s="381"/>
      <c r="J1344" s="381"/>
      <c r="K1344" s="382"/>
      <c r="L1344" s="380"/>
      <c r="M1344" s="413"/>
      <c r="N1344" s="383"/>
      <c r="O1344" s="384"/>
      <c r="P1344" s="384"/>
      <c r="Q1344" s="383"/>
      <c r="R1344" s="383"/>
      <c r="S1344" s="385"/>
      <c r="T1344" s="380"/>
      <c r="U1344" s="380"/>
      <c r="V1344" s="380"/>
      <c r="W1344" s="380"/>
      <c r="X1344" s="380"/>
    </row>
    <row r="1345" spans="1:24" ht="15.75" customHeight="1">
      <c r="A1345" s="463"/>
      <c r="B1345" s="380"/>
      <c r="C1345" s="381"/>
      <c r="D1345" s="381"/>
      <c r="E1345" s="381"/>
      <c r="F1345" s="381"/>
      <c r="G1345" s="381"/>
      <c r="H1345" s="381"/>
      <c r="I1345" s="381"/>
      <c r="J1345" s="381"/>
      <c r="K1345" s="382"/>
      <c r="L1345" s="380"/>
      <c r="M1345" s="413"/>
      <c r="N1345" s="383"/>
      <c r="O1345" s="384"/>
      <c r="P1345" s="384"/>
      <c r="Q1345" s="383"/>
      <c r="R1345" s="383"/>
      <c r="S1345" s="385"/>
      <c r="T1345" s="380"/>
      <c r="U1345" s="380"/>
      <c r="V1345" s="380"/>
      <c r="W1345" s="380"/>
      <c r="X1345" s="380"/>
    </row>
    <row r="1346" spans="1:24" ht="15.75" customHeight="1">
      <c r="A1346" s="463"/>
      <c r="B1346" s="380"/>
      <c r="C1346" s="381"/>
      <c r="D1346" s="381"/>
      <c r="E1346" s="381"/>
      <c r="F1346" s="381"/>
      <c r="G1346" s="381"/>
      <c r="H1346" s="381"/>
      <c r="I1346" s="381"/>
      <c r="J1346" s="381"/>
      <c r="K1346" s="382"/>
      <c r="L1346" s="380"/>
      <c r="M1346" s="413"/>
      <c r="N1346" s="383"/>
      <c r="O1346" s="384"/>
      <c r="P1346" s="384"/>
      <c r="Q1346" s="383"/>
      <c r="R1346" s="383"/>
      <c r="S1346" s="385"/>
      <c r="T1346" s="380"/>
      <c r="U1346" s="380"/>
      <c r="V1346" s="380"/>
      <c r="W1346" s="380"/>
      <c r="X1346" s="380"/>
    </row>
    <row r="1347" spans="1:24" ht="15.75" customHeight="1">
      <c r="A1347" s="463"/>
      <c r="B1347" s="380"/>
      <c r="C1347" s="381"/>
      <c r="D1347" s="381"/>
      <c r="E1347" s="381"/>
      <c r="F1347" s="381"/>
      <c r="G1347" s="381"/>
      <c r="H1347" s="381"/>
      <c r="I1347" s="381"/>
      <c r="J1347" s="381"/>
      <c r="K1347" s="382"/>
      <c r="L1347" s="380"/>
      <c r="M1347" s="413"/>
      <c r="N1347" s="383"/>
      <c r="O1347" s="384"/>
      <c r="P1347" s="384"/>
      <c r="Q1347" s="383"/>
      <c r="R1347" s="383"/>
      <c r="S1347" s="385"/>
      <c r="T1347" s="380"/>
      <c r="U1347" s="380"/>
      <c r="V1347" s="380"/>
      <c r="W1347" s="380"/>
      <c r="X1347" s="380"/>
    </row>
    <row r="1348" spans="1:24" ht="15.75" customHeight="1">
      <c r="A1348" s="463"/>
      <c r="B1348" s="380"/>
      <c r="C1348" s="381"/>
      <c r="D1348" s="381"/>
      <c r="E1348" s="381"/>
      <c r="F1348" s="381"/>
      <c r="G1348" s="381"/>
      <c r="H1348" s="381"/>
      <c r="I1348" s="381"/>
      <c r="J1348" s="381"/>
      <c r="K1348" s="382"/>
      <c r="L1348" s="380"/>
      <c r="M1348" s="413"/>
      <c r="N1348" s="383"/>
      <c r="O1348" s="384"/>
      <c r="P1348" s="384"/>
      <c r="Q1348" s="383"/>
      <c r="R1348" s="383"/>
      <c r="S1348" s="385"/>
      <c r="T1348" s="380"/>
      <c r="U1348" s="380"/>
      <c r="V1348" s="380"/>
      <c r="W1348" s="380"/>
      <c r="X1348" s="380"/>
    </row>
    <row r="1349" spans="1:24" ht="15.75" customHeight="1">
      <c r="A1349" s="463"/>
      <c r="B1349" s="380"/>
      <c r="C1349" s="381"/>
      <c r="D1349" s="381"/>
      <c r="E1349" s="381"/>
      <c r="F1349" s="381"/>
      <c r="G1349" s="381"/>
      <c r="H1349" s="381"/>
      <c r="I1349" s="381"/>
      <c r="J1349" s="381"/>
      <c r="K1349" s="382"/>
      <c r="L1349" s="380"/>
      <c r="M1349" s="413"/>
      <c r="N1349" s="383"/>
      <c r="O1349" s="384"/>
      <c r="P1349" s="384"/>
      <c r="Q1349" s="383"/>
      <c r="R1349" s="383"/>
      <c r="S1349" s="385"/>
      <c r="T1349" s="380"/>
      <c r="U1349" s="380"/>
      <c r="V1349" s="380"/>
      <c r="W1349" s="380"/>
      <c r="X1349" s="380"/>
    </row>
    <row r="1350" spans="1:24" ht="15.75" customHeight="1">
      <c r="A1350" s="463"/>
      <c r="B1350" s="380"/>
      <c r="C1350" s="381"/>
      <c r="D1350" s="381"/>
      <c r="E1350" s="381"/>
      <c r="F1350" s="381"/>
      <c r="G1350" s="381"/>
      <c r="H1350" s="381"/>
      <c r="I1350" s="381"/>
      <c r="J1350" s="381"/>
      <c r="K1350" s="382"/>
      <c r="L1350" s="380"/>
      <c r="M1350" s="413"/>
      <c r="N1350" s="383"/>
      <c r="O1350" s="384"/>
      <c r="P1350" s="384"/>
      <c r="Q1350" s="383"/>
      <c r="R1350" s="383"/>
      <c r="S1350" s="385"/>
      <c r="T1350" s="380"/>
      <c r="U1350" s="380"/>
      <c r="V1350" s="380"/>
      <c r="W1350" s="380"/>
      <c r="X1350" s="380"/>
    </row>
    <row r="1351" spans="1:24" ht="15.75" customHeight="1">
      <c r="A1351" s="463"/>
      <c r="B1351" s="380"/>
      <c r="C1351" s="381"/>
      <c r="D1351" s="381"/>
      <c r="E1351" s="381"/>
      <c r="F1351" s="381"/>
      <c r="G1351" s="381"/>
      <c r="H1351" s="381"/>
      <c r="I1351" s="381"/>
      <c r="J1351" s="381"/>
      <c r="K1351" s="382"/>
      <c r="L1351" s="380"/>
      <c r="M1351" s="413"/>
      <c r="N1351" s="383"/>
      <c r="O1351" s="384"/>
      <c r="P1351" s="384"/>
      <c r="Q1351" s="383"/>
      <c r="R1351" s="383"/>
      <c r="S1351" s="385"/>
      <c r="T1351" s="380"/>
      <c r="U1351" s="380"/>
      <c r="V1351" s="380"/>
      <c r="W1351" s="380"/>
      <c r="X1351" s="380"/>
    </row>
    <row r="1352" spans="1:24" ht="15.75" customHeight="1">
      <c r="A1352" s="463"/>
      <c r="B1352" s="380"/>
      <c r="C1352" s="381"/>
      <c r="D1352" s="381"/>
      <c r="E1352" s="381"/>
      <c r="F1352" s="381"/>
      <c r="G1352" s="381"/>
      <c r="H1352" s="381"/>
      <c r="I1352" s="381"/>
      <c r="J1352" s="381"/>
      <c r="K1352" s="382"/>
      <c r="L1352" s="380"/>
      <c r="M1352" s="413"/>
      <c r="N1352" s="383"/>
      <c r="O1352" s="384"/>
      <c r="P1352" s="384"/>
      <c r="Q1352" s="383"/>
      <c r="R1352" s="383"/>
      <c r="S1352" s="385"/>
      <c r="T1352" s="380"/>
      <c r="U1352" s="380"/>
      <c r="V1352" s="380"/>
      <c r="W1352" s="380"/>
      <c r="X1352" s="380"/>
    </row>
    <row r="1353" spans="1:24" ht="15.75" customHeight="1">
      <c r="A1353" s="463"/>
      <c r="B1353" s="380"/>
      <c r="C1353" s="381"/>
      <c r="D1353" s="381"/>
      <c r="E1353" s="381"/>
      <c r="F1353" s="381"/>
      <c r="G1353" s="381"/>
      <c r="H1353" s="381"/>
      <c r="I1353" s="381"/>
      <c r="J1353" s="381"/>
      <c r="K1353" s="382"/>
      <c r="L1353" s="380"/>
      <c r="M1353" s="413"/>
      <c r="N1353" s="383"/>
      <c r="O1353" s="384"/>
      <c r="P1353" s="384"/>
      <c r="Q1353" s="383"/>
      <c r="R1353" s="383"/>
      <c r="S1353" s="385"/>
      <c r="T1353" s="380"/>
      <c r="U1353" s="380"/>
      <c r="V1353" s="380"/>
      <c r="W1353" s="380"/>
      <c r="X1353" s="380"/>
    </row>
    <row r="1354" spans="1:24" ht="15.75" customHeight="1">
      <c r="A1354" s="463"/>
      <c r="B1354" s="380"/>
      <c r="C1354" s="381"/>
      <c r="D1354" s="381"/>
      <c r="E1354" s="381"/>
      <c r="F1354" s="381"/>
      <c r="G1354" s="381"/>
      <c r="H1354" s="381"/>
      <c r="I1354" s="381"/>
      <c r="J1354" s="381"/>
      <c r="K1354" s="382"/>
      <c r="L1354" s="380"/>
      <c r="M1354" s="413"/>
      <c r="N1354" s="383"/>
      <c r="O1354" s="384"/>
      <c r="P1354" s="384"/>
      <c r="Q1354" s="383"/>
      <c r="R1354" s="383"/>
      <c r="S1354" s="385"/>
      <c r="T1354" s="380"/>
      <c r="U1354" s="380"/>
      <c r="V1354" s="380"/>
      <c r="W1354" s="380"/>
      <c r="X1354" s="380"/>
    </row>
    <row r="1355" spans="1:24" ht="15.75" customHeight="1">
      <c r="A1355" s="463"/>
      <c r="B1355" s="380"/>
      <c r="C1355" s="381"/>
      <c r="D1355" s="381"/>
      <c r="E1355" s="381"/>
      <c r="F1355" s="381"/>
      <c r="G1355" s="381"/>
      <c r="H1355" s="381"/>
      <c r="I1355" s="381"/>
      <c r="J1355" s="381"/>
      <c r="K1355" s="382"/>
      <c r="L1355" s="380"/>
      <c r="M1355" s="413"/>
      <c r="N1355" s="383"/>
      <c r="O1355" s="384"/>
      <c r="P1355" s="384"/>
      <c r="Q1355" s="383"/>
      <c r="R1355" s="383"/>
      <c r="S1355" s="385"/>
      <c r="T1355" s="380"/>
      <c r="U1355" s="380"/>
      <c r="V1355" s="380"/>
      <c r="W1355" s="380"/>
      <c r="X1355" s="380"/>
    </row>
    <row r="1356" spans="1:24" ht="15.75" customHeight="1">
      <c r="A1356" s="463"/>
      <c r="B1356" s="380"/>
      <c r="C1356" s="381"/>
      <c r="D1356" s="381"/>
      <c r="E1356" s="381"/>
      <c r="F1356" s="381"/>
      <c r="G1356" s="381"/>
      <c r="H1356" s="381"/>
      <c r="I1356" s="381"/>
      <c r="J1356" s="381"/>
      <c r="K1356" s="382"/>
      <c r="L1356" s="380"/>
      <c r="M1356" s="413"/>
      <c r="N1356" s="383"/>
      <c r="O1356" s="384"/>
      <c r="P1356" s="384"/>
      <c r="Q1356" s="383"/>
      <c r="R1356" s="383"/>
      <c r="S1356" s="385"/>
      <c r="T1356" s="380"/>
      <c r="U1356" s="380"/>
      <c r="V1356" s="380"/>
      <c r="W1356" s="380"/>
      <c r="X1356" s="380"/>
    </row>
    <row r="1357" spans="1:24" ht="15.75" customHeight="1">
      <c r="A1357" s="463"/>
      <c r="B1357" s="380"/>
      <c r="C1357" s="381"/>
      <c r="D1357" s="381"/>
      <c r="E1357" s="381"/>
      <c r="F1357" s="381"/>
      <c r="G1357" s="381"/>
      <c r="H1357" s="381"/>
      <c r="I1357" s="381"/>
      <c r="J1357" s="381"/>
      <c r="K1357" s="382"/>
      <c r="L1357" s="380"/>
      <c r="M1357" s="413"/>
      <c r="N1357" s="383"/>
      <c r="O1357" s="384"/>
      <c r="P1357" s="384"/>
      <c r="Q1357" s="383"/>
      <c r="R1357" s="383"/>
      <c r="S1357" s="385"/>
      <c r="T1357" s="380"/>
      <c r="U1357" s="380"/>
      <c r="V1357" s="380"/>
      <c r="W1357" s="380"/>
      <c r="X1357" s="380"/>
    </row>
    <row r="1358" spans="1:24" ht="15.75" customHeight="1">
      <c r="A1358" s="463"/>
      <c r="B1358" s="380"/>
      <c r="C1358" s="381"/>
      <c r="D1358" s="381"/>
      <c r="E1358" s="381"/>
      <c r="F1358" s="381"/>
      <c r="G1358" s="381"/>
      <c r="H1358" s="381"/>
      <c r="I1358" s="381"/>
      <c r="J1358" s="381"/>
      <c r="K1358" s="382"/>
      <c r="L1358" s="380"/>
      <c r="M1358" s="413"/>
      <c r="N1358" s="383"/>
      <c r="O1358" s="384"/>
      <c r="P1358" s="384"/>
      <c r="Q1358" s="383"/>
      <c r="R1358" s="383"/>
      <c r="S1358" s="385"/>
      <c r="T1358" s="380"/>
      <c r="U1358" s="380"/>
      <c r="V1358" s="380"/>
      <c r="W1358" s="380"/>
      <c r="X1358" s="380"/>
    </row>
    <row r="1359" spans="1:24" ht="15.75" customHeight="1">
      <c r="A1359" s="463"/>
      <c r="B1359" s="380"/>
      <c r="C1359" s="381"/>
      <c r="D1359" s="381"/>
      <c r="E1359" s="381"/>
      <c r="F1359" s="381"/>
      <c r="G1359" s="381"/>
      <c r="H1359" s="381"/>
      <c r="I1359" s="381"/>
      <c r="J1359" s="381"/>
      <c r="K1359" s="382"/>
      <c r="L1359" s="380"/>
      <c r="M1359" s="413"/>
      <c r="N1359" s="383"/>
      <c r="O1359" s="384"/>
      <c r="P1359" s="384"/>
      <c r="Q1359" s="383"/>
      <c r="R1359" s="383"/>
      <c r="S1359" s="385"/>
      <c r="T1359" s="380"/>
      <c r="U1359" s="380"/>
      <c r="V1359" s="380"/>
      <c r="W1359" s="380"/>
      <c r="X1359" s="380"/>
    </row>
    <row r="1360" spans="1:24" ht="15.75" customHeight="1">
      <c r="A1360" s="463"/>
      <c r="B1360" s="380"/>
      <c r="C1360" s="381"/>
      <c r="D1360" s="381"/>
      <c r="E1360" s="381"/>
      <c r="F1360" s="381"/>
      <c r="G1360" s="381"/>
      <c r="H1360" s="381"/>
      <c r="I1360" s="381"/>
      <c r="J1360" s="381"/>
      <c r="K1360" s="382"/>
      <c r="L1360" s="380"/>
      <c r="M1360" s="413"/>
      <c r="N1360" s="383"/>
      <c r="O1360" s="384"/>
      <c r="P1360" s="384"/>
      <c r="Q1360" s="383"/>
      <c r="R1360" s="383"/>
      <c r="S1360" s="385"/>
      <c r="T1360" s="380"/>
      <c r="U1360" s="380"/>
      <c r="V1360" s="380"/>
      <c r="W1360" s="380"/>
      <c r="X1360" s="380"/>
    </row>
    <row r="1361" spans="1:24" ht="15.75" customHeight="1">
      <c r="A1361" s="463"/>
      <c r="B1361" s="380"/>
      <c r="C1361" s="381"/>
      <c r="D1361" s="381"/>
      <c r="E1361" s="381"/>
      <c r="F1361" s="381"/>
      <c r="G1361" s="381"/>
      <c r="H1361" s="381"/>
      <c r="I1361" s="381"/>
      <c r="J1361" s="381"/>
      <c r="K1361" s="382"/>
      <c r="L1361" s="380"/>
      <c r="M1361" s="413"/>
      <c r="N1361" s="383"/>
      <c r="O1361" s="384"/>
      <c r="P1361" s="384"/>
      <c r="Q1361" s="383"/>
      <c r="R1361" s="383"/>
      <c r="S1361" s="385"/>
      <c r="T1361" s="380"/>
      <c r="U1361" s="380"/>
      <c r="V1361" s="380"/>
      <c r="W1361" s="380"/>
      <c r="X1361" s="380"/>
    </row>
    <row r="1362" spans="1:24" ht="15.75" customHeight="1">
      <c r="A1362" s="463"/>
      <c r="B1362" s="380"/>
      <c r="C1362" s="381"/>
      <c r="D1362" s="381"/>
      <c r="E1362" s="381"/>
      <c r="F1362" s="381"/>
      <c r="G1362" s="381"/>
      <c r="H1362" s="381"/>
      <c r="I1362" s="381"/>
      <c r="J1362" s="381"/>
      <c r="K1362" s="382"/>
      <c r="L1362" s="380"/>
      <c r="M1362" s="413"/>
      <c r="N1362" s="383"/>
      <c r="O1362" s="384"/>
      <c r="P1362" s="384"/>
      <c r="Q1362" s="383"/>
      <c r="R1362" s="383"/>
      <c r="S1362" s="385"/>
      <c r="T1362" s="380"/>
      <c r="U1362" s="380"/>
      <c r="V1362" s="380"/>
      <c r="W1362" s="380"/>
      <c r="X1362" s="380"/>
    </row>
    <row r="1363" spans="1:24" ht="15.75" customHeight="1">
      <c r="A1363" s="463"/>
      <c r="B1363" s="380"/>
      <c r="C1363" s="381"/>
      <c r="D1363" s="381"/>
      <c r="E1363" s="381"/>
      <c r="F1363" s="381"/>
      <c r="G1363" s="381"/>
      <c r="H1363" s="381"/>
      <c r="I1363" s="381"/>
      <c r="J1363" s="381"/>
      <c r="K1363" s="382"/>
      <c r="L1363" s="380"/>
      <c r="M1363" s="413"/>
      <c r="N1363" s="383"/>
      <c r="O1363" s="384"/>
      <c r="P1363" s="384"/>
      <c r="Q1363" s="383"/>
      <c r="R1363" s="383"/>
      <c r="S1363" s="385"/>
      <c r="T1363" s="380"/>
      <c r="U1363" s="380"/>
      <c r="V1363" s="380"/>
      <c r="W1363" s="380"/>
      <c r="X1363" s="380"/>
    </row>
    <row r="1364" spans="1:24" ht="15.75" customHeight="1">
      <c r="A1364" s="463"/>
      <c r="B1364" s="380"/>
      <c r="C1364" s="381"/>
      <c r="D1364" s="381"/>
      <c r="E1364" s="381"/>
      <c r="F1364" s="381"/>
      <c r="G1364" s="381"/>
      <c r="H1364" s="381"/>
      <c r="I1364" s="381"/>
      <c r="J1364" s="381"/>
      <c r="K1364" s="382"/>
      <c r="L1364" s="380"/>
      <c r="M1364" s="413"/>
      <c r="N1364" s="383"/>
      <c r="O1364" s="384"/>
      <c r="P1364" s="384"/>
      <c r="Q1364" s="383"/>
      <c r="R1364" s="383"/>
      <c r="S1364" s="385"/>
      <c r="T1364" s="380"/>
      <c r="U1364" s="380"/>
      <c r="V1364" s="380"/>
      <c r="W1364" s="380"/>
      <c r="X1364" s="380"/>
    </row>
    <row r="1365" spans="1:24" ht="15.75" customHeight="1">
      <c r="A1365" s="463"/>
      <c r="B1365" s="380"/>
      <c r="C1365" s="381"/>
      <c r="D1365" s="381"/>
      <c r="E1365" s="381"/>
      <c r="F1365" s="381"/>
      <c r="G1365" s="381"/>
      <c r="H1365" s="381"/>
      <c r="I1365" s="381"/>
      <c r="J1365" s="381"/>
      <c r="K1365" s="382"/>
      <c r="L1365" s="380"/>
      <c r="M1365" s="413"/>
      <c r="N1365" s="383"/>
      <c r="O1365" s="384"/>
      <c r="P1365" s="384"/>
      <c r="Q1365" s="383"/>
      <c r="R1365" s="383"/>
      <c r="S1365" s="385"/>
      <c r="T1365" s="380"/>
      <c r="U1365" s="380"/>
      <c r="V1365" s="380"/>
      <c r="W1365" s="380"/>
      <c r="X1365" s="380"/>
    </row>
    <row r="1366" spans="1:24" ht="15.75" customHeight="1">
      <c r="A1366" s="463"/>
      <c r="B1366" s="380"/>
      <c r="C1366" s="381"/>
      <c r="D1366" s="381"/>
      <c r="E1366" s="381"/>
      <c r="F1366" s="381"/>
      <c r="G1366" s="381"/>
      <c r="H1366" s="381"/>
      <c r="I1366" s="381"/>
      <c r="J1366" s="381"/>
      <c r="K1366" s="382"/>
      <c r="L1366" s="380"/>
      <c r="M1366" s="413"/>
      <c r="N1366" s="383"/>
      <c r="O1366" s="384"/>
      <c r="P1366" s="384"/>
      <c r="Q1366" s="383"/>
      <c r="R1366" s="383"/>
      <c r="S1366" s="385"/>
      <c r="T1366" s="380"/>
      <c r="U1366" s="380"/>
      <c r="V1366" s="380"/>
      <c r="W1366" s="380"/>
      <c r="X1366" s="380"/>
    </row>
    <row r="1367" spans="1:24" ht="15.75" customHeight="1">
      <c r="A1367" s="463"/>
      <c r="B1367" s="380"/>
      <c r="C1367" s="381"/>
      <c r="D1367" s="381"/>
      <c r="E1367" s="381"/>
      <c r="F1367" s="381"/>
      <c r="G1367" s="381"/>
      <c r="H1367" s="381"/>
      <c r="I1367" s="381"/>
      <c r="J1367" s="381"/>
      <c r="K1367" s="382"/>
      <c r="L1367" s="380"/>
      <c r="M1367" s="413"/>
      <c r="N1367" s="383"/>
      <c r="O1367" s="384"/>
      <c r="P1367" s="384"/>
      <c r="Q1367" s="383"/>
      <c r="R1367" s="383"/>
      <c r="S1367" s="385"/>
      <c r="T1367" s="380"/>
      <c r="U1367" s="380"/>
      <c r="V1367" s="380"/>
      <c r="W1367" s="380"/>
      <c r="X1367" s="380"/>
    </row>
    <row r="1368" spans="1:24" ht="15.75" customHeight="1">
      <c r="A1368" s="463"/>
      <c r="B1368" s="380"/>
      <c r="C1368" s="381"/>
      <c r="D1368" s="381"/>
      <c r="E1368" s="381"/>
      <c r="F1368" s="381"/>
      <c r="G1368" s="381"/>
      <c r="H1368" s="381"/>
      <c r="I1368" s="381"/>
      <c r="J1368" s="381"/>
      <c r="K1368" s="382"/>
      <c r="L1368" s="380"/>
      <c r="M1368" s="413"/>
      <c r="N1368" s="383"/>
      <c r="O1368" s="384"/>
      <c r="P1368" s="384"/>
      <c r="Q1368" s="383"/>
      <c r="R1368" s="383"/>
      <c r="S1368" s="385"/>
      <c r="T1368" s="380"/>
      <c r="U1368" s="380"/>
      <c r="V1368" s="380"/>
      <c r="W1368" s="380"/>
      <c r="X1368" s="380"/>
    </row>
    <row r="1369" spans="1:24" ht="15.75" customHeight="1">
      <c r="A1369" s="463"/>
      <c r="B1369" s="380"/>
      <c r="C1369" s="381"/>
      <c r="D1369" s="381"/>
      <c r="E1369" s="381"/>
      <c r="F1369" s="381"/>
      <c r="G1369" s="381"/>
      <c r="H1369" s="381"/>
      <c r="I1369" s="381"/>
      <c r="J1369" s="381"/>
      <c r="K1369" s="382"/>
      <c r="L1369" s="380"/>
      <c r="M1369" s="413"/>
      <c r="N1369" s="383"/>
      <c r="O1369" s="384"/>
      <c r="P1369" s="384"/>
      <c r="Q1369" s="383"/>
      <c r="R1369" s="383"/>
      <c r="S1369" s="385"/>
      <c r="T1369" s="380"/>
      <c r="U1369" s="380"/>
      <c r="V1369" s="380"/>
      <c r="W1369" s="380"/>
      <c r="X1369" s="380"/>
    </row>
    <row r="1370" spans="1:24" ht="15.75" customHeight="1">
      <c r="A1370" s="463"/>
      <c r="B1370" s="380"/>
      <c r="C1370" s="381"/>
      <c r="D1370" s="381"/>
      <c r="E1370" s="381"/>
      <c r="F1370" s="381"/>
      <c r="G1370" s="381"/>
      <c r="H1370" s="381"/>
      <c r="I1370" s="381"/>
      <c r="J1370" s="381"/>
      <c r="K1370" s="382"/>
      <c r="L1370" s="380"/>
      <c r="M1370" s="413"/>
      <c r="N1370" s="383"/>
      <c r="O1370" s="384"/>
      <c r="P1370" s="384"/>
      <c r="Q1370" s="383"/>
      <c r="R1370" s="383"/>
      <c r="S1370" s="385"/>
      <c r="T1370" s="380"/>
      <c r="U1370" s="380"/>
      <c r="V1370" s="380"/>
      <c r="W1370" s="380"/>
      <c r="X1370" s="380"/>
    </row>
    <row r="1371" spans="1:24" ht="15.75" customHeight="1">
      <c r="A1371" s="463"/>
      <c r="B1371" s="380"/>
      <c r="C1371" s="381"/>
      <c r="D1371" s="381"/>
      <c r="E1371" s="381"/>
      <c r="F1371" s="381"/>
      <c r="G1371" s="381"/>
      <c r="H1371" s="381"/>
      <c r="I1371" s="381"/>
      <c r="J1371" s="381"/>
      <c r="K1371" s="382"/>
      <c r="L1371" s="380"/>
      <c r="M1371" s="413"/>
      <c r="N1371" s="383"/>
      <c r="O1371" s="384"/>
      <c r="P1371" s="384"/>
      <c r="Q1371" s="383"/>
      <c r="R1371" s="383"/>
      <c r="S1371" s="385"/>
      <c r="T1371" s="380"/>
      <c r="U1371" s="380"/>
      <c r="V1371" s="380"/>
      <c r="W1371" s="380"/>
      <c r="X1371" s="380"/>
    </row>
    <row r="1372" spans="1:24" ht="15.75" customHeight="1">
      <c r="A1372" s="463"/>
      <c r="B1372" s="380"/>
      <c r="C1372" s="381"/>
      <c r="D1372" s="381"/>
      <c r="E1372" s="381"/>
      <c r="F1372" s="381"/>
      <c r="G1372" s="381"/>
      <c r="H1372" s="381"/>
      <c r="I1372" s="381"/>
      <c r="J1372" s="381"/>
      <c r="K1372" s="382"/>
      <c r="L1372" s="380"/>
      <c r="M1372" s="413"/>
      <c r="N1372" s="383"/>
      <c r="O1372" s="384"/>
      <c r="P1372" s="384"/>
      <c r="Q1372" s="383"/>
      <c r="R1372" s="383"/>
      <c r="S1372" s="385"/>
      <c r="T1372" s="380"/>
      <c r="U1372" s="380"/>
      <c r="V1372" s="380"/>
      <c r="W1372" s="380"/>
      <c r="X1372" s="380"/>
    </row>
    <row r="1373" spans="1:24" ht="15.75" customHeight="1">
      <c r="A1373" s="463"/>
      <c r="B1373" s="380"/>
      <c r="C1373" s="381"/>
      <c r="D1373" s="381"/>
      <c r="E1373" s="381"/>
      <c r="F1373" s="381"/>
      <c r="G1373" s="381"/>
      <c r="H1373" s="381"/>
      <c r="I1373" s="381"/>
      <c r="J1373" s="381"/>
      <c r="K1373" s="382"/>
      <c r="L1373" s="380"/>
      <c r="M1373" s="413"/>
      <c r="N1373" s="383"/>
      <c r="O1373" s="384"/>
      <c r="P1373" s="384"/>
      <c r="Q1373" s="383"/>
      <c r="R1373" s="383"/>
      <c r="S1373" s="385"/>
      <c r="T1373" s="380"/>
      <c r="U1373" s="380"/>
      <c r="V1373" s="380"/>
      <c r="W1373" s="380"/>
      <c r="X1373" s="380"/>
    </row>
    <row r="1374" spans="1:24" ht="15.75" customHeight="1">
      <c r="A1374" s="463"/>
      <c r="B1374" s="380"/>
      <c r="C1374" s="381"/>
      <c r="D1374" s="381"/>
      <c r="E1374" s="381"/>
      <c r="F1374" s="381"/>
      <c r="G1374" s="381"/>
      <c r="H1374" s="381"/>
      <c r="I1374" s="381"/>
      <c r="J1374" s="381"/>
      <c r="K1374" s="382"/>
      <c r="L1374" s="380"/>
      <c r="M1374" s="413"/>
      <c r="N1374" s="383"/>
      <c r="O1374" s="384"/>
      <c r="P1374" s="384"/>
      <c r="Q1374" s="383"/>
      <c r="R1374" s="383"/>
      <c r="S1374" s="385"/>
      <c r="T1374" s="380"/>
      <c r="U1374" s="380"/>
      <c r="V1374" s="380"/>
      <c r="W1374" s="380"/>
      <c r="X1374" s="380"/>
    </row>
    <row r="1375" spans="1:24" ht="15.75" customHeight="1">
      <c r="A1375" s="463"/>
      <c r="B1375" s="380"/>
      <c r="C1375" s="381"/>
      <c r="D1375" s="381"/>
      <c r="E1375" s="381"/>
      <c r="F1375" s="381"/>
      <c r="G1375" s="381"/>
      <c r="H1375" s="381"/>
      <c r="I1375" s="381"/>
      <c r="J1375" s="381"/>
      <c r="K1375" s="382"/>
      <c r="L1375" s="380"/>
      <c r="M1375" s="413"/>
      <c r="N1375" s="383"/>
      <c r="O1375" s="384"/>
      <c r="P1375" s="384"/>
      <c r="Q1375" s="383"/>
      <c r="R1375" s="383"/>
      <c r="S1375" s="385"/>
      <c r="T1375" s="380"/>
      <c r="U1375" s="380"/>
      <c r="V1375" s="380"/>
      <c r="W1375" s="380"/>
      <c r="X1375" s="380"/>
    </row>
    <row r="1376" spans="1:24" ht="15.75" customHeight="1">
      <c r="A1376" s="463"/>
      <c r="B1376" s="380"/>
      <c r="C1376" s="381"/>
      <c r="D1376" s="381"/>
      <c r="E1376" s="381"/>
      <c r="F1376" s="381"/>
      <c r="G1376" s="381"/>
      <c r="H1376" s="381"/>
      <c r="I1376" s="381"/>
      <c r="J1376" s="381"/>
      <c r="K1376" s="382"/>
      <c r="L1376" s="380"/>
      <c r="M1376" s="413"/>
      <c r="N1376" s="383"/>
      <c r="O1376" s="384"/>
      <c r="P1376" s="384"/>
      <c r="Q1376" s="383"/>
      <c r="R1376" s="383"/>
      <c r="S1376" s="385"/>
      <c r="T1376" s="380"/>
      <c r="U1376" s="380"/>
      <c r="V1376" s="380"/>
      <c r="W1376" s="380"/>
      <c r="X1376" s="380"/>
    </row>
    <row r="1377" spans="1:24" ht="15.75" customHeight="1">
      <c r="A1377" s="463"/>
      <c r="B1377" s="380"/>
      <c r="C1377" s="381"/>
      <c r="D1377" s="381"/>
      <c r="E1377" s="381"/>
      <c r="F1377" s="381"/>
      <c r="G1377" s="381"/>
      <c r="H1377" s="381"/>
      <c r="I1377" s="381"/>
      <c r="J1377" s="381"/>
      <c r="K1377" s="382"/>
      <c r="L1377" s="380"/>
      <c r="M1377" s="413"/>
      <c r="N1377" s="383"/>
      <c r="O1377" s="384"/>
      <c r="P1377" s="384"/>
      <c r="Q1377" s="383"/>
      <c r="R1377" s="383"/>
      <c r="S1377" s="385"/>
      <c r="T1377" s="380"/>
      <c r="U1377" s="380"/>
      <c r="V1377" s="380"/>
      <c r="W1377" s="380"/>
      <c r="X1377" s="380"/>
    </row>
    <row r="1378" spans="1:24" ht="15.75" customHeight="1">
      <c r="A1378" s="463"/>
      <c r="B1378" s="380"/>
      <c r="C1378" s="381"/>
      <c r="D1378" s="381"/>
      <c r="E1378" s="381"/>
      <c r="F1378" s="381"/>
      <c r="G1378" s="381"/>
      <c r="H1378" s="381"/>
      <c r="I1378" s="381"/>
      <c r="J1378" s="381"/>
      <c r="K1378" s="382"/>
      <c r="L1378" s="380"/>
      <c r="M1378" s="413"/>
      <c r="N1378" s="383"/>
      <c r="O1378" s="384"/>
      <c r="P1378" s="384"/>
      <c r="Q1378" s="383"/>
      <c r="R1378" s="383"/>
      <c r="S1378" s="385"/>
      <c r="T1378" s="380"/>
      <c r="U1378" s="380"/>
      <c r="V1378" s="380"/>
      <c r="W1378" s="380"/>
      <c r="X1378" s="380"/>
    </row>
    <row r="1379" spans="1:24" ht="15.75" customHeight="1">
      <c r="A1379" s="463"/>
      <c r="B1379" s="380"/>
      <c r="C1379" s="381"/>
      <c r="D1379" s="381"/>
      <c r="E1379" s="381"/>
      <c r="F1379" s="381"/>
      <c r="G1379" s="381"/>
      <c r="H1379" s="381"/>
      <c r="I1379" s="381"/>
      <c r="J1379" s="381"/>
      <c r="K1379" s="382"/>
      <c r="L1379" s="380"/>
      <c r="M1379" s="413"/>
      <c r="N1379" s="383"/>
      <c r="O1379" s="384"/>
      <c r="P1379" s="384"/>
      <c r="Q1379" s="383"/>
      <c r="R1379" s="383"/>
      <c r="S1379" s="385"/>
      <c r="T1379" s="380"/>
      <c r="U1379" s="380"/>
      <c r="V1379" s="380"/>
      <c r="W1379" s="380"/>
      <c r="X1379" s="380"/>
    </row>
    <row r="1380" spans="1:24" ht="15.75" customHeight="1">
      <c r="A1380" s="463"/>
      <c r="B1380" s="380"/>
      <c r="C1380" s="381"/>
      <c r="D1380" s="381"/>
      <c r="E1380" s="381"/>
      <c r="F1380" s="381"/>
      <c r="G1380" s="381"/>
      <c r="H1380" s="381"/>
      <c r="I1380" s="381"/>
      <c r="J1380" s="381"/>
      <c r="K1380" s="382"/>
      <c r="L1380" s="380"/>
      <c r="M1380" s="413"/>
      <c r="N1380" s="383"/>
      <c r="O1380" s="384"/>
      <c r="P1380" s="384"/>
      <c r="Q1380" s="383"/>
      <c r="R1380" s="383"/>
      <c r="S1380" s="385"/>
      <c r="T1380" s="380"/>
      <c r="U1380" s="380"/>
      <c r="V1380" s="380"/>
      <c r="W1380" s="380"/>
      <c r="X1380" s="380"/>
    </row>
    <row r="1381" spans="1:24" ht="15.75" customHeight="1">
      <c r="A1381" s="463"/>
      <c r="B1381" s="380"/>
      <c r="C1381" s="381"/>
      <c r="D1381" s="381"/>
      <c r="E1381" s="381"/>
      <c r="F1381" s="381"/>
      <c r="G1381" s="381"/>
      <c r="H1381" s="381"/>
      <c r="I1381" s="381"/>
      <c r="J1381" s="381"/>
      <c r="K1381" s="382"/>
      <c r="L1381" s="380"/>
      <c r="M1381" s="413"/>
      <c r="N1381" s="383"/>
      <c r="O1381" s="384"/>
      <c r="P1381" s="384"/>
      <c r="Q1381" s="383"/>
      <c r="R1381" s="383"/>
      <c r="S1381" s="385"/>
      <c r="T1381" s="380"/>
      <c r="U1381" s="380"/>
      <c r="V1381" s="380"/>
      <c r="W1381" s="380"/>
      <c r="X1381" s="380"/>
    </row>
    <row r="1382" spans="1:24" ht="15.75" customHeight="1">
      <c r="A1382" s="463"/>
      <c r="B1382" s="380"/>
      <c r="C1382" s="381"/>
      <c r="D1382" s="381"/>
      <c r="E1382" s="381"/>
      <c r="F1382" s="381"/>
      <c r="G1382" s="381"/>
      <c r="H1382" s="381"/>
      <c r="I1382" s="381"/>
      <c r="J1382" s="381"/>
      <c r="K1382" s="382"/>
      <c r="L1382" s="380"/>
      <c r="M1382" s="413"/>
      <c r="N1382" s="383"/>
      <c r="O1382" s="384"/>
      <c r="P1382" s="384"/>
      <c r="Q1382" s="383"/>
      <c r="R1382" s="383"/>
      <c r="S1382" s="385"/>
      <c r="T1382" s="380"/>
      <c r="U1382" s="380"/>
      <c r="V1382" s="380"/>
      <c r="W1382" s="380"/>
      <c r="X1382" s="380"/>
    </row>
    <row r="1383" spans="1:24" ht="15.75" customHeight="1">
      <c r="A1383" s="463"/>
      <c r="B1383" s="380"/>
      <c r="C1383" s="381"/>
      <c r="D1383" s="381"/>
      <c r="E1383" s="381"/>
      <c r="F1383" s="381"/>
      <c r="G1383" s="381"/>
      <c r="H1383" s="381"/>
      <c r="I1383" s="381"/>
      <c r="J1383" s="381"/>
      <c r="K1383" s="382"/>
      <c r="L1383" s="380"/>
      <c r="M1383" s="413"/>
      <c r="N1383" s="383"/>
      <c r="O1383" s="384"/>
      <c r="P1383" s="384"/>
      <c r="Q1383" s="383"/>
      <c r="R1383" s="383"/>
      <c r="S1383" s="385"/>
      <c r="T1383" s="380"/>
      <c r="U1383" s="380"/>
      <c r="V1383" s="380"/>
      <c r="W1383" s="380"/>
      <c r="X1383" s="380"/>
    </row>
    <row r="1384" spans="1:24" ht="15.75" customHeight="1">
      <c r="A1384" s="463"/>
      <c r="B1384" s="380"/>
      <c r="C1384" s="381"/>
      <c r="D1384" s="381"/>
      <c r="E1384" s="381"/>
      <c r="F1384" s="381"/>
      <c r="G1384" s="381"/>
      <c r="H1384" s="381"/>
      <c r="I1384" s="381"/>
      <c r="J1384" s="381"/>
      <c r="K1384" s="382"/>
      <c r="L1384" s="380"/>
      <c r="M1384" s="413"/>
      <c r="N1384" s="383"/>
      <c r="O1384" s="384"/>
      <c r="P1384" s="384"/>
      <c r="Q1384" s="383"/>
      <c r="R1384" s="383"/>
      <c r="S1384" s="385"/>
      <c r="T1384" s="380"/>
      <c r="U1384" s="380"/>
      <c r="V1384" s="380"/>
      <c r="W1384" s="380"/>
      <c r="X1384" s="380"/>
    </row>
    <row r="1385" spans="1:24" ht="15.75" customHeight="1">
      <c r="A1385" s="463"/>
      <c r="B1385" s="380"/>
      <c r="C1385" s="381"/>
      <c r="D1385" s="381"/>
      <c r="E1385" s="381"/>
      <c r="F1385" s="381"/>
      <c r="G1385" s="381"/>
      <c r="H1385" s="381"/>
      <c r="I1385" s="381"/>
      <c r="J1385" s="381"/>
      <c r="K1385" s="382"/>
      <c r="L1385" s="380"/>
      <c r="M1385" s="413"/>
      <c r="N1385" s="383"/>
      <c r="O1385" s="384"/>
      <c r="P1385" s="384"/>
      <c r="Q1385" s="383"/>
      <c r="R1385" s="383"/>
      <c r="S1385" s="385"/>
      <c r="T1385" s="380"/>
      <c r="U1385" s="380"/>
      <c r="V1385" s="380"/>
      <c r="W1385" s="380"/>
      <c r="X1385" s="380"/>
    </row>
    <row r="1386" spans="1:24" ht="15.75" customHeight="1">
      <c r="A1386" s="463"/>
      <c r="B1386" s="380"/>
      <c r="C1386" s="381"/>
      <c r="D1386" s="381"/>
      <c r="E1386" s="381"/>
      <c r="F1386" s="381"/>
      <c r="G1386" s="381"/>
      <c r="H1386" s="381"/>
      <c r="I1386" s="381"/>
      <c r="J1386" s="381"/>
      <c r="K1386" s="382"/>
      <c r="L1386" s="380"/>
      <c r="M1386" s="413"/>
      <c r="N1386" s="383"/>
      <c r="O1386" s="384"/>
      <c r="P1386" s="384"/>
      <c r="Q1386" s="383"/>
      <c r="R1386" s="383"/>
      <c r="S1386" s="385"/>
      <c r="T1386" s="380"/>
      <c r="U1386" s="380"/>
      <c r="V1386" s="380"/>
      <c r="W1386" s="380"/>
      <c r="X1386" s="380"/>
    </row>
    <row r="1387" spans="1:24" ht="15.75" customHeight="1">
      <c r="A1387" s="463"/>
      <c r="B1387" s="380"/>
      <c r="C1387" s="381"/>
      <c r="D1387" s="381"/>
      <c r="E1387" s="381"/>
      <c r="F1387" s="381"/>
      <c r="G1387" s="381"/>
      <c r="H1387" s="381"/>
      <c r="I1387" s="381"/>
      <c r="J1387" s="381"/>
      <c r="K1387" s="382"/>
      <c r="L1387" s="380"/>
      <c r="M1387" s="413"/>
      <c r="N1387" s="383"/>
      <c r="O1387" s="384"/>
      <c r="P1387" s="384"/>
      <c r="Q1387" s="383"/>
      <c r="R1387" s="383"/>
      <c r="S1387" s="385"/>
      <c r="T1387" s="380"/>
      <c r="U1387" s="380"/>
      <c r="V1387" s="380"/>
      <c r="W1387" s="380"/>
      <c r="X1387" s="380"/>
    </row>
    <row r="1388" spans="1:24" ht="15.75" customHeight="1">
      <c r="A1388" s="463"/>
      <c r="B1388" s="380"/>
      <c r="C1388" s="381"/>
      <c r="D1388" s="381"/>
      <c r="E1388" s="381"/>
      <c r="F1388" s="381"/>
      <c r="G1388" s="381"/>
      <c r="H1388" s="381"/>
      <c r="I1388" s="381"/>
      <c r="J1388" s="381"/>
      <c r="K1388" s="382"/>
      <c r="L1388" s="380"/>
      <c r="M1388" s="413"/>
      <c r="N1388" s="383"/>
      <c r="O1388" s="384"/>
      <c r="P1388" s="384"/>
      <c r="Q1388" s="383"/>
      <c r="R1388" s="383"/>
      <c r="S1388" s="385"/>
      <c r="T1388" s="380"/>
      <c r="U1388" s="380"/>
      <c r="V1388" s="380"/>
      <c r="W1388" s="380"/>
      <c r="X1388" s="380"/>
    </row>
    <row r="1389" spans="1:24" ht="15.75" customHeight="1">
      <c r="A1389" s="463"/>
      <c r="B1389" s="380"/>
      <c r="C1389" s="381"/>
      <c r="D1389" s="381"/>
      <c r="E1389" s="381"/>
      <c r="F1389" s="381"/>
      <c r="G1389" s="381"/>
      <c r="H1389" s="381"/>
      <c r="I1389" s="381"/>
      <c r="J1389" s="381"/>
      <c r="K1389" s="382"/>
      <c r="L1389" s="380"/>
      <c r="M1389" s="413"/>
      <c r="N1389" s="383"/>
      <c r="O1389" s="384"/>
      <c r="P1389" s="384"/>
      <c r="Q1389" s="383"/>
      <c r="R1389" s="383"/>
      <c r="S1389" s="385"/>
      <c r="T1389" s="380"/>
      <c r="U1389" s="380"/>
      <c r="V1389" s="380"/>
      <c r="W1389" s="380"/>
      <c r="X1389" s="380"/>
    </row>
    <row r="1390" spans="1:24" ht="15.75" customHeight="1">
      <c r="A1390" s="463"/>
      <c r="B1390" s="380"/>
      <c r="C1390" s="381"/>
      <c r="D1390" s="381"/>
      <c r="E1390" s="381"/>
      <c r="F1390" s="381"/>
      <c r="G1390" s="381"/>
      <c r="H1390" s="381"/>
      <c r="I1390" s="381"/>
      <c r="J1390" s="381"/>
      <c r="K1390" s="382"/>
      <c r="L1390" s="380"/>
      <c r="M1390" s="413"/>
      <c r="N1390" s="383"/>
      <c r="O1390" s="384"/>
      <c r="P1390" s="384"/>
      <c r="Q1390" s="383"/>
      <c r="R1390" s="383"/>
      <c r="S1390" s="385"/>
      <c r="T1390" s="380"/>
      <c r="U1390" s="380"/>
      <c r="V1390" s="380"/>
      <c r="W1390" s="380"/>
      <c r="X1390" s="380"/>
    </row>
    <row r="1391" spans="1:24" ht="15.75" customHeight="1">
      <c r="A1391" s="463"/>
      <c r="B1391" s="380"/>
      <c r="C1391" s="381"/>
      <c r="D1391" s="381"/>
      <c r="E1391" s="381"/>
      <c r="F1391" s="381"/>
      <c r="G1391" s="381"/>
      <c r="H1391" s="381"/>
      <c r="I1391" s="381"/>
      <c r="J1391" s="381"/>
      <c r="K1391" s="382"/>
      <c r="L1391" s="380"/>
      <c r="M1391" s="413"/>
      <c r="N1391" s="383"/>
      <c r="O1391" s="384"/>
      <c r="P1391" s="384"/>
      <c r="Q1391" s="383"/>
      <c r="R1391" s="383"/>
      <c r="S1391" s="385"/>
      <c r="T1391" s="380"/>
      <c r="U1391" s="380"/>
      <c r="V1391" s="380"/>
      <c r="W1391" s="380"/>
      <c r="X1391" s="380"/>
    </row>
    <row r="1392" spans="1:24" ht="15.75" customHeight="1">
      <c r="A1392" s="463"/>
      <c r="B1392" s="380"/>
      <c r="C1392" s="381"/>
      <c r="D1392" s="381"/>
      <c r="E1392" s="381"/>
      <c r="F1392" s="381"/>
      <c r="G1392" s="381"/>
      <c r="H1392" s="381"/>
      <c r="I1392" s="381"/>
      <c r="J1392" s="381"/>
      <c r="K1392" s="382"/>
      <c r="L1392" s="380"/>
      <c r="M1392" s="413"/>
      <c r="N1392" s="383"/>
      <c r="O1392" s="384"/>
      <c r="P1392" s="384"/>
      <c r="Q1392" s="383"/>
      <c r="R1392" s="383"/>
      <c r="S1392" s="385"/>
      <c r="T1392" s="380"/>
      <c r="U1392" s="380"/>
      <c r="V1392" s="380"/>
      <c r="W1392" s="380"/>
      <c r="X1392" s="380"/>
    </row>
    <row r="1393" spans="1:24" ht="15.75" customHeight="1">
      <c r="A1393" s="463"/>
      <c r="B1393" s="380"/>
      <c r="C1393" s="381"/>
      <c r="D1393" s="381"/>
      <c r="E1393" s="381"/>
      <c r="F1393" s="381"/>
      <c r="G1393" s="381"/>
      <c r="H1393" s="381"/>
      <c r="I1393" s="381"/>
      <c r="J1393" s="381"/>
      <c r="K1393" s="382"/>
      <c r="L1393" s="380"/>
      <c r="M1393" s="413"/>
      <c r="N1393" s="383"/>
      <c r="O1393" s="384"/>
      <c r="P1393" s="384"/>
      <c r="Q1393" s="383"/>
      <c r="R1393" s="383"/>
      <c r="S1393" s="385"/>
      <c r="T1393" s="380"/>
      <c r="U1393" s="380"/>
      <c r="V1393" s="380"/>
      <c r="W1393" s="380"/>
      <c r="X1393" s="380"/>
    </row>
    <row r="1394" spans="1:24" ht="15.75" customHeight="1">
      <c r="A1394" s="463"/>
      <c r="B1394" s="380"/>
      <c r="C1394" s="381"/>
      <c r="D1394" s="381"/>
      <c r="E1394" s="381"/>
      <c r="F1394" s="381"/>
      <c r="G1394" s="381"/>
      <c r="H1394" s="381"/>
      <c r="I1394" s="381"/>
      <c r="J1394" s="381"/>
      <c r="K1394" s="382"/>
      <c r="L1394" s="380"/>
      <c r="M1394" s="413"/>
      <c r="N1394" s="383"/>
      <c r="O1394" s="384"/>
      <c r="P1394" s="384"/>
      <c r="Q1394" s="383"/>
      <c r="R1394" s="383"/>
      <c r="S1394" s="385"/>
      <c r="T1394" s="380"/>
      <c r="U1394" s="380"/>
      <c r="V1394" s="380"/>
      <c r="W1394" s="380"/>
      <c r="X1394" s="380"/>
    </row>
    <row r="1395" spans="1:24" ht="15.75" customHeight="1">
      <c r="A1395" s="463"/>
      <c r="B1395" s="380"/>
      <c r="C1395" s="381"/>
      <c r="D1395" s="381"/>
      <c r="E1395" s="381"/>
      <c r="F1395" s="381"/>
      <c r="G1395" s="381"/>
      <c r="H1395" s="381"/>
      <c r="I1395" s="381"/>
      <c r="J1395" s="381"/>
      <c r="K1395" s="382"/>
      <c r="L1395" s="380"/>
      <c r="M1395" s="413"/>
      <c r="N1395" s="383"/>
      <c r="O1395" s="384"/>
      <c r="P1395" s="384"/>
      <c r="Q1395" s="383"/>
      <c r="R1395" s="383"/>
      <c r="S1395" s="385"/>
      <c r="T1395" s="380"/>
      <c r="U1395" s="380"/>
      <c r="V1395" s="380"/>
      <c r="W1395" s="380"/>
      <c r="X1395" s="380"/>
    </row>
    <row r="1396" spans="1:24" ht="15.75" customHeight="1">
      <c r="A1396" s="463"/>
      <c r="B1396" s="380"/>
      <c r="C1396" s="381"/>
      <c r="D1396" s="381"/>
      <c r="E1396" s="381"/>
      <c r="F1396" s="381"/>
      <c r="G1396" s="381"/>
      <c r="H1396" s="381"/>
      <c r="I1396" s="381"/>
      <c r="J1396" s="381"/>
      <c r="K1396" s="382"/>
      <c r="L1396" s="380"/>
      <c r="M1396" s="413"/>
      <c r="N1396" s="383"/>
      <c r="O1396" s="384"/>
      <c r="P1396" s="384"/>
      <c r="Q1396" s="383"/>
      <c r="R1396" s="383"/>
      <c r="S1396" s="385"/>
      <c r="T1396" s="380"/>
      <c r="U1396" s="380"/>
      <c r="V1396" s="380"/>
      <c r="W1396" s="380"/>
      <c r="X1396" s="380"/>
    </row>
    <row r="1397" spans="1:24" ht="15.75" customHeight="1">
      <c r="A1397" s="463"/>
      <c r="B1397" s="380"/>
      <c r="C1397" s="381"/>
      <c r="D1397" s="381"/>
      <c r="E1397" s="381"/>
      <c r="F1397" s="381"/>
      <c r="G1397" s="381"/>
      <c r="H1397" s="381"/>
      <c r="I1397" s="381"/>
      <c r="J1397" s="381"/>
      <c r="K1397" s="382"/>
      <c r="L1397" s="380"/>
      <c r="M1397" s="413"/>
      <c r="N1397" s="383"/>
      <c r="O1397" s="384"/>
      <c r="P1397" s="384"/>
      <c r="Q1397" s="383"/>
      <c r="R1397" s="383"/>
      <c r="S1397" s="385"/>
      <c r="T1397" s="380"/>
      <c r="U1397" s="380"/>
      <c r="V1397" s="380"/>
      <c r="W1397" s="380"/>
      <c r="X1397" s="380"/>
    </row>
    <row r="1398" spans="1:24" ht="15.75" customHeight="1">
      <c r="A1398" s="463"/>
      <c r="B1398" s="380"/>
      <c r="C1398" s="381"/>
      <c r="D1398" s="381"/>
      <c r="E1398" s="381"/>
      <c r="F1398" s="381"/>
      <c r="G1398" s="381"/>
      <c r="H1398" s="381"/>
      <c r="I1398" s="381"/>
      <c r="J1398" s="381"/>
      <c r="K1398" s="382"/>
      <c r="L1398" s="380"/>
      <c r="M1398" s="413"/>
      <c r="N1398" s="383"/>
      <c r="O1398" s="384"/>
      <c r="P1398" s="384"/>
      <c r="Q1398" s="383"/>
      <c r="R1398" s="383"/>
      <c r="S1398" s="385"/>
      <c r="T1398" s="380"/>
      <c r="U1398" s="380"/>
      <c r="V1398" s="380"/>
      <c r="W1398" s="380"/>
      <c r="X1398" s="380"/>
    </row>
    <row r="1399" spans="1:24" ht="15.75" customHeight="1">
      <c r="A1399" s="463"/>
      <c r="B1399" s="380"/>
      <c r="C1399" s="381"/>
      <c r="D1399" s="381"/>
      <c r="E1399" s="381"/>
      <c r="F1399" s="381"/>
      <c r="G1399" s="381"/>
      <c r="H1399" s="381"/>
      <c r="I1399" s="381"/>
      <c r="J1399" s="381"/>
      <c r="K1399" s="382"/>
      <c r="L1399" s="380"/>
      <c r="M1399" s="413"/>
      <c r="N1399" s="383"/>
      <c r="O1399" s="384"/>
      <c r="P1399" s="384"/>
      <c r="Q1399" s="383"/>
      <c r="R1399" s="383"/>
      <c r="S1399" s="385"/>
      <c r="T1399" s="380"/>
      <c r="U1399" s="380"/>
      <c r="V1399" s="380"/>
      <c r="W1399" s="380"/>
      <c r="X1399" s="380"/>
    </row>
    <row r="1400" spans="1:24" ht="15.75" customHeight="1">
      <c r="A1400" s="463"/>
      <c r="B1400" s="380"/>
      <c r="C1400" s="381"/>
      <c r="D1400" s="381"/>
      <c r="E1400" s="381"/>
      <c r="F1400" s="381"/>
      <c r="G1400" s="381"/>
      <c r="H1400" s="381"/>
      <c r="I1400" s="381"/>
      <c r="J1400" s="381"/>
      <c r="K1400" s="382"/>
      <c r="L1400" s="380"/>
      <c r="M1400" s="413"/>
      <c r="N1400" s="383"/>
      <c r="O1400" s="384"/>
      <c r="P1400" s="384"/>
      <c r="Q1400" s="383"/>
      <c r="R1400" s="383"/>
      <c r="S1400" s="385"/>
      <c r="T1400" s="380"/>
      <c r="U1400" s="380"/>
      <c r="V1400" s="380"/>
      <c r="W1400" s="380"/>
      <c r="X1400" s="380"/>
    </row>
    <row r="1401" spans="1:24" ht="15.75" customHeight="1">
      <c r="A1401" s="463"/>
      <c r="B1401" s="380"/>
      <c r="C1401" s="381"/>
      <c r="D1401" s="381"/>
      <c r="E1401" s="381"/>
      <c r="F1401" s="381"/>
      <c r="G1401" s="381"/>
      <c r="H1401" s="381"/>
      <c r="I1401" s="381"/>
      <c r="J1401" s="381"/>
      <c r="K1401" s="382"/>
      <c r="L1401" s="380"/>
      <c r="M1401" s="413"/>
      <c r="N1401" s="383"/>
      <c r="O1401" s="384"/>
      <c r="P1401" s="384"/>
      <c r="Q1401" s="383"/>
      <c r="R1401" s="383"/>
      <c r="S1401" s="385"/>
      <c r="T1401" s="380"/>
      <c r="U1401" s="380"/>
      <c r="V1401" s="380"/>
      <c r="W1401" s="380"/>
      <c r="X1401" s="380"/>
    </row>
    <row r="1402" spans="1:24" ht="15.75" customHeight="1">
      <c r="A1402" s="463"/>
      <c r="B1402" s="380"/>
      <c r="C1402" s="381"/>
      <c r="D1402" s="381"/>
      <c r="E1402" s="381"/>
      <c r="F1402" s="381"/>
      <c r="G1402" s="381"/>
      <c r="H1402" s="381"/>
      <c r="I1402" s="381"/>
      <c r="J1402" s="381"/>
      <c r="K1402" s="382"/>
      <c r="L1402" s="380"/>
      <c r="M1402" s="413"/>
      <c r="N1402" s="383"/>
      <c r="O1402" s="384"/>
      <c r="P1402" s="384"/>
      <c r="Q1402" s="383"/>
      <c r="R1402" s="383"/>
      <c r="S1402" s="385"/>
      <c r="T1402" s="380"/>
      <c r="U1402" s="380"/>
      <c r="V1402" s="380"/>
      <c r="W1402" s="380"/>
      <c r="X1402" s="380"/>
    </row>
    <row r="1403" spans="1:24" ht="15.75" customHeight="1">
      <c r="A1403" s="463"/>
      <c r="B1403" s="380"/>
      <c r="C1403" s="381"/>
      <c r="D1403" s="381"/>
      <c r="E1403" s="381"/>
      <c r="F1403" s="381"/>
      <c r="G1403" s="381"/>
      <c r="H1403" s="381"/>
      <c r="I1403" s="381"/>
      <c r="J1403" s="381"/>
      <c r="K1403" s="382"/>
      <c r="L1403" s="380"/>
      <c r="M1403" s="413"/>
      <c r="N1403" s="383"/>
      <c r="O1403" s="384"/>
      <c r="P1403" s="384"/>
      <c r="Q1403" s="383"/>
      <c r="R1403" s="383"/>
      <c r="S1403" s="385"/>
      <c r="T1403" s="380"/>
      <c r="U1403" s="380"/>
      <c r="V1403" s="380"/>
      <c r="W1403" s="380"/>
      <c r="X1403" s="380"/>
    </row>
    <row r="1404" spans="1:24" ht="15.75" customHeight="1">
      <c r="A1404" s="463"/>
      <c r="B1404" s="380"/>
      <c r="C1404" s="381"/>
      <c r="D1404" s="381"/>
      <c r="E1404" s="381"/>
      <c r="F1404" s="381"/>
      <c r="G1404" s="381"/>
      <c r="H1404" s="381"/>
      <c r="I1404" s="381"/>
      <c r="J1404" s="381"/>
      <c r="K1404" s="382"/>
      <c r="L1404" s="380"/>
      <c r="M1404" s="413"/>
      <c r="N1404" s="383"/>
      <c r="O1404" s="384"/>
      <c r="P1404" s="384"/>
      <c r="Q1404" s="383"/>
      <c r="R1404" s="383"/>
      <c r="S1404" s="385"/>
      <c r="T1404" s="380"/>
      <c r="U1404" s="380"/>
      <c r="V1404" s="380"/>
      <c r="W1404" s="380"/>
      <c r="X1404" s="380"/>
    </row>
    <row r="1405" spans="1:24" ht="15.75" customHeight="1">
      <c r="A1405" s="463"/>
      <c r="B1405" s="380"/>
      <c r="C1405" s="381"/>
      <c r="D1405" s="381"/>
      <c r="E1405" s="381"/>
      <c r="F1405" s="381"/>
      <c r="G1405" s="381"/>
      <c r="H1405" s="381"/>
      <c r="I1405" s="381"/>
      <c r="J1405" s="381"/>
      <c r="K1405" s="382"/>
      <c r="L1405" s="380"/>
      <c r="M1405" s="413"/>
      <c r="N1405" s="383"/>
      <c r="O1405" s="384"/>
      <c r="P1405" s="384"/>
      <c r="Q1405" s="383"/>
      <c r="R1405" s="383"/>
      <c r="S1405" s="385"/>
      <c r="T1405" s="380"/>
      <c r="U1405" s="380"/>
      <c r="V1405" s="380"/>
      <c r="W1405" s="380"/>
      <c r="X1405" s="380"/>
    </row>
    <row r="1406" spans="1:24" ht="15.75" customHeight="1">
      <c r="A1406" s="463"/>
      <c r="B1406" s="380"/>
      <c r="C1406" s="381"/>
      <c r="D1406" s="381"/>
      <c r="E1406" s="381"/>
      <c r="F1406" s="381"/>
      <c r="G1406" s="381"/>
      <c r="H1406" s="381"/>
      <c r="I1406" s="381"/>
      <c r="J1406" s="381"/>
      <c r="K1406" s="382"/>
      <c r="L1406" s="380"/>
      <c r="M1406" s="413"/>
      <c r="N1406" s="383"/>
      <c r="O1406" s="384"/>
      <c r="P1406" s="384"/>
      <c r="Q1406" s="383"/>
      <c r="R1406" s="383"/>
      <c r="S1406" s="385"/>
      <c r="T1406" s="380"/>
      <c r="U1406" s="380"/>
      <c r="V1406" s="380"/>
      <c r="W1406" s="380"/>
      <c r="X1406" s="380"/>
    </row>
    <row r="1407" spans="1:24" ht="15.75" customHeight="1">
      <c r="A1407" s="463"/>
      <c r="B1407" s="380"/>
      <c r="C1407" s="381"/>
      <c r="D1407" s="381"/>
      <c r="E1407" s="381"/>
      <c r="F1407" s="381"/>
      <c r="G1407" s="381"/>
      <c r="H1407" s="381"/>
      <c r="I1407" s="381"/>
      <c r="J1407" s="381"/>
      <c r="K1407" s="382"/>
      <c r="L1407" s="380"/>
      <c r="M1407" s="413"/>
      <c r="N1407" s="383"/>
      <c r="O1407" s="384"/>
      <c r="P1407" s="384"/>
      <c r="Q1407" s="383"/>
      <c r="R1407" s="383"/>
      <c r="S1407" s="385"/>
      <c r="T1407" s="380"/>
      <c r="U1407" s="380"/>
      <c r="V1407" s="380"/>
      <c r="W1407" s="380"/>
      <c r="X1407" s="380"/>
    </row>
    <row r="1408" spans="1:24" ht="15.75" customHeight="1">
      <c r="A1408" s="463"/>
      <c r="B1408" s="380"/>
      <c r="C1408" s="381"/>
      <c r="D1408" s="381"/>
      <c r="E1408" s="381"/>
      <c r="F1408" s="381"/>
      <c r="G1408" s="381"/>
      <c r="H1408" s="381"/>
      <c r="I1408" s="381"/>
      <c r="J1408" s="381"/>
      <c r="K1408" s="382"/>
      <c r="L1408" s="380"/>
      <c r="M1408" s="413"/>
      <c r="N1408" s="383"/>
      <c r="O1408" s="384"/>
      <c r="P1408" s="384"/>
      <c r="Q1408" s="383"/>
      <c r="R1408" s="383"/>
      <c r="S1408" s="385"/>
      <c r="T1408" s="380"/>
      <c r="U1408" s="380"/>
      <c r="V1408" s="380"/>
      <c r="W1408" s="380"/>
      <c r="X1408" s="380"/>
    </row>
    <row r="1409" spans="1:24" ht="15.75" customHeight="1">
      <c r="A1409" s="463"/>
      <c r="B1409" s="380"/>
      <c r="C1409" s="381"/>
      <c r="D1409" s="381"/>
      <c r="E1409" s="381"/>
      <c r="F1409" s="381"/>
      <c r="G1409" s="381"/>
      <c r="H1409" s="381"/>
      <c r="I1409" s="381"/>
      <c r="J1409" s="381"/>
      <c r="K1409" s="382"/>
      <c r="L1409" s="380"/>
      <c r="M1409" s="413"/>
      <c r="N1409" s="383"/>
      <c r="O1409" s="384"/>
      <c r="P1409" s="384"/>
      <c r="Q1409" s="383"/>
      <c r="R1409" s="383"/>
      <c r="S1409" s="385"/>
      <c r="T1409" s="380"/>
      <c r="U1409" s="380"/>
      <c r="V1409" s="380"/>
      <c r="W1409" s="380"/>
      <c r="X1409" s="380"/>
    </row>
    <row r="1410" spans="1:24" ht="15.75" customHeight="1">
      <c r="A1410" s="463"/>
      <c r="B1410" s="380"/>
      <c r="C1410" s="381"/>
      <c r="D1410" s="381"/>
      <c r="E1410" s="381"/>
      <c r="F1410" s="381"/>
      <c r="G1410" s="381"/>
      <c r="H1410" s="381"/>
      <c r="I1410" s="381"/>
      <c r="J1410" s="381"/>
      <c r="K1410" s="382"/>
      <c r="L1410" s="380"/>
      <c r="M1410" s="413"/>
      <c r="N1410" s="383"/>
      <c r="O1410" s="384"/>
      <c r="P1410" s="384"/>
      <c r="Q1410" s="383"/>
      <c r="R1410" s="383"/>
      <c r="S1410" s="385"/>
      <c r="T1410" s="380"/>
      <c r="U1410" s="380"/>
      <c r="V1410" s="380"/>
      <c r="W1410" s="380"/>
      <c r="X1410" s="380"/>
    </row>
    <row r="1411" spans="1:24" ht="15.75" customHeight="1">
      <c r="A1411" s="463"/>
      <c r="B1411" s="380"/>
      <c r="C1411" s="381"/>
      <c r="D1411" s="381"/>
      <c r="E1411" s="381"/>
      <c r="F1411" s="381"/>
      <c r="G1411" s="381"/>
      <c r="H1411" s="381"/>
      <c r="I1411" s="381"/>
      <c r="J1411" s="381"/>
      <c r="K1411" s="382"/>
      <c r="L1411" s="380"/>
      <c r="M1411" s="413"/>
      <c r="N1411" s="383"/>
      <c r="O1411" s="384"/>
      <c r="P1411" s="384"/>
      <c r="Q1411" s="383"/>
      <c r="R1411" s="383"/>
      <c r="S1411" s="385"/>
      <c r="T1411" s="380"/>
      <c r="U1411" s="380"/>
      <c r="V1411" s="380"/>
      <c r="W1411" s="380"/>
      <c r="X1411" s="380"/>
    </row>
    <row r="1412" spans="1:24" ht="15.75" customHeight="1">
      <c r="A1412" s="463"/>
      <c r="B1412" s="380"/>
      <c r="C1412" s="381"/>
      <c r="D1412" s="381"/>
      <c r="E1412" s="381"/>
      <c r="F1412" s="381"/>
      <c r="G1412" s="381"/>
      <c r="H1412" s="381"/>
      <c r="I1412" s="381"/>
      <c r="J1412" s="381"/>
      <c r="K1412" s="382"/>
      <c r="L1412" s="380"/>
      <c r="M1412" s="413"/>
      <c r="N1412" s="383"/>
      <c r="O1412" s="384"/>
      <c r="P1412" s="384"/>
      <c r="Q1412" s="383"/>
      <c r="R1412" s="383"/>
      <c r="S1412" s="385"/>
      <c r="T1412" s="380"/>
      <c r="U1412" s="380"/>
      <c r="V1412" s="380"/>
      <c r="W1412" s="380"/>
      <c r="X1412" s="380"/>
    </row>
    <row r="1413" spans="1:24" ht="15.75" customHeight="1">
      <c r="A1413" s="463"/>
      <c r="B1413" s="380"/>
      <c r="C1413" s="381"/>
      <c r="D1413" s="381"/>
      <c r="E1413" s="381"/>
      <c r="F1413" s="381"/>
      <c r="G1413" s="381"/>
      <c r="H1413" s="381"/>
      <c r="I1413" s="381"/>
      <c r="J1413" s="381"/>
      <c r="K1413" s="382"/>
      <c r="L1413" s="380"/>
      <c r="M1413" s="413"/>
      <c r="N1413" s="383"/>
      <c r="O1413" s="384"/>
      <c r="P1413" s="384"/>
      <c r="Q1413" s="383"/>
      <c r="R1413" s="383"/>
      <c r="S1413" s="385"/>
      <c r="T1413" s="380"/>
      <c r="U1413" s="380"/>
      <c r="V1413" s="380"/>
      <c r="W1413" s="380"/>
      <c r="X1413" s="380"/>
    </row>
    <row r="1414" spans="1:24" ht="15.75" customHeight="1">
      <c r="A1414" s="463"/>
      <c r="B1414" s="380"/>
      <c r="C1414" s="381"/>
      <c r="D1414" s="381"/>
      <c r="E1414" s="381"/>
      <c r="F1414" s="381"/>
      <c r="G1414" s="381"/>
      <c r="H1414" s="381"/>
      <c r="I1414" s="381"/>
      <c r="J1414" s="381"/>
      <c r="K1414" s="382"/>
      <c r="L1414" s="380"/>
      <c r="M1414" s="413"/>
      <c r="N1414" s="383"/>
      <c r="O1414" s="384"/>
      <c r="P1414" s="384"/>
      <c r="Q1414" s="383"/>
      <c r="R1414" s="383"/>
      <c r="S1414" s="385"/>
      <c r="T1414" s="380"/>
      <c r="U1414" s="380"/>
      <c r="V1414" s="380"/>
      <c r="W1414" s="380"/>
      <c r="X1414" s="380"/>
    </row>
    <row r="1415" spans="1:24" ht="15.75" customHeight="1">
      <c r="A1415" s="463"/>
      <c r="B1415" s="380"/>
      <c r="C1415" s="381"/>
      <c r="D1415" s="381"/>
      <c r="E1415" s="381"/>
      <c r="F1415" s="381"/>
      <c r="G1415" s="381"/>
      <c r="H1415" s="381"/>
      <c r="I1415" s="381"/>
      <c r="J1415" s="381"/>
      <c r="K1415" s="382"/>
      <c r="L1415" s="380"/>
      <c r="M1415" s="413"/>
      <c r="N1415" s="383"/>
      <c r="O1415" s="384"/>
      <c r="P1415" s="384"/>
      <c r="Q1415" s="383"/>
      <c r="R1415" s="383"/>
      <c r="S1415" s="385"/>
      <c r="T1415" s="380"/>
      <c r="U1415" s="380"/>
      <c r="V1415" s="380"/>
      <c r="W1415" s="380"/>
      <c r="X1415" s="380"/>
    </row>
    <row r="1416" spans="1:24" ht="15.75" customHeight="1">
      <c r="A1416" s="463"/>
      <c r="B1416" s="380"/>
      <c r="C1416" s="381"/>
      <c r="D1416" s="381"/>
      <c r="E1416" s="381"/>
      <c r="F1416" s="381"/>
      <c r="G1416" s="381"/>
      <c r="H1416" s="381"/>
      <c r="I1416" s="381"/>
      <c r="J1416" s="381"/>
      <c r="K1416" s="382"/>
      <c r="L1416" s="380"/>
      <c r="M1416" s="413"/>
      <c r="N1416" s="383"/>
      <c r="O1416" s="384"/>
      <c r="P1416" s="384"/>
      <c r="Q1416" s="383"/>
      <c r="R1416" s="383"/>
      <c r="S1416" s="385"/>
      <c r="T1416" s="380"/>
      <c r="U1416" s="380"/>
      <c r="V1416" s="380"/>
      <c r="W1416" s="380"/>
      <c r="X1416" s="380"/>
    </row>
    <row r="1417" spans="1:24" ht="15.75" customHeight="1">
      <c r="A1417" s="463"/>
      <c r="B1417" s="380"/>
      <c r="C1417" s="381"/>
      <c r="D1417" s="381"/>
      <c r="E1417" s="381"/>
      <c r="F1417" s="381"/>
      <c r="G1417" s="381"/>
      <c r="H1417" s="381"/>
      <c r="I1417" s="381"/>
      <c r="J1417" s="381"/>
      <c r="K1417" s="382"/>
      <c r="L1417" s="380"/>
      <c r="M1417" s="413"/>
      <c r="N1417" s="383"/>
      <c r="O1417" s="384"/>
      <c r="P1417" s="384"/>
      <c r="Q1417" s="383"/>
      <c r="R1417" s="383"/>
      <c r="S1417" s="385"/>
      <c r="T1417" s="380"/>
      <c r="U1417" s="380"/>
      <c r="V1417" s="380"/>
      <c r="W1417" s="380"/>
      <c r="X1417" s="380"/>
    </row>
    <row r="1418" spans="1:24" ht="15.75" customHeight="1">
      <c r="A1418" s="463"/>
      <c r="B1418" s="380"/>
      <c r="C1418" s="381"/>
      <c r="D1418" s="381"/>
      <c r="E1418" s="381"/>
      <c r="F1418" s="381"/>
      <c r="G1418" s="381"/>
      <c r="H1418" s="381"/>
      <c r="I1418" s="381"/>
      <c r="J1418" s="381"/>
      <c r="K1418" s="382"/>
      <c r="L1418" s="380"/>
      <c r="M1418" s="413"/>
      <c r="N1418" s="383"/>
      <c r="O1418" s="384"/>
      <c r="P1418" s="384"/>
      <c r="Q1418" s="383"/>
      <c r="R1418" s="383"/>
      <c r="S1418" s="385"/>
      <c r="T1418" s="380"/>
      <c r="U1418" s="380"/>
      <c r="V1418" s="380"/>
      <c r="W1418" s="380"/>
      <c r="X1418" s="380"/>
    </row>
    <row r="1419" spans="1:24" ht="15.75" customHeight="1">
      <c r="A1419" s="463"/>
      <c r="B1419" s="380"/>
      <c r="C1419" s="381"/>
      <c r="D1419" s="381"/>
      <c r="E1419" s="381"/>
      <c r="F1419" s="381"/>
      <c r="G1419" s="381"/>
      <c r="H1419" s="381"/>
      <c r="I1419" s="381"/>
      <c r="J1419" s="381"/>
      <c r="K1419" s="382"/>
      <c r="L1419" s="380"/>
      <c r="M1419" s="413"/>
      <c r="N1419" s="383"/>
      <c r="O1419" s="384"/>
      <c r="P1419" s="384"/>
      <c r="Q1419" s="383"/>
      <c r="R1419" s="383"/>
      <c r="S1419" s="385"/>
      <c r="T1419" s="380"/>
      <c r="U1419" s="380"/>
      <c r="V1419" s="380"/>
      <c r="W1419" s="380"/>
      <c r="X1419" s="380"/>
    </row>
    <row r="1420" spans="1:24" ht="15.75" customHeight="1">
      <c r="A1420" s="463"/>
      <c r="B1420" s="380"/>
      <c r="C1420" s="381"/>
      <c r="D1420" s="381"/>
      <c r="E1420" s="381"/>
      <c r="F1420" s="381"/>
      <c r="G1420" s="381"/>
      <c r="H1420" s="381"/>
      <c r="I1420" s="381"/>
      <c r="J1420" s="381"/>
      <c r="K1420" s="382"/>
      <c r="L1420" s="380"/>
      <c r="M1420" s="413"/>
      <c r="N1420" s="383"/>
      <c r="O1420" s="384"/>
      <c r="P1420" s="384"/>
      <c r="Q1420" s="383"/>
      <c r="R1420" s="383"/>
      <c r="S1420" s="385"/>
      <c r="T1420" s="380"/>
      <c r="U1420" s="380"/>
      <c r="V1420" s="380"/>
      <c r="W1420" s="380"/>
      <c r="X1420" s="380"/>
    </row>
    <row r="1421" spans="1:24" ht="15.75" customHeight="1">
      <c r="A1421" s="463"/>
      <c r="B1421" s="380"/>
      <c r="C1421" s="381"/>
      <c r="D1421" s="381"/>
      <c r="E1421" s="381"/>
      <c r="F1421" s="381"/>
      <c r="G1421" s="381"/>
      <c r="H1421" s="381"/>
      <c r="I1421" s="381"/>
      <c r="J1421" s="381"/>
      <c r="K1421" s="382"/>
      <c r="L1421" s="380"/>
      <c r="M1421" s="413"/>
      <c r="N1421" s="383"/>
      <c r="O1421" s="384"/>
      <c r="P1421" s="384"/>
      <c r="Q1421" s="383"/>
      <c r="R1421" s="383"/>
      <c r="S1421" s="385"/>
      <c r="T1421" s="380"/>
      <c r="U1421" s="380"/>
      <c r="V1421" s="380"/>
      <c r="W1421" s="380"/>
      <c r="X1421" s="380"/>
    </row>
    <row r="1422" spans="1:24" ht="15.75" customHeight="1">
      <c r="A1422" s="463"/>
      <c r="B1422" s="380"/>
      <c r="C1422" s="381"/>
      <c r="D1422" s="381"/>
      <c r="E1422" s="381"/>
      <c r="F1422" s="381"/>
      <c r="G1422" s="381"/>
      <c r="H1422" s="381"/>
      <c r="I1422" s="381"/>
      <c r="J1422" s="381"/>
      <c r="K1422" s="382"/>
      <c r="L1422" s="380"/>
      <c r="M1422" s="413"/>
      <c r="N1422" s="383"/>
      <c r="O1422" s="384"/>
      <c r="P1422" s="384"/>
      <c r="Q1422" s="383"/>
      <c r="R1422" s="383"/>
      <c r="S1422" s="385"/>
      <c r="T1422" s="380"/>
      <c r="U1422" s="380"/>
      <c r="V1422" s="380"/>
      <c r="W1422" s="380"/>
      <c r="X1422" s="380"/>
    </row>
    <row r="1423" spans="1:24" ht="15.75" customHeight="1">
      <c r="A1423" s="463"/>
      <c r="B1423" s="380"/>
      <c r="C1423" s="381"/>
      <c r="D1423" s="381"/>
      <c r="E1423" s="381"/>
      <c r="F1423" s="381"/>
      <c r="G1423" s="381"/>
      <c r="H1423" s="381"/>
      <c r="I1423" s="381"/>
      <c r="J1423" s="381"/>
      <c r="K1423" s="382"/>
      <c r="L1423" s="380"/>
      <c r="M1423" s="413"/>
      <c r="N1423" s="383"/>
      <c r="O1423" s="384"/>
      <c r="P1423" s="384"/>
      <c r="Q1423" s="383"/>
      <c r="R1423" s="383"/>
      <c r="S1423" s="385"/>
      <c r="T1423" s="380"/>
      <c r="U1423" s="380"/>
      <c r="V1423" s="380"/>
      <c r="W1423" s="380"/>
      <c r="X1423" s="380"/>
    </row>
    <row r="1424" spans="1:24" ht="15.75" customHeight="1">
      <c r="A1424" s="463"/>
      <c r="B1424" s="380"/>
      <c r="C1424" s="381"/>
      <c r="D1424" s="381"/>
      <c r="E1424" s="381"/>
      <c r="F1424" s="381"/>
      <c r="G1424" s="381"/>
      <c r="H1424" s="381"/>
      <c r="I1424" s="381"/>
      <c r="J1424" s="381"/>
      <c r="K1424" s="382"/>
      <c r="L1424" s="380"/>
      <c r="M1424" s="413"/>
      <c r="N1424" s="383"/>
      <c r="O1424" s="384"/>
      <c r="P1424" s="384"/>
      <c r="Q1424" s="383"/>
      <c r="R1424" s="383"/>
      <c r="S1424" s="385"/>
      <c r="T1424" s="380"/>
      <c r="U1424" s="380"/>
      <c r="V1424" s="380"/>
      <c r="W1424" s="380"/>
      <c r="X1424" s="380"/>
    </row>
    <row r="1425" spans="1:24" ht="15.75" customHeight="1">
      <c r="A1425" s="463"/>
      <c r="B1425" s="380"/>
      <c r="C1425" s="381"/>
      <c r="D1425" s="381"/>
      <c r="E1425" s="381"/>
      <c r="F1425" s="381"/>
      <c r="G1425" s="381"/>
      <c r="H1425" s="381"/>
      <c r="I1425" s="381"/>
      <c r="J1425" s="381"/>
      <c r="K1425" s="382"/>
      <c r="L1425" s="380"/>
      <c r="M1425" s="413"/>
      <c r="N1425" s="383"/>
      <c r="O1425" s="384"/>
      <c r="P1425" s="384"/>
      <c r="Q1425" s="383"/>
      <c r="R1425" s="383"/>
      <c r="S1425" s="385"/>
      <c r="T1425" s="380"/>
      <c r="U1425" s="380"/>
      <c r="V1425" s="380"/>
      <c r="W1425" s="380"/>
      <c r="X1425" s="380"/>
    </row>
    <row r="1426" spans="1:24" ht="15.75" customHeight="1">
      <c r="A1426" s="463"/>
      <c r="B1426" s="380"/>
      <c r="C1426" s="381"/>
      <c r="D1426" s="381"/>
      <c r="E1426" s="381"/>
      <c r="F1426" s="381"/>
      <c r="G1426" s="381"/>
      <c r="H1426" s="381"/>
      <c r="I1426" s="381"/>
      <c r="J1426" s="381"/>
      <c r="K1426" s="382"/>
      <c r="L1426" s="380"/>
      <c r="M1426" s="413"/>
      <c r="N1426" s="383"/>
      <c r="O1426" s="384"/>
      <c r="P1426" s="384"/>
      <c r="Q1426" s="383"/>
      <c r="R1426" s="383"/>
      <c r="S1426" s="385"/>
      <c r="T1426" s="380"/>
      <c r="U1426" s="380"/>
      <c r="V1426" s="380"/>
      <c r="W1426" s="380"/>
      <c r="X1426" s="380"/>
    </row>
    <row r="1427" spans="1:24" ht="15.75" customHeight="1">
      <c r="A1427" s="463"/>
      <c r="B1427" s="380"/>
      <c r="C1427" s="381"/>
      <c r="D1427" s="381"/>
      <c r="E1427" s="381"/>
      <c r="F1427" s="381"/>
      <c r="G1427" s="381"/>
      <c r="H1427" s="381"/>
      <c r="I1427" s="381"/>
      <c r="J1427" s="381"/>
      <c r="K1427" s="382"/>
      <c r="L1427" s="380"/>
      <c r="M1427" s="413"/>
      <c r="N1427" s="383"/>
      <c r="O1427" s="384"/>
      <c r="P1427" s="384"/>
      <c r="Q1427" s="383"/>
      <c r="R1427" s="383"/>
      <c r="S1427" s="385"/>
      <c r="T1427" s="380"/>
      <c r="U1427" s="380"/>
      <c r="V1427" s="380"/>
      <c r="W1427" s="380"/>
      <c r="X1427" s="380"/>
    </row>
    <row r="1428" spans="1:24" ht="15.75" customHeight="1">
      <c r="A1428" s="463"/>
      <c r="B1428" s="380"/>
      <c r="C1428" s="381"/>
      <c r="D1428" s="381"/>
      <c r="E1428" s="381"/>
      <c r="F1428" s="381"/>
      <c r="G1428" s="381"/>
      <c r="H1428" s="381"/>
      <c r="I1428" s="381"/>
      <c r="J1428" s="381"/>
      <c r="K1428" s="382"/>
      <c r="L1428" s="380"/>
      <c r="M1428" s="413"/>
      <c r="N1428" s="383"/>
      <c r="O1428" s="384"/>
      <c r="P1428" s="384"/>
      <c r="Q1428" s="383"/>
      <c r="R1428" s="383"/>
      <c r="S1428" s="385"/>
      <c r="T1428" s="380"/>
      <c r="U1428" s="380"/>
      <c r="V1428" s="380"/>
      <c r="W1428" s="380"/>
      <c r="X1428" s="380"/>
    </row>
    <row r="1429" spans="1:24" ht="15.75" customHeight="1">
      <c r="A1429" s="463"/>
      <c r="B1429" s="380"/>
      <c r="C1429" s="381"/>
      <c r="D1429" s="381"/>
      <c r="E1429" s="381"/>
      <c r="F1429" s="381"/>
      <c r="G1429" s="381"/>
      <c r="H1429" s="381"/>
      <c r="I1429" s="381"/>
      <c r="J1429" s="381"/>
      <c r="K1429" s="382"/>
      <c r="L1429" s="380"/>
      <c r="M1429" s="413"/>
      <c r="N1429" s="383"/>
      <c r="O1429" s="384"/>
      <c r="P1429" s="384"/>
      <c r="Q1429" s="383"/>
      <c r="R1429" s="383"/>
      <c r="S1429" s="385"/>
      <c r="T1429" s="380"/>
      <c r="U1429" s="380"/>
      <c r="V1429" s="380"/>
      <c r="W1429" s="380"/>
      <c r="X1429" s="380"/>
    </row>
    <row r="1430" spans="1:24" ht="15.75" customHeight="1">
      <c r="A1430" s="463"/>
      <c r="B1430" s="380"/>
      <c r="C1430" s="381"/>
      <c r="D1430" s="381"/>
      <c r="E1430" s="381"/>
      <c r="F1430" s="381"/>
      <c r="G1430" s="381"/>
      <c r="H1430" s="381"/>
      <c r="I1430" s="381"/>
      <c r="J1430" s="381"/>
      <c r="K1430" s="382"/>
      <c r="L1430" s="380"/>
      <c r="M1430" s="413"/>
      <c r="N1430" s="383"/>
      <c r="O1430" s="384"/>
      <c r="P1430" s="384"/>
      <c r="Q1430" s="383"/>
      <c r="R1430" s="383"/>
      <c r="S1430" s="385"/>
      <c r="T1430" s="380"/>
      <c r="U1430" s="380"/>
      <c r="V1430" s="380"/>
      <c r="W1430" s="380"/>
      <c r="X1430" s="380"/>
    </row>
    <row r="1431" spans="1:24" ht="15.75" customHeight="1">
      <c r="A1431" s="463"/>
      <c r="B1431" s="380"/>
      <c r="C1431" s="381"/>
      <c r="D1431" s="381"/>
      <c r="E1431" s="381"/>
      <c r="F1431" s="381"/>
      <c r="G1431" s="381"/>
      <c r="H1431" s="381"/>
      <c r="I1431" s="381"/>
      <c r="J1431" s="381"/>
      <c r="K1431" s="382"/>
      <c r="L1431" s="380"/>
      <c r="M1431" s="413"/>
      <c r="N1431" s="383"/>
      <c r="O1431" s="384"/>
      <c r="P1431" s="384"/>
      <c r="Q1431" s="383"/>
      <c r="R1431" s="383"/>
      <c r="S1431" s="385"/>
      <c r="T1431" s="380"/>
      <c r="U1431" s="380"/>
      <c r="V1431" s="380"/>
      <c r="W1431" s="380"/>
      <c r="X1431" s="380"/>
    </row>
    <row r="1432" spans="1:24" ht="15.75" customHeight="1">
      <c r="A1432" s="463"/>
      <c r="B1432" s="380"/>
      <c r="C1432" s="381"/>
      <c r="D1432" s="381"/>
      <c r="E1432" s="381"/>
      <c r="F1432" s="381"/>
      <c r="G1432" s="381"/>
      <c r="H1432" s="381"/>
      <c r="I1432" s="381"/>
      <c r="J1432" s="381"/>
      <c r="K1432" s="382"/>
      <c r="L1432" s="380"/>
      <c r="M1432" s="413"/>
      <c r="N1432" s="383"/>
      <c r="O1432" s="384"/>
      <c r="P1432" s="384"/>
      <c r="Q1432" s="383"/>
      <c r="R1432" s="383"/>
      <c r="S1432" s="385"/>
      <c r="T1432" s="380"/>
      <c r="U1432" s="380"/>
      <c r="V1432" s="380"/>
      <c r="W1432" s="380"/>
      <c r="X1432" s="380"/>
    </row>
    <row r="1433" spans="1:24" ht="15.75" customHeight="1">
      <c r="A1433" s="463"/>
      <c r="B1433" s="380"/>
      <c r="C1433" s="381"/>
      <c r="D1433" s="381"/>
      <c r="E1433" s="381"/>
      <c r="F1433" s="381"/>
      <c r="G1433" s="381"/>
      <c r="H1433" s="381"/>
      <c r="I1433" s="381"/>
      <c r="J1433" s="381"/>
      <c r="K1433" s="382"/>
      <c r="L1433" s="380"/>
      <c r="M1433" s="413"/>
      <c r="N1433" s="383"/>
      <c r="O1433" s="384"/>
      <c r="P1433" s="384"/>
      <c r="Q1433" s="383"/>
      <c r="R1433" s="383"/>
      <c r="S1433" s="385"/>
      <c r="T1433" s="380"/>
      <c r="U1433" s="380"/>
      <c r="V1433" s="380"/>
      <c r="W1433" s="380"/>
      <c r="X1433" s="380"/>
    </row>
    <row r="1434" spans="1:24" ht="15.75" customHeight="1">
      <c r="A1434" s="463"/>
      <c r="B1434" s="380"/>
      <c r="C1434" s="381"/>
      <c r="D1434" s="381"/>
      <c r="E1434" s="381"/>
      <c r="F1434" s="381"/>
      <c r="G1434" s="381"/>
      <c r="H1434" s="381"/>
      <c r="I1434" s="381"/>
      <c r="J1434" s="381"/>
      <c r="K1434" s="382"/>
      <c r="L1434" s="380"/>
      <c r="M1434" s="413"/>
      <c r="N1434" s="383"/>
      <c r="O1434" s="384"/>
      <c r="P1434" s="384"/>
      <c r="Q1434" s="383"/>
      <c r="R1434" s="383"/>
      <c r="S1434" s="385"/>
      <c r="T1434" s="380"/>
      <c r="U1434" s="380"/>
      <c r="V1434" s="380"/>
      <c r="W1434" s="380"/>
      <c r="X1434" s="380"/>
    </row>
    <row r="1435" spans="1:24" ht="15.75" customHeight="1">
      <c r="A1435" s="463"/>
      <c r="B1435" s="380"/>
      <c r="C1435" s="381"/>
      <c r="D1435" s="381"/>
      <c r="E1435" s="381"/>
      <c r="F1435" s="381"/>
      <c r="G1435" s="381"/>
      <c r="H1435" s="381"/>
      <c r="I1435" s="381"/>
      <c r="J1435" s="381"/>
      <c r="K1435" s="382"/>
      <c r="L1435" s="380"/>
      <c r="M1435" s="413"/>
      <c r="N1435" s="383"/>
      <c r="O1435" s="384"/>
      <c r="P1435" s="384"/>
      <c r="Q1435" s="383"/>
      <c r="R1435" s="383"/>
      <c r="S1435" s="385"/>
      <c r="T1435" s="380"/>
      <c r="U1435" s="380"/>
      <c r="V1435" s="380"/>
      <c r="W1435" s="380"/>
      <c r="X1435" s="380"/>
    </row>
    <row r="1436" spans="1:24" ht="15.75" customHeight="1">
      <c r="A1436" s="463"/>
      <c r="B1436" s="380"/>
      <c r="C1436" s="381"/>
      <c r="D1436" s="381"/>
      <c r="E1436" s="381"/>
      <c r="F1436" s="381"/>
      <c r="G1436" s="381"/>
      <c r="H1436" s="381"/>
      <c r="I1436" s="381"/>
      <c r="J1436" s="381"/>
      <c r="K1436" s="382"/>
      <c r="L1436" s="380"/>
      <c r="M1436" s="413"/>
      <c r="N1436" s="383"/>
      <c r="O1436" s="384"/>
      <c r="P1436" s="384"/>
      <c r="Q1436" s="383"/>
      <c r="R1436" s="383"/>
      <c r="S1436" s="385"/>
      <c r="T1436" s="380"/>
      <c r="U1436" s="380"/>
      <c r="V1436" s="380"/>
      <c r="W1436" s="380"/>
      <c r="X1436" s="380"/>
    </row>
    <row r="1437" spans="1:24" ht="15.75" customHeight="1">
      <c r="A1437" s="463"/>
      <c r="B1437" s="380"/>
      <c r="C1437" s="381"/>
      <c r="D1437" s="381"/>
      <c r="E1437" s="381"/>
      <c r="F1437" s="381"/>
      <c r="G1437" s="381"/>
      <c r="H1437" s="381"/>
      <c r="I1437" s="381"/>
      <c r="J1437" s="381"/>
      <c r="K1437" s="382"/>
      <c r="L1437" s="380"/>
      <c r="M1437" s="413"/>
      <c r="N1437" s="383"/>
      <c r="O1437" s="384"/>
      <c r="P1437" s="384"/>
      <c r="Q1437" s="383"/>
      <c r="R1437" s="383"/>
      <c r="S1437" s="385"/>
      <c r="T1437" s="380"/>
      <c r="U1437" s="380"/>
      <c r="V1437" s="380"/>
      <c r="W1437" s="380"/>
      <c r="X1437" s="380"/>
    </row>
    <row r="1438" spans="1:24" ht="15.75" customHeight="1">
      <c r="A1438" s="463"/>
      <c r="B1438" s="380"/>
      <c r="C1438" s="381"/>
      <c r="D1438" s="381"/>
      <c r="E1438" s="381"/>
      <c r="F1438" s="381"/>
      <c r="G1438" s="381"/>
      <c r="H1438" s="381"/>
      <c r="I1438" s="381"/>
      <c r="J1438" s="381"/>
      <c r="K1438" s="382"/>
      <c r="L1438" s="380"/>
      <c r="M1438" s="413"/>
      <c r="N1438" s="383"/>
      <c r="O1438" s="384"/>
      <c r="P1438" s="384"/>
      <c r="Q1438" s="383"/>
      <c r="R1438" s="383"/>
      <c r="S1438" s="385"/>
      <c r="T1438" s="380"/>
      <c r="U1438" s="380"/>
      <c r="V1438" s="380"/>
      <c r="W1438" s="380"/>
      <c r="X1438" s="380"/>
    </row>
    <row r="1439" spans="1:24" ht="15.75" customHeight="1">
      <c r="A1439" s="463"/>
      <c r="B1439" s="380"/>
      <c r="C1439" s="381"/>
      <c r="D1439" s="381"/>
      <c r="E1439" s="381"/>
      <c r="F1439" s="381"/>
      <c r="G1439" s="381"/>
      <c r="H1439" s="381"/>
      <c r="I1439" s="381"/>
      <c r="J1439" s="381"/>
      <c r="K1439" s="382"/>
      <c r="L1439" s="380"/>
      <c r="M1439" s="413"/>
      <c r="N1439" s="383"/>
      <c r="O1439" s="384"/>
      <c r="P1439" s="384"/>
      <c r="Q1439" s="383"/>
      <c r="R1439" s="383"/>
      <c r="S1439" s="385"/>
      <c r="T1439" s="380"/>
      <c r="U1439" s="380"/>
      <c r="V1439" s="380"/>
      <c r="W1439" s="380"/>
      <c r="X1439" s="380"/>
    </row>
    <row r="1440" spans="1:24" ht="15.75" customHeight="1">
      <c r="A1440" s="463"/>
      <c r="B1440" s="380"/>
      <c r="C1440" s="381"/>
      <c r="D1440" s="381"/>
      <c r="E1440" s="381"/>
      <c r="F1440" s="381"/>
      <c r="G1440" s="381"/>
      <c r="H1440" s="381"/>
      <c r="I1440" s="381"/>
      <c r="J1440" s="381"/>
      <c r="K1440" s="382"/>
      <c r="L1440" s="380"/>
      <c r="M1440" s="413"/>
      <c r="N1440" s="383"/>
      <c r="O1440" s="384"/>
      <c r="P1440" s="384"/>
      <c r="Q1440" s="383"/>
      <c r="R1440" s="383"/>
      <c r="S1440" s="385"/>
      <c r="T1440" s="380"/>
      <c r="U1440" s="380"/>
      <c r="V1440" s="380"/>
      <c r="W1440" s="380"/>
      <c r="X1440" s="380"/>
    </row>
    <row r="1441" spans="1:24" ht="15.75" customHeight="1">
      <c r="A1441" s="463"/>
      <c r="B1441" s="380"/>
      <c r="C1441" s="381"/>
      <c r="D1441" s="381"/>
      <c r="E1441" s="381"/>
      <c r="F1441" s="381"/>
      <c r="G1441" s="381"/>
      <c r="H1441" s="381"/>
      <c r="I1441" s="381"/>
      <c r="J1441" s="381"/>
      <c r="K1441" s="382"/>
      <c r="L1441" s="380"/>
      <c r="M1441" s="413"/>
      <c r="N1441" s="383"/>
      <c r="O1441" s="384"/>
      <c r="P1441" s="384"/>
      <c r="Q1441" s="383"/>
      <c r="R1441" s="383"/>
      <c r="S1441" s="385"/>
      <c r="T1441" s="380"/>
      <c r="U1441" s="380"/>
      <c r="V1441" s="380"/>
      <c r="W1441" s="380"/>
      <c r="X1441" s="380"/>
    </row>
    <row r="1442" spans="1:24" ht="15.75" customHeight="1">
      <c r="A1442" s="463"/>
      <c r="B1442" s="380"/>
      <c r="C1442" s="381"/>
      <c r="D1442" s="381"/>
      <c r="E1442" s="381"/>
      <c r="F1442" s="381"/>
      <c r="G1442" s="381"/>
      <c r="H1442" s="381"/>
      <c r="I1442" s="381"/>
      <c r="J1442" s="381"/>
      <c r="K1442" s="382"/>
      <c r="L1442" s="380"/>
      <c r="M1442" s="413"/>
      <c r="N1442" s="383"/>
      <c r="O1442" s="384"/>
      <c r="P1442" s="384"/>
      <c r="Q1442" s="383"/>
      <c r="R1442" s="383"/>
      <c r="S1442" s="385"/>
      <c r="T1442" s="380"/>
      <c r="U1442" s="380"/>
      <c r="V1442" s="380"/>
      <c r="W1442" s="380"/>
      <c r="X1442" s="380"/>
    </row>
    <row r="1443" spans="1:24" ht="15.75" customHeight="1">
      <c r="A1443" s="463"/>
      <c r="B1443" s="380"/>
      <c r="C1443" s="381"/>
      <c r="D1443" s="381"/>
      <c r="E1443" s="381"/>
      <c r="F1443" s="381"/>
      <c r="G1443" s="381"/>
      <c r="H1443" s="381"/>
      <c r="I1443" s="381"/>
      <c r="J1443" s="381"/>
      <c r="K1443" s="382"/>
      <c r="L1443" s="380"/>
      <c r="M1443" s="413"/>
      <c r="N1443" s="383"/>
      <c r="O1443" s="384"/>
      <c r="P1443" s="384"/>
      <c r="Q1443" s="383"/>
      <c r="R1443" s="383"/>
      <c r="S1443" s="385"/>
      <c r="T1443" s="380"/>
      <c r="U1443" s="380"/>
      <c r="V1443" s="380"/>
      <c r="W1443" s="380"/>
      <c r="X1443" s="380"/>
    </row>
    <row r="1444" spans="1:24" ht="15.75" customHeight="1">
      <c r="A1444" s="463"/>
      <c r="B1444" s="380"/>
      <c r="C1444" s="381"/>
      <c r="D1444" s="381"/>
      <c r="E1444" s="381"/>
      <c r="F1444" s="381"/>
      <c r="G1444" s="381"/>
      <c r="H1444" s="381"/>
      <c r="I1444" s="381"/>
      <c r="J1444" s="381"/>
      <c r="K1444" s="382"/>
      <c r="L1444" s="380"/>
      <c r="M1444" s="413"/>
      <c r="N1444" s="383"/>
      <c r="O1444" s="384"/>
      <c r="P1444" s="384"/>
      <c r="Q1444" s="383"/>
      <c r="R1444" s="383"/>
      <c r="S1444" s="385"/>
      <c r="T1444" s="380"/>
      <c r="U1444" s="380"/>
      <c r="V1444" s="380"/>
      <c r="W1444" s="380"/>
      <c r="X1444" s="380"/>
    </row>
    <row r="1445" spans="1:24" ht="15.75" customHeight="1">
      <c r="A1445" s="463"/>
      <c r="B1445" s="380"/>
      <c r="C1445" s="381"/>
      <c r="D1445" s="381"/>
      <c r="E1445" s="381"/>
      <c r="F1445" s="381"/>
      <c r="G1445" s="381"/>
      <c r="H1445" s="381"/>
      <c r="I1445" s="381"/>
      <c r="J1445" s="381"/>
      <c r="K1445" s="382"/>
      <c r="L1445" s="380"/>
      <c r="M1445" s="413"/>
      <c r="N1445" s="383"/>
      <c r="O1445" s="384"/>
      <c r="P1445" s="384"/>
      <c r="Q1445" s="383"/>
      <c r="R1445" s="383"/>
      <c r="S1445" s="385"/>
      <c r="T1445" s="380"/>
      <c r="U1445" s="380"/>
      <c r="V1445" s="380"/>
      <c r="W1445" s="380"/>
      <c r="X1445" s="380"/>
    </row>
    <row r="1446" spans="1:24" ht="15.75" customHeight="1">
      <c r="A1446" s="463"/>
      <c r="B1446" s="380"/>
      <c r="C1446" s="381"/>
      <c r="D1446" s="381"/>
      <c r="E1446" s="381"/>
      <c r="F1446" s="381"/>
      <c r="G1446" s="381"/>
      <c r="H1446" s="381"/>
      <c r="I1446" s="381"/>
      <c r="J1446" s="381"/>
      <c r="K1446" s="382"/>
      <c r="L1446" s="380"/>
      <c r="M1446" s="413"/>
      <c r="N1446" s="383"/>
      <c r="O1446" s="384"/>
      <c r="P1446" s="384"/>
      <c r="Q1446" s="383"/>
      <c r="R1446" s="383"/>
      <c r="S1446" s="385"/>
      <c r="T1446" s="380"/>
      <c r="U1446" s="380"/>
      <c r="V1446" s="380"/>
      <c r="W1446" s="380"/>
      <c r="X1446" s="380"/>
    </row>
    <row r="1447" spans="1:24" ht="15.75" customHeight="1">
      <c r="A1447" s="463"/>
      <c r="B1447" s="380"/>
      <c r="C1447" s="381"/>
      <c r="D1447" s="381"/>
      <c r="E1447" s="381"/>
      <c r="F1447" s="381"/>
      <c r="G1447" s="381"/>
      <c r="H1447" s="381"/>
      <c r="I1447" s="381"/>
      <c r="J1447" s="381"/>
      <c r="K1447" s="382"/>
      <c r="L1447" s="380"/>
      <c r="M1447" s="413"/>
      <c r="N1447" s="383"/>
      <c r="O1447" s="384"/>
      <c r="P1447" s="384"/>
      <c r="Q1447" s="383"/>
      <c r="R1447" s="383"/>
      <c r="S1447" s="385"/>
      <c r="T1447" s="380"/>
      <c r="U1447" s="380"/>
      <c r="V1447" s="380"/>
      <c r="W1447" s="380"/>
      <c r="X1447" s="380"/>
    </row>
    <row r="1448" spans="1:24" ht="15.75" customHeight="1">
      <c r="A1448" s="463"/>
      <c r="B1448" s="380"/>
      <c r="C1448" s="381"/>
      <c r="D1448" s="381"/>
      <c r="E1448" s="381"/>
      <c r="F1448" s="381"/>
      <c r="G1448" s="381"/>
      <c r="H1448" s="381"/>
      <c r="I1448" s="381"/>
      <c r="J1448" s="381"/>
      <c r="K1448" s="382"/>
      <c r="L1448" s="380"/>
      <c r="M1448" s="413"/>
      <c r="N1448" s="383"/>
      <c r="O1448" s="384"/>
      <c r="P1448" s="384"/>
      <c r="Q1448" s="383"/>
      <c r="R1448" s="383"/>
      <c r="S1448" s="385"/>
      <c r="T1448" s="380"/>
      <c r="U1448" s="380"/>
      <c r="V1448" s="380"/>
      <c r="W1448" s="380"/>
      <c r="X1448" s="380"/>
    </row>
    <row r="1449" spans="1:24" ht="15.75" customHeight="1">
      <c r="A1449" s="463"/>
      <c r="B1449" s="380"/>
      <c r="C1449" s="381"/>
      <c r="D1449" s="381"/>
      <c r="E1449" s="381"/>
      <c r="F1449" s="381"/>
      <c r="G1449" s="381"/>
      <c r="H1449" s="381"/>
      <c r="I1449" s="381"/>
      <c r="J1449" s="381"/>
      <c r="K1449" s="382"/>
      <c r="L1449" s="380"/>
      <c r="M1449" s="413"/>
      <c r="N1449" s="383"/>
      <c r="O1449" s="384"/>
      <c r="P1449" s="384"/>
      <c r="Q1449" s="383"/>
      <c r="R1449" s="383"/>
      <c r="S1449" s="385"/>
      <c r="T1449" s="380"/>
      <c r="U1449" s="380"/>
      <c r="V1449" s="380"/>
      <c r="W1449" s="380"/>
      <c r="X1449" s="380"/>
    </row>
    <row r="1450" spans="1:24" ht="15.75" customHeight="1">
      <c r="A1450" s="463"/>
      <c r="B1450" s="380"/>
      <c r="C1450" s="381"/>
      <c r="D1450" s="381"/>
      <c r="E1450" s="381"/>
      <c r="F1450" s="381"/>
      <c r="G1450" s="381"/>
      <c r="H1450" s="381"/>
      <c r="I1450" s="381"/>
      <c r="J1450" s="381"/>
      <c r="K1450" s="382"/>
      <c r="L1450" s="380"/>
      <c r="M1450" s="413"/>
      <c r="N1450" s="383"/>
      <c r="O1450" s="384"/>
      <c r="P1450" s="384"/>
      <c r="Q1450" s="383"/>
      <c r="R1450" s="383"/>
      <c r="S1450" s="385"/>
      <c r="T1450" s="380"/>
      <c r="U1450" s="380"/>
      <c r="V1450" s="380"/>
      <c r="W1450" s="380"/>
      <c r="X1450" s="380"/>
    </row>
    <row r="1451" spans="1:24" ht="15.75" customHeight="1">
      <c r="A1451" s="463"/>
      <c r="B1451" s="380"/>
      <c r="C1451" s="381"/>
      <c r="D1451" s="381"/>
      <c r="E1451" s="381"/>
      <c r="F1451" s="381"/>
      <c r="G1451" s="381"/>
      <c r="H1451" s="381"/>
      <c r="I1451" s="381"/>
      <c r="J1451" s="381"/>
      <c r="K1451" s="382"/>
      <c r="L1451" s="380"/>
      <c r="M1451" s="413"/>
      <c r="N1451" s="383"/>
      <c r="O1451" s="384"/>
      <c r="P1451" s="384"/>
      <c r="Q1451" s="383"/>
      <c r="R1451" s="383"/>
      <c r="S1451" s="385"/>
      <c r="T1451" s="380"/>
      <c r="U1451" s="380"/>
      <c r="V1451" s="380"/>
      <c r="W1451" s="380"/>
      <c r="X1451" s="380"/>
    </row>
    <row r="1452" spans="1:24" ht="15.75" customHeight="1">
      <c r="A1452" s="463"/>
      <c r="B1452" s="380"/>
      <c r="C1452" s="381"/>
      <c r="D1452" s="381"/>
      <c r="E1452" s="381"/>
      <c r="F1452" s="381"/>
      <c r="G1452" s="381"/>
      <c r="H1452" s="381"/>
      <c r="I1452" s="381"/>
      <c r="J1452" s="381"/>
      <c r="K1452" s="382"/>
      <c r="L1452" s="380"/>
      <c r="M1452" s="413"/>
      <c r="N1452" s="383"/>
      <c r="O1452" s="384"/>
      <c r="P1452" s="384"/>
      <c r="Q1452" s="383"/>
      <c r="R1452" s="383"/>
      <c r="S1452" s="385"/>
      <c r="T1452" s="380"/>
      <c r="U1452" s="380"/>
      <c r="V1452" s="380"/>
      <c r="W1452" s="380"/>
      <c r="X1452" s="380"/>
    </row>
    <row r="1453" spans="1:24" ht="15.75" customHeight="1">
      <c r="A1453" s="463"/>
      <c r="B1453" s="380"/>
      <c r="C1453" s="381"/>
      <c r="D1453" s="381"/>
      <c r="E1453" s="381"/>
      <c r="F1453" s="381"/>
      <c r="G1453" s="381"/>
      <c r="H1453" s="381"/>
      <c r="I1453" s="381"/>
      <c r="J1453" s="381"/>
      <c r="K1453" s="382"/>
      <c r="L1453" s="380"/>
      <c r="M1453" s="413"/>
      <c r="N1453" s="383"/>
      <c r="O1453" s="384"/>
      <c r="P1453" s="384"/>
      <c r="Q1453" s="383"/>
      <c r="R1453" s="383"/>
      <c r="S1453" s="385"/>
      <c r="T1453" s="380"/>
      <c r="U1453" s="380"/>
      <c r="V1453" s="380"/>
      <c r="W1453" s="380"/>
      <c r="X1453" s="380"/>
    </row>
    <row r="1454" spans="1:24" ht="15.75" customHeight="1">
      <c r="A1454" s="463"/>
      <c r="B1454" s="380"/>
      <c r="C1454" s="381"/>
      <c r="D1454" s="381"/>
      <c r="E1454" s="381"/>
      <c r="F1454" s="381"/>
      <c r="G1454" s="381"/>
      <c r="H1454" s="381"/>
      <c r="I1454" s="381"/>
      <c r="J1454" s="381"/>
      <c r="K1454" s="382"/>
      <c r="L1454" s="380"/>
      <c r="M1454" s="413"/>
      <c r="N1454" s="383"/>
      <c r="O1454" s="384"/>
      <c r="P1454" s="384"/>
      <c r="Q1454" s="383"/>
      <c r="R1454" s="383"/>
      <c r="S1454" s="385"/>
      <c r="T1454" s="380"/>
      <c r="U1454" s="380"/>
      <c r="V1454" s="380"/>
      <c r="W1454" s="380"/>
      <c r="X1454" s="380"/>
    </row>
    <row r="1455" spans="1:24" ht="15.75" customHeight="1">
      <c r="A1455" s="463"/>
      <c r="B1455" s="380"/>
      <c r="C1455" s="381"/>
      <c r="D1455" s="381"/>
      <c r="E1455" s="381"/>
      <c r="F1455" s="381"/>
      <c r="G1455" s="381"/>
      <c r="H1455" s="381"/>
      <c r="I1455" s="381"/>
      <c r="J1455" s="381"/>
      <c r="K1455" s="382"/>
      <c r="L1455" s="380"/>
      <c r="M1455" s="413"/>
      <c r="N1455" s="383"/>
      <c r="O1455" s="384"/>
      <c r="P1455" s="384"/>
      <c r="Q1455" s="383"/>
      <c r="R1455" s="383"/>
      <c r="S1455" s="385"/>
      <c r="T1455" s="380"/>
      <c r="U1455" s="380"/>
      <c r="V1455" s="380"/>
      <c r="W1455" s="380"/>
      <c r="X1455" s="380"/>
    </row>
    <row r="1456" spans="1:24" ht="15.75" customHeight="1">
      <c r="A1456" s="463"/>
      <c r="B1456" s="380"/>
      <c r="C1456" s="381"/>
      <c r="D1456" s="381"/>
      <c r="E1456" s="381"/>
      <c r="F1456" s="381"/>
      <c r="G1456" s="381"/>
      <c r="H1456" s="381"/>
      <c r="I1456" s="381"/>
      <c r="J1456" s="381"/>
      <c r="K1456" s="382"/>
      <c r="L1456" s="380"/>
      <c r="M1456" s="413"/>
      <c r="N1456" s="383"/>
      <c r="O1456" s="384"/>
      <c r="P1456" s="384"/>
      <c r="Q1456" s="383"/>
      <c r="R1456" s="383"/>
      <c r="S1456" s="385"/>
      <c r="T1456" s="380"/>
      <c r="U1456" s="380"/>
      <c r="V1456" s="380"/>
      <c r="W1456" s="380"/>
      <c r="X1456" s="380"/>
    </row>
    <row r="1457" spans="1:24" ht="15.75" customHeight="1">
      <c r="A1457" s="463"/>
      <c r="B1457" s="380"/>
      <c r="C1457" s="381"/>
      <c r="D1457" s="381"/>
      <c r="E1457" s="381"/>
      <c r="F1457" s="381"/>
      <c r="G1457" s="381"/>
      <c r="H1457" s="381"/>
      <c r="I1457" s="381"/>
      <c r="J1457" s="381"/>
      <c r="K1457" s="382"/>
      <c r="L1457" s="380"/>
      <c r="M1457" s="413"/>
      <c r="N1457" s="383"/>
      <c r="O1457" s="384"/>
      <c r="P1457" s="384"/>
      <c r="Q1457" s="383"/>
      <c r="R1457" s="383"/>
      <c r="S1457" s="385"/>
      <c r="T1457" s="380"/>
      <c r="U1457" s="380"/>
      <c r="V1457" s="380"/>
      <c r="W1457" s="380"/>
      <c r="X1457" s="380"/>
    </row>
    <row r="1458" spans="1:24" ht="15.75" customHeight="1">
      <c r="A1458" s="463"/>
      <c r="B1458" s="380"/>
      <c r="C1458" s="381"/>
      <c r="D1458" s="381"/>
      <c r="E1458" s="381"/>
      <c r="F1458" s="381"/>
      <c r="G1458" s="381"/>
      <c r="H1458" s="381"/>
      <c r="I1458" s="381"/>
      <c r="J1458" s="381"/>
      <c r="K1458" s="382"/>
      <c r="L1458" s="380"/>
      <c r="M1458" s="413"/>
      <c r="N1458" s="383"/>
      <c r="O1458" s="384"/>
      <c r="P1458" s="384"/>
      <c r="Q1458" s="383"/>
      <c r="R1458" s="383"/>
      <c r="S1458" s="385"/>
      <c r="T1458" s="380"/>
      <c r="U1458" s="380"/>
      <c r="V1458" s="380"/>
      <c r="W1458" s="380"/>
      <c r="X1458" s="380"/>
    </row>
    <row r="1459" spans="1:24" ht="15.75" customHeight="1">
      <c r="A1459" s="463"/>
      <c r="B1459" s="380"/>
      <c r="C1459" s="381"/>
      <c r="D1459" s="381"/>
      <c r="E1459" s="381"/>
      <c r="F1459" s="381"/>
      <c r="G1459" s="381"/>
      <c r="H1459" s="381"/>
      <c r="I1459" s="381"/>
      <c r="J1459" s="381"/>
      <c r="K1459" s="382"/>
      <c r="L1459" s="380"/>
      <c r="M1459" s="413"/>
      <c r="N1459" s="383"/>
      <c r="O1459" s="384"/>
      <c r="P1459" s="384"/>
      <c r="Q1459" s="383"/>
      <c r="R1459" s="383"/>
      <c r="S1459" s="385"/>
      <c r="T1459" s="380"/>
      <c r="U1459" s="380"/>
      <c r="V1459" s="380"/>
      <c r="W1459" s="380"/>
      <c r="X1459" s="380"/>
    </row>
    <row r="1460" spans="1:24" ht="15.75" customHeight="1">
      <c r="A1460" s="463"/>
      <c r="B1460" s="380"/>
      <c r="C1460" s="381"/>
      <c r="D1460" s="381"/>
      <c r="E1460" s="381"/>
      <c r="F1460" s="381"/>
      <c r="G1460" s="381"/>
      <c r="H1460" s="381"/>
      <c r="I1460" s="381"/>
      <c r="J1460" s="381"/>
      <c r="K1460" s="382"/>
      <c r="L1460" s="380"/>
      <c r="M1460" s="413"/>
      <c r="N1460" s="383"/>
      <c r="O1460" s="384"/>
      <c r="P1460" s="384"/>
      <c r="Q1460" s="383"/>
      <c r="R1460" s="383"/>
      <c r="S1460" s="385"/>
      <c r="T1460" s="380"/>
      <c r="U1460" s="380"/>
      <c r="V1460" s="380"/>
      <c r="W1460" s="380"/>
      <c r="X1460" s="380"/>
    </row>
    <row r="1461" spans="1:24" ht="15.75" customHeight="1">
      <c r="A1461" s="463"/>
      <c r="B1461" s="380"/>
      <c r="C1461" s="381"/>
      <c r="D1461" s="381"/>
      <c r="E1461" s="381"/>
      <c r="F1461" s="381"/>
      <c r="G1461" s="381"/>
      <c r="H1461" s="381"/>
      <c r="I1461" s="381"/>
      <c r="J1461" s="381"/>
      <c r="K1461" s="382"/>
      <c r="L1461" s="380"/>
      <c r="M1461" s="413"/>
      <c r="N1461" s="383"/>
      <c r="O1461" s="384"/>
      <c r="P1461" s="384"/>
      <c r="Q1461" s="383"/>
      <c r="R1461" s="383"/>
      <c r="S1461" s="385"/>
      <c r="T1461" s="380"/>
      <c r="U1461" s="380"/>
      <c r="V1461" s="380"/>
      <c r="W1461" s="380"/>
      <c r="X1461" s="380"/>
    </row>
    <row r="1462" spans="1:24" ht="15.75" customHeight="1">
      <c r="A1462" s="463"/>
      <c r="B1462" s="380"/>
      <c r="C1462" s="381"/>
      <c r="D1462" s="381"/>
      <c r="E1462" s="381"/>
      <c r="F1462" s="381"/>
      <c r="G1462" s="381"/>
      <c r="H1462" s="381"/>
      <c r="I1462" s="381"/>
      <c r="J1462" s="381"/>
      <c r="K1462" s="382"/>
      <c r="L1462" s="380"/>
      <c r="M1462" s="413"/>
      <c r="N1462" s="383"/>
      <c r="O1462" s="384"/>
      <c r="P1462" s="384"/>
      <c r="Q1462" s="383"/>
      <c r="R1462" s="383"/>
      <c r="S1462" s="385"/>
      <c r="T1462" s="380"/>
      <c r="U1462" s="380"/>
      <c r="V1462" s="380"/>
      <c r="W1462" s="380"/>
      <c r="X1462" s="380"/>
    </row>
    <row r="1463" spans="1:24" ht="15.75" customHeight="1">
      <c r="A1463" s="463"/>
      <c r="B1463" s="380"/>
      <c r="C1463" s="381"/>
      <c r="D1463" s="381"/>
      <c r="E1463" s="381"/>
      <c r="F1463" s="381"/>
      <c r="G1463" s="381"/>
      <c r="H1463" s="381"/>
      <c r="I1463" s="381"/>
      <c r="J1463" s="381"/>
      <c r="K1463" s="382"/>
      <c r="L1463" s="380"/>
      <c r="M1463" s="413"/>
      <c r="N1463" s="383"/>
      <c r="O1463" s="384"/>
      <c r="P1463" s="384"/>
      <c r="Q1463" s="383"/>
      <c r="R1463" s="383"/>
      <c r="S1463" s="385"/>
      <c r="T1463" s="380"/>
      <c r="U1463" s="380"/>
      <c r="V1463" s="380"/>
      <c r="W1463" s="380"/>
      <c r="X1463" s="380"/>
    </row>
    <row r="1464" spans="1:24" ht="15.75" customHeight="1">
      <c r="A1464" s="463"/>
      <c r="B1464" s="380"/>
      <c r="C1464" s="381"/>
      <c r="D1464" s="381"/>
      <c r="E1464" s="381"/>
      <c r="F1464" s="381"/>
      <c r="G1464" s="381"/>
      <c r="H1464" s="381"/>
      <c r="I1464" s="381"/>
      <c r="J1464" s="381"/>
      <c r="K1464" s="382"/>
      <c r="L1464" s="380"/>
      <c r="M1464" s="413"/>
      <c r="N1464" s="383"/>
      <c r="O1464" s="384"/>
      <c r="P1464" s="384"/>
      <c r="Q1464" s="383"/>
      <c r="R1464" s="383"/>
      <c r="S1464" s="385"/>
      <c r="T1464" s="380"/>
      <c r="U1464" s="380"/>
      <c r="V1464" s="380"/>
      <c r="W1464" s="380"/>
      <c r="X1464" s="380"/>
    </row>
    <row r="1465" spans="1:24" ht="15.75" customHeight="1">
      <c r="A1465" s="463"/>
      <c r="B1465" s="380"/>
      <c r="C1465" s="381"/>
      <c r="D1465" s="381"/>
      <c r="E1465" s="381"/>
      <c r="F1465" s="381"/>
      <c r="G1465" s="381"/>
      <c r="H1465" s="381"/>
      <c r="I1465" s="381"/>
      <c r="J1465" s="381"/>
      <c r="K1465" s="382"/>
      <c r="L1465" s="380"/>
      <c r="M1465" s="413"/>
      <c r="N1465" s="383"/>
      <c r="O1465" s="384"/>
      <c r="P1465" s="384"/>
      <c r="Q1465" s="383"/>
      <c r="R1465" s="383"/>
      <c r="S1465" s="385"/>
      <c r="T1465" s="380"/>
      <c r="U1465" s="380"/>
      <c r="V1465" s="380"/>
      <c r="W1465" s="380"/>
      <c r="X1465" s="380"/>
    </row>
    <row r="1466" spans="1:24" ht="15.75" customHeight="1">
      <c r="A1466" s="463"/>
      <c r="B1466" s="380"/>
      <c r="C1466" s="381"/>
      <c r="D1466" s="381"/>
      <c r="E1466" s="381"/>
      <c r="F1466" s="381"/>
      <c r="G1466" s="381"/>
      <c r="H1466" s="381"/>
      <c r="I1466" s="381"/>
      <c r="J1466" s="381"/>
      <c r="K1466" s="382"/>
      <c r="L1466" s="380"/>
      <c r="M1466" s="413"/>
      <c r="N1466" s="383"/>
      <c r="O1466" s="384"/>
      <c r="P1466" s="384"/>
      <c r="Q1466" s="383"/>
      <c r="R1466" s="383"/>
      <c r="S1466" s="385"/>
      <c r="T1466" s="380"/>
      <c r="U1466" s="380"/>
      <c r="V1466" s="380"/>
      <c r="W1466" s="380"/>
      <c r="X1466" s="380"/>
    </row>
    <row r="1467" spans="1:24" ht="15.75" customHeight="1">
      <c r="A1467" s="463"/>
      <c r="B1467" s="380"/>
      <c r="C1467" s="381"/>
      <c r="D1467" s="381"/>
      <c r="E1467" s="381"/>
      <c r="F1467" s="381"/>
      <c r="G1467" s="381"/>
      <c r="H1467" s="381"/>
      <c r="I1467" s="381"/>
      <c r="J1467" s="381"/>
      <c r="K1467" s="382"/>
      <c r="L1467" s="380"/>
      <c r="M1467" s="413"/>
      <c r="N1467" s="383"/>
      <c r="O1467" s="384"/>
      <c r="P1467" s="384"/>
      <c r="Q1467" s="383"/>
      <c r="R1467" s="383"/>
      <c r="S1467" s="385"/>
      <c r="T1467" s="380"/>
      <c r="U1467" s="380"/>
      <c r="V1467" s="380"/>
      <c r="W1467" s="380"/>
      <c r="X1467" s="380"/>
    </row>
    <row r="1468" spans="1:24" ht="15.75" customHeight="1">
      <c r="A1468" s="463"/>
      <c r="B1468" s="380"/>
      <c r="C1468" s="381"/>
      <c r="D1468" s="381"/>
      <c r="E1468" s="381"/>
      <c r="F1468" s="381"/>
      <c r="G1468" s="381"/>
      <c r="H1468" s="381"/>
      <c r="I1468" s="381"/>
      <c r="J1468" s="381"/>
      <c r="K1468" s="382"/>
      <c r="L1468" s="380"/>
      <c r="M1468" s="413"/>
      <c r="N1468" s="383"/>
      <c r="O1468" s="384"/>
      <c r="P1468" s="384"/>
      <c r="Q1468" s="383"/>
      <c r="R1468" s="383"/>
      <c r="S1468" s="385"/>
      <c r="T1468" s="380"/>
      <c r="U1468" s="380"/>
      <c r="V1468" s="380"/>
      <c r="W1468" s="380"/>
      <c r="X1468" s="380"/>
    </row>
    <row r="1469" spans="1:24" ht="15.75" customHeight="1">
      <c r="A1469" s="463"/>
      <c r="B1469" s="380"/>
      <c r="C1469" s="381"/>
      <c r="D1469" s="381"/>
      <c r="E1469" s="381"/>
      <c r="F1469" s="381"/>
      <c r="G1469" s="381"/>
      <c r="H1469" s="381"/>
      <c r="I1469" s="381"/>
      <c r="J1469" s="381"/>
      <c r="K1469" s="382"/>
      <c r="L1469" s="380"/>
      <c r="M1469" s="413"/>
      <c r="N1469" s="383"/>
      <c r="O1469" s="384"/>
      <c r="P1469" s="384"/>
      <c r="Q1469" s="383"/>
      <c r="R1469" s="383"/>
      <c r="S1469" s="385"/>
      <c r="T1469" s="380"/>
      <c r="U1469" s="380"/>
      <c r="V1469" s="380"/>
      <c r="W1469" s="380"/>
      <c r="X1469" s="380"/>
    </row>
    <row r="1470" spans="1:24" ht="15.75" customHeight="1">
      <c r="A1470" s="463"/>
      <c r="B1470" s="380"/>
      <c r="C1470" s="381"/>
      <c r="D1470" s="381"/>
      <c r="E1470" s="381"/>
      <c r="F1470" s="381"/>
      <c r="G1470" s="381"/>
      <c r="H1470" s="381"/>
      <c r="I1470" s="381"/>
      <c r="J1470" s="381"/>
      <c r="K1470" s="382"/>
      <c r="L1470" s="380"/>
      <c r="M1470" s="413"/>
      <c r="N1470" s="383"/>
      <c r="O1470" s="384"/>
      <c r="P1470" s="384"/>
      <c r="Q1470" s="383"/>
      <c r="R1470" s="383"/>
      <c r="S1470" s="385"/>
      <c r="T1470" s="380"/>
      <c r="U1470" s="380"/>
      <c r="V1470" s="380"/>
      <c r="W1470" s="380"/>
      <c r="X1470" s="380"/>
    </row>
    <row r="1471" spans="1:24" ht="15.75" customHeight="1">
      <c r="A1471" s="463"/>
      <c r="B1471" s="380"/>
      <c r="C1471" s="381"/>
      <c r="D1471" s="381"/>
      <c r="E1471" s="381"/>
      <c r="F1471" s="381"/>
      <c r="G1471" s="381"/>
      <c r="H1471" s="381"/>
      <c r="I1471" s="381"/>
      <c r="J1471" s="381"/>
      <c r="K1471" s="382"/>
      <c r="L1471" s="380"/>
      <c r="M1471" s="413"/>
      <c r="N1471" s="383"/>
      <c r="O1471" s="384"/>
      <c r="P1471" s="384"/>
      <c r="Q1471" s="383"/>
      <c r="R1471" s="383"/>
      <c r="S1471" s="385"/>
      <c r="T1471" s="380"/>
      <c r="U1471" s="380"/>
      <c r="V1471" s="380"/>
      <c r="W1471" s="380"/>
      <c r="X1471" s="380"/>
    </row>
    <row r="1472" spans="1:24" ht="15.75" customHeight="1">
      <c r="A1472" s="463"/>
      <c r="B1472" s="380"/>
      <c r="C1472" s="381"/>
      <c r="D1472" s="381"/>
      <c r="E1472" s="381"/>
      <c r="F1472" s="381"/>
      <c r="G1472" s="381"/>
      <c r="H1472" s="381"/>
      <c r="I1472" s="381"/>
      <c r="J1472" s="381"/>
      <c r="K1472" s="382"/>
      <c r="L1472" s="380"/>
      <c r="M1472" s="413"/>
      <c r="N1472" s="383"/>
      <c r="O1472" s="384"/>
      <c r="P1472" s="384"/>
      <c r="Q1472" s="383"/>
      <c r="R1472" s="383"/>
      <c r="S1472" s="385"/>
      <c r="T1472" s="380"/>
      <c r="U1472" s="380"/>
      <c r="V1472" s="380"/>
      <c r="W1472" s="380"/>
      <c r="X1472" s="380"/>
    </row>
    <row r="1473" spans="1:24" ht="15.75" customHeight="1">
      <c r="A1473" s="463"/>
      <c r="B1473" s="380"/>
      <c r="C1473" s="381"/>
      <c r="D1473" s="381"/>
      <c r="E1473" s="381"/>
      <c r="F1473" s="381"/>
      <c r="G1473" s="381"/>
      <c r="H1473" s="381"/>
      <c r="I1473" s="381"/>
      <c r="J1473" s="381"/>
      <c r="K1473" s="382"/>
      <c r="L1473" s="380"/>
      <c r="M1473" s="413"/>
      <c r="N1473" s="383"/>
      <c r="O1473" s="384"/>
      <c r="P1473" s="384"/>
      <c r="Q1473" s="383"/>
      <c r="R1473" s="383"/>
      <c r="S1473" s="385"/>
      <c r="T1473" s="380"/>
      <c r="U1473" s="380"/>
      <c r="V1473" s="380"/>
      <c r="W1473" s="380"/>
      <c r="X1473" s="380"/>
    </row>
    <row r="1474" spans="1:24" ht="15.75" customHeight="1">
      <c r="A1474" s="463"/>
      <c r="B1474" s="380"/>
      <c r="C1474" s="381"/>
      <c r="D1474" s="381"/>
      <c r="E1474" s="381"/>
      <c r="F1474" s="381"/>
      <c r="G1474" s="381"/>
      <c r="H1474" s="381"/>
      <c r="I1474" s="381"/>
      <c r="J1474" s="381"/>
      <c r="K1474" s="382"/>
      <c r="L1474" s="380"/>
      <c r="M1474" s="413"/>
      <c r="N1474" s="383"/>
      <c r="O1474" s="384"/>
      <c r="P1474" s="384"/>
      <c r="Q1474" s="383"/>
      <c r="R1474" s="383"/>
      <c r="S1474" s="385"/>
      <c r="T1474" s="380"/>
      <c r="U1474" s="380"/>
      <c r="V1474" s="380"/>
      <c r="W1474" s="380"/>
      <c r="X1474" s="380"/>
    </row>
    <row r="1475" spans="1:24" ht="15.75" customHeight="1">
      <c r="A1475" s="463"/>
      <c r="B1475" s="380"/>
      <c r="C1475" s="381"/>
      <c r="D1475" s="381"/>
      <c r="E1475" s="381"/>
      <c r="F1475" s="381"/>
      <c r="G1475" s="381"/>
      <c r="H1475" s="381"/>
      <c r="I1475" s="381"/>
      <c r="J1475" s="381"/>
      <c r="K1475" s="382"/>
      <c r="L1475" s="380"/>
      <c r="M1475" s="413"/>
      <c r="N1475" s="383"/>
      <c r="O1475" s="384"/>
      <c r="P1475" s="384"/>
      <c r="Q1475" s="383"/>
      <c r="R1475" s="383"/>
      <c r="S1475" s="385"/>
      <c r="T1475" s="380"/>
      <c r="U1475" s="380"/>
      <c r="V1475" s="380"/>
      <c r="W1475" s="380"/>
      <c r="X1475" s="380"/>
    </row>
    <row r="1476" spans="1:24" ht="15.75" customHeight="1">
      <c r="A1476" s="463"/>
      <c r="B1476" s="380"/>
      <c r="C1476" s="381"/>
      <c r="D1476" s="381"/>
      <c r="E1476" s="381"/>
      <c r="F1476" s="381"/>
      <c r="G1476" s="381"/>
      <c r="H1476" s="381"/>
      <c r="I1476" s="381"/>
      <c r="J1476" s="381"/>
      <c r="K1476" s="382"/>
      <c r="L1476" s="380"/>
      <c r="M1476" s="413"/>
      <c r="N1476" s="383"/>
      <c r="O1476" s="384"/>
      <c r="P1476" s="384"/>
      <c r="Q1476" s="383"/>
      <c r="R1476" s="383"/>
      <c r="S1476" s="385"/>
      <c r="T1476" s="380"/>
      <c r="U1476" s="380"/>
      <c r="V1476" s="380"/>
      <c r="W1476" s="380"/>
      <c r="X1476" s="380"/>
    </row>
    <row r="1477" spans="1:24" ht="15.75" customHeight="1">
      <c r="A1477" s="463"/>
      <c r="B1477" s="380"/>
      <c r="C1477" s="381"/>
      <c r="D1477" s="381"/>
      <c r="E1477" s="381"/>
      <c r="F1477" s="381"/>
      <c r="G1477" s="381"/>
      <c r="H1477" s="381"/>
      <c r="I1477" s="381"/>
      <c r="J1477" s="381"/>
      <c r="K1477" s="382"/>
      <c r="L1477" s="380"/>
      <c r="M1477" s="413"/>
      <c r="N1477" s="383"/>
      <c r="O1477" s="384"/>
      <c r="P1477" s="384"/>
      <c r="Q1477" s="383"/>
      <c r="R1477" s="383"/>
      <c r="S1477" s="385"/>
      <c r="T1477" s="380"/>
      <c r="U1477" s="380"/>
      <c r="V1477" s="380"/>
      <c r="W1477" s="380"/>
      <c r="X1477" s="380"/>
    </row>
    <row r="1478" spans="1:24" ht="15.75" customHeight="1">
      <c r="A1478" s="463"/>
      <c r="B1478" s="380"/>
      <c r="C1478" s="381"/>
      <c r="D1478" s="381"/>
      <c r="E1478" s="381"/>
      <c r="F1478" s="381"/>
      <c r="G1478" s="381"/>
      <c r="H1478" s="381"/>
      <c r="I1478" s="381"/>
      <c r="J1478" s="381"/>
      <c r="K1478" s="382"/>
      <c r="L1478" s="380"/>
      <c r="M1478" s="413"/>
      <c r="N1478" s="383"/>
      <c r="O1478" s="384"/>
      <c r="P1478" s="384"/>
      <c r="Q1478" s="383"/>
      <c r="R1478" s="383"/>
      <c r="S1478" s="385"/>
      <c r="T1478" s="380"/>
      <c r="U1478" s="380"/>
      <c r="V1478" s="380"/>
      <c r="W1478" s="380"/>
      <c r="X1478" s="380"/>
    </row>
    <row r="1479" spans="1:24" ht="15.75" customHeight="1">
      <c r="A1479" s="463"/>
      <c r="B1479" s="380"/>
      <c r="C1479" s="381"/>
      <c r="D1479" s="381"/>
      <c r="E1479" s="381"/>
      <c r="F1479" s="381"/>
      <c r="G1479" s="381"/>
      <c r="H1479" s="381"/>
      <c r="I1479" s="381"/>
      <c r="J1479" s="381"/>
      <c r="K1479" s="382"/>
      <c r="L1479" s="380"/>
      <c r="M1479" s="413"/>
      <c r="N1479" s="383"/>
      <c r="O1479" s="384"/>
      <c r="P1479" s="384"/>
      <c r="Q1479" s="383"/>
      <c r="R1479" s="383"/>
      <c r="S1479" s="385"/>
      <c r="T1479" s="380"/>
      <c r="U1479" s="380"/>
      <c r="V1479" s="380"/>
      <c r="W1479" s="380"/>
      <c r="X1479" s="380"/>
    </row>
    <row r="1480" spans="1:24" ht="15.75" customHeight="1">
      <c r="A1480" s="463"/>
      <c r="B1480" s="380"/>
      <c r="C1480" s="381"/>
      <c r="D1480" s="381"/>
      <c r="E1480" s="381"/>
      <c r="F1480" s="381"/>
      <c r="G1480" s="381"/>
      <c r="H1480" s="381"/>
      <c r="I1480" s="381"/>
      <c r="J1480" s="381"/>
      <c r="K1480" s="382"/>
      <c r="L1480" s="380"/>
      <c r="M1480" s="413"/>
      <c r="N1480" s="383"/>
      <c r="O1480" s="384"/>
      <c r="P1480" s="384"/>
      <c r="Q1480" s="383"/>
      <c r="R1480" s="383"/>
      <c r="S1480" s="385"/>
      <c r="T1480" s="380"/>
      <c r="U1480" s="380"/>
      <c r="V1480" s="380"/>
      <c r="W1480" s="380"/>
      <c r="X1480" s="380"/>
    </row>
    <row r="1481" spans="1:24" ht="15.75" customHeight="1">
      <c r="A1481" s="463"/>
      <c r="B1481" s="380"/>
      <c r="C1481" s="381"/>
      <c r="D1481" s="381"/>
      <c r="E1481" s="381"/>
      <c r="F1481" s="381"/>
      <c r="G1481" s="381"/>
      <c r="H1481" s="381"/>
      <c r="I1481" s="381"/>
      <c r="J1481" s="381"/>
      <c r="K1481" s="382"/>
      <c r="L1481" s="380"/>
      <c r="M1481" s="413"/>
      <c r="N1481" s="383"/>
      <c r="O1481" s="384"/>
      <c r="P1481" s="384"/>
      <c r="Q1481" s="383"/>
      <c r="R1481" s="383"/>
      <c r="S1481" s="385"/>
      <c r="T1481" s="380"/>
      <c r="U1481" s="380"/>
      <c r="V1481" s="380"/>
      <c r="W1481" s="380"/>
      <c r="X1481" s="380"/>
    </row>
    <row r="1482" spans="1:24" ht="15.75" customHeight="1">
      <c r="A1482" s="463"/>
      <c r="B1482" s="380"/>
      <c r="C1482" s="381"/>
      <c r="D1482" s="381"/>
      <c r="E1482" s="381"/>
      <c r="F1482" s="381"/>
      <c r="G1482" s="381"/>
      <c r="H1482" s="381"/>
      <c r="I1482" s="381"/>
      <c r="J1482" s="381"/>
      <c r="K1482" s="382"/>
      <c r="L1482" s="380"/>
      <c r="M1482" s="413"/>
      <c r="N1482" s="383"/>
      <c r="O1482" s="384"/>
      <c r="P1482" s="384"/>
      <c r="Q1482" s="383"/>
      <c r="R1482" s="383"/>
      <c r="S1482" s="385"/>
      <c r="T1482" s="380"/>
      <c r="U1482" s="380"/>
      <c r="V1482" s="380"/>
      <c r="W1482" s="380"/>
      <c r="X1482" s="380"/>
    </row>
    <row r="1483" spans="1:24" ht="15.75" customHeight="1">
      <c r="A1483" s="463"/>
      <c r="B1483" s="380"/>
      <c r="C1483" s="381"/>
      <c r="D1483" s="381"/>
      <c r="E1483" s="381"/>
      <c r="F1483" s="381"/>
      <c r="G1483" s="381"/>
      <c r="H1483" s="381"/>
      <c r="I1483" s="381"/>
      <c r="J1483" s="381"/>
      <c r="K1483" s="382"/>
      <c r="L1483" s="380"/>
      <c r="M1483" s="413"/>
      <c r="N1483" s="383"/>
      <c r="O1483" s="384"/>
      <c r="P1483" s="384"/>
      <c r="Q1483" s="383"/>
      <c r="R1483" s="383"/>
      <c r="S1483" s="385"/>
      <c r="T1483" s="380"/>
      <c r="U1483" s="380"/>
      <c r="V1483" s="380"/>
      <c r="W1483" s="380"/>
      <c r="X1483" s="380"/>
    </row>
    <row r="1484" spans="1:24" ht="15.75" customHeight="1">
      <c r="A1484" s="463"/>
      <c r="B1484" s="380"/>
      <c r="C1484" s="381"/>
      <c r="D1484" s="381"/>
      <c r="E1484" s="381"/>
      <c r="F1484" s="381"/>
      <c r="G1484" s="381"/>
      <c r="H1484" s="381"/>
      <c r="I1484" s="381"/>
      <c r="J1484" s="381"/>
      <c r="K1484" s="382"/>
      <c r="L1484" s="380"/>
      <c r="M1484" s="413"/>
      <c r="N1484" s="383"/>
      <c r="O1484" s="384"/>
      <c r="P1484" s="384"/>
      <c r="Q1484" s="383"/>
      <c r="R1484" s="383"/>
      <c r="S1484" s="385"/>
      <c r="T1484" s="380"/>
      <c r="U1484" s="380"/>
      <c r="V1484" s="380"/>
      <c r="W1484" s="380"/>
      <c r="X1484" s="380"/>
    </row>
    <row r="1485" spans="1:24" ht="15.75" customHeight="1">
      <c r="A1485" s="463"/>
      <c r="B1485" s="380"/>
      <c r="C1485" s="381"/>
      <c r="D1485" s="381"/>
      <c r="E1485" s="381"/>
      <c r="F1485" s="381"/>
      <c r="G1485" s="381"/>
      <c r="H1485" s="381"/>
      <c r="I1485" s="381"/>
      <c r="J1485" s="381"/>
      <c r="K1485" s="382"/>
      <c r="L1485" s="380"/>
      <c r="M1485" s="413"/>
      <c r="N1485" s="383"/>
      <c r="O1485" s="384"/>
      <c r="P1485" s="384"/>
      <c r="Q1485" s="383"/>
      <c r="R1485" s="383"/>
      <c r="S1485" s="385"/>
      <c r="T1485" s="380"/>
      <c r="U1485" s="380"/>
      <c r="V1485" s="380"/>
      <c r="W1485" s="380"/>
      <c r="X1485" s="380"/>
    </row>
    <row r="1486" spans="1:24" ht="15.75" customHeight="1">
      <c r="A1486" s="463"/>
      <c r="B1486" s="380"/>
      <c r="C1486" s="381"/>
      <c r="D1486" s="381"/>
      <c r="E1486" s="381"/>
      <c r="F1486" s="381"/>
      <c r="G1486" s="381"/>
      <c r="H1486" s="381"/>
      <c r="I1486" s="381"/>
      <c r="J1486" s="381"/>
      <c r="K1486" s="382"/>
      <c r="L1486" s="380"/>
      <c r="M1486" s="413"/>
      <c r="N1486" s="383"/>
      <c r="O1486" s="384"/>
      <c r="P1486" s="384"/>
      <c r="Q1486" s="383"/>
      <c r="R1486" s="383"/>
      <c r="S1486" s="385"/>
      <c r="T1486" s="380"/>
      <c r="U1486" s="380"/>
      <c r="V1486" s="380"/>
      <c r="W1486" s="380"/>
      <c r="X1486" s="380"/>
    </row>
    <row r="1487" spans="1:24" ht="15.75" customHeight="1">
      <c r="A1487" s="463"/>
      <c r="B1487" s="380"/>
      <c r="C1487" s="381"/>
      <c r="D1487" s="381"/>
      <c r="E1487" s="381"/>
      <c r="F1487" s="381"/>
      <c r="G1487" s="381"/>
      <c r="H1487" s="381"/>
      <c r="I1487" s="381"/>
      <c r="J1487" s="381"/>
      <c r="K1487" s="382"/>
      <c r="L1487" s="380"/>
      <c r="M1487" s="413"/>
      <c r="N1487" s="383"/>
      <c r="O1487" s="384"/>
      <c r="P1487" s="384"/>
      <c r="Q1487" s="383"/>
      <c r="R1487" s="383"/>
      <c r="S1487" s="385"/>
      <c r="T1487" s="380"/>
      <c r="U1487" s="380"/>
      <c r="V1487" s="380"/>
      <c r="W1487" s="380"/>
      <c r="X1487" s="380"/>
    </row>
    <row r="1488" spans="1:24" ht="15.75" customHeight="1">
      <c r="A1488" s="463"/>
      <c r="B1488" s="380"/>
      <c r="C1488" s="381"/>
      <c r="D1488" s="381"/>
      <c r="E1488" s="381"/>
      <c r="F1488" s="381"/>
      <c r="G1488" s="381"/>
      <c r="H1488" s="381"/>
      <c r="I1488" s="381"/>
      <c r="J1488" s="381"/>
      <c r="K1488" s="382"/>
      <c r="L1488" s="380"/>
      <c r="M1488" s="413"/>
      <c r="N1488" s="383"/>
      <c r="O1488" s="384"/>
      <c r="P1488" s="384"/>
      <c r="Q1488" s="383"/>
      <c r="R1488" s="383"/>
      <c r="S1488" s="385"/>
      <c r="T1488" s="380"/>
      <c r="U1488" s="380"/>
      <c r="V1488" s="380"/>
      <c r="W1488" s="380"/>
      <c r="X1488" s="380"/>
    </row>
    <row r="1489" spans="1:24" ht="15.75" customHeight="1">
      <c r="A1489" s="463"/>
      <c r="B1489" s="380"/>
      <c r="C1489" s="381"/>
      <c r="D1489" s="381"/>
      <c r="E1489" s="381"/>
      <c r="F1489" s="381"/>
      <c r="G1489" s="381"/>
      <c r="H1489" s="381"/>
      <c r="I1489" s="381"/>
      <c r="J1489" s="381"/>
      <c r="K1489" s="382"/>
      <c r="L1489" s="380"/>
      <c r="M1489" s="413"/>
      <c r="N1489" s="383"/>
      <c r="O1489" s="384"/>
      <c r="P1489" s="384"/>
      <c r="Q1489" s="383"/>
      <c r="R1489" s="383"/>
      <c r="S1489" s="385"/>
      <c r="T1489" s="380"/>
      <c r="U1489" s="380"/>
      <c r="V1489" s="380"/>
      <c r="W1489" s="380"/>
      <c r="X1489" s="380"/>
    </row>
    <row r="1490" spans="1:24" ht="15.75" customHeight="1">
      <c r="A1490" s="463"/>
      <c r="B1490" s="380"/>
      <c r="C1490" s="381"/>
      <c r="D1490" s="381"/>
      <c r="E1490" s="381"/>
      <c r="F1490" s="381"/>
      <c r="G1490" s="381"/>
      <c r="H1490" s="381"/>
      <c r="I1490" s="381"/>
      <c r="J1490" s="381"/>
      <c r="K1490" s="382"/>
      <c r="L1490" s="380"/>
      <c r="M1490" s="413"/>
      <c r="N1490" s="383"/>
      <c r="O1490" s="384"/>
      <c r="P1490" s="384"/>
      <c r="Q1490" s="383"/>
      <c r="R1490" s="383"/>
      <c r="S1490" s="385"/>
      <c r="T1490" s="380"/>
      <c r="U1490" s="380"/>
      <c r="V1490" s="380"/>
      <c r="W1490" s="380"/>
      <c r="X1490" s="380"/>
    </row>
    <row r="1491" spans="1:24" ht="15.75" customHeight="1">
      <c r="A1491" s="463"/>
      <c r="B1491" s="380"/>
      <c r="C1491" s="381"/>
      <c r="D1491" s="381"/>
      <c r="E1491" s="381"/>
      <c r="F1491" s="381"/>
      <c r="G1491" s="381"/>
      <c r="H1491" s="381"/>
      <c r="I1491" s="381"/>
      <c r="J1491" s="381"/>
      <c r="K1491" s="382"/>
      <c r="L1491" s="380"/>
      <c r="M1491" s="413"/>
      <c r="N1491" s="383"/>
      <c r="O1491" s="384"/>
      <c r="P1491" s="384"/>
      <c r="Q1491" s="383"/>
      <c r="R1491" s="383"/>
      <c r="S1491" s="385"/>
      <c r="T1491" s="380"/>
      <c r="U1491" s="380"/>
      <c r="V1491" s="380"/>
      <c r="W1491" s="380"/>
      <c r="X1491" s="380"/>
    </row>
    <row r="1492" spans="1:24" ht="15.75" customHeight="1">
      <c r="A1492" s="463"/>
      <c r="B1492" s="380"/>
      <c r="C1492" s="381"/>
      <c r="D1492" s="381"/>
      <c r="E1492" s="381"/>
      <c r="F1492" s="381"/>
      <c r="G1492" s="381"/>
      <c r="H1492" s="381"/>
      <c r="I1492" s="381"/>
      <c r="J1492" s="381"/>
      <c r="K1492" s="382"/>
      <c r="L1492" s="380"/>
      <c r="M1492" s="413"/>
      <c r="N1492" s="383"/>
      <c r="O1492" s="384"/>
      <c r="P1492" s="384"/>
      <c r="Q1492" s="383"/>
      <c r="R1492" s="383"/>
      <c r="S1492" s="385"/>
      <c r="T1492" s="380"/>
      <c r="U1492" s="380"/>
      <c r="V1492" s="380"/>
      <c r="W1492" s="380"/>
      <c r="X1492" s="380"/>
    </row>
    <row r="1493" spans="1:24" ht="15.75" customHeight="1">
      <c r="A1493" s="463"/>
      <c r="B1493" s="380"/>
      <c r="C1493" s="381"/>
      <c r="D1493" s="381"/>
      <c r="E1493" s="381"/>
      <c r="F1493" s="381"/>
      <c r="G1493" s="381"/>
      <c r="H1493" s="381"/>
      <c r="I1493" s="381"/>
      <c r="J1493" s="381"/>
      <c r="K1493" s="382"/>
      <c r="L1493" s="380"/>
      <c r="M1493" s="413"/>
      <c r="N1493" s="383"/>
      <c r="O1493" s="384"/>
      <c r="P1493" s="384"/>
      <c r="Q1493" s="383"/>
      <c r="R1493" s="383"/>
      <c r="S1493" s="385"/>
      <c r="T1493" s="380"/>
      <c r="U1493" s="380"/>
      <c r="V1493" s="380"/>
      <c r="W1493" s="380"/>
      <c r="X1493" s="380"/>
    </row>
    <row r="1494" spans="1:24" ht="15.75" customHeight="1">
      <c r="A1494" s="463"/>
      <c r="B1494" s="380"/>
      <c r="C1494" s="381"/>
      <c r="D1494" s="381"/>
      <c r="E1494" s="381"/>
      <c r="F1494" s="381"/>
      <c r="G1494" s="381"/>
      <c r="H1494" s="381"/>
      <c r="I1494" s="381"/>
      <c r="J1494" s="381"/>
      <c r="K1494" s="382"/>
      <c r="L1494" s="380"/>
      <c r="M1494" s="413"/>
      <c r="N1494" s="383"/>
      <c r="O1494" s="384"/>
      <c r="P1494" s="384"/>
      <c r="Q1494" s="383"/>
      <c r="R1494" s="383"/>
      <c r="S1494" s="385"/>
      <c r="T1494" s="380"/>
      <c r="U1494" s="380"/>
      <c r="V1494" s="380"/>
      <c r="W1494" s="380"/>
      <c r="X1494" s="380"/>
    </row>
    <row r="1495" spans="1:24" ht="15.75" customHeight="1">
      <c r="A1495" s="463"/>
      <c r="B1495" s="380"/>
      <c r="C1495" s="381"/>
      <c r="D1495" s="381"/>
      <c r="E1495" s="381"/>
      <c r="F1495" s="381"/>
      <c r="G1495" s="381"/>
      <c r="H1495" s="381"/>
      <c r="I1495" s="381"/>
      <c r="J1495" s="381"/>
      <c r="K1495" s="382"/>
      <c r="L1495" s="380"/>
      <c r="M1495" s="413"/>
      <c r="N1495" s="383"/>
      <c r="O1495" s="384"/>
      <c r="P1495" s="384"/>
      <c r="Q1495" s="383"/>
      <c r="R1495" s="383"/>
      <c r="S1495" s="385"/>
      <c r="T1495" s="380"/>
      <c r="U1495" s="380"/>
      <c r="V1495" s="380"/>
      <c r="W1495" s="380"/>
      <c r="X1495" s="380"/>
    </row>
    <row r="1496" spans="1:24" ht="15.75" customHeight="1">
      <c r="A1496" s="463"/>
      <c r="B1496" s="380"/>
      <c r="C1496" s="381"/>
      <c r="D1496" s="381"/>
      <c r="E1496" s="381"/>
      <c r="F1496" s="381"/>
      <c r="G1496" s="381"/>
      <c r="H1496" s="381"/>
      <c r="I1496" s="381"/>
      <c r="J1496" s="381"/>
      <c r="K1496" s="382"/>
      <c r="L1496" s="380"/>
      <c r="M1496" s="413"/>
      <c r="N1496" s="383"/>
      <c r="O1496" s="384"/>
      <c r="P1496" s="384"/>
      <c r="Q1496" s="383"/>
      <c r="R1496" s="383"/>
      <c r="S1496" s="385"/>
      <c r="T1496" s="380"/>
      <c r="U1496" s="380"/>
      <c r="V1496" s="380"/>
      <c r="W1496" s="380"/>
      <c r="X1496" s="380"/>
    </row>
    <row r="1497" spans="1:24" ht="15.75" customHeight="1">
      <c r="A1497" s="463"/>
      <c r="B1497" s="380"/>
      <c r="C1497" s="381"/>
      <c r="D1497" s="381"/>
      <c r="E1497" s="381"/>
      <c r="F1497" s="381"/>
      <c r="G1497" s="381"/>
      <c r="H1497" s="381"/>
      <c r="I1497" s="381"/>
      <c r="J1497" s="381"/>
      <c r="K1497" s="382"/>
      <c r="L1497" s="380"/>
      <c r="M1497" s="413"/>
      <c r="N1497" s="383"/>
      <c r="O1497" s="384"/>
      <c r="P1497" s="384"/>
      <c r="Q1497" s="383"/>
      <c r="R1497" s="383"/>
      <c r="S1497" s="385"/>
      <c r="T1497" s="380"/>
      <c r="U1497" s="380"/>
      <c r="V1497" s="380"/>
      <c r="W1497" s="380"/>
      <c r="X1497" s="380"/>
    </row>
    <row r="1498" spans="1:24" ht="15.75" customHeight="1">
      <c r="A1498" s="463"/>
      <c r="B1498" s="380"/>
      <c r="C1498" s="381"/>
      <c r="D1498" s="381"/>
      <c r="E1498" s="381"/>
      <c r="F1498" s="381"/>
      <c r="G1498" s="381"/>
      <c r="H1498" s="381"/>
      <c r="I1498" s="381"/>
      <c r="J1498" s="381"/>
      <c r="K1498" s="382"/>
      <c r="L1498" s="380"/>
      <c r="M1498" s="413"/>
      <c r="N1498" s="383"/>
      <c r="O1498" s="384"/>
      <c r="P1498" s="384"/>
      <c r="Q1498" s="383"/>
      <c r="R1498" s="383"/>
      <c r="S1498" s="385"/>
      <c r="T1498" s="380"/>
      <c r="U1498" s="380"/>
      <c r="V1498" s="380"/>
      <c r="W1498" s="380"/>
      <c r="X1498" s="380"/>
    </row>
    <row r="1499" spans="1:24" ht="15.75" customHeight="1">
      <c r="A1499" s="463"/>
      <c r="B1499" s="380"/>
      <c r="C1499" s="381"/>
      <c r="D1499" s="381"/>
      <c r="E1499" s="381"/>
      <c r="F1499" s="381"/>
      <c r="G1499" s="381"/>
      <c r="H1499" s="381"/>
      <c r="I1499" s="381"/>
      <c r="J1499" s="381"/>
      <c r="K1499" s="382"/>
      <c r="L1499" s="380"/>
      <c r="M1499" s="413"/>
      <c r="N1499" s="383"/>
      <c r="O1499" s="384"/>
      <c r="P1499" s="384"/>
      <c r="Q1499" s="383"/>
      <c r="R1499" s="383"/>
      <c r="S1499" s="385"/>
      <c r="T1499" s="380"/>
      <c r="U1499" s="380"/>
      <c r="V1499" s="380"/>
      <c r="W1499" s="380"/>
      <c r="X1499" s="380"/>
    </row>
    <row r="1500" spans="1:24" ht="15.75" customHeight="1">
      <c r="A1500" s="463"/>
      <c r="B1500" s="380"/>
      <c r="C1500" s="381"/>
      <c r="D1500" s="381"/>
      <c r="E1500" s="381"/>
      <c r="F1500" s="381"/>
      <c r="G1500" s="381"/>
      <c r="H1500" s="381"/>
      <c r="I1500" s="381"/>
      <c r="J1500" s="381"/>
      <c r="K1500" s="382"/>
      <c r="L1500" s="380"/>
      <c r="M1500" s="413"/>
      <c r="N1500" s="383"/>
      <c r="O1500" s="384"/>
      <c r="P1500" s="384"/>
      <c r="Q1500" s="383"/>
      <c r="R1500" s="383"/>
      <c r="S1500" s="385"/>
      <c r="T1500" s="380"/>
      <c r="U1500" s="380"/>
      <c r="V1500" s="380"/>
      <c r="W1500" s="380"/>
      <c r="X1500" s="380"/>
    </row>
    <row r="1501" spans="1:24" ht="15.75" customHeight="1">
      <c r="A1501" s="463"/>
      <c r="B1501" s="380"/>
      <c r="C1501" s="381"/>
      <c r="D1501" s="381"/>
      <c r="E1501" s="381"/>
      <c r="F1501" s="381"/>
      <c r="G1501" s="381"/>
      <c r="H1501" s="381"/>
      <c r="I1501" s="381"/>
      <c r="J1501" s="381"/>
      <c r="K1501" s="382"/>
      <c r="L1501" s="380"/>
      <c r="M1501" s="413"/>
      <c r="N1501" s="383"/>
      <c r="O1501" s="384"/>
      <c r="P1501" s="384"/>
      <c r="Q1501" s="383"/>
      <c r="R1501" s="383"/>
      <c r="S1501" s="385"/>
      <c r="T1501" s="380"/>
      <c r="U1501" s="380"/>
      <c r="V1501" s="380"/>
      <c r="W1501" s="380"/>
      <c r="X1501" s="380"/>
    </row>
    <row r="1502" spans="1:24" ht="15.75" customHeight="1">
      <c r="A1502" s="463"/>
      <c r="B1502" s="380"/>
      <c r="C1502" s="381"/>
      <c r="D1502" s="381"/>
      <c r="E1502" s="381"/>
      <c r="F1502" s="381"/>
      <c r="G1502" s="381"/>
      <c r="H1502" s="381"/>
      <c r="I1502" s="381"/>
      <c r="J1502" s="381"/>
      <c r="K1502" s="382"/>
      <c r="L1502" s="380"/>
      <c r="M1502" s="413"/>
      <c r="N1502" s="383"/>
      <c r="O1502" s="384"/>
      <c r="P1502" s="384"/>
      <c r="Q1502" s="383"/>
      <c r="R1502" s="383"/>
      <c r="S1502" s="385"/>
      <c r="T1502" s="380"/>
      <c r="U1502" s="380"/>
      <c r="V1502" s="380"/>
      <c r="W1502" s="380"/>
      <c r="X1502" s="380"/>
    </row>
    <row r="1503" spans="1:24" ht="15.75" customHeight="1">
      <c r="A1503" s="463"/>
      <c r="B1503" s="380"/>
      <c r="C1503" s="381"/>
      <c r="D1503" s="381"/>
      <c r="E1503" s="381"/>
      <c r="F1503" s="381"/>
      <c r="G1503" s="381"/>
      <c r="H1503" s="381"/>
      <c r="I1503" s="381"/>
      <c r="J1503" s="381"/>
      <c r="K1503" s="382"/>
      <c r="L1503" s="380"/>
      <c r="M1503" s="413"/>
      <c r="N1503" s="383"/>
      <c r="O1503" s="384"/>
      <c r="P1503" s="384"/>
      <c r="Q1503" s="383"/>
      <c r="R1503" s="383"/>
      <c r="S1503" s="385"/>
      <c r="T1503" s="380"/>
      <c r="U1503" s="380"/>
      <c r="V1503" s="380"/>
      <c r="W1503" s="380"/>
      <c r="X1503" s="380"/>
    </row>
    <row r="1504" spans="1:24" ht="15.75" customHeight="1">
      <c r="A1504" s="463"/>
      <c r="B1504" s="380"/>
      <c r="C1504" s="381"/>
      <c r="D1504" s="381"/>
      <c r="E1504" s="381"/>
      <c r="F1504" s="381"/>
      <c r="G1504" s="381"/>
      <c r="H1504" s="381"/>
      <c r="I1504" s="381"/>
      <c r="J1504" s="381"/>
      <c r="K1504" s="382"/>
      <c r="L1504" s="380"/>
      <c r="M1504" s="413"/>
      <c r="N1504" s="383"/>
      <c r="O1504" s="384"/>
      <c r="P1504" s="384"/>
      <c r="Q1504" s="383"/>
      <c r="R1504" s="383"/>
      <c r="S1504" s="385"/>
      <c r="T1504" s="380"/>
      <c r="U1504" s="380"/>
      <c r="V1504" s="380"/>
      <c r="W1504" s="380"/>
      <c r="X1504" s="380"/>
    </row>
    <row r="1505" spans="1:24" ht="15.75" customHeight="1">
      <c r="A1505" s="463"/>
      <c r="B1505" s="380"/>
      <c r="C1505" s="381"/>
      <c r="D1505" s="381"/>
      <c r="E1505" s="381"/>
      <c r="F1505" s="381"/>
      <c r="G1505" s="381"/>
      <c r="H1505" s="381"/>
      <c r="I1505" s="381"/>
      <c r="J1505" s="381"/>
      <c r="K1505" s="382"/>
      <c r="L1505" s="380"/>
      <c r="M1505" s="413"/>
      <c r="N1505" s="383"/>
      <c r="O1505" s="384"/>
      <c r="P1505" s="384"/>
      <c r="Q1505" s="383"/>
      <c r="R1505" s="383"/>
      <c r="S1505" s="385"/>
      <c r="T1505" s="380"/>
      <c r="U1505" s="380"/>
      <c r="V1505" s="380"/>
      <c r="W1505" s="380"/>
      <c r="X1505" s="380"/>
    </row>
    <row r="1506" spans="1:24" ht="15.75" customHeight="1">
      <c r="A1506" s="463"/>
      <c r="B1506" s="380"/>
      <c r="C1506" s="381"/>
      <c r="D1506" s="381"/>
      <c r="E1506" s="381"/>
      <c r="F1506" s="381"/>
      <c r="G1506" s="381"/>
      <c r="H1506" s="381"/>
      <c r="I1506" s="381"/>
      <c r="J1506" s="381"/>
      <c r="K1506" s="382"/>
      <c r="L1506" s="380"/>
      <c r="M1506" s="413"/>
      <c r="N1506" s="383"/>
      <c r="O1506" s="384"/>
      <c r="P1506" s="384"/>
      <c r="Q1506" s="383"/>
      <c r="R1506" s="383"/>
      <c r="S1506" s="385"/>
      <c r="T1506" s="380"/>
      <c r="U1506" s="380"/>
      <c r="V1506" s="380"/>
      <c r="W1506" s="380"/>
      <c r="X1506" s="380"/>
    </row>
    <row r="1507" spans="1:24" ht="15.75" customHeight="1">
      <c r="A1507" s="463"/>
      <c r="B1507" s="380"/>
      <c r="C1507" s="381"/>
      <c r="D1507" s="381"/>
      <c r="E1507" s="381"/>
      <c r="F1507" s="381"/>
      <c r="G1507" s="381"/>
      <c r="H1507" s="381"/>
      <c r="I1507" s="381"/>
      <c r="J1507" s="381"/>
      <c r="K1507" s="382"/>
      <c r="L1507" s="380"/>
      <c r="M1507" s="413"/>
      <c r="N1507" s="383"/>
      <c r="O1507" s="384"/>
      <c r="P1507" s="384"/>
      <c r="Q1507" s="383"/>
      <c r="R1507" s="383"/>
      <c r="S1507" s="385"/>
      <c r="T1507" s="380"/>
      <c r="U1507" s="380"/>
      <c r="V1507" s="380"/>
      <c r="W1507" s="380"/>
      <c r="X1507" s="380"/>
    </row>
    <row r="1508" spans="1:24" ht="15.75" customHeight="1">
      <c r="A1508" s="463"/>
      <c r="B1508" s="380"/>
      <c r="C1508" s="381"/>
      <c r="D1508" s="381"/>
      <c r="E1508" s="381"/>
      <c r="F1508" s="381"/>
      <c r="G1508" s="381"/>
      <c r="H1508" s="381"/>
      <c r="I1508" s="381"/>
      <c r="J1508" s="381"/>
      <c r="K1508" s="382"/>
      <c r="L1508" s="380"/>
      <c r="M1508" s="413"/>
      <c r="N1508" s="383"/>
      <c r="O1508" s="384"/>
      <c r="P1508" s="384"/>
      <c r="Q1508" s="383"/>
      <c r="R1508" s="383"/>
      <c r="S1508" s="385"/>
      <c r="T1508" s="380"/>
      <c r="U1508" s="380"/>
      <c r="V1508" s="380"/>
      <c r="W1508" s="380"/>
      <c r="X1508" s="380"/>
    </row>
    <row r="1509" spans="1:24" ht="15.75" customHeight="1">
      <c r="A1509" s="463"/>
      <c r="B1509" s="380"/>
      <c r="C1509" s="381"/>
      <c r="D1509" s="381"/>
      <c r="E1509" s="381"/>
      <c r="F1509" s="381"/>
      <c r="G1509" s="381"/>
      <c r="H1509" s="381"/>
      <c r="I1509" s="381"/>
      <c r="J1509" s="381"/>
      <c r="K1509" s="382"/>
      <c r="L1509" s="380"/>
      <c r="M1509" s="413"/>
      <c r="N1509" s="383"/>
      <c r="O1509" s="384"/>
      <c r="P1509" s="384"/>
      <c r="Q1509" s="383"/>
      <c r="R1509" s="383"/>
      <c r="S1509" s="385"/>
      <c r="T1509" s="380"/>
      <c r="U1509" s="380"/>
      <c r="V1509" s="380"/>
      <c r="W1509" s="380"/>
      <c r="X1509" s="380"/>
    </row>
    <row r="1510" spans="1:24" ht="15.75" customHeight="1">
      <c r="A1510" s="463"/>
      <c r="B1510" s="380"/>
      <c r="C1510" s="381"/>
      <c r="D1510" s="381"/>
      <c r="E1510" s="381"/>
      <c r="F1510" s="381"/>
      <c r="G1510" s="381"/>
      <c r="H1510" s="381"/>
      <c r="I1510" s="381"/>
      <c r="J1510" s="381"/>
      <c r="K1510" s="382"/>
      <c r="L1510" s="380"/>
      <c r="M1510" s="413"/>
      <c r="N1510" s="383"/>
      <c r="O1510" s="384"/>
      <c r="P1510" s="384"/>
      <c r="Q1510" s="383"/>
      <c r="R1510" s="383"/>
      <c r="S1510" s="385"/>
      <c r="T1510" s="380"/>
      <c r="U1510" s="380"/>
      <c r="V1510" s="380"/>
      <c r="W1510" s="380"/>
      <c r="X1510" s="380"/>
    </row>
    <row r="1511" spans="1:24" ht="15.75" customHeight="1">
      <c r="A1511" s="463"/>
      <c r="B1511" s="380"/>
      <c r="C1511" s="381"/>
      <c r="D1511" s="381"/>
      <c r="E1511" s="381"/>
      <c r="F1511" s="381"/>
      <c r="G1511" s="381"/>
      <c r="H1511" s="381"/>
      <c r="I1511" s="381"/>
      <c r="J1511" s="381"/>
      <c r="K1511" s="382"/>
      <c r="L1511" s="380"/>
      <c r="M1511" s="413"/>
      <c r="N1511" s="383"/>
      <c r="O1511" s="384"/>
      <c r="P1511" s="384"/>
      <c r="Q1511" s="383"/>
      <c r="R1511" s="383"/>
      <c r="S1511" s="385"/>
      <c r="T1511" s="380"/>
      <c r="U1511" s="380"/>
      <c r="V1511" s="380"/>
      <c r="W1511" s="380"/>
      <c r="X1511" s="380"/>
    </row>
    <row r="1512" spans="1:24" ht="15.75" customHeight="1">
      <c r="A1512" s="463"/>
      <c r="B1512" s="380"/>
      <c r="C1512" s="381"/>
      <c r="D1512" s="381"/>
      <c r="E1512" s="381"/>
      <c r="F1512" s="381"/>
      <c r="G1512" s="381"/>
      <c r="H1512" s="381"/>
      <c r="I1512" s="381"/>
      <c r="J1512" s="381"/>
      <c r="K1512" s="382"/>
      <c r="L1512" s="380"/>
      <c r="M1512" s="413"/>
      <c r="N1512" s="383"/>
      <c r="O1512" s="384"/>
      <c r="P1512" s="384"/>
      <c r="Q1512" s="383"/>
      <c r="R1512" s="383"/>
      <c r="S1512" s="385"/>
      <c r="T1512" s="380"/>
      <c r="U1512" s="380"/>
      <c r="V1512" s="380"/>
      <c r="W1512" s="380"/>
      <c r="X1512" s="380"/>
    </row>
    <row r="1513" spans="1:24" ht="15.75" customHeight="1">
      <c r="A1513" s="463"/>
      <c r="B1513" s="380"/>
      <c r="C1513" s="381"/>
      <c r="D1513" s="381"/>
      <c r="E1513" s="381"/>
      <c r="F1513" s="381"/>
      <c r="G1513" s="381"/>
      <c r="H1513" s="381"/>
      <c r="I1513" s="381"/>
      <c r="J1513" s="381"/>
      <c r="K1513" s="382"/>
      <c r="L1513" s="380"/>
      <c r="M1513" s="413"/>
      <c r="N1513" s="383"/>
      <c r="O1513" s="384"/>
      <c r="P1513" s="384"/>
      <c r="Q1513" s="383"/>
      <c r="R1513" s="383"/>
      <c r="S1513" s="385"/>
      <c r="T1513" s="380"/>
      <c r="U1513" s="380"/>
      <c r="V1513" s="380"/>
      <c r="W1513" s="380"/>
      <c r="X1513" s="380"/>
    </row>
    <row r="1514" spans="1:24" ht="15.75" customHeight="1">
      <c r="A1514" s="463"/>
      <c r="B1514" s="380"/>
      <c r="C1514" s="381"/>
      <c r="D1514" s="381"/>
      <c r="E1514" s="381"/>
      <c r="F1514" s="381"/>
      <c r="G1514" s="381"/>
      <c r="H1514" s="381"/>
      <c r="I1514" s="381"/>
      <c r="J1514" s="381"/>
      <c r="K1514" s="382"/>
      <c r="L1514" s="380"/>
      <c r="M1514" s="413"/>
      <c r="N1514" s="383"/>
      <c r="O1514" s="384"/>
      <c r="P1514" s="384"/>
      <c r="Q1514" s="383"/>
      <c r="R1514" s="383"/>
      <c r="S1514" s="385"/>
      <c r="T1514" s="380"/>
      <c r="U1514" s="380"/>
      <c r="V1514" s="380"/>
      <c r="W1514" s="380"/>
      <c r="X1514" s="380"/>
    </row>
    <row r="1515" spans="1:24" ht="15.75" customHeight="1">
      <c r="A1515" s="463"/>
      <c r="B1515" s="380"/>
      <c r="C1515" s="381"/>
      <c r="D1515" s="381"/>
      <c r="E1515" s="381"/>
      <c r="F1515" s="381"/>
      <c r="G1515" s="381"/>
      <c r="H1515" s="381"/>
      <c r="I1515" s="381"/>
      <c r="J1515" s="381"/>
      <c r="K1515" s="382"/>
      <c r="L1515" s="380"/>
      <c r="M1515" s="413"/>
      <c r="N1515" s="383"/>
      <c r="O1515" s="384"/>
      <c r="P1515" s="384"/>
      <c r="Q1515" s="383"/>
      <c r="R1515" s="383"/>
      <c r="S1515" s="385"/>
      <c r="T1515" s="380"/>
      <c r="U1515" s="380"/>
      <c r="V1515" s="380"/>
      <c r="W1515" s="380"/>
      <c r="X1515" s="380"/>
    </row>
    <row r="1516" spans="1:24" ht="15.75" customHeight="1">
      <c r="A1516" s="463"/>
      <c r="B1516" s="380"/>
      <c r="C1516" s="381"/>
      <c r="D1516" s="381"/>
      <c r="E1516" s="381"/>
      <c r="F1516" s="381"/>
      <c r="G1516" s="381"/>
      <c r="H1516" s="381"/>
      <c r="I1516" s="381"/>
      <c r="J1516" s="381"/>
      <c r="K1516" s="382"/>
      <c r="L1516" s="380"/>
      <c r="M1516" s="413"/>
      <c r="N1516" s="383"/>
      <c r="O1516" s="384"/>
      <c r="P1516" s="384"/>
      <c r="Q1516" s="383"/>
      <c r="R1516" s="383"/>
      <c r="S1516" s="385"/>
      <c r="T1516" s="380"/>
      <c r="U1516" s="380"/>
      <c r="V1516" s="380"/>
      <c r="W1516" s="380"/>
      <c r="X1516" s="380"/>
    </row>
    <row r="1517" spans="1:24" ht="15.75" customHeight="1">
      <c r="A1517" s="463"/>
      <c r="B1517" s="380"/>
      <c r="C1517" s="381"/>
      <c r="D1517" s="381"/>
      <c r="E1517" s="381"/>
      <c r="F1517" s="381"/>
      <c r="G1517" s="381"/>
      <c r="H1517" s="381"/>
      <c r="I1517" s="381"/>
      <c r="J1517" s="381"/>
      <c r="K1517" s="382"/>
      <c r="L1517" s="380"/>
      <c r="M1517" s="413"/>
      <c r="N1517" s="383"/>
      <c r="O1517" s="384"/>
      <c r="P1517" s="384"/>
      <c r="Q1517" s="383"/>
      <c r="R1517" s="383"/>
      <c r="S1517" s="385"/>
      <c r="T1517" s="380"/>
      <c r="U1517" s="380"/>
      <c r="V1517" s="380"/>
      <c r="W1517" s="380"/>
      <c r="X1517" s="380"/>
    </row>
    <row r="1518" spans="1:24" ht="15.75" customHeight="1">
      <c r="A1518" s="463"/>
      <c r="B1518" s="380"/>
      <c r="C1518" s="381"/>
      <c r="D1518" s="381"/>
      <c r="E1518" s="381"/>
      <c r="F1518" s="381"/>
      <c r="G1518" s="381"/>
      <c r="H1518" s="381"/>
      <c r="I1518" s="381"/>
      <c r="J1518" s="381"/>
      <c r="K1518" s="382"/>
      <c r="L1518" s="380"/>
      <c r="M1518" s="413"/>
      <c r="N1518" s="383"/>
      <c r="O1518" s="384"/>
      <c r="P1518" s="384"/>
      <c r="Q1518" s="383"/>
      <c r="R1518" s="383"/>
      <c r="S1518" s="385"/>
      <c r="T1518" s="380"/>
      <c r="U1518" s="380"/>
      <c r="V1518" s="380"/>
      <c r="W1518" s="380"/>
      <c r="X1518" s="380"/>
    </row>
    <row r="1519" spans="1:24" ht="15.75" customHeight="1">
      <c r="A1519" s="463"/>
      <c r="B1519" s="380"/>
      <c r="C1519" s="381"/>
      <c r="D1519" s="381"/>
      <c r="E1519" s="381"/>
      <c r="F1519" s="381"/>
      <c r="G1519" s="381"/>
      <c r="H1519" s="381"/>
      <c r="I1519" s="381"/>
      <c r="J1519" s="381"/>
      <c r="K1519" s="382"/>
      <c r="L1519" s="380"/>
      <c r="M1519" s="413"/>
      <c r="N1519" s="383"/>
      <c r="O1519" s="384"/>
      <c r="P1519" s="384"/>
      <c r="Q1519" s="383"/>
      <c r="R1519" s="383"/>
      <c r="S1519" s="385"/>
      <c r="T1519" s="380"/>
      <c r="U1519" s="380"/>
      <c r="V1519" s="380"/>
      <c r="W1519" s="380"/>
      <c r="X1519" s="380"/>
    </row>
    <row r="1520" spans="1:24" ht="15.75" customHeight="1">
      <c r="A1520" s="463"/>
      <c r="B1520" s="380"/>
      <c r="C1520" s="381"/>
      <c r="D1520" s="381"/>
      <c r="E1520" s="381"/>
      <c r="F1520" s="381"/>
      <c r="G1520" s="381"/>
      <c r="H1520" s="381"/>
      <c r="I1520" s="381"/>
      <c r="J1520" s="381"/>
      <c r="K1520" s="382"/>
      <c r="L1520" s="380"/>
      <c r="M1520" s="413"/>
      <c r="N1520" s="383"/>
      <c r="O1520" s="384"/>
      <c r="P1520" s="384"/>
      <c r="Q1520" s="383"/>
      <c r="R1520" s="383"/>
      <c r="S1520" s="385"/>
      <c r="T1520" s="380"/>
      <c r="U1520" s="380"/>
      <c r="V1520" s="380"/>
      <c r="W1520" s="380"/>
      <c r="X1520" s="380"/>
    </row>
    <row r="1521" spans="1:24" ht="15.75" customHeight="1">
      <c r="A1521" s="463"/>
      <c r="B1521" s="380"/>
      <c r="C1521" s="381"/>
      <c r="D1521" s="381"/>
      <c r="E1521" s="381"/>
      <c r="F1521" s="381"/>
      <c r="G1521" s="381"/>
      <c r="H1521" s="381"/>
      <c r="I1521" s="381"/>
      <c r="J1521" s="381"/>
      <c r="K1521" s="382"/>
      <c r="L1521" s="380"/>
      <c r="M1521" s="413"/>
      <c r="N1521" s="383"/>
      <c r="O1521" s="384"/>
      <c r="P1521" s="384"/>
      <c r="Q1521" s="383"/>
      <c r="R1521" s="383"/>
      <c r="S1521" s="385"/>
      <c r="T1521" s="380"/>
      <c r="U1521" s="380"/>
      <c r="V1521" s="380"/>
      <c r="W1521" s="380"/>
      <c r="X1521" s="380"/>
    </row>
    <row r="1522" spans="1:24" ht="15.75" customHeight="1">
      <c r="A1522" s="463"/>
      <c r="B1522" s="380"/>
      <c r="C1522" s="381"/>
      <c r="D1522" s="381"/>
      <c r="E1522" s="381"/>
      <c r="F1522" s="381"/>
      <c r="G1522" s="381"/>
      <c r="H1522" s="381"/>
      <c r="I1522" s="381"/>
      <c r="J1522" s="381"/>
      <c r="K1522" s="382"/>
      <c r="L1522" s="380"/>
      <c r="M1522" s="413"/>
      <c r="N1522" s="383"/>
      <c r="O1522" s="384"/>
      <c r="P1522" s="384"/>
      <c r="Q1522" s="383"/>
      <c r="R1522" s="383"/>
      <c r="S1522" s="385"/>
      <c r="T1522" s="380"/>
      <c r="U1522" s="380"/>
      <c r="V1522" s="380"/>
      <c r="W1522" s="380"/>
      <c r="X1522" s="380"/>
    </row>
    <row r="1523" spans="1:24" ht="15.75" customHeight="1">
      <c r="A1523" s="463"/>
      <c r="B1523" s="380"/>
      <c r="C1523" s="381"/>
      <c r="D1523" s="381"/>
      <c r="E1523" s="381"/>
      <c r="F1523" s="381"/>
      <c r="G1523" s="381"/>
      <c r="H1523" s="381"/>
      <c r="I1523" s="381"/>
      <c r="J1523" s="381"/>
      <c r="K1523" s="382"/>
      <c r="L1523" s="380"/>
      <c r="M1523" s="413"/>
      <c r="N1523" s="383"/>
      <c r="O1523" s="384"/>
      <c r="P1523" s="384"/>
      <c r="Q1523" s="383"/>
      <c r="R1523" s="383"/>
      <c r="S1523" s="385"/>
      <c r="T1523" s="380"/>
      <c r="U1523" s="380"/>
      <c r="V1523" s="380"/>
      <c r="W1523" s="380"/>
      <c r="X1523" s="380"/>
    </row>
    <row r="1524" spans="1:24" ht="15.75" customHeight="1">
      <c r="A1524" s="463"/>
      <c r="B1524" s="380"/>
      <c r="C1524" s="381"/>
      <c r="D1524" s="381"/>
      <c r="E1524" s="381"/>
      <c r="F1524" s="381"/>
      <c r="G1524" s="381"/>
      <c r="H1524" s="381"/>
      <c r="I1524" s="381"/>
      <c r="J1524" s="381"/>
      <c r="K1524" s="382"/>
      <c r="L1524" s="380"/>
      <c r="M1524" s="413"/>
      <c r="N1524" s="383"/>
      <c r="O1524" s="384"/>
      <c r="P1524" s="384"/>
      <c r="Q1524" s="383"/>
      <c r="R1524" s="383"/>
      <c r="S1524" s="385"/>
      <c r="T1524" s="380"/>
      <c r="U1524" s="380"/>
      <c r="V1524" s="380"/>
      <c r="W1524" s="380"/>
      <c r="X1524" s="380"/>
    </row>
    <row r="1525" spans="1:24" ht="15.75" customHeight="1">
      <c r="A1525" s="463"/>
      <c r="B1525" s="380"/>
      <c r="C1525" s="381"/>
      <c r="D1525" s="381"/>
      <c r="E1525" s="381"/>
      <c r="F1525" s="381"/>
      <c r="G1525" s="381"/>
      <c r="H1525" s="381"/>
      <c r="I1525" s="381"/>
      <c r="J1525" s="381"/>
      <c r="K1525" s="382"/>
      <c r="L1525" s="380"/>
      <c r="M1525" s="413"/>
      <c r="N1525" s="383"/>
      <c r="O1525" s="384"/>
      <c r="P1525" s="384"/>
      <c r="Q1525" s="383"/>
      <c r="R1525" s="383"/>
      <c r="S1525" s="385"/>
      <c r="T1525" s="380"/>
      <c r="U1525" s="380"/>
      <c r="V1525" s="380"/>
      <c r="W1525" s="380"/>
      <c r="X1525" s="380"/>
    </row>
    <row r="1526" spans="1:24" ht="15.75" customHeight="1">
      <c r="A1526" s="463"/>
      <c r="B1526" s="380"/>
      <c r="C1526" s="381"/>
      <c r="D1526" s="381"/>
      <c r="E1526" s="381"/>
      <c r="F1526" s="381"/>
      <c r="G1526" s="381"/>
      <c r="H1526" s="381"/>
      <c r="I1526" s="381"/>
      <c r="J1526" s="381"/>
      <c r="K1526" s="382"/>
      <c r="L1526" s="380"/>
      <c r="M1526" s="413"/>
      <c r="N1526" s="383"/>
      <c r="O1526" s="384"/>
      <c r="P1526" s="384"/>
      <c r="Q1526" s="383"/>
      <c r="R1526" s="383"/>
      <c r="S1526" s="385"/>
      <c r="T1526" s="380"/>
      <c r="U1526" s="380"/>
      <c r="V1526" s="380"/>
      <c r="W1526" s="380"/>
      <c r="X1526" s="380"/>
    </row>
    <row r="1527" spans="1:24" ht="15.75" customHeight="1">
      <c r="A1527" s="463"/>
      <c r="B1527" s="380"/>
      <c r="C1527" s="381"/>
      <c r="D1527" s="381"/>
      <c r="E1527" s="381"/>
      <c r="F1527" s="381"/>
      <c r="G1527" s="381"/>
      <c r="H1527" s="381"/>
      <c r="I1527" s="381"/>
      <c r="J1527" s="381"/>
      <c r="K1527" s="382"/>
      <c r="L1527" s="380"/>
      <c r="M1527" s="413"/>
      <c r="N1527" s="383"/>
      <c r="O1527" s="384"/>
      <c r="P1527" s="384"/>
      <c r="Q1527" s="383"/>
      <c r="R1527" s="383"/>
      <c r="S1527" s="385"/>
      <c r="T1527" s="380"/>
      <c r="U1527" s="380"/>
      <c r="V1527" s="380"/>
      <c r="W1527" s="380"/>
      <c r="X1527" s="380"/>
    </row>
    <row r="1528" spans="1:24" ht="15.75" customHeight="1">
      <c r="A1528" s="463"/>
      <c r="B1528" s="380"/>
      <c r="C1528" s="381"/>
      <c r="D1528" s="381"/>
      <c r="E1528" s="381"/>
      <c r="F1528" s="381"/>
      <c r="G1528" s="381"/>
      <c r="H1528" s="381"/>
      <c r="I1528" s="381"/>
      <c r="J1528" s="381"/>
      <c r="K1528" s="382"/>
      <c r="L1528" s="380"/>
      <c r="M1528" s="413"/>
      <c r="N1528" s="383"/>
      <c r="O1528" s="384"/>
      <c r="P1528" s="384"/>
      <c r="Q1528" s="383"/>
      <c r="R1528" s="383"/>
      <c r="S1528" s="385"/>
      <c r="T1528" s="380"/>
      <c r="U1528" s="380"/>
      <c r="V1528" s="380"/>
      <c r="W1528" s="380"/>
      <c r="X1528" s="380"/>
    </row>
    <row r="1529" spans="1:24" ht="15.75" customHeight="1">
      <c r="A1529" s="463"/>
      <c r="B1529" s="380"/>
      <c r="C1529" s="381"/>
      <c r="D1529" s="381"/>
      <c r="E1529" s="381"/>
      <c r="F1529" s="381"/>
      <c r="G1529" s="381"/>
      <c r="H1529" s="381"/>
      <c r="I1529" s="381"/>
      <c r="J1529" s="381"/>
      <c r="K1529" s="382"/>
      <c r="L1529" s="380"/>
      <c r="M1529" s="413"/>
      <c r="N1529" s="383"/>
      <c r="O1529" s="384"/>
      <c r="P1529" s="384"/>
      <c r="Q1529" s="383"/>
      <c r="R1529" s="383"/>
      <c r="S1529" s="385"/>
      <c r="T1529" s="380"/>
      <c r="U1529" s="380"/>
      <c r="V1529" s="380"/>
      <c r="W1529" s="380"/>
      <c r="X1529" s="380"/>
    </row>
    <row r="1530" spans="1:24" ht="15.75" customHeight="1">
      <c r="A1530" s="463"/>
      <c r="B1530" s="380"/>
      <c r="C1530" s="381"/>
      <c r="D1530" s="381"/>
      <c r="E1530" s="381"/>
      <c r="F1530" s="381"/>
      <c r="G1530" s="381"/>
      <c r="H1530" s="381"/>
      <c r="I1530" s="381"/>
      <c r="J1530" s="381"/>
      <c r="K1530" s="382"/>
      <c r="L1530" s="380"/>
      <c r="M1530" s="413"/>
      <c r="N1530" s="383"/>
      <c r="O1530" s="384"/>
      <c r="P1530" s="384"/>
      <c r="Q1530" s="383"/>
      <c r="R1530" s="383"/>
      <c r="S1530" s="385"/>
      <c r="T1530" s="380"/>
      <c r="U1530" s="380"/>
      <c r="V1530" s="380"/>
      <c r="W1530" s="380"/>
      <c r="X1530" s="380"/>
    </row>
    <row r="1531" spans="1:24" ht="15.75" customHeight="1">
      <c r="A1531" s="463"/>
      <c r="B1531" s="380"/>
      <c r="C1531" s="381"/>
      <c r="D1531" s="381"/>
      <c r="E1531" s="381"/>
      <c r="F1531" s="381"/>
      <c r="G1531" s="381"/>
      <c r="H1531" s="381"/>
      <c r="I1531" s="381"/>
      <c r="J1531" s="381"/>
      <c r="K1531" s="382"/>
      <c r="L1531" s="380"/>
      <c r="M1531" s="413"/>
      <c r="N1531" s="383"/>
      <c r="O1531" s="384"/>
      <c r="P1531" s="384"/>
      <c r="Q1531" s="383"/>
      <c r="R1531" s="383"/>
      <c r="S1531" s="385"/>
      <c r="T1531" s="380"/>
      <c r="U1531" s="380"/>
      <c r="V1531" s="380"/>
      <c r="W1531" s="380"/>
      <c r="X1531" s="380"/>
    </row>
    <row r="1532" spans="1:24" ht="15.75" customHeight="1">
      <c r="A1532" s="463"/>
      <c r="B1532" s="380"/>
      <c r="C1532" s="381"/>
      <c r="D1532" s="381"/>
      <c r="E1532" s="381"/>
      <c r="F1532" s="381"/>
      <c r="G1532" s="381"/>
      <c r="H1532" s="381"/>
      <c r="I1532" s="381"/>
      <c r="J1532" s="381"/>
      <c r="K1532" s="382"/>
      <c r="L1532" s="380"/>
      <c r="M1532" s="413"/>
      <c r="N1532" s="383"/>
      <c r="O1532" s="384"/>
      <c r="P1532" s="384"/>
      <c r="Q1532" s="383"/>
      <c r="R1532" s="383"/>
      <c r="S1532" s="385"/>
      <c r="T1532" s="380"/>
      <c r="U1532" s="380"/>
      <c r="V1532" s="380"/>
      <c r="W1532" s="380"/>
      <c r="X1532" s="380"/>
    </row>
    <row r="1533" spans="1:24" ht="15.75" customHeight="1">
      <c r="A1533" s="463"/>
      <c r="B1533" s="380"/>
      <c r="C1533" s="381"/>
      <c r="D1533" s="381"/>
      <c r="E1533" s="381"/>
      <c r="F1533" s="381"/>
      <c r="G1533" s="381"/>
      <c r="H1533" s="381"/>
      <c r="I1533" s="381"/>
      <c r="J1533" s="381"/>
      <c r="K1533" s="382"/>
      <c r="L1533" s="380"/>
      <c r="M1533" s="413"/>
      <c r="N1533" s="383"/>
      <c r="O1533" s="384"/>
      <c r="P1533" s="384"/>
      <c r="Q1533" s="383"/>
      <c r="R1533" s="383"/>
      <c r="S1533" s="385"/>
      <c r="T1533" s="380"/>
      <c r="U1533" s="380"/>
      <c r="V1533" s="380"/>
      <c r="W1533" s="380"/>
      <c r="X1533" s="380"/>
    </row>
    <row r="1534" spans="1:24" ht="15.75" customHeight="1">
      <c r="A1534" s="463"/>
      <c r="B1534" s="380"/>
      <c r="C1534" s="381"/>
      <c r="D1534" s="381"/>
      <c r="E1534" s="381"/>
      <c r="F1534" s="381"/>
      <c r="G1534" s="381"/>
      <c r="H1534" s="381"/>
      <c r="I1534" s="381"/>
      <c r="J1534" s="381"/>
      <c r="K1534" s="382"/>
      <c r="L1534" s="380"/>
      <c r="M1534" s="413"/>
      <c r="N1534" s="383"/>
      <c r="O1534" s="384"/>
      <c r="P1534" s="384"/>
      <c r="Q1534" s="383"/>
      <c r="R1534" s="383"/>
      <c r="S1534" s="385"/>
      <c r="T1534" s="380"/>
      <c r="U1534" s="380"/>
      <c r="V1534" s="380"/>
      <c r="W1534" s="380"/>
      <c r="X1534" s="380"/>
    </row>
    <row r="1535" spans="1:24" ht="15.75" customHeight="1">
      <c r="A1535" s="463"/>
      <c r="B1535" s="380"/>
      <c r="C1535" s="381"/>
      <c r="D1535" s="381"/>
      <c r="E1535" s="381"/>
      <c r="F1535" s="381"/>
      <c r="G1535" s="381"/>
      <c r="H1535" s="381"/>
      <c r="I1535" s="381"/>
      <c r="J1535" s="381"/>
      <c r="K1535" s="382"/>
      <c r="L1535" s="380"/>
      <c r="M1535" s="413"/>
      <c r="N1535" s="383"/>
      <c r="O1535" s="384"/>
      <c r="P1535" s="384"/>
      <c r="Q1535" s="383"/>
      <c r="R1535" s="383"/>
      <c r="S1535" s="385"/>
      <c r="T1535" s="380"/>
      <c r="U1535" s="380"/>
      <c r="V1535" s="380"/>
      <c r="W1535" s="380"/>
      <c r="X1535" s="380"/>
    </row>
    <row r="1536" spans="1:24" ht="15.75" customHeight="1">
      <c r="A1536" s="463"/>
      <c r="B1536" s="380"/>
      <c r="C1536" s="381"/>
      <c r="D1536" s="381"/>
      <c r="E1536" s="381"/>
      <c r="F1536" s="381"/>
      <c r="G1536" s="381"/>
      <c r="H1536" s="381"/>
      <c r="I1536" s="381"/>
      <c r="J1536" s="381"/>
      <c r="K1536" s="382"/>
      <c r="L1536" s="380"/>
      <c r="M1536" s="413"/>
      <c r="N1536" s="383"/>
      <c r="O1536" s="384"/>
      <c r="P1536" s="384"/>
      <c r="Q1536" s="383"/>
      <c r="R1536" s="383"/>
      <c r="S1536" s="385"/>
      <c r="T1536" s="380"/>
      <c r="U1536" s="380"/>
      <c r="V1536" s="380"/>
      <c r="W1536" s="380"/>
      <c r="X1536" s="380"/>
    </row>
    <row r="1537" spans="1:24" ht="15.75" customHeight="1">
      <c r="A1537" s="463"/>
      <c r="B1537" s="380"/>
      <c r="C1537" s="381"/>
      <c r="D1537" s="381"/>
      <c r="E1537" s="381"/>
      <c r="F1537" s="381"/>
      <c r="G1537" s="381"/>
      <c r="H1537" s="381"/>
      <c r="I1537" s="381"/>
      <c r="J1537" s="381"/>
      <c r="K1537" s="382"/>
      <c r="L1537" s="380"/>
      <c r="M1537" s="413"/>
      <c r="N1537" s="383"/>
      <c r="O1537" s="384"/>
      <c r="P1537" s="384"/>
      <c r="Q1537" s="383"/>
      <c r="R1537" s="383"/>
      <c r="S1537" s="385"/>
      <c r="T1537" s="380"/>
      <c r="U1537" s="380"/>
      <c r="V1537" s="380"/>
      <c r="W1537" s="380"/>
      <c r="X1537" s="380"/>
    </row>
    <row r="1538" spans="1:24" ht="15.75" customHeight="1">
      <c r="A1538" s="463"/>
      <c r="B1538" s="380"/>
      <c r="C1538" s="381"/>
      <c r="D1538" s="381"/>
      <c r="E1538" s="381"/>
      <c r="F1538" s="381"/>
      <c r="G1538" s="381"/>
      <c r="H1538" s="381"/>
      <c r="I1538" s="381"/>
      <c r="J1538" s="381"/>
      <c r="K1538" s="382"/>
      <c r="L1538" s="380"/>
      <c r="M1538" s="413"/>
      <c r="N1538" s="383"/>
      <c r="O1538" s="384"/>
      <c r="P1538" s="384"/>
      <c r="Q1538" s="383"/>
      <c r="R1538" s="383"/>
      <c r="S1538" s="385"/>
      <c r="T1538" s="380"/>
      <c r="U1538" s="380"/>
      <c r="V1538" s="380"/>
      <c r="W1538" s="380"/>
      <c r="X1538" s="380"/>
    </row>
    <row r="1539" spans="1:24" ht="15.75" customHeight="1">
      <c r="A1539" s="463"/>
      <c r="B1539" s="380"/>
      <c r="C1539" s="381"/>
      <c r="D1539" s="381"/>
      <c r="E1539" s="381"/>
      <c r="F1539" s="381"/>
      <c r="G1539" s="381"/>
      <c r="H1539" s="381"/>
      <c r="I1539" s="381"/>
      <c r="J1539" s="381"/>
      <c r="K1539" s="382"/>
      <c r="L1539" s="380"/>
      <c r="M1539" s="413"/>
      <c r="N1539" s="383"/>
      <c r="O1539" s="384"/>
      <c r="P1539" s="384"/>
      <c r="Q1539" s="383"/>
      <c r="R1539" s="383"/>
      <c r="S1539" s="385"/>
      <c r="T1539" s="380"/>
      <c r="U1539" s="380"/>
      <c r="V1539" s="380"/>
      <c r="W1539" s="380"/>
      <c r="X1539" s="380"/>
    </row>
    <row r="1540" spans="1:24" ht="15.75" customHeight="1">
      <c r="A1540" s="463"/>
      <c r="B1540" s="380"/>
      <c r="C1540" s="381"/>
      <c r="D1540" s="381"/>
      <c r="E1540" s="381"/>
      <c r="F1540" s="381"/>
      <c r="G1540" s="381"/>
      <c r="H1540" s="381"/>
      <c r="I1540" s="381"/>
      <c r="J1540" s="381"/>
      <c r="K1540" s="382"/>
      <c r="L1540" s="380"/>
      <c r="M1540" s="413"/>
      <c r="N1540" s="383"/>
      <c r="O1540" s="384"/>
      <c r="P1540" s="384"/>
      <c r="Q1540" s="383"/>
      <c r="R1540" s="383"/>
      <c r="S1540" s="385"/>
      <c r="T1540" s="380"/>
      <c r="U1540" s="380"/>
      <c r="V1540" s="380"/>
      <c r="W1540" s="380"/>
      <c r="X1540" s="380"/>
    </row>
    <row r="1541" spans="1:24" ht="15.75" customHeight="1">
      <c r="A1541" s="463"/>
      <c r="B1541" s="380"/>
      <c r="C1541" s="381"/>
      <c r="D1541" s="381"/>
      <c r="E1541" s="381"/>
      <c r="F1541" s="381"/>
      <c r="G1541" s="381"/>
      <c r="H1541" s="381"/>
      <c r="I1541" s="381"/>
      <c r="J1541" s="381"/>
      <c r="K1541" s="382"/>
      <c r="L1541" s="380"/>
      <c r="M1541" s="413"/>
      <c r="N1541" s="383"/>
      <c r="O1541" s="384"/>
      <c r="P1541" s="384"/>
      <c r="Q1541" s="383"/>
      <c r="R1541" s="383"/>
      <c r="S1541" s="385"/>
      <c r="T1541" s="380"/>
      <c r="U1541" s="380"/>
      <c r="V1541" s="380"/>
      <c r="W1541" s="380"/>
      <c r="X1541" s="380"/>
    </row>
    <row r="1542" spans="1:24" ht="15.75" customHeight="1">
      <c r="A1542" s="463"/>
      <c r="B1542" s="380"/>
      <c r="C1542" s="381"/>
      <c r="D1542" s="381"/>
      <c r="E1542" s="381"/>
      <c r="F1542" s="381"/>
      <c r="G1542" s="381"/>
      <c r="H1542" s="381"/>
      <c r="I1542" s="381"/>
      <c r="J1542" s="381"/>
      <c r="K1542" s="382"/>
      <c r="L1542" s="380"/>
      <c r="M1542" s="413"/>
      <c r="N1542" s="383"/>
      <c r="O1542" s="384"/>
      <c r="P1542" s="384"/>
      <c r="Q1542" s="383"/>
      <c r="R1542" s="383"/>
      <c r="S1542" s="385"/>
      <c r="T1542" s="380"/>
      <c r="U1542" s="380"/>
      <c r="V1542" s="380"/>
      <c r="W1542" s="380"/>
      <c r="X1542" s="380"/>
    </row>
    <row r="1543" spans="1:24" ht="15.75" customHeight="1">
      <c r="A1543" s="463"/>
      <c r="B1543" s="380"/>
      <c r="C1543" s="381"/>
      <c r="D1543" s="381"/>
      <c r="E1543" s="381"/>
      <c r="F1543" s="381"/>
      <c r="G1543" s="381"/>
      <c r="H1543" s="381"/>
      <c r="I1543" s="381"/>
      <c r="J1543" s="381"/>
      <c r="K1543" s="382"/>
      <c r="L1543" s="380"/>
      <c r="M1543" s="413"/>
      <c r="N1543" s="383"/>
      <c r="O1543" s="384"/>
      <c r="P1543" s="384"/>
      <c r="Q1543" s="383"/>
      <c r="R1543" s="383"/>
      <c r="S1543" s="385"/>
      <c r="T1543" s="380"/>
      <c r="U1543" s="380"/>
      <c r="V1543" s="380"/>
      <c r="W1543" s="380"/>
      <c r="X1543" s="380"/>
    </row>
    <row r="1544" spans="1:24" ht="15.75" customHeight="1">
      <c r="A1544" s="463"/>
      <c r="B1544" s="380"/>
      <c r="C1544" s="381"/>
      <c r="D1544" s="381"/>
      <c r="E1544" s="381"/>
      <c r="F1544" s="381"/>
      <c r="G1544" s="381"/>
      <c r="H1544" s="381"/>
      <c r="I1544" s="381"/>
      <c r="J1544" s="381"/>
      <c r="K1544" s="382"/>
      <c r="L1544" s="380"/>
      <c r="M1544" s="413"/>
      <c r="N1544" s="383"/>
      <c r="O1544" s="384"/>
      <c r="P1544" s="384"/>
      <c r="Q1544" s="383"/>
      <c r="R1544" s="383"/>
      <c r="S1544" s="385"/>
      <c r="T1544" s="380"/>
      <c r="U1544" s="380"/>
      <c r="V1544" s="380"/>
      <c r="W1544" s="380"/>
      <c r="X1544" s="380"/>
    </row>
    <row r="1545" spans="1:24" ht="15.75" customHeight="1">
      <c r="A1545" s="463"/>
      <c r="B1545" s="380"/>
      <c r="C1545" s="381"/>
      <c r="D1545" s="381"/>
      <c r="E1545" s="381"/>
      <c r="F1545" s="381"/>
      <c r="G1545" s="381"/>
      <c r="H1545" s="381"/>
      <c r="I1545" s="381"/>
      <c r="J1545" s="381"/>
      <c r="K1545" s="382"/>
      <c r="L1545" s="380"/>
      <c r="M1545" s="413"/>
      <c r="N1545" s="383"/>
      <c r="O1545" s="384"/>
      <c r="P1545" s="384"/>
      <c r="Q1545" s="383"/>
      <c r="R1545" s="383"/>
      <c r="S1545" s="385"/>
      <c r="T1545" s="380"/>
      <c r="U1545" s="380"/>
      <c r="V1545" s="380"/>
      <c r="W1545" s="380"/>
      <c r="X1545" s="380"/>
    </row>
    <row r="1546" spans="1:24" ht="15.75" customHeight="1">
      <c r="A1546" s="463"/>
      <c r="B1546" s="380"/>
      <c r="C1546" s="381"/>
      <c r="D1546" s="381"/>
      <c r="E1546" s="381"/>
      <c r="F1546" s="381"/>
      <c r="G1546" s="381"/>
      <c r="H1546" s="381"/>
      <c r="I1546" s="381"/>
      <c r="J1546" s="381"/>
      <c r="K1546" s="382"/>
      <c r="L1546" s="380"/>
      <c r="M1546" s="413"/>
      <c r="N1546" s="383"/>
      <c r="O1546" s="384"/>
      <c r="P1546" s="384"/>
      <c r="Q1546" s="383"/>
      <c r="R1546" s="383"/>
      <c r="S1546" s="385"/>
      <c r="T1546" s="380"/>
      <c r="U1546" s="380"/>
      <c r="V1546" s="380"/>
      <c r="W1546" s="380"/>
      <c r="X1546" s="380"/>
    </row>
    <row r="1547" spans="1:24" ht="15.75" customHeight="1">
      <c r="A1547" s="463"/>
      <c r="B1547" s="380"/>
      <c r="C1547" s="381"/>
      <c r="D1547" s="381"/>
      <c r="E1547" s="381"/>
      <c r="F1547" s="381"/>
      <c r="G1547" s="381"/>
      <c r="H1547" s="381"/>
      <c r="I1547" s="381"/>
      <c r="J1547" s="381"/>
      <c r="K1547" s="382"/>
      <c r="L1547" s="380"/>
      <c r="M1547" s="413"/>
      <c r="N1547" s="383"/>
      <c r="O1547" s="384"/>
      <c r="P1547" s="384"/>
      <c r="Q1547" s="383"/>
      <c r="R1547" s="383"/>
      <c r="S1547" s="385"/>
      <c r="T1547" s="380"/>
      <c r="U1547" s="380"/>
      <c r="V1547" s="380"/>
      <c r="W1547" s="380"/>
      <c r="X1547" s="380"/>
    </row>
    <row r="1548" spans="1:24" ht="15.75" customHeight="1">
      <c r="A1548" s="463"/>
      <c r="B1548" s="380"/>
      <c r="C1548" s="381"/>
      <c r="D1548" s="381"/>
      <c r="E1548" s="381"/>
      <c r="F1548" s="381"/>
      <c r="G1548" s="381"/>
      <c r="H1548" s="381"/>
      <c r="I1548" s="381"/>
      <c r="J1548" s="381"/>
      <c r="K1548" s="382"/>
      <c r="L1548" s="380"/>
      <c r="M1548" s="413"/>
      <c r="N1548" s="383"/>
      <c r="O1548" s="384"/>
      <c r="P1548" s="384"/>
      <c r="Q1548" s="383"/>
      <c r="R1548" s="383"/>
      <c r="S1548" s="385"/>
      <c r="T1548" s="380"/>
      <c r="U1548" s="380"/>
      <c r="V1548" s="380"/>
      <c r="W1548" s="380"/>
      <c r="X1548" s="380"/>
    </row>
    <row r="1549" spans="1:24" ht="15.75" customHeight="1">
      <c r="A1549" s="463"/>
      <c r="B1549" s="380"/>
      <c r="C1549" s="381"/>
      <c r="D1549" s="381"/>
      <c r="E1549" s="381"/>
      <c r="F1549" s="381"/>
      <c r="G1549" s="381"/>
      <c r="H1549" s="381"/>
      <c r="I1549" s="381"/>
      <c r="J1549" s="381"/>
      <c r="K1549" s="382"/>
      <c r="L1549" s="380"/>
      <c r="M1549" s="413"/>
      <c r="N1549" s="383"/>
      <c r="O1549" s="384"/>
      <c r="P1549" s="384"/>
      <c r="Q1549" s="383"/>
      <c r="R1549" s="383"/>
      <c r="S1549" s="385"/>
      <c r="T1549" s="380"/>
      <c r="U1549" s="380"/>
      <c r="V1549" s="380"/>
      <c r="W1549" s="380"/>
      <c r="X1549" s="380"/>
    </row>
    <row r="1550" spans="1:24" ht="15.75" customHeight="1">
      <c r="A1550" s="463"/>
      <c r="B1550" s="380"/>
      <c r="C1550" s="381"/>
      <c r="D1550" s="381"/>
      <c r="E1550" s="381"/>
      <c r="F1550" s="381"/>
      <c r="G1550" s="381"/>
      <c r="H1550" s="381"/>
      <c r="I1550" s="381"/>
      <c r="J1550" s="381"/>
      <c r="K1550" s="382"/>
      <c r="L1550" s="380"/>
      <c r="M1550" s="413"/>
      <c r="N1550" s="383"/>
      <c r="O1550" s="384"/>
      <c r="P1550" s="384"/>
      <c r="Q1550" s="383"/>
      <c r="R1550" s="383"/>
      <c r="S1550" s="385"/>
      <c r="T1550" s="380"/>
      <c r="U1550" s="380"/>
      <c r="V1550" s="380"/>
      <c r="W1550" s="380"/>
      <c r="X1550" s="380"/>
    </row>
    <row r="1551" spans="1:24" ht="15.75" customHeight="1">
      <c r="A1551" s="463"/>
      <c r="B1551" s="380"/>
      <c r="C1551" s="381"/>
      <c r="D1551" s="381"/>
      <c r="E1551" s="381"/>
      <c r="F1551" s="381"/>
      <c r="G1551" s="381"/>
      <c r="H1551" s="381"/>
      <c r="I1551" s="381"/>
      <c r="J1551" s="381"/>
      <c r="K1551" s="382"/>
      <c r="L1551" s="380"/>
      <c r="M1551" s="413"/>
      <c r="N1551" s="383"/>
      <c r="O1551" s="384"/>
      <c r="P1551" s="384"/>
      <c r="Q1551" s="383"/>
      <c r="R1551" s="383"/>
      <c r="S1551" s="385"/>
      <c r="T1551" s="380"/>
      <c r="U1551" s="380"/>
      <c r="V1551" s="380"/>
      <c r="W1551" s="380"/>
      <c r="X1551" s="380"/>
    </row>
    <row r="1552" spans="1:24" ht="15.75" customHeight="1">
      <c r="A1552" s="463"/>
      <c r="B1552" s="380"/>
      <c r="C1552" s="381"/>
      <c r="D1552" s="381"/>
      <c r="E1552" s="381"/>
      <c r="F1552" s="381"/>
      <c r="G1552" s="381"/>
      <c r="H1552" s="381"/>
      <c r="I1552" s="381"/>
      <c r="J1552" s="381"/>
      <c r="K1552" s="382"/>
      <c r="L1552" s="380"/>
      <c r="M1552" s="413"/>
      <c r="N1552" s="383"/>
      <c r="O1552" s="384"/>
      <c r="P1552" s="384"/>
      <c r="Q1552" s="383"/>
      <c r="R1552" s="383"/>
      <c r="S1552" s="385"/>
      <c r="T1552" s="380"/>
      <c r="U1552" s="380"/>
      <c r="V1552" s="380"/>
      <c r="W1552" s="380"/>
      <c r="X1552" s="380"/>
    </row>
    <row r="1553" spans="1:24" ht="15.75" customHeight="1">
      <c r="A1553" s="463"/>
      <c r="B1553" s="380"/>
      <c r="C1553" s="381"/>
      <c r="D1553" s="381"/>
      <c r="E1553" s="381"/>
      <c r="F1553" s="381"/>
      <c r="G1553" s="381"/>
      <c r="H1553" s="381"/>
      <c r="I1553" s="381"/>
      <c r="J1553" s="381"/>
      <c r="K1553" s="382"/>
      <c r="L1553" s="380"/>
      <c r="M1553" s="413"/>
      <c r="N1553" s="383"/>
      <c r="O1553" s="384"/>
      <c r="P1553" s="384"/>
      <c r="Q1553" s="383"/>
      <c r="R1553" s="383"/>
      <c r="S1553" s="385"/>
      <c r="T1553" s="380"/>
      <c r="U1553" s="380"/>
      <c r="V1553" s="380"/>
      <c r="W1553" s="380"/>
      <c r="X1553" s="380"/>
    </row>
    <row r="1554" spans="1:24" ht="15.75" customHeight="1">
      <c r="A1554" s="463"/>
      <c r="B1554" s="380"/>
      <c r="C1554" s="381"/>
      <c r="D1554" s="381"/>
      <c r="E1554" s="381"/>
      <c r="F1554" s="381"/>
      <c r="G1554" s="381"/>
      <c r="H1554" s="381"/>
      <c r="I1554" s="381"/>
      <c r="J1554" s="381"/>
      <c r="K1554" s="382"/>
      <c r="L1554" s="380"/>
      <c r="M1554" s="413"/>
      <c r="N1554" s="383"/>
      <c r="O1554" s="384"/>
      <c r="P1554" s="384"/>
      <c r="Q1554" s="383"/>
      <c r="R1554" s="383"/>
      <c r="S1554" s="385"/>
      <c r="T1554" s="380"/>
      <c r="U1554" s="380"/>
      <c r="V1554" s="380"/>
      <c r="W1554" s="380"/>
      <c r="X1554" s="380"/>
    </row>
    <row r="1555" spans="1:24" ht="15.75" customHeight="1">
      <c r="A1555" s="463"/>
      <c r="B1555" s="380"/>
      <c r="C1555" s="381"/>
      <c r="D1555" s="381"/>
      <c r="E1555" s="381"/>
      <c r="F1555" s="381"/>
      <c r="G1555" s="381"/>
      <c r="H1555" s="381"/>
      <c r="I1555" s="381"/>
      <c r="J1555" s="381"/>
      <c r="K1555" s="382"/>
      <c r="L1555" s="380"/>
      <c r="M1555" s="413"/>
      <c r="N1555" s="383"/>
      <c r="O1555" s="384"/>
      <c r="P1555" s="384"/>
      <c r="Q1555" s="383"/>
      <c r="R1555" s="383"/>
      <c r="S1555" s="385"/>
      <c r="T1555" s="380"/>
      <c r="U1555" s="380"/>
      <c r="V1555" s="380"/>
      <c r="W1555" s="380"/>
      <c r="X1555" s="380"/>
    </row>
    <row r="1556" spans="1:24" ht="15.75" customHeight="1">
      <c r="A1556" s="463"/>
      <c r="B1556" s="380"/>
      <c r="C1556" s="381"/>
      <c r="D1556" s="381"/>
      <c r="E1556" s="381"/>
      <c r="F1556" s="381"/>
      <c r="G1556" s="381"/>
      <c r="H1556" s="381"/>
      <c r="I1556" s="381"/>
      <c r="J1556" s="381"/>
      <c r="K1556" s="382"/>
      <c r="L1556" s="380"/>
      <c r="M1556" s="413"/>
      <c r="N1556" s="383"/>
      <c r="O1556" s="384"/>
      <c r="P1556" s="384"/>
      <c r="Q1556" s="383"/>
      <c r="R1556" s="383"/>
      <c r="S1556" s="385"/>
      <c r="T1556" s="380"/>
      <c r="U1556" s="380"/>
      <c r="V1556" s="380"/>
      <c r="W1556" s="380"/>
      <c r="X1556" s="380"/>
    </row>
    <row r="1557" spans="1:24" ht="15.75" customHeight="1">
      <c r="A1557" s="463"/>
      <c r="B1557" s="380"/>
      <c r="C1557" s="381"/>
      <c r="D1557" s="381"/>
      <c r="E1557" s="381"/>
      <c r="F1557" s="381"/>
      <c r="G1557" s="381"/>
      <c r="H1557" s="381"/>
      <c r="I1557" s="381"/>
      <c r="J1557" s="381"/>
      <c r="K1557" s="382"/>
      <c r="L1557" s="380"/>
      <c r="M1557" s="413"/>
      <c r="N1557" s="383"/>
      <c r="O1557" s="384"/>
      <c r="P1557" s="384"/>
      <c r="Q1557" s="383"/>
      <c r="R1557" s="383"/>
      <c r="S1557" s="385"/>
      <c r="T1557" s="380"/>
      <c r="U1557" s="380"/>
      <c r="V1557" s="380"/>
      <c r="W1557" s="380"/>
      <c r="X1557" s="380"/>
    </row>
    <row r="1558" spans="1:24" ht="15.75" customHeight="1">
      <c r="A1558" s="463"/>
      <c r="B1558" s="380"/>
      <c r="C1558" s="381"/>
      <c r="D1558" s="381"/>
      <c r="E1558" s="381"/>
      <c r="F1558" s="381"/>
      <c r="G1558" s="381"/>
      <c r="H1558" s="381"/>
      <c r="I1558" s="381"/>
      <c r="J1558" s="381"/>
      <c r="K1558" s="382"/>
      <c r="L1558" s="380"/>
      <c r="M1558" s="413"/>
      <c r="N1558" s="383"/>
      <c r="O1558" s="384"/>
      <c r="P1558" s="384"/>
      <c r="Q1558" s="383"/>
      <c r="R1558" s="383"/>
      <c r="S1558" s="385"/>
      <c r="T1558" s="380"/>
      <c r="U1558" s="380"/>
      <c r="V1558" s="380"/>
      <c r="W1558" s="380"/>
      <c r="X1558" s="380"/>
    </row>
    <row r="1559" spans="1:24" ht="15.75" customHeight="1">
      <c r="A1559" s="463"/>
      <c r="B1559" s="380"/>
      <c r="C1559" s="381"/>
      <c r="D1559" s="381"/>
      <c r="E1559" s="381"/>
      <c r="F1559" s="381"/>
      <c r="G1559" s="381"/>
      <c r="H1559" s="381"/>
      <c r="I1559" s="381"/>
      <c r="J1559" s="381"/>
      <c r="K1559" s="382"/>
      <c r="L1559" s="380"/>
      <c r="M1559" s="413"/>
      <c r="N1559" s="383"/>
      <c r="O1559" s="384"/>
      <c r="P1559" s="384"/>
      <c r="Q1559" s="383"/>
      <c r="R1559" s="383"/>
      <c r="S1559" s="385"/>
      <c r="T1559" s="380"/>
      <c r="U1559" s="380"/>
      <c r="V1559" s="380"/>
      <c r="W1559" s="380"/>
      <c r="X1559" s="380"/>
    </row>
    <row r="1560" spans="1:24" ht="15.75" customHeight="1">
      <c r="A1560" s="463"/>
      <c r="B1560" s="380"/>
      <c r="C1560" s="381"/>
      <c r="D1560" s="381"/>
      <c r="E1560" s="381"/>
      <c r="F1560" s="381"/>
      <c r="G1560" s="381"/>
      <c r="H1560" s="381"/>
      <c r="I1560" s="381"/>
      <c r="J1560" s="381"/>
      <c r="K1560" s="382"/>
      <c r="L1560" s="380"/>
      <c r="M1560" s="413"/>
      <c r="N1560" s="383"/>
      <c r="O1560" s="384"/>
      <c r="P1560" s="384"/>
      <c r="Q1560" s="383"/>
      <c r="R1560" s="383"/>
      <c r="S1560" s="385"/>
      <c r="T1560" s="380"/>
      <c r="U1560" s="380"/>
      <c r="V1560" s="380"/>
      <c r="W1560" s="380"/>
      <c r="X1560" s="380"/>
    </row>
    <row r="1561" spans="1:24" ht="15.75" customHeight="1">
      <c r="A1561" s="463"/>
      <c r="B1561" s="380"/>
      <c r="C1561" s="381"/>
      <c r="D1561" s="381"/>
      <c r="E1561" s="381"/>
      <c r="F1561" s="381"/>
      <c r="G1561" s="381"/>
      <c r="H1561" s="381"/>
      <c r="I1561" s="381"/>
      <c r="J1561" s="381"/>
      <c r="K1561" s="382"/>
      <c r="L1561" s="380"/>
      <c r="M1561" s="413"/>
      <c r="N1561" s="383"/>
      <c r="O1561" s="384"/>
      <c r="P1561" s="384"/>
      <c r="Q1561" s="383"/>
      <c r="R1561" s="383"/>
      <c r="S1561" s="385"/>
      <c r="T1561" s="380"/>
      <c r="U1561" s="380"/>
      <c r="V1561" s="380"/>
      <c r="W1561" s="380"/>
      <c r="X1561" s="380"/>
    </row>
    <row r="1562" spans="1:24" ht="15.75" customHeight="1">
      <c r="A1562" s="463"/>
      <c r="B1562" s="380"/>
      <c r="C1562" s="381"/>
      <c r="D1562" s="381"/>
      <c r="E1562" s="381"/>
      <c r="F1562" s="381"/>
      <c r="G1562" s="381"/>
      <c r="H1562" s="381"/>
      <c r="I1562" s="381"/>
      <c r="J1562" s="381"/>
      <c r="K1562" s="382"/>
      <c r="L1562" s="380"/>
      <c r="M1562" s="413"/>
      <c r="N1562" s="383"/>
      <c r="O1562" s="384"/>
      <c r="P1562" s="384"/>
      <c r="Q1562" s="383"/>
      <c r="R1562" s="383"/>
      <c r="S1562" s="385"/>
      <c r="T1562" s="380"/>
      <c r="U1562" s="380"/>
      <c r="V1562" s="380"/>
      <c r="W1562" s="380"/>
      <c r="X1562" s="380"/>
    </row>
    <row r="1563" spans="1:24" ht="15.75" customHeight="1">
      <c r="A1563" s="463"/>
      <c r="B1563" s="380"/>
      <c r="C1563" s="381"/>
      <c r="D1563" s="381"/>
      <c r="E1563" s="381"/>
      <c r="F1563" s="381"/>
      <c r="G1563" s="381"/>
      <c r="H1563" s="381"/>
      <c r="I1563" s="381"/>
      <c r="J1563" s="381"/>
      <c r="K1563" s="382"/>
      <c r="L1563" s="380"/>
      <c r="M1563" s="413"/>
      <c r="N1563" s="383"/>
      <c r="O1563" s="384"/>
      <c r="P1563" s="384"/>
      <c r="Q1563" s="383"/>
      <c r="R1563" s="383"/>
      <c r="S1563" s="385"/>
      <c r="T1563" s="380"/>
      <c r="U1563" s="380"/>
      <c r="V1563" s="380"/>
      <c r="W1563" s="380"/>
      <c r="X1563" s="380"/>
    </row>
    <row r="1564" spans="1:24" ht="15.75" customHeight="1">
      <c r="A1564" s="463"/>
      <c r="B1564" s="380"/>
      <c r="C1564" s="381"/>
      <c r="D1564" s="381"/>
      <c r="E1564" s="381"/>
      <c r="F1564" s="381"/>
      <c r="G1564" s="381"/>
      <c r="H1564" s="381"/>
      <c r="I1564" s="381"/>
      <c r="J1564" s="381"/>
      <c r="K1564" s="382"/>
      <c r="L1564" s="380"/>
      <c r="M1564" s="413"/>
      <c r="N1564" s="383"/>
      <c r="O1564" s="384"/>
      <c r="P1564" s="384"/>
      <c r="Q1564" s="383"/>
      <c r="R1564" s="383"/>
      <c r="S1564" s="385"/>
      <c r="T1564" s="380"/>
      <c r="U1564" s="380"/>
      <c r="V1564" s="380"/>
      <c r="W1564" s="380"/>
      <c r="X1564" s="380"/>
    </row>
    <row r="1565" spans="1:24" ht="15.75" customHeight="1">
      <c r="A1565" s="463"/>
      <c r="B1565" s="380"/>
      <c r="C1565" s="381"/>
      <c r="D1565" s="381"/>
      <c r="E1565" s="381"/>
      <c r="F1565" s="381"/>
      <c r="G1565" s="381"/>
      <c r="H1565" s="381"/>
      <c r="I1565" s="381"/>
      <c r="J1565" s="381"/>
      <c r="K1565" s="382"/>
      <c r="L1565" s="380"/>
      <c r="M1565" s="413"/>
      <c r="N1565" s="383"/>
      <c r="O1565" s="384"/>
      <c r="P1565" s="384"/>
      <c r="Q1565" s="383"/>
      <c r="R1565" s="383"/>
      <c r="S1565" s="385"/>
      <c r="T1565" s="380"/>
      <c r="U1565" s="380"/>
      <c r="V1565" s="380"/>
      <c r="W1565" s="380"/>
      <c r="X1565" s="380"/>
    </row>
    <row r="1566" spans="1:24" ht="15.75" customHeight="1">
      <c r="A1566" s="463"/>
      <c r="B1566" s="380"/>
      <c r="C1566" s="381"/>
      <c r="D1566" s="381"/>
      <c r="E1566" s="381"/>
      <c r="F1566" s="381"/>
      <c r="G1566" s="381"/>
      <c r="H1566" s="381"/>
      <c r="I1566" s="381"/>
      <c r="J1566" s="381"/>
      <c r="K1566" s="382"/>
      <c r="L1566" s="380"/>
      <c r="M1566" s="413"/>
      <c r="N1566" s="383"/>
      <c r="O1566" s="384"/>
      <c r="P1566" s="384"/>
      <c r="Q1566" s="383"/>
      <c r="R1566" s="383"/>
      <c r="S1566" s="385"/>
      <c r="T1566" s="380"/>
      <c r="U1566" s="380"/>
      <c r="V1566" s="380"/>
      <c r="W1566" s="380"/>
      <c r="X1566" s="380"/>
    </row>
    <row r="1567" spans="1:24" ht="15.75" customHeight="1">
      <c r="A1567" s="463"/>
      <c r="B1567" s="380"/>
      <c r="C1567" s="381"/>
      <c r="D1567" s="381"/>
      <c r="E1567" s="381"/>
      <c r="F1567" s="381"/>
      <c r="G1567" s="381"/>
      <c r="H1567" s="381"/>
      <c r="I1567" s="381"/>
      <c r="J1567" s="381"/>
      <c r="K1567" s="382"/>
      <c r="L1567" s="380"/>
      <c r="M1567" s="413"/>
      <c r="N1567" s="383"/>
      <c r="O1567" s="384"/>
      <c r="P1567" s="384"/>
      <c r="Q1567" s="383"/>
      <c r="R1567" s="383"/>
      <c r="S1567" s="385"/>
      <c r="T1567" s="380"/>
      <c r="U1567" s="380"/>
      <c r="V1567" s="380"/>
      <c r="W1567" s="380"/>
      <c r="X1567" s="380"/>
    </row>
    <row r="1568" spans="1:24" ht="15.75" customHeight="1">
      <c r="A1568" s="463"/>
      <c r="B1568" s="380"/>
      <c r="C1568" s="381"/>
      <c r="D1568" s="381"/>
      <c r="E1568" s="381"/>
      <c r="F1568" s="381"/>
      <c r="G1568" s="381"/>
      <c r="H1568" s="381"/>
      <c r="I1568" s="381"/>
      <c r="J1568" s="381"/>
      <c r="K1568" s="382"/>
      <c r="L1568" s="380"/>
      <c r="M1568" s="413"/>
      <c r="N1568" s="383"/>
      <c r="O1568" s="384"/>
      <c r="P1568" s="384"/>
      <c r="Q1568" s="383"/>
      <c r="R1568" s="383"/>
      <c r="S1568" s="385"/>
      <c r="T1568" s="380"/>
      <c r="U1568" s="380"/>
      <c r="V1568" s="380"/>
      <c r="W1568" s="380"/>
      <c r="X1568" s="380"/>
    </row>
    <row r="1569" spans="1:24" ht="15.75" customHeight="1">
      <c r="A1569" s="463"/>
      <c r="B1569" s="380"/>
      <c r="C1569" s="381"/>
      <c r="D1569" s="381"/>
      <c r="E1569" s="381"/>
      <c r="F1569" s="381"/>
      <c r="G1569" s="381"/>
      <c r="H1569" s="381"/>
      <c r="I1569" s="381"/>
      <c r="J1569" s="381"/>
      <c r="K1569" s="382"/>
      <c r="L1569" s="380"/>
      <c r="M1569" s="413"/>
      <c r="N1569" s="383"/>
      <c r="O1569" s="384"/>
      <c r="P1569" s="384"/>
      <c r="Q1569" s="383"/>
      <c r="R1569" s="383"/>
      <c r="S1569" s="385"/>
      <c r="T1569" s="380"/>
      <c r="U1569" s="380"/>
      <c r="V1569" s="380"/>
      <c r="W1569" s="380"/>
      <c r="X1569" s="380"/>
    </row>
    <row r="1570" spans="1:24" ht="15.75" customHeight="1">
      <c r="A1570" s="463"/>
      <c r="B1570" s="380"/>
      <c r="C1570" s="381"/>
      <c r="D1570" s="381"/>
      <c r="E1570" s="381"/>
      <c r="F1570" s="381"/>
      <c r="G1570" s="381"/>
      <c r="H1570" s="381"/>
      <c r="I1570" s="381"/>
      <c r="J1570" s="381"/>
      <c r="K1570" s="382"/>
      <c r="L1570" s="380"/>
      <c r="M1570" s="413"/>
      <c r="N1570" s="383"/>
      <c r="O1570" s="384"/>
      <c r="P1570" s="384"/>
      <c r="Q1570" s="383"/>
      <c r="R1570" s="383"/>
      <c r="S1570" s="385"/>
      <c r="T1570" s="380"/>
      <c r="U1570" s="380"/>
      <c r="V1570" s="380"/>
      <c r="W1570" s="380"/>
      <c r="X1570" s="380"/>
    </row>
    <row r="1571" spans="1:24" ht="15.75" customHeight="1">
      <c r="A1571" s="463"/>
      <c r="B1571" s="380"/>
      <c r="C1571" s="381"/>
      <c r="D1571" s="381"/>
      <c r="E1571" s="381"/>
      <c r="F1571" s="381"/>
      <c r="G1571" s="381"/>
      <c r="H1571" s="381"/>
      <c r="I1571" s="381"/>
      <c r="J1571" s="381"/>
      <c r="K1571" s="382"/>
      <c r="L1571" s="380"/>
      <c r="M1571" s="413"/>
      <c r="N1571" s="383"/>
      <c r="O1571" s="384"/>
      <c r="P1571" s="384"/>
      <c r="Q1571" s="383"/>
      <c r="R1571" s="383"/>
      <c r="S1571" s="385"/>
      <c r="T1571" s="380"/>
      <c r="U1571" s="380"/>
      <c r="V1571" s="380"/>
      <c r="W1571" s="380"/>
      <c r="X1571" s="380"/>
    </row>
    <row r="1572" spans="1:24" ht="15.75" customHeight="1">
      <c r="A1572" s="463"/>
      <c r="B1572" s="380"/>
      <c r="C1572" s="381"/>
      <c r="D1572" s="381"/>
      <c r="E1572" s="381"/>
      <c r="F1572" s="381"/>
      <c r="G1572" s="381"/>
      <c r="H1572" s="381"/>
      <c r="I1572" s="381"/>
      <c r="J1572" s="381"/>
      <c r="K1572" s="382"/>
      <c r="L1572" s="380"/>
      <c r="M1572" s="413"/>
      <c r="N1572" s="383"/>
      <c r="O1572" s="384"/>
      <c r="P1572" s="384"/>
      <c r="Q1572" s="383"/>
      <c r="R1572" s="383"/>
      <c r="S1572" s="385"/>
      <c r="T1572" s="380"/>
      <c r="U1572" s="380"/>
      <c r="V1572" s="380"/>
      <c r="W1572" s="380"/>
      <c r="X1572" s="380"/>
    </row>
    <row r="1573" spans="1:24" ht="15.75" customHeight="1">
      <c r="A1573" s="463"/>
      <c r="B1573" s="380"/>
      <c r="C1573" s="381"/>
      <c r="D1573" s="381"/>
      <c r="E1573" s="381"/>
      <c r="F1573" s="381"/>
      <c r="G1573" s="381"/>
      <c r="H1573" s="381"/>
      <c r="I1573" s="381"/>
      <c r="J1573" s="381"/>
      <c r="K1573" s="382"/>
      <c r="L1573" s="380"/>
      <c r="M1573" s="413"/>
      <c r="N1573" s="383"/>
      <c r="O1573" s="384"/>
      <c r="P1573" s="384"/>
      <c r="Q1573" s="383"/>
      <c r="R1573" s="383"/>
      <c r="S1573" s="385"/>
      <c r="T1573" s="380"/>
      <c r="U1573" s="380"/>
      <c r="V1573" s="380"/>
      <c r="W1573" s="380"/>
      <c r="X1573" s="380"/>
    </row>
    <row r="1574" spans="1:24" ht="15.75" customHeight="1">
      <c r="A1574" s="463"/>
      <c r="B1574" s="380"/>
      <c r="C1574" s="381"/>
      <c r="D1574" s="381"/>
      <c r="E1574" s="381"/>
      <c r="F1574" s="381"/>
      <c r="G1574" s="381"/>
      <c r="H1574" s="381"/>
      <c r="I1574" s="381"/>
      <c r="J1574" s="381"/>
      <c r="K1574" s="382"/>
      <c r="L1574" s="380"/>
      <c r="M1574" s="413"/>
      <c r="N1574" s="383"/>
      <c r="O1574" s="384"/>
      <c r="P1574" s="384"/>
      <c r="Q1574" s="383"/>
      <c r="R1574" s="383"/>
      <c r="S1574" s="385"/>
      <c r="T1574" s="380"/>
      <c r="U1574" s="380"/>
      <c r="V1574" s="380"/>
      <c r="W1574" s="380"/>
      <c r="X1574" s="380"/>
    </row>
    <row r="1575" spans="1:24" ht="15.75" customHeight="1">
      <c r="A1575" s="463"/>
      <c r="B1575" s="380"/>
      <c r="C1575" s="381"/>
      <c r="D1575" s="381"/>
      <c r="E1575" s="381"/>
      <c r="F1575" s="381"/>
      <c r="G1575" s="381"/>
      <c r="H1575" s="381"/>
      <c r="I1575" s="381"/>
      <c r="J1575" s="381"/>
      <c r="K1575" s="382"/>
      <c r="L1575" s="380"/>
      <c r="M1575" s="413"/>
      <c r="N1575" s="383"/>
      <c r="O1575" s="384"/>
      <c r="P1575" s="384"/>
      <c r="Q1575" s="383"/>
      <c r="R1575" s="383"/>
      <c r="S1575" s="385"/>
      <c r="T1575" s="380"/>
      <c r="U1575" s="380"/>
      <c r="V1575" s="380"/>
      <c r="W1575" s="380"/>
      <c r="X1575" s="380"/>
    </row>
    <row r="1576" spans="1:24" ht="15.75" customHeight="1">
      <c r="A1576" s="463"/>
      <c r="B1576" s="380"/>
      <c r="C1576" s="381"/>
      <c r="D1576" s="381"/>
      <c r="E1576" s="381"/>
      <c r="F1576" s="381"/>
      <c r="G1576" s="381"/>
      <c r="H1576" s="381"/>
      <c r="I1576" s="381"/>
      <c r="J1576" s="381"/>
      <c r="K1576" s="382"/>
      <c r="L1576" s="380"/>
      <c r="M1576" s="413"/>
      <c r="N1576" s="383"/>
      <c r="O1576" s="384"/>
      <c r="P1576" s="384"/>
      <c r="Q1576" s="383"/>
      <c r="R1576" s="383"/>
      <c r="S1576" s="385"/>
      <c r="T1576" s="380"/>
      <c r="U1576" s="380"/>
      <c r="V1576" s="380"/>
      <c r="W1576" s="380"/>
      <c r="X1576" s="380"/>
    </row>
    <row r="1577" spans="1:24" ht="15.75" customHeight="1">
      <c r="A1577" s="463"/>
      <c r="B1577" s="380"/>
      <c r="C1577" s="381"/>
      <c r="D1577" s="381"/>
      <c r="E1577" s="381"/>
      <c r="F1577" s="381"/>
      <c r="G1577" s="381"/>
      <c r="H1577" s="381"/>
      <c r="I1577" s="381"/>
      <c r="J1577" s="381"/>
      <c r="K1577" s="382"/>
      <c r="L1577" s="380"/>
      <c r="M1577" s="413"/>
      <c r="N1577" s="383"/>
      <c r="O1577" s="384"/>
      <c r="P1577" s="384"/>
      <c r="Q1577" s="383"/>
      <c r="R1577" s="383"/>
      <c r="S1577" s="385"/>
      <c r="T1577" s="380"/>
      <c r="U1577" s="380"/>
      <c r="V1577" s="380"/>
      <c r="W1577" s="380"/>
      <c r="X1577" s="380"/>
    </row>
    <row r="1578" spans="1:24" ht="15.75" customHeight="1">
      <c r="A1578" s="463"/>
      <c r="B1578" s="380"/>
      <c r="C1578" s="381"/>
      <c r="D1578" s="381"/>
      <c r="E1578" s="381"/>
      <c r="F1578" s="381"/>
      <c r="G1578" s="381"/>
      <c r="H1578" s="381"/>
      <c r="I1578" s="381"/>
      <c r="J1578" s="381"/>
      <c r="K1578" s="382"/>
      <c r="L1578" s="380"/>
      <c r="M1578" s="413"/>
      <c r="N1578" s="383"/>
      <c r="O1578" s="384"/>
      <c r="P1578" s="384"/>
      <c r="Q1578" s="383"/>
      <c r="R1578" s="383"/>
      <c r="S1578" s="385"/>
      <c r="T1578" s="380"/>
      <c r="U1578" s="380"/>
      <c r="V1578" s="380"/>
      <c r="W1578" s="380"/>
      <c r="X1578" s="380"/>
    </row>
    <row r="1579" spans="1:24" ht="15.75" customHeight="1">
      <c r="A1579" s="463"/>
      <c r="B1579" s="380"/>
      <c r="C1579" s="381"/>
      <c r="D1579" s="381"/>
      <c r="E1579" s="381"/>
      <c r="F1579" s="381"/>
      <c r="G1579" s="381"/>
      <c r="H1579" s="381"/>
      <c r="I1579" s="381"/>
      <c r="J1579" s="381"/>
      <c r="K1579" s="382"/>
      <c r="L1579" s="380"/>
      <c r="M1579" s="413"/>
      <c r="N1579" s="383"/>
      <c r="O1579" s="384"/>
      <c r="P1579" s="384"/>
      <c r="Q1579" s="383"/>
      <c r="R1579" s="383"/>
      <c r="S1579" s="385"/>
      <c r="T1579" s="380"/>
      <c r="U1579" s="380"/>
      <c r="V1579" s="380"/>
      <c r="W1579" s="380"/>
      <c r="X1579" s="380"/>
    </row>
    <row r="1580" spans="1:24" ht="15.75" customHeight="1">
      <c r="A1580" s="463"/>
      <c r="B1580" s="380"/>
      <c r="C1580" s="381"/>
      <c r="D1580" s="381"/>
      <c r="E1580" s="381"/>
      <c r="F1580" s="381"/>
      <c r="G1580" s="381"/>
      <c r="H1580" s="381"/>
      <c r="I1580" s="381"/>
      <c r="J1580" s="381"/>
      <c r="K1580" s="382"/>
      <c r="L1580" s="380"/>
      <c r="M1580" s="413"/>
      <c r="N1580" s="383"/>
      <c r="O1580" s="384"/>
      <c r="P1580" s="384"/>
      <c r="Q1580" s="383"/>
      <c r="R1580" s="383"/>
      <c r="S1580" s="385"/>
      <c r="T1580" s="380"/>
      <c r="U1580" s="380"/>
      <c r="V1580" s="380"/>
      <c r="W1580" s="380"/>
      <c r="X1580" s="380"/>
    </row>
    <row r="1581" spans="1:24" ht="15.75" customHeight="1">
      <c r="A1581" s="463"/>
      <c r="B1581" s="380"/>
      <c r="C1581" s="381"/>
      <c r="D1581" s="381"/>
      <c r="E1581" s="381"/>
      <c r="F1581" s="381"/>
      <c r="G1581" s="381"/>
      <c r="H1581" s="381"/>
      <c r="I1581" s="381"/>
      <c r="J1581" s="381"/>
      <c r="K1581" s="382"/>
      <c r="L1581" s="380"/>
      <c r="M1581" s="413"/>
      <c r="N1581" s="383"/>
      <c r="O1581" s="384"/>
      <c r="P1581" s="384"/>
      <c r="Q1581" s="383"/>
      <c r="R1581" s="383"/>
      <c r="S1581" s="385"/>
      <c r="T1581" s="380"/>
      <c r="U1581" s="380"/>
      <c r="V1581" s="380"/>
      <c r="W1581" s="380"/>
      <c r="X1581" s="380"/>
    </row>
    <row r="1582" spans="1:24" ht="15.75" customHeight="1">
      <c r="A1582" s="463"/>
      <c r="B1582" s="380"/>
      <c r="C1582" s="381"/>
      <c r="D1582" s="381"/>
      <c r="E1582" s="381"/>
      <c r="F1582" s="381"/>
      <c r="G1582" s="381"/>
      <c r="H1582" s="381"/>
      <c r="I1582" s="381"/>
      <c r="J1582" s="381"/>
      <c r="K1582" s="382"/>
      <c r="L1582" s="380"/>
      <c r="M1582" s="413"/>
      <c r="N1582" s="383"/>
      <c r="O1582" s="384"/>
      <c r="P1582" s="384"/>
      <c r="Q1582" s="383"/>
      <c r="R1582" s="383"/>
      <c r="S1582" s="385"/>
      <c r="T1582" s="380"/>
      <c r="U1582" s="380"/>
      <c r="V1582" s="380"/>
      <c r="W1582" s="380"/>
      <c r="X1582" s="380"/>
    </row>
    <row r="1583" spans="1:24" ht="15.75" customHeight="1">
      <c r="A1583" s="463"/>
      <c r="B1583" s="380"/>
      <c r="C1583" s="381"/>
      <c r="D1583" s="381"/>
      <c r="E1583" s="381"/>
      <c r="F1583" s="381"/>
      <c r="G1583" s="381"/>
      <c r="H1583" s="381"/>
      <c r="I1583" s="381"/>
      <c r="J1583" s="381"/>
      <c r="K1583" s="382"/>
      <c r="L1583" s="380"/>
      <c r="M1583" s="413"/>
      <c r="N1583" s="383"/>
      <c r="O1583" s="384"/>
      <c r="P1583" s="384"/>
      <c r="Q1583" s="383"/>
      <c r="R1583" s="383"/>
      <c r="S1583" s="385"/>
      <c r="T1583" s="380"/>
      <c r="U1583" s="380"/>
      <c r="V1583" s="380"/>
      <c r="W1583" s="380"/>
      <c r="X1583" s="380"/>
    </row>
    <row r="1584" spans="1:24" ht="15.75" customHeight="1">
      <c r="A1584" s="463"/>
      <c r="B1584" s="380"/>
      <c r="C1584" s="381"/>
      <c r="D1584" s="381"/>
      <c r="E1584" s="381"/>
      <c r="F1584" s="381"/>
      <c r="G1584" s="381"/>
      <c r="H1584" s="381"/>
      <c r="I1584" s="381"/>
      <c r="J1584" s="381"/>
      <c r="K1584" s="382"/>
      <c r="L1584" s="380"/>
      <c r="M1584" s="413"/>
      <c r="N1584" s="383"/>
      <c r="O1584" s="384"/>
      <c r="P1584" s="384"/>
      <c r="Q1584" s="383"/>
      <c r="R1584" s="383"/>
      <c r="S1584" s="385"/>
      <c r="T1584" s="380"/>
      <c r="U1584" s="380"/>
      <c r="V1584" s="380"/>
      <c r="W1584" s="380"/>
      <c r="X1584" s="380"/>
    </row>
    <row r="1585" spans="1:24" ht="15.75" customHeight="1">
      <c r="A1585" s="463"/>
      <c r="B1585" s="380"/>
      <c r="C1585" s="381"/>
      <c r="D1585" s="381"/>
      <c r="E1585" s="381"/>
      <c r="F1585" s="381"/>
      <c r="G1585" s="381"/>
      <c r="H1585" s="381"/>
      <c r="I1585" s="381"/>
      <c r="J1585" s="381"/>
      <c r="K1585" s="382"/>
      <c r="L1585" s="380"/>
      <c r="M1585" s="413"/>
      <c r="N1585" s="383"/>
      <c r="O1585" s="384"/>
      <c r="P1585" s="384"/>
      <c r="Q1585" s="383"/>
      <c r="R1585" s="383"/>
      <c r="S1585" s="385"/>
      <c r="T1585" s="380"/>
      <c r="U1585" s="380"/>
      <c r="V1585" s="380"/>
      <c r="W1585" s="380"/>
      <c r="X1585" s="380"/>
    </row>
    <row r="1586" spans="1:24" ht="15.75" customHeight="1">
      <c r="A1586" s="463"/>
      <c r="B1586" s="380"/>
      <c r="C1586" s="381"/>
      <c r="D1586" s="381"/>
      <c r="E1586" s="381"/>
      <c r="F1586" s="381"/>
      <c r="G1586" s="381"/>
      <c r="H1586" s="381"/>
      <c r="I1586" s="381"/>
      <c r="J1586" s="381"/>
      <c r="K1586" s="382"/>
      <c r="L1586" s="380"/>
      <c r="M1586" s="413"/>
      <c r="N1586" s="383"/>
      <c r="O1586" s="384"/>
      <c r="P1586" s="384"/>
      <c r="Q1586" s="383"/>
      <c r="R1586" s="383"/>
      <c r="S1586" s="385"/>
      <c r="T1586" s="380"/>
      <c r="U1586" s="380"/>
      <c r="V1586" s="380"/>
      <c r="W1586" s="380"/>
      <c r="X1586" s="380"/>
    </row>
    <row r="1587" spans="1:24" ht="15.75" customHeight="1">
      <c r="A1587" s="463"/>
      <c r="B1587" s="380"/>
      <c r="C1587" s="381"/>
      <c r="D1587" s="381"/>
      <c r="E1587" s="381"/>
      <c r="F1587" s="381"/>
      <c r="G1587" s="381"/>
      <c r="H1587" s="381"/>
      <c r="I1587" s="381"/>
      <c r="J1587" s="381"/>
      <c r="K1587" s="382"/>
      <c r="L1587" s="380"/>
      <c r="M1587" s="413"/>
      <c r="N1587" s="383"/>
      <c r="O1587" s="384"/>
      <c r="P1587" s="384"/>
      <c r="Q1587" s="383"/>
      <c r="R1587" s="383"/>
      <c r="S1587" s="385"/>
      <c r="T1587" s="380"/>
      <c r="U1587" s="380"/>
      <c r="V1587" s="380"/>
      <c r="W1587" s="380"/>
      <c r="X1587" s="380"/>
    </row>
    <row r="1588" spans="1:24" ht="15.75" customHeight="1">
      <c r="A1588" s="463"/>
      <c r="B1588" s="380"/>
      <c r="C1588" s="381"/>
      <c r="D1588" s="381"/>
      <c r="E1588" s="381"/>
      <c r="F1588" s="381"/>
      <c r="G1588" s="381"/>
      <c r="H1588" s="381"/>
      <c r="I1588" s="381"/>
      <c r="J1588" s="381"/>
      <c r="K1588" s="382"/>
      <c r="L1588" s="380"/>
      <c r="M1588" s="413"/>
      <c r="N1588" s="383"/>
      <c r="O1588" s="384"/>
      <c r="P1588" s="384"/>
      <c r="Q1588" s="383"/>
      <c r="R1588" s="383"/>
      <c r="S1588" s="385"/>
      <c r="T1588" s="380"/>
      <c r="U1588" s="380"/>
      <c r="V1588" s="380"/>
      <c r="W1588" s="380"/>
      <c r="X1588" s="380"/>
    </row>
    <row r="1589" spans="1:24" ht="15.75" customHeight="1">
      <c r="A1589" s="463"/>
      <c r="B1589" s="380"/>
      <c r="C1589" s="381"/>
      <c r="D1589" s="381"/>
      <c r="E1589" s="381"/>
      <c r="F1589" s="381"/>
      <c r="G1589" s="381"/>
      <c r="H1589" s="381"/>
      <c r="I1589" s="381"/>
      <c r="J1589" s="381"/>
      <c r="K1589" s="382"/>
      <c r="L1589" s="380"/>
      <c r="M1589" s="413"/>
      <c r="N1589" s="383"/>
      <c r="O1589" s="384"/>
      <c r="P1589" s="384"/>
      <c r="Q1589" s="383"/>
      <c r="R1589" s="383"/>
      <c r="S1589" s="385"/>
      <c r="T1589" s="380"/>
      <c r="U1589" s="380"/>
      <c r="V1589" s="380"/>
      <c r="W1589" s="380"/>
      <c r="X1589" s="380"/>
    </row>
    <row r="1590" spans="1:24" ht="15.75" customHeight="1">
      <c r="A1590" s="463"/>
      <c r="B1590" s="380"/>
      <c r="C1590" s="381"/>
      <c r="D1590" s="381"/>
      <c r="E1590" s="381"/>
      <c r="F1590" s="381"/>
      <c r="G1590" s="381"/>
      <c r="H1590" s="381"/>
      <c r="I1590" s="381"/>
      <c r="J1590" s="381"/>
      <c r="K1590" s="382"/>
      <c r="L1590" s="380"/>
      <c r="M1590" s="413"/>
      <c r="N1590" s="383"/>
      <c r="O1590" s="384"/>
      <c r="P1590" s="384"/>
      <c r="Q1590" s="383"/>
      <c r="R1590" s="383"/>
      <c r="S1590" s="385"/>
      <c r="T1590" s="380"/>
      <c r="U1590" s="380"/>
      <c r="V1590" s="380"/>
      <c r="W1590" s="380"/>
      <c r="X1590" s="380"/>
    </row>
    <row r="1591" spans="1:24" ht="15.75" customHeight="1">
      <c r="A1591" s="463"/>
      <c r="B1591" s="380"/>
      <c r="C1591" s="381"/>
      <c r="D1591" s="381"/>
      <c r="E1591" s="381"/>
      <c r="F1591" s="381"/>
      <c r="G1591" s="381"/>
      <c r="H1591" s="381"/>
      <c r="I1591" s="381"/>
      <c r="J1591" s="381"/>
      <c r="K1591" s="382"/>
      <c r="L1591" s="380"/>
      <c r="M1591" s="413"/>
      <c r="N1591" s="383"/>
      <c r="O1591" s="384"/>
      <c r="P1591" s="384"/>
      <c r="Q1591" s="383"/>
      <c r="R1591" s="383"/>
      <c r="S1591" s="385"/>
      <c r="T1591" s="380"/>
      <c r="U1591" s="380"/>
      <c r="V1591" s="380"/>
      <c r="W1591" s="380"/>
      <c r="X1591" s="380"/>
    </row>
    <row r="1592" spans="1:24" ht="15.75" customHeight="1">
      <c r="A1592" s="463"/>
      <c r="B1592" s="380"/>
      <c r="C1592" s="381"/>
      <c r="D1592" s="381"/>
      <c r="E1592" s="381"/>
      <c r="F1592" s="381"/>
      <c r="G1592" s="381"/>
      <c r="H1592" s="381"/>
      <c r="I1592" s="381"/>
      <c r="J1592" s="381"/>
      <c r="K1592" s="382"/>
      <c r="L1592" s="380"/>
      <c r="M1592" s="413"/>
      <c r="N1592" s="383"/>
      <c r="O1592" s="384"/>
      <c r="P1592" s="384"/>
      <c r="Q1592" s="383"/>
      <c r="R1592" s="383"/>
      <c r="S1592" s="385"/>
      <c r="T1592" s="380"/>
      <c r="U1592" s="380"/>
      <c r="V1592" s="380"/>
      <c r="W1592" s="380"/>
      <c r="X1592" s="380"/>
    </row>
    <row r="1593" spans="1:24" ht="15.75" customHeight="1">
      <c r="A1593" s="463"/>
      <c r="B1593" s="380"/>
      <c r="C1593" s="381"/>
      <c r="D1593" s="381"/>
      <c r="E1593" s="381"/>
      <c r="F1593" s="381"/>
      <c r="G1593" s="381"/>
      <c r="H1593" s="381"/>
      <c r="I1593" s="381"/>
      <c r="J1593" s="381"/>
      <c r="K1593" s="382"/>
      <c r="L1593" s="380"/>
      <c r="M1593" s="413"/>
      <c r="N1593" s="383"/>
      <c r="O1593" s="384"/>
      <c r="P1593" s="384"/>
      <c r="Q1593" s="383"/>
      <c r="R1593" s="383"/>
      <c r="S1593" s="385"/>
      <c r="T1593" s="380"/>
      <c r="U1593" s="380"/>
      <c r="V1593" s="380"/>
      <c r="W1593" s="380"/>
      <c r="X1593" s="380"/>
    </row>
    <row r="1594" spans="1:24" ht="15.75" customHeight="1">
      <c r="A1594" s="463"/>
      <c r="B1594" s="380"/>
      <c r="C1594" s="381"/>
      <c r="D1594" s="381"/>
      <c r="E1594" s="381"/>
      <c r="F1594" s="381"/>
      <c r="G1594" s="381"/>
      <c r="H1594" s="381"/>
      <c r="I1594" s="381"/>
      <c r="J1594" s="381"/>
      <c r="K1594" s="382"/>
      <c r="L1594" s="380"/>
      <c r="M1594" s="413"/>
      <c r="N1594" s="383"/>
      <c r="O1594" s="384"/>
      <c r="P1594" s="384"/>
      <c r="Q1594" s="383"/>
      <c r="R1594" s="383"/>
      <c r="S1594" s="385"/>
      <c r="T1594" s="380"/>
      <c r="U1594" s="380"/>
      <c r="V1594" s="380"/>
      <c r="W1594" s="380"/>
      <c r="X1594" s="380"/>
    </row>
    <row r="1595" spans="1:24" ht="15.75" customHeight="1">
      <c r="A1595" s="463"/>
      <c r="B1595" s="380"/>
      <c r="C1595" s="381"/>
      <c r="D1595" s="381"/>
      <c r="E1595" s="381"/>
      <c r="F1595" s="381"/>
      <c r="G1595" s="381"/>
      <c r="H1595" s="381"/>
      <c r="I1595" s="381"/>
      <c r="J1595" s="381"/>
      <c r="K1595" s="382"/>
      <c r="L1595" s="380"/>
      <c r="M1595" s="413"/>
      <c r="N1595" s="383"/>
      <c r="O1595" s="384"/>
      <c r="P1595" s="384"/>
      <c r="Q1595" s="383"/>
      <c r="R1595" s="383"/>
      <c r="S1595" s="385"/>
      <c r="T1595" s="380"/>
      <c r="U1595" s="380"/>
      <c r="V1595" s="380"/>
      <c r="W1595" s="380"/>
      <c r="X1595" s="380"/>
    </row>
    <row r="1596" spans="1:24" ht="15.75" customHeight="1">
      <c r="A1596" s="463"/>
      <c r="B1596" s="380"/>
      <c r="C1596" s="381"/>
      <c r="D1596" s="381"/>
      <c r="E1596" s="381"/>
      <c r="F1596" s="381"/>
      <c r="G1596" s="381"/>
      <c r="H1596" s="381"/>
      <c r="I1596" s="381"/>
      <c r="J1596" s="381"/>
      <c r="K1596" s="382"/>
      <c r="L1596" s="380"/>
      <c r="M1596" s="413"/>
      <c r="N1596" s="383"/>
      <c r="O1596" s="384"/>
      <c r="P1596" s="384"/>
      <c r="Q1596" s="383"/>
      <c r="R1596" s="383"/>
      <c r="S1596" s="385"/>
      <c r="T1596" s="380"/>
      <c r="U1596" s="380"/>
      <c r="V1596" s="380"/>
      <c r="W1596" s="380"/>
      <c r="X1596" s="380"/>
    </row>
    <row r="1597" spans="1:24" ht="15.75" customHeight="1">
      <c r="A1597" s="463"/>
      <c r="B1597" s="380"/>
      <c r="C1597" s="381"/>
      <c r="D1597" s="381"/>
      <c r="E1597" s="381"/>
      <c r="F1597" s="381"/>
      <c r="G1597" s="381"/>
      <c r="H1597" s="381"/>
      <c r="I1597" s="381"/>
      <c r="J1597" s="381"/>
      <c r="K1597" s="382"/>
      <c r="L1597" s="380"/>
      <c r="M1597" s="413"/>
      <c r="N1597" s="383"/>
      <c r="O1597" s="384"/>
      <c r="P1597" s="384"/>
      <c r="Q1597" s="383"/>
      <c r="R1597" s="383"/>
      <c r="S1597" s="385"/>
      <c r="T1597" s="380"/>
      <c r="U1597" s="380"/>
      <c r="V1597" s="380"/>
      <c r="W1597" s="380"/>
      <c r="X1597" s="380"/>
    </row>
    <row r="1598" spans="1:24" ht="15.75" customHeight="1">
      <c r="A1598" s="463"/>
      <c r="B1598" s="380"/>
      <c r="C1598" s="381"/>
      <c r="D1598" s="381"/>
      <c r="E1598" s="381"/>
      <c r="F1598" s="381"/>
      <c r="G1598" s="381"/>
      <c r="H1598" s="381"/>
      <c r="I1598" s="381"/>
      <c r="J1598" s="381"/>
      <c r="K1598" s="382"/>
      <c r="L1598" s="380"/>
      <c r="M1598" s="413"/>
      <c r="N1598" s="383"/>
      <c r="O1598" s="384"/>
      <c r="P1598" s="384"/>
      <c r="Q1598" s="383"/>
      <c r="R1598" s="383"/>
      <c r="S1598" s="385"/>
      <c r="T1598" s="380"/>
      <c r="U1598" s="380"/>
      <c r="V1598" s="380"/>
      <c r="W1598" s="380"/>
      <c r="X1598" s="380"/>
    </row>
    <row r="1599" spans="1:24" ht="15.75" customHeight="1">
      <c r="A1599" s="463"/>
      <c r="B1599" s="380"/>
      <c r="C1599" s="381"/>
      <c r="D1599" s="381"/>
      <c r="E1599" s="381"/>
      <c r="F1599" s="381"/>
      <c r="G1599" s="381"/>
      <c r="H1599" s="381"/>
      <c r="I1599" s="381"/>
      <c r="J1599" s="381"/>
      <c r="K1599" s="382"/>
      <c r="L1599" s="380"/>
      <c r="M1599" s="413"/>
      <c r="N1599" s="383"/>
      <c r="O1599" s="384"/>
      <c r="P1599" s="384"/>
      <c r="Q1599" s="383"/>
      <c r="R1599" s="383"/>
      <c r="S1599" s="385"/>
      <c r="T1599" s="380"/>
      <c r="U1599" s="380"/>
      <c r="V1599" s="380"/>
      <c r="W1599" s="380"/>
      <c r="X1599" s="380"/>
    </row>
    <row r="1600" spans="1:24" ht="15.75" customHeight="1">
      <c r="A1600" s="463"/>
      <c r="B1600" s="380"/>
      <c r="C1600" s="381"/>
      <c r="D1600" s="381"/>
      <c r="E1600" s="381"/>
      <c r="F1600" s="381"/>
      <c r="G1600" s="381"/>
      <c r="H1600" s="381"/>
      <c r="I1600" s="381"/>
      <c r="J1600" s="381"/>
      <c r="K1600" s="382"/>
      <c r="L1600" s="380"/>
      <c r="M1600" s="413"/>
      <c r="N1600" s="383"/>
      <c r="O1600" s="384"/>
      <c r="P1600" s="384"/>
      <c r="Q1600" s="383"/>
      <c r="R1600" s="383"/>
      <c r="S1600" s="385"/>
      <c r="T1600" s="380"/>
      <c r="U1600" s="380"/>
      <c r="V1600" s="380"/>
      <c r="W1600" s="380"/>
      <c r="X1600" s="380"/>
    </row>
    <row r="1601" spans="1:24" ht="15.75" customHeight="1">
      <c r="A1601" s="463"/>
      <c r="B1601" s="380"/>
      <c r="C1601" s="381"/>
      <c r="D1601" s="381"/>
      <c r="E1601" s="381"/>
      <c r="F1601" s="381"/>
      <c r="G1601" s="381"/>
      <c r="H1601" s="381"/>
      <c r="I1601" s="381"/>
      <c r="J1601" s="381"/>
      <c r="K1601" s="382"/>
      <c r="L1601" s="380"/>
      <c r="M1601" s="413"/>
      <c r="N1601" s="383"/>
      <c r="O1601" s="384"/>
      <c r="P1601" s="384"/>
      <c r="Q1601" s="383"/>
      <c r="R1601" s="383"/>
      <c r="S1601" s="385"/>
      <c r="T1601" s="380"/>
      <c r="U1601" s="380"/>
      <c r="V1601" s="380"/>
      <c r="W1601" s="380"/>
      <c r="X1601" s="380"/>
    </row>
    <row r="1602" spans="1:24" ht="15.75" customHeight="1">
      <c r="A1602" s="463"/>
      <c r="B1602" s="380"/>
      <c r="C1602" s="381"/>
      <c r="D1602" s="381"/>
      <c r="E1602" s="381"/>
      <c r="F1602" s="381"/>
      <c r="G1602" s="381"/>
      <c r="H1602" s="381"/>
      <c r="I1602" s="381"/>
      <c r="J1602" s="381"/>
      <c r="K1602" s="382"/>
      <c r="L1602" s="380"/>
      <c r="M1602" s="413"/>
      <c r="N1602" s="383"/>
      <c r="O1602" s="384"/>
      <c r="P1602" s="384"/>
      <c r="Q1602" s="383"/>
      <c r="R1602" s="383"/>
      <c r="S1602" s="385"/>
      <c r="T1602" s="380"/>
      <c r="U1602" s="380"/>
      <c r="V1602" s="380"/>
      <c r="W1602" s="380"/>
      <c r="X1602" s="380"/>
    </row>
    <row r="1603" spans="1:24" ht="15.75" customHeight="1">
      <c r="A1603" s="463"/>
      <c r="B1603" s="380"/>
      <c r="C1603" s="381"/>
      <c r="D1603" s="381"/>
      <c r="E1603" s="381"/>
      <c r="F1603" s="381"/>
      <c r="G1603" s="381"/>
      <c r="H1603" s="381"/>
      <c r="I1603" s="381"/>
      <c r="J1603" s="381"/>
      <c r="K1603" s="382"/>
      <c r="L1603" s="380"/>
      <c r="M1603" s="413"/>
      <c r="N1603" s="383"/>
      <c r="O1603" s="384"/>
      <c r="P1603" s="384"/>
      <c r="Q1603" s="383"/>
      <c r="R1603" s="383"/>
      <c r="S1603" s="385"/>
      <c r="T1603" s="380"/>
      <c r="U1603" s="380"/>
      <c r="V1603" s="380"/>
      <c r="W1603" s="380"/>
      <c r="X1603" s="380"/>
    </row>
    <row r="1604" spans="1:24" ht="15.75" customHeight="1">
      <c r="A1604" s="463"/>
      <c r="B1604" s="380"/>
      <c r="C1604" s="381"/>
      <c r="D1604" s="381"/>
      <c r="E1604" s="381"/>
      <c r="F1604" s="381"/>
      <c r="G1604" s="381"/>
      <c r="H1604" s="381"/>
      <c r="I1604" s="381"/>
      <c r="J1604" s="381"/>
      <c r="K1604" s="382"/>
      <c r="L1604" s="380"/>
      <c r="M1604" s="413"/>
      <c r="N1604" s="383"/>
      <c r="O1604" s="384"/>
      <c r="P1604" s="384"/>
      <c r="Q1604" s="383"/>
      <c r="R1604" s="383"/>
      <c r="S1604" s="385"/>
      <c r="T1604" s="380"/>
      <c r="U1604" s="380"/>
      <c r="V1604" s="380"/>
      <c r="W1604" s="380"/>
      <c r="X1604" s="380"/>
    </row>
    <row r="1605" spans="1:24" ht="15.75" customHeight="1">
      <c r="A1605" s="463"/>
      <c r="B1605" s="380"/>
      <c r="C1605" s="381"/>
      <c r="D1605" s="381"/>
      <c r="E1605" s="381"/>
      <c r="F1605" s="381"/>
      <c r="G1605" s="381"/>
      <c r="H1605" s="381"/>
      <c r="I1605" s="381"/>
      <c r="J1605" s="381"/>
      <c r="K1605" s="382"/>
      <c r="L1605" s="380"/>
      <c r="M1605" s="413"/>
      <c r="N1605" s="383"/>
      <c r="O1605" s="384"/>
      <c r="P1605" s="384"/>
      <c r="Q1605" s="383"/>
      <c r="R1605" s="383"/>
      <c r="S1605" s="385"/>
      <c r="T1605" s="380"/>
      <c r="U1605" s="380"/>
      <c r="V1605" s="380"/>
      <c r="W1605" s="380"/>
      <c r="X1605" s="380"/>
    </row>
    <row r="1606" spans="1:24" ht="15.75" customHeight="1">
      <c r="A1606" s="463"/>
      <c r="B1606" s="380"/>
      <c r="C1606" s="381"/>
      <c r="D1606" s="381"/>
      <c r="E1606" s="381"/>
      <c r="F1606" s="381"/>
      <c r="G1606" s="381"/>
      <c r="H1606" s="381"/>
      <c r="I1606" s="381"/>
      <c r="J1606" s="381"/>
      <c r="K1606" s="382"/>
      <c r="L1606" s="380"/>
      <c r="M1606" s="413"/>
      <c r="N1606" s="383"/>
      <c r="O1606" s="384"/>
      <c r="P1606" s="384"/>
      <c r="Q1606" s="383"/>
      <c r="R1606" s="383"/>
      <c r="S1606" s="385"/>
      <c r="T1606" s="380"/>
      <c r="U1606" s="380"/>
      <c r="V1606" s="380"/>
      <c r="W1606" s="380"/>
      <c r="X1606" s="380"/>
    </row>
    <row r="1607" spans="1:24" ht="15.75" customHeight="1">
      <c r="A1607" s="463"/>
      <c r="B1607" s="380"/>
      <c r="C1607" s="381"/>
      <c r="D1607" s="381"/>
      <c r="E1607" s="381"/>
      <c r="F1607" s="381"/>
      <c r="G1607" s="381"/>
      <c r="H1607" s="381"/>
      <c r="I1607" s="381"/>
      <c r="J1607" s="381"/>
      <c r="K1607" s="382"/>
      <c r="L1607" s="380"/>
      <c r="M1607" s="413"/>
      <c r="N1607" s="383"/>
      <c r="O1607" s="384"/>
      <c r="P1607" s="384"/>
      <c r="Q1607" s="383"/>
      <c r="R1607" s="383"/>
      <c r="S1607" s="385"/>
      <c r="T1607" s="380"/>
      <c r="U1607" s="380"/>
      <c r="V1607" s="380"/>
      <c r="W1607" s="380"/>
      <c r="X1607" s="380"/>
    </row>
    <row r="1608" spans="1:24" ht="15.75" customHeight="1">
      <c r="A1608" s="463"/>
      <c r="B1608" s="380"/>
      <c r="C1608" s="381"/>
      <c r="D1608" s="381"/>
      <c r="E1608" s="381"/>
      <c r="F1608" s="381"/>
      <c r="G1608" s="381"/>
      <c r="H1608" s="381"/>
      <c r="I1608" s="381"/>
      <c r="J1608" s="381"/>
      <c r="K1608" s="382"/>
      <c r="L1608" s="380"/>
      <c r="M1608" s="413"/>
      <c r="N1608" s="383"/>
      <c r="O1608" s="384"/>
      <c r="P1608" s="384"/>
      <c r="Q1608" s="383"/>
      <c r="R1608" s="383"/>
      <c r="S1608" s="385"/>
      <c r="T1608" s="380"/>
      <c r="U1608" s="380"/>
      <c r="V1608" s="380"/>
      <c r="W1608" s="380"/>
      <c r="X1608" s="380"/>
    </row>
    <row r="1609" spans="1:24" ht="15.75" customHeight="1">
      <c r="A1609" s="463"/>
      <c r="B1609" s="380"/>
      <c r="C1609" s="381"/>
      <c r="D1609" s="381"/>
      <c r="E1609" s="381"/>
      <c r="F1609" s="381"/>
      <c r="G1609" s="381"/>
      <c r="H1609" s="381"/>
      <c r="I1609" s="381"/>
      <c r="J1609" s="381"/>
      <c r="K1609" s="382"/>
      <c r="L1609" s="380"/>
      <c r="M1609" s="413"/>
      <c r="N1609" s="383"/>
      <c r="O1609" s="384"/>
      <c r="P1609" s="384"/>
      <c r="Q1609" s="383"/>
      <c r="R1609" s="383"/>
      <c r="S1609" s="385"/>
      <c r="T1609" s="380"/>
      <c r="U1609" s="380"/>
      <c r="V1609" s="380"/>
      <c r="W1609" s="380"/>
      <c r="X1609" s="380"/>
    </row>
    <row r="1610" spans="1:24" ht="15.75" customHeight="1">
      <c r="A1610" s="463"/>
      <c r="B1610" s="380"/>
      <c r="C1610" s="381"/>
      <c r="D1610" s="381"/>
      <c r="E1610" s="381"/>
      <c r="F1610" s="381"/>
      <c r="G1610" s="381"/>
      <c r="H1610" s="381"/>
      <c r="I1610" s="381"/>
      <c r="J1610" s="381"/>
      <c r="K1610" s="382"/>
      <c r="L1610" s="380"/>
      <c r="M1610" s="413"/>
      <c r="N1610" s="383"/>
      <c r="O1610" s="384"/>
      <c r="P1610" s="384"/>
      <c r="Q1610" s="383"/>
      <c r="R1610" s="383"/>
      <c r="S1610" s="385"/>
      <c r="T1610" s="380"/>
      <c r="U1610" s="380"/>
      <c r="V1610" s="380"/>
      <c r="W1610" s="380"/>
      <c r="X1610" s="380"/>
    </row>
    <row r="1611" spans="1:24" ht="15.75" customHeight="1">
      <c r="A1611" s="463"/>
      <c r="B1611" s="380"/>
      <c r="C1611" s="381"/>
      <c r="D1611" s="381"/>
      <c r="E1611" s="381"/>
      <c r="F1611" s="381"/>
      <c r="G1611" s="381"/>
      <c r="H1611" s="381"/>
      <c r="I1611" s="381"/>
      <c r="J1611" s="381"/>
      <c r="K1611" s="382"/>
      <c r="L1611" s="380"/>
      <c r="M1611" s="413"/>
      <c r="N1611" s="383"/>
      <c r="O1611" s="384"/>
      <c r="P1611" s="384"/>
      <c r="Q1611" s="383"/>
      <c r="R1611" s="383"/>
      <c r="S1611" s="385"/>
      <c r="T1611" s="380"/>
      <c r="U1611" s="380"/>
      <c r="V1611" s="380"/>
      <c r="W1611" s="380"/>
      <c r="X1611" s="380"/>
    </row>
    <row r="1612" spans="1:24" ht="15.75" customHeight="1">
      <c r="A1612" s="463"/>
      <c r="B1612" s="380"/>
      <c r="C1612" s="381"/>
      <c r="D1612" s="381"/>
      <c r="E1612" s="381"/>
      <c r="F1612" s="381"/>
      <c r="G1612" s="381"/>
      <c r="H1612" s="381"/>
      <c r="I1612" s="381"/>
      <c r="J1612" s="381"/>
      <c r="K1612" s="382"/>
      <c r="L1612" s="380"/>
      <c r="M1612" s="413"/>
      <c r="N1612" s="383"/>
      <c r="O1612" s="384"/>
      <c r="P1612" s="384"/>
      <c r="Q1612" s="383"/>
      <c r="R1612" s="383"/>
      <c r="S1612" s="385"/>
      <c r="T1612" s="380"/>
      <c r="U1612" s="380"/>
      <c r="V1612" s="380"/>
      <c r="W1612" s="380"/>
      <c r="X1612" s="380"/>
    </row>
    <row r="1613" spans="1:24" ht="15.75" customHeight="1">
      <c r="A1613" s="463"/>
      <c r="B1613" s="380"/>
      <c r="C1613" s="381"/>
      <c r="D1613" s="381"/>
      <c r="E1613" s="381"/>
      <c r="F1613" s="381"/>
      <c r="G1613" s="381"/>
      <c r="H1613" s="381"/>
      <c r="I1613" s="381"/>
      <c r="J1613" s="381"/>
      <c r="K1613" s="382"/>
      <c r="L1613" s="380"/>
      <c r="M1613" s="413"/>
      <c r="N1613" s="383"/>
      <c r="O1613" s="384"/>
      <c r="P1613" s="384"/>
      <c r="Q1613" s="383"/>
      <c r="R1613" s="383"/>
      <c r="S1613" s="385"/>
      <c r="T1613" s="380"/>
      <c r="U1613" s="380"/>
      <c r="V1613" s="380"/>
      <c r="W1613" s="380"/>
      <c r="X1613" s="380"/>
    </row>
    <row r="1614" spans="1:24" ht="15.75" customHeight="1">
      <c r="A1614" s="463"/>
      <c r="B1614" s="380"/>
      <c r="C1614" s="381"/>
      <c r="D1614" s="381"/>
      <c r="E1614" s="381"/>
      <c r="F1614" s="381"/>
      <c r="G1614" s="381"/>
      <c r="H1614" s="381"/>
      <c r="I1614" s="381"/>
      <c r="J1614" s="381"/>
      <c r="K1614" s="382"/>
      <c r="L1614" s="380"/>
      <c r="M1614" s="413"/>
      <c r="N1614" s="383"/>
      <c r="O1614" s="384"/>
      <c r="P1614" s="384"/>
      <c r="Q1614" s="383"/>
      <c r="R1614" s="383"/>
      <c r="S1614" s="385"/>
      <c r="T1614" s="380"/>
      <c r="U1614" s="380"/>
      <c r="V1614" s="380"/>
      <c r="W1614" s="380"/>
      <c r="X1614" s="380"/>
    </row>
    <row r="1615" spans="1:24" ht="15.75" customHeight="1">
      <c r="A1615" s="463"/>
      <c r="B1615" s="380"/>
      <c r="C1615" s="381"/>
      <c r="D1615" s="381"/>
      <c r="E1615" s="381"/>
      <c r="F1615" s="381"/>
      <c r="G1615" s="381"/>
      <c r="H1615" s="381"/>
      <c r="I1615" s="381"/>
      <c r="J1615" s="381"/>
      <c r="K1615" s="382"/>
      <c r="L1615" s="380"/>
      <c r="M1615" s="413"/>
      <c r="N1615" s="383"/>
      <c r="O1615" s="384"/>
      <c r="P1615" s="384"/>
      <c r="Q1615" s="383"/>
      <c r="R1615" s="383"/>
      <c r="S1615" s="385"/>
      <c r="T1615" s="380"/>
      <c r="U1615" s="380"/>
      <c r="V1615" s="380"/>
      <c r="W1615" s="380"/>
      <c r="X1615" s="380"/>
    </row>
    <row r="1616" spans="1:24" ht="15.75" customHeight="1">
      <c r="A1616" s="463"/>
      <c r="B1616" s="380"/>
      <c r="C1616" s="381"/>
      <c r="D1616" s="381"/>
      <c r="E1616" s="381"/>
      <c r="F1616" s="381"/>
      <c r="G1616" s="381"/>
      <c r="H1616" s="381"/>
      <c r="I1616" s="381"/>
      <c r="J1616" s="381"/>
      <c r="K1616" s="382"/>
      <c r="L1616" s="380"/>
      <c r="M1616" s="413"/>
      <c r="N1616" s="383"/>
      <c r="O1616" s="384"/>
      <c r="P1616" s="384"/>
      <c r="Q1616" s="383"/>
      <c r="R1616" s="383"/>
      <c r="S1616" s="385"/>
      <c r="T1616" s="380"/>
      <c r="U1616" s="380"/>
      <c r="V1616" s="380"/>
      <c r="W1616" s="380"/>
      <c r="X1616" s="380"/>
    </row>
    <row r="1617" spans="1:24" ht="15.75" customHeight="1">
      <c r="A1617" s="463"/>
      <c r="B1617" s="380"/>
      <c r="C1617" s="381"/>
      <c r="D1617" s="381"/>
      <c r="E1617" s="381"/>
      <c r="F1617" s="381"/>
      <c r="G1617" s="381"/>
      <c r="H1617" s="381"/>
      <c r="I1617" s="381"/>
      <c r="J1617" s="381"/>
      <c r="K1617" s="382"/>
      <c r="L1617" s="380"/>
      <c r="M1617" s="413"/>
      <c r="N1617" s="383"/>
      <c r="O1617" s="384"/>
      <c r="P1617" s="384"/>
      <c r="Q1617" s="383"/>
      <c r="R1617" s="383"/>
      <c r="S1617" s="385"/>
      <c r="T1617" s="380"/>
      <c r="U1617" s="380"/>
      <c r="V1617" s="380"/>
      <c r="W1617" s="380"/>
      <c r="X1617" s="380"/>
    </row>
    <row r="1618" spans="1:24" ht="15.75" customHeight="1">
      <c r="A1618" s="463"/>
      <c r="B1618" s="380"/>
      <c r="C1618" s="381"/>
      <c r="D1618" s="381"/>
      <c r="E1618" s="381"/>
      <c r="F1618" s="381"/>
      <c r="G1618" s="381"/>
      <c r="H1618" s="381"/>
      <c r="I1618" s="381"/>
      <c r="J1618" s="381"/>
      <c r="K1618" s="382"/>
      <c r="L1618" s="380"/>
      <c r="M1618" s="413"/>
      <c r="N1618" s="383"/>
      <c r="O1618" s="384"/>
      <c r="P1618" s="384"/>
      <c r="Q1618" s="383"/>
      <c r="R1618" s="383"/>
      <c r="S1618" s="385"/>
      <c r="T1618" s="380"/>
      <c r="U1618" s="380"/>
      <c r="V1618" s="380"/>
      <c r="W1618" s="380"/>
      <c r="X1618" s="380"/>
    </row>
    <row r="1619" spans="1:24" ht="15.75" customHeight="1">
      <c r="A1619" s="463"/>
      <c r="B1619" s="380"/>
      <c r="C1619" s="381"/>
      <c r="D1619" s="381"/>
      <c r="E1619" s="381"/>
      <c r="F1619" s="381"/>
      <c r="G1619" s="381"/>
      <c r="H1619" s="381"/>
      <c r="I1619" s="381"/>
      <c r="J1619" s="381"/>
      <c r="K1619" s="382"/>
      <c r="L1619" s="380"/>
      <c r="M1619" s="413"/>
      <c r="N1619" s="383"/>
      <c r="O1619" s="384"/>
      <c r="P1619" s="384"/>
      <c r="Q1619" s="383"/>
      <c r="R1619" s="383"/>
      <c r="S1619" s="385"/>
      <c r="T1619" s="380"/>
      <c r="U1619" s="380"/>
      <c r="V1619" s="380"/>
      <c r="W1619" s="380"/>
      <c r="X1619" s="380"/>
    </row>
    <row r="1620" spans="1:24" ht="15.75" customHeight="1">
      <c r="A1620" s="463"/>
      <c r="B1620" s="380"/>
      <c r="C1620" s="381"/>
      <c r="D1620" s="381"/>
      <c r="E1620" s="381"/>
      <c r="F1620" s="381"/>
      <c r="G1620" s="381"/>
      <c r="H1620" s="381"/>
      <c r="I1620" s="381"/>
      <c r="J1620" s="381"/>
      <c r="K1620" s="382"/>
      <c r="L1620" s="380"/>
      <c r="M1620" s="413"/>
      <c r="N1620" s="383"/>
      <c r="O1620" s="384"/>
      <c r="P1620" s="384"/>
      <c r="Q1620" s="383"/>
      <c r="R1620" s="383"/>
      <c r="S1620" s="385"/>
      <c r="T1620" s="380"/>
      <c r="U1620" s="380"/>
      <c r="V1620" s="380"/>
      <c r="W1620" s="380"/>
      <c r="X1620" s="380"/>
    </row>
    <row r="1621" spans="1:24" ht="15.75" customHeight="1">
      <c r="A1621" s="463"/>
      <c r="B1621" s="380"/>
      <c r="C1621" s="381"/>
      <c r="D1621" s="381"/>
      <c r="E1621" s="381"/>
      <c r="F1621" s="381"/>
      <c r="G1621" s="381"/>
      <c r="H1621" s="381"/>
      <c r="I1621" s="381"/>
      <c r="J1621" s="381"/>
      <c r="K1621" s="382"/>
      <c r="L1621" s="380"/>
      <c r="M1621" s="413"/>
      <c r="N1621" s="383"/>
      <c r="O1621" s="384"/>
      <c r="P1621" s="384"/>
      <c r="Q1621" s="383"/>
      <c r="R1621" s="383"/>
      <c r="S1621" s="385"/>
      <c r="T1621" s="380"/>
      <c r="U1621" s="380"/>
      <c r="V1621" s="380"/>
      <c r="W1621" s="380"/>
      <c r="X1621" s="380"/>
    </row>
    <row r="1622" spans="1:24" ht="15.75" customHeight="1">
      <c r="A1622" s="463"/>
      <c r="B1622" s="380"/>
      <c r="C1622" s="381"/>
      <c r="D1622" s="381"/>
      <c r="E1622" s="381"/>
      <c r="F1622" s="381"/>
      <c r="G1622" s="381"/>
      <c r="H1622" s="381"/>
      <c r="I1622" s="381"/>
      <c r="J1622" s="381"/>
      <c r="K1622" s="382"/>
      <c r="L1622" s="380"/>
      <c r="M1622" s="413"/>
      <c r="N1622" s="383"/>
      <c r="O1622" s="384"/>
      <c r="P1622" s="384"/>
      <c r="Q1622" s="383"/>
      <c r="R1622" s="383"/>
      <c r="S1622" s="385"/>
      <c r="T1622" s="380"/>
      <c r="U1622" s="380"/>
      <c r="V1622" s="380"/>
      <c r="W1622" s="380"/>
      <c r="X1622" s="380"/>
    </row>
    <row r="1623" spans="1:24" ht="15.75" customHeight="1">
      <c r="A1623" s="463"/>
      <c r="B1623" s="380"/>
      <c r="C1623" s="381"/>
      <c r="D1623" s="381"/>
      <c r="E1623" s="381"/>
      <c r="F1623" s="381"/>
      <c r="G1623" s="381"/>
      <c r="H1623" s="381"/>
      <c r="I1623" s="381"/>
      <c r="J1623" s="381"/>
      <c r="K1623" s="382"/>
      <c r="L1623" s="380"/>
      <c r="M1623" s="413"/>
      <c r="N1623" s="383"/>
      <c r="O1623" s="384"/>
      <c r="P1623" s="384"/>
      <c r="Q1623" s="383"/>
      <c r="R1623" s="383"/>
      <c r="S1623" s="385"/>
      <c r="T1623" s="380"/>
      <c r="U1623" s="380"/>
      <c r="V1623" s="380"/>
      <c r="W1623" s="380"/>
      <c r="X1623" s="380"/>
    </row>
    <row r="1624" spans="1:24" ht="15.75" customHeight="1">
      <c r="A1624" s="463"/>
      <c r="B1624" s="380"/>
      <c r="C1624" s="381"/>
      <c r="D1624" s="381"/>
      <c r="E1624" s="381"/>
      <c r="F1624" s="381"/>
      <c r="G1624" s="381"/>
      <c r="H1624" s="381"/>
      <c r="I1624" s="381"/>
      <c r="J1624" s="381"/>
      <c r="K1624" s="382"/>
      <c r="L1624" s="380"/>
      <c r="M1624" s="413"/>
      <c r="N1624" s="383"/>
      <c r="O1624" s="384"/>
      <c r="P1624" s="384"/>
      <c r="Q1624" s="383"/>
      <c r="R1624" s="383"/>
      <c r="S1624" s="385"/>
      <c r="T1624" s="380"/>
      <c r="U1624" s="380"/>
      <c r="V1624" s="380"/>
      <c r="W1624" s="380"/>
      <c r="X1624" s="380"/>
    </row>
    <row r="1625" spans="1:24" ht="15.75" customHeight="1">
      <c r="A1625" s="463"/>
      <c r="B1625" s="380"/>
      <c r="C1625" s="381"/>
      <c r="D1625" s="381"/>
      <c r="E1625" s="381"/>
      <c r="F1625" s="381"/>
      <c r="G1625" s="381"/>
      <c r="H1625" s="381"/>
      <c r="I1625" s="381"/>
      <c r="J1625" s="381"/>
      <c r="K1625" s="382"/>
      <c r="L1625" s="380"/>
      <c r="M1625" s="413"/>
      <c r="N1625" s="383"/>
      <c r="O1625" s="384"/>
      <c r="P1625" s="384"/>
      <c r="Q1625" s="383"/>
      <c r="R1625" s="383"/>
      <c r="S1625" s="385"/>
      <c r="T1625" s="380"/>
      <c r="U1625" s="380"/>
      <c r="V1625" s="380"/>
      <c r="W1625" s="380"/>
      <c r="X1625" s="380"/>
    </row>
    <row r="1626" spans="1:24" ht="15.75" customHeight="1">
      <c r="A1626" s="463"/>
      <c r="B1626" s="380"/>
      <c r="C1626" s="381"/>
      <c r="D1626" s="381"/>
      <c r="E1626" s="381"/>
      <c r="F1626" s="381"/>
      <c r="G1626" s="381"/>
      <c r="H1626" s="381"/>
      <c r="I1626" s="381"/>
      <c r="J1626" s="381"/>
      <c r="K1626" s="382"/>
      <c r="L1626" s="380"/>
      <c r="M1626" s="413"/>
      <c r="N1626" s="383"/>
      <c r="O1626" s="384"/>
      <c r="P1626" s="384"/>
      <c r="Q1626" s="383"/>
      <c r="R1626" s="383"/>
      <c r="S1626" s="385"/>
      <c r="T1626" s="380"/>
      <c r="U1626" s="380"/>
      <c r="V1626" s="380"/>
      <c r="W1626" s="380"/>
      <c r="X1626" s="380"/>
    </row>
    <row r="1627" spans="1:24" ht="15.75" customHeight="1">
      <c r="A1627" s="463"/>
      <c r="B1627" s="380"/>
      <c r="C1627" s="381"/>
      <c r="D1627" s="381"/>
      <c r="E1627" s="381"/>
      <c r="F1627" s="381"/>
      <c r="G1627" s="381"/>
      <c r="H1627" s="381"/>
      <c r="I1627" s="381"/>
      <c r="J1627" s="381"/>
      <c r="K1627" s="382"/>
      <c r="L1627" s="380"/>
      <c r="M1627" s="413"/>
      <c r="N1627" s="383"/>
      <c r="O1627" s="384"/>
      <c r="P1627" s="384"/>
      <c r="Q1627" s="383"/>
      <c r="R1627" s="383"/>
      <c r="S1627" s="385"/>
      <c r="T1627" s="380"/>
      <c r="U1627" s="380"/>
      <c r="V1627" s="380"/>
      <c r="W1627" s="380"/>
      <c r="X1627" s="380"/>
    </row>
    <row r="1628" spans="1:24" ht="15.75" customHeight="1">
      <c r="A1628" s="463"/>
      <c r="B1628" s="380"/>
      <c r="C1628" s="381"/>
      <c r="D1628" s="381"/>
      <c r="E1628" s="381"/>
      <c r="F1628" s="381"/>
      <c r="G1628" s="381"/>
      <c r="H1628" s="381"/>
      <c r="I1628" s="381"/>
      <c r="J1628" s="381"/>
      <c r="K1628" s="382"/>
      <c r="L1628" s="380"/>
      <c r="M1628" s="413"/>
      <c r="N1628" s="383"/>
      <c r="O1628" s="384"/>
      <c r="P1628" s="384"/>
      <c r="Q1628" s="383"/>
      <c r="R1628" s="383"/>
      <c r="S1628" s="385"/>
      <c r="T1628" s="380"/>
      <c r="U1628" s="380"/>
      <c r="V1628" s="380"/>
      <c r="W1628" s="380"/>
      <c r="X1628" s="380"/>
    </row>
    <row r="1629" spans="1:24" ht="15.75" customHeight="1">
      <c r="A1629" s="463"/>
      <c r="B1629" s="380"/>
      <c r="C1629" s="381"/>
      <c r="D1629" s="381"/>
      <c r="E1629" s="381"/>
      <c r="F1629" s="381"/>
      <c r="G1629" s="381"/>
      <c r="H1629" s="381"/>
      <c r="I1629" s="381"/>
      <c r="J1629" s="381"/>
      <c r="K1629" s="382"/>
      <c r="L1629" s="380"/>
      <c r="M1629" s="413"/>
      <c r="N1629" s="383"/>
      <c r="O1629" s="384"/>
      <c r="P1629" s="384"/>
      <c r="Q1629" s="383"/>
      <c r="R1629" s="383"/>
      <c r="S1629" s="385"/>
      <c r="T1629" s="380"/>
      <c r="U1629" s="380"/>
      <c r="V1629" s="380"/>
      <c r="W1629" s="380"/>
      <c r="X1629" s="380"/>
    </row>
    <row r="1630" spans="1:24" ht="15.75" customHeight="1">
      <c r="A1630" s="463"/>
      <c r="B1630" s="380"/>
      <c r="C1630" s="381"/>
      <c r="D1630" s="381"/>
      <c r="E1630" s="381"/>
      <c r="F1630" s="381"/>
      <c r="G1630" s="381"/>
      <c r="H1630" s="381"/>
      <c r="I1630" s="381"/>
      <c r="J1630" s="381"/>
      <c r="K1630" s="382"/>
      <c r="L1630" s="380"/>
      <c r="M1630" s="413"/>
      <c r="N1630" s="383"/>
      <c r="O1630" s="384"/>
      <c r="P1630" s="384"/>
      <c r="Q1630" s="383"/>
      <c r="R1630" s="383"/>
      <c r="S1630" s="385"/>
      <c r="T1630" s="380"/>
      <c r="U1630" s="380"/>
      <c r="V1630" s="380"/>
      <c r="W1630" s="380"/>
      <c r="X1630" s="380"/>
    </row>
    <row r="1631" spans="1:24" ht="15.75" customHeight="1">
      <c r="A1631" s="463"/>
      <c r="B1631" s="380"/>
      <c r="C1631" s="381"/>
      <c r="D1631" s="381"/>
      <c r="E1631" s="381"/>
      <c r="F1631" s="381"/>
      <c r="G1631" s="381"/>
      <c r="H1631" s="381"/>
      <c r="I1631" s="381"/>
      <c r="J1631" s="381"/>
      <c r="K1631" s="382"/>
      <c r="L1631" s="380"/>
      <c r="M1631" s="413"/>
      <c r="N1631" s="383"/>
      <c r="O1631" s="384"/>
      <c r="P1631" s="384"/>
      <c r="Q1631" s="383"/>
      <c r="R1631" s="383"/>
      <c r="S1631" s="385"/>
      <c r="T1631" s="380"/>
      <c r="U1631" s="380"/>
      <c r="V1631" s="380"/>
      <c r="W1631" s="380"/>
      <c r="X1631" s="380"/>
    </row>
    <row r="1632" spans="1:24" ht="15.75" customHeight="1">
      <c r="A1632" s="463"/>
      <c r="B1632" s="380"/>
      <c r="C1632" s="381"/>
      <c r="D1632" s="381"/>
      <c r="E1632" s="381"/>
      <c r="F1632" s="381"/>
      <c r="G1632" s="381"/>
      <c r="H1632" s="381"/>
      <c r="I1632" s="381"/>
      <c r="J1632" s="381"/>
      <c r="K1632" s="382"/>
      <c r="L1632" s="380"/>
      <c r="M1632" s="413"/>
      <c r="N1632" s="383"/>
      <c r="O1632" s="384"/>
      <c r="P1632" s="384"/>
      <c r="Q1632" s="383"/>
      <c r="R1632" s="383"/>
      <c r="S1632" s="385"/>
      <c r="T1632" s="380"/>
      <c r="U1632" s="380"/>
      <c r="V1632" s="380"/>
      <c r="W1632" s="380"/>
      <c r="X1632" s="380"/>
    </row>
    <row r="1633" spans="1:24" ht="15.75" customHeight="1">
      <c r="A1633" s="463"/>
      <c r="B1633" s="380"/>
      <c r="C1633" s="381"/>
      <c r="D1633" s="381"/>
      <c r="E1633" s="381"/>
      <c r="F1633" s="381"/>
      <c r="G1633" s="381"/>
      <c r="H1633" s="381"/>
      <c r="I1633" s="381"/>
      <c r="J1633" s="381"/>
      <c r="K1633" s="382"/>
      <c r="L1633" s="380"/>
      <c r="M1633" s="413"/>
      <c r="N1633" s="383"/>
      <c r="O1633" s="384"/>
      <c r="P1633" s="384"/>
      <c r="Q1633" s="383"/>
      <c r="R1633" s="383"/>
      <c r="S1633" s="385"/>
      <c r="T1633" s="380"/>
      <c r="U1633" s="380"/>
      <c r="V1633" s="380"/>
      <c r="W1633" s="380"/>
      <c r="X1633" s="380"/>
    </row>
    <row r="1634" spans="1:24" ht="15.75" customHeight="1">
      <c r="A1634" s="463"/>
      <c r="B1634" s="380"/>
      <c r="C1634" s="381"/>
      <c r="D1634" s="381"/>
      <c r="E1634" s="381"/>
      <c r="F1634" s="381"/>
      <c r="G1634" s="381"/>
      <c r="H1634" s="381"/>
      <c r="I1634" s="381"/>
      <c r="J1634" s="381"/>
      <c r="K1634" s="382"/>
      <c r="L1634" s="380"/>
      <c r="M1634" s="413"/>
      <c r="N1634" s="383"/>
      <c r="O1634" s="384"/>
      <c r="P1634" s="384"/>
      <c r="Q1634" s="383"/>
      <c r="R1634" s="383"/>
      <c r="S1634" s="385"/>
      <c r="T1634" s="380"/>
      <c r="U1634" s="380"/>
      <c r="V1634" s="380"/>
      <c r="W1634" s="380"/>
      <c r="X1634" s="380"/>
    </row>
    <row r="1635" spans="1:24" ht="15.75" customHeight="1">
      <c r="A1635" s="463"/>
      <c r="B1635" s="380"/>
      <c r="C1635" s="381"/>
      <c r="D1635" s="381"/>
      <c r="E1635" s="381"/>
      <c r="F1635" s="381"/>
      <c r="G1635" s="381"/>
      <c r="H1635" s="381"/>
      <c r="I1635" s="381"/>
      <c r="J1635" s="381"/>
      <c r="K1635" s="382"/>
      <c r="L1635" s="380"/>
      <c r="M1635" s="413"/>
      <c r="N1635" s="383"/>
      <c r="O1635" s="384"/>
      <c r="P1635" s="384"/>
      <c r="Q1635" s="383"/>
      <c r="R1635" s="383"/>
      <c r="S1635" s="385"/>
      <c r="T1635" s="380"/>
      <c r="U1635" s="380"/>
      <c r="V1635" s="380"/>
      <c r="W1635" s="380"/>
      <c r="X1635" s="380"/>
    </row>
    <row r="1636" spans="1:24" ht="15.75" customHeight="1">
      <c r="A1636" s="463"/>
      <c r="B1636" s="380"/>
      <c r="C1636" s="381"/>
      <c r="D1636" s="381"/>
      <c r="E1636" s="381"/>
      <c r="F1636" s="381"/>
      <c r="G1636" s="381"/>
      <c r="H1636" s="381"/>
      <c r="I1636" s="381"/>
      <c r="J1636" s="381"/>
      <c r="K1636" s="382"/>
      <c r="L1636" s="380"/>
      <c r="M1636" s="413"/>
      <c r="N1636" s="383"/>
      <c r="O1636" s="384"/>
      <c r="P1636" s="384"/>
      <c r="Q1636" s="383"/>
      <c r="R1636" s="383"/>
      <c r="S1636" s="385"/>
      <c r="T1636" s="380"/>
      <c r="U1636" s="380"/>
      <c r="V1636" s="380"/>
      <c r="W1636" s="380"/>
      <c r="X1636" s="380"/>
    </row>
    <row r="1637" spans="1:24" ht="15.75" customHeight="1">
      <c r="A1637" s="463"/>
      <c r="B1637" s="380"/>
      <c r="C1637" s="381"/>
      <c r="D1637" s="381"/>
      <c r="E1637" s="381"/>
      <c r="F1637" s="381"/>
      <c r="G1637" s="381"/>
      <c r="H1637" s="381"/>
      <c r="I1637" s="381"/>
      <c r="J1637" s="381"/>
      <c r="K1637" s="382"/>
      <c r="L1637" s="380"/>
      <c r="M1637" s="413"/>
      <c r="N1637" s="383"/>
      <c r="O1637" s="384"/>
      <c r="P1637" s="384"/>
      <c r="Q1637" s="383"/>
      <c r="R1637" s="383"/>
      <c r="S1637" s="385"/>
      <c r="T1637" s="380"/>
      <c r="U1637" s="380"/>
      <c r="V1637" s="380"/>
      <c r="W1637" s="380"/>
      <c r="X1637" s="380"/>
    </row>
    <row r="1638" spans="1:24" ht="15.75" customHeight="1">
      <c r="A1638" s="463"/>
      <c r="B1638" s="380"/>
      <c r="C1638" s="381"/>
      <c r="D1638" s="381"/>
      <c r="E1638" s="381"/>
      <c r="F1638" s="381"/>
      <c r="G1638" s="381"/>
      <c r="H1638" s="381"/>
      <c r="I1638" s="381"/>
      <c r="J1638" s="381"/>
      <c r="K1638" s="382"/>
      <c r="L1638" s="380"/>
      <c r="M1638" s="413"/>
      <c r="N1638" s="383"/>
      <c r="O1638" s="384"/>
      <c r="P1638" s="384"/>
      <c r="Q1638" s="383"/>
      <c r="R1638" s="383"/>
      <c r="S1638" s="385"/>
      <c r="T1638" s="380"/>
      <c r="U1638" s="380"/>
      <c r="V1638" s="380"/>
      <c r="W1638" s="380"/>
      <c r="X1638" s="380"/>
    </row>
    <row r="1639" spans="1:24" ht="15.75" customHeight="1">
      <c r="A1639" s="463"/>
      <c r="B1639" s="380"/>
      <c r="C1639" s="381"/>
      <c r="D1639" s="381"/>
      <c r="E1639" s="381"/>
      <c r="F1639" s="381"/>
      <c r="G1639" s="381"/>
      <c r="H1639" s="381"/>
      <c r="I1639" s="381"/>
      <c r="J1639" s="381"/>
      <c r="K1639" s="382"/>
      <c r="L1639" s="380"/>
      <c r="M1639" s="413"/>
      <c r="N1639" s="383"/>
      <c r="O1639" s="384"/>
      <c r="P1639" s="384"/>
      <c r="Q1639" s="383"/>
      <c r="R1639" s="383"/>
      <c r="S1639" s="385"/>
      <c r="T1639" s="380"/>
      <c r="U1639" s="380"/>
      <c r="V1639" s="380"/>
      <c r="W1639" s="380"/>
      <c r="X1639" s="380"/>
    </row>
    <row r="1640" spans="1:24" ht="15.75" customHeight="1">
      <c r="A1640" s="463"/>
      <c r="B1640" s="380"/>
      <c r="C1640" s="381"/>
      <c r="D1640" s="381"/>
      <c r="E1640" s="381"/>
      <c r="F1640" s="381"/>
      <c r="G1640" s="381"/>
      <c r="H1640" s="381"/>
      <c r="I1640" s="381"/>
      <c r="J1640" s="381"/>
      <c r="K1640" s="382"/>
      <c r="L1640" s="380"/>
      <c r="M1640" s="413"/>
      <c r="N1640" s="383"/>
      <c r="O1640" s="384"/>
      <c r="P1640" s="384"/>
      <c r="Q1640" s="383"/>
      <c r="R1640" s="383"/>
      <c r="S1640" s="385"/>
      <c r="T1640" s="380"/>
      <c r="U1640" s="380"/>
      <c r="V1640" s="380"/>
      <c r="W1640" s="380"/>
      <c r="X1640" s="380"/>
    </row>
    <row r="1641" spans="1:24" ht="15.75" customHeight="1">
      <c r="A1641" s="463"/>
      <c r="B1641" s="380"/>
      <c r="C1641" s="381"/>
      <c r="D1641" s="381"/>
      <c r="E1641" s="381"/>
      <c r="F1641" s="381"/>
      <c r="G1641" s="381"/>
      <c r="H1641" s="381"/>
      <c r="I1641" s="381"/>
      <c r="J1641" s="381"/>
      <c r="K1641" s="382"/>
      <c r="L1641" s="380"/>
      <c r="M1641" s="413"/>
      <c r="N1641" s="383"/>
      <c r="O1641" s="384"/>
      <c r="P1641" s="384"/>
      <c r="Q1641" s="383"/>
      <c r="R1641" s="383"/>
      <c r="S1641" s="385"/>
      <c r="T1641" s="380"/>
      <c r="U1641" s="380"/>
      <c r="V1641" s="380"/>
      <c r="W1641" s="380"/>
      <c r="X1641" s="380"/>
    </row>
    <row r="1642" spans="1:24" ht="15.75" customHeight="1">
      <c r="A1642" s="463"/>
      <c r="B1642" s="380"/>
      <c r="C1642" s="381"/>
      <c r="D1642" s="381"/>
      <c r="E1642" s="381"/>
      <c r="F1642" s="381"/>
      <c r="G1642" s="381"/>
      <c r="H1642" s="381"/>
      <c r="I1642" s="381"/>
      <c r="J1642" s="381"/>
      <c r="K1642" s="382"/>
      <c r="L1642" s="380"/>
      <c r="M1642" s="413"/>
      <c r="N1642" s="383"/>
      <c r="O1642" s="384"/>
      <c r="P1642" s="384"/>
      <c r="Q1642" s="383"/>
      <c r="R1642" s="383"/>
      <c r="S1642" s="385"/>
      <c r="T1642" s="380"/>
      <c r="U1642" s="380"/>
      <c r="V1642" s="380"/>
      <c r="W1642" s="380"/>
      <c r="X1642" s="380"/>
    </row>
    <row r="1643" spans="1:24" ht="15.75" customHeight="1">
      <c r="A1643" s="463"/>
      <c r="B1643" s="380"/>
      <c r="C1643" s="381"/>
      <c r="D1643" s="381"/>
      <c r="E1643" s="381"/>
      <c r="F1643" s="381"/>
      <c r="G1643" s="381"/>
      <c r="H1643" s="381"/>
      <c r="I1643" s="381"/>
      <c r="J1643" s="381"/>
      <c r="K1643" s="382"/>
      <c r="L1643" s="380"/>
      <c r="M1643" s="413"/>
      <c r="N1643" s="383"/>
      <c r="O1643" s="384"/>
      <c r="P1643" s="384"/>
      <c r="Q1643" s="383"/>
      <c r="R1643" s="383"/>
      <c r="S1643" s="385"/>
      <c r="T1643" s="380"/>
      <c r="U1643" s="380"/>
      <c r="V1643" s="380"/>
      <c r="W1643" s="380"/>
      <c r="X1643" s="380"/>
    </row>
    <row r="1644" spans="1:24" ht="15.75" customHeight="1">
      <c r="A1644" s="463"/>
      <c r="B1644" s="380"/>
      <c r="C1644" s="381"/>
      <c r="D1644" s="381"/>
      <c r="E1644" s="381"/>
      <c r="F1644" s="381"/>
      <c r="G1644" s="381"/>
      <c r="H1644" s="381"/>
      <c r="I1644" s="381"/>
      <c r="J1644" s="381"/>
      <c r="K1644" s="382"/>
      <c r="L1644" s="380"/>
      <c r="M1644" s="413"/>
      <c r="N1644" s="383"/>
      <c r="O1644" s="384"/>
      <c r="P1644" s="384"/>
      <c r="Q1644" s="383"/>
      <c r="R1644" s="383"/>
      <c r="S1644" s="385"/>
      <c r="T1644" s="380"/>
      <c r="U1644" s="380"/>
      <c r="V1644" s="380"/>
      <c r="W1644" s="380"/>
      <c r="X1644" s="380"/>
    </row>
    <row r="1645" spans="1:24" ht="15.75" customHeight="1">
      <c r="A1645" s="463"/>
      <c r="B1645" s="380"/>
      <c r="C1645" s="381"/>
      <c r="D1645" s="381"/>
      <c r="E1645" s="381"/>
      <c r="F1645" s="381"/>
      <c r="G1645" s="381"/>
      <c r="H1645" s="381"/>
      <c r="I1645" s="381"/>
      <c r="J1645" s="381"/>
      <c r="K1645" s="382"/>
      <c r="L1645" s="380"/>
      <c r="M1645" s="413"/>
      <c r="N1645" s="383"/>
      <c r="O1645" s="384"/>
      <c r="P1645" s="384"/>
      <c r="Q1645" s="383"/>
      <c r="R1645" s="383"/>
      <c r="S1645" s="385"/>
      <c r="T1645" s="380"/>
      <c r="U1645" s="380"/>
      <c r="V1645" s="380"/>
      <c r="W1645" s="380"/>
      <c r="X1645" s="380"/>
    </row>
    <row r="1646" spans="1:24" ht="15.75" customHeight="1">
      <c r="A1646" s="463"/>
      <c r="B1646" s="380"/>
      <c r="C1646" s="381"/>
      <c r="D1646" s="381"/>
      <c r="E1646" s="381"/>
      <c r="F1646" s="381"/>
      <c r="G1646" s="381"/>
      <c r="H1646" s="381"/>
      <c r="I1646" s="381"/>
      <c r="J1646" s="381"/>
      <c r="K1646" s="382"/>
      <c r="L1646" s="380"/>
      <c r="M1646" s="413"/>
      <c r="N1646" s="383"/>
      <c r="O1646" s="384"/>
      <c r="P1646" s="384"/>
      <c r="Q1646" s="383"/>
      <c r="R1646" s="383"/>
      <c r="S1646" s="385"/>
      <c r="T1646" s="380"/>
      <c r="U1646" s="380"/>
      <c r="V1646" s="380"/>
      <c r="W1646" s="380"/>
      <c r="X1646" s="380"/>
    </row>
    <row r="1647" spans="1:24" ht="15.75" customHeight="1">
      <c r="A1647" s="463"/>
      <c r="B1647" s="380"/>
      <c r="C1647" s="381"/>
      <c r="D1647" s="381"/>
      <c r="E1647" s="381"/>
      <c r="F1647" s="381"/>
      <c r="G1647" s="381"/>
      <c r="H1647" s="381"/>
      <c r="I1647" s="381"/>
      <c r="J1647" s="381"/>
      <c r="K1647" s="382"/>
      <c r="L1647" s="380"/>
      <c r="M1647" s="413"/>
      <c r="N1647" s="383"/>
      <c r="O1647" s="384"/>
      <c r="P1647" s="384"/>
      <c r="Q1647" s="383"/>
      <c r="R1647" s="383"/>
      <c r="S1647" s="385"/>
      <c r="T1647" s="380"/>
      <c r="U1647" s="380"/>
      <c r="V1647" s="380"/>
      <c r="W1647" s="380"/>
      <c r="X1647" s="380"/>
    </row>
    <row r="1648" spans="1:24" ht="15.75" customHeight="1">
      <c r="A1648" s="463"/>
      <c r="B1648" s="380"/>
      <c r="C1648" s="381"/>
      <c r="D1648" s="381"/>
      <c r="E1648" s="381"/>
      <c r="F1648" s="381"/>
      <c r="G1648" s="381"/>
      <c r="H1648" s="381"/>
      <c r="I1648" s="381"/>
      <c r="J1648" s="381"/>
      <c r="K1648" s="382"/>
      <c r="L1648" s="380"/>
      <c r="M1648" s="413"/>
      <c r="N1648" s="383"/>
      <c r="O1648" s="384"/>
      <c r="P1648" s="384"/>
      <c r="Q1648" s="383"/>
      <c r="R1648" s="383"/>
      <c r="S1648" s="385"/>
      <c r="T1648" s="380"/>
      <c r="U1648" s="380"/>
      <c r="V1648" s="380"/>
      <c r="W1648" s="380"/>
      <c r="X1648" s="380"/>
    </row>
    <row r="1649" spans="1:24" ht="15.75" customHeight="1">
      <c r="A1649" s="463"/>
      <c r="B1649" s="380"/>
      <c r="C1649" s="381"/>
      <c r="D1649" s="381"/>
      <c r="E1649" s="381"/>
      <c r="F1649" s="381"/>
      <c r="G1649" s="381"/>
      <c r="H1649" s="381"/>
      <c r="I1649" s="381"/>
      <c r="J1649" s="381"/>
      <c r="K1649" s="382"/>
      <c r="L1649" s="380"/>
      <c r="M1649" s="413"/>
      <c r="N1649" s="383"/>
      <c r="O1649" s="384"/>
      <c r="P1649" s="384"/>
      <c r="Q1649" s="383"/>
      <c r="R1649" s="383"/>
      <c r="S1649" s="385"/>
      <c r="T1649" s="380"/>
      <c r="U1649" s="380"/>
      <c r="V1649" s="380"/>
      <c r="W1649" s="380"/>
      <c r="X1649" s="380"/>
    </row>
    <row r="1650" spans="1:24" ht="15.75" customHeight="1">
      <c r="A1650" s="463"/>
      <c r="B1650" s="380"/>
      <c r="C1650" s="381"/>
      <c r="D1650" s="381"/>
      <c r="E1650" s="381"/>
      <c r="F1650" s="381"/>
      <c r="G1650" s="381"/>
      <c r="H1650" s="381"/>
      <c r="I1650" s="381"/>
      <c r="J1650" s="381"/>
      <c r="K1650" s="382"/>
      <c r="L1650" s="380"/>
      <c r="M1650" s="413"/>
      <c r="N1650" s="383"/>
      <c r="O1650" s="384"/>
      <c r="P1650" s="384"/>
      <c r="Q1650" s="383"/>
      <c r="R1650" s="383"/>
      <c r="S1650" s="385"/>
      <c r="T1650" s="380"/>
      <c r="U1650" s="380"/>
      <c r="V1650" s="380"/>
      <c r="W1650" s="380"/>
      <c r="X1650" s="380"/>
    </row>
    <row r="1651" spans="1:24" ht="15.75" customHeight="1">
      <c r="A1651" s="463"/>
      <c r="B1651" s="380"/>
      <c r="C1651" s="381"/>
      <c r="D1651" s="381"/>
      <c r="E1651" s="381"/>
      <c r="F1651" s="381"/>
      <c r="G1651" s="381"/>
      <c r="H1651" s="381"/>
      <c r="I1651" s="381"/>
      <c r="J1651" s="381"/>
      <c r="K1651" s="382"/>
      <c r="L1651" s="380"/>
      <c r="M1651" s="413"/>
      <c r="N1651" s="383"/>
      <c r="O1651" s="384"/>
      <c r="P1651" s="384"/>
      <c r="Q1651" s="383"/>
      <c r="R1651" s="383"/>
      <c r="S1651" s="385"/>
      <c r="T1651" s="380"/>
      <c r="U1651" s="380"/>
      <c r="V1651" s="380"/>
      <c r="W1651" s="380"/>
      <c r="X1651" s="380"/>
    </row>
    <row r="1652" spans="1:24" ht="15.75" customHeight="1">
      <c r="A1652" s="463"/>
      <c r="B1652" s="380"/>
      <c r="C1652" s="381"/>
      <c r="D1652" s="381"/>
      <c r="E1652" s="381"/>
      <c r="F1652" s="381"/>
      <c r="G1652" s="381"/>
      <c r="H1652" s="381"/>
      <c r="I1652" s="381"/>
      <c r="J1652" s="381"/>
      <c r="K1652" s="382"/>
      <c r="L1652" s="380"/>
      <c r="M1652" s="413"/>
      <c r="N1652" s="383"/>
      <c r="O1652" s="384"/>
      <c r="P1652" s="384"/>
      <c r="Q1652" s="383"/>
      <c r="R1652" s="383"/>
      <c r="S1652" s="385"/>
      <c r="T1652" s="380"/>
      <c r="U1652" s="380"/>
      <c r="V1652" s="380"/>
      <c r="W1652" s="380"/>
      <c r="X1652" s="380"/>
    </row>
    <row r="1653" spans="1:24" ht="15.75" customHeight="1">
      <c r="A1653" s="463"/>
      <c r="B1653" s="380"/>
      <c r="C1653" s="381"/>
      <c r="D1653" s="381"/>
      <c r="E1653" s="381"/>
      <c r="F1653" s="381"/>
      <c r="G1653" s="381"/>
      <c r="H1653" s="381"/>
      <c r="I1653" s="381"/>
      <c r="J1653" s="381"/>
      <c r="K1653" s="382"/>
      <c r="L1653" s="380"/>
      <c r="M1653" s="413"/>
      <c r="N1653" s="383"/>
      <c r="O1653" s="384"/>
      <c r="P1653" s="384"/>
      <c r="Q1653" s="383"/>
      <c r="R1653" s="383"/>
      <c r="S1653" s="385"/>
      <c r="T1653" s="380"/>
      <c r="U1653" s="380"/>
      <c r="V1653" s="380"/>
      <c r="W1653" s="380"/>
      <c r="X1653" s="380"/>
    </row>
    <row r="1654" spans="1:24" ht="15.75" customHeight="1">
      <c r="A1654" s="463"/>
      <c r="B1654" s="380"/>
      <c r="C1654" s="381"/>
      <c r="D1654" s="381"/>
      <c r="E1654" s="381"/>
      <c r="F1654" s="381"/>
      <c r="G1654" s="381"/>
      <c r="H1654" s="381"/>
      <c r="I1654" s="381"/>
      <c r="J1654" s="381"/>
      <c r="K1654" s="382"/>
      <c r="L1654" s="380"/>
      <c r="M1654" s="413"/>
      <c r="N1654" s="383"/>
      <c r="O1654" s="384"/>
      <c r="P1654" s="384"/>
      <c r="Q1654" s="383"/>
      <c r="R1654" s="383"/>
      <c r="S1654" s="385"/>
      <c r="T1654" s="380"/>
      <c r="U1654" s="380"/>
      <c r="V1654" s="380"/>
      <c r="W1654" s="380"/>
      <c r="X1654" s="380"/>
    </row>
    <row r="1655" spans="1:24" ht="15.75" customHeight="1">
      <c r="A1655" s="463"/>
      <c r="B1655" s="380"/>
      <c r="C1655" s="381"/>
      <c r="D1655" s="381"/>
      <c r="E1655" s="381"/>
      <c r="F1655" s="381"/>
      <c r="G1655" s="381"/>
      <c r="H1655" s="381"/>
      <c r="I1655" s="381"/>
      <c r="J1655" s="381"/>
      <c r="K1655" s="382"/>
      <c r="L1655" s="380"/>
      <c r="M1655" s="413"/>
      <c r="N1655" s="383"/>
      <c r="O1655" s="384"/>
      <c r="P1655" s="384"/>
      <c r="Q1655" s="383"/>
      <c r="R1655" s="383"/>
      <c r="S1655" s="385"/>
      <c r="T1655" s="380"/>
      <c r="U1655" s="380"/>
      <c r="V1655" s="380"/>
      <c r="W1655" s="380"/>
      <c r="X1655" s="380"/>
    </row>
    <row r="1656" spans="1:24" ht="15.75" customHeight="1">
      <c r="A1656" s="463"/>
      <c r="B1656" s="380"/>
      <c r="C1656" s="381"/>
      <c r="D1656" s="381"/>
      <c r="E1656" s="381"/>
      <c r="F1656" s="381"/>
      <c r="G1656" s="381"/>
      <c r="H1656" s="381"/>
      <c r="I1656" s="381"/>
      <c r="J1656" s="381"/>
      <c r="K1656" s="382"/>
      <c r="L1656" s="380"/>
      <c r="M1656" s="413"/>
      <c r="N1656" s="383"/>
      <c r="O1656" s="384"/>
      <c r="P1656" s="384"/>
      <c r="Q1656" s="383"/>
      <c r="R1656" s="383"/>
      <c r="S1656" s="385"/>
      <c r="T1656" s="380"/>
      <c r="U1656" s="380"/>
      <c r="V1656" s="380"/>
      <c r="W1656" s="380"/>
      <c r="X1656" s="380"/>
    </row>
    <row r="1657" spans="1:24" ht="15.75" customHeight="1">
      <c r="A1657" s="463"/>
      <c r="B1657" s="380"/>
      <c r="C1657" s="381"/>
      <c r="D1657" s="381"/>
      <c r="E1657" s="381"/>
      <c r="F1657" s="381"/>
      <c r="G1657" s="381"/>
      <c r="H1657" s="381"/>
      <c r="I1657" s="381"/>
      <c r="J1657" s="381"/>
      <c r="K1657" s="382"/>
      <c r="L1657" s="380"/>
      <c r="M1657" s="413"/>
      <c r="N1657" s="383"/>
      <c r="O1657" s="384"/>
      <c r="P1657" s="384"/>
      <c r="Q1657" s="383"/>
      <c r="R1657" s="383"/>
      <c r="S1657" s="385"/>
      <c r="T1657" s="380"/>
      <c r="U1657" s="380"/>
      <c r="V1657" s="380"/>
      <c r="W1657" s="380"/>
      <c r="X1657" s="380"/>
    </row>
    <row r="1658" spans="1:24" ht="15.75" customHeight="1">
      <c r="A1658" s="463"/>
      <c r="B1658" s="380"/>
      <c r="C1658" s="381"/>
      <c r="D1658" s="381"/>
      <c r="E1658" s="381"/>
      <c r="F1658" s="381"/>
      <c r="G1658" s="381"/>
      <c r="H1658" s="381"/>
      <c r="I1658" s="381"/>
      <c r="J1658" s="381"/>
      <c r="K1658" s="382"/>
      <c r="L1658" s="380"/>
      <c r="M1658" s="413"/>
      <c r="N1658" s="383"/>
      <c r="O1658" s="384"/>
      <c r="P1658" s="384"/>
      <c r="Q1658" s="383"/>
      <c r="R1658" s="383"/>
      <c r="S1658" s="385"/>
      <c r="T1658" s="380"/>
      <c r="U1658" s="380"/>
      <c r="V1658" s="380"/>
      <c r="W1658" s="380"/>
      <c r="X1658" s="380"/>
    </row>
    <row r="1659" spans="1:24" ht="15.75" customHeight="1">
      <c r="A1659" s="463"/>
      <c r="B1659" s="380"/>
      <c r="C1659" s="381"/>
      <c r="D1659" s="381"/>
      <c r="E1659" s="381"/>
      <c r="F1659" s="381"/>
      <c r="G1659" s="381"/>
      <c r="H1659" s="381"/>
      <c r="I1659" s="381"/>
      <c r="J1659" s="381"/>
      <c r="K1659" s="382"/>
      <c r="L1659" s="380"/>
      <c r="M1659" s="413"/>
      <c r="N1659" s="383"/>
      <c r="O1659" s="384"/>
      <c r="P1659" s="384"/>
      <c r="Q1659" s="383"/>
      <c r="R1659" s="383"/>
      <c r="S1659" s="385"/>
      <c r="T1659" s="380"/>
      <c r="U1659" s="380"/>
      <c r="V1659" s="380"/>
      <c r="W1659" s="380"/>
      <c r="X1659" s="380"/>
    </row>
    <row r="1660" spans="1:24" ht="15.75" customHeight="1">
      <c r="A1660" s="463"/>
      <c r="B1660" s="380"/>
      <c r="C1660" s="381"/>
      <c r="D1660" s="381"/>
      <c r="E1660" s="381"/>
      <c r="F1660" s="381"/>
      <c r="G1660" s="381"/>
      <c r="H1660" s="381"/>
      <c r="I1660" s="381"/>
      <c r="J1660" s="381"/>
      <c r="K1660" s="382"/>
      <c r="L1660" s="380"/>
      <c r="M1660" s="413"/>
      <c r="N1660" s="383"/>
      <c r="O1660" s="384"/>
      <c r="P1660" s="384"/>
      <c r="Q1660" s="383"/>
      <c r="R1660" s="383"/>
      <c r="S1660" s="385"/>
      <c r="T1660" s="380"/>
      <c r="U1660" s="380"/>
      <c r="V1660" s="380"/>
      <c r="W1660" s="380"/>
      <c r="X1660" s="380"/>
    </row>
    <row r="1661" spans="1:24" ht="15.75" customHeight="1">
      <c r="A1661" s="463"/>
      <c r="B1661" s="380"/>
      <c r="C1661" s="381"/>
      <c r="D1661" s="381"/>
      <c r="E1661" s="381"/>
      <c r="F1661" s="381"/>
      <c r="G1661" s="381"/>
      <c r="H1661" s="381"/>
      <c r="I1661" s="381"/>
      <c r="J1661" s="381"/>
      <c r="K1661" s="382"/>
      <c r="L1661" s="380"/>
      <c r="M1661" s="413"/>
      <c r="N1661" s="383"/>
      <c r="O1661" s="384"/>
      <c r="P1661" s="384"/>
      <c r="Q1661" s="383"/>
      <c r="R1661" s="383"/>
      <c r="S1661" s="385"/>
      <c r="T1661" s="380"/>
      <c r="U1661" s="380"/>
      <c r="V1661" s="380"/>
      <c r="W1661" s="380"/>
      <c r="X1661" s="380"/>
    </row>
    <row r="1662" spans="1:24" ht="15.75" customHeight="1">
      <c r="A1662" s="463"/>
      <c r="B1662" s="380"/>
      <c r="C1662" s="381"/>
      <c r="D1662" s="381"/>
      <c r="E1662" s="381"/>
      <c r="F1662" s="381"/>
      <c r="G1662" s="381"/>
      <c r="H1662" s="381"/>
      <c r="I1662" s="381"/>
      <c r="J1662" s="381"/>
      <c r="K1662" s="382"/>
      <c r="L1662" s="380"/>
      <c r="M1662" s="413"/>
      <c r="N1662" s="383"/>
      <c r="O1662" s="384"/>
      <c r="P1662" s="384"/>
      <c r="Q1662" s="383"/>
      <c r="R1662" s="383"/>
      <c r="S1662" s="385"/>
      <c r="T1662" s="380"/>
      <c r="U1662" s="380"/>
      <c r="V1662" s="380"/>
      <c r="W1662" s="380"/>
      <c r="X1662" s="380"/>
    </row>
    <row r="1663" spans="1:24" ht="15.75" customHeight="1">
      <c r="A1663" s="463"/>
      <c r="B1663" s="380"/>
      <c r="C1663" s="381"/>
      <c r="D1663" s="381"/>
      <c r="E1663" s="381"/>
      <c r="F1663" s="381"/>
      <c r="G1663" s="381"/>
      <c r="H1663" s="381"/>
      <c r="I1663" s="381"/>
      <c r="J1663" s="381"/>
      <c r="K1663" s="382"/>
      <c r="L1663" s="380"/>
      <c r="M1663" s="413"/>
      <c r="N1663" s="383"/>
      <c r="O1663" s="384"/>
      <c r="P1663" s="384"/>
      <c r="Q1663" s="383"/>
      <c r="R1663" s="383"/>
      <c r="S1663" s="385"/>
      <c r="T1663" s="380"/>
      <c r="U1663" s="380"/>
      <c r="V1663" s="380"/>
      <c r="W1663" s="380"/>
      <c r="X1663" s="380"/>
    </row>
    <row r="1664" spans="1:24" ht="15.75" customHeight="1">
      <c r="A1664" s="463"/>
      <c r="B1664" s="380"/>
      <c r="C1664" s="381"/>
      <c r="D1664" s="381"/>
      <c r="E1664" s="381"/>
      <c r="F1664" s="381"/>
      <c r="G1664" s="381"/>
      <c r="H1664" s="381"/>
      <c r="I1664" s="381"/>
      <c r="J1664" s="381"/>
      <c r="K1664" s="382"/>
      <c r="L1664" s="380"/>
      <c r="M1664" s="413"/>
      <c r="N1664" s="383"/>
      <c r="O1664" s="384"/>
      <c r="P1664" s="384"/>
      <c r="Q1664" s="383"/>
      <c r="R1664" s="383"/>
      <c r="S1664" s="385"/>
      <c r="T1664" s="380"/>
      <c r="U1664" s="380"/>
      <c r="V1664" s="380"/>
      <c r="W1664" s="380"/>
      <c r="X1664" s="380"/>
    </row>
    <row r="1665" spans="1:24" ht="15.75" customHeight="1">
      <c r="A1665" s="463"/>
      <c r="B1665" s="380"/>
      <c r="C1665" s="381"/>
      <c r="D1665" s="381"/>
      <c r="E1665" s="381"/>
      <c r="F1665" s="381"/>
      <c r="G1665" s="381"/>
      <c r="H1665" s="381"/>
      <c r="I1665" s="381"/>
      <c r="J1665" s="381"/>
      <c r="K1665" s="382"/>
      <c r="L1665" s="380"/>
      <c r="M1665" s="413"/>
      <c r="N1665" s="383"/>
      <c r="O1665" s="384"/>
      <c r="P1665" s="384"/>
      <c r="Q1665" s="383"/>
      <c r="R1665" s="383"/>
      <c r="S1665" s="385"/>
      <c r="T1665" s="380"/>
      <c r="U1665" s="380"/>
      <c r="V1665" s="380"/>
      <c r="W1665" s="380"/>
      <c r="X1665" s="380"/>
    </row>
    <row r="1666" spans="1:24" ht="15.75" customHeight="1">
      <c r="A1666" s="463"/>
      <c r="B1666" s="380"/>
      <c r="C1666" s="381"/>
      <c r="D1666" s="381"/>
      <c r="E1666" s="381"/>
      <c r="F1666" s="381"/>
      <c r="G1666" s="381"/>
      <c r="H1666" s="381"/>
      <c r="I1666" s="381"/>
      <c r="J1666" s="381"/>
      <c r="K1666" s="382"/>
      <c r="L1666" s="380"/>
      <c r="M1666" s="413"/>
      <c r="N1666" s="383"/>
      <c r="O1666" s="384"/>
      <c r="P1666" s="384"/>
      <c r="Q1666" s="383"/>
      <c r="R1666" s="383"/>
      <c r="S1666" s="385"/>
      <c r="T1666" s="380"/>
      <c r="U1666" s="380"/>
      <c r="V1666" s="380"/>
      <c r="W1666" s="380"/>
      <c r="X1666" s="380"/>
    </row>
    <row r="1667" spans="1:24" ht="15.75" customHeight="1">
      <c r="A1667" s="463"/>
      <c r="B1667" s="380"/>
      <c r="C1667" s="381"/>
      <c r="D1667" s="381"/>
      <c r="E1667" s="381"/>
      <c r="F1667" s="381"/>
      <c r="G1667" s="381"/>
      <c r="H1667" s="381"/>
      <c r="I1667" s="381"/>
      <c r="J1667" s="381"/>
      <c r="K1667" s="382"/>
      <c r="L1667" s="380"/>
      <c r="M1667" s="413"/>
      <c r="N1667" s="383"/>
      <c r="O1667" s="384"/>
      <c r="P1667" s="384"/>
      <c r="Q1667" s="383"/>
      <c r="R1667" s="383"/>
      <c r="S1667" s="385"/>
      <c r="T1667" s="380"/>
      <c r="U1667" s="380"/>
      <c r="V1667" s="380"/>
      <c r="W1667" s="380"/>
      <c r="X1667" s="380"/>
    </row>
    <row r="1668" spans="1:24" ht="15.75" customHeight="1">
      <c r="A1668" s="463"/>
      <c r="B1668" s="380"/>
      <c r="C1668" s="381"/>
      <c r="D1668" s="381"/>
      <c r="E1668" s="381"/>
      <c r="F1668" s="381"/>
      <c r="G1668" s="381"/>
      <c r="H1668" s="381"/>
      <c r="I1668" s="381"/>
      <c r="J1668" s="381"/>
      <c r="K1668" s="382"/>
      <c r="L1668" s="380"/>
      <c r="M1668" s="413"/>
      <c r="N1668" s="383"/>
      <c r="O1668" s="384"/>
      <c r="P1668" s="384"/>
      <c r="Q1668" s="383"/>
      <c r="R1668" s="383"/>
      <c r="S1668" s="385"/>
      <c r="T1668" s="380"/>
      <c r="U1668" s="380"/>
      <c r="V1668" s="380"/>
      <c r="W1668" s="380"/>
      <c r="X1668" s="380"/>
    </row>
    <row r="1669" spans="1:24" ht="15.75" customHeight="1">
      <c r="A1669" s="463"/>
      <c r="B1669" s="380"/>
      <c r="C1669" s="381"/>
      <c r="D1669" s="381"/>
      <c r="E1669" s="381"/>
      <c r="F1669" s="381"/>
      <c r="G1669" s="381"/>
      <c r="H1669" s="381"/>
      <c r="I1669" s="381"/>
      <c r="J1669" s="381"/>
      <c r="K1669" s="382"/>
      <c r="L1669" s="380"/>
      <c r="M1669" s="413"/>
      <c r="N1669" s="383"/>
      <c r="O1669" s="384"/>
      <c r="P1669" s="384"/>
      <c r="Q1669" s="383"/>
      <c r="R1669" s="383"/>
      <c r="S1669" s="385"/>
      <c r="T1669" s="380"/>
      <c r="U1669" s="380"/>
      <c r="V1669" s="380"/>
      <c r="W1669" s="380"/>
      <c r="X1669" s="380"/>
    </row>
    <row r="1670" spans="1:24" ht="15.75" customHeight="1">
      <c r="A1670" s="463"/>
      <c r="B1670" s="380"/>
      <c r="C1670" s="381"/>
      <c r="D1670" s="381"/>
      <c r="E1670" s="381"/>
      <c r="F1670" s="381"/>
      <c r="G1670" s="381"/>
      <c r="H1670" s="381"/>
      <c r="I1670" s="381"/>
      <c r="J1670" s="381"/>
      <c r="K1670" s="382"/>
      <c r="L1670" s="380"/>
      <c r="M1670" s="413"/>
      <c r="N1670" s="383"/>
      <c r="O1670" s="384"/>
      <c r="P1670" s="384"/>
      <c r="Q1670" s="383"/>
      <c r="R1670" s="383"/>
      <c r="S1670" s="385"/>
      <c r="T1670" s="380"/>
      <c r="U1670" s="380"/>
      <c r="V1670" s="380"/>
      <c r="W1670" s="380"/>
      <c r="X1670" s="380"/>
    </row>
    <row r="1671" spans="1:24" ht="15.75" customHeight="1">
      <c r="A1671" s="463"/>
      <c r="B1671" s="380"/>
      <c r="C1671" s="381"/>
      <c r="D1671" s="381"/>
      <c r="E1671" s="381"/>
      <c r="F1671" s="381"/>
      <c r="G1671" s="381"/>
      <c r="H1671" s="381"/>
      <c r="I1671" s="381"/>
      <c r="J1671" s="381"/>
      <c r="K1671" s="382"/>
      <c r="L1671" s="380"/>
      <c r="M1671" s="413"/>
      <c r="N1671" s="383"/>
      <c r="O1671" s="384"/>
      <c r="P1671" s="384"/>
      <c r="Q1671" s="383"/>
      <c r="R1671" s="383"/>
      <c r="S1671" s="385"/>
      <c r="T1671" s="380"/>
      <c r="U1671" s="380"/>
      <c r="V1671" s="380"/>
      <c r="W1671" s="380"/>
      <c r="X1671" s="380"/>
    </row>
    <row r="1672" spans="1:24" ht="15.75" customHeight="1">
      <c r="A1672" s="463"/>
      <c r="B1672" s="380"/>
      <c r="C1672" s="381"/>
      <c r="D1672" s="381"/>
      <c r="E1672" s="381"/>
      <c r="F1672" s="381"/>
      <c r="G1672" s="381"/>
      <c r="H1672" s="381"/>
      <c r="I1672" s="381"/>
      <c r="J1672" s="381"/>
      <c r="K1672" s="382"/>
      <c r="L1672" s="380"/>
      <c r="M1672" s="413"/>
      <c r="N1672" s="383"/>
      <c r="O1672" s="384"/>
      <c r="P1672" s="384"/>
      <c r="Q1672" s="383"/>
      <c r="R1672" s="383"/>
      <c r="S1672" s="385"/>
      <c r="T1672" s="380"/>
      <c r="U1672" s="380"/>
      <c r="V1672" s="380"/>
      <c r="W1672" s="380"/>
      <c r="X1672" s="380"/>
    </row>
    <row r="1673" spans="1:24" ht="15.75" customHeight="1">
      <c r="A1673" s="463"/>
      <c r="B1673" s="380"/>
      <c r="C1673" s="381"/>
      <c r="D1673" s="381"/>
      <c r="E1673" s="381"/>
      <c r="F1673" s="381"/>
      <c r="G1673" s="381"/>
      <c r="H1673" s="381"/>
      <c r="I1673" s="381"/>
      <c r="J1673" s="381"/>
      <c r="K1673" s="382"/>
      <c r="L1673" s="380"/>
      <c r="M1673" s="413"/>
      <c r="N1673" s="383"/>
      <c r="O1673" s="384"/>
      <c r="P1673" s="384"/>
      <c r="Q1673" s="383"/>
      <c r="R1673" s="383"/>
      <c r="S1673" s="385"/>
      <c r="T1673" s="380"/>
      <c r="U1673" s="380"/>
      <c r="V1673" s="380"/>
      <c r="W1673" s="380"/>
      <c r="X1673" s="380"/>
    </row>
    <row r="1674" spans="1:24" ht="15.75" customHeight="1">
      <c r="A1674" s="463"/>
      <c r="B1674" s="380"/>
      <c r="C1674" s="381"/>
      <c r="D1674" s="381"/>
      <c r="E1674" s="381"/>
      <c r="F1674" s="381"/>
      <c r="G1674" s="381"/>
      <c r="H1674" s="381"/>
      <c r="I1674" s="381"/>
      <c r="J1674" s="381"/>
      <c r="K1674" s="382"/>
      <c r="L1674" s="380"/>
      <c r="M1674" s="413"/>
      <c r="N1674" s="383"/>
      <c r="O1674" s="384"/>
      <c r="P1674" s="384"/>
      <c r="Q1674" s="383"/>
      <c r="R1674" s="383"/>
      <c r="S1674" s="385"/>
      <c r="T1674" s="380"/>
      <c r="U1674" s="380"/>
      <c r="V1674" s="380"/>
      <c r="W1674" s="380"/>
      <c r="X1674" s="380"/>
    </row>
    <row r="1675" spans="1:24" ht="15.75" customHeight="1">
      <c r="A1675" s="463"/>
      <c r="B1675" s="380"/>
      <c r="C1675" s="381"/>
      <c r="D1675" s="381"/>
      <c r="E1675" s="381"/>
      <c r="F1675" s="381"/>
      <c r="G1675" s="381"/>
      <c r="H1675" s="381"/>
      <c r="I1675" s="381"/>
      <c r="J1675" s="381"/>
      <c r="K1675" s="382"/>
      <c r="L1675" s="380"/>
      <c r="M1675" s="413"/>
      <c r="N1675" s="383"/>
      <c r="O1675" s="384"/>
      <c r="P1675" s="384"/>
      <c r="Q1675" s="383"/>
      <c r="R1675" s="383"/>
      <c r="S1675" s="385"/>
      <c r="T1675" s="380"/>
      <c r="U1675" s="380"/>
      <c r="V1675" s="380"/>
      <c r="W1675" s="380"/>
      <c r="X1675" s="380"/>
    </row>
    <row r="1676" spans="1:24" ht="15.75" customHeight="1">
      <c r="A1676" s="463"/>
      <c r="B1676" s="380"/>
      <c r="C1676" s="381"/>
      <c r="D1676" s="381"/>
      <c r="E1676" s="381"/>
      <c r="F1676" s="381"/>
      <c r="G1676" s="381"/>
      <c r="H1676" s="381"/>
      <c r="I1676" s="381"/>
      <c r="J1676" s="381"/>
      <c r="K1676" s="382"/>
      <c r="L1676" s="380"/>
      <c r="M1676" s="413"/>
      <c r="N1676" s="383"/>
      <c r="O1676" s="384"/>
      <c r="P1676" s="384"/>
      <c r="Q1676" s="383"/>
      <c r="R1676" s="383"/>
      <c r="S1676" s="385"/>
      <c r="T1676" s="380"/>
      <c r="U1676" s="380"/>
      <c r="V1676" s="380"/>
      <c r="W1676" s="380"/>
      <c r="X1676" s="380"/>
    </row>
    <row r="1677" spans="1:24" ht="15.75" customHeight="1">
      <c r="A1677" s="463"/>
      <c r="B1677" s="380"/>
      <c r="C1677" s="381"/>
      <c r="D1677" s="381"/>
      <c r="E1677" s="381"/>
      <c r="F1677" s="381"/>
      <c r="G1677" s="381"/>
      <c r="H1677" s="381"/>
      <c r="I1677" s="381"/>
      <c r="J1677" s="381"/>
      <c r="K1677" s="382"/>
      <c r="L1677" s="380"/>
      <c r="M1677" s="413"/>
      <c r="N1677" s="383"/>
      <c r="O1677" s="384"/>
      <c r="P1677" s="384"/>
      <c r="Q1677" s="383"/>
      <c r="R1677" s="383"/>
      <c r="S1677" s="385"/>
      <c r="T1677" s="380"/>
      <c r="U1677" s="380"/>
      <c r="V1677" s="380"/>
      <c r="W1677" s="380"/>
      <c r="X1677" s="380"/>
    </row>
    <row r="1678" spans="1:24" ht="15.75" customHeight="1">
      <c r="A1678" s="463"/>
      <c r="B1678" s="380"/>
      <c r="C1678" s="381"/>
      <c r="D1678" s="381"/>
      <c r="E1678" s="381"/>
      <c r="F1678" s="381"/>
      <c r="G1678" s="381"/>
      <c r="H1678" s="381"/>
      <c r="I1678" s="381"/>
      <c r="J1678" s="381"/>
      <c r="K1678" s="382"/>
      <c r="L1678" s="380"/>
      <c r="M1678" s="413"/>
      <c r="N1678" s="383"/>
      <c r="O1678" s="384"/>
      <c r="P1678" s="384"/>
      <c r="Q1678" s="383"/>
      <c r="R1678" s="383"/>
      <c r="S1678" s="385"/>
      <c r="T1678" s="380"/>
      <c r="U1678" s="380"/>
      <c r="V1678" s="380"/>
      <c r="W1678" s="380"/>
      <c r="X1678" s="380"/>
    </row>
    <row r="1679" spans="1:24" ht="15.75" customHeight="1">
      <c r="A1679" s="463"/>
      <c r="B1679" s="380"/>
      <c r="C1679" s="381"/>
      <c r="D1679" s="381"/>
      <c r="E1679" s="381"/>
      <c r="F1679" s="381"/>
      <c r="G1679" s="381"/>
      <c r="H1679" s="381"/>
      <c r="I1679" s="381"/>
      <c r="J1679" s="381"/>
      <c r="K1679" s="382"/>
      <c r="L1679" s="380"/>
      <c r="M1679" s="413"/>
      <c r="N1679" s="383"/>
      <c r="O1679" s="384"/>
      <c r="P1679" s="384"/>
      <c r="Q1679" s="383"/>
      <c r="R1679" s="383"/>
      <c r="S1679" s="385"/>
      <c r="T1679" s="380"/>
      <c r="U1679" s="380"/>
      <c r="V1679" s="380"/>
      <c r="W1679" s="380"/>
      <c r="X1679" s="380"/>
    </row>
    <row r="1680" spans="1:24" ht="15.75" customHeight="1">
      <c r="A1680" s="463"/>
      <c r="B1680" s="380"/>
      <c r="C1680" s="381"/>
      <c r="D1680" s="381"/>
      <c r="E1680" s="381"/>
      <c r="F1680" s="381"/>
      <c r="G1680" s="381"/>
      <c r="H1680" s="381"/>
      <c r="I1680" s="381"/>
      <c r="J1680" s="381"/>
      <c r="K1680" s="382"/>
      <c r="L1680" s="380"/>
      <c r="M1680" s="413"/>
      <c r="N1680" s="383"/>
      <c r="O1680" s="384"/>
      <c r="P1680" s="384"/>
      <c r="Q1680" s="383"/>
      <c r="R1680" s="383"/>
      <c r="S1680" s="385"/>
      <c r="T1680" s="380"/>
      <c r="U1680" s="380"/>
      <c r="V1680" s="380"/>
      <c r="W1680" s="380"/>
      <c r="X1680" s="380"/>
    </row>
    <row r="1681" spans="1:24" ht="15.75" customHeight="1">
      <c r="A1681" s="463"/>
      <c r="B1681" s="380"/>
      <c r="C1681" s="381"/>
      <c r="D1681" s="381"/>
      <c r="E1681" s="381"/>
      <c r="F1681" s="381"/>
      <c r="G1681" s="381"/>
      <c r="H1681" s="381"/>
      <c r="I1681" s="381"/>
      <c r="J1681" s="381"/>
      <c r="K1681" s="382"/>
      <c r="L1681" s="380"/>
      <c r="M1681" s="413"/>
      <c r="N1681" s="383"/>
      <c r="O1681" s="384"/>
      <c r="P1681" s="384"/>
      <c r="Q1681" s="383"/>
      <c r="R1681" s="383"/>
      <c r="S1681" s="385"/>
      <c r="T1681" s="380"/>
      <c r="U1681" s="380"/>
      <c r="V1681" s="380"/>
      <c r="W1681" s="380"/>
      <c r="X1681" s="380"/>
    </row>
    <row r="1682" spans="1:24" ht="15.75" customHeight="1">
      <c r="A1682" s="463"/>
      <c r="B1682" s="380"/>
      <c r="C1682" s="381"/>
      <c r="D1682" s="381"/>
      <c r="E1682" s="381"/>
      <c r="F1682" s="381"/>
      <c r="G1682" s="381"/>
      <c r="H1682" s="381"/>
      <c r="I1682" s="381"/>
      <c r="J1682" s="381"/>
      <c r="K1682" s="382"/>
      <c r="L1682" s="380"/>
      <c r="M1682" s="413"/>
      <c r="N1682" s="383"/>
      <c r="O1682" s="384"/>
      <c r="P1682" s="384"/>
      <c r="Q1682" s="383"/>
      <c r="R1682" s="383"/>
      <c r="S1682" s="385"/>
      <c r="T1682" s="380"/>
      <c r="U1682" s="380"/>
      <c r="V1682" s="380"/>
      <c r="W1682" s="380"/>
      <c r="X1682" s="380"/>
    </row>
    <row r="1683" spans="1:24" ht="15.75" customHeight="1">
      <c r="A1683" s="463"/>
      <c r="B1683" s="380"/>
      <c r="C1683" s="381"/>
      <c r="D1683" s="381"/>
      <c r="E1683" s="381"/>
      <c r="F1683" s="381"/>
      <c r="G1683" s="381"/>
      <c r="H1683" s="381"/>
      <c r="I1683" s="381"/>
      <c r="J1683" s="381"/>
      <c r="K1683" s="382"/>
      <c r="L1683" s="380"/>
      <c r="M1683" s="413"/>
      <c r="N1683" s="383"/>
      <c r="O1683" s="384"/>
      <c r="P1683" s="384"/>
      <c r="Q1683" s="383"/>
      <c r="R1683" s="383"/>
      <c r="S1683" s="385"/>
      <c r="T1683" s="380"/>
      <c r="U1683" s="380"/>
      <c r="V1683" s="380"/>
      <c r="W1683" s="380"/>
      <c r="X1683" s="380"/>
    </row>
    <row r="1684" spans="1:24" ht="15.75" customHeight="1">
      <c r="A1684" s="463"/>
      <c r="B1684" s="380"/>
      <c r="C1684" s="381"/>
      <c r="D1684" s="381"/>
      <c r="E1684" s="381"/>
      <c r="F1684" s="381"/>
      <c r="G1684" s="381"/>
      <c r="H1684" s="381"/>
      <c r="I1684" s="381"/>
      <c r="J1684" s="381"/>
      <c r="K1684" s="382"/>
      <c r="L1684" s="380"/>
      <c r="M1684" s="413"/>
      <c r="N1684" s="383"/>
      <c r="O1684" s="384"/>
      <c r="P1684" s="384"/>
      <c r="Q1684" s="383"/>
      <c r="R1684" s="383"/>
      <c r="S1684" s="385"/>
      <c r="T1684" s="380"/>
      <c r="U1684" s="380"/>
      <c r="V1684" s="380"/>
      <c r="W1684" s="380"/>
      <c r="X1684" s="380"/>
    </row>
    <row r="1685" spans="1:24" ht="15.75" customHeight="1">
      <c r="A1685" s="463"/>
      <c r="B1685" s="380"/>
      <c r="C1685" s="381"/>
      <c r="D1685" s="381"/>
      <c r="E1685" s="381"/>
      <c r="F1685" s="381"/>
      <c r="G1685" s="381"/>
      <c r="H1685" s="381"/>
      <c r="I1685" s="381"/>
      <c r="J1685" s="381"/>
      <c r="K1685" s="382"/>
      <c r="L1685" s="380"/>
      <c r="M1685" s="413"/>
      <c r="N1685" s="383"/>
      <c r="O1685" s="384"/>
      <c r="P1685" s="384"/>
      <c r="Q1685" s="383"/>
      <c r="R1685" s="383"/>
      <c r="S1685" s="385"/>
      <c r="T1685" s="380"/>
      <c r="U1685" s="380"/>
      <c r="V1685" s="380"/>
      <c r="W1685" s="380"/>
      <c r="X1685" s="380"/>
    </row>
    <row r="1686" spans="1:24" ht="15.75" customHeight="1">
      <c r="A1686" s="463"/>
      <c r="B1686" s="380"/>
      <c r="C1686" s="381"/>
      <c r="D1686" s="381"/>
      <c r="E1686" s="381"/>
      <c r="F1686" s="381"/>
      <c r="G1686" s="381"/>
      <c r="H1686" s="381"/>
      <c r="I1686" s="381"/>
      <c r="J1686" s="381"/>
      <c r="K1686" s="382"/>
      <c r="L1686" s="380"/>
      <c r="M1686" s="413"/>
      <c r="N1686" s="383"/>
      <c r="O1686" s="384"/>
      <c r="P1686" s="384"/>
      <c r="Q1686" s="383"/>
      <c r="R1686" s="383"/>
      <c r="S1686" s="385"/>
      <c r="T1686" s="380"/>
      <c r="U1686" s="380"/>
      <c r="V1686" s="380"/>
      <c r="W1686" s="380"/>
      <c r="X1686" s="380"/>
    </row>
    <row r="1687" spans="1:24" ht="15.75" customHeight="1">
      <c r="A1687" s="463"/>
      <c r="B1687" s="380"/>
      <c r="C1687" s="381"/>
      <c r="D1687" s="381"/>
      <c r="E1687" s="381"/>
      <c r="F1687" s="381"/>
      <c r="G1687" s="381"/>
      <c r="H1687" s="381"/>
      <c r="I1687" s="381"/>
      <c r="J1687" s="381"/>
      <c r="K1687" s="382"/>
      <c r="L1687" s="380"/>
      <c r="M1687" s="413"/>
      <c r="N1687" s="383"/>
      <c r="O1687" s="384"/>
      <c r="P1687" s="384"/>
      <c r="Q1687" s="383"/>
      <c r="R1687" s="383"/>
      <c r="S1687" s="385"/>
      <c r="T1687" s="380"/>
      <c r="U1687" s="380"/>
      <c r="V1687" s="380"/>
      <c r="W1687" s="380"/>
      <c r="X1687" s="380"/>
    </row>
    <row r="1688" spans="1:24" ht="15.75" customHeight="1">
      <c r="A1688" s="463"/>
      <c r="B1688" s="380"/>
      <c r="C1688" s="381"/>
      <c r="D1688" s="381"/>
      <c r="E1688" s="381"/>
      <c r="F1688" s="381"/>
      <c r="G1688" s="381"/>
      <c r="H1688" s="381"/>
      <c r="I1688" s="381"/>
      <c r="J1688" s="381"/>
      <c r="K1688" s="382"/>
      <c r="L1688" s="380"/>
      <c r="M1688" s="413"/>
      <c r="N1688" s="383"/>
      <c r="O1688" s="384"/>
      <c r="P1688" s="384"/>
      <c r="Q1688" s="383"/>
      <c r="R1688" s="383"/>
      <c r="S1688" s="385"/>
      <c r="T1688" s="380"/>
      <c r="U1688" s="380"/>
      <c r="V1688" s="380"/>
      <c r="W1688" s="380"/>
      <c r="X1688" s="380"/>
    </row>
    <row r="1689" spans="1:24" ht="15.75" customHeight="1">
      <c r="A1689" s="463"/>
      <c r="B1689" s="380"/>
      <c r="C1689" s="381"/>
      <c r="D1689" s="381"/>
      <c r="E1689" s="381"/>
      <c r="F1689" s="381"/>
      <c r="G1689" s="381"/>
      <c r="H1689" s="381"/>
      <c r="I1689" s="381"/>
      <c r="J1689" s="381"/>
      <c r="K1689" s="382"/>
      <c r="L1689" s="380"/>
      <c r="M1689" s="413"/>
      <c r="N1689" s="383"/>
      <c r="O1689" s="384"/>
      <c r="P1689" s="384"/>
      <c r="Q1689" s="383"/>
      <c r="R1689" s="383"/>
      <c r="S1689" s="385"/>
      <c r="T1689" s="380"/>
      <c r="U1689" s="380"/>
      <c r="V1689" s="380"/>
      <c r="W1689" s="380"/>
      <c r="X1689" s="380"/>
    </row>
    <row r="1690" spans="1:24" ht="15.75" customHeight="1">
      <c r="A1690" s="463"/>
      <c r="B1690" s="380"/>
      <c r="C1690" s="381"/>
      <c r="D1690" s="381"/>
      <c r="E1690" s="381"/>
      <c r="F1690" s="381"/>
      <c r="G1690" s="381"/>
      <c r="H1690" s="381"/>
      <c r="I1690" s="381"/>
      <c r="J1690" s="381"/>
      <c r="K1690" s="382"/>
      <c r="L1690" s="380"/>
      <c r="M1690" s="413"/>
      <c r="N1690" s="383"/>
      <c r="O1690" s="384"/>
      <c r="P1690" s="384"/>
      <c r="Q1690" s="383"/>
      <c r="R1690" s="383"/>
      <c r="S1690" s="385"/>
      <c r="T1690" s="380"/>
      <c r="U1690" s="380"/>
      <c r="V1690" s="380"/>
      <c r="W1690" s="380"/>
      <c r="X1690" s="380"/>
    </row>
    <row r="1691" spans="1:24" ht="15.75" customHeight="1">
      <c r="A1691" s="463"/>
      <c r="B1691" s="380"/>
      <c r="C1691" s="381"/>
      <c r="D1691" s="381"/>
      <c r="E1691" s="381"/>
      <c r="F1691" s="381"/>
      <c r="G1691" s="381"/>
      <c r="H1691" s="381"/>
      <c r="I1691" s="381"/>
      <c r="J1691" s="381"/>
      <c r="K1691" s="382"/>
      <c r="L1691" s="380"/>
      <c r="M1691" s="413"/>
      <c r="N1691" s="383"/>
      <c r="O1691" s="384"/>
      <c r="P1691" s="384"/>
      <c r="Q1691" s="383"/>
      <c r="R1691" s="383"/>
      <c r="S1691" s="385"/>
      <c r="T1691" s="380"/>
      <c r="U1691" s="380"/>
      <c r="V1691" s="380"/>
      <c r="W1691" s="380"/>
      <c r="X1691" s="380"/>
    </row>
    <row r="1692" spans="1:24" ht="15.75" customHeight="1">
      <c r="A1692" s="463"/>
      <c r="B1692" s="380"/>
      <c r="C1692" s="381"/>
      <c r="D1692" s="381"/>
      <c r="E1692" s="381"/>
      <c r="F1692" s="381"/>
      <c r="G1692" s="381"/>
      <c r="H1692" s="381"/>
      <c r="I1692" s="381"/>
      <c r="J1692" s="381"/>
      <c r="K1692" s="382"/>
      <c r="L1692" s="380"/>
      <c r="M1692" s="413"/>
      <c r="N1692" s="383"/>
      <c r="O1692" s="384"/>
      <c r="P1692" s="384"/>
      <c r="Q1692" s="383"/>
      <c r="R1692" s="383"/>
      <c r="S1692" s="385"/>
      <c r="T1692" s="380"/>
      <c r="U1692" s="380"/>
      <c r="V1692" s="380"/>
      <c r="W1692" s="380"/>
      <c r="X1692" s="380"/>
    </row>
    <row r="1693" spans="1:24" ht="15.75" customHeight="1">
      <c r="A1693" s="463"/>
      <c r="B1693" s="380"/>
      <c r="C1693" s="381"/>
      <c r="D1693" s="381"/>
      <c r="E1693" s="381"/>
      <c r="F1693" s="381"/>
      <c r="G1693" s="381"/>
      <c r="H1693" s="381"/>
      <c r="I1693" s="381"/>
      <c r="J1693" s="381"/>
      <c r="K1693" s="382"/>
      <c r="L1693" s="380"/>
      <c r="M1693" s="413"/>
      <c r="N1693" s="383"/>
      <c r="O1693" s="384"/>
      <c r="P1693" s="384"/>
      <c r="Q1693" s="383"/>
      <c r="R1693" s="383"/>
      <c r="S1693" s="385"/>
      <c r="T1693" s="380"/>
      <c r="U1693" s="380"/>
      <c r="V1693" s="380"/>
      <c r="W1693" s="380"/>
      <c r="X1693" s="380"/>
    </row>
    <row r="1694" spans="1:24" ht="15.75" customHeight="1">
      <c r="A1694" s="463"/>
      <c r="B1694" s="380"/>
      <c r="C1694" s="381"/>
      <c r="D1694" s="381"/>
      <c r="E1694" s="381"/>
      <c r="F1694" s="381"/>
      <c r="G1694" s="381"/>
      <c r="H1694" s="381"/>
      <c r="I1694" s="381"/>
      <c r="J1694" s="381"/>
      <c r="K1694" s="382"/>
      <c r="L1694" s="380"/>
      <c r="M1694" s="413"/>
      <c r="N1694" s="383"/>
      <c r="O1694" s="384"/>
      <c r="P1694" s="384"/>
      <c r="Q1694" s="383"/>
      <c r="R1694" s="383"/>
      <c r="S1694" s="385"/>
      <c r="T1694" s="380"/>
      <c r="U1694" s="380"/>
      <c r="V1694" s="380"/>
      <c r="W1694" s="380"/>
      <c r="X1694" s="380"/>
    </row>
    <row r="1695" spans="1:24" ht="15.75" customHeight="1">
      <c r="A1695" s="463"/>
      <c r="B1695" s="380"/>
      <c r="C1695" s="381"/>
      <c r="D1695" s="381"/>
      <c r="E1695" s="381"/>
      <c r="F1695" s="381"/>
      <c r="G1695" s="381"/>
      <c r="H1695" s="381"/>
      <c r="I1695" s="381"/>
      <c r="J1695" s="381"/>
      <c r="K1695" s="382"/>
      <c r="L1695" s="380"/>
      <c r="M1695" s="413"/>
      <c r="N1695" s="383"/>
      <c r="O1695" s="384"/>
      <c r="P1695" s="384"/>
      <c r="Q1695" s="383"/>
      <c r="R1695" s="383"/>
      <c r="S1695" s="385"/>
      <c r="T1695" s="380"/>
      <c r="U1695" s="380"/>
      <c r="V1695" s="380"/>
      <c r="W1695" s="380"/>
      <c r="X1695" s="380"/>
    </row>
    <row r="1696" spans="1:24" ht="15.75" customHeight="1">
      <c r="A1696" s="463"/>
      <c r="B1696" s="380"/>
      <c r="C1696" s="381"/>
      <c r="D1696" s="381"/>
      <c r="E1696" s="381"/>
      <c r="F1696" s="381"/>
      <c r="G1696" s="381"/>
      <c r="H1696" s="381"/>
      <c r="I1696" s="381"/>
      <c r="J1696" s="381"/>
      <c r="K1696" s="382"/>
      <c r="L1696" s="380"/>
      <c r="M1696" s="413"/>
      <c r="N1696" s="383"/>
      <c r="O1696" s="384"/>
      <c r="P1696" s="384"/>
      <c r="Q1696" s="383"/>
      <c r="R1696" s="383"/>
      <c r="S1696" s="385"/>
      <c r="T1696" s="380"/>
      <c r="U1696" s="380"/>
      <c r="V1696" s="380"/>
      <c r="W1696" s="380"/>
      <c r="X1696" s="380"/>
    </row>
    <row r="1697" spans="1:24" ht="15.75" customHeight="1">
      <c r="A1697" s="463"/>
      <c r="B1697" s="380"/>
      <c r="C1697" s="381"/>
      <c r="D1697" s="381"/>
      <c r="E1697" s="381"/>
      <c r="F1697" s="381"/>
      <c r="G1697" s="381"/>
      <c r="H1697" s="381"/>
      <c r="I1697" s="381"/>
      <c r="J1697" s="381"/>
      <c r="K1697" s="382"/>
      <c r="L1697" s="380"/>
      <c r="M1697" s="413"/>
      <c r="N1697" s="383"/>
      <c r="O1697" s="384"/>
      <c r="P1697" s="384"/>
      <c r="Q1697" s="383"/>
      <c r="R1697" s="383"/>
      <c r="S1697" s="385"/>
      <c r="T1697" s="380"/>
      <c r="U1697" s="380"/>
      <c r="V1697" s="380"/>
      <c r="W1697" s="380"/>
      <c r="X1697" s="380"/>
    </row>
    <row r="1698" spans="1:24" ht="15.75" customHeight="1">
      <c r="A1698" s="463"/>
      <c r="B1698" s="380"/>
      <c r="C1698" s="381"/>
      <c r="D1698" s="381"/>
      <c r="E1698" s="381"/>
      <c r="F1698" s="381"/>
      <c r="G1698" s="381"/>
      <c r="H1698" s="381"/>
      <c r="I1698" s="381"/>
      <c r="J1698" s="381"/>
      <c r="K1698" s="382"/>
      <c r="L1698" s="380"/>
      <c r="M1698" s="413"/>
      <c r="N1698" s="383"/>
      <c r="O1698" s="384"/>
      <c r="P1698" s="384"/>
      <c r="Q1698" s="383"/>
      <c r="R1698" s="383"/>
      <c r="S1698" s="385"/>
      <c r="T1698" s="380"/>
      <c r="U1698" s="380"/>
      <c r="V1698" s="380"/>
      <c r="W1698" s="380"/>
      <c r="X1698" s="380"/>
    </row>
    <row r="1699" spans="1:24" ht="15.75" customHeight="1">
      <c r="A1699" s="463"/>
      <c r="B1699" s="380"/>
      <c r="C1699" s="381"/>
      <c r="D1699" s="381"/>
      <c r="E1699" s="381"/>
      <c r="F1699" s="381"/>
      <c r="G1699" s="381"/>
      <c r="H1699" s="381"/>
      <c r="I1699" s="381"/>
      <c r="J1699" s="381"/>
      <c r="K1699" s="382"/>
      <c r="L1699" s="380"/>
      <c r="M1699" s="413"/>
      <c r="N1699" s="383"/>
      <c r="O1699" s="384"/>
      <c r="P1699" s="384"/>
      <c r="Q1699" s="383"/>
      <c r="R1699" s="383"/>
      <c r="S1699" s="385"/>
      <c r="T1699" s="380"/>
      <c r="U1699" s="380"/>
      <c r="V1699" s="380"/>
      <c r="W1699" s="380"/>
      <c r="X1699" s="380"/>
    </row>
    <row r="1700" spans="1:24" ht="15.75" customHeight="1">
      <c r="A1700" s="463"/>
      <c r="B1700" s="380"/>
      <c r="C1700" s="381"/>
      <c r="D1700" s="381"/>
      <c r="E1700" s="381"/>
      <c r="F1700" s="381"/>
      <c r="G1700" s="381"/>
      <c r="H1700" s="381"/>
      <c r="I1700" s="381"/>
      <c r="J1700" s="381"/>
      <c r="K1700" s="382"/>
      <c r="L1700" s="380"/>
      <c r="M1700" s="413"/>
      <c r="N1700" s="383"/>
      <c r="O1700" s="384"/>
      <c r="P1700" s="384"/>
      <c r="Q1700" s="383"/>
      <c r="R1700" s="383"/>
      <c r="S1700" s="385"/>
      <c r="T1700" s="380"/>
      <c r="U1700" s="380"/>
      <c r="V1700" s="380"/>
      <c r="W1700" s="380"/>
      <c r="X1700" s="380"/>
    </row>
    <row r="1701" spans="1:24" ht="15.75" customHeight="1">
      <c r="A1701" s="463"/>
      <c r="B1701" s="380"/>
      <c r="C1701" s="381"/>
      <c r="D1701" s="381"/>
      <c r="E1701" s="381"/>
      <c r="F1701" s="381"/>
      <c r="G1701" s="381"/>
      <c r="H1701" s="381"/>
      <c r="I1701" s="381"/>
      <c r="J1701" s="381"/>
      <c r="K1701" s="382"/>
      <c r="L1701" s="380"/>
      <c r="M1701" s="413"/>
      <c r="N1701" s="383"/>
      <c r="O1701" s="384"/>
      <c r="P1701" s="384"/>
      <c r="Q1701" s="383"/>
      <c r="R1701" s="383"/>
      <c r="S1701" s="385"/>
      <c r="T1701" s="380"/>
      <c r="U1701" s="380"/>
      <c r="V1701" s="380"/>
      <c r="W1701" s="380"/>
      <c r="X1701" s="380"/>
    </row>
    <row r="1702" spans="1:24" ht="15.75" customHeight="1">
      <c r="A1702" s="463"/>
      <c r="B1702" s="380"/>
      <c r="C1702" s="381"/>
      <c r="D1702" s="381"/>
      <c r="E1702" s="381"/>
      <c r="F1702" s="381"/>
      <c r="G1702" s="381"/>
      <c r="H1702" s="381"/>
      <c r="I1702" s="381"/>
      <c r="J1702" s="381"/>
      <c r="K1702" s="382"/>
      <c r="L1702" s="380"/>
      <c r="M1702" s="413"/>
      <c r="N1702" s="383"/>
      <c r="O1702" s="384"/>
      <c r="P1702" s="384"/>
      <c r="Q1702" s="383"/>
      <c r="R1702" s="383"/>
      <c r="S1702" s="385"/>
      <c r="T1702" s="380"/>
      <c r="U1702" s="380"/>
      <c r="V1702" s="380"/>
      <c r="W1702" s="380"/>
      <c r="X1702" s="380"/>
    </row>
    <row r="1703" spans="1:24" ht="15.75" customHeight="1">
      <c r="A1703" s="463"/>
      <c r="B1703" s="380"/>
      <c r="C1703" s="381"/>
      <c r="D1703" s="381"/>
      <c r="E1703" s="381"/>
      <c r="F1703" s="381"/>
      <c r="G1703" s="381"/>
      <c r="H1703" s="381"/>
      <c r="I1703" s="381"/>
      <c r="J1703" s="381"/>
      <c r="K1703" s="382"/>
      <c r="L1703" s="380"/>
      <c r="M1703" s="413"/>
      <c r="N1703" s="383"/>
      <c r="O1703" s="384"/>
      <c r="P1703" s="384"/>
      <c r="Q1703" s="383"/>
      <c r="R1703" s="383"/>
      <c r="S1703" s="385"/>
      <c r="T1703" s="380"/>
      <c r="U1703" s="380"/>
      <c r="V1703" s="380"/>
      <c r="W1703" s="380"/>
      <c r="X1703" s="380"/>
    </row>
    <row r="1704" spans="1:24" ht="15.75" customHeight="1">
      <c r="A1704" s="463"/>
      <c r="B1704" s="380"/>
      <c r="C1704" s="381"/>
      <c r="D1704" s="381"/>
      <c r="E1704" s="381"/>
      <c r="F1704" s="381"/>
      <c r="G1704" s="381"/>
      <c r="H1704" s="381"/>
      <c r="I1704" s="381"/>
      <c r="J1704" s="381"/>
      <c r="K1704" s="382"/>
      <c r="L1704" s="380"/>
      <c r="M1704" s="413"/>
      <c r="N1704" s="383"/>
      <c r="O1704" s="384"/>
      <c r="P1704" s="384"/>
      <c r="Q1704" s="383"/>
      <c r="R1704" s="383"/>
      <c r="S1704" s="385"/>
      <c r="T1704" s="380"/>
      <c r="U1704" s="380"/>
      <c r="V1704" s="380"/>
      <c r="W1704" s="380"/>
      <c r="X1704" s="380"/>
    </row>
    <row r="1705" spans="1:24" ht="15.75" customHeight="1">
      <c r="A1705" s="463"/>
      <c r="B1705" s="380"/>
      <c r="C1705" s="381"/>
      <c r="D1705" s="381"/>
      <c r="E1705" s="381"/>
      <c r="F1705" s="381"/>
      <c r="G1705" s="381"/>
      <c r="H1705" s="381"/>
      <c r="I1705" s="381"/>
      <c r="J1705" s="381"/>
      <c r="K1705" s="382"/>
      <c r="L1705" s="380"/>
      <c r="M1705" s="413"/>
      <c r="N1705" s="383"/>
      <c r="O1705" s="384"/>
      <c r="P1705" s="384"/>
      <c r="Q1705" s="383"/>
      <c r="R1705" s="383"/>
      <c r="S1705" s="385"/>
      <c r="T1705" s="380"/>
      <c r="U1705" s="380"/>
      <c r="V1705" s="380"/>
      <c r="W1705" s="380"/>
      <c r="X1705" s="380"/>
    </row>
    <row r="1706" spans="1:24" ht="15.75" customHeight="1">
      <c r="A1706" s="463"/>
      <c r="B1706" s="380"/>
      <c r="C1706" s="381"/>
      <c r="D1706" s="381"/>
      <c r="E1706" s="381"/>
      <c r="F1706" s="381"/>
      <c r="G1706" s="381"/>
      <c r="H1706" s="381"/>
      <c r="I1706" s="381"/>
      <c r="J1706" s="381"/>
      <c r="K1706" s="382"/>
      <c r="L1706" s="380"/>
      <c r="M1706" s="413"/>
      <c r="N1706" s="383"/>
      <c r="O1706" s="384"/>
      <c r="P1706" s="384"/>
      <c r="Q1706" s="383"/>
      <c r="R1706" s="383"/>
      <c r="S1706" s="385"/>
      <c r="T1706" s="380"/>
      <c r="U1706" s="380"/>
      <c r="V1706" s="380"/>
      <c r="W1706" s="380"/>
      <c r="X1706" s="380"/>
    </row>
    <row r="1707" spans="1:24" ht="15.75" customHeight="1">
      <c r="A1707" s="463"/>
      <c r="B1707" s="380"/>
      <c r="C1707" s="381"/>
      <c r="D1707" s="381"/>
      <c r="E1707" s="381"/>
      <c r="F1707" s="381"/>
      <c r="G1707" s="381"/>
      <c r="H1707" s="381"/>
      <c r="I1707" s="381"/>
      <c r="J1707" s="381"/>
      <c r="K1707" s="382"/>
      <c r="L1707" s="380"/>
      <c r="M1707" s="413"/>
      <c r="N1707" s="383"/>
      <c r="O1707" s="384"/>
      <c r="P1707" s="384"/>
      <c r="Q1707" s="383"/>
      <c r="R1707" s="383"/>
      <c r="S1707" s="385"/>
      <c r="T1707" s="380"/>
      <c r="U1707" s="380"/>
      <c r="V1707" s="380"/>
      <c r="W1707" s="380"/>
      <c r="X1707" s="380"/>
    </row>
    <row r="1708" spans="1:24" ht="15.75" customHeight="1">
      <c r="A1708" s="463"/>
      <c r="B1708" s="380"/>
      <c r="C1708" s="381"/>
      <c r="D1708" s="381"/>
      <c r="E1708" s="381"/>
      <c r="F1708" s="381"/>
      <c r="G1708" s="381"/>
      <c r="H1708" s="381"/>
      <c r="I1708" s="381"/>
      <c r="J1708" s="381"/>
      <c r="K1708" s="382"/>
      <c r="L1708" s="380"/>
      <c r="M1708" s="413"/>
      <c r="N1708" s="383"/>
      <c r="O1708" s="384"/>
      <c r="P1708" s="384"/>
      <c r="Q1708" s="383"/>
      <c r="R1708" s="383"/>
      <c r="S1708" s="385"/>
      <c r="T1708" s="380"/>
      <c r="U1708" s="380"/>
      <c r="V1708" s="380"/>
      <c r="W1708" s="380"/>
      <c r="X1708" s="380"/>
    </row>
    <row r="1709" spans="1:24" ht="15.75" customHeight="1">
      <c r="A1709" s="463"/>
      <c r="B1709" s="380"/>
      <c r="C1709" s="381"/>
      <c r="D1709" s="381"/>
      <c r="E1709" s="381"/>
      <c r="F1709" s="381"/>
      <c r="G1709" s="381"/>
      <c r="H1709" s="381"/>
      <c r="I1709" s="381"/>
      <c r="J1709" s="381"/>
      <c r="K1709" s="382"/>
      <c r="L1709" s="380"/>
      <c r="M1709" s="413"/>
      <c r="N1709" s="383"/>
      <c r="O1709" s="384"/>
      <c r="P1709" s="384"/>
      <c r="Q1709" s="383"/>
      <c r="R1709" s="383"/>
      <c r="S1709" s="385"/>
      <c r="T1709" s="380"/>
      <c r="U1709" s="380"/>
      <c r="V1709" s="380"/>
      <c r="W1709" s="380"/>
      <c r="X1709" s="380"/>
    </row>
    <row r="1710" spans="1:24" ht="15.75" customHeight="1">
      <c r="A1710" s="463"/>
      <c r="B1710" s="380"/>
      <c r="C1710" s="381"/>
      <c r="D1710" s="381"/>
      <c r="E1710" s="381"/>
      <c r="F1710" s="381"/>
      <c r="G1710" s="381"/>
      <c r="H1710" s="381"/>
      <c r="I1710" s="381"/>
      <c r="J1710" s="381"/>
      <c r="K1710" s="382"/>
      <c r="L1710" s="380"/>
      <c r="M1710" s="413"/>
      <c r="N1710" s="383"/>
      <c r="O1710" s="384"/>
      <c r="P1710" s="384"/>
      <c r="Q1710" s="383"/>
      <c r="R1710" s="383"/>
      <c r="S1710" s="385"/>
      <c r="T1710" s="380"/>
      <c r="U1710" s="380"/>
      <c r="V1710" s="380"/>
      <c r="W1710" s="380"/>
      <c r="X1710" s="380"/>
    </row>
    <row r="1711" spans="1:24" ht="15.75" customHeight="1">
      <c r="A1711" s="463"/>
      <c r="B1711" s="380"/>
      <c r="C1711" s="381"/>
      <c r="D1711" s="381"/>
      <c r="E1711" s="381"/>
      <c r="F1711" s="381"/>
      <c r="G1711" s="381"/>
      <c r="H1711" s="381"/>
      <c r="I1711" s="381"/>
      <c r="J1711" s="381"/>
      <c r="K1711" s="382"/>
      <c r="L1711" s="380"/>
      <c r="M1711" s="413"/>
      <c r="N1711" s="383"/>
      <c r="O1711" s="384"/>
      <c r="P1711" s="384"/>
      <c r="Q1711" s="383"/>
      <c r="R1711" s="383"/>
      <c r="S1711" s="385"/>
      <c r="T1711" s="380"/>
      <c r="U1711" s="380"/>
      <c r="V1711" s="380"/>
      <c r="W1711" s="380"/>
      <c r="X1711" s="380"/>
    </row>
    <row r="1712" spans="1:24" ht="15.75" customHeight="1">
      <c r="A1712" s="463"/>
      <c r="B1712" s="380"/>
      <c r="C1712" s="381"/>
      <c r="D1712" s="381"/>
      <c r="E1712" s="381"/>
      <c r="F1712" s="381"/>
      <c r="G1712" s="381"/>
      <c r="H1712" s="381"/>
      <c r="I1712" s="381"/>
      <c r="J1712" s="381"/>
      <c r="K1712" s="382"/>
      <c r="L1712" s="380"/>
      <c r="M1712" s="413"/>
      <c r="N1712" s="383"/>
      <c r="O1712" s="384"/>
      <c r="P1712" s="384"/>
      <c r="Q1712" s="383"/>
      <c r="R1712" s="383"/>
      <c r="S1712" s="385"/>
      <c r="T1712" s="380"/>
      <c r="U1712" s="380"/>
      <c r="V1712" s="380"/>
      <c r="W1712" s="380"/>
      <c r="X1712" s="380"/>
    </row>
    <row r="1713" spans="1:24" ht="15.75" customHeight="1">
      <c r="A1713" s="463"/>
      <c r="B1713" s="380"/>
      <c r="C1713" s="381"/>
      <c r="D1713" s="381"/>
      <c r="E1713" s="381"/>
      <c r="F1713" s="381"/>
      <c r="G1713" s="381"/>
      <c r="H1713" s="381"/>
      <c r="I1713" s="381"/>
      <c r="J1713" s="381"/>
      <c r="K1713" s="382"/>
      <c r="L1713" s="380"/>
      <c r="M1713" s="413"/>
      <c r="N1713" s="383"/>
      <c r="O1713" s="384"/>
      <c r="P1713" s="384"/>
      <c r="Q1713" s="383"/>
      <c r="R1713" s="383"/>
      <c r="S1713" s="385"/>
      <c r="T1713" s="380"/>
      <c r="U1713" s="380"/>
      <c r="V1713" s="380"/>
      <c r="W1713" s="380"/>
      <c r="X1713" s="380"/>
    </row>
    <row r="1714" spans="1:24" ht="15.75" customHeight="1">
      <c r="A1714" s="463"/>
      <c r="B1714" s="380"/>
      <c r="C1714" s="381"/>
      <c r="D1714" s="381"/>
      <c r="E1714" s="381"/>
      <c r="F1714" s="381"/>
      <c r="G1714" s="381"/>
      <c r="H1714" s="381"/>
      <c r="I1714" s="381"/>
      <c r="J1714" s="381"/>
      <c r="K1714" s="382"/>
      <c r="L1714" s="380"/>
      <c r="M1714" s="413"/>
      <c r="N1714" s="383"/>
      <c r="O1714" s="384"/>
      <c r="P1714" s="384"/>
      <c r="Q1714" s="383"/>
      <c r="R1714" s="383"/>
      <c r="S1714" s="385"/>
      <c r="T1714" s="380"/>
      <c r="U1714" s="380"/>
      <c r="V1714" s="380"/>
      <c r="W1714" s="380"/>
      <c r="X1714" s="380"/>
    </row>
    <row r="1715" spans="1:24" ht="15.75" customHeight="1">
      <c r="A1715" s="463"/>
      <c r="B1715" s="380"/>
      <c r="C1715" s="381"/>
      <c r="D1715" s="381"/>
      <c r="E1715" s="381"/>
      <c r="F1715" s="381"/>
      <c r="G1715" s="381"/>
      <c r="H1715" s="381"/>
      <c r="I1715" s="381"/>
      <c r="J1715" s="381"/>
      <c r="K1715" s="382"/>
      <c r="L1715" s="380"/>
      <c r="M1715" s="413"/>
      <c r="N1715" s="383"/>
      <c r="O1715" s="384"/>
      <c r="P1715" s="384"/>
      <c r="Q1715" s="383"/>
      <c r="R1715" s="383"/>
      <c r="S1715" s="385"/>
      <c r="T1715" s="380"/>
      <c r="U1715" s="380"/>
      <c r="V1715" s="380"/>
      <c r="W1715" s="380"/>
      <c r="X1715" s="380"/>
    </row>
    <row r="1716" spans="1:24" ht="15.75" customHeight="1">
      <c r="A1716" s="463"/>
      <c r="B1716" s="380"/>
      <c r="C1716" s="381"/>
      <c r="D1716" s="381"/>
      <c r="E1716" s="381"/>
      <c r="F1716" s="381"/>
      <c r="G1716" s="381"/>
      <c r="H1716" s="381"/>
      <c r="I1716" s="381"/>
      <c r="J1716" s="381"/>
      <c r="K1716" s="382"/>
      <c r="L1716" s="380"/>
      <c r="M1716" s="413"/>
      <c r="N1716" s="383"/>
      <c r="O1716" s="384"/>
      <c r="P1716" s="384"/>
      <c r="Q1716" s="383"/>
      <c r="R1716" s="383"/>
      <c r="S1716" s="385"/>
      <c r="T1716" s="380"/>
      <c r="U1716" s="380"/>
      <c r="V1716" s="380"/>
      <c r="W1716" s="380"/>
      <c r="X1716" s="380"/>
    </row>
    <row r="1717" spans="1:24" ht="15.75" customHeight="1">
      <c r="A1717" s="463"/>
      <c r="B1717" s="380"/>
      <c r="C1717" s="381"/>
      <c r="D1717" s="381"/>
      <c r="E1717" s="381"/>
      <c r="F1717" s="381"/>
      <c r="G1717" s="381"/>
      <c r="H1717" s="381"/>
      <c r="I1717" s="381"/>
      <c r="J1717" s="381"/>
      <c r="K1717" s="382"/>
      <c r="L1717" s="380"/>
      <c r="M1717" s="413"/>
      <c r="N1717" s="383"/>
      <c r="O1717" s="384"/>
      <c r="P1717" s="384"/>
      <c r="Q1717" s="383"/>
      <c r="R1717" s="383"/>
      <c r="S1717" s="385"/>
      <c r="T1717" s="380"/>
      <c r="U1717" s="380"/>
      <c r="V1717" s="380"/>
      <c r="W1717" s="380"/>
      <c r="X1717" s="380"/>
    </row>
    <row r="1718" spans="1:24" ht="15.75" customHeight="1">
      <c r="A1718" s="463"/>
      <c r="B1718" s="380"/>
      <c r="C1718" s="381"/>
      <c r="D1718" s="381"/>
      <c r="E1718" s="381"/>
      <c r="F1718" s="381"/>
      <c r="G1718" s="381"/>
      <c r="H1718" s="381"/>
      <c r="I1718" s="381"/>
      <c r="J1718" s="381"/>
      <c r="K1718" s="382"/>
      <c r="L1718" s="380"/>
      <c r="M1718" s="413"/>
      <c r="N1718" s="383"/>
      <c r="O1718" s="384"/>
      <c r="P1718" s="384"/>
      <c r="Q1718" s="383"/>
      <c r="R1718" s="383"/>
      <c r="S1718" s="385"/>
      <c r="T1718" s="380"/>
      <c r="U1718" s="380"/>
      <c r="V1718" s="380"/>
      <c r="W1718" s="380"/>
      <c r="X1718" s="380"/>
    </row>
    <row r="1719" spans="1:24" ht="15.75" customHeight="1">
      <c r="A1719" s="463"/>
      <c r="B1719" s="380"/>
      <c r="C1719" s="381"/>
      <c r="D1719" s="381"/>
      <c r="E1719" s="381"/>
      <c r="F1719" s="381"/>
      <c r="G1719" s="381"/>
      <c r="H1719" s="381"/>
      <c r="I1719" s="381"/>
      <c r="J1719" s="381"/>
      <c r="K1719" s="382"/>
      <c r="L1719" s="380"/>
      <c r="M1719" s="413"/>
      <c r="N1719" s="383"/>
      <c r="O1719" s="384"/>
      <c r="P1719" s="384"/>
      <c r="Q1719" s="383"/>
      <c r="R1719" s="383"/>
      <c r="S1719" s="385"/>
      <c r="T1719" s="380"/>
      <c r="U1719" s="380"/>
      <c r="V1719" s="380"/>
      <c r="W1719" s="380"/>
      <c r="X1719" s="380"/>
    </row>
    <row r="1720" spans="1:24" ht="15.75" customHeight="1">
      <c r="A1720" s="463"/>
      <c r="B1720" s="380"/>
      <c r="C1720" s="381"/>
      <c r="D1720" s="381"/>
      <c r="E1720" s="381"/>
      <c r="F1720" s="381"/>
      <c r="G1720" s="381"/>
      <c r="H1720" s="381"/>
      <c r="I1720" s="381"/>
      <c r="J1720" s="381"/>
      <c r="K1720" s="382"/>
      <c r="L1720" s="380"/>
      <c r="M1720" s="413"/>
      <c r="N1720" s="383"/>
      <c r="O1720" s="384"/>
      <c r="P1720" s="384"/>
      <c r="Q1720" s="383"/>
      <c r="R1720" s="383"/>
      <c r="S1720" s="385"/>
      <c r="T1720" s="380"/>
      <c r="U1720" s="380"/>
      <c r="V1720" s="380"/>
      <c r="W1720" s="380"/>
      <c r="X1720" s="380"/>
    </row>
    <row r="1721" spans="1:24" ht="15.75" customHeight="1">
      <c r="A1721" s="463"/>
      <c r="B1721" s="380"/>
      <c r="C1721" s="381"/>
      <c r="D1721" s="381"/>
      <c r="E1721" s="381"/>
      <c r="F1721" s="381"/>
      <c r="G1721" s="381"/>
      <c r="H1721" s="381"/>
      <c r="I1721" s="381"/>
      <c r="J1721" s="381"/>
      <c r="K1721" s="382"/>
      <c r="L1721" s="380"/>
      <c r="M1721" s="413"/>
      <c r="N1721" s="383"/>
      <c r="O1721" s="384"/>
      <c r="P1721" s="384"/>
      <c r="Q1721" s="383"/>
      <c r="R1721" s="383"/>
      <c r="S1721" s="385"/>
      <c r="T1721" s="380"/>
      <c r="U1721" s="380"/>
      <c r="V1721" s="380"/>
      <c r="W1721" s="380"/>
      <c r="X1721" s="380"/>
    </row>
    <row r="1722" spans="1:24" ht="15.75" customHeight="1">
      <c r="A1722" s="463"/>
      <c r="B1722" s="380"/>
      <c r="C1722" s="381"/>
      <c r="D1722" s="381"/>
      <c r="E1722" s="381"/>
      <c r="F1722" s="381"/>
      <c r="G1722" s="381"/>
      <c r="H1722" s="381"/>
      <c r="I1722" s="381"/>
      <c r="J1722" s="381"/>
      <c r="K1722" s="382"/>
      <c r="L1722" s="380"/>
      <c r="M1722" s="413"/>
      <c r="N1722" s="383"/>
      <c r="O1722" s="384"/>
      <c r="P1722" s="384"/>
      <c r="Q1722" s="383"/>
      <c r="R1722" s="383"/>
      <c r="S1722" s="385"/>
      <c r="T1722" s="380"/>
      <c r="U1722" s="380"/>
      <c r="V1722" s="380"/>
      <c r="W1722" s="380"/>
      <c r="X1722" s="380"/>
    </row>
    <row r="1723" spans="1:24" ht="15.75" customHeight="1">
      <c r="A1723" s="463"/>
      <c r="B1723" s="380"/>
      <c r="C1723" s="381"/>
      <c r="D1723" s="381"/>
      <c r="E1723" s="381"/>
      <c r="F1723" s="381"/>
      <c r="G1723" s="381"/>
      <c r="H1723" s="381"/>
      <c r="I1723" s="381"/>
      <c r="J1723" s="381"/>
      <c r="K1723" s="382"/>
      <c r="L1723" s="380"/>
      <c r="M1723" s="413"/>
      <c r="N1723" s="383"/>
      <c r="O1723" s="384"/>
      <c r="P1723" s="384"/>
      <c r="Q1723" s="383"/>
      <c r="R1723" s="383"/>
      <c r="S1723" s="385"/>
      <c r="T1723" s="380"/>
      <c r="U1723" s="380"/>
      <c r="V1723" s="380"/>
      <c r="W1723" s="380"/>
      <c r="X1723" s="380"/>
    </row>
    <row r="1724" spans="1:24" ht="15.75" customHeight="1">
      <c r="A1724" s="463"/>
      <c r="B1724" s="380"/>
      <c r="C1724" s="381"/>
      <c r="D1724" s="381"/>
      <c r="E1724" s="381"/>
      <c r="F1724" s="381"/>
      <c r="G1724" s="381"/>
      <c r="H1724" s="381"/>
      <c r="I1724" s="381"/>
      <c r="J1724" s="381"/>
      <c r="K1724" s="382"/>
      <c r="L1724" s="380"/>
      <c r="M1724" s="413"/>
      <c r="N1724" s="383"/>
      <c r="O1724" s="384"/>
      <c r="P1724" s="384"/>
      <c r="Q1724" s="383"/>
      <c r="R1724" s="383"/>
      <c r="S1724" s="385"/>
      <c r="T1724" s="380"/>
      <c r="U1724" s="380"/>
      <c r="V1724" s="380"/>
      <c r="W1724" s="380"/>
      <c r="X1724" s="380"/>
    </row>
    <row r="1725" spans="1:24" ht="15.75" customHeight="1">
      <c r="A1725" s="463"/>
      <c r="B1725" s="380"/>
      <c r="C1725" s="381"/>
      <c r="D1725" s="381"/>
      <c r="E1725" s="381"/>
      <c r="F1725" s="381"/>
      <c r="G1725" s="381"/>
      <c r="H1725" s="381"/>
      <c r="I1725" s="381"/>
      <c r="J1725" s="381"/>
      <c r="K1725" s="382"/>
      <c r="L1725" s="380"/>
      <c r="M1725" s="413"/>
      <c r="N1725" s="383"/>
      <c r="O1725" s="384"/>
      <c r="P1725" s="384"/>
      <c r="Q1725" s="383"/>
      <c r="R1725" s="383"/>
      <c r="S1725" s="385"/>
      <c r="T1725" s="380"/>
      <c r="U1725" s="380"/>
      <c r="V1725" s="380"/>
      <c r="W1725" s="380"/>
      <c r="X1725" s="380"/>
    </row>
    <row r="1726" spans="1:24" ht="15.75" customHeight="1">
      <c r="A1726" s="463"/>
      <c r="B1726" s="380"/>
      <c r="C1726" s="381"/>
      <c r="D1726" s="381"/>
      <c r="E1726" s="381"/>
      <c r="F1726" s="381"/>
      <c r="G1726" s="381"/>
      <c r="H1726" s="381"/>
      <c r="I1726" s="381"/>
      <c r="J1726" s="381"/>
      <c r="K1726" s="382"/>
      <c r="L1726" s="380"/>
      <c r="M1726" s="413"/>
      <c r="N1726" s="383"/>
      <c r="O1726" s="384"/>
      <c r="P1726" s="384"/>
      <c r="Q1726" s="383"/>
      <c r="R1726" s="383"/>
      <c r="S1726" s="385"/>
      <c r="T1726" s="380"/>
      <c r="U1726" s="380"/>
      <c r="V1726" s="380"/>
      <c r="W1726" s="380"/>
      <c r="X1726" s="380"/>
    </row>
    <row r="1727" spans="1:24" ht="15.75" customHeight="1">
      <c r="A1727" s="463"/>
      <c r="B1727" s="380"/>
      <c r="C1727" s="381"/>
      <c r="D1727" s="381"/>
      <c r="E1727" s="381"/>
      <c r="F1727" s="381"/>
      <c r="G1727" s="381"/>
      <c r="H1727" s="381"/>
      <c r="I1727" s="381"/>
      <c r="J1727" s="381"/>
      <c r="K1727" s="382"/>
      <c r="L1727" s="380"/>
      <c r="M1727" s="413"/>
      <c r="N1727" s="383"/>
      <c r="O1727" s="384"/>
      <c r="P1727" s="384"/>
      <c r="Q1727" s="383"/>
      <c r="R1727" s="383"/>
      <c r="S1727" s="385"/>
      <c r="T1727" s="380"/>
      <c r="U1727" s="380"/>
      <c r="V1727" s="380"/>
      <c r="W1727" s="380"/>
      <c r="X1727" s="380"/>
    </row>
    <row r="1728" spans="1:24" ht="15.75" customHeight="1">
      <c r="A1728" s="463"/>
      <c r="B1728" s="380"/>
      <c r="C1728" s="381"/>
      <c r="D1728" s="381"/>
      <c r="E1728" s="381"/>
      <c r="F1728" s="381"/>
      <c r="G1728" s="381"/>
      <c r="H1728" s="381"/>
      <c r="I1728" s="381"/>
      <c r="J1728" s="381"/>
      <c r="K1728" s="382"/>
      <c r="L1728" s="380"/>
      <c r="M1728" s="413"/>
      <c r="N1728" s="383"/>
      <c r="O1728" s="384"/>
      <c r="P1728" s="384"/>
      <c r="Q1728" s="383"/>
      <c r="R1728" s="383"/>
      <c r="S1728" s="385"/>
      <c r="T1728" s="380"/>
      <c r="U1728" s="380"/>
      <c r="V1728" s="380"/>
      <c r="W1728" s="380"/>
      <c r="X1728" s="380"/>
    </row>
    <row r="1729" spans="1:24" ht="15.75" customHeight="1">
      <c r="A1729" s="463"/>
      <c r="B1729" s="380"/>
      <c r="C1729" s="381"/>
      <c r="D1729" s="381"/>
      <c r="E1729" s="381"/>
      <c r="F1729" s="381"/>
      <c r="G1729" s="381"/>
      <c r="H1729" s="381"/>
      <c r="I1729" s="381"/>
      <c r="J1729" s="381"/>
      <c r="K1729" s="382"/>
      <c r="L1729" s="380"/>
      <c r="M1729" s="413"/>
      <c r="N1729" s="383"/>
      <c r="O1729" s="384"/>
      <c r="P1729" s="384"/>
      <c r="Q1729" s="383"/>
      <c r="R1729" s="383"/>
      <c r="S1729" s="385"/>
      <c r="T1729" s="380"/>
      <c r="U1729" s="380"/>
      <c r="V1729" s="380"/>
      <c r="W1729" s="380"/>
      <c r="X1729" s="380"/>
    </row>
    <row r="1730" spans="1:24" ht="15.75" customHeight="1">
      <c r="A1730" s="463"/>
      <c r="B1730" s="380"/>
      <c r="C1730" s="381"/>
      <c r="D1730" s="381"/>
      <c r="E1730" s="381"/>
      <c r="F1730" s="381"/>
      <c r="G1730" s="381"/>
      <c r="H1730" s="381"/>
      <c r="I1730" s="381"/>
      <c r="J1730" s="381"/>
      <c r="K1730" s="382"/>
      <c r="L1730" s="380"/>
      <c r="M1730" s="413"/>
      <c r="N1730" s="383"/>
      <c r="O1730" s="384"/>
      <c r="P1730" s="384"/>
      <c r="Q1730" s="383"/>
      <c r="R1730" s="383"/>
      <c r="S1730" s="385"/>
      <c r="T1730" s="380"/>
      <c r="U1730" s="380"/>
      <c r="V1730" s="380"/>
      <c r="W1730" s="380"/>
      <c r="X1730" s="380"/>
    </row>
    <row r="1731" spans="1:24" ht="15.75" customHeight="1">
      <c r="A1731" s="463"/>
      <c r="B1731" s="380"/>
      <c r="C1731" s="381"/>
      <c r="D1731" s="381"/>
      <c r="E1731" s="381"/>
      <c r="F1731" s="381"/>
      <c r="G1731" s="381"/>
      <c r="H1731" s="381"/>
      <c r="I1731" s="381"/>
      <c r="J1731" s="381"/>
      <c r="K1731" s="382"/>
      <c r="L1731" s="380"/>
      <c r="M1731" s="413"/>
      <c r="N1731" s="383"/>
      <c r="O1731" s="384"/>
      <c r="P1731" s="384"/>
      <c r="Q1731" s="383"/>
      <c r="R1731" s="383"/>
      <c r="S1731" s="385"/>
      <c r="T1731" s="380"/>
      <c r="U1731" s="380"/>
      <c r="V1731" s="380"/>
      <c r="W1731" s="380"/>
      <c r="X1731" s="380"/>
    </row>
    <row r="1732" spans="1:24" ht="15.75" customHeight="1">
      <c r="A1732" s="463"/>
      <c r="B1732" s="380"/>
      <c r="C1732" s="381"/>
      <c r="D1732" s="381"/>
      <c r="E1732" s="381"/>
      <c r="F1732" s="381"/>
      <c r="G1732" s="381"/>
      <c r="H1732" s="381"/>
      <c r="I1732" s="381"/>
      <c r="J1732" s="381"/>
      <c r="K1732" s="382"/>
      <c r="L1732" s="380"/>
      <c r="M1732" s="413"/>
      <c r="N1732" s="383"/>
      <c r="O1732" s="384"/>
      <c r="P1732" s="384"/>
      <c r="Q1732" s="383"/>
      <c r="R1732" s="383"/>
      <c r="S1732" s="385"/>
      <c r="T1732" s="380"/>
      <c r="U1732" s="380"/>
      <c r="V1732" s="380"/>
      <c r="W1732" s="380"/>
      <c r="X1732" s="380"/>
    </row>
    <row r="1733" spans="1:24" ht="15.75" customHeight="1">
      <c r="A1733" s="463"/>
      <c r="B1733" s="380"/>
      <c r="C1733" s="381"/>
      <c r="D1733" s="381"/>
      <c r="E1733" s="381"/>
      <c r="F1733" s="381"/>
      <c r="G1733" s="381"/>
      <c r="H1733" s="381"/>
      <c r="I1733" s="381"/>
      <c r="J1733" s="381"/>
      <c r="K1733" s="382"/>
      <c r="L1733" s="380"/>
      <c r="M1733" s="413"/>
      <c r="N1733" s="383"/>
      <c r="O1733" s="384"/>
      <c r="P1733" s="384"/>
      <c r="Q1733" s="383"/>
      <c r="R1733" s="383"/>
      <c r="S1733" s="385"/>
      <c r="T1733" s="380"/>
      <c r="U1733" s="380"/>
      <c r="V1733" s="380"/>
      <c r="W1733" s="380"/>
      <c r="X1733" s="380"/>
    </row>
    <row r="1734" spans="1:24" ht="15.75" customHeight="1">
      <c r="A1734" s="463"/>
      <c r="B1734" s="380"/>
      <c r="C1734" s="381"/>
      <c r="D1734" s="381"/>
      <c r="E1734" s="381"/>
      <c r="F1734" s="381"/>
      <c r="G1734" s="381"/>
      <c r="H1734" s="381"/>
      <c r="I1734" s="381"/>
      <c r="J1734" s="381"/>
      <c r="K1734" s="382"/>
      <c r="L1734" s="380"/>
      <c r="M1734" s="413"/>
      <c r="N1734" s="383"/>
      <c r="O1734" s="384"/>
      <c r="P1734" s="384"/>
      <c r="Q1734" s="383"/>
      <c r="R1734" s="383"/>
      <c r="S1734" s="385"/>
      <c r="T1734" s="380"/>
      <c r="U1734" s="380"/>
      <c r="V1734" s="380"/>
      <c r="W1734" s="380"/>
      <c r="X1734" s="380"/>
    </row>
    <row r="1735" spans="1:24" ht="15.75" customHeight="1">
      <c r="A1735" s="463"/>
      <c r="B1735" s="380"/>
      <c r="C1735" s="381"/>
      <c r="D1735" s="381"/>
      <c r="E1735" s="381"/>
      <c r="F1735" s="381"/>
      <c r="G1735" s="381"/>
      <c r="H1735" s="381"/>
      <c r="I1735" s="381"/>
      <c r="J1735" s="381"/>
      <c r="K1735" s="382"/>
      <c r="L1735" s="380"/>
      <c r="M1735" s="413"/>
      <c r="N1735" s="383"/>
      <c r="O1735" s="384"/>
      <c r="P1735" s="384"/>
      <c r="Q1735" s="383"/>
      <c r="R1735" s="383"/>
      <c r="S1735" s="385"/>
      <c r="T1735" s="380"/>
      <c r="U1735" s="380"/>
      <c r="V1735" s="380"/>
      <c r="W1735" s="380"/>
      <c r="X1735" s="380"/>
    </row>
    <row r="1736" spans="1:24" ht="15.75" customHeight="1">
      <c r="A1736" s="463"/>
      <c r="B1736" s="380"/>
      <c r="C1736" s="381"/>
      <c r="D1736" s="381"/>
      <c r="E1736" s="381"/>
      <c r="F1736" s="381"/>
      <c r="G1736" s="381"/>
      <c r="H1736" s="381"/>
      <c r="I1736" s="381"/>
      <c r="J1736" s="381"/>
      <c r="K1736" s="382"/>
      <c r="L1736" s="380"/>
      <c r="M1736" s="413"/>
      <c r="N1736" s="383"/>
      <c r="O1736" s="384"/>
      <c r="P1736" s="384"/>
      <c r="Q1736" s="383"/>
      <c r="R1736" s="383"/>
      <c r="S1736" s="385"/>
      <c r="T1736" s="380"/>
      <c r="U1736" s="380"/>
      <c r="V1736" s="380"/>
      <c r="W1736" s="380"/>
      <c r="X1736" s="380"/>
    </row>
    <row r="1737" spans="1:24" ht="15.75" customHeight="1">
      <c r="A1737" s="463"/>
      <c r="B1737" s="380"/>
      <c r="C1737" s="381"/>
      <c r="D1737" s="381"/>
      <c r="E1737" s="381"/>
      <c r="F1737" s="381"/>
      <c r="G1737" s="381"/>
      <c r="H1737" s="381"/>
      <c r="I1737" s="381"/>
      <c r="J1737" s="381"/>
      <c r="K1737" s="382"/>
      <c r="L1737" s="380"/>
      <c r="M1737" s="413"/>
      <c r="N1737" s="383"/>
      <c r="O1737" s="384"/>
      <c r="P1737" s="384"/>
      <c r="Q1737" s="383"/>
      <c r="R1737" s="383"/>
      <c r="S1737" s="385"/>
      <c r="T1737" s="380"/>
      <c r="U1737" s="380"/>
      <c r="V1737" s="380"/>
      <c r="W1737" s="380"/>
      <c r="X1737" s="380"/>
    </row>
    <row r="1738" spans="1:24" ht="15.75" customHeight="1">
      <c r="A1738" s="463"/>
      <c r="B1738" s="380"/>
      <c r="C1738" s="381"/>
      <c r="D1738" s="381"/>
      <c r="E1738" s="381"/>
      <c r="F1738" s="381"/>
      <c r="G1738" s="381"/>
      <c r="H1738" s="381"/>
      <c r="I1738" s="381"/>
      <c r="J1738" s="381"/>
      <c r="K1738" s="382"/>
      <c r="L1738" s="380"/>
      <c r="M1738" s="413"/>
      <c r="N1738" s="383"/>
      <c r="O1738" s="384"/>
      <c r="P1738" s="384"/>
      <c r="Q1738" s="383"/>
      <c r="R1738" s="383"/>
      <c r="S1738" s="385"/>
      <c r="T1738" s="380"/>
      <c r="U1738" s="380"/>
      <c r="V1738" s="380"/>
      <c r="W1738" s="380"/>
      <c r="X1738" s="380"/>
    </row>
    <row r="1739" spans="1:24" ht="15.75" customHeight="1">
      <c r="A1739" s="463"/>
      <c r="B1739" s="380"/>
      <c r="C1739" s="381"/>
      <c r="D1739" s="381"/>
      <c r="E1739" s="381"/>
      <c r="F1739" s="381"/>
      <c r="G1739" s="381"/>
      <c r="H1739" s="381"/>
      <c r="I1739" s="381"/>
      <c r="J1739" s="381"/>
      <c r="K1739" s="382"/>
      <c r="L1739" s="380"/>
      <c r="M1739" s="413"/>
      <c r="N1739" s="383"/>
      <c r="O1739" s="384"/>
      <c r="P1739" s="384"/>
      <c r="Q1739" s="383"/>
      <c r="R1739" s="383"/>
      <c r="S1739" s="385"/>
      <c r="T1739" s="380"/>
      <c r="U1739" s="380"/>
      <c r="V1739" s="380"/>
      <c r="W1739" s="380"/>
      <c r="X1739" s="380"/>
    </row>
    <row r="1740" spans="1:24" ht="15.75" customHeight="1">
      <c r="A1740" s="463"/>
      <c r="B1740" s="380"/>
      <c r="C1740" s="381"/>
      <c r="D1740" s="381"/>
      <c r="E1740" s="381"/>
      <c r="F1740" s="381"/>
      <c r="G1740" s="381"/>
      <c r="H1740" s="381"/>
      <c r="I1740" s="381"/>
      <c r="J1740" s="381"/>
      <c r="K1740" s="382"/>
      <c r="L1740" s="380"/>
      <c r="M1740" s="413"/>
      <c r="N1740" s="383"/>
      <c r="O1740" s="384"/>
      <c r="P1740" s="384"/>
      <c r="Q1740" s="383"/>
      <c r="R1740" s="383"/>
      <c r="S1740" s="385"/>
      <c r="T1740" s="380"/>
      <c r="U1740" s="380"/>
      <c r="V1740" s="380"/>
      <c r="W1740" s="380"/>
      <c r="X1740" s="380"/>
    </row>
    <row r="1741" spans="1:24" ht="15.75" customHeight="1">
      <c r="A1741" s="463"/>
      <c r="B1741" s="380"/>
      <c r="C1741" s="381"/>
      <c r="D1741" s="381"/>
      <c r="E1741" s="381"/>
      <c r="F1741" s="381"/>
      <c r="G1741" s="381"/>
      <c r="H1741" s="381"/>
      <c r="I1741" s="381"/>
      <c r="J1741" s="381"/>
      <c r="K1741" s="382"/>
      <c r="L1741" s="380"/>
      <c r="M1741" s="413"/>
      <c r="N1741" s="383"/>
      <c r="O1741" s="384"/>
      <c r="P1741" s="384"/>
      <c r="Q1741" s="383"/>
      <c r="R1741" s="383"/>
      <c r="S1741" s="385"/>
      <c r="T1741" s="380"/>
      <c r="U1741" s="380"/>
      <c r="V1741" s="380"/>
      <c r="W1741" s="380"/>
      <c r="X1741" s="380"/>
    </row>
    <row r="1742" spans="1:24" ht="15.75" customHeight="1">
      <c r="A1742" s="463"/>
      <c r="B1742" s="380"/>
      <c r="C1742" s="381"/>
      <c r="D1742" s="381"/>
      <c r="E1742" s="381"/>
      <c r="F1742" s="381"/>
      <c r="G1742" s="381"/>
      <c r="H1742" s="381"/>
      <c r="I1742" s="381"/>
      <c r="J1742" s="381"/>
      <c r="K1742" s="382"/>
      <c r="L1742" s="380"/>
      <c r="M1742" s="413"/>
      <c r="N1742" s="383"/>
      <c r="O1742" s="384"/>
      <c r="P1742" s="384"/>
      <c r="Q1742" s="383"/>
      <c r="R1742" s="383"/>
      <c r="S1742" s="385"/>
      <c r="T1742" s="380"/>
      <c r="U1742" s="380"/>
      <c r="V1742" s="380"/>
      <c r="W1742" s="380"/>
      <c r="X1742" s="380"/>
    </row>
    <row r="1743" spans="1:24" ht="15.75" customHeight="1">
      <c r="A1743" s="463"/>
      <c r="B1743" s="380"/>
      <c r="C1743" s="381"/>
      <c r="D1743" s="381"/>
      <c r="E1743" s="381"/>
      <c r="F1743" s="381"/>
      <c r="G1743" s="381"/>
      <c r="H1743" s="381"/>
      <c r="I1743" s="381"/>
      <c r="J1743" s="381"/>
      <c r="K1743" s="382"/>
      <c r="L1743" s="380"/>
      <c r="M1743" s="413"/>
      <c r="N1743" s="383"/>
      <c r="O1743" s="384"/>
      <c r="P1743" s="384"/>
      <c r="Q1743" s="383"/>
      <c r="R1743" s="383"/>
      <c r="S1743" s="385"/>
      <c r="T1743" s="380"/>
      <c r="U1743" s="380"/>
      <c r="V1743" s="380"/>
      <c r="W1743" s="380"/>
      <c r="X1743" s="380"/>
    </row>
    <row r="1744" spans="1:24" ht="15.75" customHeight="1">
      <c r="A1744" s="463"/>
      <c r="B1744" s="380"/>
      <c r="C1744" s="381"/>
      <c r="D1744" s="381"/>
      <c r="E1744" s="381"/>
      <c r="F1744" s="381"/>
      <c r="G1744" s="381"/>
      <c r="H1744" s="381"/>
      <c r="I1744" s="381"/>
      <c r="J1744" s="381"/>
      <c r="K1744" s="382"/>
      <c r="L1744" s="380"/>
      <c r="M1744" s="413"/>
      <c r="N1744" s="383"/>
      <c r="O1744" s="384"/>
      <c r="P1744" s="384"/>
      <c r="Q1744" s="383"/>
      <c r="R1744" s="383"/>
      <c r="S1744" s="385"/>
      <c r="T1744" s="380"/>
      <c r="U1744" s="380"/>
      <c r="V1744" s="380"/>
      <c r="W1744" s="380"/>
      <c r="X1744" s="380"/>
    </row>
    <row r="1745" spans="1:24" ht="15.75" customHeight="1">
      <c r="A1745" s="463"/>
      <c r="B1745" s="380"/>
      <c r="C1745" s="381"/>
      <c r="D1745" s="381"/>
      <c r="E1745" s="381"/>
      <c r="F1745" s="381"/>
      <c r="G1745" s="381"/>
      <c r="H1745" s="381"/>
      <c r="I1745" s="381"/>
      <c r="J1745" s="381"/>
      <c r="K1745" s="382"/>
      <c r="L1745" s="380"/>
      <c r="M1745" s="413"/>
      <c r="N1745" s="383"/>
      <c r="O1745" s="384"/>
      <c r="P1745" s="384"/>
      <c r="Q1745" s="383"/>
      <c r="R1745" s="383"/>
      <c r="S1745" s="385"/>
      <c r="T1745" s="380"/>
      <c r="U1745" s="380"/>
      <c r="V1745" s="380"/>
      <c r="W1745" s="380"/>
      <c r="X1745" s="380"/>
    </row>
    <row r="1746" spans="1:24" ht="15.75" customHeight="1">
      <c r="A1746" s="463"/>
      <c r="B1746" s="380"/>
      <c r="C1746" s="381"/>
      <c r="D1746" s="381"/>
      <c r="E1746" s="381"/>
      <c r="F1746" s="381"/>
      <c r="G1746" s="381"/>
      <c r="H1746" s="381"/>
      <c r="I1746" s="381"/>
      <c r="J1746" s="381"/>
      <c r="K1746" s="382"/>
      <c r="L1746" s="380"/>
      <c r="M1746" s="413"/>
      <c r="N1746" s="383"/>
      <c r="O1746" s="384"/>
      <c r="P1746" s="384"/>
      <c r="Q1746" s="383"/>
      <c r="R1746" s="383"/>
      <c r="S1746" s="385"/>
      <c r="T1746" s="380"/>
      <c r="U1746" s="380"/>
      <c r="V1746" s="380"/>
      <c r="W1746" s="380"/>
      <c r="X1746" s="380"/>
    </row>
    <row r="1747" spans="1:24" ht="15.75" customHeight="1">
      <c r="A1747" s="463"/>
      <c r="B1747" s="380"/>
      <c r="C1747" s="381"/>
      <c r="D1747" s="381"/>
      <c r="E1747" s="381"/>
      <c r="F1747" s="381"/>
      <c r="G1747" s="381"/>
      <c r="H1747" s="381"/>
      <c r="I1747" s="381"/>
      <c r="J1747" s="381"/>
      <c r="K1747" s="382"/>
      <c r="L1747" s="380"/>
      <c r="M1747" s="413"/>
      <c r="N1747" s="383"/>
      <c r="O1747" s="384"/>
      <c r="P1747" s="384"/>
      <c r="Q1747" s="383"/>
      <c r="R1747" s="383"/>
      <c r="S1747" s="385"/>
      <c r="T1747" s="380"/>
      <c r="U1747" s="380"/>
      <c r="V1747" s="380"/>
      <c r="W1747" s="380"/>
      <c r="X1747" s="380"/>
    </row>
    <row r="1748" spans="1:24" ht="15.75" customHeight="1">
      <c r="A1748" s="463"/>
      <c r="B1748" s="380"/>
      <c r="C1748" s="381"/>
      <c r="D1748" s="381"/>
      <c r="E1748" s="381"/>
      <c r="F1748" s="381"/>
      <c r="G1748" s="381"/>
      <c r="H1748" s="381"/>
      <c r="I1748" s="381"/>
      <c r="J1748" s="381"/>
      <c r="K1748" s="382"/>
      <c r="L1748" s="380"/>
      <c r="M1748" s="413"/>
      <c r="N1748" s="383"/>
      <c r="O1748" s="384"/>
      <c r="P1748" s="384"/>
      <c r="Q1748" s="383"/>
      <c r="R1748" s="383"/>
      <c r="S1748" s="385"/>
      <c r="T1748" s="380"/>
      <c r="U1748" s="380"/>
      <c r="V1748" s="380"/>
      <c r="W1748" s="380"/>
      <c r="X1748" s="380"/>
    </row>
    <row r="1749" spans="1:24" ht="15.75" customHeight="1">
      <c r="A1749" s="463"/>
      <c r="B1749" s="380"/>
      <c r="C1749" s="381"/>
      <c r="D1749" s="381"/>
      <c r="E1749" s="381"/>
      <c r="F1749" s="381"/>
      <c r="G1749" s="381"/>
      <c r="H1749" s="381"/>
      <c r="I1749" s="381"/>
      <c r="J1749" s="381"/>
      <c r="K1749" s="382"/>
      <c r="L1749" s="380"/>
      <c r="M1749" s="413"/>
      <c r="N1749" s="383"/>
      <c r="O1749" s="384"/>
      <c r="P1749" s="384"/>
      <c r="Q1749" s="383"/>
      <c r="R1749" s="383"/>
      <c r="S1749" s="385"/>
      <c r="T1749" s="380"/>
      <c r="U1749" s="380"/>
      <c r="V1749" s="380"/>
      <c r="W1749" s="380"/>
      <c r="X1749" s="380"/>
    </row>
    <row r="1750" spans="1:24" ht="15.75" customHeight="1">
      <c r="A1750" s="463"/>
      <c r="B1750" s="380"/>
      <c r="C1750" s="381"/>
      <c r="D1750" s="381"/>
      <c r="E1750" s="381"/>
      <c r="F1750" s="381"/>
      <c r="G1750" s="381"/>
      <c r="H1750" s="381"/>
      <c r="I1750" s="381"/>
      <c r="J1750" s="381"/>
      <c r="K1750" s="382"/>
      <c r="L1750" s="380"/>
      <c r="M1750" s="413"/>
      <c r="N1750" s="383"/>
      <c r="O1750" s="384"/>
      <c r="P1750" s="384"/>
      <c r="Q1750" s="383"/>
      <c r="R1750" s="383"/>
      <c r="S1750" s="385"/>
      <c r="T1750" s="380"/>
      <c r="U1750" s="380"/>
      <c r="V1750" s="380"/>
      <c r="W1750" s="380"/>
      <c r="X1750" s="380"/>
    </row>
    <row r="1751" spans="1:24" ht="15.75" customHeight="1">
      <c r="A1751" s="463"/>
      <c r="B1751" s="380"/>
      <c r="C1751" s="381"/>
      <c r="D1751" s="381"/>
      <c r="E1751" s="381"/>
      <c r="F1751" s="381"/>
      <c r="G1751" s="381"/>
      <c r="H1751" s="381"/>
      <c r="I1751" s="381"/>
      <c r="J1751" s="381"/>
      <c r="K1751" s="382"/>
      <c r="L1751" s="380"/>
      <c r="M1751" s="413"/>
      <c r="N1751" s="383"/>
      <c r="O1751" s="384"/>
      <c r="P1751" s="384"/>
      <c r="Q1751" s="383"/>
      <c r="R1751" s="383"/>
      <c r="S1751" s="385"/>
      <c r="T1751" s="380"/>
      <c r="U1751" s="380"/>
      <c r="V1751" s="380"/>
      <c r="W1751" s="380"/>
      <c r="X1751" s="380"/>
    </row>
    <row r="1752" spans="1:24" ht="15.75" customHeight="1">
      <c r="A1752" s="463"/>
      <c r="B1752" s="380"/>
      <c r="C1752" s="381"/>
      <c r="D1752" s="381"/>
      <c r="E1752" s="381"/>
      <c r="F1752" s="381"/>
      <c r="G1752" s="381"/>
      <c r="H1752" s="381"/>
      <c r="I1752" s="381"/>
      <c r="J1752" s="381"/>
      <c r="K1752" s="382"/>
      <c r="L1752" s="380"/>
      <c r="M1752" s="413"/>
      <c r="N1752" s="383"/>
      <c r="O1752" s="384"/>
      <c r="P1752" s="384"/>
      <c r="Q1752" s="383"/>
      <c r="R1752" s="383"/>
      <c r="S1752" s="385"/>
      <c r="T1752" s="380"/>
      <c r="U1752" s="380"/>
      <c r="V1752" s="380"/>
      <c r="W1752" s="380"/>
      <c r="X1752" s="380"/>
    </row>
    <row r="1753" spans="1:24" ht="15.75" customHeight="1">
      <c r="A1753" s="463"/>
      <c r="B1753" s="380"/>
      <c r="C1753" s="381"/>
      <c r="D1753" s="381"/>
      <c r="E1753" s="381"/>
      <c r="F1753" s="381"/>
      <c r="G1753" s="381"/>
      <c r="H1753" s="381"/>
      <c r="I1753" s="381"/>
      <c r="J1753" s="381"/>
      <c r="K1753" s="382"/>
      <c r="L1753" s="380"/>
      <c r="M1753" s="413"/>
      <c r="N1753" s="383"/>
      <c r="O1753" s="384"/>
      <c r="P1753" s="384"/>
      <c r="Q1753" s="383"/>
      <c r="R1753" s="383"/>
      <c r="S1753" s="385"/>
      <c r="T1753" s="380"/>
      <c r="U1753" s="380"/>
      <c r="V1753" s="380"/>
      <c r="W1753" s="380"/>
      <c r="X1753" s="380"/>
    </row>
    <row r="1754" spans="1:24" ht="15.75" customHeight="1">
      <c r="A1754" s="463"/>
      <c r="B1754" s="380"/>
      <c r="C1754" s="381"/>
      <c r="D1754" s="381"/>
      <c r="E1754" s="381"/>
      <c r="F1754" s="381"/>
      <c r="G1754" s="381"/>
      <c r="H1754" s="381"/>
      <c r="I1754" s="381"/>
      <c r="J1754" s="381"/>
      <c r="K1754" s="382"/>
      <c r="L1754" s="380"/>
      <c r="M1754" s="413"/>
      <c r="N1754" s="383"/>
      <c r="O1754" s="384"/>
      <c r="P1754" s="384"/>
      <c r="Q1754" s="383"/>
      <c r="R1754" s="383"/>
      <c r="S1754" s="385"/>
      <c r="T1754" s="380"/>
      <c r="U1754" s="380"/>
      <c r="V1754" s="380"/>
      <c r="W1754" s="380"/>
      <c r="X1754" s="380"/>
    </row>
    <row r="1755" spans="1:24" ht="15.75" customHeight="1">
      <c r="A1755" s="463"/>
      <c r="B1755" s="380"/>
      <c r="C1755" s="381"/>
      <c r="D1755" s="381"/>
      <c r="E1755" s="381"/>
      <c r="F1755" s="381"/>
      <c r="G1755" s="381"/>
      <c r="H1755" s="381"/>
      <c r="I1755" s="381"/>
      <c r="J1755" s="381"/>
      <c r="K1755" s="382"/>
      <c r="L1755" s="380"/>
      <c r="M1755" s="413"/>
      <c r="N1755" s="383"/>
      <c r="O1755" s="384"/>
      <c r="P1755" s="384"/>
      <c r="Q1755" s="383"/>
      <c r="R1755" s="383"/>
      <c r="S1755" s="385"/>
      <c r="T1755" s="380"/>
      <c r="U1755" s="380"/>
      <c r="V1755" s="380"/>
      <c r="W1755" s="380"/>
      <c r="X1755" s="380"/>
    </row>
    <row r="1756" spans="1:24" ht="15.75" customHeight="1">
      <c r="A1756" s="463"/>
      <c r="B1756" s="380"/>
      <c r="C1756" s="381"/>
      <c r="D1756" s="381"/>
      <c r="E1756" s="381"/>
      <c r="F1756" s="381"/>
      <c r="G1756" s="381"/>
      <c r="H1756" s="381"/>
      <c r="I1756" s="381"/>
      <c r="J1756" s="381"/>
      <c r="K1756" s="382"/>
      <c r="L1756" s="380"/>
      <c r="M1756" s="413"/>
      <c r="N1756" s="383"/>
      <c r="O1756" s="384"/>
      <c r="P1756" s="384"/>
      <c r="Q1756" s="383"/>
      <c r="R1756" s="383"/>
      <c r="S1756" s="385"/>
      <c r="T1756" s="380"/>
      <c r="U1756" s="380"/>
      <c r="V1756" s="380"/>
      <c r="W1756" s="380"/>
      <c r="X1756" s="380"/>
    </row>
    <row r="1757" spans="1:24" ht="15.75" customHeight="1">
      <c r="A1757" s="463"/>
      <c r="B1757" s="380"/>
      <c r="C1757" s="381"/>
      <c r="D1757" s="381"/>
      <c r="E1757" s="381"/>
      <c r="F1757" s="381"/>
      <c r="G1757" s="381"/>
      <c r="H1757" s="381"/>
      <c r="I1757" s="381"/>
      <c r="J1757" s="381"/>
      <c r="K1757" s="382"/>
      <c r="L1757" s="380"/>
      <c r="M1757" s="413"/>
      <c r="N1757" s="383"/>
      <c r="O1757" s="384"/>
      <c r="P1757" s="384"/>
      <c r="Q1757" s="383"/>
      <c r="R1757" s="383"/>
      <c r="S1757" s="385"/>
      <c r="T1757" s="380"/>
      <c r="U1757" s="380"/>
      <c r="V1757" s="380"/>
      <c r="W1757" s="380"/>
      <c r="X1757" s="380"/>
    </row>
    <row r="1758" spans="1:24" ht="15.75" customHeight="1">
      <c r="A1758" s="463"/>
      <c r="B1758" s="380"/>
      <c r="C1758" s="381"/>
      <c r="D1758" s="381"/>
      <c r="E1758" s="381"/>
      <c r="F1758" s="381"/>
      <c r="G1758" s="381"/>
      <c r="H1758" s="381"/>
      <c r="I1758" s="381"/>
      <c r="J1758" s="381"/>
      <c r="K1758" s="382"/>
      <c r="L1758" s="380"/>
      <c r="M1758" s="413"/>
      <c r="N1758" s="383"/>
      <c r="O1758" s="384"/>
      <c r="P1758" s="384"/>
      <c r="Q1758" s="383"/>
      <c r="R1758" s="383"/>
      <c r="S1758" s="385"/>
      <c r="T1758" s="380"/>
      <c r="U1758" s="380"/>
      <c r="V1758" s="380"/>
      <c r="W1758" s="380"/>
      <c r="X1758" s="380"/>
    </row>
    <row r="1759" spans="1:24" ht="15.75" customHeight="1">
      <c r="A1759" s="463"/>
      <c r="B1759" s="380"/>
      <c r="C1759" s="381"/>
      <c r="D1759" s="381"/>
      <c r="E1759" s="381"/>
      <c r="F1759" s="381"/>
      <c r="G1759" s="381"/>
      <c r="H1759" s="381"/>
      <c r="I1759" s="381"/>
      <c r="J1759" s="381"/>
      <c r="K1759" s="382"/>
      <c r="L1759" s="380"/>
      <c r="M1759" s="413"/>
      <c r="N1759" s="383"/>
      <c r="O1759" s="384"/>
      <c r="P1759" s="384"/>
      <c r="Q1759" s="383"/>
      <c r="R1759" s="383"/>
      <c r="S1759" s="385"/>
      <c r="T1759" s="380"/>
      <c r="U1759" s="380"/>
      <c r="V1759" s="380"/>
      <c r="W1759" s="380"/>
      <c r="X1759" s="380"/>
    </row>
    <row r="1760" spans="1:24" ht="15.75" customHeight="1">
      <c r="A1760" s="463"/>
      <c r="B1760" s="380"/>
      <c r="C1760" s="381"/>
      <c r="D1760" s="381"/>
      <c r="E1760" s="381"/>
      <c r="F1760" s="381"/>
      <c r="G1760" s="381"/>
      <c r="H1760" s="381"/>
      <c r="I1760" s="381"/>
      <c r="J1760" s="381"/>
      <c r="K1760" s="382"/>
      <c r="L1760" s="380"/>
      <c r="M1760" s="413"/>
      <c r="N1760" s="383"/>
      <c r="O1760" s="384"/>
      <c r="P1760" s="384"/>
      <c r="Q1760" s="383"/>
      <c r="R1760" s="383"/>
      <c r="S1760" s="385"/>
      <c r="T1760" s="380"/>
      <c r="U1760" s="380"/>
      <c r="V1760" s="380"/>
      <c r="W1760" s="380"/>
      <c r="X1760" s="380"/>
    </row>
    <row r="1761" spans="1:24" ht="15.75" customHeight="1">
      <c r="A1761" s="463"/>
      <c r="B1761" s="380"/>
      <c r="C1761" s="381"/>
      <c r="D1761" s="381"/>
      <c r="E1761" s="381"/>
      <c r="F1761" s="381"/>
      <c r="G1761" s="381"/>
      <c r="H1761" s="381"/>
      <c r="I1761" s="381"/>
      <c r="J1761" s="381"/>
      <c r="K1761" s="382"/>
      <c r="L1761" s="380"/>
      <c r="M1761" s="413"/>
      <c r="N1761" s="383"/>
      <c r="O1761" s="384"/>
      <c r="P1761" s="384"/>
      <c r="Q1761" s="383"/>
      <c r="R1761" s="383"/>
      <c r="S1761" s="385"/>
      <c r="T1761" s="380"/>
      <c r="U1761" s="380"/>
      <c r="V1761" s="380"/>
      <c r="W1761" s="380"/>
      <c r="X1761" s="380"/>
    </row>
    <row r="1762" spans="1:24" ht="15.75" customHeight="1">
      <c r="A1762" s="463"/>
      <c r="B1762" s="380"/>
      <c r="C1762" s="381"/>
      <c r="D1762" s="381"/>
      <c r="E1762" s="381"/>
      <c r="F1762" s="381"/>
      <c r="G1762" s="381"/>
      <c r="H1762" s="381"/>
      <c r="I1762" s="381"/>
      <c r="J1762" s="381"/>
      <c r="K1762" s="382"/>
      <c r="L1762" s="380"/>
      <c r="M1762" s="413"/>
      <c r="N1762" s="383"/>
      <c r="O1762" s="384"/>
      <c r="P1762" s="384"/>
      <c r="Q1762" s="383"/>
      <c r="R1762" s="383"/>
      <c r="S1762" s="385"/>
      <c r="T1762" s="380"/>
      <c r="U1762" s="380"/>
      <c r="V1762" s="380"/>
      <c r="W1762" s="380"/>
      <c r="X1762" s="380"/>
    </row>
    <row r="1763" spans="1:24" ht="15.75" customHeight="1">
      <c r="A1763" s="463"/>
      <c r="B1763" s="380"/>
      <c r="C1763" s="381"/>
      <c r="D1763" s="381"/>
      <c r="E1763" s="381"/>
      <c r="F1763" s="381"/>
      <c r="G1763" s="381"/>
      <c r="H1763" s="381"/>
      <c r="I1763" s="381"/>
      <c r="J1763" s="381"/>
      <c r="K1763" s="382"/>
      <c r="L1763" s="380"/>
      <c r="M1763" s="413"/>
      <c r="N1763" s="383"/>
      <c r="O1763" s="384"/>
      <c r="P1763" s="384"/>
      <c r="Q1763" s="383"/>
      <c r="R1763" s="383"/>
      <c r="S1763" s="385"/>
      <c r="T1763" s="380"/>
      <c r="U1763" s="380"/>
      <c r="V1763" s="380"/>
      <c r="W1763" s="380"/>
      <c r="X1763" s="380"/>
    </row>
    <row r="1764" spans="1:24" ht="15.75" customHeight="1">
      <c r="A1764" s="463"/>
      <c r="B1764" s="380"/>
      <c r="C1764" s="381"/>
      <c r="D1764" s="381"/>
      <c r="E1764" s="381"/>
      <c r="F1764" s="381"/>
      <c r="G1764" s="381"/>
      <c r="H1764" s="381"/>
      <c r="I1764" s="381"/>
      <c r="J1764" s="381"/>
      <c r="K1764" s="382"/>
      <c r="L1764" s="380"/>
      <c r="M1764" s="413"/>
      <c r="N1764" s="383"/>
      <c r="O1764" s="384"/>
      <c r="P1764" s="384"/>
      <c r="Q1764" s="383"/>
      <c r="R1764" s="383"/>
      <c r="S1764" s="385"/>
      <c r="T1764" s="380"/>
      <c r="U1764" s="380"/>
      <c r="V1764" s="380"/>
      <c r="W1764" s="380"/>
      <c r="X1764" s="380"/>
    </row>
    <row r="1765" spans="1:24" ht="15.75" customHeight="1">
      <c r="A1765" s="463"/>
      <c r="B1765" s="380"/>
      <c r="C1765" s="381"/>
      <c r="D1765" s="381"/>
      <c r="E1765" s="381"/>
      <c r="F1765" s="381"/>
      <c r="G1765" s="381"/>
      <c r="H1765" s="381"/>
      <c r="I1765" s="381"/>
      <c r="J1765" s="381"/>
      <c r="K1765" s="382"/>
      <c r="L1765" s="380"/>
      <c r="M1765" s="413"/>
      <c r="N1765" s="383"/>
      <c r="O1765" s="384"/>
      <c r="P1765" s="384"/>
      <c r="Q1765" s="383"/>
      <c r="R1765" s="383"/>
      <c r="S1765" s="385"/>
      <c r="T1765" s="380"/>
      <c r="U1765" s="380"/>
      <c r="V1765" s="380"/>
      <c r="W1765" s="380"/>
      <c r="X1765" s="380"/>
    </row>
    <row r="1766" spans="1:24" ht="15.75" customHeight="1">
      <c r="A1766" s="463"/>
      <c r="B1766" s="380"/>
      <c r="C1766" s="381"/>
      <c r="D1766" s="381"/>
      <c r="E1766" s="381"/>
      <c r="F1766" s="381"/>
      <c r="G1766" s="381"/>
      <c r="H1766" s="381"/>
      <c r="I1766" s="381"/>
      <c r="J1766" s="381"/>
      <c r="K1766" s="382"/>
      <c r="L1766" s="380"/>
      <c r="M1766" s="413"/>
      <c r="N1766" s="383"/>
      <c r="O1766" s="384"/>
      <c r="P1766" s="384"/>
      <c r="Q1766" s="383"/>
      <c r="R1766" s="383"/>
      <c r="S1766" s="385"/>
      <c r="T1766" s="380"/>
      <c r="U1766" s="380"/>
      <c r="V1766" s="380"/>
      <c r="W1766" s="380"/>
      <c r="X1766" s="380"/>
    </row>
    <row r="1767" spans="1:24" ht="15.75" customHeight="1">
      <c r="A1767" s="463"/>
      <c r="B1767" s="380"/>
      <c r="C1767" s="381"/>
      <c r="D1767" s="381"/>
      <c r="E1767" s="381"/>
      <c r="F1767" s="381"/>
      <c r="G1767" s="381"/>
      <c r="H1767" s="381"/>
      <c r="I1767" s="381"/>
      <c r="J1767" s="381"/>
      <c r="K1767" s="382"/>
      <c r="L1767" s="380"/>
      <c r="M1767" s="413"/>
      <c r="N1767" s="383"/>
      <c r="O1767" s="384"/>
      <c r="P1767" s="384"/>
      <c r="Q1767" s="383"/>
      <c r="R1767" s="383"/>
      <c r="S1767" s="385"/>
      <c r="T1767" s="380"/>
      <c r="U1767" s="380"/>
      <c r="V1767" s="380"/>
      <c r="W1767" s="380"/>
      <c r="X1767" s="380"/>
    </row>
    <row r="1768" spans="1:24" ht="15.75" customHeight="1">
      <c r="A1768" s="463"/>
      <c r="B1768" s="380"/>
      <c r="C1768" s="381"/>
      <c r="D1768" s="381"/>
      <c r="E1768" s="381"/>
      <c r="F1768" s="381"/>
      <c r="G1768" s="381"/>
      <c r="H1768" s="381"/>
      <c r="I1768" s="381"/>
      <c r="J1768" s="381"/>
      <c r="K1768" s="382"/>
      <c r="L1768" s="380"/>
      <c r="M1768" s="413"/>
      <c r="N1768" s="383"/>
      <c r="O1768" s="384"/>
      <c r="P1768" s="384"/>
      <c r="Q1768" s="383"/>
      <c r="R1768" s="383"/>
      <c r="S1768" s="385"/>
      <c r="T1768" s="380"/>
      <c r="U1768" s="380"/>
      <c r="V1768" s="380"/>
      <c r="W1768" s="380"/>
      <c r="X1768" s="380"/>
    </row>
    <row r="1769" spans="1:24" ht="15.75" customHeight="1">
      <c r="A1769" s="463"/>
      <c r="B1769" s="380"/>
      <c r="C1769" s="381"/>
      <c r="D1769" s="381"/>
      <c r="E1769" s="381"/>
      <c r="F1769" s="381"/>
      <c r="G1769" s="381"/>
      <c r="H1769" s="381"/>
      <c r="I1769" s="381"/>
      <c r="J1769" s="381"/>
      <c r="K1769" s="382"/>
      <c r="L1769" s="380"/>
      <c r="M1769" s="413"/>
      <c r="N1769" s="383"/>
      <c r="O1769" s="384"/>
      <c r="P1769" s="384"/>
      <c r="Q1769" s="383"/>
      <c r="R1769" s="383"/>
      <c r="S1769" s="385"/>
      <c r="T1769" s="380"/>
      <c r="U1769" s="380"/>
      <c r="V1769" s="380"/>
      <c r="W1769" s="380"/>
      <c r="X1769" s="380"/>
    </row>
    <row r="1770" spans="1:24" ht="15.75" customHeight="1">
      <c r="A1770" s="463"/>
      <c r="B1770" s="380"/>
      <c r="C1770" s="381"/>
      <c r="D1770" s="381"/>
      <c r="E1770" s="381"/>
      <c r="F1770" s="381"/>
      <c r="G1770" s="381"/>
      <c r="H1770" s="381"/>
      <c r="I1770" s="381"/>
      <c r="J1770" s="381"/>
      <c r="K1770" s="382"/>
      <c r="L1770" s="380"/>
      <c r="M1770" s="413"/>
      <c r="N1770" s="383"/>
      <c r="O1770" s="384"/>
      <c r="P1770" s="384"/>
      <c r="Q1770" s="383"/>
      <c r="R1770" s="383"/>
      <c r="S1770" s="385"/>
      <c r="T1770" s="380"/>
      <c r="U1770" s="380"/>
      <c r="V1770" s="380"/>
      <c r="W1770" s="380"/>
      <c r="X1770" s="380"/>
    </row>
    <row r="1771" spans="1:24" ht="15.75" customHeight="1">
      <c r="A1771" s="463"/>
      <c r="B1771" s="380"/>
      <c r="C1771" s="381"/>
      <c r="D1771" s="381"/>
      <c r="E1771" s="381"/>
      <c r="F1771" s="381"/>
      <c r="G1771" s="381"/>
      <c r="H1771" s="381"/>
      <c r="I1771" s="381"/>
      <c r="J1771" s="381"/>
      <c r="K1771" s="382"/>
      <c r="L1771" s="380"/>
      <c r="M1771" s="413"/>
      <c r="N1771" s="383"/>
      <c r="O1771" s="384"/>
      <c r="P1771" s="384"/>
      <c r="Q1771" s="383"/>
      <c r="R1771" s="383"/>
      <c r="S1771" s="385"/>
      <c r="T1771" s="380"/>
      <c r="U1771" s="380"/>
      <c r="V1771" s="380"/>
      <c r="W1771" s="380"/>
      <c r="X1771" s="380"/>
    </row>
    <row r="1772" spans="1:24" ht="15.75" customHeight="1">
      <c r="A1772" s="463"/>
      <c r="B1772" s="380"/>
      <c r="C1772" s="381"/>
      <c r="D1772" s="381"/>
      <c r="E1772" s="381"/>
      <c r="F1772" s="381"/>
      <c r="G1772" s="381"/>
      <c r="H1772" s="381"/>
      <c r="I1772" s="381"/>
      <c r="J1772" s="381"/>
      <c r="K1772" s="382"/>
      <c r="L1772" s="380"/>
      <c r="M1772" s="413"/>
      <c r="N1772" s="383"/>
      <c r="O1772" s="384"/>
      <c r="P1772" s="384"/>
      <c r="Q1772" s="383"/>
      <c r="R1772" s="383"/>
      <c r="S1772" s="385"/>
      <c r="T1772" s="380"/>
      <c r="U1772" s="380"/>
      <c r="V1772" s="380"/>
      <c r="W1772" s="380"/>
      <c r="X1772" s="380"/>
    </row>
    <row r="1773" spans="1:24" ht="15.75" customHeight="1">
      <c r="A1773" s="463"/>
      <c r="B1773" s="380"/>
      <c r="C1773" s="381"/>
      <c r="D1773" s="381"/>
      <c r="E1773" s="381"/>
      <c r="F1773" s="381"/>
      <c r="G1773" s="381"/>
      <c r="H1773" s="381"/>
      <c r="I1773" s="381"/>
      <c r="J1773" s="381"/>
      <c r="K1773" s="382"/>
      <c r="L1773" s="380"/>
      <c r="M1773" s="413"/>
      <c r="N1773" s="383"/>
      <c r="O1773" s="384"/>
      <c r="P1773" s="384"/>
      <c r="Q1773" s="383"/>
      <c r="R1773" s="383"/>
      <c r="S1773" s="385"/>
      <c r="T1773" s="380"/>
      <c r="U1773" s="380"/>
      <c r="V1773" s="380"/>
      <c r="W1773" s="380"/>
      <c r="X1773" s="380"/>
    </row>
    <row r="1774" spans="1:24" ht="15.75" customHeight="1">
      <c r="A1774" s="463"/>
      <c r="B1774" s="380"/>
      <c r="C1774" s="381"/>
      <c r="D1774" s="381"/>
      <c r="E1774" s="381"/>
      <c r="F1774" s="381"/>
      <c r="G1774" s="381"/>
      <c r="H1774" s="381"/>
      <c r="I1774" s="381"/>
      <c r="J1774" s="381"/>
      <c r="K1774" s="382"/>
      <c r="L1774" s="380"/>
      <c r="M1774" s="413"/>
      <c r="N1774" s="383"/>
      <c r="O1774" s="384"/>
      <c r="P1774" s="384"/>
      <c r="Q1774" s="383"/>
      <c r="R1774" s="383"/>
      <c r="S1774" s="385"/>
      <c r="T1774" s="380"/>
      <c r="U1774" s="380"/>
      <c r="V1774" s="380"/>
      <c r="W1774" s="380"/>
      <c r="X1774" s="380"/>
    </row>
    <row r="1775" spans="1:24" ht="15.75" customHeight="1">
      <c r="A1775" s="463"/>
      <c r="B1775" s="380"/>
      <c r="C1775" s="381"/>
      <c r="D1775" s="381"/>
      <c r="E1775" s="381"/>
      <c r="F1775" s="381"/>
      <c r="G1775" s="381"/>
      <c r="H1775" s="381"/>
      <c r="I1775" s="381"/>
      <c r="J1775" s="381"/>
      <c r="K1775" s="382"/>
      <c r="L1775" s="380"/>
      <c r="M1775" s="413"/>
      <c r="N1775" s="383"/>
      <c r="O1775" s="384"/>
      <c r="P1775" s="384"/>
      <c r="Q1775" s="383"/>
      <c r="R1775" s="383"/>
      <c r="S1775" s="385"/>
      <c r="T1775" s="380"/>
      <c r="U1775" s="380"/>
      <c r="V1775" s="380"/>
      <c r="W1775" s="380"/>
      <c r="X1775" s="380"/>
    </row>
    <row r="1776" spans="1:24" ht="15.75" customHeight="1">
      <c r="A1776" s="463"/>
      <c r="B1776" s="380"/>
      <c r="C1776" s="381"/>
      <c r="D1776" s="381"/>
      <c r="E1776" s="381"/>
      <c r="F1776" s="381"/>
      <c r="G1776" s="381"/>
      <c r="H1776" s="381"/>
      <c r="I1776" s="381"/>
      <c r="J1776" s="381"/>
      <c r="K1776" s="382"/>
      <c r="L1776" s="380"/>
      <c r="M1776" s="413"/>
      <c r="N1776" s="383"/>
      <c r="O1776" s="384"/>
      <c r="P1776" s="384"/>
      <c r="Q1776" s="383"/>
      <c r="R1776" s="383"/>
      <c r="S1776" s="385"/>
      <c r="T1776" s="380"/>
      <c r="U1776" s="380"/>
      <c r="V1776" s="380"/>
      <c r="W1776" s="380"/>
      <c r="X1776" s="380"/>
    </row>
    <row r="1777" spans="1:24" ht="15.75" customHeight="1">
      <c r="A1777" s="463"/>
      <c r="B1777" s="380"/>
      <c r="C1777" s="381"/>
      <c r="D1777" s="381"/>
      <c r="E1777" s="381"/>
      <c r="F1777" s="381"/>
      <c r="G1777" s="381"/>
      <c r="H1777" s="381"/>
      <c r="I1777" s="381"/>
      <c r="J1777" s="381"/>
      <c r="K1777" s="382"/>
      <c r="L1777" s="380"/>
      <c r="M1777" s="413"/>
      <c r="N1777" s="383"/>
      <c r="O1777" s="384"/>
      <c r="P1777" s="384"/>
      <c r="Q1777" s="383"/>
      <c r="R1777" s="383"/>
      <c r="S1777" s="385"/>
      <c r="T1777" s="380"/>
      <c r="U1777" s="380"/>
      <c r="V1777" s="380"/>
      <c r="W1777" s="380"/>
      <c r="X1777" s="380"/>
    </row>
    <row r="1778" spans="1:24" ht="15.75" customHeight="1">
      <c r="A1778" s="463"/>
      <c r="B1778" s="380"/>
      <c r="C1778" s="381"/>
      <c r="D1778" s="381"/>
      <c r="E1778" s="381"/>
      <c r="F1778" s="381"/>
      <c r="G1778" s="381"/>
      <c r="H1778" s="381"/>
      <c r="I1778" s="381"/>
      <c r="J1778" s="381"/>
      <c r="K1778" s="382"/>
      <c r="L1778" s="380"/>
      <c r="M1778" s="413"/>
      <c r="N1778" s="383"/>
      <c r="O1778" s="384"/>
      <c r="P1778" s="384"/>
      <c r="Q1778" s="383"/>
      <c r="R1778" s="383"/>
      <c r="S1778" s="385"/>
      <c r="T1778" s="380"/>
      <c r="U1778" s="380"/>
      <c r="V1778" s="380"/>
      <c r="W1778" s="380"/>
      <c r="X1778" s="380"/>
    </row>
    <row r="1779" spans="1:24" ht="15.75" customHeight="1">
      <c r="A1779" s="463"/>
      <c r="B1779" s="380"/>
      <c r="C1779" s="381"/>
      <c r="D1779" s="381"/>
      <c r="E1779" s="381"/>
      <c r="F1779" s="381"/>
      <c r="G1779" s="381"/>
      <c r="H1779" s="381"/>
      <c r="I1779" s="381"/>
      <c r="J1779" s="381"/>
      <c r="K1779" s="382"/>
      <c r="L1779" s="380"/>
      <c r="M1779" s="413"/>
      <c r="N1779" s="383"/>
      <c r="O1779" s="384"/>
      <c r="P1779" s="384"/>
      <c r="Q1779" s="383"/>
      <c r="R1779" s="383"/>
      <c r="S1779" s="385"/>
      <c r="T1779" s="380"/>
      <c r="U1779" s="380"/>
      <c r="V1779" s="380"/>
      <c r="W1779" s="380"/>
      <c r="X1779" s="380"/>
    </row>
    <row r="1780" spans="1:24" ht="15.75" customHeight="1">
      <c r="A1780" s="463"/>
      <c r="B1780" s="380"/>
      <c r="C1780" s="381"/>
      <c r="D1780" s="381"/>
      <c r="E1780" s="381"/>
      <c r="F1780" s="381"/>
      <c r="G1780" s="381"/>
      <c r="H1780" s="381"/>
      <c r="I1780" s="381"/>
      <c r="J1780" s="381"/>
      <c r="K1780" s="382"/>
      <c r="L1780" s="380"/>
      <c r="M1780" s="413"/>
      <c r="N1780" s="383"/>
      <c r="O1780" s="384"/>
      <c r="P1780" s="384"/>
      <c r="Q1780" s="383"/>
      <c r="R1780" s="383"/>
      <c r="S1780" s="385"/>
      <c r="T1780" s="380"/>
      <c r="U1780" s="380"/>
      <c r="V1780" s="380"/>
      <c r="W1780" s="380"/>
      <c r="X1780" s="380"/>
    </row>
    <row r="1781" spans="1:24" ht="15.75" customHeight="1">
      <c r="A1781" s="463"/>
      <c r="B1781" s="380"/>
      <c r="C1781" s="381"/>
      <c r="D1781" s="381"/>
      <c r="E1781" s="381"/>
      <c r="F1781" s="381"/>
      <c r="G1781" s="381"/>
      <c r="H1781" s="381"/>
      <c r="I1781" s="381"/>
      <c r="J1781" s="381"/>
      <c r="K1781" s="382"/>
      <c r="L1781" s="380"/>
      <c r="M1781" s="413"/>
      <c r="N1781" s="383"/>
      <c r="O1781" s="384"/>
      <c r="P1781" s="384"/>
      <c r="Q1781" s="383"/>
      <c r="R1781" s="383"/>
      <c r="S1781" s="385"/>
      <c r="T1781" s="380"/>
      <c r="U1781" s="380"/>
      <c r="V1781" s="380"/>
      <c r="W1781" s="380"/>
      <c r="X1781" s="380"/>
    </row>
    <row r="1782" spans="1:24" ht="15.75" customHeight="1">
      <c r="A1782" s="463"/>
      <c r="B1782" s="380"/>
      <c r="C1782" s="381"/>
      <c r="D1782" s="381"/>
      <c r="E1782" s="381"/>
      <c r="F1782" s="381"/>
      <c r="G1782" s="381"/>
      <c r="H1782" s="381"/>
      <c r="I1782" s="381"/>
      <c r="J1782" s="381"/>
      <c r="K1782" s="382"/>
      <c r="L1782" s="380"/>
      <c r="M1782" s="413"/>
      <c r="N1782" s="383"/>
      <c r="O1782" s="384"/>
      <c r="P1782" s="384"/>
      <c r="Q1782" s="383"/>
      <c r="R1782" s="383"/>
      <c r="S1782" s="385"/>
      <c r="T1782" s="380"/>
      <c r="U1782" s="380"/>
      <c r="V1782" s="380"/>
      <c r="W1782" s="380"/>
      <c r="X1782" s="380"/>
    </row>
    <row r="1783" spans="1:24" ht="15.75" customHeight="1">
      <c r="A1783" s="463"/>
      <c r="B1783" s="380"/>
      <c r="C1783" s="381"/>
      <c r="D1783" s="381"/>
      <c r="E1783" s="381"/>
      <c r="F1783" s="381"/>
      <c r="G1783" s="381"/>
      <c r="H1783" s="381"/>
      <c r="I1783" s="381"/>
      <c r="J1783" s="381"/>
      <c r="K1783" s="382"/>
      <c r="L1783" s="380"/>
      <c r="M1783" s="413"/>
      <c r="N1783" s="383"/>
      <c r="O1783" s="384"/>
      <c r="P1783" s="384"/>
      <c r="Q1783" s="383"/>
      <c r="R1783" s="383"/>
      <c r="S1783" s="385"/>
      <c r="T1783" s="380"/>
      <c r="U1783" s="380"/>
      <c r="V1783" s="380"/>
      <c r="W1783" s="380"/>
      <c r="X1783" s="380"/>
    </row>
    <row r="1784" spans="1:24" ht="15.75" customHeight="1">
      <c r="A1784" s="463"/>
      <c r="B1784" s="380"/>
      <c r="C1784" s="381"/>
      <c r="D1784" s="381"/>
      <c r="E1784" s="381"/>
      <c r="F1784" s="381"/>
      <c r="G1784" s="381"/>
      <c r="H1784" s="381"/>
      <c r="I1784" s="381"/>
      <c r="J1784" s="381"/>
      <c r="K1784" s="382"/>
      <c r="L1784" s="380"/>
      <c r="M1784" s="413"/>
      <c r="N1784" s="383"/>
      <c r="O1784" s="384"/>
      <c r="P1784" s="384"/>
      <c r="Q1784" s="383"/>
      <c r="R1784" s="383"/>
      <c r="S1784" s="385"/>
      <c r="T1784" s="380"/>
      <c r="U1784" s="380"/>
      <c r="V1784" s="380"/>
      <c r="W1784" s="380"/>
      <c r="X1784" s="380"/>
    </row>
    <row r="1785" spans="1:24" ht="15.75" customHeight="1">
      <c r="A1785" s="463"/>
      <c r="B1785" s="380"/>
      <c r="C1785" s="381"/>
      <c r="D1785" s="381"/>
      <c r="E1785" s="381"/>
      <c r="F1785" s="381"/>
      <c r="G1785" s="381"/>
      <c r="H1785" s="381"/>
      <c r="I1785" s="381"/>
      <c r="J1785" s="381"/>
      <c r="K1785" s="382"/>
      <c r="L1785" s="380"/>
      <c r="M1785" s="413"/>
      <c r="N1785" s="383"/>
      <c r="O1785" s="384"/>
      <c r="P1785" s="384"/>
      <c r="Q1785" s="383"/>
      <c r="R1785" s="383"/>
      <c r="S1785" s="385"/>
      <c r="T1785" s="380"/>
      <c r="U1785" s="380"/>
      <c r="V1785" s="380"/>
      <c r="W1785" s="380"/>
      <c r="X1785" s="380"/>
    </row>
    <row r="1786" spans="1:24" ht="15.75" customHeight="1">
      <c r="A1786" s="463"/>
      <c r="B1786" s="380"/>
      <c r="C1786" s="381"/>
      <c r="D1786" s="381"/>
      <c r="E1786" s="381"/>
      <c r="F1786" s="381"/>
      <c r="G1786" s="381"/>
      <c r="H1786" s="381"/>
      <c r="I1786" s="381"/>
      <c r="J1786" s="381"/>
      <c r="K1786" s="382"/>
      <c r="L1786" s="380"/>
      <c r="M1786" s="413"/>
      <c r="N1786" s="383"/>
      <c r="O1786" s="384"/>
      <c r="P1786" s="384"/>
      <c r="Q1786" s="383"/>
      <c r="R1786" s="383"/>
      <c r="S1786" s="385"/>
      <c r="T1786" s="380"/>
      <c r="U1786" s="380"/>
      <c r="V1786" s="380"/>
      <c r="W1786" s="380"/>
      <c r="X1786" s="380"/>
    </row>
    <row r="1787" spans="1:24" ht="15.75" customHeight="1">
      <c r="A1787" s="463"/>
      <c r="B1787" s="380"/>
      <c r="C1787" s="381"/>
      <c r="D1787" s="381"/>
      <c r="E1787" s="381"/>
      <c r="F1787" s="381"/>
      <c r="G1787" s="381"/>
      <c r="H1787" s="381"/>
      <c r="I1787" s="381"/>
      <c r="J1787" s="381"/>
      <c r="K1787" s="382"/>
      <c r="L1787" s="380"/>
      <c r="M1787" s="413"/>
      <c r="N1787" s="383"/>
      <c r="O1787" s="384"/>
      <c r="P1787" s="384"/>
      <c r="Q1787" s="383"/>
      <c r="R1787" s="383"/>
      <c r="S1787" s="385"/>
      <c r="T1787" s="380"/>
      <c r="U1787" s="380"/>
      <c r="V1787" s="380"/>
      <c r="W1787" s="380"/>
      <c r="X1787" s="380"/>
    </row>
    <row r="1788" spans="1:24" ht="15.75" customHeight="1">
      <c r="A1788" s="463"/>
      <c r="B1788" s="380"/>
      <c r="C1788" s="381"/>
      <c r="D1788" s="381"/>
      <c r="E1788" s="381"/>
      <c r="F1788" s="381"/>
      <c r="G1788" s="381"/>
      <c r="H1788" s="381"/>
      <c r="I1788" s="381"/>
      <c r="J1788" s="381"/>
      <c r="K1788" s="382"/>
      <c r="L1788" s="380"/>
      <c r="M1788" s="413"/>
      <c r="N1788" s="383"/>
      <c r="O1788" s="384"/>
      <c r="P1788" s="384"/>
      <c r="Q1788" s="383"/>
      <c r="R1788" s="383"/>
      <c r="S1788" s="385"/>
      <c r="T1788" s="380"/>
      <c r="U1788" s="380"/>
      <c r="V1788" s="380"/>
      <c r="W1788" s="380"/>
      <c r="X1788" s="380"/>
    </row>
    <row r="1789" spans="1:24" ht="15.75" customHeight="1">
      <c r="A1789" s="463"/>
      <c r="B1789" s="380"/>
      <c r="C1789" s="381"/>
      <c r="D1789" s="381"/>
      <c r="E1789" s="381"/>
      <c r="F1789" s="381"/>
      <c r="G1789" s="381"/>
      <c r="H1789" s="381"/>
      <c r="I1789" s="381"/>
      <c r="J1789" s="381"/>
      <c r="K1789" s="382"/>
      <c r="L1789" s="380"/>
      <c r="M1789" s="413"/>
      <c r="N1789" s="383"/>
      <c r="O1789" s="384"/>
      <c r="P1789" s="384"/>
      <c r="Q1789" s="383"/>
      <c r="R1789" s="383"/>
      <c r="S1789" s="385"/>
      <c r="T1789" s="380"/>
      <c r="U1789" s="380"/>
      <c r="V1789" s="380"/>
      <c r="W1789" s="380"/>
      <c r="X1789" s="380"/>
    </row>
    <row r="1790" spans="1:24" ht="15.75" customHeight="1">
      <c r="A1790" s="463"/>
      <c r="B1790" s="380"/>
      <c r="C1790" s="381"/>
      <c r="D1790" s="381"/>
      <c r="E1790" s="381"/>
      <c r="F1790" s="381"/>
      <c r="G1790" s="381"/>
      <c r="H1790" s="381"/>
      <c r="I1790" s="381"/>
      <c r="J1790" s="381"/>
      <c r="K1790" s="382"/>
      <c r="L1790" s="380"/>
      <c r="M1790" s="413"/>
      <c r="N1790" s="383"/>
      <c r="O1790" s="384"/>
      <c r="P1790" s="384"/>
      <c r="Q1790" s="383"/>
      <c r="R1790" s="383"/>
      <c r="S1790" s="385"/>
      <c r="T1790" s="380"/>
      <c r="U1790" s="380"/>
      <c r="V1790" s="380"/>
      <c r="W1790" s="380"/>
      <c r="X1790" s="380"/>
    </row>
    <row r="1791" spans="1:24" ht="15.75" customHeight="1">
      <c r="A1791" s="463"/>
      <c r="B1791" s="380"/>
      <c r="C1791" s="381"/>
      <c r="D1791" s="381"/>
      <c r="E1791" s="381"/>
      <c r="F1791" s="381"/>
      <c r="G1791" s="381"/>
      <c r="H1791" s="381"/>
      <c r="I1791" s="381"/>
      <c r="J1791" s="381"/>
      <c r="K1791" s="382"/>
      <c r="L1791" s="380"/>
      <c r="M1791" s="413"/>
      <c r="N1791" s="383"/>
      <c r="O1791" s="384"/>
      <c r="P1791" s="384"/>
      <c r="Q1791" s="383"/>
      <c r="R1791" s="383"/>
      <c r="S1791" s="385"/>
      <c r="T1791" s="380"/>
      <c r="U1791" s="380"/>
      <c r="V1791" s="380"/>
      <c r="W1791" s="380"/>
      <c r="X1791" s="380"/>
    </row>
    <row r="1792" spans="1:24" ht="15.75" customHeight="1">
      <c r="A1792" s="463"/>
      <c r="B1792" s="380"/>
      <c r="C1792" s="381"/>
      <c r="D1792" s="381"/>
      <c r="E1792" s="381"/>
      <c r="F1792" s="381"/>
      <c r="G1792" s="381"/>
      <c r="H1792" s="381"/>
      <c r="I1792" s="381"/>
      <c r="J1792" s="381"/>
      <c r="K1792" s="382"/>
      <c r="L1792" s="380"/>
      <c r="M1792" s="413"/>
      <c r="N1792" s="383"/>
      <c r="O1792" s="384"/>
      <c r="P1792" s="384"/>
      <c r="Q1792" s="383"/>
      <c r="R1792" s="383"/>
      <c r="S1792" s="385"/>
      <c r="T1792" s="380"/>
      <c r="U1792" s="380"/>
      <c r="V1792" s="380"/>
      <c r="W1792" s="380"/>
      <c r="X1792" s="380"/>
    </row>
    <row r="1793" spans="1:24" ht="15.75" customHeight="1">
      <c r="A1793" s="463"/>
      <c r="B1793" s="380"/>
      <c r="C1793" s="381"/>
      <c r="D1793" s="381"/>
      <c r="E1793" s="381"/>
      <c r="F1793" s="381"/>
      <c r="G1793" s="381"/>
      <c r="H1793" s="381"/>
      <c r="I1793" s="381"/>
      <c r="J1793" s="381"/>
      <c r="K1793" s="382"/>
      <c r="L1793" s="380"/>
      <c r="M1793" s="413"/>
      <c r="N1793" s="383"/>
      <c r="O1793" s="384"/>
      <c r="P1793" s="384"/>
      <c r="Q1793" s="383"/>
      <c r="R1793" s="383"/>
      <c r="S1793" s="385"/>
      <c r="T1793" s="380"/>
      <c r="U1793" s="380"/>
      <c r="V1793" s="380"/>
      <c r="W1793" s="380"/>
      <c r="X1793" s="380"/>
    </row>
    <row r="1794" spans="1:24" ht="15.75" customHeight="1">
      <c r="A1794" s="463"/>
      <c r="B1794" s="380"/>
      <c r="C1794" s="381"/>
      <c r="D1794" s="381"/>
      <c r="E1794" s="381"/>
      <c r="F1794" s="381"/>
      <c r="G1794" s="381"/>
      <c r="H1794" s="381"/>
      <c r="I1794" s="381"/>
      <c r="J1794" s="381"/>
      <c r="K1794" s="382"/>
      <c r="L1794" s="380"/>
      <c r="M1794" s="413"/>
      <c r="N1794" s="383"/>
      <c r="O1794" s="384"/>
      <c r="P1794" s="384"/>
      <c r="Q1794" s="383"/>
      <c r="R1794" s="383"/>
      <c r="S1794" s="385"/>
      <c r="T1794" s="380"/>
      <c r="U1794" s="380"/>
      <c r="V1794" s="380"/>
      <c r="W1794" s="380"/>
      <c r="X1794" s="380"/>
    </row>
    <row r="1795" spans="1:24" ht="15.75" customHeight="1">
      <c r="A1795" s="463"/>
      <c r="B1795" s="380"/>
      <c r="C1795" s="381"/>
      <c r="D1795" s="381"/>
      <c r="E1795" s="381"/>
      <c r="F1795" s="381"/>
      <c r="G1795" s="381"/>
      <c r="H1795" s="381"/>
      <c r="I1795" s="381"/>
      <c r="J1795" s="381"/>
      <c r="K1795" s="382"/>
      <c r="L1795" s="380"/>
      <c r="M1795" s="413"/>
      <c r="N1795" s="383"/>
      <c r="O1795" s="384"/>
      <c r="P1795" s="384"/>
      <c r="Q1795" s="383"/>
      <c r="R1795" s="383"/>
      <c r="S1795" s="385"/>
      <c r="T1795" s="380"/>
      <c r="U1795" s="380"/>
      <c r="V1795" s="380"/>
      <c r="W1795" s="380"/>
      <c r="X1795" s="380"/>
    </row>
    <row r="1796" spans="1:24" ht="15.75" customHeight="1">
      <c r="A1796" s="463"/>
      <c r="B1796" s="380"/>
      <c r="C1796" s="381"/>
      <c r="D1796" s="381"/>
      <c r="E1796" s="381"/>
      <c r="F1796" s="381"/>
      <c r="G1796" s="381"/>
      <c r="H1796" s="381"/>
      <c r="I1796" s="381"/>
      <c r="J1796" s="381"/>
      <c r="K1796" s="382"/>
      <c r="L1796" s="380"/>
      <c r="M1796" s="413"/>
      <c r="N1796" s="383"/>
      <c r="O1796" s="384"/>
      <c r="P1796" s="384"/>
      <c r="Q1796" s="383"/>
      <c r="R1796" s="383"/>
      <c r="S1796" s="385"/>
      <c r="T1796" s="380"/>
      <c r="U1796" s="380"/>
      <c r="V1796" s="380"/>
      <c r="W1796" s="380"/>
      <c r="X1796" s="380"/>
    </row>
    <row r="1797" spans="1:24" ht="15.75" customHeight="1">
      <c r="A1797" s="463"/>
      <c r="B1797" s="380"/>
      <c r="C1797" s="381"/>
      <c r="D1797" s="381"/>
      <c r="E1797" s="381"/>
      <c r="F1797" s="381"/>
      <c r="G1797" s="381"/>
      <c r="H1797" s="381"/>
      <c r="I1797" s="381"/>
      <c r="J1797" s="381"/>
      <c r="K1797" s="382"/>
      <c r="L1797" s="380"/>
      <c r="M1797" s="413"/>
      <c r="N1797" s="383"/>
      <c r="O1797" s="384"/>
      <c r="P1797" s="384"/>
      <c r="Q1797" s="383"/>
      <c r="R1797" s="383"/>
      <c r="S1797" s="385"/>
      <c r="T1797" s="380"/>
      <c r="U1797" s="380"/>
      <c r="V1797" s="380"/>
      <c r="W1797" s="380"/>
      <c r="X1797" s="380"/>
    </row>
    <row r="1798" spans="1:24" ht="15.75" customHeight="1">
      <c r="A1798" s="463"/>
      <c r="B1798" s="380"/>
      <c r="C1798" s="381"/>
      <c r="D1798" s="381"/>
      <c r="E1798" s="381"/>
      <c r="F1798" s="381"/>
      <c r="G1798" s="381"/>
      <c r="H1798" s="381"/>
      <c r="I1798" s="381"/>
      <c r="J1798" s="381"/>
      <c r="K1798" s="382"/>
      <c r="L1798" s="380"/>
      <c r="M1798" s="413"/>
      <c r="N1798" s="383"/>
      <c r="O1798" s="384"/>
      <c r="P1798" s="384"/>
      <c r="Q1798" s="383"/>
      <c r="R1798" s="383"/>
      <c r="S1798" s="385"/>
      <c r="T1798" s="380"/>
      <c r="U1798" s="380"/>
      <c r="V1798" s="380"/>
      <c r="W1798" s="380"/>
      <c r="X1798" s="380"/>
    </row>
    <row r="1799" spans="1:24" ht="15.75" customHeight="1">
      <c r="A1799" s="463"/>
      <c r="B1799" s="380"/>
      <c r="C1799" s="381"/>
      <c r="D1799" s="381"/>
      <c r="E1799" s="381"/>
      <c r="F1799" s="381"/>
      <c r="G1799" s="381"/>
      <c r="H1799" s="381"/>
      <c r="I1799" s="381"/>
      <c r="J1799" s="381"/>
      <c r="K1799" s="382"/>
      <c r="L1799" s="380"/>
      <c r="M1799" s="413"/>
      <c r="N1799" s="383"/>
      <c r="O1799" s="384"/>
      <c r="P1799" s="384"/>
      <c r="Q1799" s="383"/>
      <c r="R1799" s="383"/>
      <c r="S1799" s="385"/>
      <c r="T1799" s="380"/>
      <c r="U1799" s="380"/>
      <c r="V1799" s="380"/>
      <c r="W1799" s="380"/>
      <c r="X1799" s="380"/>
    </row>
    <row r="1800" spans="1:24" ht="15.75" customHeight="1">
      <c r="A1800" s="463"/>
      <c r="B1800" s="380"/>
      <c r="C1800" s="381"/>
      <c r="D1800" s="381"/>
      <c r="E1800" s="381"/>
      <c r="F1800" s="381"/>
      <c r="G1800" s="381"/>
      <c r="H1800" s="381"/>
      <c r="I1800" s="381"/>
      <c r="J1800" s="381"/>
      <c r="K1800" s="382"/>
      <c r="L1800" s="380"/>
      <c r="M1800" s="413"/>
      <c r="N1800" s="383"/>
      <c r="O1800" s="384"/>
      <c r="P1800" s="384"/>
      <c r="Q1800" s="383"/>
      <c r="R1800" s="383"/>
      <c r="S1800" s="385"/>
      <c r="T1800" s="380"/>
      <c r="U1800" s="380"/>
      <c r="V1800" s="380"/>
      <c r="W1800" s="380"/>
      <c r="X1800" s="380"/>
    </row>
    <row r="1801" spans="1:24" ht="15.75" customHeight="1">
      <c r="A1801" s="463"/>
      <c r="B1801" s="380"/>
      <c r="C1801" s="381"/>
      <c r="D1801" s="381"/>
      <c r="E1801" s="381"/>
      <c r="F1801" s="381"/>
      <c r="G1801" s="381"/>
      <c r="H1801" s="381"/>
      <c r="I1801" s="381"/>
      <c r="J1801" s="381"/>
      <c r="K1801" s="382"/>
      <c r="L1801" s="380"/>
      <c r="M1801" s="413"/>
      <c r="N1801" s="383"/>
      <c r="O1801" s="384"/>
      <c r="P1801" s="384"/>
      <c r="Q1801" s="383"/>
      <c r="R1801" s="383"/>
      <c r="S1801" s="385"/>
      <c r="T1801" s="380"/>
      <c r="U1801" s="380"/>
      <c r="V1801" s="380"/>
      <c r="W1801" s="380"/>
      <c r="X1801" s="380"/>
    </row>
    <row r="1802" spans="1:24" ht="15.75" customHeight="1">
      <c r="A1802" s="463"/>
      <c r="B1802" s="380"/>
      <c r="C1802" s="381"/>
      <c r="D1802" s="381"/>
      <c r="E1802" s="381"/>
      <c r="F1802" s="381"/>
      <c r="G1802" s="381"/>
      <c r="H1802" s="381"/>
      <c r="I1802" s="381"/>
      <c r="J1802" s="381"/>
      <c r="K1802" s="382"/>
      <c r="L1802" s="380"/>
      <c r="M1802" s="413"/>
      <c r="N1802" s="383"/>
      <c r="O1802" s="384"/>
      <c r="P1802" s="384"/>
      <c r="Q1802" s="383"/>
      <c r="R1802" s="383"/>
      <c r="S1802" s="385"/>
      <c r="T1802" s="380"/>
      <c r="U1802" s="380"/>
      <c r="V1802" s="380"/>
      <c r="W1802" s="380"/>
      <c r="X1802" s="380"/>
    </row>
    <row r="1803" spans="1:24" ht="15.75" customHeight="1">
      <c r="A1803" s="463"/>
      <c r="B1803" s="380"/>
      <c r="C1803" s="381"/>
      <c r="D1803" s="381"/>
      <c r="E1803" s="381"/>
      <c r="F1803" s="381"/>
      <c r="G1803" s="381"/>
      <c r="H1803" s="381"/>
      <c r="I1803" s="381"/>
      <c r="J1803" s="381"/>
      <c r="K1803" s="382"/>
      <c r="L1803" s="380"/>
      <c r="M1803" s="413"/>
      <c r="N1803" s="383"/>
      <c r="O1803" s="384"/>
      <c r="P1803" s="384"/>
      <c r="Q1803" s="383"/>
      <c r="R1803" s="383"/>
      <c r="S1803" s="385"/>
      <c r="T1803" s="380"/>
      <c r="U1803" s="380"/>
      <c r="V1803" s="380"/>
      <c r="W1803" s="380"/>
      <c r="X1803" s="380"/>
    </row>
    <row r="1804" spans="1:24" ht="15.75" customHeight="1">
      <c r="A1804" s="463"/>
      <c r="B1804" s="380"/>
      <c r="C1804" s="381"/>
      <c r="D1804" s="381"/>
      <c r="E1804" s="381"/>
      <c r="F1804" s="381"/>
      <c r="G1804" s="381"/>
      <c r="H1804" s="381"/>
      <c r="I1804" s="381"/>
      <c r="J1804" s="381"/>
      <c r="K1804" s="382"/>
      <c r="L1804" s="380"/>
      <c r="M1804" s="413"/>
      <c r="N1804" s="383"/>
      <c r="O1804" s="384"/>
      <c r="P1804" s="384"/>
      <c r="Q1804" s="383"/>
      <c r="R1804" s="383"/>
      <c r="S1804" s="385"/>
      <c r="T1804" s="380"/>
      <c r="U1804" s="380"/>
      <c r="V1804" s="380"/>
      <c r="W1804" s="380"/>
      <c r="X1804" s="380"/>
    </row>
    <row r="1805" spans="1:24" ht="15.75" customHeight="1">
      <c r="A1805" s="463"/>
      <c r="B1805" s="380"/>
      <c r="C1805" s="381"/>
      <c r="D1805" s="381"/>
      <c r="E1805" s="381"/>
      <c r="F1805" s="381"/>
      <c r="G1805" s="381"/>
      <c r="H1805" s="381"/>
      <c r="I1805" s="381"/>
      <c r="J1805" s="381"/>
      <c r="K1805" s="382"/>
      <c r="L1805" s="380"/>
      <c r="M1805" s="413"/>
      <c r="N1805" s="383"/>
      <c r="O1805" s="384"/>
      <c r="P1805" s="384"/>
      <c r="Q1805" s="383"/>
      <c r="R1805" s="383"/>
      <c r="S1805" s="385"/>
      <c r="T1805" s="380"/>
      <c r="U1805" s="380"/>
      <c r="V1805" s="380"/>
      <c r="W1805" s="380"/>
      <c r="X1805" s="380"/>
    </row>
    <row r="1806" spans="1:24" ht="15.75" customHeight="1">
      <c r="A1806" s="463"/>
      <c r="B1806" s="380"/>
      <c r="C1806" s="381"/>
      <c r="D1806" s="381"/>
      <c r="E1806" s="381"/>
      <c r="F1806" s="381"/>
      <c r="G1806" s="381"/>
      <c r="H1806" s="381"/>
      <c r="I1806" s="381"/>
      <c r="J1806" s="381"/>
      <c r="K1806" s="382"/>
      <c r="L1806" s="380"/>
      <c r="M1806" s="413"/>
      <c r="N1806" s="383"/>
      <c r="O1806" s="384"/>
      <c r="P1806" s="384"/>
      <c r="Q1806" s="383"/>
      <c r="R1806" s="383"/>
      <c r="S1806" s="385"/>
      <c r="T1806" s="380"/>
      <c r="U1806" s="380"/>
      <c r="V1806" s="380"/>
      <c r="W1806" s="380"/>
      <c r="X1806" s="380"/>
    </row>
    <row r="1807" spans="1:24" ht="15.75" customHeight="1">
      <c r="A1807" s="463"/>
      <c r="B1807" s="380"/>
      <c r="C1807" s="381"/>
      <c r="D1807" s="381"/>
      <c r="E1807" s="381"/>
      <c r="F1807" s="381"/>
      <c r="G1807" s="381"/>
      <c r="H1807" s="381"/>
      <c r="I1807" s="381"/>
      <c r="J1807" s="381"/>
      <c r="K1807" s="382"/>
      <c r="L1807" s="380"/>
      <c r="M1807" s="413"/>
      <c r="N1807" s="383"/>
      <c r="O1807" s="384"/>
      <c r="P1807" s="384"/>
      <c r="Q1807" s="383"/>
      <c r="R1807" s="383"/>
      <c r="S1807" s="385"/>
      <c r="T1807" s="380"/>
      <c r="U1807" s="380"/>
      <c r="V1807" s="380"/>
      <c r="W1807" s="380"/>
      <c r="X1807" s="380"/>
    </row>
    <row r="1808" spans="1:24" ht="15.75" customHeight="1">
      <c r="A1808" s="463"/>
      <c r="B1808" s="380"/>
      <c r="C1808" s="381"/>
      <c r="D1808" s="381"/>
      <c r="E1808" s="381"/>
      <c r="F1808" s="381"/>
      <c r="G1808" s="381"/>
      <c r="H1808" s="381"/>
      <c r="I1808" s="381"/>
      <c r="J1808" s="381"/>
      <c r="K1808" s="382"/>
      <c r="L1808" s="380"/>
      <c r="M1808" s="413"/>
      <c r="N1808" s="383"/>
      <c r="O1808" s="384"/>
      <c r="P1808" s="384"/>
      <c r="Q1808" s="383"/>
      <c r="R1808" s="383"/>
      <c r="S1808" s="385"/>
      <c r="T1808" s="380"/>
      <c r="U1808" s="380"/>
      <c r="V1808" s="380"/>
      <c r="W1808" s="380"/>
      <c r="X1808" s="380"/>
    </row>
    <row r="1809" spans="1:24" ht="15.75" customHeight="1">
      <c r="A1809" s="463"/>
      <c r="B1809" s="380"/>
      <c r="C1809" s="381"/>
      <c r="D1809" s="381"/>
      <c r="E1809" s="381"/>
      <c r="F1809" s="381"/>
      <c r="G1809" s="381"/>
      <c r="H1809" s="381"/>
      <c r="I1809" s="381"/>
      <c r="J1809" s="381"/>
      <c r="K1809" s="382"/>
      <c r="L1809" s="380"/>
      <c r="M1809" s="413"/>
      <c r="N1809" s="383"/>
      <c r="O1809" s="384"/>
      <c r="P1809" s="384"/>
      <c r="Q1809" s="383"/>
      <c r="R1809" s="383"/>
      <c r="S1809" s="385"/>
      <c r="T1809" s="380"/>
      <c r="U1809" s="380"/>
      <c r="V1809" s="380"/>
      <c r="W1809" s="380"/>
      <c r="X1809" s="380"/>
    </row>
    <row r="1810" spans="1:24" ht="15.75" customHeight="1">
      <c r="A1810" s="463"/>
      <c r="B1810" s="380"/>
      <c r="C1810" s="381"/>
      <c r="D1810" s="381"/>
      <c r="E1810" s="381"/>
      <c r="F1810" s="381"/>
      <c r="G1810" s="381"/>
      <c r="H1810" s="381"/>
      <c r="I1810" s="381"/>
      <c r="J1810" s="381"/>
      <c r="K1810" s="382"/>
      <c r="L1810" s="380"/>
      <c r="M1810" s="413"/>
      <c r="N1810" s="383"/>
      <c r="O1810" s="384"/>
      <c r="P1810" s="384"/>
      <c r="Q1810" s="383"/>
      <c r="R1810" s="383"/>
      <c r="S1810" s="385"/>
      <c r="T1810" s="380"/>
      <c r="U1810" s="380"/>
      <c r="V1810" s="380"/>
      <c r="W1810" s="380"/>
      <c r="X1810" s="380"/>
    </row>
    <row r="1811" spans="1:24" ht="15.75" customHeight="1">
      <c r="A1811" s="463"/>
      <c r="B1811" s="380"/>
      <c r="C1811" s="381"/>
      <c r="D1811" s="381"/>
      <c r="E1811" s="381"/>
      <c r="F1811" s="381"/>
      <c r="G1811" s="381"/>
      <c r="H1811" s="381"/>
      <c r="I1811" s="381"/>
      <c r="J1811" s="381"/>
      <c r="K1811" s="382"/>
      <c r="L1811" s="380"/>
      <c r="M1811" s="413"/>
      <c r="N1811" s="383"/>
      <c r="O1811" s="384"/>
      <c r="P1811" s="384"/>
      <c r="Q1811" s="383"/>
      <c r="R1811" s="383"/>
      <c r="S1811" s="385"/>
      <c r="T1811" s="380"/>
      <c r="U1811" s="380"/>
      <c r="V1811" s="380"/>
      <c r="W1811" s="380"/>
      <c r="X1811" s="380"/>
    </row>
    <row r="1812" spans="1:24" ht="15.75" customHeight="1">
      <c r="A1812" s="463"/>
      <c r="B1812" s="380"/>
      <c r="C1812" s="381"/>
      <c r="D1812" s="381"/>
      <c r="E1812" s="381"/>
      <c r="F1812" s="381"/>
      <c r="G1812" s="381"/>
      <c r="H1812" s="381"/>
      <c r="I1812" s="381"/>
      <c r="J1812" s="381"/>
      <c r="K1812" s="382"/>
      <c r="L1812" s="380"/>
      <c r="M1812" s="413"/>
      <c r="N1812" s="383"/>
      <c r="O1812" s="384"/>
      <c r="P1812" s="384"/>
      <c r="Q1812" s="383"/>
      <c r="R1812" s="383"/>
      <c r="S1812" s="385"/>
      <c r="T1812" s="380"/>
      <c r="U1812" s="380"/>
      <c r="V1812" s="380"/>
      <c r="W1812" s="380"/>
      <c r="X1812" s="380"/>
    </row>
    <row r="1813" spans="1:24" ht="15.75" customHeight="1">
      <c r="A1813" s="463"/>
      <c r="B1813" s="380"/>
      <c r="C1813" s="381"/>
      <c r="D1813" s="381"/>
      <c r="E1813" s="381"/>
      <c r="F1813" s="381"/>
      <c r="G1813" s="381"/>
      <c r="H1813" s="381"/>
      <c r="I1813" s="381"/>
      <c r="J1813" s="381"/>
      <c r="K1813" s="382"/>
      <c r="L1813" s="380"/>
      <c r="M1813" s="413"/>
      <c r="N1813" s="383"/>
      <c r="O1813" s="384"/>
      <c r="P1813" s="384"/>
      <c r="Q1813" s="383"/>
      <c r="R1813" s="383"/>
      <c r="S1813" s="385"/>
      <c r="T1813" s="380"/>
      <c r="U1813" s="380"/>
      <c r="V1813" s="380"/>
      <c r="W1813" s="380"/>
      <c r="X1813" s="380"/>
    </row>
    <row r="1814" spans="1:24" ht="15.75" customHeight="1">
      <c r="A1814" s="463"/>
      <c r="B1814" s="380"/>
      <c r="C1814" s="381"/>
      <c r="D1814" s="381"/>
      <c r="E1814" s="381"/>
      <c r="F1814" s="381"/>
      <c r="G1814" s="381"/>
      <c r="H1814" s="381"/>
      <c r="I1814" s="381"/>
      <c r="J1814" s="381"/>
      <c r="K1814" s="382"/>
      <c r="L1814" s="380"/>
      <c r="M1814" s="413"/>
      <c r="N1814" s="383"/>
      <c r="O1814" s="384"/>
      <c r="P1814" s="384"/>
      <c r="Q1814" s="383"/>
      <c r="R1814" s="383"/>
      <c r="S1814" s="385"/>
      <c r="T1814" s="380"/>
      <c r="U1814" s="380"/>
      <c r="V1814" s="380"/>
      <c r="W1814" s="380"/>
      <c r="X1814" s="380"/>
    </row>
    <row r="1815" spans="1:24" ht="15.75" customHeight="1">
      <c r="A1815" s="463"/>
      <c r="B1815" s="380"/>
      <c r="C1815" s="381"/>
      <c r="D1815" s="381"/>
      <c r="E1815" s="381"/>
      <c r="F1815" s="381"/>
      <c r="G1815" s="381"/>
      <c r="H1815" s="381"/>
      <c r="I1815" s="381"/>
      <c r="J1815" s="381"/>
      <c r="K1815" s="382"/>
      <c r="L1815" s="380"/>
      <c r="M1815" s="413"/>
      <c r="N1815" s="383"/>
      <c r="O1815" s="384"/>
      <c r="P1815" s="384"/>
      <c r="Q1815" s="383"/>
      <c r="R1815" s="383"/>
      <c r="S1815" s="385"/>
      <c r="T1815" s="380"/>
      <c r="U1815" s="380"/>
      <c r="V1815" s="380"/>
      <c r="W1815" s="380"/>
      <c r="X1815" s="380"/>
    </row>
    <row r="1816" spans="1:24" ht="15.75" customHeight="1">
      <c r="A1816" s="463"/>
      <c r="B1816" s="380"/>
      <c r="C1816" s="381"/>
      <c r="D1816" s="381"/>
      <c r="E1816" s="381"/>
      <c r="F1816" s="381"/>
      <c r="G1816" s="381"/>
      <c r="H1816" s="381"/>
      <c r="I1816" s="381"/>
      <c r="J1816" s="381"/>
      <c r="K1816" s="382"/>
      <c r="L1816" s="380"/>
      <c r="M1816" s="413"/>
      <c r="N1816" s="383"/>
      <c r="O1816" s="384"/>
      <c r="P1816" s="384"/>
      <c r="Q1816" s="383"/>
      <c r="R1816" s="383"/>
      <c r="S1816" s="385"/>
      <c r="T1816" s="380"/>
      <c r="U1816" s="380"/>
      <c r="V1816" s="380"/>
      <c r="W1816" s="380"/>
      <c r="X1816" s="380"/>
    </row>
    <row r="1817" spans="1:24" ht="15.75" customHeight="1">
      <c r="A1817" s="463"/>
      <c r="B1817" s="380"/>
      <c r="C1817" s="381"/>
      <c r="D1817" s="381"/>
      <c r="E1817" s="381"/>
      <c r="F1817" s="381"/>
      <c r="G1817" s="381"/>
      <c r="H1817" s="381"/>
      <c r="I1817" s="381"/>
      <c r="J1817" s="381"/>
      <c r="K1817" s="382"/>
      <c r="L1817" s="380"/>
      <c r="M1817" s="413"/>
      <c r="N1817" s="383"/>
      <c r="O1817" s="384"/>
      <c r="P1817" s="384"/>
      <c r="Q1817" s="383"/>
      <c r="R1817" s="383"/>
      <c r="S1817" s="385"/>
      <c r="T1817" s="380"/>
      <c r="U1817" s="380"/>
      <c r="V1817" s="380"/>
      <c r="W1817" s="380"/>
      <c r="X1817" s="380"/>
    </row>
    <row r="1818" spans="1:24" ht="15.75" customHeight="1">
      <c r="A1818" s="463"/>
      <c r="B1818" s="380"/>
      <c r="C1818" s="381"/>
      <c r="D1818" s="381"/>
      <c r="E1818" s="381"/>
      <c r="F1818" s="381"/>
      <c r="G1818" s="381"/>
      <c r="H1818" s="381"/>
      <c r="I1818" s="381"/>
      <c r="J1818" s="381"/>
      <c r="K1818" s="382"/>
      <c r="L1818" s="380"/>
      <c r="M1818" s="413"/>
      <c r="N1818" s="383"/>
      <c r="O1818" s="384"/>
      <c r="P1818" s="384"/>
      <c r="Q1818" s="383"/>
      <c r="R1818" s="383"/>
      <c r="S1818" s="385"/>
      <c r="T1818" s="380"/>
      <c r="U1818" s="380"/>
      <c r="V1818" s="380"/>
      <c r="W1818" s="380"/>
      <c r="X1818" s="380"/>
    </row>
    <row r="1819" spans="1:24" ht="15.75" customHeight="1">
      <c r="A1819" s="463"/>
      <c r="B1819" s="380"/>
      <c r="C1819" s="381"/>
      <c r="D1819" s="381"/>
      <c r="E1819" s="381"/>
      <c r="F1819" s="381"/>
      <c r="G1819" s="381"/>
      <c r="H1819" s="381"/>
      <c r="I1819" s="381"/>
      <c r="J1819" s="381"/>
      <c r="K1819" s="382"/>
      <c r="L1819" s="380"/>
      <c r="M1819" s="413"/>
      <c r="N1819" s="383"/>
      <c r="O1819" s="384"/>
      <c r="P1819" s="384"/>
      <c r="Q1819" s="383"/>
      <c r="R1819" s="383"/>
      <c r="S1819" s="385"/>
      <c r="T1819" s="380"/>
      <c r="U1819" s="380"/>
      <c r="V1819" s="380"/>
      <c r="W1819" s="380"/>
      <c r="X1819" s="380"/>
    </row>
    <row r="1820" spans="1:24" ht="15.75" customHeight="1">
      <c r="A1820" s="463"/>
      <c r="B1820" s="380"/>
      <c r="C1820" s="381"/>
      <c r="D1820" s="381"/>
      <c r="E1820" s="381"/>
      <c r="F1820" s="381"/>
      <c r="G1820" s="381"/>
      <c r="H1820" s="381"/>
      <c r="I1820" s="381"/>
      <c r="J1820" s="381"/>
      <c r="K1820" s="382"/>
      <c r="L1820" s="380"/>
      <c r="M1820" s="413"/>
      <c r="N1820" s="383"/>
      <c r="O1820" s="384"/>
      <c r="P1820" s="384"/>
      <c r="Q1820" s="383"/>
      <c r="R1820" s="383"/>
      <c r="S1820" s="385"/>
      <c r="T1820" s="380"/>
      <c r="U1820" s="380"/>
      <c r="V1820" s="380"/>
      <c r="W1820" s="380"/>
      <c r="X1820" s="380"/>
    </row>
    <row r="1821" spans="1:24" ht="15.75" customHeight="1">
      <c r="A1821" s="463"/>
      <c r="B1821" s="380"/>
      <c r="C1821" s="381"/>
      <c r="D1821" s="381"/>
      <c r="E1821" s="381"/>
      <c r="F1821" s="381"/>
      <c r="G1821" s="381"/>
      <c r="H1821" s="381"/>
      <c r="I1821" s="381"/>
      <c r="J1821" s="381"/>
      <c r="K1821" s="382"/>
      <c r="L1821" s="380"/>
      <c r="M1821" s="413"/>
      <c r="N1821" s="383"/>
      <c r="O1821" s="384"/>
      <c r="P1821" s="384"/>
      <c r="Q1821" s="383"/>
      <c r="R1821" s="383"/>
      <c r="S1821" s="385"/>
      <c r="T1821" s="380"/>
      <c r="U1821" s="380"/>
      <c r="V1821" s="380"/>
      <c r="W1821" s="380"/>
      <c r="X1821" s="380"/>
    </row>
    <row r="1822" spans="1:24" ht="15.75" customHeight="1">
      <c r="A1822" s="463"/>
      <c r="B1822" s="380"/>
      <c r="C1822" s="381"/>
      <c r="D1822" s="381"/>
      <c r="E1822" s="381"/>
      <c r="F1822" s="381"/>
      <c r="G1822" s="381"/>
      <c r="H1822" s="381"/>
      <c r="I1822" s="381"/>
      <c r="J1822" s="381"/>
      <c r="K1822" s="382"/>
      <c r="L1822" s="380"/>
      <c r="M1822" s="413"/>
      <c r="N1822" s="383"/>
      <c r="O1822" s="384"/>
      <c r="P1822" s="384"/>
      <c r="Q1822" s="383"/>
      <c r="R1822" s="383"/>
      <c r="S1822" s="385"/>
      <c r="T1822" s="380"/>
      <c r="U1822" s="380"/>
      <c r="V1822" s="380"/>
      <c r="W1822" s="380"/>
      <c r="X1822" s="380"/>
    </row>
    <row r="1823" spans="1:24" ht="15.75" customHeight="1">
      <c r="A1823" s="463"/>
      <c r="B1823" s="380"/>
      <c r="C1823" s="381"/>
      <c r="D1823" s="381"/>
      <c r="E1823" s="381"/>
      <c r="F1823" s="381"/>
      <c r="G1823" s="381"/>
      <c r="H1823" s="381"/>
      <c r="I1823" s="381"/>
      <c r="J1823" s="381"/>
      <c r="K1823" s="382"/>
      <c r="L1823" s="380"/>
      <c r="M1823" s="413"/>
      <c r="N1823" s="383"/>
      <c r="O1823" s="384"/>
      <c r="P1823" s="384"/>
      <c r="Q1823" s="383"/>
      <c r="R1823" s="383"/>
      <c r="S1823" s="385"/>
      <c r="T1823" s="380"/>
      <c r="U1823" s="380"/>
      <c r="V1823" s="380"/>
      <c r="W1823" s="380"/>
      <c r="X1823" s="380"/>
    </row>
    <row r="1824" spans="1:24" ht="15.75" customHeight="1">
      <c r="A1824" s="463"/>
      <c r="B1824" s="380"/>
      <c r="C1824" s="381"/>
      <c r="D1824" s="381"/>
      <c r="E1824" s="381"/>
      <c r="F1824" s="381"/>
      <c r="G1824" s="381"/>
      <c r="H1824" s="381"/>
      <c r="I1824" s="381"/>
      <c r="J1824" s="381"/>
      <c r="K1824" s="382"/>
      <c r="L1824" s="380"/>
      <c r="M1824" s="413"/>
      <c r="N1824" s="383"/>
      <c r="O1824" s="384"/>
      <c r="P1824" s="384"/>
      <c r="Q1824" s="383"/>
      <c r="R1824" s="383"/>
      <c r="S1824" s="385"/>
      <c r="T1824" s="380"/>
      <c r="U1824" s="380"/>
      <c r="V1824" s="380"/>
      <c r="W1824" s="380"/>
      <c r="X1824" s="380"/>
    </row>
    <row r="1825" spans="1:24" ht="15.75" customHeight="1">
      <c r="A1825" s="463"/>
      <c r="B1825" s="380"/>
      <c r="C1825" s="381"/>
      <c r="D1825" s="381"/>
      <c r="E1825" s="381"/>
      <c r="F1825" s="381"/>
      <c r="G1825" s="381"/>
      <c r="H1825" s="381"/>
      <c r="I1825" s="381"/>
      <c r="J1825" s="381"/>
      <c r="K1825" s="382"/>
      <c r="L1825" s="380"/>
      <c r="M1825" s="413"/>
      <c r="N1825" s="383"/>
      <c r="O1825" s="384"/>
      <c r="P1825" s="384"/>
      <c r="Q1825" s="383"/>
      <c r="R1825" s="383"/>
      <c r="S1825" s="385"/>
      <c r="T1825" s="380"/>
      <c r="U1825" s="380"/>
      <c r="V1825" s="380"/>
      <c r="W1825" s="380"/>
      <c r="X1825" s="380"/>
    </row>
    <row r="1826" spans="1:24" ht="15.75" customHeight="1">
      <c r="A1826" s="463"/>
      <c r="B1826" s="380"/>
      <c r="C1826" s="381"/>
      <c r="D1826" s="381"/>
      <c r="E1826" s="381"/>
      <c r="F1826" s="381"/>
      <c r="G1826" s="381"/>
      <c r="H1826" s="381"/>
      <c r="I1826" s="381"/>
      <c r="J1826" s="381"/>
      <c r="K1826" s="382"/>
      <c r="L1826" s="380"/>
      <c r="M1826" s="413"/>
      <c r="N1826" s="383"/>
      <c r="O1826" s="384"/>
      <c r="P1826" s="384"/>
      <c r="Q1826" s="383"/>
      <c r="R1826" s="383"/>
      <c r="S1826" s="385"/>
      <c r="T1826" s="380"/>
      <c r="U1826" s="380"/>
      <c r="V1826" s="380"/>
      <c r="W1826" s="380"/>
      <c r="X1826" s="380"/>
    </row>
    <row r="1827" spans="1:24" ht="15.75" customHeight="1">
      <c r="A1827" s="463"/>
      <c r="B1827" s="380"/>
      <c r="C1827" s="381"/>
      <c r="D1827" s="381"/>
      <c r="E1827" s="381"/>
      <c r="F1827" s="381"/>
      <c r="G1827" s="381"/>
      <c r="H1827" s="381"/>
      <c r="I1827" s="381"/>
      <c r="J1827" s="381"/>
      <c r="K1827" s="382"/>
      <c r="L1827" s="380"/>
      <c r="M1827" s="413"/>
      <c r="N1827" s="383"/>
      <c r="O1827" s="384"/>
      <c r="P1827" s="384"/>
      <c r="Q1827" s="383"/>
      <c r="R1827" s="383"/>
      <c r="S1827" s="385"/>
      <c r="T1827" s="380"/>
      <c r="U1827" s="380"/>
      <c r="V1827" s="380"/>
      <c r="W1827" s="380"/>
      <c r="X1827" s="380"/>
    </row>
    <row r="1828" spans="1:24" ht="15.75" customHeight="1">
      <c r="A1828" s="463"/>
      <c r="B1828" s="380"/>
      <c r="C1828" s="381"/>
      <c r="D1828" s="381"/>
      <c r="E1828" s="381"/>
      <c r="F1828" s="381"/>
      <c r="G1828" s="381"/>
      <c r="H1828" s="381"/>
      <c r="I1828" s="381"/>
      <c r="J1828" s="381"/>
      <c r="K1828" s="382"/>
      <c r="L1828" s="380"/>
      <c r="M1828" s="413"/>
      <c r="N1828" s="383"/>
      <c r="O1828" s="384"/>
      <c r="P1828" s="384"/>
      <c r="Q1828" s="383"/>
      <c r="R1828" s="383"/>
      <c r="S1828" s="385"/>
      <c r="T1828" s="380"/>
      <c r="U1828" s="380"/>
      <c r="V1828" s="380"/>
      <c r="W1828" s="380"/>
      <c r="X1828" s="380"/>
    </row>
    <row r="1829" spans="1:24" ht="15.75" customHeight="1">
      <c r="A1829" s="463"/>
      <c r="B1829" s="380"/>
      <c r="C1829" s="381"/>
      <c r="D1829" s="381"/>
      <c r="E1829" s="381"/>
      <c r="F1829" s="381"/>
      <c r="G1829" s="381"/>
      <c r="H1829" s="381"/>
      <c r="I1829" s="381"/>
      <c r="J1829" s="381"/>
      <c r="K1829" s="382"/>
      <c r="L1829" s="380"/>
      <c r="M1829" s="413"/>
      <c r="N1829" s="383"/>
      <c r="O1829" s="384"/>
      <c r="P1829" s="384"/>
      <c r="Q1829" s="383"/>
      <c r="R1829" s="383"/>
      <c r="S1829" s="385"/>
      <c r="T1829" s="380"/>
      <c r="U1829" s="380"/>
      <c r="V1829" s="380"/>
      <c r="W1829" s="380"/>
      <c r="X1829" s="380"/>
    </row>
    <row r="1830" spans="1:24" ht="15.75" customHeight="1">
      <c r="A1830" s="463"/>
      <c r="B1830" s="380"/>
      <c r="C1830" s="381"/>
      <c r="D1830" s="381"/>
      <c r="E1830" s="381"/>
      <c r="F1830" s="381"/>
      <c r="G1830" s="381"/>
      <c r="H1830" s="381"/>
      <c r="I1830" s="381"/>
      <c r="J1830" s="381"/>
      <c r="K1830" s="382"/>
      <c r="L1830" s="380"/>
      <c r="M1830" s="413"/>
      <c r="N1830" s="383"/>
      <c r="O1830" s="384"/>
      <c r="P1830" s="384"/>
      <c r="Q1830" s="383"/>
      <c r="R1830" s="383"/>
      <c r="S1830" s="385"/>
      <c r="T1830" s="380"/>
      <c r="U1830" s="380"/>
      <c r="V1830" s="380"/>
      <c r="W1830" s="380"/>
      <c r="X1830" s="380"/>
    </row>
    <row r="1831" spans="1:24" ht="15.75" customHeight="1">
      <c r="A1831" s="463"/>
      <c r="B1831" s="380"/>
      <c r="C1831" s="381"/>
      <c r="D1831" s="381"/>
      <c r="E1831" s="381"/>
      <c r="F1831" s="381"/>
      <c r="G1831" s="381"/>
      <c r="H1831" s="381"/>
      <c r="I1831" s="381"/>
      <c r="J1831" s="381"/>
      <c r="K1831" s="382"/>
      <c r="L1831" s="380"/>
      <c r="M1831" s="413"/>
      <c r="N1831" s="383"/>
      <c r="O1831" s="384"/>
      <c r="P1831" s="384"/>
      <c r="Q1831" s="383"/>
      <c r="R1831" s="383"/>
      <c r="S1831" s="385"/>
      <c r="T1831" s="380"/>
      <c r="U1831" s="380"/>
      <c r="V1831" s="380"/>
      <c r="W1831" s="380"/>
      <c r="X1831" s="380"/>
    </row>
    <row r="1832" spans="1:24" ht="15.75" customHeight="1">
      <c r="A1832" s="463"/>
      <c r="B1832" s="380"/>
      <c r="C1832" s="381"/>
      <c r="D1832" s="381"/>
      <c r="E1832" s="381"/>
      <c r="F1832" s="381"/>
      <c r="G1832" s="381"/>
      <c r="H1832" s="381"/>
      <c r="I1832" s="381"/>
      <c r="J1832" s="381"/>
      <c r="K1832" s="382"/>
      <c r="L1832" s="380"/>
      <c r="M1832" s="413"/>
      <c r="N1832" s="383"/>
      <c r="O1832" s="384"/>
      <c r="P1832" s="384"/>
      <c r="Q1832" s="383"/>
      <c r="R1832" s="383"/>
      <c r="S1832" s="385"/>
      <c r="T1832" s="380"/>
      <c r="U1832" s="380"/>
      <c r="V1832" s="380"/>
      <c r="W1832" s="380"/>
      <c r="X1832" s="380"/>
    </row>
    <row r="1833" spans="1:24" ht="15.75" customHeight="1">
      <c r="A1833" s="463"/>
      <c r="B1833" s="380"/>
      <c r="C1833" s="381"/>
      <c r="D1833" s="381"/>
      <c r="E1833" s="381"/>
      <c r="F1833" s="381"/>
      <c r="G1833" s="381"/>
      <c r="H1833" s="381"/>
      <c r="I1833" s="381"/>
      <c r="J1833" s="381"/>
      <c r="K1833" s="382"/>
      <c r="L1833" s="380"/>
      <c r="M1833" s="413"/>
      <c r="N1833" s="383"/>
      <c r="O1833" s="384"/>
      <c r="P1833" s="384"/>
      <c r="Q1833" s="383"/>
      <c r="R1833" s="383"/>
      <c r="S1833" s="385"/>
      <c r="T1833" s="380"/>
      <c r="U1833" s="380"/>
      <c r="V1833" s="380"/>
      <c r="W1833" s="380"/>
      <c r="X1833" s="380"/>
    </row>
    <row r="1834" spans="1:24" ht="15.75" customHeight="1">
      <c r="A1834" s="463"/>
      <c r="B1834" s="380"/>
      <c r="C1834" s="381"/>
      <c r="D1834" s="381"/>
      <c r="E1834" s="381"/>
      <c r="F1834" s="381"/>
      <c r="G1834" s="381"/>
      <c r="H1834" s="381"/>
      <c r="I1834" s="381"/>
      <c r="J1834" s="381"/>
      <c r="K1834" s="382"/>
      <c r="L1834" s="380"/>
      <c r="M1834" s="413"/>
      <c r="N1834" s="383"/>
      <c r="O1834" s="384"/>
      <c r="P1834" s="384"/>
      <c r="Q1834" s="383"/>
      <c r="R1834" s="383"/>
      <c r="S1834" s="385"/>
      <c r="T1834" s="380"/>
      <c r="U1834" s="380"/>
      <c r="V1834" s="380"/>
      <c r="W1834" s="380"/>
      <c r="X1834" s="380"/>
    </row>
    <row r="1835" spans="1:24" ht="15.75" customHeight="1">
      <c r="A1835" s="463"/>
      <c r="B1835" s="380"/>
      <c r="C1835" s="381"/>
      <c r="D1835" s="381"/>
      <c r="E1835" s="381"/>
      <c r="F1835" s="381"/>
      <c r="G1835" s="381"/>
      <c r="H1835" s="381"/>
      <c r="I1835" s="381"/>
      <c r="J1835" s="381"/>
      <c r="K1835" s="382"/>
      <c r="L1835" s="380"/>
      <c r="M1835" s="413"/>
      <c r="N1835" s="383"/>
      <c r="O1835" s="384"/>
      <c r="P1835" s="384"/>
      <c r="Q1835" s="383"/>
      <c r="R1835" s="383"/>
      <c r="S1835" s="385"/>
      <c r="T1835" s="380"/>
      <c r="U1835" s="380"/>
      <c r="V1835" s="380"/>
      <c r="W1835" s="380"/>
      <c r="X1835" s="380"/>
    </row>
    <row r="1836" spans="1:24" ht="15.75" customHeight="1">
      <c r="A1836" s="463"/>
      <c r="B1836" s="380"/>
      <c r="C1836" s="381"/>
      <c r="D1836" s="381"/>
      <c r="E1836" s="381"/>
      <c r="F1836" s="381"/>
      <c r="G1836" s="381"/>
      <c r="H1836" s="381"/>
      <c r="I1836" s="381"/>
      <c r="J1836" s="381"/>
      <c r="K1836" s="382"/>
      <c r="L1836" s="380"/>
      <c r="M1836" s="413"/>
      <c r="N1836" s="383"/>
      <c r="O1836" s="384"/>
      <c r="P1836" s="384"/>
      <c r="Q1836" s="383"/>
      <c r="R1836" s="383"/>
      <c r="S1836" s="385"/>
      <c r="T1836" s="380"/>
      <c r="U1836" s="380"/>
      <c r="V1836" s="380"/>
      <c r="W1836" s="380"/>
      <c r="X1836" s="380"/>
    </row>
    <row r="1837" spans="1:24" ht="15.75" customHeight="1">
      <c r="A1837" s="463"/>
      <c r="B1837" s="380"/>
      <c r="C1837" s="381"/>
      <c r="D1837" s="381"/>
      <c r="E1837" s="381"/>
      <c r="F1837" s="381"/>
      <c r="G1837" s="381"/>
      <c r="H1837" s="381"/>
      <c r="I1837" s="381"/>
      <c r="J1837" s="381"/>
      <c r="K1837" s="382"/>
      <c r="L1837" s="380"/>
      <c r="M1837" s="413"/>
      <c r="N1837" s="383"/>
      <c r="O1837" s="384"/>
      <c r="P1837" s="384"/>
      <c r="Q1837" s="383"/>
      <c r="R1837" s="383"/>
      <c r="S1837" s="385"/>
      <c r="T1837" s="380"/>
      <c r="U1837" s="380"/>
      <c r="V1837" s="380"/>
      <c r="W1837" s="380"/>
      <c r="X1837" s="380"/>
    </row>
    <row r="1838" spans="1:24" ht="15.75" customHeight="1">
      <c r="A1838" s="463"/>
      <c r="B1838" s="380"/>
      <c r="C1838" s="381"/>
      <c r="D1838" s="381"/>
      <c r="E1838" s="381"/>
      <c r="F1838" s="381"/>
      <c r="G1838" s="381"/>
      <c r="H1838" s="381"/>
      <c r="I1838" s="381"/>
      <c r="J1838" s="381"/>
      <c r="K1838" s="382"/>
      <c r="L1838" s="380"/>
      <c r="M1838" s="413"/>
      <c r="N1838" s="383"/>
      <c r="O1838" s="384"/>
      <c r="P1838" s="384"/>
      <c r="Q1838" s="383"/>
      <c r="R1838" s="383"/>
      <c r="S1838" s="385"/>
      <c r="T1838" s="380"/>
      <c r="U1838" s="380"/>
      <c r="V1838" s="380"/>
      <c r="W1838" s="380"/>
      <c r="X1838" s="380"/>
    </row>
    <row r="1839" spans="1:24" ht="15.75" customHeight="1">
      <c r="A1839" s="463"/>
      <c r="B1839" s="380"/>
      <c r="C1839" s="381"/>
      <c r="D1839" s="381"/>
      <c r="E1839" s="381"/>
      <c r="F1839" s="381"/>
      <c r="G1839" s="381"/>
      <c r="H1839" s="381"/>
      <c r="I1839" s="381"/>
      <c r="J1839" s="381"/>
      <c r="K1839" s="382"/>
      <c r="L1839" s="380"/>
      <c r="M1839" s="413"/>
      <c r="N1839" s="383"/>
      <c r="O1839" s="384"/>
      <c r="P1839" s="384"/>
      <c r="Q1839" s="383"/>
      <c r="R1839" s="383"/>
      <c r="S1839" s="385"/>
      <c r="T1839" s="380"/>
      <c r="U1839" s="380"/>
      <c r="V1839" s="380"/>
      <c r="W1839" s="380"/>
      <c r="X1839" s="380"/>
    </row>
    <row r="1840" spans="1:24" ht="15.75" customHeight="1">
      <c r="A1840" s="463"/>
      <c r="B1840" s="380"/>
      <c r="C1840" s="381"/>
      <c r="D1840" s="381"/>
      <c r="E1840" s="381"/>
      <c r="F1840" s="381"/>
      <c r="G1840" s="381"/>
      <c r="H1840" s="381"/>
      <c r="I1840" s="381"/>
      <c r="J1840" s="381"/>
      <c r="K1840" s="382"/>
      <c r="L1840" s="380"/>
      <c r="M1840" s="413"/>
      <c r="N1840" s="383"/>
      <c r="O1840" s="384"/>
      <c r="P1840" s="384"/>
      <c r="Q1840" s="383"/>
      <c r="R1840" s="383"/>
      <c r="S1840" s="385"/>
      <c r="T1840" s="380"/>
      <c r="U1840" s="380"/>
      <c r="V1840" s="380"/>
      <c r="W1840" s="380"/>
      <c r="X1840" s="380"/>
    </row>
    <row r="1841" spans="1:24" ht="15.75" customHeight="1">
      <c r="A1841" s="463"/>
      <c r="B1841" s="380"/>
      <c r="C1841" s="381"/>
      <c r="D1841" s="381"/>
      <c r="E1841" s="381"/>
      <c r="F1841" s="381"/>
      <c r="G1841" s="381"/>
      <c r="H1841" s="381"/>
      <c r="I1841" s="381"/>
      <c r="J1841" s="381"/>
      <c r="K1841" s="382"/>
      <c r="L1841" s="380"/>
      <c r="M1841" s="413"/>
      <c r="N1841" s="383"/>
      <c r="O1841" s="384"/>
      <c r="P1841" s="384"/>
      <c r="Q1841" s="383"/>
      <c r="R1841" s="383"/>
      <c r="S1841" s="385"/>
      <c r="T1841" s="380"/>
      <c r="U1841" s="380"/>
      <c r="V1841" s="380"/>
      <c r="W1841" s="380"/>
      <c r="X1841" s="380"/>
    </row>
    <row r="1842" spans="1:24" ht="15.75" customHeight="1">
      <c r="A1842" s="463"/>
      <c r="B1842" s="380"/>
      <c r="C1842" s="381"/>
      <c r="D1842" s="381"/>
      <c r="E1842" s="381"/>
      <c r="F1842" s="381"/>
      <c r="G1842" s="381"/>
      <c r="H1842" s="381"/>
      <c r="I1842" s="381"/>
      <c r="J1842" s="381"/>
      <c r="K1842" s="382"/>
      <c r="L1842" s="380"/>
      <c r="M1842" s="413"/>
      <c r="N1842" s="383"/>
      <c r="O1842" s="384"/>
      <c r="P1842" s="384"/>
      <c r="Q1842" s="383"/>
      <c r="R1842" s="383"/>
      <c r="S1842" s="385"/>
      <c r="T1842" s="380"/>
      <c r="U1842" s="380"/>
      <c r="V1842" s="380"/>
      <c r="W1842" s="380"/>
      <c r="X1842" s="380"/>
    </row>
    <row r="1843" spans="1:24" ht="15.75" customHeight="1">
      <c r="A1843" s="463"/>
      <c r="B1843" s="380"/>
      <c r="C1843" s="381"/>
      <c r="D1843" s="381"/>
      <c r="E1843" s="381"/>
      <c r="F1843" s="381"/>
      <c r="G1843" s="381"/>
      <c r="H1843" s="381"/>
      <c r="I1843" s="381"/>
      <c r="J1843" s="381"/>
      <c r="K1843" s="382"/>
      <c r="L1843" s="380"/>
      <c r="M1843" s="413"/>
      <c r="N1843" s="383"/>
      <c r="O1843" s="384"/>
      <c r="P1843" s="384"/>
      <c r="Q1843" s="383"/>
      <c r="R1843" s="383"/>
      <c r="S1843" s="385"/>
      <c r="T1843" s="380"/>
      <c r="U1843" s="380"/>
      <c r="V1843" s="380"/>
      <c r="W1843" s="380"/>
      <c r="X1843" s="380"/>
    </row>
    <row r="1844" spans="1:24" ht="15.75" customHeight="1">
      <c r="A1844" s="463"/>
      <c r="B1844" s="380"/>
      <c r="C1844" s="381"/>
      <c r="D1844" s="381"/>
      <c r="E1844" s="381"/>
      <c r="F1844" s="381"/>
      <c r="G1844" s="381"/>
      <c r="H1844" s="381"/>
      <c r="I1844" s="381"/>
      <c r="J1844" s="381"/>
      <c r="K1844" s="382"/>
      <c r="L1844" s="380"/>
      <c r="M1844" s="413"/>
      <c r="N1844" s="383"/>
      <c r="O1844" s="384"/>
      <c r="P1844" s="384"/>
      <c r="Q1844" s="383"/>
      <c r="R1844" s="383"/>
      <c r="S1844" s="385"/>
      <c r="T1844" s="380"/>
      <c r="U1844" s="380"/>
      <c r="V1844" s="380"/>
      <c r="W1844" s="380"/>
      <c r="X1844" s="380"/>
    </row>
    <row r="1845" spans="1:24" ht="15.75" customHeight="1">
      <c r="A1845" s="463"/>
      <c r="B1845" s="380"/>
      <c r="C1845" s="381"/>
      <c r="D1845" s="381"/>
      <c r="E1845" s="381"/>
      <c r="F1845" s="381"/>
      <c r="G1845" s="381"/>
      <c r="H1845" s="381"/>
      <c r="I1845" s="381"/>
      <c r="J1845" s="381"/>
      <c r="K1845" s="382"/>
      <c r="L1845" s="380"/>
      <c r="M1845" s="413"/>
      <c r="N1845" s="383"/>
      <c r="O1845" s="384"/>
      <c r="P1845" s="384"/>
      <c r="Q1845" s="383"/>
      <c r="R1845" s="383"/>
      <c r="S1845" s="385"/>
      <c r="T1845" s="380"/>
      <c r="U1845" s="380"/>
      <c r="V1845" s="380"/>
      <c r="W1845" s="380"/>
      <c r="X1845" s="380"/>
    </row>
    <row r="1846" spans="1:24" ht="15.75" customHeight="1">
      <c r="A1846" s="463"/>
      <c r="B1846" s="380"/>
      <c r="C1846" s="381"/>
      <c r="D1846" s="381"/>
      <c r="E1846" s="381"/>
      <c r="F1846" s="381"/>
      <c r="G1846" s="381"/>
      <c r="H1846" s="381"/>
      <c r="I1846" s="381"/>
      <c r="J1846" s="381"/>
      <c r="K1846" s="382"/>
      <c r="L1846" s="380"/>
      <c r="M1846" s="413"/>
      <c r="N1846" s="383"/>
      <c r="O1846" s="384"/>
      <c r="P1846" s="384"/>
      <c r="Q1846" s="383"/>
      <c r="R1846" s="383"/>
      <c r="S1846" s="385"/>
      <c r="T1846" s="380"/>
      <c r="U1846" s="380"/>
      <c r="V1846" s="380"/>
      <c r="W1846" s="380"/>
      <c r="X1846" s="380"/>
    </row>
    <row r="1847" spans="1:24" ht="15.75" customHeight="1">
      <c r="A1847" s="463"/>
      <c r="B1847" s="380"/>
      <c r="C1847" s="381"/>
      <c r="D1847" s="381"/>
      <c r="E1847" s="381"/>
      <c r="F1847" s="381"/>
      <c r="G1847" s="381"/>
      <c r="H1847" s="381"/>
      <c r="I1847" s="381"/>
      <c r="J1847" s="381"/>
      <c r="K1847" s="382"/>
      <c r="L1847" s="380"/>
      <c r="M1847" s="413"/>
      <c r="N1847" s="383"/>
      <c r="O1847" s="384"/>
      <c r="P1847" s="384"/>
      <c r="Q1847" s="383"/>
      <c r="R1847" s="383"/>
      <c r="S1847" s="385"/>
      <c r="T1847" s="380"/>
      <c r="U1847" s="380"/>
      <c r="V1847" s="380"/>
      <c r="W1847" s="380"/>
      <c r="X1847" s="380"/>
    </row>
    <row r="1848" spans="1:24" ht="15.75" customHeight="1">
      <c r="A1848" s="463"/>
      <c r="B1848" s="380"/>
      <c r="C1848" s="381"/>
      <c r="D1848" s="381"/>
      <c r="E1848" s="381"/>
      <c r="F1848" s="381"/>
      <c r="G1848" s="381"/>
      <c r="H1848" s="381"/>
      <c r="I1848" s="381"/>
      <c r="J1848" s="381"/>
      <c r="K1848" s="382"/>
      <c r="L1848" s="380"/>
      <c r="M1848" s="413"/>
      <c r="N1848" s="383"/>
      <c r="O1848" s="384"/>
      <c r="P1848" s="384"/>
      <c r="Q1848" s="383"/>
      <c r="R1848" s="383"/>
      <c r="S1848" s="385"/>
      <c r="T1848" s="380"/>
      <c r="U1848" s="380"/>
      <c r="V1848" s="380"/>
      <c r="W1848" s="380"/>
      <c r="X1848" s="380"/>
    </row>
    <row r="1849" spans="1:24" ht="15.75" customHeight="1">
      <c r="A1849" s="463"/>
      <c r="B1849" s="380"/>
      <c r="C1849" s="381"/>
      <c r="D1849" s="381"/>
      <c r="E1849" s="381"/>
      <c r="F1849" s="381"/>
      <c r="G1849" s="381"/>
      <c r="H1849" s="381"/>
      <c r="I1849" s="381"/>
      <c r="J1849" s="381"/>
      <c r="K1849" s="382"/>
      <c r="L1849" s="380"/>
      <c r="M1849" s="413"/>
      <c r="N1849" s="383"/>
      <c r="O1849" s="384"/>
      <c r="P1849" s="384"/>
      <c r="Q1849" s="383"/>
      <c r="R1849" s="383"/>
      <c r="S1849" s="385"/>
      <c r="T1849" s="380"/>
      <c r="U1849" s="380"/>
      <c r="V1849" s="380"/>
      <c r="W1849" s="380"/>
      <c r="X1849" s="380"/>
    </row>
    <row r="1850" spans="1:24" ht="15.75" customHeight="1">
      <c r="A1850" s="463"/>
      <c r="B1850" s="380"/>
      <c r="C1850" s="381"/>
      <c r="D1850" s="381"/>
      <c r="E1850" s="381"/>
      <c r="F1850" s="381"/>
      <c r="G1850" s="381"/>
      <c r="H1850" s="381"/>
      <c r="I1850" s="381"/>
      <c r="J1850" s="381"/>
      <c r="K1850" s="382"/>
      <c r="L1850" s="380"/>
      <c r="M1850" s="413"/>
      <c r="N1850" s="383"/>
      <c r="O1850" s="384"/>
      <c r="P1850" s="384"/>
      <c r="Q1850" s="383"/>
      <c r="R1850" s="383"/>
      <c r="S1850" s="385"/>
      <c r="T1850" s="380"/>
      <c r="U1850" s="380"/>
      <c r="V1850" s="380"/>
      <c r="W1850" s="380"/>
      <c r="X1850" s="380"/>
    </row>
    <row r="1851" spans="1:24" ht="15.75" customHeight="1">
      <c r="A1851" s="463"/>
      <c r="B1851" s="380"/>
      <c r="C1851" s="381"/>
      <c r="D1851" s="381"/>
      <c r="E1851" s="381"/>
      <c r="F1851" s="381"/>
      <c r="G1851" s="381"/>
      <c r="H1851" s="381"/>
      <c r="I1851" s="381"/>
      <c r="J1851" s="381"/>
      <c r="K1851" s="382"/>
      <c r="L1851" s="380"/>
      <c r="M1851" s="413"/>
      <c r="N1851" s="383"/>
      <c r="O1851" s="384"/>
      <c r="P1851" s="384"/>
      <c r="Q1851" s="383"/>
      <c r="R1851" s="383"/>
      <c r="S1851" s="385"/>
      <c r="T1851" s="380"/>
      <c r="U1851" s="380"/>
      <c r="V1851" s="380"/>
      <c r="W1851" s="380"/>
      <c r="X1851" s="380"/>
    </row>
    <row r="1852" spans="1:24" ht="15.75" customHeight="1">
      <c r="A1852" s="463"/>
      <c r="B1852" s="380"/>
      <c r="C1852" s="381"/>
      <c r="D1852" s="381"/>
      <c r="E1852" s="381"/>
      <c r="F1852" s="381"/>
      <c r="G1852" s="381"/>
      <c r="H1852" s="381"/>
      <c r="I1852" s="381"/>
      <c r="J1852" s="381"/>
      <c r="K1852" s="382"/>
      <c r="L1852" s="380"/>
      <c r="M1852" s="413"/>
      <c r="N1852" s="383"/>
      <c r="O1852" s="384"/>
      <c r="P1852" s="384"/>
      <c r="Q1852" s="383"/>
      <c r="R1852" s="383"/>
      <c r="S1852" s="385"/>
      <c r="T1852" s="380"/>
      <c r="U1852" s="380"/>
      <c r="V1852" s="380"/>
      <c r="W1852" s="380"/>
      <c r="X1852" s="380"/>
    </row>
    <row r="1853" spans="1:24" ht="15.75" customHeight="1">
      <c r="A1853" s="463"/>
      <c r="B1853" s="380"/>
      <c r="C1853" s="381"/>
      <c r="D1853" s="381"/>
      <c r="E1853" s="381"/>
      <c r="F1853" s="381"/>
      <c r="G1853" s="381"/>
      <c r="H1853" s="381"/>
      <c r="I1853" s="381"/>
      <c r="J1853" s="381"/>
      <c r="K1853" s="382"/>
      <c r="L1853" s="380"/>
      <c r="M1853" s="413"/>
      <c r="N1853" s="383"/>
      <c r="O1853" s="384"/>
      <c r="P1853" s="384"/>
      <c r="Q1853" s="383"/>
      <c r="R1853" s="383"/>
      <c r="S1853" s="385"/>
      <c r="T1853" s="380"/>
      <c r="U1853" s="380"/>
      <c r="V1853" s="380"/>
      <c r="W1853" s="380"/>
      <c r="X1853" s="380"/>
    </row>
    <row r="1854" spans="1:24" ht="15.75" customHeight="1">
      <c r="A1854" s="463"/>
      <c r="B1854" s="380"/>
      <c r="C1854" s="381"/>
      <c r="D1854" s="381"/>
      <c r="E1854" s="381"/>
      <c r="F1854" s="381"/>
      <c r="G1854" s="381"/>
      <c r="H1854" s="381"/>
      <c r="I1854" s="381"/>
      <c r="J1854" s="381"/>
      <c r="K1854" s="382"/>
      <c r="L1854" s="380"/>
      <c r="M1854" s="413"/>
      <c r="N1854" s="383"/>
      <c r="O1854" s="384"/>
      <c r="P1854" s="384"/>
      <c r="Q1854" s="383"/>
      <c r="R1854" s="383"/>
      <c r="S1854" s="385"/>
      <c r="T1854" s="380"/>
      <c r="U1854" s="380"/>
      <c r="V1854" s="380"/>
      <c r="W1854" s="380"/>
      <c r="X1854" s="380"/>
    </row>
    <row r="1855" spans="1:24" ht="15.75" customHeight="1">
      <c r="A1855" s="463"/>
      <c r="B1855" s="380"/>
      <c r="C1855" s="381"/>
      <c r="D1855" s="381"/>
      <c r="E1855" s="381"/>
      <c r="F1855" s="381"/>
      <c r="G1855" s="381"/>
      <c r="H1855" s="381"/>
      <c r="I1855" s="381"/>
      <c r="J1855" s="381"/>
      <c r="K1855" s="382"/>
      <c r="L1855" s="380"/>
      <c r="M1855" s="413"/>
      <c r="N1855" s="383"/>
      <c r="O1855" s="384"/>
      <c r="P1855" s="384"/>
      <c r="Q1855" s="383"/>
      <c r="R1855" s="383"/>
      <c r="S1855" s="385"/>
      <c r="T1855" s="380"/>
      <c r="U1855" s="380"/>
      <c r="V1855" s="380"/>
      <c r="W1855" s="380"/>
      <c r="X1855" s="380"/>
    </row>
    <row r="1856" spans="1:24" ht="15.75" customHeight="1">
      <c r="A1856" s="463"/>
      <c r="B1856" s="380"/>
      <c r="C1856" s="381"/>
      <c r="D1856" s="381"/>
      <c r="E1856" s="381"/>
      <c r="F1856" s="381"/>
      <c r="G1856" s="381"/>
      <c r="H1856" s="381"/>
      <c r="I1856" s="381"/>
      <c r="J1856" s="381"/>
      <c r="K1856" s="382"/>
      <c r="L1856" s="380"/>
      <c r="M1856" s="413"/>
      <c r="N1856" s="383"/>
      <c r="O1856" s="384"/>
      <c r="P1856" s="384"/>
      <c r="Q1856" s="383"/>
      <c r="R1856" s="383"/>
      <c r="S1856" s="385"/>
      <c r="T1856" s="380"/>
      <c r="U1856" s="380"/>
      <c r="V1856" s="380"/>
      <c r="W1856" s="380"/>
      <c r="X1856" s="380"/>
    </row>
    <row r="1857" spans="1:24" ht="15.75" customHeight="1">
      <c r="A1857" s="463"/>
      <c r="B1857" s="380"/>
      <c r="C1857" s="381"/>
      <c r="D1857" s="381"/>
      <c r="E1857" s="381"/>
      <c r="F1857" s="381"/>
      <c r="G1857" s="381"/>
      <c r="H1857" s="381"/>
      <c r="I1857" s="381"/>
      <c r="J1857" s="381"/>
      <c r="K1857" s="382"/>
      <c r="L1857" s="380"/>
      <c r="M1857" s="413"/>
      <c r="N1857" s="383"/>
      <c r="O1857" s="384"/>
      <c r="P1857" s="384"/>
      <c r="Q1857" s="383"/>
      <c r="R1857" s="383"/>
      <c r="S1857" s="385"/>
      <c r="T1857" s="380"/>
      <c r="U1857" s="380"/>
      <c r="V1857" s="380"/>
      <c r="W1857" s="380"/>
      <c r="X1857" s="380"/>
    </row>
    <row r="1858" spans="1:24" ht="15.75" customHeight="1">
      <c r="A1858" s="463"/>
      <c r="B1858" s="380"/>
      <c r="C1858" s="381"/>
      <c r="D1858" s="381"/>
      <c r="E1858" s="381"/>
      <c r="F1858" s="381"/>
      <c r="G1858" s="381"/>
      <c r="H1858" s="381"/>
      <c r="I1858" s="381"/>
      <c r="J1858" s="381"/>
      <c r="K1858" s="382"/>
      <c r="L1858" s="380"/>
      <c r="M1858" s="413"/>
      <c r="N1858" s="383"/>
      <c r="O1858" s="384"/>
      <c r="P1858" s="384"/>
      <c r="Q1858" s="383"/>
      <c r="R1858" s="383"/>
      <c r="S1858" s="385"/>
      <c r="T1858" s="380"/>
      <c r="U1858" s="380"/>
      <c r="V1858" s="380"/>
      <c r="W1858" s="380"/>
      <c r="X1858" s="380"/>
    </row>
    <row r="1859" spans="1:24" ht="15.75" customHeight="1">
      <c r="A1859" s="463"/>
      <c r="B1859" s="380"/>
      <c r="C1859" s="381"/>
      <c r="D1859" s="381"/>
      <c r="E1859" s="381"/>
      <c r="F1859" s="381"/>
      <c r="G1859" s="381"/>
      <c r="H1859" s="381"/>
      <c r="I1859" s="381"/>
      <c r="J1859" s="381"/>
      <c r="K1859" s="382"/>
      <c r="L1859" s="380"/>
      <c r="M1859" s="413"/>
      <c r="N1859" s="383"/>
      <c r="O1859" s="384"/>
      <c r="P1859" s="384"/>
      <c r="Q1859" s="383"/>
      <c r="R1859" s="383"/>
      <c r="S1859" s="385"/>
      <c r="T1859" s="380"/>
      <c r="U1859" s="380"/>
      <c r="V1859" s="380"/>
      <c r="W1859" s="380"/>
      <c r="X1859" s="380"/>
    </row>
    <row r="1860" spans="1:24" ht="15.75" customHeight="1">
      <c r="A1860" s="463"/>
      <c r="B1860" s="380"/>
      <c r="C1860" s="381"/>
      <c r="D1860" s="381"/>
      <c r="E1860" s="381"/>
      <c r="F1860" s="381"/>
      <c r="G1860" s="381"/>
      <c r="H1860" s="381"/>
      <c r="I1860" s="381"/>
      <c r="J1860" s="381"/>
      <c r="K1860" s="382"/>
      <c r="L1860" s="380"/>
      <c r="M1860" s="413"/>
      <c r="N1860" s="383"/>
      <c r="O1860" s="384"/>
      <c r="P1860" s="384"/>
      <c r="Q1860" s="383"/>
      <c r="R1860" s="383"/>
      <c r="S1860" s="385"/>
      <c r="T1860" s="380"/>
      <c r="U1860" s="380"/>
      <c r="V1860" s="380"/>
      <c r="W1860" s="380"/>
      <c r="X1860" s="380"/>
    </row>
    <row r="1861" spans="1:24" ht="15.75" customHeight="1">
      <c r="A1861" s="463"/>
      <c r="B1861" s="380"/>
      <c r="C1861" s="381"/>
      <c r="D1861" s="381"/>
      <c r="E1861" s="381"/>
      <c r="F1861" s="381"/>
      <c r="G1861" s="381"/>
      <c r="H1861" s="381"/>
      <c r="I1861" s="381"/>
      <c r="J1861" s="381"/>
      <c r="K1861" s="382"/>
      <c r="L1861" s="380"/>
      <c r="M1861" s="413"/>
      <c r="N1861" s="383"/>
      <c r="O1861" s="384"/>
      <c r="P1861" s="384"/>
      <c r="Q1861" s="383"/>
      <c r="R1861" s="383"/>
      <c r="S1861" s="385"/>
      <c r="T1861" s="380"/>
      <c r="U1861" s="380"/>
      <c r="V1861" s="380"/>
      <c r="W1861" s="380"/>
      <c r="X1861" s="380"/>
    </row>
    <row r="1862" spans="1:24" ht="15.75" customHeight="1">
      <c r="A1862" s="463"/>
      <c r="B1862" s="380"/>
      <c r="C1862" s="381"/>
      <c r="D1862" s="381"/>
      <c r="E1862" s="381"/>
      <c r="F1862" s="381"/>
      <c r="G1862" s="381"/>
      <c r="H1862" s="381"/>
      <c r="I1862" s="381"/>
      <c r="J1862" s="381"/>
      <c r="K1862" s="382"/>
      <c r="L1862" s="380"/>
      <c r="M1862" s="413"/>
      <c r="N1862" s="383"/>
      <c r="O1862" s="384"/>
      <c r="P1862" s="384"/>
      <c r="Q1862" s="383"/>
      <c r="R1862" s="383"/>
      <c r="S1862" s="385"/>
      <c r="T1862" s="380"/>
      <c r="U1862" s="380"/>
      <c r="V1862" s="380"/>
      <c r="W1862" s="380"/>
      <c r="X1862" s="380"/>
    </row>
    <row r="1863" spans="1:24" ht="15.75" customHeight="1">
      <c r="A1863" s="463"/>
      <c r="B1863" s="380"/>
      <c r="C1863" s="381"/>
      <c r="D1863" s="381"/>
      <c r="E1863" s="381"/>
      <c r="F1863" s="381"/>
      <c r="G1863" s="381"/>
      <c r="H1863" s="381"/>
      <c r="I1863" s="381"/>
      <c r="J1863" s="381"/>
      <c r="K1863" s="382"/>
      <c r="L1863" s="380"/>
      <c r="M1863" s="413"/>
      <c r="N1863" s="383"/>
      <c r="O1863" s="384"/>
      <c r="P1863" s="384"/>
      <c r="Q1863" s="383"/>
      <c r="R1863" s="383"/>
      <c r="S1863" s="385"/>
      <c r="T1863" s="380"/>
      <c r="U1863" s="380"/>
      <c r="V1863" s="380"/>
      <c r="W1863" s="380"/>
      <c r="X1863" s="380"/>
    </row>
    <row r="1864" spans="1:24" ht="15.75" customHeight="1">
      <c r="A1864" s="463"/>
      <c r="B1864" s="380"/>
      <c r="C1864" s="381"/>
      <c r="D1864" s="381"/>
      <c r="E1864" s="381"/>
      <c r="F1864" s="381"/>
      <c r="G1864" s="381"/>
      <c r="H1864" s="381"/>
      <c r="I1864" s="381"/>
      <c r="J1864" s="381"/>
      <c r="K1864" s="382"/>
      <c r="L1864" s="380"/>
      <c r="M1864" s="413"/>
      <c r="N1864" s="383"/>
      <c r="O1864" s="384"/>
      <c r="P1864" s="384"/>
      <c r="Q1864" s="383"/>
      <c r="R1864" s="383"/>
      <c r="S1864" s="385"/>
      <c r="T1864" s="380"/>
      <c r="U1864" s="380"/>
      <c r="V1864" s="380"/>
      <c r="W1864" s="380"/>
      <c r="X1864" s="380"/>
    </row>
    <row r="1865" spans="1:24" ht="15.75" customHeight="1">
      <c r="A1865" s="463"/>
      <c r="B1865" s="380"/>
      <c r="C1865" s="381"/>
      <c r="D1865" s="381"/>
      <c r="E1865" s="381"/>
      <c r="F1865" s="381"/>
      <c r="G1865" s="381"/>
      <c r="H1865" s="381"/>
      <c r="I1865" s="381"/>
      <c r="J1865" s="381"/>
      <c r="K1865" s="382"/>
      <c r="L1865" s="380"/>
      <c r="M1865" s="413"/>
      <c r="N1865" s="383"/>
      <c r="O1865" s="384"/>
      <c r="P1865" s="384"/>
      <c r="Q1865" s="383"/>
      <c r="R1865" s="383"/>
      <c r="S1865" s="385"/>
      <c r="T1865" s="380"/>
      <c r="U1865" s="380"/>
      <c r="V1865" s="380"/>
      <c r="W1865" s="380"/>
      <c r="X1865" s="380"/>
    </row>
    <row r="1866" spans="1:24" ht="15.75" customHeight="1">
      <c r="A1866" s="463"/>
      <c r="B1866" s="380"/>
      <c r="C1866" s="381"/>
      <c r="D1866" s="381"/>
      <c r="E1866" s="381"/>
      <c r="F1866" s="381"/>
      <c r="G1866" s="381"/>
      <c r="H1866" s="381"/>
      <c r="I1866" s="381"/>
      <c r="J1866" s="381"/>
      <c r="K1866" s="382"/>
      <c r="L1866" s="380"/>
      <c r="M1866" s="413"/>
      <c r="N1866" s="383"/>
      <c r="O1866" s="384"/>
      <c r="P1866" s="384"/>
      <c r="Q1866" s="383"/>
      <c r="R1866" s="383"/>
      <c r="S1866" s="385"/>
      <c r="T1866" s="380"/>
      <c r="U1866" s="380"/>
      <c r="V1866" s="380"/>
      <c r="W1866" s="380"/>
      <c r="X1866" s="380"/>
    </row>
    <row r="1867" spans="1:24" ht="15.75" customHeight="1">
      <c r="A1867" s="463"/>
      <c r="B1867" s="380"/>
      <c r="C1867" s="381"/>
      <c r="D1867" s="381"/>
      <c r="E1867" s="381"/>
      <c r="F1867" s="381"/>
      <c r="G1867" s="381"/>
      <c r="H1867" s="381"/>
      <c r="I1867" s="381"/>
      <c r="J1867" s="381"/>
      <c r="K1867" s="382"/>
      <c r="L1867" s="380"/>
      <c r="M1867" s="413"/>
      <c r="N1867" s="383"/>
      <c r="O1867" s="384"/>
      <c r="P1867" s="384"/>
      <c r="Q1867" s="383"/>
      <c r="R1867" s="383"/>
      <c r="S1867" s="385"/>
      <c r="T1867" s="380"/>
      <c r="U1867" s="380"/>
      <c r="V1867" s="380"/>
      <c r="W1867" s="380"/>
      <c r="X1867" s="380"/>
    </row>
    <row r="1868" spans="1:24" ht="15.75" customHeight="1">
      <c r="A1868" s="463"/>
      <c r="B1868" s="380"/>
      <c r="C1868" s="381"/>
      <c r="D1868" s="381"/>
      <c r="E1868" s="381"/>
      <c r="F1868" s="381"/>
      <c r="G1868" s="381"/>
      <c r="H1868" s="381"/>
      <c r="I1868" s="381"/>
      <c r="J1868" s="381"/>
      <c r="K1868" s="382"/>
      <c r="L1868" s="380"/>
      <c r="M1868" s="413"/>
      <c r="N1868" s="383"/>
      <c r="O1868" s="384"/>
      <c r="P1868" s="384"/>
      <c r="Q1868" s="383"/>
      <c r="R1868" s="383"/>
      <c r="S1868" s="385"/>
      <c r="T1868" s="380"/>
      <c r="U1868" s="380"/>
      <c r="V1868" s="380"/>
      <c r="W1868" s="380"/>
      <c r="X1868" s="380"/>
    </row>
    <row r="1869" spans="1:24" ht="15.75" customHeight="1">
      <c r="A1869" s="463"/>
      <c r="B1869" s="380"/>
      <c r="C1869" s="381"/>
      <c r="D1869" s="381"/>
      <c r="E1869" s="381"/>
      <c r="F1869" s="381"/>
      <c r="G1869" s="381"/>
      <c r="H1869" s="381"/>
      <c r="I1869" s="381"/>
      <c r="J1869" s="381"/>
      <c r="K1869" s="382"/>
      <c r="L1869" s="380"/>
      <c r="M1869" s="413"/>
      <c r="N1869" s="383"/>
      <c r="O1869" s="384"/>
      <c r="P1869" s="384"/>
      <c r="Q1869" s="383"/>
      <c r="R1869" s="383"/>
      <c r="S1869" s="385"/>
      <c r="T1869" s="380"/>
      <c r="U1869" s="380"/>
      <c r="V1869" s="380"/>
      <c r="W1869" s="380"/>
      <c r="X1869" s="380"/>
    </row>
    <row r="1870" spans="1:24" ht="15.75" customHeight="1">
      <c r="A1870" s="463"/>
      <c r="B1870" s="380"/>
      <c r="C1870" s="381"/>
      <c r="D1870" s="381"/>
      <c r="E1870" s="381"/>
      <c r="F1870" s="381"/>
      <c r="G1870" s="381"/>
      <c r="H1870" s="381"/>
      <c r="I1870" s="381"/>
      <c r="J1870" s="381"/>
      <c r="K1870" s="382"/>
      <c r="L1870" s="380"/>
      <c r="M1870" s="413"/>
      <c r="N1870" s="383"/>
      <c r="O1870" s="384"/>
      <c r="P1870" s="384"/>
      <c r="Q1870" s="383"/>
      <c r="R1870" s="383"/>
      <c r="S1870" s="385"/>
      <c r="T1870" s="380"/>
      <c r="U1870" s="380"/>
      <c r="V1870" s="380"/>
      <c r="W1870" s="380"/>
      <c r="X1870" s="380"/>
    </row>
    <row r="1871" spans="1:24" ht="15.75" customHeight="1">
      <c r="A1871" s="463"/>
      <c r="B1871" s="380"/>
      <c r="C1871" s="381"/>
      <c r="D1871" s="381"/>
      <c r="E1871" s="381"/>
      <c r="F1871" s="381"/>
      <c r="G1871" s="381"/>
      <c r="H1871" s="381"/>
      <c r="I1871" s="381"/>
      <c r="J1871" s="381"/>
      <c r="K1871" s="382"/>
      <c r="L1871" s="380"/>
      <c r="M1871" s="413"/>
      <c r="N1871" s="383"/>
      <c r="O1871" s="384"/>
      <c r="P1871" s="384"/>
      <c r="Q1871" s="383"/>
      <c r="R1871" s="383"/>
      <c r="S1871" s="385"/>
      <c r="T1871" s="380"/>
      <c r="U1871" s="380"/>
      <c r="V1871" s="380"/>
      <c r="W1871" s="380"/>
      <c r="X1871" s="380"/>
    </row>
    <row r="1872" spans="1:24" ht="15.75" customHeight="1">
      <c r="A1872" s="463"/>
      <c r="B1872" s="380"/>
      <c r="C1872" s="381"/>
      <c r="D1872" s="381"/>
      <c r="E1872" s="381"/>
      <c r="F1872" s="381"/>
      <c r="G1872" s="381"/>
      <c r="H1872" s="381"/>
      <c r="I1872" s="381"/>
      <c r="J1872" s="381"/>
      <c r="K1872" s="382"/>
      <c r="L1872" s="380"/>
      <c r="M1872" s="413"/>
      <c r="N1872" s="383"/>
      <c r="O1872" s="384"/>
      <c r="P1872" s="384"/>
      <c r="Q1872" s="383"/>
      <c r="R1872" s="383"/>
      <c r="S1872" s="385"/>
      <c r="T1872" s="380"/>
      <c r="U1872" s="380"/>
      <c r="V1872" s="380"/>
      <c r="W1872" s="380"/>
      <c r="X1872" s="380"/>
    </row>
    <row r="1873" spans="1:24" ht="15.75" customHeight="1">
      <c r="A1873" s="463"/>
      <c r="B1873" s="380"/>
      <c r="C1873" s="381"/>
      <c r="D1873" s="381"/>
      <c r="E1873" s="381"/>
      <c r="F1873" s="381"/>
      <c r="G1873" s="381"/>
      <c r="H1873" s="381"/>
      <c r="I1873" s="381"/>
      <c r="J1873" s="381"/>
      <c r="K1873" s="382"/>
      <c r="L1873" s="380"/>
      <c r="M1873" s="413"/>
      <c r="N1873" s="383"/>
      <c r="O1873" s="384"/>
      <c r="P1873" s="384"/>
      <c r="Q1873" s="383"/>
      <c r="R1873" s="383"/>
      <c r="S1873" s="385"/>
      <c r="T1873" s="380"/>
      <c r="U1873" s="380"/>
      <c r="V1873" s="380"/>
      <c r="W1873" s="380"/>
      <c r="X1873" s="380"/>
    </row>
    <row r="1874" spans="1:24" ht="15.75" customHeight="1">
      <c r="A1874" s="463"/>
      <c r="B1874" s="380"/>
      <c r="C1874" s="381"/>
      <c r="D1874" s="381"/>
      <c r="E1874" s="381"/>
      <c r="F1874" s="381"/>
      <c r="G1874" s="381"/>
      <c r="H1874" s="381"/>
      <c r="I1874" s="381"/>
      <c r="J1874" s="381"/>
      <c r="K1874" s="382"/>
      <c r="L1874" s="380"/>
      <c r="M1874" s="413"/>
      <c r="N1874" s="383"/>
      <c r="O1874" s="384"/>
      <c r="P1874" s="384"/>
      <c r="Q1874" s="383"/>
      <c r="R1874" s="383"/>
      <c r="S1874" s="385"/>
      <c r="T1874" s="380"/>
      <c r="U1874" s="380"/>
      <c r="V1874" s="380"/>
      <c r="W1874" s="380"/>
      <c r="X1874" s="380"/>
    </row>
    <row r="1875" spans="1:24" ht="15.75" customHeight="1">
      <c r="A1875" s="463"/>
      <c r="B1875" s="380"/>
      <c r="C1875" s="381"/>
      <c r="D1875" s="381"/>
      <c r="E1875" s="381"/>
      <c r="F1875" s="381"/>
      <c r="G1875" s="381"/>
      <c r="H1875" s="381"/>
      <c r="I1875" s="381"/>
      <c r="J1875" s="381"/>
      <c r="K1875" s="382"/>
      <c r="L1875" s="380"/>
      <c r="M1875" s="413"/>
      <c r="N1875" s="383"/>
      <c r="O1875" s="384"/>
      <c r="P1875" s="384"/>
      <c r="Q1875" s="383"/>
      <c r="R1875" s="383"/>
      <c r="S1875" s="385"/>
      <c r="T1875" s="380"/>
      <c r="U1875" s="380"/>
      <c r="V1875" s="380"/>
      <c r="W1875" s="380"/>
      <c r="X1875" s="380"/>
    </row>
    <row r="1876" spans="1:24" ht="15.75" customHeight="1">
      <c r="A1876" s="463"/>
      <c r="B1876" s="380"/>
      <c r="C1876" s="381"/>
      <c r="D1876" s="381"/>
      <c r="E1876" s="381"/>
      <c r="F1876" s="381"/>
      <c r="G1876" s="381"/>
      <c r="H1876" s="381"/>
      <c r="I1876" s="381"/>
      <c r="J1876" s="381"/>
      <c r="K1876" s="382"/>
      <c r="L1876" s="380"/>
      <c r="M1876" s="413"/>
      <c r="N1876" s="383"/>
      <c r="O1876" s="384"/>
      <c r="P1876" s="384"/>
      <c r="Q1876" s="383"/>
      <c r="R1876" s="383"/>
      <c r="S1876" s="385"/>
      <c r="T1876" s="380"/>
      <c r="U1876" s="380"/>
      <c r="V1876" s="380"/>
      <c r="W1876" s="380"/>
      <c r="X1876" s="380"/>
    </row>
    <row r="1877" spans="1:24" ht="15.75" customHeight="1">
      <c r="A1877" s="463"/>
      <c r="B1877" s="380"/>
      <c r="C1877" s="381"/>
      <c r="D1877" s="381"/>
      <c r="E1877" s="381"/>
      <c r="F1877" s="381"/>
      <c r="G1877" s="381"/>
      <c r="H1877" s="381"/>
      <c r="I1877" s="381"/>
      <c r="J1877" s="381"/>
      <c r="K1877" s="382"/>
      <c r="L1877" s="380"/>
      <c r="M1877" s="413"/>
      <c r="N1877" s="383"/>
      <c r="O1877" s="384"/>
      <c r="P1877" s="384"/>
      <c r="Q1877" s="383"/>
      <c r="R1877" s="383"/>
      <c r="S1877" s="385"/>
      <c r="T1877" s="380"/>
      <c r="U1877" s="380"/>
      <c r="V1877" s="380"/>
      <c r="W1877" s="380"/>
      <c r="X1877" s="380"/>
    </row>
    <row r="1878" spans="1:24" ht="15.75" customHeight="1">
      <c r="A1878" s="463"/>
      <c r="B1878" s="380"/>
      <c r="C1878" s="381"/>
      <c r="D1878" s="381"/>
      <c r="E1878" s="381"/>
      <c r="F1878" s="381"/>
      <c r="G1878" s="381"/>
      <c r="H1878" s="381"/>
      <c r="I1878" s="381"/>
      <c r="J1878" s="381"/>
      <c r="K1878" s="382"/>
      <c r="L1878" s="380"/>
      <c r="M1878" s="413"/>
      <c r="N1878" s="383"/>
      <c r="O1878" s="384"/>
      <c r="P1878" s="384"/>
      <c r="Q1878" s="383"/>
      <c r="R1878" s="383"/>
      <c r="S1878" s="385"/>
      <c r="T1878" s="380"/>
      <c r="U1878" s="380"/>
      <c r="V1878" s="380"/>
      <c r="W1878" s="380"/>
      <c r="X1878" s="380"/>
    </row>
    <row r="1879" spans="1:24" ht="15.75" customHeight="1">
      <c r="A1879" s="463"/>
      <c r="B1879" s="380"/>
      <c r="C1879" s="381"/>
      <c r="D1879" s="381"/>
      <c r="E1879" s="381"/>
      <c r="F1879" s="381"/>
      <c r="G1879" s="381"/>
      <c r="H1879" s="381"/>
      <c r="I1879" s="381"/>
      <c r="J1879" s="381"/>
      <c r="K1879" s="382"/>
      <c r="L1879" s="380"/>
      <c r="M1879" s="413"/>
      <c r="N1879" s="383"/>
      <c r="O1879" s="384"/>
      <c r="P1879" s="384"/>
      <c r="Q1879" s="383"/>
      <c r="R1879" s="383"/>
      <c r="S1879" s="385"/>
      <c r="T1879" s="380"/>
      <c r="U1879" s="380"/>
      <c r="V1879" s="380"/>
      <c r="W1879" s="380"/>
      <c r="X1879" s="380"/>
    </row>
    <row r="1880" spans="1:24" ht="15.75" customHeight="1">
      <c r="A1880" s="463"/>
      <c r="B1880" s="380"/>
      <c r="C1880" s="381"/>
      <c r="D1880" s="381"/>
      <c r="E1880" s="381"/>
      <c r="F1880" s="381"/>
      <c r="G1880" s="381"/>
      <c r="H1880" s="381"/>
      <c r="I1880" s="381"/>
      <c r="J1880" s="381"/>
      <c r="K1880" s="382"/>
      <c r="L1880" s="380"/>
      <c r="M1880" s="413"/>
      <c r="N1880" s="383"/>
      <c r="O1880" s="384"/>
      <c r="P1880" s="384"/>
      <c r="Q1880" s="383"/>
      <c r="R1880" s="383"/>
      <c r="S1880" s="385"/>
      <c r="T1880" s="380"/>
      <c r="U1880" s="380"/>
      <c r="V1880" s="380"/>
      <c r="W1880" s="380"/>
      <c r="X1880" s="380"/>
    </row>
    <row r="1881" spans="1:24" ht="15.75" customHeight="1">
      <c r="A1881" s="463"/>
      <c r="B1881" s="380"/>
      <c r="C1881" s="381"/>
      <c r="D1881" s="381"/>
      <c r="E1881" s="381"/>
      <c r="F1881" s="381"/>
      <c r="G1881" s="381"/>
      <c r="H1881" s="381"/>
      <c r="I1881" s="381"/>
      <c r="J1881" s="381"/>
      <c r="K1881" s="382"/>
      <c r="L1881" s="380"/>
      <c r="M1881" s="413"/>
      <c r="N1881" s="383"/>
      <c r="O1881" s="384"/>
      <c r="P1881" s="384"/>
      <c r="Q1881" s="383"/>
      <c r="R1881" s="383"/>
      <c r="S1881" s="385"/>
      <c r="T1881" s="380"/>
      <c r="U1881" s="380"/>
      <c r="V1881" s="380"/>
      <c r="W1881" s="380"/>
      <c r="X1881" s="380"/>
    </row>
    <row r="1882" spans="1:24" ht="15.75" customHeight="1">
      <c r="A1882" s="463"/>
      <c r="B1882" s="380"/>
      <c r="C1882" s="381"/>
      <c r="D1882" s="381"/>
      <c r="E1882" s="381"/>
      <c r="F1882" s="381"/>
      <c r="G1882" s="381"/>
      <c r="H1882" s="381"/>
      <c r="I1882" s="381"/>
      <c r="J1882" s="381"/>
      <c r="K1882" s="382"/>
      <c r="L1882" s="380"/>
      <c r="M1882" s="413"/>
      <c r="N1882" s="383"/>
      <c r="O1882" s="384"/>
      <c r="P1882" s="384"/>
      <c r="Q1882" s="383"/>
      <c r="R1882" s="383"/>
      <c r="S1882" s="385"/>
      <c r="T1882" s="380"/>
      <c r="U1882" s="380"/>
      <c r="V1882" s="380"/>
      <c r="W1882" s="380"/>
      <c r="X1882" s="380"/>
    </row>
    <row r="1883" spans="1:24" ht="15.75" customHeight="1">
      <c r="A1883" s="463"/>
      <c r="B1883" s="380"/>
      <c r="C1883" s="381"/>
      <c r="D1883" s="381"/>
      <c r="E1883" s="381"/>
      <c r="F1883" s="381"/>
      <c r="G1883" s="381"/>
      <c r="H1883" s="381"/>
      <c r="I1883" s="381"/>
      <c r="J1883" s="381"/>
      <c r="K1883" s="382"/>
      <c r="L1883" s="380"/>
      <c r="M1883" s="413"/>
      <c r="N1883" s="383"/>
      <c r="O1883" s="384"/>
      <c r="P1883" s="384"/>
      <c r="Q1883" s="383"/>
      <c r="R1883" s="383"/>
      <c r="S1883" s="385"/>
      <c r="T1883" s="380"/>
      <c r="U1883" s="380"/>
      <c r="V1883" s="380"/>
      <c r="W1883" s="380"/>
      <c r="X1883" s="380"/>
    </row>
    <row r="1884" spans="1:24" ht="15.75" customHeight="1">
      <c r="A1884" s="463"/>
      <c r="B1884" s="380"/>
      <c r="C1884" s="381"/>
      <c r="D1884" s="381"/>
      <c r="E1884" s="381"/>
      <c r="F1884" s="381"/>
      <c r="G1884" s="381"/>
      <c r="H1884" s="381"/>
      <c r="I1884" s="381"/>
      <c r="J1884" s="381"/>
      <c r="K1884" s="382"/>
      <c r="L1884" s="380"/>
      <c r="M1884" s="413"/>
      <c r="N1884" s="383"/>
      <c r="O1884" s="384"/>
      <c r="P1884" s="384"/>
      <c r="Q1884" s="383"/>
      <c r="R1884" s="383"/>
      <c r="S1884" s="385"/>
      <c r="T1884" s="380"/>
      <c r="U1884" s="380"/>
      <c r="V1884" s="380"/>
      <c r="W1884" s="380"/>
      <c r="X1884" s="380"/>
    </row>
    <row r="1885" spans="1:24" ht="15.75" customHeight="1">
      <c r="A1885" s="463"/>
      <c r="B1885" s="380"/>
      <c r="C1885" s="381"/>
      <c r="D1885" s="381"/>
      <c r="E1885" s="381"/>
      <c r="F1885" s="381"/>
      <c r="G1885" s="381"/>
      <c r="H1885" s="381"/>
      <c r="I1885" s="381"/>
      <c r="J1885" s="381"/>
      <c r="K1885" s="382"/>
      <c r="L1885" s="380"/>
      <c r="M1885" s="413"/>
      <c r="N1885" s="383"/>
      <c r="O1885" s="384"/>
      <c r="P1885" s="384"/>
      <c r="Q1885" s="383"/>
      <c r="R1885" s="383"/>
      <c r="S1885" s="385"/>
      <c r="T1885" s="380"/>
      <c r="U1885" s="380"/>
      <c r="V1885" s="380"/>
      <c r="W1885" s="380"/>
      <c r="X1885" s="380"/>
    </row>
    <row r="1886" spans="1:24" ht="15.75" customHeight="1">
      <c r="A1886" s="463"/>
      <c r="B1886" s="380"/>
      <c r="C1886" s="381"/>
      <c r="D1886" s="381"/>
      <c r="E1886" s="381"/>
      <c r="F1886" s="381"/>
      <c r="G1886" s="381"/>
      <c r="H1886" s="381"/>
      <c r="I1886" s="381"/>
      <c r="J1886" s="381"/>
      <c r="K1886" s="382"/>
      <c r="L1886" s="380"/>
      <c r="M1886" s="413"/>
      <c r="N1886" s="383"/>
      <c r="O1886" s="384"/>
      <c r="P1886" s="384"/>
      <c r="Q1886" s="383"/>
      <c r="R1886" s="383"/>
      <c r="S1886" s="385"/>
      <c r="T1886" s="380"/>
      <c r="U1886" s="380"/>
      <c r="V1886" s="380"/>
      <c r="W1886" s="380"/>
      <c r="X1886" s="380"/>
    </row>
    <row r="1887" spans="1:24" ht="15.75" customHeight="1">
      <c r="A1887" s="463"/>
      <c r="B1887" s="380"/>
      <c r="C1887" s="381"/>
      <c r="D1887" s="381"/>
      <c r="E1887" s="381"/>
      <c r="F1887" s="381"/>
      <c r="G1887" s="381"/>
      <c r="H1887" s="381"/>
      <c r="I1887" s="381"/>
      <c r="J1887" s="381"/>
      <c r="K1887" s="382"/>
      <c r="L1887" s="380"/>
      <c r="M1887" s="413"/>
      <c r="N1887" s="383"/>
      <c r="O1887" s="384"/>
      <c r="P1887" s="384"/>
      <c r="Q1887" s="383"/>
      <c r="R1887" s="383"/>
      <c r="S1887" s="385"/>
      <c r="T1887" s="380"/>
      <c r="U1887" s="380"/>
      <c r="V1887" s="380"/>
      <c r="W1887" s="380"/>
      <c r="X1887" s="380"/>
    </row>
    <row r="1888" spans="1:24" ht="15.75" customHeight="1">
      <c r="A1888" s="463"/>
      <c r="B1888" s="380"/>
      <c r="C1888" s="381"/>
      <c r="D1888" s="381"/>
      <c r="E1888" s="381"/>
      <c r="F1888" s="381"/>
      <c r="G1888" s="381"/>
      <c r="H1888" s="381"/>
      <c r="I1888" s="381"/>
      <c r="J1888" s="381"/>
      <c r="K1888" s="382"/>
      <c r="L1888" s="380"/>
      <c r="M1888" s="413"/>
      <c r="N1888" s="383"/>
      <c r="O1888" s="384"/>
      <c r="P1888" s="384"/>
      <c r="Q1888" s="383"/>
      <c r="R1888" s="383"/>
      <c r="S1888" s="385"/>
      <c r="T1888" s="380"/>
      <c r="U1888" s="380"/>
      <c r="V1888" s="380"/>
      <c r="W1888" s="380"/>
      <c r="X1888" s="380"/>
    </row>
    <row r="1889" spans="1:24" ht="15.75" customHeight="1">
      <c r="A1889" s="463"/>
      <c r="B1889" s="380"/>
      <c r="C1889" s="381"/>
      <c r="D1889" s="381"/>
      <c r="E1889" s="381"/>
      <c r="F1889" s="381"/>
      <c r="G1889" s="381"/>
      <c r="H1889" s="381"/>
      <c r="I1889" s="381"/>
      <c r="J1889" s="381"/>
      <c r="K1889" s="382"/>
      <c r="L1889" s="380"/>
      <c r="M1889" s="413"/>
      <c r="N1889" s="383"/>
      <c r="O1889" s="384"/>
      <c r="P1889" s="384"/>
      <c r="Q1889" s="383"/>
      <c r="R1889" s="383"/>
      <c r="S1889" s="385"/>
      <c r="T1889" s="380"/>
      <c r="U1889" s="380"/>
      <c r="V1889" s="380"/>
      <c r="W1889" s="380"/>
      <c r="X1889" s="380"/>
    </row>
    <row r="1890" spans="1:24" ht="15.75" customHeight="1">
      <c r="A1890" s="463"/>
      <c r="B1890" s="380"/>
      <c r="C1890" s="381"/>
      <c r="D1890" s="381"/>
      <c r="E1890" s="381"/>
      <c r="F1890" s="381"/>
      <c r="G1890" s="381"/>
      <c r="H1890" s="381"/>
      <c r="I1890" s="381"/>
      <c r="J1890" s="381"/>
      <c r="K1890" s="382"/>
      <c r="L1890" s="380"/>
      <c r="M1890" s="413"/>
      <c r="N1890" s="383"/>
      <c r="O1890" s="384"/>
      <c r="P1890" s="384"/>
      <c r="Q1890" s="383"/>
      <c r="R1890" s="383"/>
      <c r="S1890" s="385"/>
      <c r="T1890" s="380"/>
      <c r="U1890" s="380"/>
      <c r="V1890" s="380"/>
      <c r="W1890" s="380"/>
      <c r="X1890" s="380"/>
    </row>
    <row r="1891" spans="1:24" ht="15.75" customHeight="1">
      <c r="A1891" s="463"/>
      <c r="B1891" s="380"/>
      <c r="C1891" s="381"/>
      <c r="D1891" s="381"/>
      <c r="E1891" s="381"/>
      <c r="F1891" s="381"/>
      <c r="G1891" s="381"/>
      <c r="H1891" s="381"/>
      <c r="I1891" s="381"/>
      <c r="J1891" s="381"/>
      <c r="K1891" s="382"/>
      <c r="L1891" s="380"/>
      <c r="M1891" s="413"/>
      <c r="N1891" s="383"/>
      <c r="O1891" s="384"/>
      <c r="P1891" s="384"/>
      <c r="Q1891" s="383"/>
      <c r="R1891" s="383"/>
      <c r="S1891" s="385"/>
      <c r="T1891" s="380"/>
      <c r="U1891" s="380"/>
      <c r="V1891" s="380"/>
      <c r="W1891" s="380"/>
      <c r="X1891" s="380"/>
    </row>
    <row r="1892" spans="1:24" ht="15.75" customHeight="1">
      <c r="A1892" s="463"/>
      <c r="B1892" s="380"/>
      <c r="C1892" s="381"/>
      <c r="D1892" s="381"/>
      <c r="E1892" s="381"/>
      <c r="F1892" s="381"/>
      <c r="G1892" s="381"/>
      <c r="H1892" s="381"/>
      <c r="I1892" s="381"/>
      <c r="J1892" s="381"/>
      <c r="K1892" s="382"/>
      <c r="L1892" s="380"/>
      <c r="M1892" s="413"/>
      <c r="N1892" s="383"/>
      <c r="O1892" s="384"/>
      <c r="P1892" s="384"/>
      <c r="Q1892" s="383"/>
      <c r="R1892" s="383"/>
      <c r="S1892" s="385"/>
      <c r="T1892" s="380"/>
      <c r="U1892" s="380"/>
      <c r="V1892" s="380"/>
      <c r="W1892" s="380"/>
      <c r="X1892" s="380"/>
    </row>
    <row r="1893" spans="1:24" ht="15.75" customHeight="1">
      <c r="A1893" s="463"/>
      <c r="B1893" s="380"/>
      <c r="C1893" s="381"/>
      <c r="D1893" s="381"/>
      <c r="E1893" s="381"/>
      <c r="F1893" s="381"/>
      <c r="G1893" s="381"/>
      <c r="H1893" s="381"/>
      <c r="I1893" s="381"/>
      <c r="J1893" s="381"/>
      <c r="K1893" s="382"/>
      <c r="L1893" s="380"/>
      <c r="M1893" s="413"/>
      <c r="N1893" s="383"/>
      <c r="O1893" s="384"/>
      <c r="P1893" s="384"/>
      <c r="Q1893" s="383"/>
      <c r="R1893" s="383"/>
      <c r="S1893" s="385"/>
      <c r="T1893" s="380"/>
      <c r="U1893" s="380"/>
      <c r="V1893" s="380"/>
      <c r="W1893" s="380"/>
      <c r="X1893" s="380"/>
    </row>
    <row r="1894" spans="1:24" ht="15.75" customHeight="1">
      <c r="A1894" s="463"/>
      <c r="B1894" s="380"/>
      <c r="C1894" s="381"/>
      <c r="D1894" s="381"/>
      <c r="E1894" s="381"/>
      <c r="F1894" s="381"/>
      <c r="G1894" s="381"/>
      <c r="H1894" s="381"/>
      <c r="I1894" s="381"/>
      <c r="J1894" s="381"/>
      <c r="K1894" s="382"/>
      <c r="L1894" s="380"/>
      <c r="M1894" s="413"/>
      <c r="N1894" s="383"/>
      <c r="O1894" s="384"/>
      <c r="P1894" s="384"/>
      <c r="Q1894" s="383"/>
      <c r="R1894" s="383"/>
      <c r="S1894" s="385"/>
      <c r="T1894" s="380"/>
      <c r="U1894" s="380"/>
      <c r="V1894" s="380"/>
      <c r="W1894" s="380"/>
      <c r="X1894" s="380"/>
    </row>
    <row r="1895" spans="1:24" ht="15.75" customHeight="1">
      <c r="A1895" s="463"/>
      <c r="B1895" s="380"/>
      <c r="C1895" s="381"/>
      <c r="D1895" s="381"/>
      <c r="E1895" s="381"/>
      <c r="F1895" s="381"/>
      <c r="G1895" s="381"/>
      <c r="H1895" s="381"/>
      <c r="I1895" s="381"/>
      <c r="J1895" s="381"/>
      <c r="K1895" s="382"/>
      <c r="L1895" s="380"/>
      <c r="M1895" s="413"/>
      <c r="N1895" s="383"/>
      <c r="O1895" s="384"/>
      <c r="P1895" s="384"/>
      <c r="Q1895" s="383"/>
      <c r="R1895" s="383"/>
      <c r="S1895" s="385"/>
      <c r="T1895" s="380"/>
      <c r="U1895" s="380"/>
      <c r="V1895" s="380"/>
      <c r="W1895" s="380"/>
      <c r="X1895" s="380"/>
    </row>
    <row r="1896" spans="1:24" ht="15.75" customHeight="1">
      <c r="A1896" s="463"/>
      <c r="B1896" s="380"/>
      <c r="C1896" s="381"/>
      <c r="D1896" s="381"/>
      <c r="E1896" s="381"/>
      <c r="F1896" s="381"/>
      <c r="G1896" s="381"/>
      <c r="H1896" s="381"/>
      <c r="I1896" s="381"/>
      <c r="J1896" s="381"/>
      <c r="K1896" s="382"/>
      <c r="L1896" s="380"/>
      <c r="M1896" s="413"/>
      <c r="N1896" s="383"/>
      <c r="O1896" s="384"/>
      <c r="P1896" s="384"/>
      <c r="Q1896" s="383"/>
      <c r="R1896" s="383"/>
      <c r="S1896" s="385"/>
      <c r="T1896" s="380"/>
      <c r="U1896" s="380"/>
      <c r="V1896" s="380"/>
      <c r="W1896" s="380"/>
      <c r="X1896" s="380"/>
    </row>
    <row r="1897" spans="1:24" ht="15.75" customHeight="1">
      <c r="A1897" s="463"/>
      <c r="B1897" s="380"/>
      <c r="C1897" s="381"/>
      <c r="D1897" s="381"/>
      <c r="E1897" s="381"/>
      <c r="F1897" s="381"/>
      <c r="G1897" s="381"/>
      <c r="H1897" s="381"/>
      <c r="I1897" s="381"/>
      <c r="J1897" s="381"/>
      <c r="K1897" s="382"/>
      <c r="L1897" s="380"/>
      <c r="M1897" s="413"/>
      <c r="N1897" s="383"/>
      <c r="O1897" s="384"/>
      <c r="P1897" s="384"/>
      <c r="Q1897" s="383"/>
      <c r="R1897" s="383"/>
      <c r="S1897" s="385"/>
      <c r="T1897" s="380"/>
      <c r="U1897" s="380"/>
      <c r="V1897" s="380"/>
      <c r="W1897" s="380"/>
      <c r="X1897" s="380"/>
    </row>
    <row r="1898" spans="1:24" ht="15.75" customHeight="1">
      <c r="A1898" s="463"/>
      <c r="B1898" s="380"/>
      <c r="C1898" s="381"/>
      <c r="D1898" s="381"/>
      <c r="E1898" s="381"/>
      <c r="F1898" s="381"/>
      <c r="G1898" s="381"/>
      <c r="H1898" s="381"/>
      <c r="I1898" s="381"/>
      <c r="J1898" s="381"/>
      <c r="K1898" s="382"/>
      <c r="L1898" s="380"/>
      <c r="M1898" s="413"/>
      <c r="N1898" s="383"/>
      <c r="O1898" s="384"/>
      <c r="P1898" s="384"/>
      <c r="Q1898" s="383"/>
      <c r="R1898" s="383"/>
      <c r="S1898" s="385"/>
      <c r="T1898" s="380"/>
      <c r="U1898" s="380"/>
      <c r="V1898" s="380"/>
      <c r="W1898" s="380"/>
      <c r="X1898" s="380"/>
    </row>
    <row r="1899" spans="1:24" ht="15.75" customHeight="1">
      <c r="A1899" s="463"/>
      <c r="B1899" s="380"/>
      <c r="C1899" s="381"/>
      <c r="D1899" s="381"/>
      <c r="E1899" s="381"/>
      <c r="F1899" s="381"/>
      <c r="G1899" s="381"/>
      <c r="H1899" s="381"/>
      <c r="I1899" s="381"/>
      <c r="J1899" s="381"/>
      <c r="K1899" s="382"/>
      <c r="L1899" s="380"/>
      <c r="M1899" s="413"/>
      <c r="N1899" s="383"/>
      <c r="O1899" s="384"/>
      <c r="P1899" s="384"/>
      <c r="Q1899" s="383"/>
      <c r="R1899" s="383"/>
      <c r="S1899" s="385"/>
      <c r="T1899" s="380"/>
      <c r="U1899" s="380"/>
      <c r="V1899" s="380"/>
      <c r="W1899" s="380"/>
      <c r="X1899" s="380"/>
    </row>
    <row r="1900" spans="1:24" ht="15.75" customHeight="1">
      <c r="A1900" s="463"/>
      <c r="B1900" s="380"/>
      <c r="C1900" s="381"/>
      <c r="D1900" s="381"/>
      <c r="E1900" s="381"/>
      <c r="F1900" s="381"/>
      <c r="G1900" s="381"/>
      <c r="H1900" s="381"/>
      <c r="I1900" s="381"/>
      <c r="J1900" s="381"/>
      <c r="K1900" s="382"/>
      <c r="L1900" s="380"/>
      <c r="M1900" s="413"/>
      <c r="N1900" s="383"/>
      <c r="O1900" s="384"/>
      <c r="P1900" s="384"/>
      <c r="Q1900" s="383"/>
      <c r="R1900" s="383"/>
      <c r="S1900" s="385"/>
      <c r="T1900" s="380"/>
      <c r="U1900" s="380"/>
      <c r="V1900" s="380"/>
      <c r="W1900" s="380"/>
      <c r="X1900" s="380"/>
    </row>
    <row r="1901" spans="1:24" ht="15.75" customHeight="1">
      <c r="A1901" s="463"/>
      <c r="B1901" s="380"/>
      <c r="C1901" s="381"/>
      <c r="D1901" s="381"/>
      <c r="E1901" s="381"/>
      <c r="F1901" s="381"/>
      <c r="G1901" s="381"/>
      <c r="H1901" s="381"/>
      <c r="I1901" s="381"/>
      <c r="J1901" s="381"/>
      <c r="K1901" s="382"/>
      <c r="L1901" s="380"/>
      <c r="M1901" s="413"/>
      <c r="N1901" s="383"/>
      <c r="O1901" s="384"/>
      <c r="P1901" s="384"/>
      <c r="Q1901" s="383"/>
      <c r="R1901" s="383"/>
      <c r="S1901" s="385"/>
      <c r="T1901" s="380"/>
      <c r="U1901" s="380"/>
      <c r="V1901" s="380"/>
      <c r="W1901" s="380"/>
      <c r="X1901" s="380"/>
    </row>
    <row r="1902" spans="1:24" ht="15.75" customHeight="1">
      <c r="A1902" s="463"/>
      <c r="B1902" s="380"/>
      <c r="C1902" s="381"/>
      <c r="D1902" s="381"/>
      <c r="E1902" s="381"/>
      <c r="F1902" s="381"/>
      <c r="G1902" s="381"/>
      <c r="H1902" s="381"/>
      <c r="I1902" s="381"/>
      <c r="J1902" s="381"/>
      <c r="K1902" s="382"/>
      <c r="L1902" s="380"/>
      <c r="M1902" s="413"/>
      <c r="N1902" s="383"/>
      <c r="O1902" s="384"/>
      <c r="P1902" s="384"/>
      <c r="Q1902" s="383"/>
      <c r="R1902" s="383"/>
      <c r="S1902" s="385"/>
      <c r="T1902" s="380"/>
      <c r="U1902" s="380"/>
      <c r="V1902" s="380"/>
      <c r="W1902" s="380"/>
      <c r="X1902" s="380"/>
    </row>
    <row r="1903" spans="1:24" ht="15.75" customHeight="1">
      <c r="A1903" s="463"/>
      <c r="B1903" s="380"/>
      <c r="C1903" s="381"/>
      <c r="D1903" s="381"/>
      <c r="E1903" s="381"/>
      <c r="F1903" s="381"/>
      <c r="G1903" s="381"/>
      <c r="H1903" s="381"/>
      <c r="I1903" s="381"/>
      <c r="J1903" s="381"/>
      <c r="K1903" s="382"/>
      <c r="L1903" s="380"/>
      <c r="M1903" s="413"/>
      <c r="N1903" s="383"/>
      <c r="O1903" s="384"/>
      <c r="P1903" s="384"/>
      <c r="Q1903" s="383"/>
      <c r="R1903" s="383"/>
      <c r="S1903" s="385"/>
      <c r="T1903" s="380"/>
      <c r="U1903" s="380"/>
      <c r="V1903" s="380"/>
      <c r="W1903" s="380"/>
      <c r="X1903" s="380"/>
    </row>
    <row r="1904" spans="1:24" ht="15.75" customHeight="1">
      <c r="A1904" s="463"/>
      <c r="B1904" s="380"/>
      <c r="C1904" s="381"/>
      <c r="D1904" s="381"/>
      <c r="E1904" s="381"/>
      <c r="F1904" s="381"/>
      <c r="G1904" s="381"/>
      <c r="H1904" s="381"/>
      <c r="I1904" s="381"/>
      <c r="J1904" s="381"/>
      <c r="K1904" s="382"/>
      <c r="L1904" s="380"/>
      <c r="M1904" s="413"/>
      <c r="N1904" s="383"/>
      <c r="O1904" s="384"/>
      <c r="P1904" s="384"/>
      <c r="Q1904" s="383"/>
      <c r="R1904" s="383"/>
      <c r="S1904" s="385"/>
      <c r="T1904" s="380"/>
      <c r="U1904" s="380"/>
      <c r="V1904" s="380"/>
      <c r="W1904" s="380"/>
      <c r="X1904" s="380"/>
    </row>
    <row r="1905" spans="1:24" ht="15.75" customHeight="1">
      <c r="A1905" s="463"/>
      <c r="B1905" s="380"/>
      <c r="C1905" s="381"/>
      <c r="D1905" s="381"/>
      <c r="E1905" s="381"/>
      <c r="F1905" s="381"/>
      <c r="G1905" s="381"/>
      <c r="H1905" s="381"/>
      <c r="I1905" s="381"/>
      <c r="J1905" s="381"/>
      <c r="K1905" s="382"/>
      <c r="L1905" s="380"/>
      <c r="M1905" s="413"/>
      <c r="N1905" s="383"/>
      <c r="O1905" s="384"/>
      <c r="P1905" s="384"/>
      <c r="Q1905" s="383"/>
      <c r="R1905" s="383"/>
      <c r="S1905" s="385"/>
      <c r="T1905" s="380"/>
      <c r="U1905" s="380"/>
      <c r="V1905" s="380"/>
      <c r="W1905" s="380"/>
      <c r="X1905" s="380"/>
    </row>
    <row r="1906" spans="1:24" ht="15.75" customHeight="1">
      <c r="A1906" s="463"/>
      <c r="B1906" s="380"/>
      <c r="C1906" s="381"/>
      <c r="D1906" s="381"/>
      <c r="E1906" s="381"/>
      <c r="F1906" s="381"/>
      <c r="G1906" s="381"/>
      <c r="H1906" s="381"/>
      <c r="I1906" s="381"/>
      <c r="J1906" s="381"/>
      <c r="K1906" s="382"/>
      <c r="L1906" s="380"/>
      <c r="M1906" s="413"/>
      <c r="N1906" s="383"/>
      <c r="O1906" s="384"/>
      <c r="P1906" s="384"/>
      <c r="Q1906" s="383"/>
      <c r="R1906" s="383"/>
      <c r="S1906" s="385"/>
      <c r="T1906" s="380"/>
      <c r="U1906" s="380"/>
      <c r="V1906" s="380"/>
      <c r="W1906" s="380"/>
      <c r="X1906" s="380"/>
    </row>
    <row r="1907" spans="1:24" ht="15.75" customHeight="1">
      <c r="A1907" s="463"/>
      <c r="B1907" s="380"/>
      <c r="C1907" s="381"/>
      <c r="D1907" s="381"/>
      <c r="E1907" s="381"/>
      <c r="F1907" s="381"/>
      <c r="G1907" s="381"/>
      <c r="H1907" s="381"/>
      <c r="I1907" s="381"/>
      <c r="J1907" s="381"/>
      <c r="K1907" s="382"/>
      <c r="L1907" s="380"/>
      <c r="M1907" s="413"/>
      <c r="N1907" s="383"/>
      <c r="O1907" s="384"/>
      <c r="P1907" s="384"/>
      <c r="Q1907" s="383"/>
      <c r="R1907" s="383"/>
      <c r="S1907" s="385"/>
      <c r="T1907" s="380"/>
      <c r="U1907" s="380"/>
      <c r="V1907" s="380"/>
      <c r="W1907" s="380"/>
      <c r="X1907" s="380"/>
    </row>
    <row r="1908" spans="1:24" ht="15.75" customHeight="1">
      <c r="A1908" s="463"/>
      <c r="B1908" s="380"/>
      <c r="C1908" s="381"/>
      <c r="D1908" s="381"/>
      <c r="E1908" s="381"/>
      <c r="F1908" s="381"/>
      <c r="G1908" s="381"/>
      <c r="H1908" s="381"/>
      <c r="I1908" s="381"/>
      <c r="J1908" s="381"/>
      <c r="K1908" s="382"/>
      <c r="L1908" s="380"/>
      <c r="M1908" s="413"/>
      <c r="N1908" s="383"/>
      <c r="O1908" s="384"/>
      <c r="P1908" s="384"/>
      <c r="Q1908" s="383"/>
      <c r="R1908" s="383"/>
      <c r="S1908" s="385"/>
      <c r="T1908" s="380"/>
      <c r="U1908" s="380"/>
      <c r="V1908" s="380"/>
      <c r="W1908" s="380"/>
      <c r="X1908" s="380"/>
    </row>
    <row r="1909" spans="1:24" ht="15.75" customHeight="1">
      <c r="A1909" s="463"/>
      <c r="B1909" s="380"/>
      <c r="C1909" s="381"/>
      <c r="D1909" s="381"/>
      <c r="E1909" s="381"/>
      <c r="F1909" s="381"/>
      <c r="G1909" s="381"/>
      <c r="H1909" s="381"/>
      <c r="I1909" s="381"/>
      <c r="J1909" s="381"/>
      <c r="K1909" s="382"/>
      <c r="L1909" s="380"/>
      <c r="M1909" s="413"/>
      <c r="N1909" s="383"/>
      <c r="O1909" s="384"/>
      <c r="P1909" s="384"/>
      <c r="Q1909" s="383"/>
      <c r="R1909" s="383"/>
      <c r="S1909" s="385"/>
      <c r="T1909" s="380"/>
      <c r="U1909" s="380"/>
      <c r="V1909" s="380"/>
      <c r="W1909" s="380"/>
      <c r="X1909" s="380"/>
    </row>
    <row r="1910" spans="1:24" ht="15.75" customHeight="1">
      <c r="A1910" s="463"/>
      <c r="B1910" s="380"/>
      <c r="C1910" s="381"/>
      <c r="D1910" s="381"/>
      <c r="E1910" s="381"/>
      <c r="F1910" s="381"/>
      <c r="G1910" s="381"/>
      <c r="H1910" s="381"/>
      <c r="I1910" s="381"/>
      <c r="J1910" s="381"/>
      <c r="K1910" s="382"/>
      <c r="L1910" s="380"/>
      <c r="M1910" s="413"/>
      <c r="N1910" s="383"/>
      <c r="O1910" s="384"/>
      <c r="P1910" s="384"/>
      <c r="Q1910" s="383"/>
      <c r="R1910" s="383"/>
      <c r="S1910" s="385"/>
      <c r="T1910" s="380"/>
      <c r="U1910" s="380"/>
      <c r="V1910" s="380"/>
      <c r="W1910" s="380"/>
      <c r="X1910" s="380"/>
    </row>
    <row r="1911" spans="1:24" ht="15.75" customHeight="1">
      <c r="A1911" s="463"/>
      <c r="B1911" s="380"/>
      <c r="C1911" s="381"/>
      <c r="D1911" s="381"/>
      <c r="E1911" s="381"/>
      <c r="F1911" s="381"/>
      <c r="G1911" s="381"/>
      <c r="H1911" s="381"/>
      <c r="I1911" s="381"/>
      <c r="J1911" s="381"/>
      <c r="K1911" s="382"/>
      <c r="L1911" s="380"/>
      <c r="M1911" s="413"/>
      <c r="N1911" s="383"/>
      <c r="O1911" s="384"/>
      <c r="P1911" s="384"/>
      <c r="Q1911" s="383"/>
      <c r="R1911" s="383"/>
      <c r="S1911" s="385"/>
      <c r="T1911" s="380"/>
      <c r="U1911" s="380"/>
      <c r="V1911" s="380"/>
      <c r="W1911" s="380"/>
      <c r="X1911" s="380"/>
    </row>
    <row r="1912" spans="1:24" ht="15.75" customHeight="1">
      <c r="A1912" s="463"/>
      <c r="B1912" s="380"/>
      <c r="C1912" s="381"/>
      <c r="D1912" s="381"/>
      <c r="E1912" s="381"/>
      <c r="F1912" s="381"/>
      <c r="G1912" s="381"/>
      <c r="H1912" s="381"/>
      <c r="I1912" s="381"/>
      <c r="J1912" s="381"/>
      <c r="K1912" s="382"/>
      <c r="L1912" s="380"/>
      <c r="M1912" s="413"/>
      <c r="N1912" s="383"/>
      <c r="O1912" s="384"/>
      <c r="P1912" s="384"/>
      <c r="Q1912" s="383"/>
      <c r="R1912" s="383"/>
      <c r="S1912" s="385"/>
      <c r="T1912" s="380"/>
      <c r="U1912" s="380"/>
      <c r="V1912" s="380"/>
      <c r="W1912" s="380"/>
      <c r="X1912" s="380"/>
    </row>
    <row r="1913" spans="1:24" ht="15.75" customHeight="1">
      <c r="A1913" s="463"/>
      <c r="B1913" s="380"/>
      <c r="C1913" s="381"/>
      <c r="D1913" s="381"/>
      <c r="E1913" s="381"/>
      <c r="F1913" s="381"/>
      <c r="G1913" s="381"/>
      <c r="H1913" s="381"/>
      <c r="I1913" s="381"/>
      <c r="J1913" s="381"/>
      <c r="K1913" s="382"/>
      <c r="L1913" s="380"/>
      <c r="M1913" s="413"/>
      <c r="N1913" s="383"/>
      <c r="O1913" s="384"/>
      <c r="P1913" s="384"/>
      <c r="Q1913" s="383"/>
      <c r="R1913" s="383"/>
      <c r="S1913" s="385"/>
      <c r="T1913" s="380"/>
      <c r="U1913" s="380"/>
      <c r="V1913" s="380"/>
      <c r="W1913" s="380"/>
      <c r="X1913" s="380"/>
    </row>
    <row r="1914" spans="1:24" ht="15.75" customHeight="1">
      <c r="A1914" s="463"/>
      <c r="B1914" s="380"/>
      <c r="C1914" s="381"/>
      <c r="D1914" s="381"/>
      <c r="E1914" s="381"/>
      <c r="F1914" s="381"/>
      <c r="G1914" s="381"/>
      <c r="H1914" s="381"/>
      <c r="I1914" s="381"/>
      <c r="J1914" s="381"/>
      <c r="K1914" s="382"/>
      <c r="L1914" s="380"/>
      <c r="M1914" s="413"/>
      <c r="N1914" s="383"/>
      <c r="O1914" s="384"/>
      <c r="P1914" s="384"/>
      <c r="Q1914" s="383"/>
      <c r="R1914" s="383"/>
      <c r="S1914" s="385"/>
      <c r="T1914" s="380"/>
      <c r="U1914" s="380"/>
      <c r="V1914" s="380"/>
      <c r="W1914" s="380"/>
      <c r="X1914" s="380"/>
    </row>
    <row r="1915" spans="1:24" ht="15.75" customHeight="1">
      <c r="A1915" s="463"/>
      <c r="B1915" s="380"/>
      <c r="C1915" s="381"/>
      <c r="D1915" s="381"/>
      <c r="E1915" s="381"/>
      <c r="F1915" s="381"/>
      <c r="G1915" s="381"/>
      <c r="H1915" s="381"/>
      <c r="I1915" s="381"/>
      <c r="J1915" s="381"/>
      <c r="K1915" s="382"/>
      <c r="L1915" s="380"/>
      <c r="M1915" s="413"/>
      <c r="N1915" s="383"/>
      <c r="O1915" s="384"/>
      <c r="P1915" s="384"/>
      <c r="Q1915" s="383"/>
      <c r="R1915" s="383"/>
      <c r="S1915" s="385"/>
      <c r="T1915" s="380"/>
      <c r="U1915" s="380"/>
      <c r="V1915" s="380"/>
      <c r="W1915" s="380"/>
      <c r="X1915" s="380"/>
    </row>
    <row r="1916" spans="1:24" ht="15.75" customHeight="1">
      <c r="A1916" s="463"/>
      <c r="B1916" s="380"/>
      <c r="C1916" s="381"/>
      <c r="D1916" s="381"/>
      <c r="E1916" s="381"/>
      <c r="F1916" s="381"/>
      <c r="G1916" s="381"/>
      <c r="H1916" s="381"/>
      <c r="I1916" s="381"/>
      <c r="J1916" s="381"/>
      <c r="K1916" s="382"/>
      <c r="L1916" s="380"/>
      <c r="M1916" s="413"/>
      <c r="N1916" s="383"/>
      <c r="O1916" s="384"/>
      <c r="P1916" s="384"/>
      <c r="Q1916" s="383"/>
      <c r="R1916" s="383"/>
      <c r="S1916" s="385"/>
      <c r="T1916" s="380"/>
      <c r="U1916" s="380"/>
      <c r="V1916" s="380"/>
      <c r="W1916" s="380"/>
      <c r="X1916" s="380"/>
    </row>
    <row r="1917" spans="1:24" ht="15.75" customHeight="1">
      <c r="A1917" s="463"/>
      <c r="B1917" s="380"/>
      <c r="C1917" s="381"/>
      <c r="D1917" s="381"/>
      <c r="E1917" s="381"/>
      <c r="F1917" s="381"/>
      <c r="G1917" s="381"/>
      <c r="H1917" s="381"/>
      <c r="I1917" s="381"/>
      <c r="J1917" s="381"/>
      <c r="K1917" s="382"/>
      <c r="L1917" s="380"/>
      <c r="M1917" s="413"/>
      <c r="N1917" s="383"/>
      <c r="O1917" s="384"/>
      <c r="P1917" s="384"/>
      <c r="Q1917" s="383"/>
      <c r="R1917" s="383"/>
      <c r="S1917" s="385"/>
      <c r="T1917" s="380"/>
      <c r="U1917" s="380"/>
      <c r="V1917" s="380"/>
      <c r="W1917" s="380"/>
      <c r="X1917" s="380"/>
    </row>
    <row r="1918" spans="1:24" ht="15.75" customHeight="1">
      <c r="A1918" s="463"/>
      <c r="B1918" s="380"/>
      <c r="C1918" s="381"/>
      <c r="D1918" s="381"/>
      <c r="E1918" s="381"/>
      <c r="F1918" s="381"/>
      <c r="G1918" s="381"/>
      <c r="H1918" s="381"/>
      <c r="I1918" s="381"/>
      <c r="J1918" s="381"/>
      <c r="K1918" s="382"/>
      <c r="L1918" s="380"/>
      <c r="M1918" s="413"/>
      <c r="N1918" s="383"/>
      <c r="O1918" s="384"/>
      <c r="P1918" s="384"/>
      <c r="Q1918" s="383"/>
      <c r="R1918" s="383"/>
      <c r="S1918" s="385"/>
      <c r="T1918" s="380"/>
      <c r="U1918" s="380"/>
      <c r="V1918" s="380"/>
      <c r="W1918" s="380"/>
      <c r="X1918" s="380"/>
    </row>
    <row r="1919" spans="1:24" ht="15.75" customHeight="1">
      <c r="A1919" s="463"/>
      <c r="B1919" s="380"/>
      <c r="C1919" s="381"/>
      <c r="D1919" s="381"/>
      <c r="E1919" s="381"/>
      <c r="F1919" s="381"/>
      <c r="G1919" s="381"/>
      <c r="H1919" s="381"/>
      <c r="I1919" s="381"/>
      <c r="J1919" s="381"/>
      <c r="K1919" s="382"/>
      <c r="L1919" s="380"/>
      <c r="M1919" s="413"/>
      <c r="N1919" s="383"/>
      <c r="O1919" s="384"/>
      <c r="P1919" s="384"/>
      <c r="Q1919" s="383"/>
      <c r="R1919" s="383"/>
      <c r="S1919" s="385"/>
      <c r="T1919" s="380"/>
      <c r="U1919" s="380"/>
      <c r="V1919" s="380"/>
      <c r="W1919" s="380"/>
      <c r="X1919" s="380"/>
    </row>
    <row r="1920" spans="1:24" ht="15.75" customHeight="1">
      <c r="A1920" s="463"/>
      <c r="B1920" s="380"/>
      <c r="C1920" s="381"/>
      <c r="D1920" s="381"/>
      <c r="E1920" s="381"/>
      <c r="F1920" s="381"/>
      <c r="G1920" s="381"/>
      <c r="H1920" s="381"/>
      <c r="I1920" s="381"/>
      <c r="J1920" s="381"/>
      <c r="K1920" s="382"/>
      <c r="L1920" s="380"/>
      <c r="M1920" s="413"/>
      <c r="N1920" s="383"/>
      <c r="O1920" s="384"/>
      <c r="P1920" s="384"/>
      <c r="Q1920" s="383"/>
      <c r="R1920" s="383"/>
      <c r="S1920" s="385"/>
      <c r="T1920" s="380"/>
      <c r="U1920" s="380"/>
      <c r="V1920" s="380"/>
      <c r="W1920" s="380"/>
      <c r="X1920" s="380"/>
    </row>
    <row r="1921" spans="1:24" ht="15.75" customHeight="1">
      <c r="A1921" s="463"/>
      <c r="B1921" s="380"/>
      <c r="C1921" s="381"/>
      <c r="D1921" s="381"/>
      <c r="E1921" s="381"/>
      <c r="F1921" s="381"/>
      <c r="G1921" s="381"/>
      <c r="H1921" s="381"/>
      <c r="I1921" s="381"/>
      <c r="J1921" s="381"/>
      <c r="K1921" s="382"/>
      <c r="L1921" s="380"/>
      <c r="M1921" s="413"/>
      <c r="N1921" s="383"/>
      <c r="O1921" s="384"/>
      <c r="P1921" s="384"/>
      <c r="Q1921" s="383"/>
      <c r="R1921" s="383"/>
      <c r="S1921" s="385"/>
      <c r="T1921" s="380"/>
      <c r="U1921" s="380"/>
      <c r="V1921" s="380"/>
      <c r="W1921" s="380"/>
      <c r="X1921" s="380"/>
    </row>
    <row r="1922" spans="1:24" ht="15.75" customHeight="1">
      <c r="A1922" s="463"/>
      <c r="B1922" s="380"/>
      <c r="C1922" s="381"/>
      <c r="D1922" s="381"/>
      <c r="E1922" s="381"/>
      <c r="F1922" s="381"/>
      <c r="G1922" s="381"/>
      <c r="H1922" s="381"/>
      <c r="I1922" s="381"/>
      <c r="J1922" s="381"/>
      <c r="K1922" s="382"/>
      <c r="L1922" s="380"/>
      <c r="M1922" s="413"/>
      <c r="N1922" s="383"/>
      <c r="O1922" s="384"/>
      <c r="P1922" s="384"/>
      <c r="Q1922" s="383"/>
      <c r="R1922" s="383"/>
      <c r="S1922" s="385"/>
      <c r="T1922" s="380"/>
      <c r="U1922" s="380"/>
      <c r="V1922" s="380"/>
      <c r="W1922" s="380"/>
      <c r="X1922" s="380"/>
    </row>
    <row r="1923" spans="1:24" ht="15.75" customHeight="1">
      <c r="A1923" s="463"/>
      <c r="B1923" s="380"/>
      <c r="C1923" s="381"/>
      <c r="D1923" s="381"/>
      <c r="E1923" s="381"/>
      <c r="F1923" s="381"/>
      <c r="G1923" s="381"/>
      <c r="H1923" s="381"/>
      <c r="I1923" s="381"/>
      <c r="J1923" s="381"/>
      <c r="K1923" s="382"/>
      <c r="L1923" s="380"/>
      <c r="M1923" s="413"/>
      <c r="N1923" s="383"/>
      <c r="O1923" s="384"/>
      <c r="P1923" s="384"/>
      <c r="Q1923" s="383"/>
      <c r="R1923" s="383"/>
      <c r="S1923" s="385"/>
      <c r="T1923" s="380"/>
      <c r="U1923" s="380"/>
      <c r="V1923" s="380"/>
      <c r="W1923" s="380"/>
      <c r="X1923" s="380"/>
    </row>
    <row r="1924" spans="1:24" ht="15.75" customHeight="1">
      <c r="A1924" s="463"/>
      <c r="B1924" s="380"/>
      <c r="C1924" s="381"/>
      <c r="D1924" s="381"/>
      <c r="E1924" s="381"/>
      <c r="F1924" s="381"/>
      <c r="G1924" s="381"/>
      <c r="H1924" s="381"/>
      <c r="I1924" s="381"/>
      <c r="J1924" s="381"/>
      <c r="K1924" s="382"/>
      <c r="L1924" s="380"/>
      <c r="M1924" s="413"/>
      <c r="N1924" s="383"/>
      <c r="O1924" s="384"/>
      <c r="P1924" s="384"/>
      <c r="Q1924" s="383"/>
      <c r="R1924" s="383"/>
      <c r="S1924" s="385"/>
      <c r="T1924" s="380"/>
      <c r="U1924" s="380"/>
      <c r="V1924" s="380"/>
      <c r="W1924" s="380"/>
      <c r="X1924" s="380"/>
    </row>
    <row r="1925" spans="1:24" ht="15.75" customHeight="1">
      <c r="A1925" s="463"/>
      <c r="B1925" s="380"/>
      <c r="C1925" s="381"/>
      <c r="D1925" s="381"/>
      <c r="E1925" s="381"/>
      <c r="F1925" s="381"/>
      <c r="G1925" s="381"/>
      <c r="H1925" s="381"/>
      <c r="I1925" s="381"/>
      <c r="J1925" s="381"/>
      <c r="K1925" s="382"/>
      <c r="L1925" s="380"/>
      <c r="M1925" s="413"/>
      <c r="N1925" s="383"/>
      <c r="O1925" s="384"/>
      <c r="P1925" s="384"/>
      <c r="Q1925" s="383"/>
      <c r="R1925" s="383"/>
      <c r="S1925" s="385"/>
      <c r="T1925" s="380"/>
      <c r="U1925" s="380"/>
      <c r="V1925" s="380"/>
      <c r="W1925" s="380"/>
      <c r="X1925" s="380"/>
    </row>
    <row r="1926" spans="1:24" ht="15.75" customHeight="1">
      <c r="A1926" s="463"/>
      <c r="B1926" s="380"/>
      <c r="C1926" s="381"/>
      <c r="D1926" s="381"/>
      <c r="E1926" s="381"/>
      <c r="F1926" s="381"/>
      <c r="G1926" s="381"/>
      <c r="H1926" s="381"/>
      <c r="I1926" s="381"/>
      <c r="J1926" s="381"/>
      <c r="K1926" s="382"/>
      <c r="L1926" s="380"/>
      <c r="M1926" s="413"/>
      <c r="N1926" s="383"/>
      <c r="O1926" s="384"/>
      <c r="P1926" s="384"/>
      <c r="Q1926" s="383"/>
      <c r="R1926" s="383"/>
      <c r="S1926" s="385"/>
      <c r="T1926" s="380"/>
      <c r="U1926" s="380"/>
      <c r="V1926" s="380"/>
      <c r="W1926" s="380"/>
      <c r="X1926" s="380"/>
    </row>
    <row r="1927" spans="1:24" ht="15.75" customHeight="1">
      <c r="A1927" s="463"/>
      <c r="B1927" s="380"/>
      <c r="C1927" s="381"/>
      <c r="D1927" s="381"/>
      <c r="E1927" s="381"/>
      <c r="F1927" s="381"/>
      <c r="G1927" s="381"/>
      <c r="H1927" s="381"/>
      <c r="I1927" s="381"/>
      <c r="J1927" s="381"/>
      <c r="K1927" s="382"/>
      <c r="L1927" s="380"/>
      <c r="M1927" s="413"/>
      <c r="N1927" s="383"/>
      <c r="O1927" s="384"/>
      <c r="P1927" s="384"/>
      <c r="Q1927" s="383"/>
      <c r="R1927" s="383"/>
      <c r="S1927" s="385"/>
      <c r="T1927" s="380"/>
      <c r="U1927" s="380"/>
      <c r="V1927" s="380"/>
      <c r="W1927" s="380"/>
      <c r="X1927" s="380"/>
    </row>
    <row r="1928" spans="1:24" ht="15.75" customHeight="1">
      <c r="A1928" s="463"/>
      <c r="B1928" s="380"/>
      <c r="C1928" s="381"/>
      <c r="D1928" s="381"/>
      <c r="E1928" s="381"/>
      <c r="F1928" s="381"/>
      <c r="G1928" s="381"/>
      <c r="H1928" s="381"/>
      <c r="I1928" s="381"/>
      <c r="J1928" s="381"/>
      <c r="K1928" s="382"/>
      <c r="L1928" s="380"/>
      <c r="M1928" s="413"/>
      <c r="N1928" s="383"/>
      <c r="O1928" s="384"/>
      <c r="P1928" s="384"/>
      <c r="Q1928" s="383"/>
      <c r="R1928" s="383"/>
      <c r="S1928" s="385"/>
      <c r="T1928" s="380"/>
      <c r="U1928" s="380"/>
      <c r="V1928" s="380"/>
      <c r="W1928" s="380"/>
      <c r="X1928" s="380"/>
    </row>
    <row r="1929" spans="1:24" ht="15.75" customHeight="1">
      <c r="A1929" s="463"/>
      <c r="B1929" s="380"/>
      <c r="C1929" s="381"/>
      <c r="D1929" s="381"/>
      <c r="E1929" s="381"/>
      <c r="F1929" s="381"/>
      <c r="G1929" s="381"/>
      <c r="H1929" s="381"/>
      <c r="I1929" s="381"/>
      <c r="J1929" s="381"/>
      <c r="K1929" s="382"/>
      <c r="L1929" s="380"/>
      <c r="M1929" s="413"/>
      <c r="N1929" s="383"/>
      <c r="O1929" s="384"/>
      <c r="P1929" s="384"/>
      <c r="Q1929" s="383"/>
      <c r="R1929" s="383"/>
      <c r="S1929" s="385"/>
      <c r="T1929" s="380"/>
      <c r="U1929" s="380"/>
      <c r="V1929" s="380"/>
      <c r="W1929" s="380"/>
      <c r="X1929" s="380"/>
    </row>
    <row r="1930" spans="1:24" ht="15.75" customHeight="1">
      <c r="A1930" s="463"/>
      <c r="B1930" s="380"/>
      <c r="C1930" s="381"/>
      <c r="D1930" s="381"/>
      <c r="E1930" s="381"/>
      <c r="F1930" s="381"/>
      <c r="G1930" s="381"/>
      <c r="H1930" s="381"/>
      <c r="I1930" s="381"/>
      <c r="J1930" s="381"/>
      <c r="K1930" s="382"/>
      <c r="L1930" s="380"/>
      <c r="M1930" s="413"/>
      <c r="N1930" s="383"/>
      <c r="O1930" s="384"/>
      <c r="P1930" s="384"/>
      <c r="Q1930" s="383"/>
      <c r="R1930" s="383"/>
      <c r="S1930" s="385"/>
      <c r="T1930" s="380"/>
      <c r="U1930" s="380"/>
      <c r="V1930" s="380"/>
      <c r="W1930" s="380"/>
      <c r="X1930" s="380"/>
    </row>
    <row r="1931" spans="1:24" ht="15.75" customHeight="1">
      <c r="A1931" s="463"/>
      <c r="B1931" s="380"/>
      <c r="C1931" s="381"/>
      <c r="D1931" s="381"/>
      <c r="E1931" s="381"/>
      <c r="F1931" s="381"/>
      <c r="G1931" s="381"/>
      <c r="H1931" s="381"/>
      <c r="I1931" s="381"/>
      <c r="J1931" s="381"/>
      <c r="K1931" s="382"/>
      <c r="L1931" s="380"/>
      <c r="M1931" s="413"/>
      <c r="N1931" s="383"/>
      <c r="O1931" s="384"/>
      <c r="P1931" s="384"/>
      <c r="Q1931" s="383"/>
      <c r="R1931" s="383"/>
      <c r="S1931" s="385"/>
      <c r="T1931" s="380"/>
      <c r="U1931" s="380"/>
      <c r="V1931" s="380"/>
      <c r="W1931" s="380"/>
      <c r="X1931" s="380"/>
    </row>
    <row r="1932" spans="1:24" ht="15.75" customHeight="1">
      <c r="A1932" s="463"/>
      <c r="B1932" s="380"/>
      <c r="C1932" s="381"/>
      <c r="D1932" s="381"/>
      <c r="E1932" s="381"/>
      <c r="F1932" s="381"/>
      <c r="G1932" s="381"/>
      <c r="H1932" s="381"/>
      <c r="I1932" s="381"/>
      <c r="J1932" s="381"/>
      <c r="K1932" s="382"/>
      <c r="L1932" s="380"/>
      <c r="M1932" s="413"/>
      <c r="N1932" s="383"/>
      <c r="O1932" s="384"/>
      <c r="P1932" s="384"/>
      <c r="Q1932" s="383"/>
      <c r="R1932" s="383"/>
      <c r="S1932" s="385"/>
      <c r="T1932" s="380"/>
      <c r="U1932" s="380"/>
      <c r="V1932" s="380"/>
      <c r="W1932" s="380"/>
      <c r="X1932" s="380"/>
    </row>
    <row r="1933" spans="1:24" ht="15.75" customHeight="1">
      <c r="A1933" s="463"/>
      <c r="B1933" s="380"/>
      <c r="C1933" s="381"/>
      <c r="D1933" s="381"/>
      <c r="E1933" s="381"/>
      <c r="F1933" s="381"/>
      <c r="G1933" s="381"/>
      <c r="H1933" s="381"/>
      <c r="I1933" s="381"/>
      <c r="J1933" s="381"/>
      <c r="K1933" s="382"/>
      <c r="L1933" s="380"/>
      <c r="M1933" s="413"/>
      <c r="N1933" s="383"/>
      <c r="O1933" s="384"/>
      <c r="P1933" s="384"/>
      <c r="Q1933" s="383"/>
      <c r="R1933" s="383"/>
      <c r="S1933" s="385"/>
      <c r="T1933" s="380"/>
      <c r="U1933" s="380"/>
      <c r="V1933" s="380"/>
      <c r="W1933" s="380"/>
      <c r="X1933" s="380"/>
    </row>
    <row r="1934" spans="1:24" ht="15.75" customHeight="1">
      <c r="A1934" s="463"/>
      <c r="B1934" s="380"/>
      <c r="C1934" s="381"/>
      <c r="D1934" s="381"/>
      <c r="E1934" s="381"/>
      <c r="F1934" s="381"/>
      <c r="G1934" s="381"/>
      <c r="H1934" s="381"/>
      <c r="I1934" s="381"/>
      <c r="J1934" s="381"/>
      <c r="K1934" s="382"/>
      <c r="L1934" s="380"/>
      <c r="M1934" s="413"/>
      <c r="N1934" s="383"/>
      <c r="O1934" s="384"/>
      <c r="P1934" s="384"/>
      <c r="Q1934" s="383"/>
      <c r="R1934" s="383"/>
      <c r="S1934" s="385"/>
      <c r="T1934" s="380"/>
      <c r="U1934" s="380"/>
      <c r="V1934" s="380"/>
      <c r="W1934" s="380"/>
      <c r="X1934" s="380"/>
    </row>
    <row r="1935" spans="1:24" ht="15.75" customHeight="1">
      <c r="A1935" s="463"/>
      <c r="B1935" s="380"/>
      <c r="C1935" s="381"/>
      <c r="D1935" s="381"/>
      <c r="E1935" s="381"/>
      <c r="F1935" s="381"/>
      <c r="G1935" s="381"/>
      <c r="H1935" s="381"/>
      <c r="I1935" s="381"/>
      <c r="J1935" s="381"/>
      <c r="K1935" s="382"/>
      <c r="L1935" s="380"/>
      <c r="M1935" s="413"/>
      <c r="N1935" s="383"/>
      <c r="O1935" s="384"/>
      <c r="P1935" s="384"/>
      <c r="Q1935" s="383"/>
      <c r="R1935" s="383"/>
      <c r="S1935" s="385"/>
      <c r="T1935" s="380"/>
      <c r="U1935" s="380"/>
      <c r="V1935" s="380"/>
      <c r="W1935" s="380"/>
      <c r="X1935" s="380"/>
    </row>
    <row r="1936" spans="1:24" ht="15.75" customHeight="1">
      <c r="A1936" s="463"/>
      <c r="B1936" s="380"/>
      <c r="C1936" s="381"/>
      <c r="D1936" s="381"/>
      <c r="E1936" s="381"/>
      <c r="F1936" s="381"/>
      <c r="G1936" s="381"/>
      <c r="H1936" s="381"/>
      <c r="I1936" s="381"/>
      <c r="J1936" s="381"/>
      <c r="K1936" s="382"/>
      <c r="L1936" s="380"/>
      <c r="M1936" s="413"/>
      <c r="N1936" s="383"/>
      <c r="O1936" s="384"/>
      <c r="P1936" s="384"/>
      <c r="Q1936" s="383"/>
      <c r="R1936" s="383"/>
      <c r="S1936" s="385"/>
      <c r="T1936" s="380"/>
      <c r="U1936" s="380"/>
      <c r="V1936" s="380"/>
      <c r="W1936" s="380"/>
      <c r="X1936" s="380"/>
    </row>
    <row r="1937" spans="1:24" ht="15.75" customHeight="1">
      <c r="A1937" s="463"/>
      <c r="B1937" s="380"/>
      <c r="C1937" s="381"/>
      <c r="D1937" s="381"/>
      <c r="E1937" s="381"/>
      <c r="F1937" s="381"/>
      <c r="G1937" s="381"/>
      <c r="H1937" s="381"/>
      <c r="I1937" s="381"/>
      <c r="J1937" s="381"/>
      <c r="K1937" s="382"/>
      <c r="L1937" s="380"/>
      <c r="M1937" s="413"/>
      <c r="N1937" s="383"/>
      <c r="O1937" s="384"/>
      <c r="P1937" s="384"/>
      <c r="Q1937" s="383"/>
      <c r="R1937" s="383"/>
      <c r="S1937" s="385"/>
      <c r="T1937" s="380"/>
      <c r="U1937" s="380"/>
      <c r="V1937" s="380"/>
      <c r="W1937" s="380"/>
      <c r="X1937" s="380"/>
    </row>
  </sheetData>
  <mergeCells count="19">
    <mergeCell ref="B391:B392"/>
    <mergeCell ref="E410:F410"/>
    <mergeCell ref="A13:A16"/>
    <mergeCell ref="A4:A5"/>
    <mergeCell ref="A18:A21"/>
    <mergeCell ref="A24:A27"/>
    <mergeCell ref="A29:A32"/>
    <mergeCell ref="B115:B190"/>
    <mergeCell ref="B194:B305"/>
    <mergeCell ref="B308:B341"/>
    <mergeCell ref="B343:B376"/>
    <mergeCell ref="B378:S380"/>
    <mergeCell ref="B382:B388"/>
    <mergeCell ref="B55:B112"/>
    <mergeCell ref="B2:B3"/>
    <mergeCell ref="C2:C3"/>
    <mergeCell ref="D2:D3"/>
    <mergeCell ref="E2:E3"/>
    <mergeCell ref="F2:F3"/>
  </mergeCells>
  <phoneticPr fontId="283" type="noConversion"/>
  <pageMargins left="0.51181102362204722" right="0.51181102362204722" top="0.78740157480314965" bottom="0.78740157480314965" header="0" footer="0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I36"/>
  <sheetViews>
    <sheetView showGridLines="0" zoomScale="70" zoomScaleNormal="70" workbookViewId="0">
      <selection activeCell="E26" sqref="E26"/>
    </sheetView>
  </sheetViews>
  <sheetFormatPr defaultColWidth="11.44140625" defaultRowHeight="13.2"/>
  <cols>
    <col min="1" max="2" width="17.44140625" customWidth="1"/>
    <col min="3" max="9" width="21" customWidth="1"/>
  </cols>
  <sheetData>
    <row r="1" spans="1:9" ht="17.399999999999999">
      <c r="A1" s="706" t="s">
        <v>795</v>
      </c>
      <c r="B1" s="703"/>
      <c r="C1" s="703"/>
      <c r="D1" s="703"/>
      <c r="E1" s="703"/>
      <c r="F1" s="703"/>
      <c r="G1" s="703"/>
      <c r="H1" s="703"/>
      <c r="I1" s="13"/>
    </row>
    <row r="2" spans="1:9" ht="17.399999999999999">
      <c r="A2" s="694"/>
      <c r="B2" s="695"/>
      <c r="C2" s="695"/>
      <c r="D2" s="695"/>
      <c r="E2" s="960" t="s">
        <v>806</v>
      </c>
      <c r="F2" s="960"/>
      <c r="G2" s="960"/>
      <c r="H2" s="707" t="s">
        <v>808</v>
      </c>
      <c r="I2" s="696"/>
    </row>
    <row r="3" spans="1:9" ht="105.6">
      <c r="A3" s="950" t="s">
        <v>48</v>
      </c>
      <c r="B3" s="951"/>
      <c r="C3" s="697" t="s">
        <v>790</v>
      </c>
      <c r="D3" s="697" t="s">
        <v>791</v>
      </c>
      <c r="E3" s="697" t="s">
        <v>792</v>
      </c>
      <c r="F3" s="697" t="s">
        <v>793</v>
      </c>
      <c r="G3" s="697" t="s">
        <v>794</v>
      </c>
      <c r="H3" s="697" t="s">
        <v>800</v>
      </c>
      <c r="I3" s="584" t="s">
        <v>807</v>
      </c>
    </row>
    <row r="4" spans="1:9">
      <c r="A4" s="684">
        <v>2024</v>
      </c>
      <c r="B4" s="698">
        <v>0</v>
      </c>
      <c r="C4" s="700">
        <v>0</v>
      </c>
      <c r="D4" s="701">
        <v>0</v>
      </c>
      <c r="E4" s="700">
        <f>C4*D4</f>
        <v>0</v>
      </c>
      <c r="F4" s="701">
        <v>0</v>
      </c>
      <c r="G4" s="702">
        <f>(E4)*F4</f>
        <v>0</v>
      </c>
      <c r="H4" s="700">
        <f>'Evolução Atendimento'!W4</f>
        <v>0</v>
      </c>
      <c r="I4" s="321">
        <f>G4+H4</f>
        <v>0</v>
      </c>
    </row>
    <row r="5" spans="1:9">
      <c r="A5" s="691">
        <v>2025</v>
      </c>
      <c r="B5" s="684">
        <v>1</v>
      </c>
      <c r="C5" s="700">
        <v>0</v>
      </c>
      <c r="D5" s="701">
        <v>0</v>
      </c>
      <c r="E5" s="700">
        <f t="shared" ref="E5:E33" si="0">C5*D5</f>
        <v>0</v>
      </c>
      <c r="F5" s="701">
        <v>0</v>
      </c>
      <c r="G5" s="702">
        <f>(E5)*F5</f>
        <v>0</v>
      </c>
      <c r="H5" s="700">
        <f>'Evolução Atendimento'!W5</f>
        <v>0</v>
      </c>
      <c r="I5" s="321">
        <f t="shared" ref="I5:I32" si="1">G5+H5</f>
        <v>0</v>
      </c>
    </row>
    <row r="6" spans="1:9">
      <c r="A6" s="684">
        <v>2026</v>
      </c>
      <c r="B6" s="698">
        <v>2</v>
      </c>
      <c r="C6" s="700">
        <v>0</v>
      </c>
      <c r="D6" s="701">
        <v>0</v>
      </c>
      <c r="E6" s="700">
        <f t="shared" si="0"/>
        <v>0</v>
      </c>
      <c r="F6" s="701">
        <v>0</v>
      </c>
      <c r="G6" s="702">
        <f>(E6)*F6</f>
        <v>0</v>
      </c>
      <c r="H6" s="700">
        <f>'Evolução Atendimento'!W6</f>
        <v>0</v>
      </c>
      <c r="I6" s="321">
        <f t="shared" si="1"/>
        <v>0</v>
      </c>
    </row>
    <row r="7" spans="1:9">
      <c r="A7" s="691">
        <v>2027</v>
      </c>
      <c r="B7" s="684">
        <v>3</v>
      </c>
      <c r="C7" s="700">
        <v>0</v>
      </c>
      <c r="D7" s="701">
        <v>0</v>
      </c>
      <c r="E7" s="700">
        <f t="shared" si="0"/>
        <v>0</v>
      </c>
      <c r="F7" s="701">
        <v>0</v>
      </c>
      <c r="G7" s="702">
        <f>(E7)*F7</f>
        <v>0</v>
      </c>
      <c r="H7" s="700">
        <f>'Evolução Atendimento'!W7</f>
        <v>0</v>
      </c>
      <c r="I7" s="321">
        <f t="shared" si="1"/>
        <v>0</v>
      </c>
    </row>
    <row r="8" spans="1:9">
      <c r="A8" s="684">
        <v>2028</v>
      </c>
      <c r="B8" s="698">
        <v>4</v>
      </c>
      <c r="C8" s="700">
        <v>0</v>
      </c>
      <c r="D8" s="701">
        <v>0</v>
      </c>
      <c r="E8" s="700">
        <f t="shared" si="0"/>
        <v>0</v>
      </c>
      <c r="F8" s="701">
        <v>0</v>
      </c>
      <c r="G8" s="702">
        <f t="shared" ref="G8:G33" si="2">(E8)*F8</f>
        <v>0</v>
      </c>
      <c r="H8" s="700">
        <f>'Evolução Atendimento'!W8</f>
        <v>897</v>
      </c>
      <c r="I8" s="321">
        <f t="shared" si="1"/>
        <v>897</v>
      </c>
    </row>
    <row r="9" spans="1:9">
      <c r="A9" s="691">
        <v>2029</v>
      </c>
      <c r="B9" s="684">
        <v>5</v>
      </c>
      <c r="C9" s="700">
        <v>0</v>
      </c>
      <c r="D9" s="701">
        <v>0</v>
      </c>
      <c r="E9" s="700">
        <f t="shared" si="0"/>
        <v>0</v>
      </c>
      <c r="F9" s="701">
        <v>0</v>
      </c>
      <c r="G9" s="702">
        <f t="shared" si="2"/>
        <v>0</v>
      </c>
      <c r="H9" s="700">
        <f>'Evolução Atendimento'!W9</f>
        <v>1818</v>
      </c>
      <c r="I9" s="321">
        <f t="shared" si="1"/>
        <v>1818</v>
      </c>
    </row>
    <row r="10" spans="1:9">
      <c r="A10" s="684">
        <v>2030</v>
      </c>
      <c r="B10" s="698">
        <v>6</v>
      </c>
      <c r="C10" s="700">
        <v>0</v>
      </c>
      <c r="D10" s="701">
        <v>0</v>
      </c>
      <c r="E10" s="700">
        <f t="shared" si="0"/>
        <v>0</v>
      </c>
      <c r="F10" s="701">
        <v>0</v>
      </c>
      <c r="G10" s="702">
        <f t="shared" si="2"/>
        <v>0</v>
      </c>
      <c r="H10" s="700">
        <f>'Evolução Atendimento'!W10</f>
        <v>2764</v>
      </c>
      <c r="I10" s="321">
        <f t="shared" si="1"/>
        <v>2764</v>
      </c>
    </row>
    <row r="11" spans="1:9">
      <c r="A11" s="691">
        <v>2031</v>
      </c>
      <c r="B11" s="684">
        <v>7</v>
      </c>
      <c r="C11" s="700">
        <v>0</v>
      </c>
      <c r="D11" s="701">
        <v>0</v>
      </c>
      <c r="E11" s="700">
        <f t="shared" si="0"/>
        <v>0</v>
      </c>
      <c r="F11" s="701">
        <v>0</v>
      </c>
      <c r="G11" s="702">
        <f t="shared" si="2"/>
        <v>0</v>
      </c>
      <c r="H11" s="700">
        <f>'Evolução Atendimento'!W11</f>
        <v>3266</v>
      </c>
      <c r="I11" s="321">
        <f t="shared" si="1"/>
        <v>3266</v>
      </c>
    </row>
    <row r="12" spans="1:9">
      <c r="A12" s="684">
        <v>2032</v>
      </c>
      <c r="B12" s="698">
        <v>8</v>
      </c>
      <c r="C12" s="700">
        <v>0</v>
      </c>
      <c r="D12" s="701">
        <v>0</v>
      </c>
      <c r="E12" s="700">
        <f t="shared" si="0"/>
        <v>0</v>
      </c>
      <c r="F12" s="701">
        <v>0</v>
      </c>
      <c r="G12" s="702">
        <f t="shared" si="2"/>
        <v>0</v>
      </c>
      <c r="H12" s="700">
        <f>'Evolução Atendimento'!W12</f>
        <v>3781</v>
      </c>
      <c r="I12" s="321">
        <f t="shared" si="1"/>
        <v>3781</v>
      </c>
    </row>
    <row r="13" spans="1:9">
      <c r="A13" s="691">
        <v>2033</v>
      </c>
      <c r="B13" s="684">
        <v>9</v>
      </c>
      <c r="C13" s="700">
        <v>0</v>
      </c>
      <c r="D13" s="701">
        <v>0</v>
      </c>
      <c r="E13" s="700">
        <f t="shared" si="0"/>
        <v>0</v>
      </c>
      <c r="F13" s="701">
        <v>0</v>
      </c>
      <c r="G13" s="702">
        <f t="shared" si="2"/>
        <v>0</v>
      </c>
      <c r="H13" s="700">
        <f>'Evolução Atendimento'!W13</f>
        <v>4308</v>
      </c>
      <c r="I13" s="321">
        <f t="shared" si="1"/>
        <v>4308</v>
      </c>
    </row>
    <row r="14" spans="1:9">
      <c r="A14" s="684">
        <v>2034</v>
      </c>
      <c r="B14" s="698">
        <v>10</v>
      </c>
      <c r="C14" s="700">
        <v>0</v>
      </c>
      <c r="D14" s="701">
        <v>0</v>
      </c>
      <c r="E14" s="700">
        <f t="shared" si="0"/>
        <v>0</v>
      </c>
      <c r="F14" s="701">
        <v>0</v>
      </c>
      <c r="G14" s="702">
        <f t="shared" si="2"/>
        <v>0</v>
      </c>
      <c r="H14" s="700">
        <f>'Evolução Atendimento'!W14</f>
        <v>4362</v>
      </c>
      <c r="I14" s="321">
        <f t="shared" si="1"/>
        <v>4362</v>
      </c>
    </row>
    <row r="15" spans="1:9">
      <c r="A15" s="691">
        <v>2035</v>
      </c>
      <c r="B15" s="684">
        <v>11</v>
      </c>
      <c r="C15" s="700">
        <v>0</v>
      </c>
      <c r="D15" s="701">
        <v>0</v>
      </c>
      <c r="E15" s="700">
        <f t="shared" si="0"/>
        <v>0</v>
      </c>
      <c r="F15" s="701">
        <v>0</v>
      </c>
      <c r="G15" s="702">
        <f t="shared" si="2"/>
        <v>0</v>
      </c>
      <c r="H15" s="700">
        <f>'Evolução Atendimento'!W15</f>
        <v>4416</v>
      </c>
      <c r="I15" s="321">
        <f t="shared" si="1"/>
        <v>4416</v>
      </c>
    </row>
    <row r="16" spans="1:9">
      <c r="A16" s="684">
        <v>2036</v>
      </c>
      <c r="B16" s="698">
        <v>12</v>
      </c>
      <c r="C16" s="700">
        <v>0</v>
      </c>
      <c r="D16" s="701">
        <v>0</v>
      </c>
      <c r="E16" s="700">
        <f t="shared" si="0"/>
        <v>0</v>
      </c>
      <c r="F16" s="701">
        <v>0</v>
      </c>
      <c r="G16" s="702">
        <f t="shared" si="2"/>
        <v>0</v>
      </c>
      <c r="H16" s="700">
        <f>'Evolução Atendimento'!W16</f>
        <v>4470</v>
      </c>
      <c r="I16" s="321">
        <f t="shared" si="1"/>
        <v>4470</v>
      </c>
    </row>
    <row r="17" spans="1:9">
      <c r="A17" s="691">
        <v>2037</v>
      </c>
      <c r="B17" s="684">
        <v>13</v>
      </c>
      <c r="C17" s="700">
        <v>0</v>
      </c>
      <c r="D17" s="701">
        <v>0</v>
      </c>
      <c r="E17" s="700">
        <f t="shared" si="0"/>
        <v>0</v>
      </c>
      <c r="F17" s="701">
        <v>0</v>
      </c>
      <c r="G17" s="702">
        <f t="shared" si="2"/>
        <v>0</v>
      </c>
      <c r="H17" s="700">
        <f>'Evolução Atendimento'!W17</f>
        <v>4524</v>
      </c>
      <c r="I17" s="321">
        <f t="shared" si="1"/>
        <v>4524</v>
      </c>
    </row>
    <row r="18" spans="1:9">
      <c r="A18" s="684">
        <v>2038</v>
      </c>
      <c r="B18" s="698">
        <v>14</v>
      </c>
      <c r="C18" s="700">
        <v>0</v>
      </c>
      <c r="D18" s="701">
        <v>0</v>
      </c>
      <c r="E18" s="700">
        <f t="shared" si="0"/>
        <v>0</v>
      </c>
      <c r="F18" s="701">
        <v>0</v>
      </c>
      <c r="G18" s="702">
        <f t="shared" si="2"/>
        <v>0</v>
      </c>
      <c r="H18" s="700">
        <f>'Evolução Atendimento'!W18</f>
        <v>4578</v>
      </c>
      <c r="I18" s="321">
        <f t="shared" si="1"/>
        <v>4578</v>
      </c>
    </row>
    <row r="19" spans="1:9">
      <c r="A19" s="691">
        <v>2039</v>
      </c>
      <c r="B19" s="684">
        <v>15</v>
      </c>
      <c r="C19" s="700">
        <v>0</v>
      </c>
      <c r="D19" s="701">
        <v>0</v>
      </c>
      <c r="E19" s="700">
        <f t="shared" si="0"/>
        <v>0</v>
      </c>
      <c r="F19" s="701">
        <v>0</v>
      </c>
      <c r="G19" s="702">
        <f t="shared" si="2"/>
        <v>0</v>
      </c>
      <c r="H19" s="700">
        <f>'Evolução Atendimento'!W19</f>
        <v>4632</v>
      </c>
      <c r="I19" s="321">
        <f t="shared" si="1"/>
        <v>4632</v>
      </c>
    </row>
    <row r="20" spans="1:9">
      <c r="A20" s="684">
        <v>2040</v>
      </c>
      <c r="B20" s="698">
        <v>16</v>
      </c>
      <c r="C20" s="700">
        <v>0</v>
      </c>
      <c r="D20" s="701">
        <v>0</v>
      </c>
      <c r="E20" s="700">
        <f t="shared" si="0"/>
        <v>0</v>
      </c>
      <c r="F20" s="701">
        <v>0</v>
      </c>
      <c r="G20" s="702">
        <f t="shared" si="2"/>
        <v>0</v>
      </c>
      <c r="H20" s="700">
        <f>'Evolução Atendimento'!W20</f>
        <v>4686</v>
      </c>
      <c r="I20" s="321">
        <f t="shared" si="1"/>
        <v>4686</v>
      </c>
    </row>
    <row r="21" spans="1:9">
      <c r="A21" s="691">
        <v>2041</v>
      </c>
      <c r="B21" s="684">
        <v>17</v>
      </c>
      <c r="C21" s="700">
        <v>0</v>
      </c>
      <c r="D21" s="701">
        <v>0</v>
      </c>
      <c r="E21" s="700">
        <f t="shared" si="0"/>
        <v>0</v>
      </c>
      <c r="F21" s="701">
        <v>0</v>
      </c>
      <c r="G21" s="702">
        <f t="shared" si="2"/>
        <v>0</v>
      </c>
      <c r="H21" s="700">
        <f>'Evolução Atendimento'!W21</f>
        <v>4740</v>
      </c>
      <c r="I21" s="321">
        <f t="shared" si="1"/>
        <v>4740</v>
      </c>
    </row>
    <row r="22" spans="1:9">
      <c r="A22" s="684">
        <v>2042</v>
      </c>
      <c r="B22" s="698">
        <v>18</v>
      </c>
      <c r="C22" s="700">
        <v>0</v>
      </c>
      <c r="D22" s="701">
        <v>0</v>
      </c>
      <c r="E22" s="700">
        <f t="shared" si="0"/>
        <v>0</v>
      </c>
      <c r="F22" s="701">
        <v>0</v>
      </c>
      <c r="G22" s="702">
        <f t="shared" si="2"/>
        <v>0</v>
      </c>
      <c r="H22" s="700">
        <f>'Evolução Atendimento'!W22</f>
        <v>4795</v>
      </c>
      <c r="I22" s="321">
        <f t="shared" si="1"/>
        <v>4795</v>
      </c>
    </row>
    <row r="23" spans="1:9">
      <c r="A23" s="691">
        <v>2043</v>
      </c>
      <c r="B23" s="684">
        <v>19</v>
      </c>
      <c r="C23" s="700">
        <v>0</v>
      </c>
      <c r="D23" s="701">
        <v>0</v>
      </c>
      <c r="E23" s="700">
        <f t="shared" si="0"/>
        <v>0</v>
      </c>
      <c r="F23" s="701">
        <v>0</v>
      </c>
      <c r="G23" s="702">
        <f t="shared" si="2"/>
        <v>0</v>
      </c>
      <c r="H23" s="700">
        <f>'Evolução Atendimento'!W23</f>
        <v>4850</v>
      </c>
      <c r="I23" s="321">
        <f t="shared" si="1"/>
        <v>4850</v>
      </c>
    </row>
    <row r="24" spans="1:9">
      <c r="A24" s="684">
        <v>2044</v>
      </c>
      <c r="B24" s="698">
        <v>20</v>
      </c>
      <c r="C24" s="700">
        <v>0</v>
      </c>
      <c r="D24" s="701">
        <v>0</v>
      </c>
      <c r="E24" s="700">
        <f t="shared" si="0"/>
        <v>0</v>
      </c>
      <c r="F24" s="701">
        <v>0</v>
      </c>
      <c r="G24" s="702">
        <f t="shared" si="2"/>
        <v>0</v>
      </c>
      <c r="H24" s="700">
        <f>'Evolução Atendimento'!W24</f>
        <v>4906</v>
      </c>
      <c r="I24" s="321">
        <f t="shared" si="1"/>
        <v>4906</v>
      </c>
    </row>
    <row r="25" spans="1:9">
      <c r="A25" s="691">
        <v>2045</v>
      </c>
      <c r="B25" s="684">
        <v>21</v>
      </c>
      <c r="C25" s="700">
        <v>0</v>
      </c>
      <c r="D25" s="701">
        <v>0</v>
      </c>
      <c r="E25" s="700">
        <f t="shared" si="0"/>
        <v>0</v>
      </c>
      <c r="F25" s="701">
        <v>0</v>
      </c>
      <c r="G25" s="702">
        <f t="shared" si="2"/>
        <v>0</v>
      </c>
      <c r="H25" s="700">
        <f>'Evolução Atendimento'!W25</f>
        <v>4962</v>
      </c>
      <c r="I25" s="321">
        <f t="shared" si="1"/>
        <v>4962</v>
      </c>
    </row>
    <row r="26" spans="1:9">
      <c r="A26" s="684">
        <v>2046</v>
      </c>
      <c r="B26" s="698">
        <v>22</v>
      </c>
      <c r="C26" s="700">
        <v>0</v>
      </c>
      <c r="D26" s="701">
        <v>0</v>
      </c>
      <c r="E26" s="700">
        <f t="shared" si="0"/>
        <v>0</v>
      </c>
      <c r="F26" s="701">
        <v>0</v>
      </c>
      <c r="G26" s="702">
        <f t="shared" si="2"/>
        <v>0</v>
      </c>
      <c r="H26" s="700">
        <f>'Evolução Atendimento'!W26</f>
        <v>5019</v>
      </c>
      <c r="I26" s="321">
        <f t="shared" si="1"/>
        <v>5019</v>
      </c>
    </row>
    <row r="27" spans="1:9">
      <c r="A27" s="691">
        <v>2047</v>
      </c>
      <c r="B27" s="684">
        <v>23</v>
      </c>
      <c r="C27" s="700">
        <v>0</v>
      </c>
      <c r="D27" s="701">
        <v>0</v>
      </c>
      <c r="E27" s="700">
        <f t="shared" si="0"/>
        <v>0</v>
      </c>
      <c r="F27" s="701">
        <v>0</v>
      </c>
      <c r="G27" s="702">
        <f t="shared" si="2"/>
        <v>0</v>
      </c>
      <c r="H27" s="700">
        <f>'Evolução Atendimento'!W27</f>
        <v>5076</v>
      </c>
      <c r="I27" s="321">
        <f t="shared" si="1"/>
        <v>5076</v>
      </c>
    </row>
    <row r="28" spans="1:9">
      <c r="A28" s="684">
        <v>2048</v>
      </c>
      <c r="B28" s="698">
        <v>24</v>
      </c>
      <c r="C28" s="700">
        <v>0</v>
      </c>
      <c r="D28" s="701">
        <v>0</v>
      </c>
      <c r="E28" s="700">
        <f t="shared" si="0"/>
        <v>0</v>
      </c>
      <c r="F28" s="701">
        <v>0</v>
      </c>
      <c r="G28" s="702">
        <f t="shared" si="2"/>
        <v>0</v>
      </c>
      <c r="H28" s="700">
        <f>'Evolução Atendimento'!W28</f>
        <v>5134</v>
      </c>
      <c r="I28" s="321">
        <f t="shared" si="1"/>
        <v>5134</v>
      </c>
    </row>
    <row r="29" spans="1:9">
      <c r="A29" s="691">
        <v>2049</v>
      </c>
      <c r="B29" s="684">
        <v>25</v>
      </c>
      <c r="C29" s="700">
        <v>0</v>
      </c>
      <c r="D29" s="701">
        <v>0</v>
      </c>
      <c r="E29" s="700">
        <f t="shared" si="0"/>
        <v>0</v>
      </c>
      <c r="F29" s="701">
        <v>0</v>
      </c>
      <c r="G29" s="702">
        <f t="shared" si="2"/>
        <v>0</v>
      </c>
      <c r="H29" s="700">
        <f>'Evolução Atendimento'!W29</f>
        <v>5193</v>
      </c>
      <c r="I29" s="321">
        <f t="shared" si="1"/>
        <v>5193</v>
      </c>
    </row>
    <row r="30" spans="1:9">
      <c r="A30" s="684">
        <v>2050</v>
      </c>
      <c r="B30" s="698">
        <v>26</v>
      </c>
      <c r="C30" s="700">
        <v>0</v>
      </c>
      <c r="D30" s="701">
        <v>0</v>
      </c>
      <c r="E30" s="700">
        <f t="shared" si="0"/>
        <v>0</v>
      </c>
      <c r="F30" s="701">
        <v>0</v>
      </c>
      <c r="G30" s="702">
        <f t="shared" si="2"/>
        <v>0</v>
      </c>
      <c r="H30" s="700">
        <f>'Evolução Atendimento'!W30</f>
        <v>5252</v>
      </c>
      <c r="I30" s="321">
        <f t="shared" si="1"/>
        <v>5252</v>
      </c>
    </row>
    <row r="31" spans="1:9">
      <c r="A31" s="691">
        <v>2051</v>
      </c>
      <c r="B31" s="684">
        <v>27</v>
      </c>
      <c r="C31" s="700">
        <v>0</v>
      </c>
      <c r="D31" s="701">
        <v>0</v>
      </c>
      <c r="E31" s="700">
        <f t="shared" si="0"/>
        <v>0</v>
      </c>
      <c r="F31" s="701">
        <v>0</v>
      </c>
      <c r="G31" s="702">
        <f t="shared" si="2"/>
        <v>0</v>
      </c>
      <c r="H31" s="700">
        <f>'Evolução Atendimento'!W31</f>
        <v>5312</v>
      </c>
      <c r="I31" s="321">
        <f t="shared" si="1"/>
        <v>5312</v>
      </c>
    </row>
    <row r="32" spans="1:9">
      <c r="A32" s="684">
        <v>2052</v>
      </c>
      <c r="B32" s="698">
        <v>28</v>
      </c>
      <c r="C32" s="700">
        <v>0</v>
      </c>
      <c r="D32" s="701">
        <v>0</v>
      </c>
      <c r="E32" s="700">
        <f t="shared" si="0"/>
        <v>0</v>
      </c>
      <c r="F32" s="701">
        <v>0</v>
      </c>
      <c r="G32" s="702">
        <f t="shared" si="2"/>
        <v>0</v>
      </c>
      <c r="H32" s="700">
        <f>'Evolução Atendimento'!W32</f>
        <v>5373</v>
      </c>
      <c r="I32" s="321">
        <f t="shared" si="1"/>
        <v>5373</v>
      </c>
    </row>
    <row r="33" spans="1:9">
      <c r="A33" s="691">
        <v>2053</v>
      </c>
      <c r="B33" s="684">
        <v>29</v>
      </c>
      <c r="C33" s="700">
        <v>0</v>
      </c>
      <c r="D33" s="701">
        <v>0</v>
      </c>
      <c r="E33" s="700">
        <f t="shared" si="0"/>
        <v>0</v>
      </c>
      <c r="F33" s="701">
        <v>0</v>
      </c>
      <c r="G33" s="702">
        <f t="shared" si="2"/>
        <v>0</v>
      </c>
      <c r="H33" s="700">
        <f>'Evolução Atendimento'!W33</f>
        <v>5435</v>
      </c>
      <c r="I33" s="321">
        <f>G33+H33</f>
        <v>5435</v>
      </c>
    </row>
    <row r="34" spans="1:9">
      <c r="A34" s="684">
        <v>2054</v>
      </c>
      <c r="B34" s="698">
        <v>30</v>
      </c>
      <c r="C34" s="700">
        <v>0</v>
      </c>
      <c r="D34" s="701">
        <v>0</v>
      </c>
      <c r="E34" s="700">
        <f t="shared" ref="E34" si="3">C34*D34</f>
        <v>0</v>
      </c>
      <c r="F34" s="701">
        <v>0</v>
      </c>
      <c r="G34" s="702">
        <f t="shared" ref="G34" si="4">(E34)*F34</f>
        <v>0</v>
      </c>
      <c r="H34" s="700">
        <f>'Evolução Atendimento'!W34</f>
        <v>5497</v>
      </c>
      <c r="I34" s="321">
        <f>G34+H34</f>
        <v>5497</v>
      </c>
    </row>
    <row r="35" spans="1:9">
      <c r="G35" s="705"/>
      <c r="H35" s="710"/>
      <c r="I35" s="709"/>
    </row>
    <row r="36" spans="1:9">
      <c r="H36" s="617"/>
      <c r="I36" s="699"/>
    </row>
  </sheetData>
  <mergeCells count="2">
    <mergeCell ref="A3:B3"/>
    <mergeCell ref="E2:G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AK42"/>
  <sheetViews>
    <sheetView showGridLines="0" showZeros="0" topLeftCell="X1" zoomScale="115" zoomScaleNormal="115" zoomScalePageLayoutView="90" workbookViewId="0">
      <pane ySplit="3" topLeftCell="A4" activePane="bottomLeft" state="frozen"/>
      <selection activeCell="L3" sqref="L3:L108"/>
      <selection pane="bottomLeft" activeCell="AE5" sqref="AE5"/>
    </sheetView>
  </sheetViews>
  <sheetFormatPr defaultColWidth="11.44140625" defaultRowHeight="15" customHeight="1"/>
  <cols>
    <col min="1" max="1" width="10.77734375" style="16" customWidth="1"/>
    <col min="2" max="2" width="20.109375" style="16" bestFit="1" customWidth="1"/>
    <col min="3" max="3" width="20.109375" style="16" customWidth="1"/>
    <col min="4" max="9" width="24.77734375" style="16" customWidth="1"/>
    <col min="10" max="10" width="13.6640625" style="16" customWidth="1"/>
    <col min="11" max="11" width="25.77734375" style="16" customWidth="1"/>
    <col min="12" max="16" width="24.77734375" style="16" customWidth="1"/>
    <col min="17" max="17" width="25.44140625" style="16" customWidth="1"/>
    <col min="18" max="20" width="27.6640625" style="16" customWidth="1"/>
    <col min="21" max="21" width="20.77734375" style="16" customWidth="1"/>
    <col min="22" max="22" width="19.77734375" style="16" bestFit="1" customWidth="1"/>
    <col min="23" max="23" width="19.77734375" style="16" customWidth="1"/>
    <col min="24" max="24" width="19.33203125" style="16" customWidth="1"/>
    <col min="25" max="26" width="19.77734375" style="16" customWidth="1"/>
    <col min="27" max="28" width="11.44140625" style="16"/>
    <col min="29" max="29" width="24.33203125" style="16" bestFit="1" customWidth="1"/>
    <col min="30" max="30" width="18.88671875" style="16" bestFit="1" customWidth="1"/>
    <col min="31" max="31" width="23.21875" style="16" bestFit="1" customWidth="1"/>
    <col min="32" max="32" width="27.109375" style="16" customWidth="1"/>
    <col min="33" max="33" width="22.77734375" style="16" customWidth="1"/>
    <col min="34" max="34" width="27.44140625" style="16" customWidth="1"/>
    <col min="35" max="35" width="26.109375" style="16" customWidth="1"/>
    <col min="36" max="36" width="25.6640625" style="16" customWidth="1"/>
    <col min="37" max="37" width="24.44140625" style="16" customWidth="1"/>
    <col min="38" max="16384" width="11.44140625" style="16"/>
  </cols>
  <sheetData>
    <row r="1" spans="1:37" s="13" customFormat="1" ht="40.049999999999997" customHeight="1">
      <c r="A1" s="954" t="s">
        <v>55</v>
      </c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  <c r="P1" s="955"/>
      <c r="Q1" s="955"/>
      <c r="R1" s="955"/>
      <c r="S1" s="955"/>
      <c r="T1" s="955"/>
      <c r="U1" s="955"/>
      <c r="V1" s="955"/>
      <c r="W1" s="955"/>
      <c r="X1" s="955"/>
      <c r="Y1" s="955"/>
      <c r="Z1" s="956"/>
      <c r="AC1" s="954" t="s">
        <v>397</v>
      </c>
      <c r="AD1" s="955"/>
      <c r="AE1" s="955"/>
      <c r="AF1" s="955"/>
      <c r="AG1" s="955"/>
      <c r="AH1" s="955"/>
      <c r="AI1" s="955"/>
      <c r="AJ1" s="955"/>
      <c r="AK1" s="956"/>
    </row>
    <row r="2" spans="1:37" s="15" customFormat="1" ht="15" customHeight="1">
      <c r="A2" s="14"/>
      <c r="B2" s="14"/>
      <c r="C2" s="14"/>
      <c r="D2" s="14"/>
      <c r="E2" s="14"/>
      <c r="F2" s="14"/>
      <c r="G2" s="14"/>
      <c r="H2" s="14"/>
      <c r="I2" s="14"/>
      <c r="J2" s="494"/>
      <c r="K2" s="14"/>
      <c r="L2" s="14"/>
      <c r="M2" s="14"/>
      <c r="N2" s="14"/>
      <c r="O2" s="14"/>
      <c r="P2" s="14"/>
      <c r="Q2" s="14"/>
      <c r="R2" s="19"/>
      <c r="S2" s="19"/>
      <c r="T2" s="19"/>
      <c r="U2" s="19"/>
    </row>
    <row r="3" spans="1:37" s="18" customFormat="1" ht="64.8" customHeight="1">
      <c r="A3" s="2" t="s">
        <v>1</v>
      </c>
      <c r="B3" s="176" t="s">
        <v>518</v>
      </c>
      <c r="C3" s="584" t="s">
        <v>797</v>
      </c>
      <c r="D3" s="1" t="s">
        <v>867</v>
      </c>
      <c r="E3" s="1" t="s">
        <v>868</v>
      </c>
      <c r="F3" s="1" t="s">
        <v>869</v>
      </c>
      <c r="G3" s="1" t="s">
        <v>872</v>
      </c>
      <c r="H3" s="1" t="s">
        <v>871</v>
      </c>
      <c r="I3" s="1" t="s">
        <v>870</v>
      </c>
      <c r="J3" s="176" t="s">
        <v>391</v>
      </c>
      <c r="K3" s="1" t="s">
        <v>873</v>
      </c>
      <c r="L3" s="1" t="s">
        <v>874</v>
      </c>
      <c r="M3" s="1" t="s">
        <v>875</v>
      </c>
      <c r="N3" s="1" t="s">
        <v>876</v>
      </c>
      <c r="O3" s="1" t="s">
        <v>877</v>
      </c>
      <c r="P3" s="1" t="s">
        <v>878</v>
      </c>
      <c r="Q3" s="1" t="s">
        <v>49</v>
      </c>
      <c r="R3" s="1" t="s">
        <v>1000</v>
      </c>
      <c r="S3" s="1" t="s">
        <v>1001</v>
      </c>
      <c r="T3" s="1" t="s">
        <v>1002</v>
      </c>
      <c r="U3" s="176" t="s">
        <v>942</v>
      </c>
      <c r="V3" s="1" t="s">
        <v>943</v>
      </c>
      <c r="W3" s="176" t="s">
        <v>944</v>
      </c>
      <c r="X3" s="1" t="s">
        <v>968</v>
      </c>
      <c r="Y3" s="176" t="s">
        <v>945</v>
      </c>
      <c r="Z3" s="1" t="s">
        <v>946</v>
      </c>
      <c r="AC3" s="176" t="s">
        <v>947</v>
      </c>
      <c r="AD3" s="176" t="s">
        <v>953</v>
      </c>
      <c r="AE3" s="176" t="s">
        <v>948</v>
      </c>
      <c r="AF3" s="176" t="s">
        <v>949</v>
      </c>
      <c r="AG3" s="176" t="s">
        <v>954</v>
      </c>
      <c r="AH3" s="176" t="s">
        <v>950</v>
      </c>
      <c r="AI3" s="176" t="s">
        <v>951</v>
      </c>
      <c r="AJ3" s="176" t="s">
        <v>955</v>
      </c>
      <c r="AK3" s="176" t="s">
        <v>952</v>
      </c>
    </row>
    <row r="4" spans="1:37" ht="15" customHeight="1">
      <c r="A4" s="2">
        <v>1</v>
      </c>
      <c r="B4" s="291">
        <f>'Dados de Entrada'!$D$23</f>
        <v>164.14311509346777</v>
      </c>
      <c r="C4" s="755">
        <v>0</v>
      </c>
      <c r="D4" s="12">
        <f>'Evolução Atendimento'!I5*B4*365/1000</f>
        <v>6318883.7251144275</v>
      </c>
      <c r="E4" s="12">
        <f>D4</f>
        <v>6318883.7251144275</v>
      </c>
      <c r="F4" s="12">
        <f>'Evolução Atendimento'!J5*B4*365/1000</f>
        <v>18692.617946844108</v>
      </c>
      <c r="G4" s="12">
        <f>F4</f>
        <v>18692.617946844108</v>
      </c>
      <c r="H4" s="12">
        <f>'Evolução Atendimento'!K5*B4*365/1000</f>
        <v>2875.7873764375554</v>
      </c>
      <c r="I4" s="12">
        <f>H4</f>
        <v>2875.7873764375554</v>
      </c>
      <c r="J4" s="704">
        <v>1</v>
      </c>
      <c r="K4" s="12">
        <f>( ( J4 ) * ( E4 ) )</f>
        <v>6318883.7251144275</v>
      </c>
      <c r="L4" s="139">
        <f>D4/(100%-Q4)</f>
        <v>11837618.417516058</v>
      </c>
      <c r="M4" s="12">
        <f>( ( J4 ) * ( G4 ) )</f>
        <v>18692.617946844108</v>
      </c>
      <c r="N4" s="139">
        <f>F4/(100%-Q4)</f>
        <v>35018.22285472518</v>
      </c>
      <c r="O4" s="12">
        <f>( ( J4 ) * ( I4 ) )</f>
        <v>2875.7873764375554</v>
      </c>
      <c r="P4" s="139">
        <f>H4/(100%-Q4)</f>
        <v>5387.4189007269515</v>
      </c>
      <c r="Q4" s="134">
        <f>'Dados de Entrada'!D61</f>
        <v>0.46620312445918932</v>
      </c>
      <c r="R4" s="12">
        <f>('Dados de Entrada'!$D$78)*('Evolução Atendimento'!$O4*B4*365/1000)</f>
        <v>0</v>
      </c>
      <c r="S4" s="12">
        <f>('Dados de Entrada'!$E$78)*('Evolução Atendimento'!P4*B4*365/1000)</f>
        <v>0</v>
      </c>
      <c r="T4" s="12">
        <f>('Dados de Entrada'!$F$78)*('Evolução Atendimento'!Q4*B4*365/1000)</f>
        <v>0</v>
      </c>
      <c r="U4" s="173">
        <f>'Evolução de Rede'!M4*'Dados de Entrada'!$D$79</f>
        <v>0</v>
      </c>
      <c r="V4" s="12">
        <f>(($R4)*('Evolução Atendimento'!$M4))+U4</f>
        <v>0</v>
      </c>
      <c r="W4" s="173">
        <f>'Evolução de Rede'!O4*'Dados de Entrada'!$D$79</f>
        <v>0</v>
      </c>
      <c r="X4" s="12">
        <f>(($R4)*('Evolução Atendimento'!$M4))+W4</f>
        <v>0</v>
      </c>
      <c r="Y4" s="173">
        <f>'Evolução de Rede'!Q4*'Dados de Entrada'!$D$79</f>
        <v>0</v>
      </c>
      <c r="Z4" s="12">
        <f>(($R4)*('Evolução Atendimento'!$M4))+Y4</f>
        <v>0</v>
      </c>
      <c r="AC4" s="713">
        <f>ROUND(K4/'Evolução Economias'!B5/12,2)</f>
        <v>9.4499999999999993</v>
      </c>
      <c r="AD4" s="182">
        <f t="shared" ref="AD4:AD33" si="0">L4-D4</f>
        <v>5518734.6924016308</v>
      </c>
      <c r="AE4" s="213">
        <f>ROUND(AD4/365/'Evolução Ligações'!B5*1000,2)</f>
        <v>441.91</v>
      </c>
      <c r="AF4" s="713">
        <f>ROUND(M4/'Evolução Economias'!D5/12,2)</f>
        <v>10.45</v>
      </c>
      <c r="AG4" s="182">
        <f>N4-F4</f>
        <v>16325.604907881072</v>
      </c>
      <c r="AH4" s="213">
        <f>ROUND(AG4/365/'Evolução Ligações'!D5*1000,2)</f>
        <v>300.19</v>
      </c>
      <c r="AI4" s="713">
        <f>ROUND(O4/'Evolução Economias'!F5/12,2)</f>
        <v>4.5199999999999996</v>
      </c>
      <c r="AJ4" s="182">
        <f>P4-H4</f>
        <v>2511.6315242893961</v>
      </c>
      <c r="AK4" s="213">
        <f>ROUND(AJ4/365/'Evolução Ligações'!F5*1000,2)</f>
        <v>129.83000000000001</v>
      </c>
    </row>
    <row r="5" spans="1:37" ht="15" customHeight="1">
      <c r="A5" s="2">
        <f xml:space="preserve"> ( ( A4 ) + ( 1 ) )</f>
        <v>2</v>
      </c>
      <c r="B5" s="291">
        <f>B4+(B4*C4)</f>
        <v>164.14311509346777</v>
      </c>
      <c r="C5" s="755">
        <v>0.01</v>
      </c>
      <c r="D5" s="12">
        <f>'Evolução Atendimento'!I6*B5*365/1000</f>
        <v>6407134.450228855</v>
      </c>
      <c r="E5" s="12">
        <f t="shared" ref="E5:E33" si="1">D5</f>
        <v>6407134.450228855</v>
      </c>
      <c r="F5" s="12">
        <f>'Evolução Atendimento'!J6*B5*365/1000</f>
        <v>18932.266894880569</v>
      </c>
      <c r="G5" s="12">
        <f t="shared" ref="G5:G33" si="2">F5</f>
        <v>18932.266894880569</v>
      </c>
      <c r="H5" s="12">
        <f>'Evolução Atendimento'!K6*B5*365/1000</f>
        <v>2935.6996134466713</v>
      </c>
      <c r="I5" s="12">
        <f t="shared" ref="I5:I33" si="3">H5</f>
        <v>2935.6996134466713</v>
      </c>
      <c r="J5" s="704">
        <f>J4</f>
        <v>1</v>
      </c>
      <c r="K5" s="12">
        <f t="shared" ref="K5:K33" si="4">( ( J5 ) * ( E5 ) )</f>
        <v>6407134.450228855</v>
      </c>
      <c r="L5" s="139">
        <f t="shared" ref="L5:L33" si="5">D5/(100%-Q5)</f>
        <v>11649335.364052463</v>
      </c>
      <c r="M5" s="12">
        <f t="shared" ref="M5:M33" si="6">( ( J5 ) * ( G5 ) )</f>
        <v>18932.266894880569</v>
      </c>
      <c r="N5" s="139">
        <f t="shared" ref="N5:N33" si="7">F5/(100%-Q5)</f>
        <v>34422.303445237398</v>
      </c>
      <c r="O5" s="12">
        <f t="shared" ref="O5:O33" si="8">( ( J5 ) * ( I5 ) )</f>
        <v>2935.6996134466713</v>
      </c>
      <c r="P5" s="139">
        <f t="shared" ref="P5:P33" si="9">H5/(100%-Q5)</f>
        <v>5337.6356608121296</v>
      </c>
      <c r="Q5" s="134">
        <v>0.45</v>
      </c>
      <c r="R5" s="12">
        <f>('Dados de Entrada'!$D$78)*('Evolução Atendimento'!$O5*B5*365/1000)</f>
        <v>0</v>
      </c>
      <c r="S5" s="12">
        <f>('Dados de Entrada'!$E$78)*('Evolução Atendimento'!P5*B5*365/1000)</f>
        <v>0</v>
      </c>
      <c r="T5" s="12">
        <f>('Dados de Entrada'!$F$78)*('Evolução Atendimento'!Q5*B5*365/1000)</f>
        <v>0</v>
      </c>
      <c r="U5" s="173">
        <f>'Evolução de Rede'!M5*'Dados de Entrada'!$D$79</f>
        <v>0</v>
      </c>
      <c r="V5" s="12">
        <f>(($R5)*('Evolução Atendimento'!$M5))+U5</f>
        <v>0</v>
      </c>
      <c r="W5" s="173">
        <f>'Evolução de Rede'!O5*'Dados de Entrada'!$D$79</f>
        <v>0</v>
      </c>
      <c r="X5" s="12">
        <f>(($R5)*('Evolução Atendimento'!$M5))+W5</f>
        <v>0</v>
      </c>
      <c r="Y5" s="173">
        <f>'Evolução de Rede'!Q5*'Dados de Entrada'!$D$79</f>
        <v>0</v>
      </c>
      <c r="Z5" s="12">
        <f>(($R5)*('Evolução Atendimento'!$M5))+Y5</f>
        <v>0</v>
      </c>
      <c r="AC5" s="713">
        <f>ROUND(K5/'Evolução Economias'!B6/12,2)</f>
        <v>9.4499999999999993</v>
      </c>
      <c r="AD5" s="182">
        <f t="shared" si="0"/>
        <v>5242200.9138236083</v>
      </c>
      <c r="AE5" s="213">
        <f>ROUND(AD5/365/'Evolução Ligações'!B6*1000,2)</f>
        <v>413.98</v>
      </c>
      <c r="AF5" s="713">
        <f>ROUND(M5/'Evolução Economias'!D6/12,2)</f>
        <v>10.45</v>
      </c>
      <c r="AG5" s="182">
        <f t="shared" ref="AG5:AG33" si="10">N5-F5</f>
        <v>15490.036550356828</v>
      </c>
      <c r="AH5" s="213">
        <f>ROUND(AG5/365/'Evolução Ligações'!D6*1000,2)</f>
        <v>281.05</v>
      </c>
      <c r="AI5" s="713">
        <f>ROUND(O5/'Evolução Economias'!F6/12,2)</f>
        <v>4.53</v>
      </c>
      <c r="AJ5" s="182">
        <f t="shared" ref="AJ5:AJ33" si="11">P5-H5</f>
        <v>2401.9360473654583</v>
      </c>
      <c r="AK5" s="213">
        <f>ROUND(AJ5/365/'Evolução Ligações'!F6*1000,2)</f>
        <v>121.86</v>
      </c>
    </row>
    <row r="6" spans="1:37" ht="15" customHeight="1">
      <c r="A6" s="2">
        <f t="shared" ref="A6:A33" si="12" xml:space="preserve"> ( ( A5 ) + ( 1 ) )</f>
        <v>3</v>
      </c>
      <c r="B6" s="291">
        <f t="shared" ref="B6:B10" si="13">B5+(B5*C5)</f>
        <v>165.78454624440243</v>
      </c>
      <c r="C6" s="755">
        <v>0.01</v>
      </c>
      <c r="D6" s="12">
        <f>'Evolução Atendimento'!I7*B6*365/1000</f>
        <v>6560339.0270967139</v>
      </c>
      <c r="E6" s="12">
        <f t="shared" si="1"/>
        <v>6560339.0270967139</v>
      </c>
      <c r="F6" s="12">
        <f>'Evolução Atendimento'!J7*B6*365/1000</f>
        <v>19363.635001346203</v>
      </c>
      <c r="G6" s="12">
        <f t="shared" si="2"/>
        <v>19363.635001346203</v>
      </c>
      <c r="H6" s="12">
        <f>'Evolução Atendimento'!K7*B6*365/1000</f>
        <v>3025.5679689603448</v>
      </c>
      <c r="I6" s="12">
        <f t="shared" si="3"/>
        <v>3025.5679689603448</v>
      </c>
      <c r="J6" s="704">
        <f t="shared" ref="J6:J33" si="14">J5</f>
        <v>1</v>
      </c>
      <c r="K6" s="12">
        <f t="shared" si="4"/>
        <v>6560339.0270967139</v>
      </c>
      <c r="L6" s="139">
        <f t="shared" si="5"/>
        <v>11509366.71420476</v>
      </c>
      <c r="M6" s="12">
        <f t="shared" si="6"/>
        <v>19363.635001346203</v>
      </c>
      <c r="N6" s="139">
        <f t="shared" si="7"/>
        <v>33971.289476045968</v>
      </c>
      <c r="O6" s="12">
        <f t="shared" si="8"/>
        <v>3025.5679689603448</v>
      </c>
      <c r="P6" s="139">
        <f>H6/(100%-Q6)</f>
        <v>5308.0139806321831</v>
      </c>
      <c r="Q6" s="134">
        <v>0.43</v>
      </c>
      <c r="R6" s="12">
        <f>('Dados de Entrada'!$D$78)*('Evolução Atendimento'!$O7*B6*365/1000)</f>
        <v>0</v>
      </c>
      <c r="S6" s="12">
        <f>('Dados de Entrada'!$E$78)*('Evolução Atendimento'!P7*B6*365/1000)</f>
        <v>0</v>
      </c>
      <c r="T6" s="12">
        <f>('Dados de Entrada'!$F$78)*('Evolução Atendimento'!Q7*B6*365/1000)</f>
        <v>0</v>
      </c>
      <c r="U6" s="834"/>
      <c r="V6" s="833"/>
      <c r="W6" s="834"/>
      <c r="X6" s="833"/>
      <c r="Y6" s="834"/>
      <c r="Z6" s="139"/>
      <c r="AC6" s="713">
        <f>ROUND(K6/'Evolução Economias'!B7/12,2)</f>
        <v>9.5500000000000007</v>
      </c>
      <c r="AD6" s="182">
        <f t="shared" si="0"/>
        <v>4949027.6871080464</v>
      </c>
      <c r="AE6" s="213">
        <f>ROUND(AD6/365/'Evolução Ligações'!B7*1000,2)</f>
        <v>385.52</v>
      </c>
      <c r="AF6" s="713">
        <f>ROUND(M6/'Evolução Economias'!D7/12,2)</f>
        <v>10.55</v>
      </c>
      <c r="AG6" s="182">
        <f t="shared" si="10"/>
        <v>14607.654474699764</v>
      </c>
      <c r="AH6" s="213">
        <f>ROUND(AG6/365/'Evolução Ligações'!D7*1000,2)</f>
        <v>261.57</v>
      </c>
      <c r="AI6" s="713">
        <f>ROUND(O6/'Evolução Economias'!F7/12,2)</f>
        <v>4.58</v>
      </c>
      <c r="AJ6" s="182">
        <f t="shared" si="11"/>
        <v>2282.4460116718383</v>
      </c>
      <c r="AK6" s="213">
        <f>ROUND(AJ6/365/'Evolução Ligações'!F7*1000,2)</f>
        <v>113.7</v>
      </c>
    </row>
    <row r="7" spans="1:37" ht="15" customHeight="1">
      <c r="A7" s="2">
        <f t="shared" si="12"/>
        <v>4</v>
      </c>
      <c r="B7" s="291">
        <f t="shared" si="13"/>
        <v>167.44239170684645</v>
      </c>
      <c r="C7" s="755">
        <v>0.01</v>
      </c>
      <c r="D7" s="12">
        <f>'Evolução Atendimento'!I8*B7*365/1000</f>
        <v>6715966.9820569083</v>
      </c>
      <c r="E7" s="12">
        <f t="shared" si="1"/>
        <v>6715966.9820569083</v>
      </c>
      <c r="F7" s="12">
        <f>'Evolução Atendimento'!J8*B7*365/1000</f>
        <v>19801.73724325166</v>
      </c>
      <c r="G7" s="12">
        <f t="shared" si="2"/>
        <v>19801.73724325166</v>
      </c>
      <c r="H7" s="12">
        <f>'Evolução Atendimento'!K8*B7*365/1000</f>
        <v>3116.9401216229467</v>
      </c>
      <c r="I7" s="12">
        <f t="shared" si="3"/>
        <v>3116.9401216229467</v>
      </c>
      <c r="J7" s="704">
        <f t="shared" si="14"/>
        <v>1</v>
      </c>
      <c r="K7" s="12">
        <f t="shared" si="4"/>
        <v>6715966.9820569083</v>
      </c>
      <c r="L7" s="139">
        <f t="shared" si="5"/>
        <v>11193278.303428181</v>
      </c>
      <c r="M7" s="12">
        <f t="shared" si="6"/>
        <v>19801.73724325166</v>
      </c>
      <c r="N7" s="139">
        <f t="shared" si="7"/>
        <v>33002.895405419433</v>
      </c>
      <c r="O7" s="12">
        <f t="shared" si="8"/>
        <v>3116.9401216229467</v>
      </c>
      <c r="P7" s="139">
        <f t="shared" si="9"/>
        <v>5194.900202704911</v>
      </c>
      <c r="Q7" s="134">
        <v>0.4</v>
      </c>
      <c r="R7" s="12">
        <f>('Dados de Entrada'!$D$78)*('Evolução Atendimento'!$O8*B7*365/1000)</f>
        <v>1030686.5185804665</v>
      </c>
      <c r="S7" s="12">
        <f>('Dados de Entrada'!$E$78)*('Evolução Atendimento'!P8*B7*365/1000)</f>
        <v>3038.9344789246434</v>
      </c>
      <c r="T7" s="12">
        <f>('Dados de Entrada'!$F$78)*('Evolução Atendimento'!Q8*B7*365/1000)</f>
        <v>478.35079760850869</v>
      </c>
      <c r="U7" s="173">
        <f>('Evolução de Rede'!M7*'Dados de Entrada'!$D$79)*86.4*365/1000</f>
        <v>505408.82756358333</v>
      </c>
      <c r="V7" s="12">
        <f>(($R7)*('Evolução Atendimento'!$M7))+U7</f>
        <v>505408.82756358333</v>
      </c>
      <c r="W7" s="173">
        <f>('Evolução de Rede'!O7*'Dados de Entrada'!$E$79)*86.4*365/1000</f>
        <v>5953.9968000000008</v>
      </c>
      <c r="X7" s="12">
        <f>(($S7)*('Evolução Atendimento'!$M7))+W7</f>
        <v>5953.9968000000008</v>
      </c>
      <c r="Y7" s="173">
        <f>('Evolução de Rede'!Q7*'Dados de Entrada'!$F$79)*86.4*365/1000</f>
        <v>977.61599999999999</v>
      </c>
      <c r="Z7" s="12">
        <f>(($T7)*('Evolução Atendimento'!$M7))+Y7</f>
        <v>977.61599999999999</v>
      </c>
      <c r="AC7" s="713">
        <f>ROUND(K7/'Evolução Economias'!B8/12,2)</f>
        <v>9.64</v>
      </c>
      <c r="AD7" s="182">
        <f t="shared" si="0"/>
        <v>4477311.3213712722</v>
      </c>
      <c r="AE7" s="213">
        <f>ROUND(AD7/365/'Evolução Ligações'!B8*1000,2)</f>
        <v>344.09</v>
      </c>
      <c r="AF7" s="713">
        <f>ROUND(M7/'Evolução Economias'!D8/12,2)</f>
        <v>10.65</v>
      </c>
      <c r="AG7" s="182">
        <f t="shared" si="10"/>
        <v>13201.158162167772</v>
      </c>
      <c r="AH7" s="213">
        <f>ROUND(AG7/365/'Evolução Ligações'!D8*1000,2)</f>
        <v>233.34</v>
      </c>
      <c r="AI7" s="713">
        <f>ROUND(O7/'Evolução Economias'!F8/12,2)</f>
        <v>4.6399999999999997</v>
      </c>
      <c r="AJ7" s="182">
        <f t="shared" si="11"/>
        <v>2077.9600810819643</v>
      </c>
      <c r="AK7" s="213">
        <f>ROUND(AJ7/365/'Evolução Ligações'!F8*1000,2)</f>
        <v>101.66</v>
      </c>
    </row>
    <row r="8" spans="1:37" ht="15" customHeight="1">
      <c r="A8" s="2">
        <f t="shared" si="12"/>
        <v>5</v>
      </c>
      <c r="B8" s="291">
        <f t="shared" si="13"/>
        <v>169.1168156239149</v>
      </c>
      <c r="C8" s="755">
        <v>0</v>
      </c>
      <c r="D8" s="12">
        <f>'Evolução Atendimento'!I9*B8*365/1000</f>
        <v>6874051.4622135982</v>
      </c>
      <c r="E8" s="12">
        <f t="shared" si="1"/>
        <v>6874051.4622135982</v>
      </c>
      <c r="F8" s="12">
        <f>'Evolução Atendimento'!J9*B8*365/1000</f>
        <v>20246.665166495091</v>
      </c>
      <c r="G8" s="12">
        <f t="shared" si="2"/>
        <v>20246.665166495091</v>
      </c>
      <c r="H8" s="12">
        <f>'Evolução Atendimento'!K9*B8*365/1000</f>
        <v>3209.8371605419052</v>
      </c>
      <c r="I8" s="12">
        <f t="shared" si="3"/>
        <v>3209.8371605419052</v>
      </c>
      <c r="J8" s="704">
        <f t="shared" si="14"/>
        <v>1</v>
      </c>
      <c r="K8" s="12">
        <f t="shared" si="4"/>
        <v>6874051.4622135982</v>
      </c>
      <c r="L8" s="139">
        <f t="shared" si="5"/>
        <v>11087179.777763868</v>
      </c>
      <c r="M8" s="12">
        <f t="shared" si="6"/>
        <v>20246.665166495091</v>
      </c>
      <c r="N8" s="139">
        <f t="shared" si="7"/>
        <v>32655.911558863052</v>
      </c>
      <c r="O8" s="12">
        <f t="shared" si="8"/>
        <v>3209.8371605419052</v>
      </c>
      <c r="P8" s="139">
        <f t="shared" si="9"/>
        <v>5177.1567105514596</v>
      </c>
      <c r="Q8" s="134">
        <v>0.38</v>
      </c>
      <c r="R8" s="12">
        <f>('Dados de Entrada'!$D$78)*('Evolução Atendimento'!$O9*B8*365/1000)</f>
        <v>2109896.0970921637</v>
      </c>
      <c r="S8" s="12">
        <f>('Dados de Entrada'!$E$78)*('Evolução Atendimento'!P9*B8*365/1000)</f>
        <v>6214.4370097810697</v>
      </c>
      <c r="T8" s="12">
        <f>('Dados de Entrada'!$F$78)*('Evolução Atendimento'!Q9*B8*365/1000)</f>
        <v>985.21562350187696</v>
      </c>
      <c r="U8" s="173">
        <f>('Evolução de Rede'!M8*'Dados de Entrada'!$D$79)*86.4*365/1000</f>
        <v>773867.48819119821</v>
      </c>
      <c r="V8" s="12">
        <f>(($R8)*('Evolução Atendimento'!$M8))+U8</f>
        <v>1195846.7076096311</v>
      </c>
      <c r="W8" s="173">
        <f>('Evolução de Rede'!O8*'Dados de Entrada'!$E$79)*86.4*365/1000</f>
        <v>8930.9951999999994</v>
      </c>
      <c r="X8" s="12">
        <f>(($S8)*('Evolução Atendimento'!$M8))+W8</f>
        <v>10173.882601956213</v>
      </c>
      <c r="Y8" s="173">
        <f>('Evolução de Rede'!Q8*'Dados de Entrada'!$F$79)*86.4*365/1000</f>
        <v>1466.4240000000002</v>
      </c>
      <c r="Z8" s="12">
        <f>(($T8)*('Evolução Atendimento'!$M8))+Y8</f>
        <v>1663.4671247003757</v>
      </c>
      <c r="AC8" s="713">
        <f>ROUND(K8/'Evolução Economias'!B9/12,2)</f>
        <v>9.74</v>
      </c>
      <c r="AD8" s="182">
        <f t="shared" si="0"/>
        <v>4213128.3155502696</v>
      </c>
      <c r="AE8" s="213">
        <f>ROUND(AD8/365/'Evolução Ligações'!B9*1000,2)</f>
        <v>319.52</v>
      </c>
      <c r="AF8" s="713">
        <f>ROUND(M8/'Evolução Economias'!D9/12,2)</f>
        <v>10.75</v>
      </c>
      <c r="AG8" s="182">
        <f t="shared" si="10"/>
        <v>12409.246392367961</v>
      </c>
      <c r="AH8" s="213">
        <f>ROUND(AG8/365/'Evolução Ligações'!D9*1000,2)</f>
        <v>216.55</v>
      </c>
      <c r="AI8" s="713">
        <f>ROUND(O8/'Evolução Economias'!F9/12,2)</f>
        <v>4.6100000000000003</v>
      </c>
      <c r="AJ8" s="182">
        <f t="shared" si="11"/>
        <v>1967.3195500095544</v>
      </c>
      <c r="AK8" s="213">
        <f>ROUND(AJ8/365/'Evolução Ligações'!F9*1000,2)</f>
        <v>92.93</v>
      </c>
    </row>
    <row r="9" spans="1:37" ht="15" customHeight="1">
      <c r="A9" s="2">
        <f t="shared" si="12"/>
        <v>6</v>
      </c>
      <c r="B9" s="291">
        <f t="shared" si="13"/>
        <v>169.1168156239149</v>
      </c>
      <c r="C9" s="755">
        <v>0</v>
      </c>
      <c r="D9" s="12">
        <f>'Evolução Atendimento'!I10*B9*365/1000</f>
        <v>6965038.0001874203</v>
      </c>
      <c r="E9" s="12">
        <f t="shared" si="1"/>
        <v>6965038.0001874203</v>
      </c>
      <c r="F9" s="12">
        <f>'Evolução Atendimento'!J10*B9*365/1000</f>
        <v>20493.575717306008</v>
      </c>
      <c r="G9" s="12">
        <f t="shared" si="2"/>
        <v>20493.575717306008</v>
      </c>
      <c r="H9" s="12">
        <f>'Evolução Atendimento'!K10*B9*365/1000</f>
        <v>3271.5647982446335</v>
      </c>
      <c r="I9" s="12">
        <f t="shared" si="3"/>
        <v>3271.5647982446335</v>
      </c>
      <c r="J9" s="704">
        <f t="shared" si="14"/>
        <v>1</v>
      </c>
      <c r="K9" s="12">
        <f>( ( J9 ) * ( E9 ) )</f>
        <v>6965038.0001874203</v>
      </c>
      <c r="L9" s="139">
        <f t="shared" si="5"/>
        <v>10715443.077211415</v>
      </c>
      <c r="M9" s="12">
        <f t="shared" si="6"/>
        <v>20493.575717306008</v>
      </c>
      <c r="N9" s="139">
        <f t="shared" si="7"/>
        <v>31528.578026624626</v>
      </c>
      <c r="O9" s="12">
        <f t="shared" si="8"/>
        <v>3271.5647982446335</v>
      </c>
      <c r="P9" s="139">
        <f t="shared" si="9"/>
        <v>5033.1766126840512</v>
      </c>
      <c r="Q9" s="134">
        <v>0.35</v>
      </c>
      <c r="R9" s="12">
        <f>('Dados de Entrada'!$D$78)*('Evolução Atendimento'!$O10*B9*365/1000)</f>
        <v>3206738.2882644222</v>
      </c>
      <c r="S9" s="12">
        <f>('Dados de Entrada'!$E$78)*('Evolução Atendimento'!P10*B9*365/1000)</f>
        <v>9435.3446333477041</v>
      </c>
      <c r="T9" s="12">
        <f>('Dados de Entrada'!$F$78)*('Evolução Atendimento'!Q10*B9*365/1000)</f>
        <v>1506.2447758055068</v>
      </c>
      <c r="U9" s="173">
        <f>('Evolução de Rede'!M9*'Dados de Entrada'!$D$79)*86.4*365/1000</f>
        <v>1043127.6209481029</v>
      </c>
      <c r="V9" s="12">
        <f>(($R9)*('Evolução Atendimento'!$M9))+U9</f>
        <v>2325822.9362538718</v>
      </c>
      <c r="W9" s="173">
        <f>('Evolução de Rede'!O9*'Dados de Entrada'!$E$79)*86.4*365/1000</f>
        <v>11907.993600000002</v>
      </c>
      <c r="X9" s="12">
        <f>(($S9)*('Evolução Atendimento'!$M9))+W9</f>
        <v>15682.131453339083</v>
      </c>
      <c r="Y9" s="173">
        <f>('Evolução de Rede'!Q9*'Dados de Entrada'!$F$79)*86.4*365/1000</f>
        <v>1955.232</v>
      </c>
      <c r="Z9" s="12">
        <f>(($T9)*('Evolução Atendimento'!$M9))+Y9</f>
        <v>2557.7299103222026</v>
      </c>
      <c r="AC9" s="713">
        <f>ROUND(K9/'Evolução Economias'!B10/12,2)</f>
        <v>9.74</v>
      </c>
      <c r="AD9" s="182">
        <f t="shared" si="0"/>
        <v>3750405.0770239951</v>
      </c>
      <c r="AE9" s="213">
        <f>ROUND(AD9/365/'Evolução Ligações'!B10*1000,2)</f>
        <v>280.70999999999998</v>
      </c>
      <c r="AF9" s="713">
        <f>ROUND(M9/'Evolução Economias'!D10/12,2)</f>
        <v>10.81</v>
      </c>
      <c r="AG9" s="182">
        <f t="shared" si="10"/>
        <v>11035.002309318617</v>
      </c>
      <c r="AH9" s="213">
        <f>ROUND(AG9/365/'Evolução Ligações'!D10*1000,2)</f>
        <v>191.35</v>
      </c>
      <c r="AI9" s="713">
        <f>ROUND(O9/'Evolução Economias'!F10/12,2)</f>
        <v>4.62</v>
      </c>
      <c r="AJ9" s="182">
        <f t="shared" si="11"/>
        <v>1761.6118144394177</v>
      </c>
      <c r="AK9" s="213">
        <f>ROUND(AJ9/365/'Evolução Ligações'!F10*1000,2)</f>
        <v>81.8</v>
      </c>
    </row>
    <row r="10" spans="1:37" ht="15" customHeight="1">
      <c r="A10" s="2">
        <f t="shared" si="12"/>
        <v>7</v>
      </c>
      <c r="B10" s="291">
        <f t="shared" si="13"/>
        <v>169.1168156239149</v>
      </c>
      <c r="C10" s="755"/>
      <c r="D10" s="12">
        <f>'Evolução Atendimento'!I11*B10*365/1000</f>
        <v>7055962.8105235407</v>
      </c>
      <c r="E10" s="12">
        <f t="shared" si="1"/>
        <v>7055962.8105235407</v>
      </c>
      <c r="F10" s="12">
        <f>'Evolução Atendimento'!J11*B10*365/1000</f>
        <v>20740.486268116922</v>
      </c>
      <c r="G10" s="12">
        <f t="shared" si="2"/>
        <v>20740.486268116922</v>
      </c>
      <c r="H10" s="12">
        <f>'Evolução Atendimento'!K11*B10*365/1000</f>
        <v>3333.2924359473623</v>
      </c>
      <c r="I10" s="12">
        <f t="shared" si="3"/>
        <v>3333.2924359473623</v>
      </c>
      <c r="J10" s="704">
        <f t="shared" si="14"/>
        <v>1</v>
      </c>
      <c r="K10" s="12">
        <f t="shared" si="4"/>
        <v>7055962.8105235407</v>
      </c>
      <c r="L10" s="139">
        <f t="shared" si="5"/>
        <v>10376415.897828737</v>
      </c>
      <c r="M10" s="12">
        <f t="shared" si="6"/>
        <v>20740.486268116922</v>
      </c>
      <c r="N10" s="139">
        <f t="shared" si="7"/>
        <v>30500.715100171947</v>
      </c>
      <c r="O10" s="12">
        <f t="shared" si="8"/>
        <v>3333.2924359473623</v>
      </c>
      <c r="P10" s="139">
        <f t="shared" si="9"/>
        <v>4901.9006410990623</v>
      </c>
      <c r="Q10" s="134">
        <v>0.32</v>
      </c>
      <c r="R10" s="12">
        <f>('Dados de Entrada'!$D$78)*('Evolução Atendimento'!$O11*B10*365/1000)</f>
        <v>3790035.9963805289</v>
      </c>
      <c r="S10" s="12">
        <f>('Dados de Entrada'!$E$78)*('Evolução Atendimento'!P11*B10*365/1000)</f>
        <v>11140.533425340815</v>
      </c>
      <c r="T10" s="12">
        <f>('Dados de Entrada'!$F$78)*('Evolução Atendimento'!Q11*B10*365/1000)</f>
        <v>1790.4428719297737</v>
      </c>
      <c r="U10" s="173">
        <f>('Evolução de Rede'!M10*'Dados de Entrada'!$D$79)*86.4*365/1000</f>
        <v>1297636.4109218528</v>
      </c>
      <c r="V10" s="12">
        <f>(($R10)*('Evolução Atendimento'!$M10))+U10</f>
        <v>3571658.0087501705</v>
      </c>
      <c r="W10" s="173">
        <f>('Evolução de Rede'!O10*'Dados de Entrada'!$E$79)*86.4*365/1000</f>
        <v>14884.992000000002</v>
      </c>
      <c r="X10" s="12">
        <f>(($S10)*('Evolução Atendimento'!$M10))+W10</f>
        <v>21569.312055204489</v>
      </c>
      <c r="Y10" s="173">
        <f>('Evolução de Rede'!Q10*'Dados de Entrada'!$F$79)*86.4*365/1000</f>
        <v>2444.04</v>
      </c>
      <c r="Z10" s="12">
        <f>(($T10)*('Evolução Atendimento'!$M10))+Y10</f>
        <v>3518.3057231578641</v>
      </c>
      <c r="AC10" s="713">
        <f>ROUND(K10/'Evolução Economias'!B11/12,2)</f>
        <v>9.74</v>
      </c>
      <c r="AD10" s="182">
        <f t="shared" si="0"/>
        <v>3320453.0873051966</v>
      </c>
      <c r="AE10" s="213">
        <f>ROUND(AD10/365/'Evolução Ligações'!B11*1000,2)</f>
        <v>245.32</v>
      </c>
      <c r="AF10" s="713">
        <f>ROUND(M10/'Evolução Economias'!D11/12,2)</f>
        <v>10.8</v>
      </c>
      <c r="AG10" s="182">
        <f t="shared" si="10"/>
        <v>9760.2288320550251</v>
      </c>
      <c r="AH10" s="213">
        <f>ROUND(AG10/365/'Evolução Ligações'!D11*1000,2)</f>
        <v>167.13</v>
      </c>
      <c r="AI10" s="713">
        <f>ROUND(O10/'Evolução Economias'!F11/12,2)</f>
        <v>4.63</v>
      </c>
      <c r="AJ10" s="182">
        <f t="shared" si="11"/>
        <v>1568.6082051517001</v>
      </c>
      <c r="AK10" s="213">
        <f>ROUND(AJ10/365/'Evolução Ligações'!F11*1000,2)</f>
        <v>71.63</v>
      </c>
    </row>
    <row r="11" spans="1:37" ht="15" customHeight="1">
      <c r="A11" s="2">
        <f t="shared" si="12"/>
        <v>8</v>
      </c>
      <c r="B11" s="291">
        <f>B10</f>
        <v>169.1168156239149</v>
      </c>
      <c r="C11" s="693"/>
      <c r="D11" s="12">
        <f>'Evolução Atendimento'!I12*B11*365/1000</f>
        <v>7146887.6208596602</v>
      </c>
      <c r="E11" s="12">
        <f t="shared" si="1"/>
        <v>7146887.6208596602</v>
      </c>
      <c r="F11" s="12">
        <f>'Evolução Atendimento'!J12*B11*365/1000</f>
        <v>20987.396818927838</v>
      </c>
      <c r="G11" s="12">
        <f t="shared" si="2"/>
        <v>20987.396818927838</v>
      </c>
      <c r="H11" s="12">
        <f>'Evolução Atendimento'!K12*B11*365/1000</f>
        <v>3395.0200736500915</v>
      </c>
      <c r="I11" s="12">
        <f t="shared" si="3"/>
        <v>3395.0200736500915</v>
      </c>
      <c r="J11" s="704">
        <f t="shared" si="14"/>
        <v>1</v>
      </c>
      <c r="K11" s="12">
        <f t="shared" si="4"/>
        <v>7146887.6208596602</v>
      </c>
      <c r="L11" s="139">
        <f t="shared" si="5"/>
        <v>9926232.8067495283</v>
      </c>
      <c r="M11" s="12">
        <f t="shared" si="6"/>
        <v>20987.396818927838</v>
      </c>
      <c r="N11" s="139">
        <f t="shared" si="7"/>
        <v>29149.162248510889</v>
      </c>
      <c r="O11" s="12">
        <f t="shared" si="8"/>
        <v>3395.0200736500915</v>
      </c>
      <c r="P11" s="139">
        <f t="shared" si="9"/>
        <v>4715.3056578473497</v>
      </c>
      <c r="Q11" s="134">
        <v>0.28000000000000003</v>
      </c>
      <c r="R11" s="12">
        <f>('Dados de Entrada'!$D$78)*('Evolução Atendimento'!$O12*B11*365/1000)</f>
        <v>4387288.3692826284</v>
      </c>
      <c r="S11" s="12">
        <f>('Dados de Entrada'!$E$78)*('Evolução Atendimento'!P12*B11*365/1000)</f>
        <v>12883.616876310392</v>
      </c>
      <c r="T11" s="12">
        <f>('Dados de Entrada'!$F$78)*('Evolução Atendimento'!Q12*B11*365/1000)</f>
        <v>2084.1144946972695</v>
      </c>
      <c r="U11" s="173">
        <f>('Evolução de Rede'!M11*'Dados de Entrada'!$D$79)*86.4*365/1000</f>
        <v>1552546.6462276182</v>
      </c>
      <c r="V11" s="12">
        <f>(($R11)*('Evolução Atendimento'!$M11))+U11</f>
        <v>4623648.5047254581</v>
      </c>
      <c r="W11" s="173">
        <f>('Evolução de Rede'!O11*'Dados de Entrada'!$E$79)*86.4*365/1000</f>
        <v>17861.990399999999</v>
      </c>
      <c r="X11" s="12">
        <f>(($S11)*('Evolução Atendimento'!$M11))+W11</f>
        <v>26880.522213417273</v>
      </c>
      <c r="Y11" s="173">
        <f>('Evolução de Rede'!Q11*'Dados de Entrada'!$F$79)*86.4*365/1000</f>
        <v>2932.8480000000004</v>
      </c>
      <c r="Z11" s="12">
        <f>(($T11)*('Evolução Atendimento'!$M11))+Y11</f>
        <v>4391.7281462880892</v>
      </c>
      <c r="AC11" s="713">
        <f>ROUND(K11/'Evolução Economias'!B12/12,2)</f>
        <v>9.74</v>
      </c>
      <c r="AD11" s="182">
        <f t="shared" si="0"/>
        <v>2779345.1858898681</v>
      </c>
      <c r="AE11" s="213">
        <f>ROUND(AD11/365/'Evolução Ligações'!B12*1000,2)</f>
        <v>202.73</v>
      </c>
      <c r="AF11" s="713">
        <f>ROUND(M11/'Evolução Economias'!D12/12,2)</f>
        <v>10.8</v>
      </c>
      <c r="AG11" s="182">
        <f t="shared" si="10"/>
        <v>8161.7654295830507</v>
      </c>
      <c r="AH11" s="213">
        <f>ROUND(AG11/365/'Evolução Ligações'!D12*1000,2)</f>
        <v>138.03</v>
      </c>
      <c r="AI11" s="713">
        <f>ROUND(O11/'Evolução Economias'!F12/12,2)</f>
        <v>4.6399999999999997</v>
      </c>
      <c r="AJ11" s="182">
        <f t="shared" si="11"/>
        <v>1320.2855841972582</v>
      </c>
      <c r="AK11" s="213">
        <f>ROUND(AJ11/365/'Evolução Ligações'!F12*1000,2)</f>
        <v>59.3</v>
      </c>
    </row>
    <row r="12" spans="1:37" ht="15" customHeight="1">
      <c r="A12" s="2">
        <f t="shared" si="12"/>
        <v>9</v>
      </c>
      <c r="B12" s="291">
        <f t="shared" ref="B12:B33" si="15">B11</f>
        <v>169.1168156239149</v>
      </c>
      <c r="C12" s="693"/>
      <c r="D12" s="12">
        <f>'Evolução Atendimento'!I13*B12*365/1000</f>
        <v>7237812.4311957788</v>
      </c>
      <c r="E12" s="12">
        <f t="shared" si="1"/>
        <v>7237812.4311957788</v>
      </c>
      <c r="F12" s="12">
        <f>'Evolução Atendimento'!J13*B12*365/1000</f>
        <v>21234.307369738759</v>
      </c>
      <c r="G12" s="12">
        <f t="shared" si="2"/>
        <v>21234.307369738759</v>
      </c>
      <c r="H12" s="12">
        <f>'Evolução Atendimento'!K13*B12*365/1000</f>
        <v>3456.7477113528212</v>
      </c>
      <c r="I12" s="12">
        <f t="shared" si="3"/>
        <v>3456.7477113528212</v>
      </c>
      <c r="J12" s="704">
        <f t="shared" si="14"/>
        <v>1</v>
      </c>
      <c r="K12" s="12">
        <f t="shared" si="4"/>
        <v>7237812.4311957788</v>
      </c>
      <c r="L12" s="139">
        <f t="shared" si="5"/>
        <v>9780827.6097240262</v>
      </c>
      <c r="M12" s="12">
        <f t="shared" si="6"/>
        <v>21234.307369738759</v>
      </c>
      <c r="N12" s="139">
        <f t="shared" si="7"/>
        <v>28695.009959106432</v>
      </c>
      <c r="O12" s="12">
        <f t="shared" si="8"/>
        <v>3456.7477113528212</v>
      </c>
      <c r="P12" s="139">
        <f t="shared" si="9"/>
        <v>4671.2806910173258</v>
      </c>
      <c r="Q12" s="134">
        <v>0.26</v>
      </c>
      <c r="R12" s="12">
        <f>('Dados de Entrada'!$D$78)*('Evolução Atendimento'!$O13*B12*365/1000)</f>
        <v>4998495.406971883</v>
      </c>
      <c r="S12" s="12">
        <f>('Dados de Entrada'!$E$78)*('Evolução Atendimento'!P13*B12*365/1000)</f>
        <v>14664.594981820046</v>
      </c>
      <c r="T12" s="12">
        <f>('Dados de Entrada'!$F$78)*('Evolução Atendimento'!Q13*B12*365/1000)</f>
        <v>2387.2596482032636</v>
      </c>
      <c r="U12" s="173">
        <f>('Evolução de Rede'!M12*'Dados de Entrada'!$D$79)*86.4*365/1000</f>
        <v>1807856.9083306578</v>
      </c>
      <c r="V12" s="12">
        <f>(($R12)*('Evolução Atendimento'!$M12))+U12</f>
        <v>5806653.2339081643</v>
      </c>
      <c r="W12" s="173">
        <f>('Evolução de Rede'!O12*'Dados de Entrada'!$E$79)*86.4*365/1000</f>
        <v>20838.988800000003</v>
      </c>
      <c r="X12" s="12">
        <f>(($S12)*('Evolução Atendimento'!$M12))+W12</f>
        <v>32570.66478545604</v>
      </c>
      <c r="Y12" s="173">
        <f>('Evolução de Rede'!Q12*'Dados de Entrada'!$F$79)*86.4*365/1000</f>
        <v>3421.6560000000004</v>
      </c>
      <c r="Z12" s="12">
        <f>(($T12)*('Evolução Atendimento'!$M12))+Y12</f>
        <v>5331.4637185626116</v>
      </c>
      <c r="AC12" s="713">
        <f>ROUND(K12/'Evolução Economias'!B13/12,2)</f>
        <v>9.74</v>
      </c>
      <c r="AD12" s="182">
        <f t="shared" si="0"/>
        <v>2543015.1785282474</v>
      </c>
      <c r="AE12" s="213">
        <f>ROUND(AD12/365/'Evolução Ligações'!B13*1000,2)</f>
        <v>183.16</v>
      </c>
      <c r="AF12" s="713">
        <f>ROUND(M12/'Evolução Economias'!D13/12,2)</f>
        <v>10.79</v>
      </c>
      <c r="AG12" s="182">
        <f t="shared" si="10"/>
        <v>7460.7025893676728</v>
      </c>
      <c r="AH12" s="213">
        <f>ROUND(AG12/365/'Evolução Ligações'!D13*1000,2)</f>
        <v>124.64</v>
      </c>
      <c r="AI12" s="713">
        <f>ROUND(O12/'Evolução Economias'!F13/12,2)</f>
        <v>4.6500000000000004</v>
      </c>
      <c r="AJ12" s="182">
        <f t="shared" si="11"/>
        <v>1214.5329796645046</v>
      </c>
      <c r="AK12" s="213">
        <f>ROUND(AJ12/365/'Evolução Ligações'!F13*1000,2)</f>
        <v>53.67</v>
      </c>
    </row>
    <row r="13" spans="1:37" ht="15" customHeight="1">
      <c r="A13" s="2">
        <f t="shared" si="12"/>
        <v>10</v>
      </c>
      <c r="B13" s="291">
        <f t="shared" si="15"/>
        <v>169.1168156239149</v>
      </c>
      <c r="C13" s="693"/>
      <c r="D13" s="12">
        <f>'Evolução Atendimento'!I14*B13*365/1000</f>
        <v>7328737.2415318983</v>
      </c>
      <c r="E13" s="12">
        <f t="shared" si="1"/>
        <v>7328737.2415318983</v>
      </c>
      <c r="F13" s="12">
        <f>'Evolução Atendimento'!J14*B13*365/1000</f>
        <v>21481.217920549672</v>
      </c>
      <c r="G13" s="12">
        <f t="shared" si="2"/>
        <v>21481.217920549672</v>
      </c>
      <c r="H13" s="12">
        <f>'Evolução Atendimento'!K14*B13*365/1000</f>
        <v>3518.4753490555495</v>
      </c>
      <c r="I13" s="12">
        <f t="shared" si="3"/>
        <v>3518.4753490555495</v>
      </c>
      <c r="J13" s="704">
        <f t="shared" si="14"/>
        <v>1</v>
      </c>
      <c r="K13" s="12">
        <f t="shared" si="4"/>
        <v>7328737.2415318983</v>
      </c>
      <c r="L13" s="139">
        <f t="shared" si="5"/>
        <v>9771649.6553758644</v>
      </c>
      <c r="M13" s="12">
        <f t="shared" si="6"/>
        <v>21481.217920549672</v>
      </c>
      <c r="N13" s="139">
        <f t="shared" si="7"/>
        <v>28641.62389406623</v>
      </c>
      <c r="O13" s="12">
        <f t="shared" si="8"/>
        <v>3518.4753490555495</v>
      </c>
      <c r="P13" s="139">
        <f t="shared" si="9"/>
        <v>4691.3004654073993</v>
      </c>
      <c r="Q13" s="134">
        <v>0.25</v>
      </c>
      <c r="R13" s="12">
        <f>('Dados de Entrada'!$D$78)*('Evolução Atendimento'!$O14*B13*365/1000)</f>
        <v>5061291.3985044649</v>
      </c>
      <c r="S13" s="12">
        <f>('Dados de Entrada'!$E$78)*('Evolução Atendimento'!P14*B13*365/1000)</f>
        <v>14835.120963888194</v>
      </c>
      <c r="T13" s="12">
        <f>('Dados de Entrada'!$F$78)*('Evolução Atendimento'!Q14*B13*365/1000)</f>
        <v>2429.8905027058249</v>
      </c>
      <c r="U13" s="173">
        <f>('Evolução de Rede'!M13*'Dados de Entrada'!$D$79)*86.4*365/1000</f>
        <v>1825706.1891370972</v>
      </c>
      <c r="V13" s="12">
        <f>(($R13)*('Evolução Atendimento'!$M13))+U13</f>
        <v>6380868.4477911163</v>
      </c>
      <c r="W13" s="173">
        <f>('Evolução de Rede'!O13*'Dados de Entrada'!$E$79)*86.4*365/1000</f>
        <v>20857.910400000004</v>
      </c>
      <c r="X13" s="12">
        <f>(($S13)*('Evolução Atendimento'!$M13))+W13</f>
        <v>34209.519267499381</v>
      </c>
      <c r="Y13" s="173">
        <f>('Evolução de Rede'!Q13*'Dados de Entrada'!$F$79)*86.4*365/1000</f>
        <v>3427.9632000000001</v>
      </c>
      <c r="Z13" s="12">
        <f>(($T13)*('Evolução Atendimento'!$M13))+Y13</f>
        <v>5614.8646524352425</v>
      </c>
      <c r="AC13" s="713">
        <f>ROUND(K13/'Evolução Economias'!B14/12,2)</f>
        <v>9.74</v>
      </c>
      <c r="AD13" s="182">
        <f t="shared" si="0"/>
        <v>2442912.4138439661</v>
      </c>
      <c r="AE13" s="213">
        <f>ROUND(AD13/365/'Evolução Ligações'!B14*1000,2)</f>
        <v>173.77</v>
      </c>
      <c r="AF13" s="713">
        <f>ROUND(M13/'Evolução Economias'!D14/12,2)</f>
        <v>10.78</v>
      </c>
      <c r="AG13" s="182">
        <f t="shared" si="10"/>
        <v>7160.4059735165574</v>
      </c>
      <c r="AH13" s="213">
        <f>ROUND(AG13/365/'Evolução Ligações'!D14*1000,2)</f>
        <v>118.18</v>
      </c>
      <c r="AI13" s="713">
        <f>ROUND(O13/'Evolução Economias'!F14/12,2)</f>
        <v>4.6500000000000004</v>
      </c>
      <c r="AJ13" s="182">
        <f t="shared" si="11"/>
        <v>1172.8251163518498</v>
      </c>
      <c r="AK13" s="213">
        <f>ROUND(AJ13/365/'Evolução Ligações'!F14*1000,2)</f>
        <v>51</v>
      </c>
    </row>
    <row r="14" spans="1:37" ht="15" customHeight="1">
      <c r="A14" s="2">
        <f t="shared" si="12"/>
        <v>11</v>
      </c>
      <c r="B14" s="291">
        <f t="shared" si="15"/>
        <v>169.1168156239149</v>
      </c>
      <c r="C14" s="693"/>
      <c r="D14" s="12">
        <f>'Evolução Atendimento'!I15*B14*365/1000</f>
        <v>7419662.0518680178</v>
      </c>
      <c r="E14" s="12">
        <f t="shared" si="1"/>
        <v>7419662.0518680178</v>
      </c>
      <c r="F14" s="12">
        <f>'Evolução Atendimento'!J15*B14*365/1000</f>
        <v>21728.128471360586</v>
      </c>
      <c r="G14" s="12">
        <f t="shared" si="2"/>
        <v>21728.128471360586</v>
      </c>
      <c r="H14" s="12">
        <f>'Evolução Atendimento'!K15*B14*365/1000</f>
        <v>3580.2029867582787</v>
      </c>
      <c r="I14" s="12">
        <f t="shared" si="3"/>
        <v>3580.2029867582787</v>
      </c>
      <c r="J14" s="704">
        <f t="shared" si="14"/>
        <v>1</v>
      </c>
      <c r="K14" s="12">
        <f t="shared" si="4"/>
        <v>7419662.0518680178</v>
      </c>
      <c r="L14" s="139">
        <f t="shared" si="5"/>
        <v>9892882.7358240243</v>
      </c>
      <c r="M14" s="12">
        <f t="shared" si="6"/>
        <v>21728.128471360586</v>
      </c>
      <c r="N14" s="139">
        <f t="shared" si="7"/>
        <v>28970.837961814115</v>
      </c>
      <c r="O14" s="12">
        <f t="shared" si="8"/>
        <v>3580.2029867582787</v>
      </c>
      <c r="P14" s="139">
        <f t="shared" si="9"/>
        <v>4773.6039823443716</v>
      </c>
      <c r="Q14" s="134">
        <v>0.25</v>
      </c>
      <c r="R14" s="12">
        <f>('Dados de Entrada'!$D$78)*('Evolução Atendimento'!$O15*B14*365/1000)</f>
        <v>5124087.3900405625</v>
      </c>
      <c r="S14" s="12">
        <f>('Dados de Entrada'!$E$78)*('Evolução Atendimento'!P15*B14*365/1000)</f>
        <v>15005.646932564712</v>
      </c>
      <c r="T14" s="12">
        <f>('Dados de Entrada'!$F$78)*('Evolução Atendimento'!Q15*B14*365/1000)</f>
        <v>2472.5213695703219</v>
      </c>
      <c r="U14" s="173">
        <f>('Evolução de Rede'!M14*'Dados de Entrada'!$D$79)*86.4*365/1000</f>
        <v>1843569.5134374828</v>
      </c>
      <c r="V14" s="12">
        <f>(($R14)*('Evolução Atendimento'!$M14))+U14</f>
        <v>6455248.164473989</v>
      </c>
      <c r="W14" s="173">
        <f>('Evolução de Rede'!O14*'Dados de Entrada'!$E$79)*86.4*365/1000</f>
        <v>20883.139200000001</v>
      </c>
      <c r="X14" s="12">
        <f>(($S14)*('Evolução Atendimento'!$M14))+W14</f>
        <v>34388.221439308239</v>
      </c>
      <c r="Y14" s="173">
        <f>('Evolução de Rede'!Q14*'Dados de Entrada'!$F$79)*86.4*365/1000</f>
        <v>3434.2704000000003</v>
      </c>
      <c r="Z14" s="12">
        <f>(($T14)*('Evolução Atendimento'!$M14))+Y14</f>
        <v>5659.5396326132905</v>
      </c>
      <c r="AC14" s="713">
        <f>ROUND(K14/'Evolução Economias'!B15/12,2)</f>
        <v>9.74</v>
      </c>
      <c r="AD14" s="182">
        <f t="shared" si="0"/>
        <v>2473220.6839560065</v>
      </c>
      <c r="AE14" s="213">
        <f>ROUND(AD14/365/'Evolução Ligações'!B15*1000,2)</f>
        <v>173.77</v>
      </c>
      <c r="AF14" s="713">
        <f>ROUND(M14/'Evolução Economias'!D15/12,2)</f>
        <v>10.78</v>
      </c>
      <c r="AG14" s="182">
        <f t="shared" si="10"/>
        <v>7242.7094904535297</v>
      </c>
      <c r="AH14" s="213">
        <f>ROUND(AG14/365/'Evolução Ligações'!D15*1000,2)</f>
        <v>118.11</v>
      </c>
      <c r="AI14" s="713">
        <f>ROUND(O14/'Evolução Economias'!F15/12,2)</f>
        <v>4.66</v>
      </c>
      <c r="AJ14" s="182">
        <f t="shared" si="11"/>
        <v>1193.4009955860929</v>
      </c>
      <c r="AK14" s="213">
        <f>ROUND(AJ14/365/'Evolução Ligações'!F15*1000,2)</f>
        <v>51.09</v>
      </c>
    </row>
    <row r="15" spans="1:37" ht="15" customHeight="1">
      <c r="A15" s="2">
        <f t="shared" si="12"/>
        <v>12</v>
      </c>
      <c r="B15" s="291">
        <f t="shared" si="15"/>
        <v>169.1168156239149</v>
      </c>
      <c r="C15" s="693"/>
      <c r="D15" s="12">
        <f>'Evolução Atendimento'!I16*B15*365/1000</f>
        <v>7510586.8622041382</v>
      </c>
      <c r="E15" s="12">
        <f t="shared" si="1"/>
        <v>7510586.8622041382</v>
      </c>
      <c r="F15" s="12">
        <f>'Evolução Atendimento'!J16*B15*365/1000</f>
        <v>21975.039022171502</v>
      </c>
      <c r="G15" s="12">
        <f t="shared" si="2"/>
        <v>21975.039022171502</v>
      </c>
      <c r="H15" s="12">
        <f>'Evolução Atendimento'!K16*B15*365/1000</f>
        <v>3641.9306244610075</v>
      </c>
      <c r="I15" s="12">
        <f t="shared" si="3"/>
        <v>3641.9306244610075</v>
      </c>
      <c r="J15" s="704">
        <f t="shared" si="14"/>
        <v>1</v>
      </c>
      <c r="K15" s="12">
        <f t="shared" si="4"/>
        <v>7510586.8622041382</v>
      </c>
      <c r="L15" s="139">
        <f t="shared" si="5"/>
        <v>10014115.816272184</v>
      </c>
      <c r="M15" s="12">
        <f t="shared" si="6"/>
        <v>21975.039022171502</v>
      </c>
      <c r="N15" s="139">
        <f t="shared" si="7"/>
        <v>29300.052029562004</v>
      </c>
      <c r="O15" s="12">
        <f t="shared" si="8"/>
        <v>3641.9306244610075</v>
      </c>
      <c r="P15" s="139">
        <f t="shared" si="9"/>
        <v>4855.907499281343</v>
      </c>
      <c r="Q15" s="134">
        <v>0.25</v>
      </c>
      <c r="R15" s="12">
        <f>('Dados de Entrada'!$D$78)*('Evolução Atendimento'!$O16*B15*365/1000)</f>
        <v>5186883.3815800548</v>
      </c>
      <c r="S15" s="12">
        <f>('Dados de Entrada'!$E$78)*('Evolução Atendimento'!P16*B15*365/1000)</f>
        <v>15176.172888335941</v>
      </c>
      <c r="T15" s="12">
        <f>('Dados de Entrada'!$F$78)*('Evolução Atendimento'!Q16*B15*365/1000)</f>
        <v>2515.1522483478107</v>
      </c>
      <c r="U15" s="173">
        <f>('Evolução de Rede'!M15*'Dados de Entrada'!$D$79)*86.4*365/1000</f>
        <v>1861432.8377378685</v>
      </c>
      <c r="V15" s="12">
        <f>(($R15)*('Evolução Atendimento'!$M15))+U15</f>
        <v>6529627.8811599184</v>
      </c>
      <c r="W15" s="173">
        <f>('Evolução de Rede'!O15*'Dados de Entrada'!$E$79)*86.4*365/1000</f>
        <v>20902.060800000003</v>
      </c>
      <c r="X15" s="12">
        <f>(($S15)*('Evolução Atendimento'!$M15))+W15</f>
        <v>34560.616399502353</v>
      </c>
      <c r="Y15" s="173">
        <f>('Evolução de Rede'!Q15*'Dados de Entrada'!$F$79)*86.4*365/1000</f>
        <v>3440.5776000000005</v>
      </c>
      <c r="Z15" s="12">
        <f>(($T15)*('Evolução Atendimento'!$M15))+Y15</f>
        <v>5704.2146235130303</v>
      </c>
      <c r="AC15" s="713">
        <f>ROUND(K15/'Evolução Economias'!B16/12,2)</f>
        <v>9.74</v>
      </c>
      <c r="AD15" s="182">
        <f t="shared" si="0"/>
        <v>2503528.9540680461</v>
      </c>
      <c r="AE15" s="213">
        <f>ROUND(AD15/365/'Evolução Ligações'!B16*1000,2)</f>
        <v>173.77</v>
      </c>
      <c r="AF15" s="713">
        <f>ROUND(M15/'Evolução Economias'!D16/12,2)</f>
        <v>10.77</v>
      </c>
      <c r="AG15" s="182">
        <f t="shared" si="10"/>
        <v>7325.013007390502</v>
      </c>
      <c r="AH15" s="213">
        <f>ROUND(AG15/365/'Evolução Ligações'!D16*1000,2)</f>
        <v>118.05</v>
      </c>
      <c r="AI15" s="713">
        <f>ROUND(O15/'Evolução Economias'!F16/12,2)</f>
        <v>4.67</v>
      </c>
      <c r="AJ15" s="182">
        <f t="shared" si="11"/>
        <v>1213.9768748203355</v>
      </c>
      <c r="AK15" s="213">
        <f>ROUND(AJ15/365/'Evolução Ligações'!F16*1000,2)</f>
        <v>51.17</v>
      </c>
    </row>
    <row r="16" spans="1:37" ht="15" customHeight="1">
      <c r="A16" s="2">
        <f t="shared" si="12"/>
        <v>13</v>
      </c>
      <c r="B16" s="291">
        <f t="shared" si="15"/>
        <v>169.1168156239149</v>
      </c>
      <c r="C16" s="693"/>
      <c r="D16" s="12">
        <f>'Evolução Atendimento'!I17*B16*365/1000</f>
        <v>7601511.6725402577</v>
      </c>
      <c r="E16" s="12">
        <f t="shared" si="1"/>
        <v>7601511.6725402577</v>
      </c>
      <c r="F16" s="12">
        <f>'Evolução Atendimento'!J17*B16*365/1000</f>
        <v>22221.949572982416</v>
      </c>
      <c r="G16" s="12">
        <f t="shared" si="2"/>
        <v>22221.949572982416</v>
      </c>
      <c r="H16" s="12">
        <f>'Evolução Atendimento'!K17*B16*365/1000</f>
        <v>3703.6582621637363</v>
      </c>
      <c r="I16" s="12">
        <f t="shared" si="3"/>
        <v>3703.6582621637363</v>
      </c>
      <c r="J16" s="704">
        <f t="shared" si="14"/>
        <v>1</v>
      </c>
      <c r="K16" s="12">
        <f t="shared" si="4"/>
        <v>7601511.6725402577</v>
      </c>
      <c r="L16" s="139">
        <f t="shared" si="5"/>
        <v>10135348.896720344</v>
      </c>
      <c r="M16" s="12">
        <f t="shared" si="6"/>
        <v>22221.949572982416</v>
      </c>
      <c r="N16" s="139">
        <f t="shared" si="7"/>
        <v>29629.266097309886</v>
      </c>
      <c r="O16" s="12">
        <f t="shared" si="8"/>
        <v>3703.6582621637363</v>
      </c>
      <c r="P16" s="139">
        <f t="shared" si="9"/>
        <v>4938.2110162183153</v>
      </c>
      <c r="Q16" s="134">
        <v>0.25</v>
      </c>
      <c r="R16" s="12">
        <f>('Dados de Entrada'!$D$78)*('Evolução Atendimento'!$O17*B16*365/1000)</f>
        <v>5249679.3731228132</v>
      </c>
      <c r="S16" s="12">
        <f>('Dados de Entrada'!$E$78)*('Evolução Atendimento'!P17*B16*365/1000)</f>
        <v>15346.698831664955</v>
      </c>
      <c r="T16" s="12">
        <f>('Dados de Entrada'!$F$78)*('Evolução Atendimento'!Q17*B16*365/1000)</f>
        <v>2557.783138610826</v>
      </c>
      <c r="U16" s="173">
        <f>('Evolução de Rede'!M16*'Dados de Entrada'!$D$79)*86.4*365/1000</f>
        <v>1879282.1185443078</v>
      </c>
      <c r="V16" s="12">
        <f>(($R16)*('Evolução Atendimento'!$M16))+U16</f>
        <v>6603993.55435484</v>
      </c>
      <c r="W16" s="173">
        <f>('Evolução de Rede'!O16*'Dados de Entrada'!$E$79)*86.4*365/1000</f>
        <v>20927.2896</v>
      </c>
      <c r="X16" s="12">
        <f>(($S16)*('Evolução Atendimento'!$M16))+W16</f>
        <v>34739.318548498457</v>
      </c>
      <c r="Y16" s="173">
        <f>('Evolução de Rede'!Q16*'Dados de Entrada'!$F$79)*86.4*365/1000</f>
        <v>3446.8848000000007</v>
      </c>
      <c r="Z16" s="12">
        <f>(($T16)*('Evolução Atendimento'!$M16))+Y16</f>
        <v>5748.8896247497441</v>
      </c>
      <c r="AC16" s="713">
        <f>ROUND(K16/'Evolução Economias'!B17/12,2)</f>
        <v>9.74</v>
      </c>
      <c r="AD16" s="182">
        <f t="shared" si="0"/>
        <v>2533837.2241800865</v>
      </c>
      <c r="AE16" s="213">
        <f>ROUND(AD16/365/'Evolução Ligações'!B17*1000,2)</f>
        <v>173.77</v>
      </c>
      <c r="AF16" s="713">
        <f>ROUND(M16/'Evolução Economias'!D17/12,2)</f>
        <v>10.77</v>
      </c>
      <c r="AG16" s="182">
        <f t="shared" si="10"/>
        <v>7407.3165243274707</v>
      </c>
      <c r="AH16" s="213">
        <f>ROUND(AG16/365/'Evolução Ligações'!D17*1000,2)</f>
        <v>117.99</v>
      </c>
      <c r="AI16" s="713">
        <f>ROUND(O16/'Evolução Economias'!F17/12,2)</f>
        <v>4.68</v>
      </c>
      <c r="AJ16" s="182">
        <f t="shared" si="11"/>
        <v>1234.5527540545791</v>
      </c>
      <c r="AK16" s="213">
        <f>ROUND(AJ16/365/'Evolução Ligações'!F17*1000,2)</f>
        <v>51.25</v>
      </c>
    </row>
    <row r="17" spans="1:37" ht="15" customHeight="1">
      <c r="A17" s="2">
        <f t="shared" si="12"/>
        <v>14</v>
      </c>
      <c r="B17" s="291">
        <f t="shared" si="15"/>
        <v>169.1168156239149</v>
      </c>
      <c r="C17" s="693"/>
      <c r="D17" s="12">
        <f>'Evolução Atendimento'!I18*B17*365/1000</f>
        <v>7692436.4828763781</v>
      </c>
      <c r="E17" s="12">
        <f t="shared" si="1"/>
        <v>7692436.4828763781</v>
      </c>
      <c r="F17" s="12">
        <f>'Evolução Atendimento'!J18*B17*365/1000</f>
        <v>22468.860123793333</v>
      </c>
      <c r="G17" s="12">
        <f t="shared" si="2"/>
        <v>22468.860123793333</v>
      </c>
      <c r="H17" s="12">
        <f>'Evolução Atendimento'!K18*B17*365/1000</f>
        <v>3765.385899866465</v>
      </c>
      <c r="I17" s="12">
        <f t="shared" si="3"/>
        <v>3765.385899866465</v>
      </c>
      <c r="J17" s="704">
        <f t="shared" si="14"/>
        <v>1</v>
      </c>
      <c r="K17" s="12">
        <f t="shared" si="4"/>
        <v>7692436.4828763781</v>
      </c>
      <c r="L17" s="139">
        <f t="shared" si="5"/>
        <v>10256581.977168504</v>
      </c>
      <c r="M17" s="12">
        <f t="shared" si="6"/>
        <v>22468.860123793333</v>
      </c>
      <c r="N17" s="139">
        <f t="shared" si="7"/>
        <v>29958.480165057776</v>
      </c>
      <c r="O17" s="12">
        <f t="shared" si="8"/>
        <v>3765.385899866465</v>
      </c>
      <c r="P17" s="139">
        <f t="shared" si="9"/>
        <v>5020.5145331552867</v>
      </c>
      <c r="Q17" s="134">
        <v>0.25</v>
      </c>
      <c r="R17" s="12">
        <f>('Dados de Entrada'!$D$78)*('Evolução Atendimento'!$O18*B17*365/1000)</f>
        <v>5312475.364668726</v>
      </c>
      <c r="S17" s="12">
        <f>('Dados de Entrada'!$E$78)*('Evolução Atendimento'!P18*B17*365/1000)</f>
        <v>15517.224762992933</v>
      </c>
      <c r="T17" s="12">
        <f>('Dados de Entrada'!$F$78)*('Evolução Atendimento'!Q18*B17*365/1000)</f>
        <v>2600.4140399521129</v>
      </c>
      <c r="U17" s="173">
        <f>('Evolução de Rede'!M17*'Dados de Entrada'!$D$79)*86.4*365/1000</f>
        <v>1897145.4428446933</v>
      </c>
      <c r="V17" s="12">
        <f>(($R17)*('Evolução Atendimento'!$M17))+U17</f>
        <v>6678373.2710465472</v>
      </c>
      <c r="W17" s="173">
        <f>('Evolução de Rede'!O17*'Dados de Entrada'!$E$79)*86.4*365/1000</f>
        <v>20946.211200000002</v>
      </c>
      <c r="X17" s="12">
        <f>(($S17)*('Evolução Atendimento'!$M17))+W17</f>
        <v>34911.713486693639</v>
      </c>
      <c r="Y17" s="173">
        <f>('Evolução de Rede'!Q17*'Dados de Entrada'!$F$79)*86.4*365/1000</f>
        <v>3453.1920000000005</v>
      </c>
      <c r="Z17" s="12">
        <f>(($T17)*('Evolução Atendimento'!$M17))+Y17</f>
        <v>5793.5646359569018</v>
      </c>
      <c r="AC17" s="713">
        <f>ROUND(K17/'Evolução Economias'!B18/12,2)</f>
        <v>9.74</v>
      </c>
      <c r="AD17" s="182">
        <f t="shared" si="0"/>
        <v>2564145.494292126</v>
      </c>
      <c r="AE17" s="213">
        <f>ROUND(AD17/365/'Evolução Ligações'!B18*1000,2)</f>
        <v>173.77</v>
      </c>
      <c r="AF17" s="713">
        <f>ROUND(M17/'Evolução Economias'!D18/12,2)</f>
        <v>10.76</v>
      </c>
      <c r="AG17" s="182">
        <f t="shared" si="10"/>
        <v>7489.620041264443</v>
      </c>
      <c r="AH17" s="213">
        <f>ROUND(AG17/365/'Evolução Ligações'!D18*1000,2)</f>
        <v>117.93</v>
      </c>
      <c r="AI17" s="713">
        <f>ROUND(O17/'Evolução Economias'!F18/12,2)</f>
        <v>4.68</v>
      </c>
      <c r="AJ17" s="182">
        <f t="shared" si="11"/>
        <v>1255.1286332888217</v>
      </c>
      <c r="AK17" s="213">
        <f>ROUND(AJ17/365/'Evolução Ligações'!F18*1000,2)</f>
        <v>51.32</v>
      </c>
    </row>
    <row r="18" spans="1:37" ht="15" customHeight="1">
      <c r="A18" s="2">
        <f t="shared" si="12"/>
        <v>15</v>
      </c>
      <c r="B18" s="291">
        <f t="shared" si="15"/>
        <v>169.1168156239149</v>
      </c>
      <c r="C18" s="693"/>
      <c r="D18" s="12">
        <f>'Evolução Atendimento'!I19*B18*365/1000</f>
        <v>7783423.0208501993</v>
      </c>
      <c r="E18" s="12">
        <f t="shared" si="1"/>
        <v>7783423.0208501993</v>
      </c>
      <c r="F18" s="12">
        <f>'Evolução Atendimento'!J19*B18*365/1000</f>
        <v>22715.770674604253</v>
      </c>
      <c r="G18" s="12">
        <f t="shared" si="2"/>
        <v>22715.770674604253</v>
      </c>
      <c r="H18" s="12">
        <f>'Evolução Atendimento'!K19*B18*365/1000</f>
        <v>3827.1135375691947</v>
      </c>
      <c r="I18" s="12">
        <f t="shared" si="3"/>
        <v>3827.1135375691947</v>
      </c>
      <c r="J18" s="704">
        <f t="shared" si="14"/>
        <v>1</v>
      </c>
      <c r="K18" s="12">
        <f t="shared" si="4"/>
        <v>7783423.0208501993</v>
      </c>
      <c r="L18" s="139">
        <f t="shared" si="5"/>
        <v>10377897.3611336</v>
      </c>
      <c r="M18" s="12">
        <f t="shared" si="6"/>
        <v>22715.770674604253</v>
      </c>
      <c r="N18" s="139">
        <f t="shared" si="7"/>
        <v>30287.694232805672</v>
      </c>
      <c r="O18" s="12">
        <f t="shared" si="8"/>
        <v>3827.1135375691947</v>
      </c>
      <c r="P18" s="139">
        <f t="shared" si="9"/>
        <v>5102.8180500922599</v>
      </c>
      <c r="Q18" s="134">
        <v>0.25</v>
      </c>
      <c r="R18" s="12">
        <f>('Dados de Entrada'!$D$78)*('Evolução Atendimento'!$O19*B18*365/1000)</f>
        <v>5375316.5786745539</v>
      </c>
      <c r="S18" s="12">
        <f>('Dados de Entrada'!$E$78)*('Evolução Atendimento'!P19*B18*365/1000)</f>
        <v>15687.758249484399</v>
      </c>
      <c r="T18" s="12">
        <f>('Dados de Entrada'!$F$78)*('Evolução Atendimento'!Q19*B18*365/1000)</f>
        <v>2643.046226815306</v>
      </c>
      <c r="U18" s="173">
        <f>('Evolução de Rede'!M18*'Dados de Entrada'!$D$79)*86.4*365/1000</f>
        <v>1915008.7671450793</v>
      </c>
      <c r="V18" s="12">
        <f>(($R18)*('Evolução Atendimento'!$M18))+U18</f>
        <v>6752793.6879521785</v>
      </c>
      <c r="W18" s="173">
        <f>('Evolução de Rede'!O18*'Dados de Entrada'!$E$79)*86.4*365/1000</f>
        <v>20971.440000000002</v>
      </c>
      <c r="X18" s="12">
        <f>(($S18)*('Evolução Atendimento'!$M18))+W18</f>
        <v>35090.422424535966</v>
      </c>
      <c r="Y18" s="173">
        <f>('Evolução de Rede'!Q18*'Dados de Entrada'!$F$79)*86.4*365/1000</f>
        <v>3459.4992000000007</v>
      </c>
      <c r="Z18" s="12">
        <f>(($T18)*('Evolução Atendimento'!$M18))+Y18</f>
        <v>5838.2408041337767</v>
      </c>
      <c r="AC18" s="713">
        <f>ROUND(K18/'Evolução Economias'!B19/12,2)</f>
        <v>9.74</v>
      </c>
      <c r="AD18" s="182">
        <f t="shared" si="0"/>
        <v>2594474.3402834004</v>
      </c>
      <c r="AE18" s="213">
        <f>ROUND(AD18/365/'Evolução Ligações'!B19*1000,2)</f>
        <v>173.77</v>
      </c>
      <c r="AF18" s="713">
        <f>ROUND(M18/'Evolução Economias'!D19/12,2)</f>
        <v>10.76</v>
      </c>
      <c r="AG18" s="182">
        <f t="shared" si="10"/>
        <v>7571.9235582014189</v>
      </c>
      <c r="AH18" s="213">
        <f>ROUND(AG18/365/'Evolução Ligações'!D19*1000,2)</f>
        <v>117.87</v>
      </c>
      <c r="AI18" s="713">
        <f>ROUND(O18/'Evolução Economias'!F19/12,2)</f>
        <v>4.62</v>
      </c>
      <c r="AJ18" s="182">
        <f t="shared" si="11"/>
        <v>1275.7045125230652</v>
      </c>
      <c r="AK18" s="213">
        <f>ROUND(AJ18/365/'Evolução Ligações'!F19*1000,2)</f>
        <v>50.65</v>
      </c>
    </row>
    <row r="19" spans="1:37" ht="15" customHeight="1">
      <c r="A19" s="2">
        <f t="shared" si="12"/>
        <v>16</v>
      </c>
      <c r="B19" s="291">
        <f t="shared" si="15"/>
        <v>169.1168156239149</v>
      </c>
      <c r="C19" s="693"/>
      <c r="D19" s="12">
        <f>'Evolução Atendimento'!I20*B19*365/1000</f>
        <v>7874347.8311863206</v>
      </c>
      <c r="E19" s="12">
        <f t="shared" si="1"/>
        <v>7874347.8311863206</v>
      </c>
      <c r="F19" s="12">
        <f>'Evolução Atendimento'!J20*B19*365/1000</f>
        <v>22962.681225415166</v>
      </c>
      <c r="G19" s="12">
        <f t="shared" si="2"/>
        <v>22962.681225415166</v>
      </c>
      <c r="H19" s="12">
        <f>'Evolução Atendimento'!K20*B19*365/1000</f>
        <v>3888.841175271923</v>
      </c>
      <c r="I19" s="12">
        <f t="shared" si="3"/>
        <v>3888.841175271923</v>
      </c>
      <c r="J19" s="704">
        <f t="shared" si="14"/>
        <v>1</v>
      </c>
      <c r="K19" s="12">
        <f t="shared" si="4"/>
        <v>7874347.8311863206</v>
      </c>
      <c r="L19" s="139">
        <f t="shared" si="5"/>
        <v>10499130.441581761</v>
      </c>
      <c r="M19" s="12">
        <f t="shared" si="6"/>
        <v>22962.681225415166</v>
      </c>
      <c r="N19" s="139">
        <f t="shared" si="7"/>
        <v>30616.908300553554</v>
      </c>
      <c r="O19" s="12">
        <f t="shared" si="8"/>
        <v>3888.841175271923</v>
      </c>
      <c r="P19" s="139">
        <f t="shared" si="9"/>
        <v>5185.1215670292304</v>
      </c>
      <c r="Q19" s="134">
        <v>0.25</v>
      </c>
      <c r="R19" s="12">
        <f>('Dados de Entrada'!$D$78)*('Evolução Atendimento'!$O20*B19*365/1000)</f>
        <v>5438112.5702292155</v>
      </c>
      <c r="S19" s="12">
        <f>('Dados de Entrada'!$E$78)*('Evolução Atendimento'!P20*B19*365/1000)</f>
        <v>15858.284151931301</v>
      </c>
      <c r="T19" s="12">
        <f>('Dados de Entrada'!$F$78)*('Evolução Atendimento'!Q20*B19*365/1000)</f>
        <v>2685.677154762559</v>
      </c>
      <c r="U19" s="173">
        <f>('Evolução de Rede'!M19*'Dados de Entrada'!$D$79)*86.4*365/1000</f>
        <v>1932872.0914454651</v>
      </c>
      <c r="V19" s="12">
        <f>(($R19)*('Evolução Atendimento'!$M19))+U19</f>
        <v>6827173.4046517592</v>
      </c>
      <c r="W19" s="173">
        <f>('Evolução de Rede'!O19*'Dados de Entrada'!$E$79)*86.4*365/1000</f>
        <v>20990.3616</v>
      </c>
      <c r="X19" s="12">
        <f>(($S19)*('Evolução Atendimento'!$M19))+W19</f>
        <v>35262.817336738168</v>
      </c>
      <c r="Y19" s="173">
        <f>('Evolução de Rede'!Q19*'Dados de Entrada'!$F$79)*86.4*365/1000</f>
        <v>3459.4992000000007</v>
      </c>
      <c r="Z19" s="12">
        <f>(($T19)*('Evolução Atendimento'!$M19))+Y19</f>
        <v>5876.6086392863035</v>
      </c>
      <c r="AC19" s="713">
        <f>ROUND(K19/'Evolução Economias'!B20/12,2)</f>
        <v>9.74</v>
      </c>
      <c r="AD19" s="182">
        <f t="shared" si="0"/>
        <v>2624782.6103954408</v>
      </c>
      <c r="AE19" s="213">
        <f>ROUND(AD19/365/'Evolução Ligações'!B20*1000,2)</f>
        <v>173.77</v>
      </c>
      <c r="AF19" s="713">
        <f>ROUND(M19/'Evolução Economias'!D20/12,2)</f>
        <v>10.75</v>
      </c>
      <c r="AG19" s="182">
        <f t="shared" si="10"/>
        <v>7654.2270751383876</v>
      </c>
      <c r="AH19" s="213">
        <f>ROUND(AG19/365/'Evolução Ligações'!D20*1000,2)</f>
        <v>117.81</v>
      </c>
      <c r="AI19" s="713">
        <f>ROUND(O19/'Evolução Economias'!F20/12,2)</f>
        <v>4.63</v>
      </c>
      <c r="AJ19" s="182">
        <f t="shared" si="11"/>
        <v>1296.2803917573074</v>
      </c>
      <c r="AK19" s="213">
        <f>ROUND(AJ19/365/'Evolução Ligações'!F20*1000,2)</f>
        <v>50.74</v>
      </c>
    </row>
    <row r="20" spans="1:37" ht="15" customHeight="1">
      <c r="A20" s="2">
        <f t="shared" si="12"/>
        <v>17</v>
      </c>
      <c r="B20" s="291">
        <f t="shared" si="15"/>
        <v>169.1168156239149</v>
      </c>
      <c r="C20" s="693"/>
      <c r="D20" s="12">
        <f>'Evolução Atendimento'!I21*B20*365/1000</f>
        <v>7965272.6415224401</v>
      </c>
      <c r="E20" s="12">
        <f t="shared" si="1"/>
        <v>7965272.6415224401</v>
      </c>
      <c r="F20" s="12">
        <f>'Evolução Atendimento'!J21*B20*365/1000</f>
        <v>23209.59177622608</v>
      </c>
      <c r="G20" s="12">
        <f t="shared" si="2"/>
        <v>23209.59177622608</v>
      </c>
      <c r="H20" s="12">
        <f>'Evolução Atendimento'!K21*B20*365/1000</f>
        <v>3950.5688129746522</v>
      </c>
      <c r="I20" s="12">
        <f t="shared" si="3"/>
        <v>3950.5688129746522</v>
      </c>
      <c r="J20" s="704">
        <f t="shared" si="14"/>
        <v>1</v>
      </c>
      <c r="K20" s="12">
        <f t="shared" si="4"/>
        <v>7965272.6415224401</v>
      </c>
      <c r="L20" s="139">
        <f t="shared" si="5"/>
        <v>10620363.52202992</v>
      </c>
      <c r="M20" s="12">
        <f t="shared" si="6"/>
        <v>23209.59177622608</v>
      </c>
      <c r="N20" s="139">
        <f t="shared" si="7"/>
        <v>30946.12236830144</v>
      </c>
      <c r="O20" s="12">
        <f t="shared" si="8"/>
        <v>3950.5688129746522</v>
      </c>
      <c r="P20" s="139">
        <f t="shared" si="9"/>
        <v>5267.4250839662027</v>
      </c>
      <c r="Q20" s="134">
        <v>0.25</v>
      </c>
      <c r="R20" s="12">
        <f>('Dados de Entrada'!$D$78)*('Evolução Atendimento'!$O21*B20*365/1000)</f>
        <v>5500908.5617866497</v>
      </c>
      <c r="S20" s="12">
        <f>('Dados de Entrada'!$E$78)*('Evolução Atendimento'!P21*B20*365/1000)</f>
        <v>16028.810043721513</v>
      </c>
      <c r="T20" s="12">
        <f>('Dados de Entrada'!$F$78)*('Evolução Atendimento'!Q21*B20*365/1000)</f>
        <v>2728.3080925483428</v>
      </c>
      <c r="U20" s="173">
        <f>('Evolução de Rede'!M20*'Dados de Entrada'!$D$79)*86.4*365/1000</f>
        <v>1950735.4157458511</v>
      </c>
      <c r="V20" s="12">
        <f>(($R20)*('Evolução Atendimento'!$M20))+U20</f>
        <v>6901553.1213538367</v>
      </c>
      <c r="W20" s="173">
        <f>('Evolução de Rede'!O20*'Dados de Entrada'!$E$79)*86.4*365/1000</f>
        <v>21015.590400000005</v>
      </c>
      <c r="X20" s="12">
        <f>(($S20)*('Evolução Atendimento'!$M20))+W20</f>
        <v>35441.519439349366</v>
      </c>
      <c r="Y20" s="173">
        <f>('Evolução de Rede'!Q20*'Dados de Entrada'!$F$79)*86.4*365/1000</f>
        <v>3465.8064000000004</v>
      </c>
      <c r="Z20" s="12">
        <f>(($T20)*('Evolução Atendimento'!$M20))+Y20</f>
        <v>5921.2836832935091</v>
      </c>
      <c r="AC20" s="713">
        <f>ROUND(K20/'Evolução Economias'!B21/12,2)</f>
        <v>9.74</v>
      </c>
      <c r="AD20" s="182">
        <f t="shared" si="0"/>
        <v>2655090.8805074794</v>
      </c>
      <c r="AE20" s="213">
        <f>ROUND(AD20/365/'Evolução Ligações'!B21*1000,2)</f>
        <v>173.77</v>
      </c>
      <c r="AF20" s="713">
        <f>ROUND(M20/'Evolução Economias'!D21/12,2)</f>
        <v>10.81</v>
      </c>
      <c r="AG20" s="182">
        <f t="shared" si="10"/>
        <v>7736.5305920753599</v>
      </c>
      <c r="AH20" s="213">
        <f>ROUND(AG20/365/'Evolução Ligações'!D21*1000,2)</f>
        <v>118.41</v>
      </c>
      <c r="AI20" s="713">
        <f>ROUND(O20/'Evolução Economias'!F21/12,2)</f>
        <v>4.6399999999999997</v>
      </c>
      <c r="AJ20" s="182">
        <f t="shared" si="11"/>
        <v>1316.8562709915504</v>
      </c>
      <c r="AK20" s="213">
        <f>ROUND(AJ20/365/'Evolução Ligações'!F21*1000,2)</f>
        <v>50.81</v>
      </c>
    </row>
    <row r="21" spans="1:37" ht="15" customHeight="1">
      <c r="A21" s="2">
        <f t="shared" si="12"/>
        <v>18</v>
      </c>
      <c r="B21" s="291">
        <f t="shared" si="15"/>
        <v>169.1168156239149</v>
      </c>
      <c r="C21" s="693"/>
      <c r="D21" s="12">
        <f>'Evolução Atendimento'!I22*B21*365/1000</f>
        <v>8056876.4558732901</v>
      </c>
      <c r="E21" s="12">
        <f t="shared" si="1"/>
        <v>8056876.4558732901</v>
      </c>
      <c r="F21" s="12">
        <f>'Evolução Atendimento'!J22*B21*365/1000</f>
        <v>23456.502327036997</v>
      </c>
      <c r="G21" s="12">
        <f t="shared" si="2"/>
        <v>23456.502327036997</v>
      </c>
      <c r="H21" s="12">
        <f>'Evolução Atendimento'!K22*B21*365/1000</f>
        <v>4012.296450677381</v>
      </c>
      <c r="I21" s="12">
        <f t="shared" si="3"/>
        <v>4012.296450677381</v>
      </c>
      <c r="J21" s="704">
        <f t="shared" si="14"/>
        <v>1</v>
      </c>
      <c r="K21" s="12">
        <f t="shared" si="4"/>
        <v>8056876.4558732901</v>
      </c>
      <c r="L21" s="139">
        <f t="shared" si="5"/>
        <v>10742501.941164387</v>
      </c>
      <c r="M21" s="12">
        <f t="shared" si="6"/>
        <v>23456.502327036997</v>
      </c>
      <c r="N21" s="139">
        <f t="shared" si="7"/>
        <v>31275.336436049329</v>
      </c>
      <c r="O21" s="12">
        <f t="shared" si="8"/>
        <v>4012.296450677381</v>
      </c>
      <c r="P21" s="139">
        <f t="shared" si="9"/>
        <v>5349.728600903175</v>
      </c>
      <c r="Q21" s="134">
        <v>0.25</v>
      </c>
      <c r="R21" s="12">
        <f>('Dados de Entrada'!$D$78)*('Evolução Atendimento'!$O22*B21*365/1000)</f>
        <v>5564162.108157957</v>
      </c>
      <c r="S21" s="12">
        <f>('Dados de Entrada'!$E$78)*('Evolução Atendimento'!P22*B21*365/1000)</f>
        <v>16199.302813297456</v>
      </c>
      <c r="T21" s="12">
        <f>('Dados de Entrada'!$F$78)*('Evolução Atendimento'!Q22*B21*365/1000)</f>
        <v>2770.9333759587753</v>
      </c>
      <c r="U21" s="173">
        <f>('Evolução de Rede'!M21*'Dados de Entrada'!$D$79)*86.4*365/1000</f>
        <v>1968725.1314917586</v>
      </c>
      <c r="V21" s="12">
        <f>(($R21)*('Evolução Atendimento'!$M21))+U21</f>
        <v>6976471.0288339201</v>
      </c>
      <c r="W21" s="173">
        <f>('Evolução de Rede'!O21*'Dados de Entrada'!$E$79)*86.4*365/1000</f>
        <v>21034.511999999999</v>
      </c>
      <c r="X21" s="12">
        <f>(($S21)*('Evolução Atendimento'!$M21))+W21</f>
        <v>35613.884531967706</v>
      </c>
      <c r="Y21" s="173">
        <f>('Evolução de Rede'!Q21*'Dados de Entrada'!$F$79)*86.4*365/1000</f>
        <v>3472.1136000000006</v>
      </c>
      <c r="Z21" s="12">
        <f>(($T21)*('Evolução Atendimento'!$M21))+Y21</f>
        <v>5965.9536383628983</v>
      </c>
      <c r="AC21" s="713">
        <f>ROUND(K21/'Evolução Economias'!B22/12,2)</f>
        <v>9.74</v>
      </c>
      <c r="AD21" s="182">
        <f t="shared" si="0"/>
        <v>2685625.4852910973</v>
      </c>
      <c r="AE21" s="213">
        <f>ROUND(AD21/365/'Evolução Ligações'!B22*1000,2)</f>
        <v>173.77</v>
      </c>
      <c r="AF21" s="713">
        <f>ROUND(M21/'Evolução Economias'!D22/12,2)</f>
        <v>10.8</v>
      </c>
      <c r="AG21" s="182">
        <f t="shared" si="10"/>
        <v>7818.8341090123322</v>
      </c>
      <c r="AH21" s="213">
        <f>ROUND(AG21/365/'Evolução Ligações'!D22*1000,2)</f>
        <v>118.35</v>
      </c>
      <c r="AI21" s="713">
        <f>ROUND(O21/'Evolução Economias'!F22/12,2)</f>
        <v>4.6399999999999997</v>
      </c>
      <c r="AJ21" s="182">
        <f t="shared" si="11"/>
        <v>1337.432150225794</v>
      </c>
      <c r="AK21" s="213">
        <f>ROUND(AJ21/365/'Evolução Ligações'!F22*1000,2)</f>
        <v>50.89</v>
      </c>
    </row>
    <row r="22" spans="1:37" ht="15" customHeight="1">
      <c r="A22" s="2">
        <f t="shared" si="12"/>
        <v>19</v>
      </c>
      <c r="B22" s="291">
        <f t="shared" si="15"/>
        <v>169.1168156239149</v>
      </c>
      <c r="C22" s="693"/>
      <c r="D22" s="12">
        <f>'Evolução Atendimento'!I23*B22*365/1000</f>
        <v>8149529.6400650851</v>
      </c>
      <c r="E22" s="12">
        <f t="shared" si="1"/>
        <v>8149529.6400650851</v>
      </c>
      <c r="F22" s="12">
        <f>'Evolução Atendimento'!J23*B22*365/1000</f>
        <v>23703.41287784791</v>
      </c>
      <c r="G22" s="12">
        <f t="shared" si="2"/>
        <v>23703.41287784791</v>
      </c>
      <c r="H22" s="12">
        <f>'Evolução Atendimento'!K23*B22*365/1000</f>
        <v>4074.0240883801098</v>
      </c>
      <c r="I22" s="12">
        <f t="shared" si="3"/>
        <v>4074.0240883801098</v>
      </c>
      <c r="J22" s="704">
        <f t="shared" si="14"/>
        <v>1</v>
      </c>
      <c r="K22" s="12">
        <f t="shared" si="4"/>
        <v>8149529.6400650851</v>
      </c>
      <c r="L22" s="139">
        <f t="shared" si="5"/>
        <v>10866039.52008678</v>
      </c>
      <c r="M22" s="12">
        <f t="shared" si="6"/>
        <v>23703.41287784791</v>
      </c>
      <c r="N22" s="139">
        <f t="shared" si="7"/>
        <v>31604.550503797214</v>
      </c>
      <c r="O22" s="12">
        <f t="shared" si="8"/>
        <v>4074.0240883801098</v>
      </c>
      <c r="P22" s="139">
        <f t="shared" si="9"/>
        <v>5432.0321178401464</v>
      </c>
      <c r="Q22" s="134">
        <v>0.25</v>
      </c>
      <c r="R22" s="12">
        <f>('Dados de Entrada'!$D$78)*('Evolução Atendimento'!$O23*B22*365/1000)</f>
        <v>5628144.5441075256</v>
      </c>
      <c r="S22" s="12">
        <f>('Dados de Entrada'!$E$78)*('Evolução Atendimento'!P23*B22*365/1000)</f>
        <v>16369.80779962196</v>
      </c>
      <c r="T22" s="12">
        <f>('Dados de Entrada'!$F$78)*('Evolução Atendimento'!Q23*B22*365/1000)</f>
        <v>2813.5607155600246</v>
      </c>
      <c r="U22" s="173">
        <f>('Evolução de Rede'!M22*'Dados de Entrada'!$D$79)*86.4*365/1000</f>
        <v>1986911.4561529218</v>
      </c>
      <c r="V22" s="12">
        <f>(($R22)*('Evolução Atendimento'!$M22))+U22</f>
        <v>7052241.5458496949</v>
      </c>
      <c r="W22" s="173">
        <f>('Evolução de Rede'!O22*'Dados de Entrada'!$E$79)*86.4*365/1000</f>
        <v>21053.4336</v>
      </c>
      <c r="X22" s="12">
        <f>(($S22)*('Evolução Atendimento'!$M22))+W22</f>
        <v>35786.260619659763</v>
      </c>
      <c r="Y22" s="173">
        <f>('Evolução de Rede'!Q22*'Dados de Entrada'!$F$79)*86.4*365/1000</f>
        <v>3478.4208000000008</v>
      </c>
      <c r="Z22" s="12">
        <f>(($T22)*('Evolução Atendimento'!$M22))+Y22</f>
        <v>6010.6254440040229</v>
      </c>
      <c r="AC22" s="713">
        <f>ROUND(K22/'Evolução Economias'!B23/12,2)</f>
        <v>9.74</v>
      </c>
      <c r="AD22" s="182">
        <f t="shared" si="0"/>
        <v>2716509.880021695</v>
      </c>
      <c r="AE22" s="213">
        <f>ROUND(AD22/365/'Evolução Ligações'!B23*1000,2)</f>
        <v>173.77</v>
      </c>
      <c r="AF22" s="713">
        <f>ROUND(M22/'Evolução Economias'!D23/12,2)</f>
        <v>10.79</v>
      </c>
      <c r="AG22" s="182">
        <f t="shared" si="10"/>
        <v>7901.1376259493045</v>
      </c>
      <c r="AH22" s="213">
        <f>ROUND(AG22/365/'Evolução Ligações'!D23*1000,2)</f>
        <v>118.29</v>
      </c>
      <c r="AI22" s="713">
        <f>ROUND(O22/'Evolução Economias'!F23/12,2)</f>
        <v>4.6500000000000004</v>
      </c>
      <c r="AJ22" s="182">
        <f t="shared" si="11"/>
        <v>1358.0080294600366</v>
      </c>
      <c r="AK22" s="213">
        <f>ROUND(AJ22/365/'Evolução Ligações'!F23*1000,2)</f>
        <v>50.97</v>
      </c>
    </row>
    <row r="23" spans="1:37" ht="15" customHeight="1">
      <c r="A23" s="2">
        <f t="shared" si="12"/>
        <v>20</v>
      </c>
      <c r="B23" s="291">
        <f t="shared" si="15"/>
        <v>169.1168156239149</v>
      </c>
      <c r="C23" s="693"/>
      <c r="D23" s="12">
        <f>'Evolução Atendimento'!I24*B23*365/1000</f>
        <v>8243232.1940978291</v>
      </c>
      <c r="E23" s="12">
        <f t="shared" si="1"/>
        <v>8243232.1940978291</v>
      </c>
      <c r="F23" s="12">
        <f>'Evolução Atendimento'!J24*B23*365/1000</f>
        <v>23950.323428658827</v>
      </c>
      <c r="G23" s="12">
        <f t="shared" si="2"/>
        <v>23950.323428658827</v>
      </c>
      <c r="H23" s="12">
        <f>'Evolução Atendimento'!K24*B23*365/1000</f>
        <v>4135.751726082839</v>
      </c>
      <c r="I23" s="12">
        <f t="shared" si="3"/>
        <v>4135.751726082839</v>
      </c>
      <c r="J23" s="704">
        <f t="shared" si="14"/>
        <v>1</v>
      </c>
      <c r="K23" s="12">
        <f t="shared" si="4"/>
        <v>8243232.1940978291</v>
      </c>
      <c r="L23" s="139">
        <f t="shared" si="5"/>
        <v>10990976.258797105</v>
      </c>
      <c r="M23" s="12">
        <f t="shared" si="6"/>
        <v>23950.323428658827</v>
      </c>
      <c r="N23" s="139">
        <f t="shared" si="7"/>
        <v>31933.764571545104</v>
      </c>
      <c r="O23" s="12">
        <f t="shared" si="8"/>
        <v>4135.751726082839</v>
      </c>
      <c r="P23" s="139">
        <f t="shared" si="9"/>
        <v>5514.3356347771187</v>
      </c>
      <c r="Q23" s="134">
        <v>0.25</v>
      </c>
      <c r="R23" s="12">
        <f>('Dados de Entrada'!$D$78)*('Evolução Atendimento'!$O24*B23*365/1000)</f>
        <v>5692855.8696185555</v>
      </c>
      <c r="S23" s="12">
        <f>('Dados de Entrada'!$E$78)*('Evolução Atendimento'!P24*B23*365/1000)</f>
        <v>16540.324972008802</v>
      </c>
      <c r="T23" s="12">
        <f>('Dados de Entrada'!$F$78)*('Evolução Atendimento'!Q24*B23*365/1000)</f>
        <v>2856.1901369190468</v>
      </c>
      <c r="U23" s="173">
        <f>('Evolução de Rede'!M23*'Dados de Entrada'!$D$79)*86.4*365/1000</f>
        <v>2005322.4767172339</v>
      </c>
      <c r="V23" s="12">
        <f>(($R23)*('Evolução Atendimento'!$M23))+U23</f>
        <v>7128892.759373934</v>
      </c>
      <c r="W23" s="173">
        <f>('Evolução de Rede'!O23*'Dados de Entrada'!$E$79)*86.4*365/1000</f>
        <v>21078.662400000001</v>
      </c>
      <c r="X23" s="12">
        <f>(($S23)*('Evolução Atendimento'!$M23))+W23</f>
        <v>35964.954874807925</v>
      </c>
      <c r="Y23" s="173">
        <f>('Evolução de Rede'!Q23*'Dados de Entrada'!$F$79)*86.4*365/1000</f>
        <v>3484.7280000000005</v>
      </c>
      <c r="Z23" s="12">
        <f>(($T23)*('Evolução Atendimento'!$M23))+Y23</f>
        <v>6055.2991232271434</v>
      </c>
      <c r="AC23" s="713">
        <f>ROUND(K23/'Evolução Economias'!B24/12,2)</f>
        <v>9.74</v>
      </c>
      <c r="AD23" s="182">
        <f t="shared" si="0"/>
        <v>2747744.0646992764</v>
      </c>
      <c r="AE23" s="213">
        <f>ROUND(AD23/365/'Evolução Ligações'!B24*1000,2)</f>
        <v>173.77</v>
      </c>
      <c r="AF23" s="713">
        <f>ROUND(M23/'Evolução Economias'!D24/12,2)</f>
        <v>10.79</v>
      </c>
      <c r="AG23" s="182">
        <f t="shared" si="10"/>
        <v>7983.4411428862768</v>
      </c>
      <c r="AH23" s="213">
        <f>ROUND(AG23/365/'Evolução Ligações'!D24*1000,2)</f>
        <v>118.23</v>
      </c>
      <c r="AI23" s="713">
        <f>ROUND(O23/'Evolução Economias'!F24/12,2)</f>
        <v>4.66</v>
      </c>
      <c r="AJ23" s="182">
        <f t="shared" si="11"/>
        <v>1378.5839086942797</v>
      </c>
      <c r="AK23" s="213">
        <f>ROUND(AJ23/365/'Evolução Ligações'!F24*1000,2)</f>
        <v>51.04</v>
      </c>
    </row>
    <row r="24" spans="1:37" ht="15" customHeight="1">
      <c r="A24" s="2">
        <f t="shared" si="12"/>
        <v>21</v>
      </c>
      <c r="B24" s="291">
        <f t="shared" si="15"/>
        <v>169.1168156239149</v>
      </c>
      <c r="C24" s="693"/>
      <c r="D24" s="12">
        <f>'Evolução Atendimento'!I25*B24*365/1000</f>
        <v>8338045.8456092207</v>
      </c>
      <c r="E24" s="12">
        <f t="shared" si="1"/>
        <v>8338045.8456092207</v>
      </c>
      <c r="F24" s="12">
        <f>'Evolução Atendimento'!J25*B24*365/1000</f>
        <v>24197.233979469744</v>
      </c>
      <c r="G24" s="12">
        <f t="shared" si="2"/>
        <v>24197.233979469744</v>
      </c>
      <c r="H24" s="12">
        <f>'Evolução Atendimento'!K25*B24*365/1000</f>
        <v>4197.4793637855673</v>
      </c>
      <c r="I24" s="12">
        <f t="shared" si="3"/>
        <v>4197.4793637855673</v>
      </c>
      <c r="J24" s="704">
        <f t="shared" si="14"/>
        <v>1</v>
      </c>
      <c r="K24" s="12">
        <f t="shared" si="4"/>
        <v>8338045.8456092207</v>
      </c>
      <c r="L24" s="139">
        <f t="shared" si="5"/>
        <v>11117394.460812295</v>
      </c>
      <c r="M24" s="12">
        <f t="shared" si="6"/>
        <v>24197.233979469744</v>
      </c>
      <c r="N24" s="139">
        <f t="shared" si="7"/>
        <v>32262.978639292993</v>
      </c>
      <c r="O24" s="12">
        <f t="shared" si="8"/>
        <v>4197.4793637855673</v>
      </c>
      <c r="P24" s="139">
        <f t="shared" si="9"/>
        <v>5596.6391517140901</v>
      </c>
      <c r="Q24" s="134">
        <v>0.25</v>
      </c>
      <c r="R24" s="12">
        <f>('Dados de Entrada'!$D$78)*('Evolução Atendimento'!$O25*B24*365/1000)</f>
        <v>5758341.307169646</v>
      </c>
      <c r="S24" s="12">
        <f>('Dados de Entrada'!$E$78)*('Evolução Atendimento'!P25*B24*365/1000)</f>
        <v>16710.861816213604</v>
      </c>
      <c r="T24" s="12">
        <f>('Dados de Entrada'!$F$78)*('Evolução Atendimento'!Q25*B24*365/1000)</f>
        <v>2898.8229681186854</v>
      </c>
      <c r="U24" s="173">
        <f>('Evolução de Rede'!M24*'Dados de Entrada'!$D$79)*86.4*365/1000</f>
        <v>2023944.1496907494</v>
      </c>
      <c r="V24" s="12">
        <f>(($R24)*('Evolução Atendimento'!$M24))+U24</f>
        <v>7206451.3261434305</v>
      </c>
      <c r="W24" s="173">
        <f>('Evolução de Rede'!O24*'Dados de Entrada'!$E$79)*86.4*365/1000</f>
        <v>21097.584000000003</v>
      </c>
      <c r="X24" s="12">
        <f>(($S24)*('Evolução Atendimento'!$M24))+W24</f>
        <v>36137.359634592249</v>
      </c>
      <c r="Y24" s="173">
        <f>('Evolução de Rede'!Q24*'Dados de Entrada'!$F$79)*86.4*365/1000</f>
        <v>3491.0352000000007</v>
      </c>
      <c r="Z24" s="12">
        <f>(($T24)*('Evolução Atendimento'!$M24))+Y24</f>
        <v>6099.9758713068177</v>
      </c>
      <c r="AC24" s="713">
        <f>ROUND(K24/'Evolução Economias'!B25/12,2)</f>
        <v>9.74</v>
      </c>
      <c r="AD24" s="182">
        <f t="shared" si="0"/>
        <v>2779348.6152030742</v>
      </c>
      <c r="AE24" s="213">
        <f>ROUND(AD24/365/'Evolução Ligações'!B25*1000,2)</f>
        <v>173.77</v>
      </c>
      <c r="AF24" s="713">
        <f>ROUND(M24/'Evolução Economias'!D25/12,2)</f>
        <v>10.78</v>
      </c>
      <c r="AG24" s="182">
        <f t="shared" si="10"/>
        <v>8065.7446598232491</v>
      </c>
      <c r="AH24" s="213">
        <f>ROUND(AG24/365/'Evolução Ligações'!D25*1000,2)</f>
        <v>118.17</v>
      </c>
      <c r="AI24" s="713">
        <f>ROUND(O24/'Evolução Economias'!F25/12,2)</f>
        <v>4.66</v>
      </c>
      <c r="AJ24" s="182">
        <f t="shared" si="11"/>
        <v>1399.1597879285227</v>
      </c>
      <c r="AK24" s="213">
        <f>ROUND(AJ24/365/'Evolução Ligações'!F25*1000,2)</f>
        <v>51.11</v>
      </c>
    </row>
    <row r="25" spans="1:37" ht="15" customHeight="1">
      <c r="A25" s="2">
        <f t="shared" si="12"/>
        <v>22</v>
      </c>
      <c r="B25" s="291">
        <f t="shared" si="15"/>
        <v>169.1168156239149</v>
      </c>
      <c r="C25" s="693"/>
      <c r="D25" s="12">
        <f>'Evolução Atendimento'!I26*B25*365/1000</f>
        <v>8433908.8669615574</v>
      </c>
      <c r="E25" s="12">
        <f t="shared" si="1"/>
        <v>8433908.8669615574</v>
      </c>
      <c r="F25" s="12">
        <f>'Evolução Atendimento'!J26*B25*365/1000</f>
        <v>24505.872167983391</v>
      </c>
      <c r="G25" s="12">
        <f t="shared" si="2"/>
        <v>24505.872167983391</v>
      </c>
      <c r="H25" s="12">
        <f>'Evolução Atendimento'!K26*B25*365/1000</f>
        <v>4259.2070014882975</v>
      </c>
      <c r="I25" s="12">
        <f t="shared" si="3"/>
        <v>4259.2070014882975</v>
      </c>
      <c r="J25" s="704">
        <f t="shared" si="14"/>
        <v>1</v>
      </c>
      <c r="K25" s="12">
        <f t="shared" si="4"/>
        <v>8433908.8669615574</v>
      </c>
      <c r="L25" s="139">
        <f t="shared" si="5"/>
        <v>11245211.822615409</v>
      </c>
      <c r="M25" s="12">
        <f t="shared" si="6"/>
        <v>24505.872167983391</v>
      </c>
      <c r="N25" s="139">
        <f t="shared" si="7"/>
        <v>32674.496223977854</v>
      </c>
      <c r="O25" s="12">
        <f t="shared" si="8"/>
        <v>4259.2070014882975</v>
      </c>
      <c r="P25" s="139">
        <f t="shared" si="9"/>
        <v>5678.9426686510633</v>
      </c>
      <c r="Q25" s="134">
        <v>0.25</v>
      </c>
      <c r="R25" s="12">
        <f>('Dados de Entrada'!$D$78)*('Evolução Atendimento'!$O26*B25*365/1000)</f>
        <v>5824558.2270024652</v>
      </c>
      <c r="S25" s="12">
        <f>('Dados de Entrada'!$E$78)*('Evolução Atendimento'!P26*B25*365/1000)</f>
        <v>16924.048101236021</v>
      </c>
      <c r="T25" s="12">
        <f>('Dados de Entrada'!$F$78)*('Evolução Atendimento'!Q26*B25*365/1000)</f>
        <v>2941.459241776538</v>
      </c>
      <c r="U25" s="173">
        <f>('Evolução de Rede'!M25*'Dados de Entrada'!$D$79)*86.4*365/1000</f>
        <v>2042776.475073467</v>
      </c>
      <c r="V25" s="12">
        <f>(($R25)*('Evolução Atendimento'!$M25))+U25</f>
        <v>7284878.8793756859</v>
      </c>
      <c r="W25" s="173">
        <f>('Evolução de Rede'!O25*'Dados de Entrada'!$E$79)*86.4*365/1000</f>
        <v>21129.120000000003</v>
      </c>
      <c r="X25" s="12">
        <f>(($S25)*('Evolução Atendimento'!$M25))+W25</f>
        <v>36360.763291112424</v>
      </c>
      <c r="Y25" s="173">
        <f>('Evolução de Rede'!Q25*'Dados de Entrada'!$F$79)*86.4*365/1000</f>
        <v>3497.3424</v>
      </c>
      <c r="Z25" s="12">
        <f>(($T25)*('Evolução Atendimento'!$M25))+Y25</f>
        <v>6144.6557175988837</v>
      </c>
      <c r="AC25" s="713">
        <f>ROUND(K25/'Evolução Economias'!B26/12,2)</f>
        <v>9.74</v>
      </c>
      <c r="AD25" s="182">
        <f t="shared" si="0"/>
        <v>2811302.9556538519</v>
      </c>
      <c r="AE25" s="213">
        <f>ROUND(AD25/365/'Evolução Ligações'!B26*1000,2)</f>
        <v>173.77</v>
      </c>
      <c r="AF25" s="713">
        <f>ROUND(M25/'Evolução Economias'!D26/12,2)</f>
        <v>10.81</v>
      </c>
      <c r="AG25" s="182">
        <f t="shared" si="10"/>
        <v>8168.6240559944636</v>
      </c>
      <c r="AH25" s="213">
        <f>ROUND(AG25/365/'Evolução Ligações'!D26*1000,2)</f>
        <v>118.41</v>
      </c>
      <c r="AI25" s="713">
        <f>ROUND(O25/'Evolução Economias'!F26/12,2)</f>
        <v>4.67</v>
      </c>
      <c r="AJ25" s="182">
        <f t="shared" si="11"/>
        <v>1419.7356671627658</v>
      </c>
      <c r="AK25" s="213">
        <f>ROUND(AJ25/365/'Evolução Ligações'!F26*1000,2)</f>
        <v>51.18</v>
      </c>
    </row>
    <row r="26" spans="1:37" ht="15" customHeight="1">
      <c r="A26" s="2">
        <f t="shared" si="12"/>
        <v>23</v>
      </c>
      <c r="B26" s="291">
        <f t="shared" si="15"/>
        <v>169.1168156239149</v>
      </c>
      <c r="C26" s="693"/>
      <c r="D26" s="12">
        <f>'Evolução Atendimento'!I27*B26*365/1000</f>
        <v>8530882.9857925437</v>
      </c>
      <c r="E26" s="12">
        <f t="shared" si="1"/>
        <v>8530882.9857925437</v>
      </c>
      <c r="F26" s="12">
        <f>'Evolução Atendimento'!J27*B26*365/1000</f>
        <v>24814.510356497034</v>
      </c>
      <c r="G26" s="12">
        <f t="shared" si="2"/>
        <v>24814.510356497034</v>
      </c>
      <c r="H26" s="12">
        <f>'Evolução Atendimento'!K27*B26*365/1000</f>
        <v>4320.9346391910258</v>
      </c>
      <c r="I26" s="12">
        <f t="shared" si="3"/>
        <v>4320.9346391910258</v>
      </c>
      <c r="J26" s="704">
        <f t="shared" si="14"/>
        <v>1</v>
      </c>
      <c r="K26" s="12">
        <f t="shared" si="4"/>
        <v>8530882.9857925437</v>
      </c>
      <c r="L26" s="139">
        <f t="shared" si="5"/>
        <v>11374510.647723392</v>
      </c>
      <c r="M26" s="12">
        <f t="shared" si="6"/>
        <v>24814.510356497034</v>
      </c>
      <c r="N26" s="139">
        <f t="shared" si="7"/>
        <v>33086.013808662712</v>
      </c>
      <c r="O26" s="12">
        <f t="shared" si="8"/>
        <v>4320.9346391910258</v>
      </c>
      <c r="P26" s="139">
        <f t="shared" si="9"/>
        <v>5761.2461855880347</v>
      </c>
      <c r="Q26" s="134">
        <v>0.25</v>
      </c>
      <c r="R26" s="12">
        <f>('Dados de Entrada'!$D$78)*('Evolução Atendimento'!$O27*B26*365/1000)</f>
        <v>5891549.2588248402</v>
      </c>
      <c r="S26" s="12">
        <f>('Dados de Entrada'!$E$78)*('Evolução Atendimento'!P27*B26*365/1000)</f>
        <v>17137.254179010331</v>
      </c>
      <c r="T26" s="12">
        <f>('Dados de Entrada'!$F$78)*('Evolução Atendimento'!Q27*B26*365/1000)</f>
        <v>2984.0989863948339</v>
      </c>
      <c r="U26" s="173">
        <f>('Evolução de Rede'!M26*'Dados de Entrada'!$D$79)*86.4*365/1000</f>
        <v>2061819.452865388</v>
      </c>
      <c r="V26" s="12">
        <f>(($R26)*('Evolução Atendimento'!$M26))+U26</f>
        <v>7364213.7858077446</v>
      </c>
      <c r="W26" s="173">
        <f>('Evolução de Rede'!O26*'Dados de Entrada'!$E$79)*86.4*365/1000</f>
        <v>21154.348800000003</v>
      </c>
      <c r="X26" s="12">
        <f>(($S26)*('Evolução Atendimento'!$M26))+W26</f>
        <v>36577.877561109301</v>
      </c>
      <c r="Y26" s="173">
        <f>('Evolução de Rede'!Q26*'Dados de Entrada'!$F$79)*86.4*365/1000</f>
        <v>3497.3424</v>
      </c>
      <c r="Z26" s="12">
        <f>(($T26)*('Evolução Atendimento'!$M26))+Y26</f>
        <v>6183.0314877553501</v>
      </c>
      <c r="AC26" s="713">
        <f>ROUND(K26/'Evolução Economias'!B27/12,2)</f>
        <v>9.74</v>
      </c>
      <c r="AD26" s="182">
        <f t="shared" si="0"/>
        <v>2843627.6619308479</v>
      </c>
      <c r="AE26" s="213">
        <f>ROUND(AD26/365/'Evolução Ligações'!B27*1000,2)</f>
        <v>173.77</v>
      </c>
      <c r="AF26" s="713">
        <f>ROUND(M26/'Evolução Economias'!D27/12,2)</f>
        <v>10.77</v>
      </c>
      <c r="AG26" s="182">
        <f t="shared" si="10"/>
        <v>8271.503452165678</v>
      </c>
      <c r="AH26" s="213">
        <f>ROUND(AG26/365/'Evolução Ligações'!D27*1000,2)</f>
        <v>118.03</v>
      </c>
      <c r="AI26" s="713">
        <f>ROUND(O26/'Evolução Economias'!F27/12,2)</f>
        <v>4.68</v>
      </c>
      <c r="AJ26" s="182">
        <f t="shared" si="11"/>
        <v>1440.3115463970089</v>
      </c>
      <c r="AK26" s="213">
        <f>ROUND(AJ26/365/'Evolução Ligações'!F27*1000,2)</f>
        <v>51.25</v>
      </c>
    </row>
    <row r="27" spans="1:37" ht="15" customHeight="1">
      <c r="A27" s="2">
        <f t="shared" si="12"/>
        <v>24</v>
      </c>
      <c r="B27" s="291">
        <f t="shared" si="15"/>
        <v>169.1168156239149</v>
      </c>
      <c r="C27" s="693"/>
      <c r="D27" s="12">
        <f>'Evolução Atendimento'!I28*B27*365/1000</f>
        <v>8629029.9297398832</v>
      </c>
      <c r="E27" s="12">
        <f t="shared" si="1"/>
        <v>8629029.9297398832</v>
      </c>
      <c r="F27" s="12">
        <f>'Evolução Atendimento'!J28*B27*365/1000</f>
        <v>25123.148545010677</v>
      </c>
      <c r="G27" s="12">
        <f t="shared" si="2"/>
        <v>25123.148545010677</v>
      </c>
      <c r="H27" s="12">
        <f>'Evolução Atendimento'!K28*B27*365/1000</f>
        <v>4382.6622768937541</v>
      </c>
      <c r="I27" s="12">
        <f t="shared" si="3"/>
        <v>4382.6622768937541</v>
      </c>
      <c r="J27" s="704">
        <f t="shared" si="14"/>
        <v>1</v>
      </c>
      <c r="K27" s="12">
        <f t="shared" si="4"/>
        <v>8629029.9297398832</v>
      </c>
      <c r="L27" s="139">
        <f t="shared" si="5"/>
        <v>11505373.239653178</v>
      </c>
      <c r="M27" s="12">
        <f t="shared" si="6"/>
        <v>25123.148545010677</v>
      </c>
      <c r="N27" s="139">
        <f t="shared" si="7"/>
        <v>33497.53139334757</v>
      </c>
      <c r="O27" s="12">
        <f t="shared" si="8"/>
        <v>4382.6622768937541</v>
      </c>
      <c r="P27" s="139">
        <f t="shared" si="9"/>
        <v>5843.5497025250052</v>
      </c>
      <c r="Q27" s="134">
        <v>0.25</v>
      </c>
      <c r="R27" s="12">
        <f>('Dados de Entrada'!$D$78)*('Evolução Atendimento'!$O28*B27*365/1000)</f>
        <v>5959359.6251898073</v>
      </c>
      <c r="S27" s="12">
        <f>('Dados de Entrada'!$E$78)*('Evolução Atendimento'!P28*B27*365/1000)</f>
        <v>17350.487634859302</v>
      </c>
      <c r="T27" s="12">
        <f>('Dados de Entrada'!$F$78)*('Evolução Atendimento'!Q28*B27*365/1000)</f>
        <v>3026.743543181844</v>
      </c>
      <c r="U27" s="173">
        <f>('Evolução de Rede'!M27*'Dados de Entrada'!$D$79)*86.4*365/1000</f>
        <v>2081115.2135483518</v>
      </c>
      <c r="V27" s="12">
        <f>(($R27)*('Evolução Atendimento'!$M27))+U27</f>
        <v>7444538.8762191785</v>
      </c>
      <c r="W27" s="173">
        <f>('Evolução de Rede'!O27*'Dados de Entrada'!$E$79)*86.4*365/1000</f>
        <v>21179.577600000001</v>
      </c>
      <c r="X27" s="12">
        <f>(($S27)*('Evolução Atendimento'!$M27))+W27</f>
        <v>36795.016471373376</v>
      </c>
      <c r="Y27" s="173">
        <f>('Evolução de Rede'!Q27*'Dados de Entrada'!$F$79)*86.4*365/1000</f>
        <v>3503.6496000000002</v>
      </c>
      <c r="Z27" s="12">
        <f>(($T27)*('Evolução Atendimento'!$M27))+Y27</f>
        <v>6227.7187888636599</v>
      </c>
      <c r="AC27" s="713">
        <f>ROUND(K27/'Evolução Economias'!B28/12,2)</f>
        <v>9.74</v>
      </c>
      <c r="AD27" s="182">
        <f t="shared" si="0"/>
        <v>2876343.3099132944</v>
      </c>
      <c r="AE27" s="213">
        <f>ROUND(AD27/365/'Evolução Ligações'!B28*1000,2)</f>
        <v>173.77</v>
      </c>
      <c r="AF27" s="713">
        <f>ROUND(M27/'Evolução Economias'!D28/12,2)</f>
        <v>10.79</v>
      </c>
      <c r="AG27" s="182">
        <f t="shared" si="10"/>
        <v>8374.3828483368925</v>
      </c>
      <c r="AH27" s="213">
        <f>ROUND(AG27/365/'Evolução Ligações'!D28*1000,2)</f>
        <v>118.27</v>
      </c>
      <c r="AI27" s="713">
        <f>ROUND(O27/'Evolução Economias'!F28/12,2)</f>
        <v>4.62</v>
      </c>
      <c r="AJ27" s="182">
        <f t="shared" si="11"/>
        <v>1460.8874256312511</v>
      </c>
      <c r="AK27" s="213">
        <f>ROUND(AJ27/365/'Evolução Ligações'!F28*1000,2)</f>
        <v>50.66</v>
      </c>
    </row>
    <row r="28" spans="1:37" ht="15" customHeight="1">
      <c r="A28" s="2">
        <f t="shared" si="12"/>
        <v>25</v>
      </c>
      <c r="B28" s="291">
        <f t="shared" si="15"/>
        <v>169.1168156239149</v>
      </c>
      <c r="C28" s="693"/>
      <c r="D28" s="12">
        <f>'Evolução Atendimento'!I29*B28*365/1000</f>
        <v>8728349.6988035738</v>
      </c>
      <c r="E28" s="12">
        <f t="shared" si="1"/>
        <v>8728349.6988035738</v>
      </c>
      <c r="F28" s="12">
        <f>'Evolução Atendimento'!J29*B28*365/1000</f>
        <v>25431.786733524321</v>
      </c>
      <c r="G28" s="12">
        <f t="shared" si="2"/>
        <v>25431.786733524321</v>
      </c>
      <c r="H28" s="12">
        <f>'Evolução Atendimento'!K29*B28*365/1000</f>
        <v>4444.3899145964833</v>
      </c>
      <c r="I28" s="12">
        <f t="shared" si="3"/>
        <v>4444.3899145964833</v>
      </c>
      <c r="J28" s="704">
        <f t="shared" si="14"/>
        <v>1</v>
      </c>
      <c r="K28" s="12">
        <f t="shared" si="4"/>
        <v>8728349.6988035738</v>
      </c>
      <c r="L28" s="139">
        <f t="shared" si="5"/>
        <v>11637799.598404765</v>
      </c>
      <c r="M28" s="12">
        <f t="shared" si="6"/>
        <v>25431.786733524321</v>
      </c>
      <c r="N28" s="139">
        <f t="shared" si="7"/>
        <v>33909.048978032428</v>
      </c>
      <c r="O28" s="12">
        <f t="shared" si="8"/>
        <v>4444.3899145964833</v>
      </c>
      <c r="P28" s="139">
        <f t="shared" si="9"/>
        <v>5925.8532194619775</v>
      </c>
      <c r="Q28" s="134">
        <v>0.25</v>
      </c>
      <c r="R28" s="12">
        <f>('Dados de Entrada'!$D$78)*('Evolução Atendimento'!$O29*B28*365/1000)</f>
        <v>6027989.3262914717</v>
      </c>
      <c r="S28" s="12">
        <f>('Dados de Entrada'!$E$78)*('Evolução Atendimento'!P29*B28*365/1000)</f>
        <v>17563.748505541589</v>
      </c>
      <c r="T28" s="12">
        <f>('Dados de Entrada'!$F$78)*('Evolução Atendimento'!Q29*B28*365/1000)</f>
        <v>3069.392942716006</v>
      </c>
      <c r="U28" s="173">
        <f>('Evolução de Rede'!M28*'Dados de Entrada'!$D$79)*86.4*365/1000</f>
        <v>2100621.6266405177</v>
      </c>
      <c r="V28" s="12">
        <f>(($R28)*('Evolução Atendimento'!$M28))+U28</f>
        <v>7525812.0203028433</v>
      </c>
      <c r="W28" s="173">
        <f>('Evolução de Rede'!O28*'Dados de Entrada'!$E$79)*86.4*365/1000</f>
        <v>21211.113600000001</v>
      </c>
      <c r="X28" s="12">
        <f>(($S28)*('Evolução Atendimento'!$M28))+W28</f>
        <v>37018.487254987427</v>
      </c>
      <c r="Y28" s="173">
        <f>('Evolução de Rede'!Q28*'Dados de Entrada'!$F$79)*86.4*365/1000</f>
        <v>3509.9568000000008</v>
      </c>
      <c r="Z28" s="12">
        <f>(($T28)*('Evolução Atendimento'!$M28))+Y28</f>
        <v>6272.4104484444069</v>
      </c>
      <c r="AC28" s="713">
        <f>ROUND(K28/'Evolução Economias'!B29/12,2)</f>
        <v>9.74</v>
      </c>
      <c r="AD28" s="182">
        <f t="shared" si="0"/>
        <v>2909449.8996011913</v>
      </c>
      <c r="AE28" s="213">
        <f>ROUND(AD28/365/'Evolução Ligações'!B29*1000,2)</f>
        <v>173.77</v>
      </c>
      <c r="AF28" s="713">
        <f>ROUND(M28/'Evolução Economias'!D29/12,2)</f>
        <v>10.76</v>
      </c>
      <c r="AG28" s="182">
        <f t="shared" si="10"/>
        <v>8477.262244508107</v>
      </c>
      <c r="AH28" s="213">
        <f>ROUND(AG28/365/'Evolução Ligações'!D29*1000,2)</f>
        <v>117.9</v>
      </c>
      <c r="AI28" s="713">
        <f>ROUND(O28/'Evolução Economias'!F29/12,2)</f>
        <v>4.63</v>
      </c>
      <c r="AJ28" s="182">
        <f t="shared" si="11"/>
        <v>1481.4633048654941</v>
      </c>
      <c r="AK28" s="213">
        <f>ROUND(AJ28/365/'Evolução Ligações'!F29*1000,2)</f>
        <v>50.74</v>
      </c>
    </row>
    <row r="29" spans="1:37" ht="15" customHeight="1">
      <c r="A29" s="2">
        <f t="shared" si="12"/>
        <v>26</v>
      </c>
      <c r="B29" s="291">
        <f t="shared" si="15"/>
        <v>169.1168156239149</v>
      </c>
      <c r="C29" s="693"/>
      <c r="D29" s="12">
        <f>'Evolução Atendimento'!I30*B29*365/1000</f>
        <v>8828718.8377082124</v>
      </c>
      <c r="E29" s="12">
        <f t="shared" si="1"/>
        <v>8828718.8377082124</v>
      </c>
      <c r="F29" s="12">
        <f>'Evolução Atendimento'!J30*B29*365/1000</f>
        <v>25740.424922037968</v>
      </c>
      <c r="G29" s="12">
        <f t="shared" si="2"/>
        <v>25740.424922037968</v>
      </c>
      <c r="H29" s="12">
        <f>'Evolução Atendimento'!K30*B29*365/1000</f>
        <v>4506.1175522992125</v>
      </c>
      <c r="I29" s="12">
        <f t="shared" si="3"/>
        <v>4506.1175522992125</v>
      </c>
      <c r="J29" s="704">
        <f t="shared" si="14"/>
        <v>1</v>
      </c>
      <c r="K29" s="12">
        <f t="shared" si="4"/>
        <v>8828718.8377082124</v>
      </c>
      <c r="L29" s="139">
        <f t="shared" si="5"/>
        <v>11771625.116944283</v>
      </c>
      <c r="M29" s="12">
        <f t="shared" si="6"/>
        <v>25740.424922037968</v>
      </c>
      <c r="N29" s="139">
        <f t="shared" si="7"/>
        <v>34320.566562717293</v>
      </c>
      <c r="O29" s="12">
        <f t="shared" si="8"/>
        <v>4506.1175522992125</v>
      </c>
      <c r="P29" s="139">
        <f t="shared" si="9"/>
        <v>6008.1567363989498</v>
      </c>
      <c r="Q29" s="134">
        <v>0.25</v>
      </c>
      <c r="R29" s="12">
        <f>('Dados de Entrada'!$D$78)*('Evolução Atendimento'!$O30*B29*365/1000)</f>
        <v>6097308.0242006667</v>
      </c>
      <c r="S29" s="12">
        <f>('Dados de Entrada'!$E$78)*('Evolução Atendimento'!P30*B29*365/1000)</f>
        <v>17776.90538214238</v>
      </c>
      <c r="T29" s="12">
        <f>('Dados de Entrada'!$F$78)*('Evolução Atendimento'!Q30*B29*365/1000)</f>
        <v>3112.0242035884735</v>
      </c>
      <c r="U29" s="173">
        <f>('Evolução de Rede'!M29*'Dados de Entrada'!$D$79)*86.4*365/1000</f>
        <v>2120338.6921418868</v>
      </c>
      <c r="V29" s="12">
        <f>(($R29)*('Evolução Atendimento'!$M29))+U29</f>
        <v>7607915.9139224868</v>
      </c>
      <c r="W29" s="173">
        <f>('Evolução de Rede'!O29*'Dados de Entrada'!$E$79)*86.4*365/1000</f>
        <v>21236.342400000001</v>
      </c>
      <c r="X29" s="12">
        <f>(($S29)*('Evolução Atendimento'!$M29))+W29</f>
        <v>37235.557243928146</v>
      </c>
      <c r="Y29" s="173">
        <f>('Evolução de Rede'!Q29*'Dados de Entrada'!$F$79)*86.4*365/1000</f>
        <v>3516.2640000000001</v>
      </c>
      <c r="Z29" s="12">
        <f>(($T29)*('Evolução Atendimento'!$M29))+Y29</f>
        <v>6317.085783229626</v>
      </c>
      <c r="AC29" s="713">
        <f>ROUND(K29/'Evolução Economias'!B30/12,2)</f>
        <v>9.74</v>
      </c>
      <c r="AD29" s="182">
        <f t="shared" si="0"/>
        <v>2942906.2792360708</v>
      </c>
      <c r="AE29" s="213">
        <f>ROUND(AD29/365/'Evolução Ligações'!B30*1000,2)</f>
        <v>173.77</v>
      </c>
      <c r="AF29" s="713">
        <f>ROUND(M29/'Evolução Economias'!D30/12,2)</f>
        <v>10.78</v>
      </c>
      <c r="AG29" s="182">
        <f t="shared" si="10"/>
        <v>8580.1416406793251</v>
      </c>
      <c r="AH29" s="213">
        <f>ROUND(AG29/365/'Evolução Ligações'!D30*1000,2)</f>
        <v>118.13</v>
      </c>
      <c r="AI29" s="713">
        <f>ROUND(O29/'Evolução Economias'!F30/12,2)</f>
        <v>4.6399999999999997</v>
      </c>
      <c r="AJ29" s="182">
        <f t="shared" si="11"/>
        <v>1502.0391840997372</v>
      </c>
      <c r="AK29" s="213">
        <f>ROUND(AJ29/365/'Evolução Ligações'!F30*1000,2)</f>
        <v>50.8</v>
      </c>
    </row>
    <row r="30" spans="1:37" ht="15" customHeight="1">
      <c r="A30" s="2">
        <f t="shared" si="12"/>
        <v>27</v>
      </c>
      <c r="B30" s="291">
        <f t="shared" si="15"/>
        <v>169.1168156239149</v>
      </c>
      <c r="C30" s="693"/>
      <c r="D30" s="12">
        <f>'Evolução Atendimento'!I31*B30*365/1000</f>
        <v>8930260.8017292004</v>
      </c>
      <c r="E30" s="12">
        <f t="shared" si="1"/>
        <v>8930260.8017292004</v>
      </c>
      <c r="F30" s="12">
        <f>'Evolução Atendimento'!J31*B30*365/1000</f>
        <v>26049.063110551611</v>
      </c>
      <c r="G30" s="12">
        <f t="shared" si="2"/>
        <v>26049.063110551611</v>
      </c>
      <c r="H30" s="12">
        <f>'Evolução Atendimento'!K31*B30*365/1000</f>
        <v>4567.8451900019409</v>
      </c>
      <c r="I30" s="12">
        <f t="shared" si="3"/>
        <v>4567.8451900019409</v>
      </c>
      <c r="J30" s="704">
        <f t="shared" si="14"/>
        <v>1</v>
      </c>
      <c r="K30" s="12">
        <f t="shared" si="4"/>
        <v>8930260.8017292004</v>
      </c>
      <c r="L30" s="139">
        <f t="shared" si="5"/>
        <v>11907014.402305601</v>
      </c>
      <c r="M30" s="12">
        <f t="shared" si="6"/>
        <v>26049.063110551611</v>
      </c>
      <c r="N30" s="139">
        <f t="shared" si="7"/>
        <v>34732.084147402151</v>
      </c>
      <c r="O30" s="12">
        <f t="shared" si="8"/>
        <v>4567.8451900019409</v>
      </c>
      <c r="P30" s="139">
        <f t="shared" si="9"/>
        <v>6090.4602533359212</v>
      </c>
      <c r="Q30" s="134">
        <v>0.25</v>
      </c>
      <c r="R30" s="12">
        <f>('Dados de Entrada'!$D$78)*('Evolução Atendimento'!$O31*B30*365/1000)</f>
        <v>6167446.0567879854</v>
      </c>
      <c r="S30" s="12">
        <f>('Dados de Entrada'!$E$78)*('Evolução Atendimento'!P31*B30*365/1000)</f>
        <v>17990.089554056965</v>
      </c>
      <c r="T30" s="12">
        <f>('Dados de Entrada'!$F$78)*('Evolução Atendimento'!Q31*B30*365/1000)</f>
        <v>3154.6602535550137</v>
      </c>
      <c r="U30" s="173">
        <f>('Evolução de Rede'!M30*'Dados de Entrada'!$D$79)*86.4*365/1000</f>
        <v>2140280.4535464058</v>
      </c>
      <c r="V30" s="12">
        <f>(($R30)*('Evolução Atendimento'!$M30))+U30</f>
        <v>7690981.9046555925</v>
      </c>
      <c r="W30" s="173">
        <f>('Evolução de Rede'!O30*'Dados de Entrada'!$E$79)*86.4*365/1000</f>
        <v>21261.571200000002</v>
      </c>
      <c r="X30" s="12">
        <f>(($S30)*('Evolução Atendimento'!$M30))+W30</f>
        <v>37452.65179865127</v>
      </c>
      <c r="Y30" s="173">
        <f>('Evolução de Rede'!Q30*'Dados de Entrada'!$F$79)*86.4*365/1000</f>
        <v>3522.5712000000003</v>
      </c>
      <c r="Z30" s="12">
        <f>(($T30)*('Evolução Atendimento'!$M30))+Y30</f>
        <v>6361.7654281995128</v>
      </c>
      <c r="AC30" s="713">
        <f>ROUND(K30/'Evolução Economias'!B31/12,2)</f>
        <v>9.74</v>
      </c>
      <c r="AD30" s="182">
        <f t="shared" si="0"/>
        <v>2976753.6005764008</v>
      </c>
      <c r="AE30" s="213">
        <f>ROUND(AD30/365/'Evolução Ligações'!B31*1000,2)</f>
        <v>173.77</v>
      </c>
      <c r="AF30" s="713">
        <f>ROUND(M30/'Evolução Economias'!D31/12,2)</f>
        <v>10.8</v>
      </c>
      <c r="AG30" s="182">
        <f t="shared" si="10"/>
        <v>8683.0210368505395</v>
      </c>
      <c r="AH30" s="213">
        <f>ROUND(AG30/365/'Evolução Ligações'!D31*1000,2)</f>
        <v>118.35</v>
      </c>
      <c r="AI30" s="713">
        <f>ROUND(O30/'Evolução Economias'!F31/12,2)</f>
        <v>4.6399999999999997</v>
      </c>
      <c r="AJ30" s="182">
        <f t="shared" si="11"/>
        <v>1522.6150633339803</v>
      </c>
      <c r="AK30" s="213">
        <f>ROUND(AJ30/365/'Evolução Ligações'!F31*1000,2)</f>
        <v>50.87</v>
      </c>
    </row>
    <row r="31" spans="1:37" ht="15" customHeight="1">
      <c r="A31" s="2">
        <f t="shared" si="12"/>
        <v>28</v>
      </c>
      <c r="B31" s="291">
        <f t="shared" si="15"/>
        <v>169.1168156239149</v>
      </c>
      <c r="C31" s="693"/>
      <c r="D31" s="12">
        <f>'Evolução Atendimento'!I32*B31*365/1000</f>
        <v>9032975.5908665434</v>
      </c>
      <c r="E31" s="12">
        <f t="shared" si="1"/>
        <v>9032975.5908665434</v>
      </c>
      <c r="F31" s="12">
        <f>'Evolução Atendimento'!J32*B31*365/1000</f>
        <v>26357.701299065255</v>
      </c>
      <c r="G31" s="12">
        <f t="shared" si="2"/>
        <v>26357.701299065255</v>
      </c>
      <c r="H31" s="12">
        <f>'Evolução Atendimento'!K32*B31*365/1000</f>
        <v>4629.572827704671</v>
      </c>
      <c r="I31" s="12">
        <f t="shared" si="3"/>
        <v>4629.572827704671</v>
      </c>
      <c r="J31" s="704">
        <f t="shared" si="14"/>
        <v>1</v>
      </c>
      <c r="K31" s="12">
        <f t="shared" si="4"/>
        <v>9032975.5908665434</v>
      </c>
      <c r="L31" s="139">
        <f t="shared" si="5"/>
        <v>12043967.454488724</v>
      </c>
      <c r="M31" s="12">
        <f t="shared" si="6"/>
        <v>26357.701299065255</v>
      </c>
      <c r="N31" s="139">
        <f t="shared" si="7"/>
        <v>35143.601732087009</v>
      </c>
      <c r="O31" s="12">
        <f t="shared" si="8"/>
        <v>4629.572827704671</v>
      </c>
      <c r="P31" s="139">
        <f t="shared" si="9"/>
        <v>6172.7637702728944</v>
      </c>
      <c r="Q31" s="134">
        <v>0.25</v>
      </c>
      <c r="R31" s="12">
        <f>('Dados de Entrada'!$D$78)*('Evolução Atendimento'!$O32*B31*365/1000)</f>
        <v>6238403.4240969</v>
      </c>
      <c r="S31" s="12">
        <f>('Dados de Entrada'!$E$78)*('Evolução Atendimento'!P32*B31*365/1000)</f>
        <v>18203.30104751651</v>
      </c>
      <c r="T31" s="12">
        <f>('Dados de Entrada'!$F$78)*('Evolução Atendimento'!Q32*B31*365/1000)</f>
        <v>3197.3011207581694</v>
      </c>
      <c r="U31" s="173">
        <f>('Evolução de Rede'!M31*'Dados de Entrada'!$D$79)*86.4*365/1000</f>
        <v>2160460.9543480212</v>
      </c>
      <c r="V31" s="12">
        <f>(($R31)*('Evolução Atendimento'!$M31))+U31</f>
        <v>7775024.0360352313</v>
      </c>
      <c r="W31" s="173">
        <f>('Evolução de Rede'!O31*'Dados de Entrada'!$E$79)*86.4*365/1000</f>
        <v>21293.107200000002</v>
      </c>
      <c r="X31" s="12">
        <f>(($S31)*('Evolução Atendimento'!$M31))+W31</f>
        <v>37676.078142764862</v>
      </c>
      <c r="Y31" s="173">
        <f>('Evolução de Rede'!Q31*'Dados de Entrada'!$F$79)*86.4*365/1000</f>
        <v>3528.878400000001</v>
      </c>
      <c r="Z31" s="12">
        <f>(($T31)*('Evolução Atendimento'!$M31))+Y31</f>
        <v>6406.4494086823534</v>
      </c>
      <c r="AC31" s="713">
        <f>ROUND(K31/'Evolução Economias'!B32/12,2)</f>
        <v>9.74</v>
      </c>
      <c r="AD31" s="182">
        <f t="shared" si="0"/>
        <v>3010991.8636221811</v>
      </c>
      <c r="AE31" s="213">
        <f>ROUND(AD31/365/'Evolução Ligações'!B32*1000,2)</f>
        <v>173.77</v>
      </c>
      <c r="AF31" s="713">
        <f>ROUND(M31/'Evolução Economias'!D32/12,2)</f>
        <v>10.77</v>
      </c>
      <c r="AG31" s="182">
        <f t="shared" si="10"/>
        <v>8785.900433021754</v>
      </c>
      <c r="AH31" s="213">
        <f>ROUND(AG31/365/'Evolução Ligações'!D32*1000,2)</f>
        <v>117.99</v>
      </c>
      <c r="AI31" s="713">
        <f>ROUND(O31/'Evolução Economias'!F32/12,2)</f>
        <v>4.6500000000000004</v>
      </c>
      <c r="AJ31" s="182">
        <f t="shared" si="11"/>
        <v>1543.1909425682234</v>
      </c>
      <c r="AK31" s="213">
        <f>ROUND(AJ31/365/'Evolução Ligações'!F32*1000,2)</f>
        <v>50.94</v>
      </c>
    </row>
    <row r="32" spans="1:37" ht="15" customHeight="1">
      <c r="A32" s="2">
        <f t="shared" si="12"/>
        <v>29</v>
      </c>
      <c r="B32" s="291">
        <f t="shared" si="15"/>
        <v>169.1168156239149</v>
      </c>
      <c r="C32" s="693"/>
      <c r="D32" s="12">
        <f>'Evolução Atendimento'!I33*B32*365/1000</f>
        <v>9136863.2051202338</v>
      </c>
      <c r="E32" s="12">
        <f t="shared" si="1"/>
        <v>9136863.2051202338</v>
      </c>
      <c r="F32" s="12">
        <f>'Evolução Atendimento'!J33*B32*365/1000</f>
        <v>26666.339487578898</v>
      </c>
      <c r="G32" s="12">
        <f t="shared" si="2"/>
        <v>26666.339487578898</v>
      </c>
      <c r="H32" s="12">
        <f>'Evolução Atendimento'!K33*B32*365/1000</f>
        <v>4691.3004654073993</v>
      </c>
      <c r="I32" s="12">
        <f t="shared" si="3"/>
        <v>4691.3004654073993</v>
      </c>
      <c r="J32" s="704">
        <f t="shared" si="14"/>
        <v>1</v>
      </c>
      <c r="K32" s="12">
        <f t="shared" si="4"/>
        <v>9136863.2051202338</v>
      </c>
      <c r="L32" s="139">
        <f t="shared" si="5"/>
        <v>12182484.273493646</v>
      </c>
      <c r="M32" s="12">
        <f t="shared" si="6"/>
        <v>26666.339487578898</v>
      </c>
      <c r="N32" s="139">
        <f t="shared" si="7"/>
        <v>35555.119316771867</v>
      </c>
      <c r="O32" s="12">
        <f t="shared" si="8"/>
        <v>4691.3004654073993</v>
      </c>
      <c r="P32" s="139">
        <f t="shared" si="9"/>
        <v>6255.0672872098658</v>
      </c>
      <c r="Q32" s="134">
        <v>0.25</v>
      </c>
      <c r="R32" s="12">
        <f>('Dados de Entrada'!$D$78)*('Evolução Atendimento'!$O33*B32*365/1000)</f>
        <v>6310140.2331182901</v>
      </c>
      <c r="S32" s="12">
        <f>('Dados de Entrada'!$E$78)*('Evolução Atendimento'!P33*B32*365/1000)</f>
        <v>18416.423436904057</v>
      </c>
      <c r="T32" s="12">
        <f>('Dados de Entrada'!$F$78)*('Evolução Atendimento'!Q33*B32*365/1000)</f>
        <v>3239.9263453812691</v>
      </c>
      <c r="U32" s="173">
        <f>('Evolução de Rede'!M32*'Dados de Entrada'!$D$79)*86.4*365/1000</f>
        <v>2180866.1510527856</v>
      </c>
      <c r="V32" s="12">
        <f>(($R32)*('Evolução Atendimento'!$M32))+U32</f>
        <v>7859992.3608592469</v>
      </c>
      <c r="W32" s="173">
        <f>('Evolução de Rede'!O32*'Dados de Entrada'!$E$79)*86.4*365/1000</f>
        <v>21318.335999999999</v>
      </c>
      <c r="X32" s="12">
        <f>(($S32)*('Evolução Atendimento'!$M32))+W32</f>
        <v>37893.117093213652</v>
      </c>
      <c r="Y32" s="173">
        <f>('Evolução de Rede'!Q32*'Dados de Entrada'!$F$79)*86.4*365/1000</f>
        <v>3535.1856000000002</v>
      </c>
      <c r="Z32" s="12">
        <f>(($T32)*('Evolução Atendimento'!$M32))+Y32</f>
        <v>6451.1193108431426</v>
      </c>
      <c r="AC32" s="713">
        <f>ROUND(K32/'Evolução Economias'!B33/12,2)</f>
        <v>9.74</v>
      </c>
      <c r="AD32" s="182">
        <f t="shared" si="0"/>
        <v>3045621.0683734119</v>
      </c>
      <c r="AE32" s="213">
        <f>ROUND(AD32/365/'Evolução Ligações'!B33*1000,2)</f>
        <v>173.77</v>
      </c>
      <c r="AF32" s="713">
        <f>ROUND(M32/'Evolução Economias'!D33/12,2)</f>
        <v>10.79</v>
      </c>
      <c r="AG32" s="182">
        <f t="shared" si="10"/>
        <v>8888.7798291929685</v>
      </c>
      <c r="AH32" s="213">
        <f>ROUND(AG32/365/'Evolução Ligações'!D33*1000,2)</f>
        <v>118.22</v>
      </c>
      <c r="AI32" s="713">
        <f>ROUND(O32/'Evolução Economias'!F33/12,2)</f>
        <v>4.6500000000000004</v>
      </c>
      <c r="AJ32" s="182">
        <f t="shared" si="11"/>
        <v>1563.7668218024664</v>
      </c>
      <c r="AK32" s="213">
        <f>ROUND(AJ32/365/'Evolução Ligações'!F33*1000,2)</f>
        <v>51</v>
      </c>
    </row>
    <row r="33" spans="1:37" ht="15" customHeight="1">
      <c r="A33" s="2">
        <f t="shared" si="12"/>
        <v>30</v>
      </c>
      <c r="B33" s="291">
        <f t="shared" si="15"/>
        <v>169.1168156239149</v>
      </c>
      <c r="C33" s="693"/>
      <c r="D33" s="12">
        <f>'Evolução Atendimento'!I34*B33*365/1000</f>
        <v>9241985.3721279819</v>
      </c>
      <c r="E33" s="12">
        <f t="shared" si="1"/>
        <v>9241985.3721279819</v>
      </c>
      <c r="F33" s="12">
        <f>'Evolução Atendimento'!J34*B33*365/1000</f>
        <v>26974.977676092542</v>
      </c>
      <c r="G33" s="12">
        <f t="shared" si="2"/>
        <v>26974.977676092542</v>
      </c>
      <c r="H33" s="12">
        <f>'Evolução Atendimento'!K34*B33*365/1000</f>
        <v>4753.0281031101276</v>
      </c>
      <c r="I33" s="12">
        <f t="shared" si="3"/>
        <v>4753.0281031101276</v>
      </c>
      <c r="J33" s="704">
        <f t="shared" si="14"/>
        <v>1</v>
      </c>
      <c r="K33" s="12">
        <f t="shared" si="4"/>
        <v>9241985.3721279819</v>
      </c>
      <c r="L33" s="139">
        <f t="shared" si="5"/>
        <v>12322647.16283731</v>
      </c>
      <c r="M33" s="12">
        <f t="shared" si="6"/>
        <v>26974.977676092542</v>
      </c>
      <c r="N33" s="139">
        <f t="shared" si="7"/>
        <v>35966.636901456724</v>
      </c>
      <c r="O33" s="12">
        <f t="shared" si="8"/>
        <v>4753.0281031101276</v>
      </c>
      <c r="P33" s="139">
        <f t="shared" si="9"/>
        <v>6337.3708041468371</v>
      </c>
      <c r="Q33" s="134">
        <v>0.25</v>
      </c>
      <c r="R33" s="12">
        <f>('Dados de Entrada'!$D$78)*('Evolução Atendimento'!$O34*B33*365/1000)</f>
        <v>6382780.0763008306</v>
      </c>
      <c r="S33" s="12">
        <f>('Dados de Entrada'!$E$78)*('Evolução Atendimento'!P34*B33*365/1000)</f>
        <v>18629.692986624967</v>
      </c>
      <c r="T33" s="12">
        <f>('Dados de Entrada'!$F$78)*('Evolução Atendimento'!Q34*B33*365/1000)</f>
        <v>3282.5774827691589</v>
      </c>
      <c r="U33" s="173">
        <f>('Evolução de Rede'!M33*'Dados de Entrada'!$D$79)*86.4*365/1000</f>
        <v>2201524.130648593</v>
      </c>
      <c r="V33" s="12">
        <f>(($R33)*('Evolução Atendimento'!$M33))+U33</f>
        <v>7946026.1993193403</v>
      </c>
      <c r="W33" s="173">
        <f>('Evolução de Rede'!O33*'Dados de Entrada'!$E$79)*86.4*365/1000</f>
        <v>21343.564800000004</v>
      </c>
      <c r="X33" s="12">
        <f>(($S33)*('Evolução Atendimento'!$M33))+W33</f>
        <v>38110.288487962476</v>
      </c>
      <c r="Y33" s="173">
        <f>('Evolução de Rede'!Q33*'Dados de Entrada'!$F$79)*86.4*365/1000</f>
        <v>3535.1856000000002</v>
      </c>
      <c r="Z33" s="12">
        <f>(($T33)*('Evolução Atendimento'!$M33))+Y33</f>
        <v>6489.5053344922435</v>
      </c>
      <c r="AC33" s="713">
        <f>ROUND(K33/'Evolução Economias'!B34/12,2)</f>
        <v>9.74</v>
      </c>
      <c r="AD33" s="182">
        <f t="shared" si="0"/>
        <v>3080661.7907093279</v>
      </c>
      <c r="AE33" s="213">
        <f>ROUND(AD33/365/'Evolução Ligações'!B34*1000,2)</f>
        <v>173.77</v>
      </c>
      <c r="AF33" s="713">
        <f>ROUND(M33/'Evolução Economias'!D34/12,2)</f>
        <v>10.76</v>
      </c>
      <c r="AG33" s="182">
        <f t="shared" si="10"/>
        <v>8991.6592253641829</v>
      </c>
      <c r="AH33" s="213">
        <f>ROUND(AG33/365/'Evolução Ligações'!D34*1000,2)</f>
        <v>117.87</v>
      </c>
      <c r="AI33" s="713">
        <f>ROUND(O33/'Evolução Economias'!F34/12,2)</f>
        <v>4.66</v>
      </c>
      <c r="AJ33" s="182">
        <f t="shared" si="11"/>
        <v>1584.3427010367095</v>
      </c>
      <c r="AK33" s="213">
        <f>ROUND(AJ33/365/'Evolução Ligações'!F34*1000,2)</f>
        <v>51.07</v>
      </c>
    </row>
    <row r="34" spans="1:37" s="18" customFormat="1" ht="15" customHeight="1">
      <c r="A34" s="2" t="s">
        <v>4</v>
      </c>
      <c r="B34" s="291"/>
      <c r="C34" s="693"/>
      <c r="D34" s="305">
        <f>SUM(D4:D33)</f>
        <v>234738713.73855171</v>
      </c>
      <c r="E34" s="305">
        <f t="shared" ref="E34:I34" si="16">SUM(E4:E33)</f>
        <v>234738713.73855171</v>
      </c>
      <c r="F34" s="305">
        <f t="shared" si="16"/>
        <v>686227.22412536526</v>
      </c>
      <c r="G34" s="305">
        <f t="shared" si="16"/>
        <v>686227.22412536526</v>
      </c>
      <c r="H34" s="305">
        <f t="shared" si="16"/>
        <v>115471.24350794395</v>
      </c>
      <c r="I34" s="305">
        <f t="shared" si="16"/>
        <v>115471.24350794395</v>
      </c>
      <c r="J34" s="566"/>
      <c r="K34" s="11">
        <f>SUM(K4:K33)</f>
        <v>234738713.73855171</v>
      </c>
      <c r="L34" s="11">
        <f>SUM(L4:L33)</f>
        <v>329351214.27391213</v>
      </c>
      <c r="M34" s="11">
        <f t="shared" ref="M34:P34" si="17">SUM(M4:M33)</f>
        <v>686227.22412536526</v>
      </c>
      <c r="N34" s="11">
        <f t="shared" si="17"/>
        <v>963256.80233931588</v>
      </c>
      <c r="O34" s="11">
        <f t="shared" si="17"/>
        <v>115471.24350794395</v>
      </c>
      <c r="P34" s="11">
        <f t="shared" si="17"/>
        <v>161527.8373883949</v>
      </c>
      <c r="Q34" s="158"/>
      <c r="R34" s="11">
        <f>SUM(R4:R33)</f>
        <v>139314933.37604609</v>
      </c>
      <c r="S34" s="11">
        <f t="shared" ref="S34:Z34" si="18">SUM(S4:S33)</f>
        <v>406645.42645914259</v>
      </c>
      <c r="T34" s="11">
        <f t="shared" si="18"/>
        <v>69212.112301737143</v>
      </c>
      <c r="U34" s="11">
        <f t="shared" si="18"/>
        <v>49160902.642138943</v>
      </c>
      <c r="V34" s="11">
        <f t="shared" si="18"/>
        <v>168022110.38829342</v>
      </c>
      <c r="W34" s="11">
        <f t="shared" si="18"/>
        <v>523264.23360000004</v>
      </c>
      <c r="X34" s="11">
        <f t="shared" si="18"/>
        <v>870056.95525762916</v>
      </c>
      <c r="Y34" s="11">
        <f t="shared" si="18"/>
        <v>86358.182400000005</v>
      </c>
      <c r="Z34" s="11">
        <f t="shared" si="18"/>
        <v>145583.11270402299</v>
      </c>
    </row>
    <row r="35" spans="1:37" ht="15" customHeight="1">
      <c r="B35" s="292"/>
      <c r="C35" s="292"/>
      <c r="D35" s="293">
        <f>'Evolução Atendimento'!I35*B35*365/1000</f>
        <v>0</v>
      </c>
      <c r="L35" s="165"/>
      <c r="M35" s="165"/>
      <c r="N35" s="165"/>
      <c r="O35" s="165"/>
      <c r="P35" s="165"/>
      <c r="R35" s="26"/>
      <c r="S35" s="26"/>
      <c r="T35" s="26"/>
    </row>
    <row r="36" spans="1:37" ht="15" customHeight="1">
      <c r="B36" s="292"/>
      <c r="C36" s="292"/>
      <c r="D36" s="293">
        <f>'Evolução Atendimento'!I36*B36*365/1000</f>
        <v>0</v>
      </c>
      <c r="K36" s="26"/>
      <c r="L36" s="165"/>
      <c r="M36" s="165"/>
      <c r="N36" s="165"/>
      <c r="O36" s="165"/>
      <c r="P36" s="165"/>
      <c r="Q36" s="215"/>
    </row>
    <row r="37" spans="1:37" ht="15" customHeight="1">
      <c r="D37" s="20"/>
      <c r="L37" s="20"/>
      <c r="M37" s="20"/>
      <c r="N37" s="20"/>
      <c r="O37" s="20"/>
      <c r="P37" s="20"/>
    </row>
    <row r="38" spans="1:37" ht="15" customHeight="1">
      <c r="D38" s="20"/>
      <c r="L38" s="20"/>
      <c r="M38" s="20"/>
      <c r="N38" s="20"/>
      <c r="O38" s="20"/>
      <c r="P38" s="20"/>
    </row>
    <row r="39" spans="1:37" ht="15" customHeight="1">
      <c r="D39" s="20"/>
      <c r="L39" s="20"/>
      <c r="M39" s="20"/>
      <c r="N39" s="20"/>
      <c r="O39" s="20"/>
      <c r="P39" s="20"/>
      <c r="Q39" s="214"/>
    </row>
    <row r="40" spans="1:37" ht="15" customHeight="1">
      <c r="D40" s="20"/>
      <c r="L40" s="20"/>
      <c r="M40" s="20"/>
      <c r="N40" s="20"/>
      <c r="O40" s="20"/>
      <c r="P40" s="20"/>
      <c r="Q40" s="215"/>
    </row>
    <row r="41" spans="1:37" ht="15" customHeight="1">
      <c r="D41" s="20"/>
      <c r="K41" s="214"/>
      <c r="L41" s="20"/>
      <c r="M41" s="20"/>
      <c r="N41" s="20"/>
      <c r="O41" s="20"/>
      <c r="P41" s="20"/>
    </row>
    <row r="42" spans="1:37" ht="15" customHeight="1">
      <c r="D42" s="20"/>
      <c r="L42" s="20"/>
      <c r="M42" s="20"/>
      <c r="N42" s="20"/>
      <c r="O42" s="20"/>
      <c r="P42" s="20"/>
    </row>
  </sheetData>
  <mergeCells count="2">
    <mergeCell ref="A1:Z1"/>
    <mergeCell ref="AC1:AK1"/>
  </mergeCells>
  <phoneticPr fontId="12" type="noConversion"/>
  <conditionalFormatting sqref="Q4:Q33">
    <cfRule type="cellIs" dxfId="63" priority="1" operator="lessThan">
      <formula>0.2501</formula>
    </cfRule>
    <cfRule type="cellIs" dxfId="62" priority="2" operator="greaterThan">
      <formula>25.01</formula>
    </cfRule>
    <cfRule type="cellIs" dxfId="61" priority="3" operator="lessThan">
      <formula>0.25</formula>
    </cfRule>
    <cfRule type="cellIs" dxfId="60" priority="4" operator="greaterThan">
      <formula>0.25</formula>
    </cfRule>
  </conditionalFormatting>
  <printOptions horizontalCentered="1"/>
  <pageMargins left="1.1811023622047245" right="0.39370078740157483" top="1.1811023622047245" bottom="0.59055118110236227" header="0.39370078740157483" footer="0.39370078740157483"/>
  <pageSetup paperSize="9" scale="69" fitToHeight="3" orientation="portrait" r:id="rId1"/>
  <headerFooter alignWithMargins="0"/>
  <ignoredErrors>
    <ignoredError sqref="F4:F33 H4:H6 W4:W5 Y4:Y5 W7:W33 H7:H3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S33"/>
  <sheetViews>
    <sheetView showGridLines="0" showZeros="0" topLeftCell="B1" zoomScale="55" zoomScaleNormal="55" zoomScalePageLayoutView="90" workbookViewId="0">
      <pane ySplit="3" topLeftCell="A4" activePane="bottomLeft" state="frozen"/>
      <selection activeCell="L3" sqref="L3:L108"/>
      <selection pane="bottomLeft" activeCell="F40" sqref="F40"/>
    </sheetView>
  </sheetViews>
  <sheetFormatPr defaultColWidth="11.44140625" defaultRowHeight="15" customHeight="1"/>
  <cols>
    <col min="1" max="1" width="10.77734375" style="16" customWidth="1"/>
    <col min="2" max="2" width="18.77734375" style="16" customWidth="1"/>
    <col min="3" max="3" width="26" style="16" customWidth="1"/>
    <col min="4" max="4" width="20.44140625" style="16" bestFit="1" customWidth="1"/>
    <col min="5" max="10" width="20.44140625" style="16" customWidth="1"/>
    <col min="11" max="11" width="22.109375" style="16" customWidth="1"/>
    <col min="12" max="12" width="22" style="16" customWidth="1"/>
    <col min="13" max="13" width="23.44140625" style="16" customWidth="1"/>
    <col min="14" max="14" width="21.109375" style="16" customWidth="1"/>
    <col min="15" max="15" width="22.109375" style="16" customWidth="1"/>
    <col min="16" max="16" width="19.77734375" style="16" customWidth="1"/>
    <col min="17" max="17" width="21.77734375" style="16" customWidth="1"/>
    <col min="18" max="18" width="19.44140625" style="16" customWidth="1"/>
    <col min="19" max="19" width="23.33203125" style="16" customWidth="1"/>
    <col min="20" max="16384" width="11.44140625" style="16"/>
  </cols>
  <sheetData>
    <row r="1" spans="1:19" s="13" customFormat="1" ht="40.049999999999997" customHeight="1">
      <c r="A1" s="954" t="s">
        <v>3</v>
      </c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  <c r="P1" s="955"/>
      <c r="Q1" s="955"/>
      <c r="R1" s="955"/>
      <c r="S1" s="956"/>
    </row>
    <row r="2" spans="1:19" s="15" customFormat="1" ht="1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19" s="18" customFormat="1" ht="63" customHeight="1">
      <c r="A3" s="2" t="s">
        <v>1</v>
      </c>
      <c r="B3" s="1" t="s">
        <v>879</v>
      </c>
      <c r="C3" s="1" t="s">
        <v>880</v>
      </c>
      <c r="D3" s="1" t="s">
        <v>881</v>
      </c>
      <c r="E3" s="1" t="s">
        <v>882</v>
      </c>
      <c r="F3" s="1" t="s">
        <v>883</v>
      </c>
      <c r="G3" s="1" t="s">
        <v>884</v>
      </c>
      <c r="H3" s="1" t="s">
        <v>885</v>
      </c>
      <c r="I3" s="1" t="s">
        <v>886</v>
      </c>
      <c r="J3" s="1" t="s">
        <v>887</v>
      </c>
      <c r="K3" s="726" t="s">
        <v>959</v>
      </c>
      <c r="L3" s="1" t="s">
        <v>960</v>
      </c>
      <c r="M3" s="1" t="s">
        <v>961</v>
      </c>
      <c r="N3" s="1" t="s">
        <v>962</v>
      </c>
      <c r="O3" s="1" t="s">
        <v>963</v>
      </c>
      <c r="P3" s="1" t="s">
        <v>964</v>
      </c>
      <c r="Q3" s="1" t="s">
        <v>965</v>
      </c>
      <c r="R3" s="1" t="s">
        <v>966</v>
      </c>
      <c r="S3" s="1" t="s">
        <v>967</v>
      </c>
    </row>
    <row r="4" spans="1:19" ht="15" customHeight="1">
      <c r="A4" s="2">
        <v>1</v>
      </c>
      <c r="B4" s="21">
        <f xml:space="preserve"> ( ( 'Evolução Volume'!$L4 ) / ( 365 ) / ( 86.4 ) )</f>
        <v>375.36841760261473</v>
      </c>
      <c r="C4" s="21">
        <f xml:space="preserve"> ( ( $B4 ) * ( 'Dados de Entrada'!$D$76 ) )</f>
        <v>450.44210112313766</v>
      </c>
      <c r="D4" s="21">
        <f xml:space="preserve"> ( ( $C4 ) * ( 'Dados de Entrada'!$D$77 ) )</f>
        <v>675.66315168470646</v>
      </c>
      <c r="E4" s="21">
        <f xml:space="preserve"> ( ( 'Evolução Volume'!$N4 ) / ( 365 ) / ( 86.4 ) )</f>
        <v>1.1104205623644463</v>
      </c>
      <c r="F4" s="21">
        <f xml:space="preserve"> ( ( $E4 ) * ( 'Dados de Entrada'!$E$76 ) )</f>
        <v>1.3325046748373355</v>
      </c>
      <c r="G4" s="21">
        <f xml:space="preserve"> ( ( $F4 ) * ( 'Dados de Entrada'!$E$77 ) )</f>
        <v>1.9987570122560032</v>
      </c>
      <c r="H4" s="21">
        <f xml:space="preserve"> ( ( 'Evolução Volume'!$P4 ) / ( 365 ) / ( 86.4 ) )</f>
        <v>0.1708339326714533</v>
      </c>
      <c r="I4" s="21">
        <f xml:space="preserve"> ( ( $H4 ) * ( 'Dados de Entrada'!$F$76 ) )</f>
        <v>0.20500071920574395</v>
      </c>
      <c r="J4" s="21">
        <f xml:space="preserve"> ( ( $I4 ) * ( 'Dados de Entrada'!$F$77 ) )</f>
        <v>0.30750107880861594</v>
      </c>
      <c r="K4" s="21">
        <f>('Evolução Volume'!R4/365/86.4)+('Evolução Volume'!U4/365/86.4)</f>
        <v>0</v>
      </c>
      <c r="L4" s="21">
        <f>(('Evolução Volume'!R4/365/86.4)*'Dados de Entrada'!$D$76)+('Evolução Volume'!U4/365/86.4)</f>
        <v>0</v>
      </c>
      <c r="M4" s="21">
        <f>(('Evolução Volume'!R4*'Dados de Entrada'!$D$76*'Dados de Entrada'!$D$77)/365/86.4)+('Evolução Volume'!U4/365/86.4)</f>
        <v>0</v>
      </c>
      <c r="N4" s="21">
        <f>('Evolução Volume'!U4/365/86.4)+('Evolução Volume'!X4/365/86.4)</f>
        <v>0</v>
      </c>
      <c r="O4" s="21">
        <f>(('Evolução Volume'!U4/365/86.4)*'Dados de Entrada'!$D$76)+('Evolução Volume'!X4/365/86.4)</f>
        <v>0</v>
      </c>
      <c r="P4" s="21">
        <f>(('Evolução Volume'!U4*'Dados de Entrada'!$D$76*'Dados de Entrada'!$D$77)/365/86.4)+('Evolução Volume'!X4/365/86.4)</f>
        <v>0</v>
      </c>
      <c r="Q4" s="21">
        <f>('Evolução Volume'!X4/365/86.4)+('Evolução Volume'!AA4/365/86.4)</f>
        <v>0</v>
      </c>
      <c r="R4" s="21">
        <f>(('Evolução Volume'!X4/365/86.4)*'Dados de Entrada'!$D$76)+('Evolução Volume'!AA4/365/86.4)</f>
        <v>0</v>
      </c>
      <c r="S4" s="21">
        <f>(('Evolução Volume'!X4*'Dados de Entrada'!$D$76*'Dados de Entrada'!$D$77)/365/86.4)+('Evolução Volume'!AA4/365/86.4)</f>
        <v>0</v>
      </c>
    </row>
    <row r="5" spans="1:19" ht="15" customHeight="1">
      <c r="A5" s="2">
        <f xml:space="preserve"> ( ( A4 ) + ( 1 ) )</f>
        <v>2</v>
      </c>
      <c r="B5" s="21">
        <f xml:space="preserve"> ( ( 'Evolução Volume'!$L5 ) / ( 365 ) / ( 86.4 ) )</f>
        <v>369.39800114321605</v>
      </c>
      <c r="C5" s="21">
        <f xml:space="preserve"> ( ( $B5 ) * ( 'Dados de Entrada'!$D$76 ) )</f>
        <v>443.27760137185925</v>
      </c>
      <c r="D5" s="21">
        <f xml:space="preserve"> ( ( $C5 ) * ( 'Dados de Entrada'!$D$77 ) )</f>
        <v>664.9164020577889</v>
      </c>
      <c r="E5" s="21">
        <f xml:space="preserve"> ( ( 'Evolução Volume'!$N5 ) / ( 365 ) / ( 86.4 ) )</f>
        <v>1.0915240818505008</v>
      </c>
      <c r="F5" s="21">
        <f xml:space="preserve"> ( ( $E5 ) * ( 'Dados de Entrada'!$E$76 ) )</f>
        <v>1.3098288982206008</v>
      </c>
      <c r="G5" s="21">
        <f xml:space="preserve"> ( ( $F5 ) * ( 'Dados de Entrada'!$E$77 ) )</f>
        <v>1.9647433473309013</v>
      </c>
      <c r="H5" s="21">
        <f xml:space="preserve"> ( ( 'Evolução Volume'!$P5 ) / ( 365 ) / ( 86.4 ) )</f>
        <v>0.16925531648947645</v>
      </c>
      <c r="I5" s="21">
        <f xml:space="preserve"> ( ( $H5 ) * ( 'Dados de Entrada'!$F$76 ) )</f>
        <v>0.20310637978737173</v>
      </c>
      <c r="J5" s="21">
        <f xml:space="preserve"> ( ( $I5 ) * ( 'Dados de Entrada'!$F$77 ) )</f>
        <v>0.30465956968105756</v>
      </c>
      <c r="K5" s="21">
        <f>('Evolução Volume'!R5/365/86.4)+('Evolução Volume'!U5/365/86.4)</f>
        <v>0</v>
      </c>
      <c r="L5" s="21">
        <f>(('Evolução Volume'!R5/365/86.4)*'Dados de Entrada'!$D$76)+('Evolução Volume'!U5/365/86.4)</f>
        <v>0</v>
      </c>
      <c r="M5" s="21">
        <f>(('Evolução Volume'!R5*'Dados de Entrada'!$D$76*'Dados de Entrada'!$D$77)/365/86.4)+('Evolução Volume'!U5/365/86.4)</f>
        <v>0</v>
      </c>
      <c r="N5" s="21">
        <f>('Evolução Volume'!U5/365/86.4)+('Evolução Volume'!X5/365/86.4)</f>
        <v>0</v>
      </c>
      <c r="O5" s="21">
        <f>(('Evolução Volume'!U5/365/86.4)*'Dados de Entrada'!$D$76)+('Evolução Volume'!X5/365/86.4)</f>
        <v>0</v>
      </c>
      <c r="P5" s="21">
        <f>(('Evolução Volume'!U5*'Dados de Entrada'!$D$76*'Dados de Entrada'!$D$77)/365/86.4)+('Evolução Volume'!X5/365/86.4)</f>
        <v>0</v>
      </c>
      <c r="Q5" s="21">
        <f>('Evolução Volume'!X5/365/86.4)+('Evolução Volume'!AA5/365/86.4)</f>
        <v>0</v>
      </c>
      <c r="R5" s="21">
        <f>(('Evolução Volume'!X5/365/86.4)*'Dados de Entrada'!$D$76)+('Evolução Volume'!AA5/365/86.4)</f>
        <v>0</v>
      </c>
      <c r="S5" s="21">
        <f>(('Evolução Volume'!X5*'Dados de Entrada'!$D$76*'Dados de Entrada'!$D$77)/365/86.4)+('Evolução Volume'!AA5/365/86.4)</f>
        <v>0</v>
      </c>
    </row>
    <row r="6" spans="1:19" ht="15" customHeight="1">
      <c r="A6" s="2">
        <f t="shared" ref="A6:A33" si="0" xml:space="preserve"> ( ( A5 ) + ( 1 ) )</f>
        <v>3</v>
      </c>
      <c r="B6" s="21">
        <f xml:space="preserve"> ( ( 'Evolução Volume'!$L6 ) / ( 365 ) / ( 86.4 ) )</f>
        <v>364.95962437229701</v>
      </c>
      <c r="C6" s="21">
        <f xml:space="preserve"> ( ( $B6 ) * ( 'Dados de Entrada'!$D$76 ) )</f>
        <v>437.95154924675643</v>
      </c>
      <c r="D6" s="21">
        <f xml:space="preserve"> ( ( $C6 ) * ( 'Dados de Entrada'!$D$77 ) )</f>
        <v>656.92732387013461</v>
      </c>
      <c r="E6" s="21">
        <f xml:space="preserve"> ( ( 'Evolução Volume'!$N6 ) / ( 365 ) / ( 86.4 ) )</f>
        <v>1.0772225227056684</v>
      </c>
      <c r="F6" s="21">
        <f xml:space="preserve"> ( ( $E6 ) * ( 'Dados de Entrada'!$E$76 ) )</f>
        <v>1.2926670272468022</v>
      </c>
      <c r="G6" s="21">
        <f xml:space="preserve"> ( ( $F6 ) * ( 'Dados de Entrada'!$E$77 ) )</f>
        <v>1.9390005408702033</v>
      </c>
      <c r="H6" s="21">
        <f xml:space="preserve"> ( ( 'Evolução Volume'!$P6 ) / ( 365 ) / ( 86.4 ) )</f>
        <v>0.16831601917276073</v>
      </c>
      <c r="I6" s="21">
        <f xml:space="preserve"> ( ( $H6 ) * ( 'Dados de Entrada'!$F$76 ) )</f>
        <v>0.20197922300731289</v>
      </c>
      <c r="J6" s="21">
        <f xml:space="preserve"> ( ( $I6 ) * ( 'Dados de Entrada'!$F$77 ) )</f>
        <v>0.30296883451096934</v>
      </c>
      <c r="K6" s="21">
        <f>('Evolução Volume'!R6/365/86.4)+('Evolução Volume'!U6/365/86.4)</f>
        <v>0</v>
      </c>
      <c r="L6" s="21">
        <f>(('Evolução Volume'!R6/365/86.4)*'Dados de Entrada'!$D$76)+('Evolução Volume'!U6/365/86.4)</f>
        <v>0</v>
      </c>
      <c r="M6" s="21">
        <f>(('Evolução Volume'!R6*'Dados de Entrada'!$D$76*'Dados de Entrada'!$D$77)/365/86.4)+('Evolução Volume'!U6/365/86.4)</f>
        <v>0</v>
      </c>
      <c r="N6" s="21">
        <f>('Evolução Volume'!S6/365/86.4)+('Evolução Volume'!W6/365/86.4)</f>
        <v>0</v>
      </c>
      <c r="O6" s="21">
        <f>(('Evolução Volume'!S6/365/86.4)*'Dados de Entrada'!$E$76)+('Evolução Volume'!W6/365/86.4)</f>
        <v>0</v>
      </c>
      <c r="P6" s="21">
        <f>(('Evolução Volume'!S6*'Dados de Entrada'!$E$76*'Dados de Entrada'!$E$77)/365/86.4)+('Evolução Volume'!W6/365/86.4)</f>
        <v>0</v>
      </c>
      <c r="Q6" s="21">
        <f>('Evolução Volume'!T6/365/86.4)+('Evolução Volume'!Y6/365/86.4)</f>
        <v>0</v>
      </c>
      <c r="R6" s="21">
        <f>(('Evolução Volume'!T6/365/86.4)*'Dados de Entrada'!$F$76)+('Evolução Volume'!Y6/365/86.4)</f>
        <v>0</v>
      </c>
      <c r="S6" s="21">
        <f>(('Evolução Volume'!T6*'Dados de Entrada'!$F$76*'Dados de Entrada'!$F$77)/365/86.4)+('Evolução Volume'!Y6/365/86.4)</f>
        <v>0</v>
      </c>
    </row>
    <row r="7" spans="1:19" ht="15" customHeight="1">
      <c r="A7" s="2">
        <f t="shared" si="0"/>
        <v>4</v>
      </c>
      <c r="B7" s="21">
        <f xml:space="preserve"> ( ( 'Evolução Volume'!$L7 ) / ( 365 ) / ( 86.4 ) )</f>
        <v>354.93652661809296</v>
      </c>
      <c r="C7" s="21">
        <f xml:space="preserve"> ( ( $B7 ) * ( 'Dados de Entrada'!$D$76 ) )</f>
        <v>425.92383194171151</v>
      </c>
      <c r="D7" s="21">
        <f xml:space="preserve"> ( ( $C7 ) * ( 'Dados de Entrada'!$D$77 ) )</f>
        <v>638.88574791256724</v>
      </c>
      <c r="E7" s="21">
        <f xml:space="preserve"> ( ( 'Evolução Volume'!$N7 ) / ( 365 ) / ( 86.4 ) )</f>
        <v>1.0465149481677902</v>
      </c>
      <c r="F7" s="21">
        <f xml:space="preserve"> ( ( $E7 ) * ( 'Dados de Entrada'!$E$76 ) )</f>
        <v>1.2558179378013483</v>
      </c>
      <c r="G7" s="21">
        <f xml:space="preserve"> ( ( $F7 ) * ( 'Dados de Entrada'!$E$77 ) )</f>
        <v>1.8837269067020226</v>
      </c>
      <c r="H7" s="21">
        <f xml:space="preserve"> ( ( 'Evolução Volume'!$P7 ) / ( 365 ) / ( 86.4 ) )</f>
        <v>0.16472920480418921</v>
      </c>
      <c r="I7" s="21">
        <f xml:space="preserve"> ( ( $H7 ) * ( 'Dados de Entrada'!$F$76 ) )</f>
        <v>0.19767504576502704</v>
      </c>
      <c r="J7" s="21">
        <f xml:space="preserve"> ( ( $I7 ) * ( 'Dados de Entrada'!$F$77 ) )</f>
        <v>0.29651256864754055</v>
      </c>
      <c r="K7" s="21">
        <f>('Evolução Volume'!R7/365/86.4)+('Evolução Volume'!U7/365/86.4)</f>
        <v>48.709263893456679</v>
      </c>
      <c r="L7" s="21">
        <f>(('Evolução Volume'!R7/365/86.4)*'Dados de Entrada'!$D$76)+('Evolução Volume'!U7/365/86.4)</f>
        <v>55.245834914388098</v>
      </c>
      <c r="M7" s="21">
        <f>(('Evolução Volume'!R7*'Dados de Entrada'!$D$76*'Dados de Entrada'!$D$77)/365/86.4)+('Evolução Volume'!U7/365/86.4)</f>
        <v>74.855547977182354</v>
      </c>
      <c r="N7" s="21">
        <f>('Evolução Volume'!S7/365/86.4)+('Evolução Volume'!W7/365/86.4)</f>
        <v>0.28516398017899047</v>
      </c>
      <c r="O7" s="21">
        <f>(('Evolução Volume'!S7/365/86.4)*'Dados de Entrada'!$E$76)+('Evolução Volume'!W7/365/86.4)</f>
        <v>0.3044367762147886</v>
      </c>
      <c r="P7" s="21">
        <f>(('Evolução Volume'!S7*'Dados de Entrada'!$E$76*'Dados de Entrada'!$E$77)/365/86.4)+('Evolução Volume'!W7/365/86.4)</f>
        <v>0.36225516432218285</v>
      </c>
      <c r="Q7" s="21">
        <f>('Evolução Volume'!T7/365/86.4)+('Evolução Volume'!Y7/365/86.4)</f>
        <v>4.6168404287433684E-2</v>
      </c>
      <c r="R7" s="21">
        <f>(('Evolução Volume'!T7/365/86.4)*'Dados de Entrada'!$F$76)+('Evolução Volume'!Y7/365/86.4)</f>
        <v>4.9202085144920416E-2</v>
      </c>
      <c r="S7" s="21">
        <f>(('Evolução Volume'!T7*'Dados de Entrada'!$F$76*'Dados de Entrada'!$F$77)/365/86.4)+('Evolução Volume'!Y7/365/86.4)</f>
        <v>5.8303127717380623E-2</v>
      </c>
    </row>
    <row r="8" spans="1:19" ht="15" customHeight="1">
      <c r="A8" s="2">
        <f t="shared" si="0"/>
        <v>5</v>
      </c>
      <c r="B8" s="21">
        <f xml:space="preserve"> ( ( 'Evolução Volume'!$L8 ) / ( 365 ) / ( 86.4 ) )</f>
        <v>351.57216443949352</v>
      </c>
      <c r="C8" s="21">
        <f xml:space="preserve"> ( ( $B8 ) * ( 'Dados de Entrada'!$D$76 ) )</f>
        <v>421.88659732739222</v>
      </c>
      <c r="D8" s="21">
        <f xml:space="preserve"> ( ( $C8 ) * ( 'Dados de Entrada'!$D$77 ) )</f>
        <v>632.82989599108828</v>
      </c>
      <c r="E8" s="21">
        <f xml:space="preserve"> ( ( 'Evolução Volume'!$N8 ) / ( 365 ) / ( 86.4 ) )</f>
        <v>1.0355121625717609</v>
      </c>
      <c r="F8" s="21">
        <f xml:space="preserve"> ( ( $E8 ) * ( 'Dados de Entrada'!$E$76 ) )</f>
        <v>1.2426145950861132</v>
      </c>
      <c r="G8" s="21">
        <f xml:space="preserve"> ( ( $F8 ) * ( 'Dados de Entrada'!$E$77 ) )</f>
        <v>1.8639218926291696</v>
      </c>
      <c r="H8" s="21">
        <f xml:space="preserve"> ( ( 'Evolução Volume'!$P8 ) / ( 365 ) / ( 86.4 ) )</f>
        <v>0.1641665623589377</v>
      </c>
      <c r="I8" s="21">
        <f xml:space="preserve"> ( ( $H8 ) * ( 'Dados de Entrada'!$F$76 ) )</f>
        <v>0.19699987483072523</v>
      </c>
      <c r="J8" s="21">
        <f xml:space="preserve"> ( ( $I8 ) * ( 'Dados de Entrada'!$F$77 ) )</f>
        <v>0.29549981224608785</v>
      </c>
      <c r="K8" s="21">
        <f>('Evolução Volume'!R8/365/86.4)+('Evolução Volume'!U8/365/86.4)</f>
        <v>91.443543419690585</v>
      </c>
      <c r="L8" s="21">
        <f>(('Evolução Volume'!R8/365/86.4)*'Dados de Entrada'!$D$76)+('Evolução Volume'!U8/365/86.4)</f>
        <v>104.82441668892044</v>
      </c>
      <c r="M8" s="21">
        <f>(('Evolução Volume'!R8*'Dados de Entrada'!$D$76*'Dados de Entrada'!$D$77)/365/86.4)+('Evolução Volume'!U8/365/86.4)</f>
        <v>144.96703649660998</v>
      </c>
      <c r="N8" s="21">
        <f>('Evolução Volume'!S8/365/86.4)+('Evolução Volume'!W8/365/86.4)</f>
        <v>0.48025850487636568</v>
      </c>
      <c r="O8" s="21">
        <f>(('Evolução Volume'!S8/365/86.4)*'Dados de Entrada'!$E$76)+('Evolução Volume'!W8/365/86.4)</f>
        <v>0.51967020585163881</v>
      </c>
      <c r="P8" s="21">
        <f>(('Evolução Volume'!S8*'Dados de Entrada'!$E$76*'Dados de Entrada'!$E$77)/365/86.4)+('Evolução Volume'!W8/365/86.4)</f>
        <v>0.63790530877745821</v>
      </c>
      <c r="Q8" s="21">
        <f>('Evolução Volume'!T8/365/86.4)+('Evolução Volume'!Y8/365/86.4)</f>
        <v>7.7740982480399456E-2</v>
      </c>
      <c r="R8" s="21">
        <f>(('Evolução Volume'!T8/365/86.4)*'Dados de Entrada'!$F$76)+('Evolução Volume'!Y8/365/86.4)</f>
        <v>8.398917897647934E-2</v>
      </c>
      <c r="S8" s="21">
        <f>(('Evolução Volume'!T8*'Dados de Entrada'!$F$76*'Dados de Entrada'!$F$77)/365/86.4)+('Evolução Volume'!Y8/365/86.4)</f>
        <v>0.102733768464719</v>
      </c>
    </row>
    <row r="9" spans="1:19" ht="15" customHeight="1">
      <c r="A9" s="2">
        <f t="shared" si="0"/>
        <v>6</v>
      </c>
      <c r="B9" s="21">
        <f xml:space="preserve"> ( ( 'Evolução Volume'!$L9 ) / ( 365 ) / ( 86.4 ) )</f>
        <v>339.78447099224422</v>
      </c>
      <c r="C9" s="21">
        <f xml:space="preserve"> ( ( $B9 ) * ( 'Dados de Entrada'!$D$76 ) )</f>
        <v>407.74136519069305</v>
      </c>
      <c r="D9" s="21">
        <f xml:space="preserve"> ( ( $C9 ) * ( 'Dados de Entrada'!$D$77 ) )</f>
        <v>611.61204778603951</v>
      </c>
      <c r="E9" s="21">
        <f xml:space="preserve"> ( ( 'Evolução Volume'!$N9 ) / ( 365 ) / ( 86.4 ) )</f>
        <v>0.99976465076815779</v>
      </c>
      <c r="F9" s="21">
        <f xml:space="preserve"> ( ( $E9 ) * ( 'Dados de Entrada'!$E$76 ) )</f>
        <v>1.1997175809217893</v>
      </c>
      <c r="G9" s="21">
        <f xml:space="preserve"> ( ( $F9 ) * ( 'Dados de Entrada'!$E$77 ) )</f>
        <v>1.7995763713826838</v>
      </c>
      <c r="H9" s="21">
        <f xml:space="preserve"> ( ( 'Evolução Volume'!$P9 ) / ( 365 ) / ( 86.4 ) )</f>
        <v>0.15960098340576012</v>
      </c>
      <c r="I9" s="21">
        <f xml:space="preserve"> ( ( $H9 ) * ( 'Dados de Entrada'!$F$76 ) )</f>
        <v>0.19152118008691213</v>
      </c>
      <c r="J9" s="21">
        <f xml:space="preserve"> ( ( $I9 ) * ( 'Dados de Entrada'!$F$77 ) )</f>
        <v>0.28728177013036821</v>
      </c>
      <c r="K9" s="21">
        <f>('Evolução Volume'!R9/365/86.4)+('Evolução Volume'!U9/365/86.4)</f>
        <v>134.76236394002171</v>
      </c>
      <c r="L9" s="21">
        <f>(('Evolução Volume'!R9/365/86.4)*'Dados de Entrada'!$D$76)+('Evolução Volume'!U9/365/86.4)</f>
        <v>155.09936475346933</v>
      </c>
      <c r="M9" s="21">
        <f>(('Evolução Volume'!R9*'Dados de Entrada'!$D$76*'Dados de Entrada'!$D$77)/365/86.4)+('Evolução Volume'!U9/365/86.4)</f>
        <v>216.11036719381221</v>
      </c>
      <c r="N9" s="21">
        <f>('Evolução Volume'!S9/365/86.4)+('Evolução Volume'!W9/365/86.4)</f>
        <v>0.67679281561858529</v>
      </c>
      <c r="O9" s="21">
        <f>(('Evolução Volume'!S9/365/86.4)*'Dados de Entrada'!$E$76)+('Evolução Volume'!W9/365/86.4)</f>
        <v>0.73663137874230233</v>
      </c>
      <c r="P9" s="21">
        <f>(('Evolução Volume'!S9*'Dados de Entrada'!$E$76*'Dados de Entrada'!$E$77)/365/86.4)+('Evolução Volume'!W9/365/86.4)</f>
        <v>0.91614706811345337</v>
      </c>
      <c r="Q9" s="21">
        <f>('Evolução Volume'!T9/365/86.4)+('Evolução Volume'!Y9/365/86.4)</f>
        <v>0.10976270851742474</v>
      </c>
      <c r="R9" s="21">
        <f>(('Evolução Volume'!T9/365/86.4)*'Dados de Entrada'!$F$76)+('Evolução Volume'!Y9/365/86.4)</f>
        <v>0.11931525022090969</v>
      </c>
      <c r="S9" s="21">
        <f>(('Evolução Volume'!T9*'Dados de Entrada'!$F$76*'Dados de Entrada'!$F$77)/365/86.4)+('Evolução Volume'!Y9/365/86.4)</f>
        <v>0.14797287533136452</v>
      </c>
    </row>
    <row r="10" spans="1:19" ht="15" customHeight="1">
      <c r="A10" s="2">
        <f t="shared" si="0"/>
        <v>7</v>
      </c>
      <c r="B10" s="21">
        <f xml:space="preserve"> ( ( 'Evolução Volume'!$L10 ) / ( 365 ) / ( 86.4 ) )</f>
        <v>329.03398965717707</v>
      </c>
      <c r="C10" s="21">
        <f xml:space="preserve"> ( ( $B10 ) * ( 'Dados de Entrada'!$D$76 ) )</f>
        <v>394.8407875886125</v>
      </c>
      <c r="D10" s="21">
        <f xml:space="preserve"> ( ( $C10 ) * ( 'Dados de Entrada'!$D$77 ) )</f>
        <v>592.26118138291872</v>
      </c>
      <c r="E10" s="21">
        <f xml:space="preserve"> ( ( 'Evolução Volume'!$N10 ) / ( 365 ) / ( 86.4 ) )</f>
        <v>0.96717133118251974</v>
      </c>
      <c r="F10" s="21">
        <f xml:space="preserve"> ( ( $E10 ) * ( 'Dados de Entrada'!$E$76 ) )</f>
        <v>1.1606055974190237</v>
      </c>
      <c r="G10" s="21">
        <f xml:space="preserve"> ( ( $F10 ) * ( 'Dados de Entrada'!$E$77 ) )</f>
        <v>1.7409083961285354</v>
      </c>
      <c r="H10" s="21">
        <f xml:space="preserve"> ( ( 'Evolução Volume'!$P10 ) / ( 365 ) / ( 86.4 ) )</f>
        <v>0.15543824965433353</v>
      </c>
      <c r="I10" s="21">
        <f xml:space="preserve"> ( ( $H10 ) * ( 'Dados de Entrada'!$F$76 ) )</f>
        <v>0.18652589958520024</v>
      </c>
      <c r="J10" s="21">
        <f xml:space="preserve"> ( ( $I10 ) * ( 'Dados de Entrada'!$F$77 ) )</f>
        <v>0.27978884937780035</v>
      </c>
      <c r="K10" s="21">
        <f>('Evolução Volume'!R10/365/86.4)+('Evolução Volume'!U10/365/86.4)</f>
        <v>161.32903371709733</v>
      </c>
      <c r="L10" s="21">
        <f>(('Evolução Volume'!R10/365/86.4)*'Dados de Entrada'!$D$76)+('Evolução Volume'!U10/365/86.4)</f>
        <v>185.36528432833862</v>
      </c>
      <c r="M10" s="21">
        <f>(('Evolução Volume'!R10*'Dados de Entrada'!$D$76*'Dados de Entrada'!$D$77)/365/86.4)+('Evolução Volume'!U10/365/86.4)</f>
        <v>257.47403616206253</v>
      </c>
      <c r="N10" s="21">
        <f>('Evolução Volume'!S10/365/86.4)+('Evolução Volume'!W10/365/86.4)</f>
        <v>0.82526399750573365</v>
      </c>
      <c r="O10" s="21">
        <f>(('Evolução Volume'!S10/365/86.4)*'Dados de Entrada'!$E$76)+('Evolução Volume'!W10/365/86.4)</f>
        <v>0.89591679700688032</v>
      </c>
      <c r="P10" s="21">
        <f>(('Evolução Volume'!S10*'Dados de Entrada'!$E$76*'Dados de Entrada'!$E$77)/365/86.4)+('Evolução Volume'!W10/365/86.4)</f>
        <v>1.1078751955103203</v>
      </c>
      <c r="Q10" s="21">
        <f>('Evolução Volume'!T10/365/86.4)+('Evolução Volume'!Y10/365/86.4)</f>
        <v>0.13427457102770715</v>
      </c>
      <c r="R10" s="21">
        <f>(('Evolução Volume'!T10/365/86.4)*'Dados de Entrada'!$F$76)+('Evolução Volume'!Y10/365/86.4)</f>
        <v>0.14562948523324859</v>
      </c>
      <c r="S10" s="21">
        <f>(('Evolução Volume'!T10*'Dados de Entrada'!$F$76*'Dados de Entrada'!$F$77)/365/86.4)+('Evolução Volume'!Y10/365/86.4)</f>
        <v>0.17969422784987288</v>
      </c>
    </row>
    <row r="11" spans="1:19" ht="15" customHeight="1">
      <c r="A11" s="2">
        <f t="shared" si="0"/>
        <v>8</v>
      </c>
      <c r="B11" s="21">
        <f xml:space="preserve"> ( ( 'Evolução Volume'!$L11 ) / ( 365 ) / ( 86.4 ) )</f>
        <v>314.75877748444725</v>
      </c>
      <c r="C11" s="21">
        <f xml:space="preserve"> ( ( $B11 ) * ( 'Dados de Entrada'!$D$76 ) )</f>
        <v>377.71053298133671</v>
      </c>
      <c r="D11" s="21">
        <f xml:space="preserve"> ( ( $C11 ) * ( 'Dados de Entrada'!$D$77 ) )</f>
        <v>566.5657994720051</v>
      </c>
      <c r="E11" s="21">
        <f xml:space="preserve"> ( ( 'Evolução Volume'!$N11 ) / ( 365 ) / ( 86.4 ) )</f>
        <v>0.92431387140128385</v>
      </c>
      <c r="F11" s="21">
        <f xml:space="preserve"> ( ( $E11 ) * ( 'Dados de Entrada'!$E$76 ) )</f>
        <v>1.1091766456815406</v>
      </c>
      <c r="G11" s="21">
        <f xml:space="preserve"> ( ( $F11 ) * ( 'Dados de Entrada'!$E$77 ) )</f>
        <v>1.6637649685223108</v>
      </c>
      <c r="H11" s="21">
        <f xml:space="preserve"> ( ( 'Evolução Volume'!$P11 ) / ( 365 ) / ( 86.4 ) )</f>
        <v>0.14952136155020768</v>
      </c>
      <c r="I11" s="21">
        <f xml:space="preserve"> ( ( $H11 ) * ( 'Dados de Entrada'!$F$76 ) )</f>
        <v>0.17942563386024921</v>
      </c>
      <c r="J11" s="21">
        <f xml:space="preserve"> ( ( $I11 ) * ( 'Dados de Entrada'!$F$77 ) )</f>
        <v>0.2691384507903738</v>
      </c>
      <c r="K11" s="21">
        <f>('Evolução Volume'!R11/365/86.4)+('Evolução Volume'!U11/365/86.4)</f>
        <v>188.35093275971101</v>
      </c>
      <c r="L11" s="21">
        <f>(('Evolução Volume'!R11/365/86.4)*'Dados de Entrada'!$D$76)+('Evolução Volume'!U11/365/86.4)</f>
        <v>216.17493307225939</v>
      </c>
      <c r="M11" s="21">
        <f>(('Evolução Volume'!R11*'Dados de Entrada'!$D$76*'Dados de Entrada'!$D$77)/365/86.4)+('Evolução Volume'!U11/365/86.4)</f>
        <v>299.6469340099045</v>
      </c>
      <c r="N11" s="21">
        <f>('Evolução Volume'!S11/365/86.4)+('Evolução Volume'!W11/365/86.4)</f>
        <v>0.97493681114632125</v>
      </c>
      <c r="O11" s="21">
        <f>(('Evolução Volume'!S11/365/86.4)*'Dados de Entrada'!$E$76)+('Evolução Volume'!W11/365/86.4)</f>
        <v>1.0566441733755854</v>
      </c>
      <c r="P11" s="21">
        <f>(('Evolução Volume'!S11*'Dados de Entrada'!$E$76*'Dados de Entrada'!$E$77)/365/86.4)+('Evolução Volume'!W11/365/86.4)</f>
        <v>1.3017662600633784</v>
      </c>
      <c r="Q11" s="21">
        <f>('Evolução Volume'!T11/365/86.4)+('Evolução Volume'!Y11/365/86.4)</f>
        <v>0.15908683709719906</v>
      </c>
      <c r="R11" s="21">
        <f>(('Evolução Volume'!T11/365/86.4)*'Dados de Entrada'!$F$76)+('Evolução Volume'!Y11/365/86.4)</f>
        <v>0.17230420451663889</v>
      </c>
      <c r="S11" s="21">
        <f>(('Evolução Volume'!T11*'Dados de Entrada'!$F$76*'Dados de Entrada'!$F$77)/365/86.4)+('Evolução Volume'!Y11/365/86.4)</f>
        <v>0.2119563067749583</v>
      </c>
    </row>
    <row r="12" spans="1:19" ht="15" customHeight="1">
      <c r="A12" s="2">
        <f t="shared" si="0"/>
        <v>9</v>
      </c>
      <c r="B12" s="21">
        <f xml:space="preserve"> ( ( 'Evolução Volume'!$L12 ) / ( 365 ) / ( 86.4 ) )</f>
        <v>310.14800893341027</v>
      </c>
      <c r="C12" s="21">
        <f xml:space="preserve"> ( ( $B12 ) * ( 'Dados de Entrada'!$D$76 ) )</f>
        <v>372.17761072009233</v>
      </c>
      <c r="D12" s="21">
        <f xml:space="preserve"> ( ( $C12 ) * ( 'Dados de Entrada'!$D$77 ) )</f>
        <v>558.26641608013847</v>
      </c>
      <c r="E12" s="21">
        <f xml:space="preserve"> ( ( 'Evolução Volume'!$N12 ) / ( 365 ) / ( 86.4 ) )</f>
        <v>0.909912796775318</v>
      </c>
      <c r="F12" s="21">
        <f xml:space="preserve"> ( ( $E12 ) * ( 'Dados de Entrada'!$E$76 ) )</f>
        <v>1.0918953561303815</v>
      </c>
      <c r="G12" s="21">
        <f xml:space="preserve"> ( ( $F12 ) * ( 'Dados de Entrada'!$E$77 ) )</f>
        <v>1.6378430341955723</v>
      </c>
      <c r="H12" s="21">
        <f xml:space="preserve"> ( ( 'Evolução Volume'!$P12 ) / ( 365 ) / ( 86.4 ) )</f>
        <v>0.14812533900993549</v>
      </c>
      <c r="I12" s="21">
        <f xml:space="preserve"> ( ( $H12 ) * ( 'Dados de Entrada'!$F$76 ) )</f>
        <v>0.17775040681192258</v>
      </c>
      <c r="J12" s="21">
        <f xml:space="preserve"> ( ( $I12 ) * ( 'Dados de Entrada'!$F$77 ) )</f>
        <v>0.26662561021788389</v>
      </c>
      <c r="K12" s="21">
        <f>('Evolução Volume'!R12/365/86.4)+('Evolução Volume'!U12/365/86.4)</f>
        <v>215.82801608645804</v>
      </c>
      <c r="L12" s="21">
        <f>(('Evolução Volume'!R12/365/86.4)*'Dados de Entrada'!$D$76)+('Evolução Volume'!U12/365/86.4)</f>
        <v>247.52826600383423</v>
      </c>
      <c r="M12" s="21">
        <f>(('Evolução Volume'!R12*'Dados de Entrada'!$D$76*'Dados de Entrada'!$D$77)/365/86.4)+('Evolução Volume'!U12/365/86.4)</f>
        <v>342.62901575596288</v>
      </c>
      <c r="N12" s="21">
        <f>('Evolução Volume'!S12/365/86.4)+('Evolução Volume'!W12/365/86.4)</f>
        <v>1.1258112563996716</v>
      </c>
      <c r="O12" s="21">
        <f>(('Evolução Volume'!S12/365/86.4)*'Dados de Entrada'!$E$76)+('Evolução Volume'!W12/365/86.4)</f>
        <v>1.2188135076796058</v>
      </c>
      <c r="P12" s="21">
        <f>(('Evolução Volume'!S12*'Dados de Entrada'!$E$76*'Dados de Entrada'!$E$77)/365/86.4)+('Evolução Volume'!W12/365/86.4)</f>
        <v>1.4978202615194092</v>
      </c>
      <c r="Q12" s="21">
        <f>('Evolução Volume'!T12/365/86.4)+('Evolução Volume'!Y12/365/86.4)</f>
        <v>0.18419950685576053</v>
      </c>
      <c r="R12" s="21">
        <f>(('Evolução Volume'!T12/365/86.4)*'Dados de Entrada'!$F$76)+('Evolução Volume'!Y12/365/86.4)</f>
        <v>0.19933940822691265</v>
      </c>
      <c r="S12" s="21">
        <f>(('Evolução Volume'!T12*'Dados de Entrada'!$F$76*'Dados de Entrada'!$F$77)/365/86.4)+('Evolução Volume'!Y12/365/86.4)</f>
        <v>0.24475911234036893</v>
      </c>
    </row>
    <row r="13" spans="1:19" ht="15" customHeight="1">
      <c r="A13" s="2">
        <f t="shared" si="0"/>
        <v>10</v>
      </c>
      <c r="B13" s="21">
        <f xml:space="preserve"> ( ( 'Evolução Volume'!$L13 ) / ( 365 ) / ( 86.4 ) )</f>
        <v>309.85697791019351</v>
      </c>
      <c r="C13" s="21">
        <f xml:space="preserve"> ( ( $B13 ) * ( 'Dados de Entrada'!$D$76 ) )</f>
        <v>371.82837349223217</v>
      </c>
      <c r="D13" s="21">
        <f xml:space="preserve"> ( ( $C13 ) * ( 'Dados de Entrada'!$D$77 ) )</f>
        <v>557.74256023834823</v>
      </c>
      <c r="E13" s="21">
        <f xml:space="preserve"> ( ( 'Evolução Volume'!$N13 ) / ( 365 ) / ( 86.4 ) )</f>
        <v>0.90821993575806159</v>
      </c>
      <c r="F13" s="21">
        <f xml:space="preserve"> ( ( $E13 ) * ( 'Dados de Entrada'!$E$76 ) )</f>
        <v>1.0898639229096738</v>
      </c>
      <c r="G13" s="21">
        <f xml:space="preserve"> ( ( $F13 ) * ( 'Dados de Entrada'!$E$77 ) )</f>
        <v>1.6347958843645107</v>
      </c>
      <c r="H13" s="21">
        <f xml:space="preserve"> ( ( 'Evolução Volume'!$P13 ) / ( 365 ) / ( 86.4 ) )</f>
        <v>0.14876016189140662</v>
      </c>
      <c r="I13" s="21">
        <f xml:space="preserve"> ( ( $H13 ) * ( 'Dados de Entrada'!$F$76 ) )</f>
        <v>0.17851219426968792</v>
      </c>
      <c r="J13" s="21">
        <f xml:space="preserve"> ( ( $I13 ) * ( 'Dados de Entrada'!$F$77 ) )</f>
        <v>0.2677682914045319</v>
      </c>
      <c r="K13" s="21">
        <f>('Evolução Volume'!R13/365/86.4)+('Evolução Volume'!U13/365/86.4)</f>
        <v>218.38526089680244</v>
      </c>
      <c r="L13" s="21">
        <f>(('Evolução Volume'!R13/365/86.4)*'Dados de Entrada'!$D$76)+('Evolução Volume'!U13/365/86.4)</f>
        <v>250.48376037996115</v>
      </c>
      <c r="M13" s="21">
        <f>(('Evolução Volume'!R13*'Dados de Entrada'!$D$76*'Dados de Entrada'!$D$77)/365/86.4)+('Evolução Volume'!U13/365/86.4)</f>
        <v>346.77925882943725</v>
      </c>
      <c r="N13" s="21">
        <f>('Evolução Volume'!S13/365/86.4)+('Evolução Volume'!W13/365/86.4)</f>
        <v>1.1318185998188799</v>
      </c>
      <c r="O13" s="21">
        <f>(('Evolução Volume'!S13/365/86.4)*'Dados de Entrada'!$E$76)+('Evolução Volume'!W13/365/86.4)</f>
        <v>1.225902319782656</v>
      </c>
      <c r="P13" s="21">
        <f>(('Evolução Volume'!S13*'Dados de Entrada'!$E$76*'Dados de Entrada'!$E$77)/365/86.4)+('Evolução Volume'!W13/365/86.4)</f>
        <v>1.5081534796739837</v>
      </c>
      <c r="Q13" s="21">
        <f>('Evolução Volume'!T13/365/86.4)+('Evolução Volume'!Y13/365/86.4)</f>
        <v>0.18575132238412687</v>
      </c>
      <c r="R13" s="21">
        <f>(('Evolução Volume'!T13/365/86.4)*'Dados de Entrada'!$F$76)+('Evolução Volume'!Y13/365/86.4)</f>
        <v>0.20116158686095223</v>
      </c>
      <c r="S13" s="21">
        <f>(('Evolução Volume'!T13*'Dados de Entrada'!$F$76*'Dados de Entrada'!$F$77)/365/86.4)+('Evolução Volume'!Y13/365/86.4)</f>
        <v>0.24739238029142835</v>
      </c>
    </row>
    <row r="14" spans="1:19" ht="15" customHeight="1">
      <c r="A14" s="2">
        <f t="shared" si="0"/>
        <v>11</v>
      </c>
      <c r="B14" s="21">
        <f xml:space="preserve"> ( ( 'Evolução Volume'!$L14 ) / ( 365 ) / ( 86.4 ) )</f>
        <v>313.70125367275568</v>
      </c>
      <c r="C14" s="21">
        <f xml:space="preserve"> ( ( $B14 ) * ( 'Dados de Entrada'!$D$76 ) )</f>
        <v>376.44150440730681</v>
      </c>
      <c r="D14" s="21">
        <f xml:space="preserve"> ( ( $C14 ) * ( 'Dados de Entrada'!$D$77 ) )</f>
        <v>564.66225661096018</v>
      </c>
      <c r="E14" s="21">
        <f xml:space="preserve"> ( ( 'Evolução Volume'!$N14 ) / ( 365 ) / ( 86.4 ) )</f>
        <v>0.91865924536447607</v>
      </c>
      <c r="F14" s="21">
        <f xml:space="preserve"> ( ( $E14 ) * ( 'Dados de Entrada'!$E$76 ) )</f>
        <v>1.1023910944373712</v>
      </c>
      <c r="G14" s="21">
        <f xml:space="preserve"> ( ( $F14 ) * ( 'Dados de Entrada'!$E$77 ) )</f>
        <v>1.6535866416560567</v>
      </c>
      <c r="H14" s="21">
        <f xml:space="preserve"> ( ( 'Evolução Volume'!$P14 ) / ( 365 ) / ( 86.4 ) )</f>
        <v>0.15136998929301024</v>
      </c>
      <c r="I14" s="21">
        <f xml:space="preserve"> ( ( $H14 ) * ( 'Dados de Entrada'!$F$76 ) )</f>
        <v>0.18164398715161229</v>
      </c>
      <c r="J14" s="21">
        <f xml:space="preserve"> ( ( $I14 ) * ( 'Dados de Entrada'!$F$77 ) )</f>
        <v>0.27246598072741846</v>
      </c>
      <c r="K14" s="21">
        <f>('Evolução Volume'!R14/365/86.4)+('Evolução Volume'!U14/365/86.4)</f>
        <v>220.94295102353007</v>
      </c>
      <c r="L14" s="21">
        <f>(('Evolução Volume'!R14/365/86.4)*'Dados de Entrada'!$D$76)+('Evolução Volume'!U14/365/86.4)</f>
        <v>253.43970007249354</v>
      </c>
      <c r="M14" s="21">
        <f>(('Evolução Volume'!R14*'Dados de Entrada'!$D$76*'Dados de Entrada'!$D$77)/365/86.4)+('Evolução Volume'!U14/365/86.4)</f>
        <v>350.92994721938396</v>
      </c>
      <c r="N14" s="21">
        <f>('Evolução Volume'!S14/365/86.4)+('Evolução Volume'!W14/365/86.4)</f>
        <v>1.138025942813442</v>
      </c>
      <c r="O14" s="21">
        <f>(('Evolução Volume'!S14/365/86.4)*'Dados de Entrada'!$E$76)+('Evolução Volume'!W14/365/86.4)</f>
        <v>1.2331911313761306</v>
      </c>
      <c r="P14" s="21">
        <f>(('Evolução Volume'!S14*'Dados de Entrada'!$E$76*'Dados de Entrada'!$E$77)/365/86.4)+('Evolução Volume'!W14/365/86.4)</f>
        <v>1.5186866970641959</v>
      </c>
      <c r="Q14" s="21">
        <f>('Evolução Volume'!T14/365/86.4)+('Evolução Volume'!Y14/365/86.4)</f>
        <v>0.18730313830448764</v>
      </c>
      <c r="R14" s="21">
        <f>(('Evolução Volume'!T14/365/86.4)*'Dados de Entrada'!$F$76)+('Evolução Volume'!Y14/365/86.4)</f>
        <v>0.20298376596538514</v>
      </c>
      <c r="S14" s="21">
        <f>(('Evolução Volume'!T14*'Dados de Entrada'!$F$76*'Dados de Entrada'!$F$77)/365/86.4)+('Evolução Volume'!Y14/365/86.4)</f>
        <v>0.25002564894807772</v>
      </c>
    </row>
    <row r="15" spans="1:19" ht="15" customHeight="1">
      <c r="A15" s="2">
        <f t="shared" si="0"/>
        <v>12</v>
      </c>
      <c r="B15" s="21">
        <f xml:space="preserve"> ( ( 'Evolução Volume'!$L15 ) / ( 365 ) / ( 86.4 ) )</f>
        <v>317.54552943531786</v>
      </c>
      <c r="C15" s="21">
        <f xml:space="preserve"> ( ( $B15 ) * ( 'Dados de Entrada'!$D$76 ) )</f>
        <v>381.05463532238144</v>
      </c>
      <c r="D15" s="21">
        <f xml:space="preserve"> ( ( $C15 ) * ( 'Dados de Entrada'!$D$77 ) )</f>
        <v>571.58195298357214</v>
      </c>
      <c r="E15" s="21">
        <f xml:space="preserve"> ( ( 'Evolução Volume'!$N15 ) / ( 365 ) / ( 86.4 ) )</f>
        <v>0.92909855497089044</v>
      </c>
      <c r="F15" s="21">
        <f xml:space="preserve"> ( ( $E15 ) * ( 'Dados de Entrada'!$E$76 ) )</f>
        <v>1.1149182659650685</v>
      </c>
      <c r="G15" s="21">
        <f xml:space="preserve"> ( ( $F15 ) * ( 'Dados de Entrada'!$E$77 ) )</f>
        <v>1.6723773989476027</v>
      </c>
      <c r="H15" s="21">
        <f xml:space="preserve"> ( ( 'Evolução Volume'!$P15 ) / ( 365 ) / ( 86.4 ) )</f>
        <v>0.15397981669461386</v>
      </c>
      <c r="I15" s="21">
        <f xml:space="preserve"> ( ( $H15 ) * ( 'Dados de Entrada'!$F$76 ) )</f>
        <v>0.18477578003353662</v>
      </c>
      <c r="J15" s="21">
        <f xml:space="preserve"> ( ( $I15 ) * ( 'Dados de Entrada'!$F$77 ) )</f>
        <v>0.27716367005030496</v>
      </c>
      <c r="K15" s="21">
        <f>('Evolução Volume'!R15/365/86.4)+('Evolução Volume'!U15/365/86.4)</f>
        <v>223.50064115036537</v>
      </c>
      <c r="L15" s="21">
        <f>(('Evolução Volume'!R15/365/86.4)*'Dados de Entrada'!$D$76)+('Evolução Volume'!U15/365/86.4)</f>
        <v>256.39563976515518</v>
      </c>
      <c r="M15" s="21">
        <f>(('Evolução Volume'!R15*'Dados de Entrada'!$D$76*'Dados de Entrada'!$D$77)/365/86.4)+('Evolução Volume'!U15/365/86.4)</f>
        <v>355.08063560952451</v>
      </c>
      <c r="N15" s="21">
        <f>('Evolução Volume'!S15/365/86.4)+('Evolução Volume'!W15/365/86.4)</f>
        <v>1.1440332853987805</v>
      </c>
      <c r="O15" s="21">
        <f>(('Evolução Volume'!S15/365/86.4)*'Dados de Entrada'!$E$76)+('Evolução Volume'!W15/365/86.4)</f>
        <v>1.2402799424785367</v>
      </c>
      <c r="P15" s="21">
        <f>(('Evolução Volume'!S15*'Dados de Entrada'!$E$76*'Dados de Entrada'!$E$77)/365/86.4)+('Evolução Volume'!W15/365/86.4)</f>
        <v>1.5290199137178049</v>
      </c>
      <c r="Q15" s="21">
        <f>('Evolução Volume'!T15/365/86.4)+('Evolução Volume'!Y15/365/86.4)</f>
        <v>0.1888549546026069</v>
      </c>
      <c r="R15" s="21">
        <f>(('Evolução Volume'!T15/365/86.4)*'Dados de Entrada'!$F$76)+('Evolução Volume'!Y15/365/86.4)</f>
        <v>0.20480594552312828</v>
      </c>
      <c r="S15" s="21">
        <f>(('Evolução Volume'!T15*'Dados de Entrada'!$F$76*'Dados de Entrada'!$F$77)/365/86.4)+('Evolução Volume'!Y15/365/86.4)</f>
        <v>0.25265891828469239</v>
      </c>
    </row>
    <row r="16" spans="1:19" ht="15" customHeight="1">
      <c r="A16" s="2">
        <f t="shared" si="0"/>
        <v>13</v>
      </c>
      <c r="B16" s="21">
        <f xml:space="preserve"> ( ( 'Evolução Volume'!$L16 ) / ( 365 ) / ( 86.4 ) )</f>
        <v>321.38980519787998</v>
      </c>
      <c r="C16" s="21">
        <f xml:space="preserve"> ( ( $B16 ) * ( 'Dados de Entrada'!$D$76 ) )</f>
        <v>385.66776623745596</v>
      </c>
      <c r="D16" s="21">
        <f xml:space="preserve"> ( ( $C16 ) * ( 'Dados de Entrada'!$D$77 ) )</f>
        <v>578.50164935618398</v>
      </c>
      <c r="E16" s="21">
        <f xml:space="preserve"> ( ( 'Evolução Volume'!$N16 ) / ( 365 ) / ( 86.4 ) )</f>
        <v>0.9395378645773047</v>
      </c>
      <c r="F16" s="21">
        <f xml:space="preserve"> ( ( $E16 ) * ( 'Dados de Entrada'!$E$76 ) )</f>
        <v>1.1274454374927656</v>
      </c>
      <c r="G16" s="21">
        <f xml:space="preserve"> ( ( $F16 ) * ( 'Dados de Entrada'!$E$77 ) )</f>
        <v>1.6911681562391485</v>
      </c>
      <c r="H16" s="21">
        <f xml:space="preserve"> ( ( 'Evolução Volume'!$P16 ) / ( 365 ) / ( 86.4 ) )</f>
        <v>0.15658964409621751</v>
      </c>
      <c r="I16" s="21">
        <f xml:space="preserve"> ( ( $H16 ) * ( 'Dados de Entrada'!$F$76 ) )</f>
        <v>0.18790757291546101</v>
      </c>
      <c r="J16" s="21">
        <f xml:space="preserve"> ( ( $I16 ) * ( 'Dados de Entrada'!$F$77 ) )</f>
        <v>0.28186135937319151</v>
      </c>
      <c r="K16" s="21">
        <f>('Evolução Volume'!R16/365/86.4)+('Evolução Volume'!U16/365/86.4)</f>
        <v>226.0578859610325</v>
      </c>
      <c r="L16" s="21">
        <f>(('Evolução Volume'!R16/365/86.4)*'Dados de Entrada'!$D$76)+('Evolução Volume'!U16/365/86.4)</f>
        <v>259.35113414166932</v>
      </c>
      <c r="M16" s="21">
        <f>(('Evolução Volume'!R16*'Dados de Entrada'!$D$76*'Dados de Entrada'!$D$77)/365/86.4)+('Evolução Volume'!U16/365/86.4)</f>
        <v>359.2308786835797</v>
      </c>
      <c r="N16" s="21">
        <f>('Evolução Volume'!S16/365/86.4)+('Evolução Volume'!W16/365/86.4)</f>
        <v>1.1502406275895787</v>
      </c>
      <c r="O16" s="21">
        <f>(('Evolução Volume'!S16/365/86.4)*'Dados de Entrada'!$E$76)+('Evolução Volume'!W16/365/86.4)</f>
        <v>1.2475687531074944</v>
      </c>
      <c r="P16" s="21">
        <f>(('Evolução Volume'!S16*'Dados de Entrada'!$E$76*'Dados de Entrada'!$E$77)/365/86.4)+('Evolução Volume'!W16/365/86.4)</f>
        <v>1.5395531296612415</v>
      </c>
      <c r="Q16" s="21">
        <f>('Evolução Volume'!T16/365/86.4)+('Evolução Volume'!Y16/365/86.4)</f>
        <v>0.19040677126492978</v>
      </c>
      <c r="R16" s="21">
        <f>(('Evolução Volume'!T16/365/86.4)*'Dados de Entrada'!$F$76)+('Evolução Volume'!Y16/365/86.4)</f>
        <v>0.20662812551791576</v>
      </c>
      <c r="S16" s="21">
        <f>(('Evolução Volume'!T16*'Dados de Entrada'!$F$76*'Dados de Entrada'!$F$77)/365/86.4)+('Evolução Volume'!Y16/365/86.4)</f>
        <v>0.25529218827687361</v>
      </c>
    </row>
    <row r="17" spans="1:19" ht="15" customHeight="1">
      <c r="A17" s="2">
        <f t="shared" si="0"/>
        <v>14</v>
      </c>
      <c r="B17" s="21">
        <f xml:space="preserve"> ( ( 'Evolução Volume'!$L17 ) / ( 365 ) / ( 86.4 ) )</f>
        <v>325.23408096044216</v>
      </c>
      <c r="C17" s="21">
        <f xml:space="preserve"> ( ( $B17 ) * ( 'Dados de Entrada'!$D$76 ) )</f>
        <v>390.2808971525306</v>
      </c>
      <c r="D17" s="21">
        <f xml:space="preserve"> ( ( $C17 ) * ( 'Dados de Entrada'!$D$77 ) )</f>
        <v>585.42134572879593</v>
      </c>
      <c r="E17" s="21">
        <f xml:space="preserve"> ( ( 'Evolução Volume'!$N17 ) / ( 365 ) / ( 86.4 ) )</f>
        <v>0.94997717418371941</v>
      </c>
      <c r="F17" s="21">
        <f xml:space="preserve"> ( ( $E17 ) * ( 'Dados de Entrada'!$E$76 ) )</f>
        <v>1.1399726090204632</v>
      </c>
      <c r="G17" s="21">
        <f xml:space="preserve"> ( ( $F17 ) * ( 'Dados de Entrada'!$E$77 ) )</f>
        <v>1.7099589135306947</v>
      </c>
      <c r="H17" s="21">
        <f xml:space="preserve"> ( ( 'Evolução Volume'!$P17 ) / ( 365 ) / ( 86.4 ) )</f>
        <v>0.1591994714978211</v>
      </c>
      <c r="I17" s="21">
        <f xml:space="preserve"> ( ( $H17 ) * ( 'Dados de Entrada'!$F$76 ) )</f>
        <v>0.19103936579738531</v>
      </c>
      <c r="J17" s="21">
        <f xml:space="preserve"> ( ( $I17 ) * ( 'Dados de Entrada'!$F$77 ) )</f>
        <v>0.28655904869607796</v>
      </c>
      <c r="K17" s="21">
        <f>('Evolução Volume'!R17/365/86.4)+('Evolução Volume'!U17/365/86.4)</f>
        <v>228.61557608807138</v>
      </c>
      <c r="L17" s="21">
        <f>(('Evolução Volume'!R17/365/86.4)*'Dados de Entrada'!$D$76)+('Evolução Volume'!U17/365/86.4)</f>
        <v>262.30707383457525</v>
      </c>
      <c r="M17" s="21">
        <f>(('Evolução Volume'!R17*'Dados de Entrada'!$D$76*'Dados de Entrada'!$D$77)/365/86.4)+('Evolução Volume'!U17/365/86.4)</f>
        <v>363.38156707408666</v>
      </c>
      <c r="N17" s="21">
        <f>('Evolução Volume'!S17/365/86.4)+('Evolução Volume'!W17/365/86.4)</f>
        <v>1.1562479693998267</v>
      </c>
      <c r="O17" s="21">
        <f>(('Evolução Volume'!S17/365/86.4)*'Dados de Entrada'!$E$76)+('Evolução Volume'!W17/365/86.4)</f>
        <v>1.2546575632797921</v>
      </c>
      <c r="P17" s="21">
        <f>(('Evolução Volume'!S17*'Dados de Entrada'!$E$76*'Dados de Entrada'!$E$77)/365/86.4)+('Evolução Volume'!W17/365/86.4)</f>
        <v>1.549886344919688</v>
      </c>
      <c r="Q17" s="21">
        <f>('Evolução Volume'!T17/365/86.4)+('Evolução Volume'!Y17/365/86.4)</f>
        <v>0.1919585882785424</v>
      </c>
      <c r="R17" s="21">
        <f>(('Evolução Volume'!T17/365/86.4)*'Dados de Entrada'!$F$76)+('Evolução Volume'!Y17/365/86.4)</f>
        <v>0.20845030593425087</v>
      </c>
      <c r="S17" s="21">
        <f>(('Evolução Volume'!T17*'Dados de Entrada'!$F$76*'Dados de Entrada'!$F$77)/365/86.4)+('Evolução Volume'!Y17/365/86.4)</f>
        <v>0.2579254589013763</v>
      </c>
    </row>
    <row r="18" spans="1:19" ht="15" customHeight="1">
      <c r="A18" s="2">
        <f t="shared" si="0"/>
        <v>15</v>
      </c>
      <c r="B18" s="21">
        <f xml:space="preserve"> ( ( 'Evolução Volume'!$L18 ) / ( 365 ) / ( 86.4 ) )</f>
        <v>329.08096655040583</v>
      </c>
      <c r="C18" s="21">
        <f xml:space="preserve"> ( ( $B18 ) * ( 'Dados de Entrada'!$D$76 ) )</f>
        <v>394.89715986048697</v>
      </c>
      <c r="D18" s="21">
        <f xml:space="preserve"> ( ( $C18 ) * ( 'Dados de Entrada'!$D$77 ) )</f>
        <v>592.34573979073048</v>
      </c>
      <c r="E18" s="21">
        <f xml:space="preserve"> ( ( 'Evolução Volume'!$N18 ) / ( 365 ) / ( 86.4 ) )</f>
        <v>0.96041648379013411</v>
      </c>
      <c r="F18" s="21">
        <f xml:space="preserve"> ( ( $E18 ) * ( 'Dados de Entrada'!$E$76 ) )</f>
        <v>1.1524997805481609</v>
      </c>
      <c r="G18" s="21">
        <f xml:space="preserve"> ( ( $F18 ) * ( 'Dados de Entrada'!$E$77 ) )</f>
        <v>1.7287496708222414</v>
      </c>
      <c r="H18" s="21">
        <f xml:space="preserve"> ( ( 'Evolução Volume'!$P18 ) / ( 365 ) / ( 86.4 ) )</f>
        <v>0.16180929889942477</v>
      </c>
      <c r="I18" s="21">
        <f xml:space="preserve"> ( ( $H18 ) * ( 'Dados de Entrada'!$F$76 ) )</f>
        <v>0.19417115867930973</v>
      </c>
      <c r="J18" s="21">
        <f xml:space="preserve"> ( ( $I18 ) * ( 'Dados de Entrada'!$F$77 ) )</f>
        <v>0.29125673801896457</v>
      </c>
      <c r="K18" s="21">
        <f>('Evolução Volume'!R18/365/86.4)+('Evolução Volume'!U18/365/86.4)</f>
        <v>231.17470020990717</v>
      </c>
      <c r="L18" s="21">
        <f>(('Evolução Volume'!R18/365/86.4)*'Dados de Entrada'!$D$76)+('Evolução Volume'!U18/365/86.4)</f>
        <v>265.26473432123743</v>
      </c>
      <c r="M18" s="21">
        <f>(('Evolução Volume'!R18*'Dados de Entrada'!$D$76*'Dados de Entrada'!$D$77)/365/86.4)+('Evolução Volume'!U18/365/86.4)</f>
        <v>367.53483665522822</v>
      </c>
      <c r="N18" s="21">
        <f>('Evolução Volume'!S18/365/86.4)+('Evolução Volume'!W18/365/86.4)</f>
        <v>1.1624555507827372</v>
      </c>
      <c r="O18" s="21">
        <f>(('Evolução Volume'!S18/365/86.4)*'Dados de Entrada'!$E$76)+('Evolução Volume'!W18/365/86.4)</f>
        <v>1.2619466609392846</v>
      </c>
      <c r="P18" s="21">
        <f>(('Evolução Volume'!S18*'Dados de Entrada'!$E$76*'Dados de Entrada'!$E$77)/365/86.4)+('Evolução Volume'!W18/365/86.4)</f>
        <v>1.560419991408927</v>
      </c>
      <c r="Q18" s="21">
        <f>('Evolução Volume'!T18/365/86.4)+('Evolução Volume'!Y18/365/86.4)</f>
        <v>0.19351044605578724</v>
      </c>
      <c r="R18" s="21">
        <f>(('Evolução Volume'!T18/365/86.4)*'Dados de Entrada'!$F$76)+('Evolução Volume'!Y18/365/86.4)</f>
        <v>0.21027253526694467</v>
      </c>
      <c r="S18" s="21">
        <f>(('Evolução Volume'!T18*'Dados de Entrada'!$F$76*'Dados de Entrada'!$F$77)/365/86.4)+('Evolução Volume'!Y18/365/86.4)</f>
        <v>0.260558802900417</v>
      </c>
    </row>
    <row r="19" spans="1:19" ht="15" customHeight="1">
      <c r="A19" s="2">
        <f t="shared" si="0"/>
        <v>16</v>
      </c>
      <c r="B19" s="21">
        <f xml:space="preserve"> ( ( 'Evolução Volume'!$L19 ) / ( 365 ) / ( 86.4 ) )</f>
        <v>332.92524231296807</v>
      </c>
      <c r="C19" s="21">
        <f xml:space="preserve"> ( ( $B19 ) * ( 'Dados de Entrada'!$D$76 ) )</f>
        <v>399.51029077556166</v>
      </c>
      <c r="D19" s="21">
        <f xml:space="preserve"> ( ( $C19 ) * ( 'Dados de Entrada'!$D$77 ) )</f>
        <v>599.26543616334243</v>
      </c>
      <c r="E19" s="21">
        <f xml:space="preserve"> ( ( 'Evolução Volume'!$N19 ) / ( 365 ) / ( 86.4 ) )</f>
        <v>0.97085579339654837</v>
      </c>
      <c r="F19" s="21">
        <f xml:space="preserve"> ( ( $E19 ) * ( 'Dados de Entrada'!$E$76 ) )</f>
        <v>1.165026952075858</v>
      </c>
      <c r="G19" s="21">
        <f xml:space="preserve"> ( ( $F19 ) * ( 'Dados de Entrada'!$E$77 ) )</f>
        <v>1.747540428113787</v>
      </c>
      <c r="H19" s="21">
        <f xml:space="preserve"> ( ( 'Evolução Volume'!$P19 ) / ( 365 ) / ( 86.4 ) )</f>
        <v>0.16441912630102837</v>
      </c>
      <c r="I19" s="21">
        <f xml:space="preserve"> ( ( $H19 ) * ( 'Dados de Entrada'!$F$76 ) )</f>
        <v>0.19730295156123404</v>
      </c>
      <c r="J19" s="21">
        <f xml:space="preserve"> ( ( $I19 ) * ( 'Dados de Entrada'!$F$77 ) )</f>
        <v>0.29595442734185107</v>
      </c>
      <c r="K19" s="21">
        <f>('Evolução Volume'!R19/365/86.4)+('Evolução Volume'!U19/365/86.4)</f>
        <v>233.73239033722348</v>
      </c>
      <c r="L19" s="21">
        <f>(('Evolução Volume'!R19/365/86.4)*'Dados de Entrada'!$D$76)+('Evolução Volume'!U19/365/86.4)</f>
        <v>268.22067401447623</v>
      </c>
      <c r="M19" s="21">
        <f>(('Evolução Volume'!R19*'Dados de Entrada'!$D$76*'Dados de Entrada'!$D$77)/365/86.4)+('Evolução Volume'!U19/365/86.4)</f>
        <v>371.68552504623449</v>
      </c>
      <c r="N19" s="21">
        <f>('Evolução Volume'!S19/365/86.4)+('Evolução Volume'!W19/365/86.4)</f>
        <v>1.168462891677172</v>
      </c>
      <c r="O19" s="21">
        <f>(('Evolução Volume'!S19/365/86.4)*'Dados de Entrada'!$E$76)+('Evolução Volume'!W19/365/86.4)</f>
        <v>1.2690354700126065</v>
      </c>
      <c r="P19" s="21">
        <f>(('Evolução Volume'!S19*'Dados de Entrada'!$E$76*'Dados de Entrada'!$E$77)/365/86.4)+('Evolução Volume'!W19/365/86.4)</f>
        <v>1.5707532050189097</v>
      </c>
      <c r="Q19" s="21">
        <f>('Evolução Volume'!T19/365/86.4)+('Evolução Volume'!Y19/365/86.4)</f>
        <v>0.19486226391306949</v>
      </c>
      <c r="R19" s="21">
        <f>(('Evolução Volume'!T19/365/86.4)*'Dados de Entrada'!$F$76)+('Evolução Volume'!Y19/365/86.4)</f>
        <v>0.21189471669568338</v>
      </c>
      <c r="S19" s="21">
        <f>(('Evolução Volume'!T19*'Dados de Entrada'!$F$76*'Dados de Entrada'!$F$77)/365/86.4)+('Evolução Volume'!Y19/365/86.4)</f>
        <v>0.26299207504352506</v>
      </c>
    </row>
    <row r="20" spans="1:19" ht="15" customHeight="1">
      <c r="A20" s="2">
        <f t="shared" si="0"/>
        <v>17</v>
      </c>
      <c r="B20" s="21">
        <f xml:space="preserve"> ( ( 'Evolução Volume'!$L20 ) / ( 365 ) / ( 86.4 ) )</f>
        <v>336.76951807553013</v>
      </c>
      <c r="C20" s="21">
        <f xml:space="preserve"> ( ( $B20 ) * ( 'Dados de Entrada'!$D$76 ) )</f>
        <v>404.12342169063612</v>
      </c>
      <c r="D20" s="21">
        <f xml:space="preserve"> ( ( $C20 ) * ( 'Dados de Entrada'!$D$77 ) )</f>
        <v>606.18513253595415</v>
      </c>
      <c r="E20" s="21">
        <f xml:space="preserve"> ( ( 'Evolução Volume'!$N20 ) / ( 365 ) / ( 86.4 ) )</f>
        <v>0.98129510300296285</v>
      </c>
      <c r="F20" s="21">
        <f xml:space="preserve"> ( ( $E20 ) * ( 'Dados de Entrada'!$E$76 ) )</f>
        <v>1.1775541236035554</v>
      </c>
      <c r="G20" s="21">
        <f xml:space="preserve"> ( ( $F20 ) * ( 'Dados de Entrada'!$E$77 ) )</f>
        <v>1.766331185405333</v>
      </c>
      <c r="H20" s="21">
        <f xml:space="preserve"> ( ( 'Evolução Volume'!$P20 ) / ( 365 ) / ( 86.4 ) )</f>
        <v>0.16702895370263199</v>
      </c>
      <c r="I20" s="21">
        <f xml:space="preserve"> ( ( $H20 ) * ( 'Dados de Entrada'!$F$76 ) )</f>
        <v>0.20043474444315837</v>
      </c>
      <c r="J20" s="21">
        <f xml:space="preserve"> ( ( $I20 ) * ( 'Dados de Entrada'!$F$77 ) )</f>
        <v>0.30065211666473757</v>
      </c>
      <c r="K20" s="21">
        <f>('Evolução Volume'!R20/365/86.4)+('Evolução Volume'!U20/365/86.4)</f>
        <v>236.29008046462775</v>
      </c>
      <c r="L20" s="21">
        <f>(('Evolução Volume'!R20/365/86.4)*'Dados de Entrada'!$D$76)+('Evolução Volume'!U20/365/86.4)</f>
        <v>271.17661370782059</v>
      </c>
      <c r="M20" s="21">
        <f>(('Evolução Volume'!R20*'Dados de Entrada'!$D$76*'Dados de Entrada'!$D$77)/365/86.4)+('Evolução Volume'!U20/365/86.4)</f>
        <v>375.83621343739918</v>
      </c>
      <c r="N20" s="21">
        <f>('Evolução Volume'!S20/365/86.4)+('Evolução Volume'!W20/365/86.4)</f>
        <v>1.1746702322336859</v>
      </c>
      <c r="O20" s="21">
        <f>(('Evolução Volume'!S20/365/86.4)*'Dados de Entrada'!$E$76)+('Evolução Volume'!W20/365/86.4)</f>
        <v>1.276324278680423</v>
      </c>
      <c r="P20" s="21">
        <f>(('Evolução Volume'!S20*'Dados de Entrada'!$E$76*'Dados de Entrada'!$E$77)/365/86.4)+('Evolução Volume'!W20/365/86.4)</f>
        <v>1.5812864180206343</v>
      </c>
      <c r="Q20" s="21">
        <f>('Evolução Volume'!T20/365/86.4)+('Evolução Volume'!Y20/365/86.4)</f>
        <v>0.19641408208232949</v>
      </c>
      <c r="R20" s="21">
        <f>(('Evolução Volume'!T20/365/86.4)*'Dados de Entrada'!$F$76)+('Evolução Volume'!Y20/365/86.4)</f>
        <v>0.21371689849879538</v>
      </c>
      <c r="S20" s="21">
        <f>(('Evolução Volume'!T20*'Dados de Entrada'!$F$76*'Dados de Entrada'!$F$77)/365/86.4)+('Evolução Volume'!Y20/365/86.4)</f>
        <v>0.26562534774819307</v>
      </c>
    </row>
    <row r="21" spans="1:19" ht="15" customHeight="1">
      <c r="A21" s="2">
        <f t="shared" si="0"/>
        <v>18</v>
      </c>
      <c r="B21" s="21">
        <f xml:space="preserve"> ( ( 'Evolução Volume'!$L21 ) / ( 365 ) / ( 86.4 ) )</f>
        <v>340.64250193950994</v>
      </c>
      <c r="C21" s="21">
        <f xml:space="preserve"> ( ( $B21 ) * ( 'Dados de Entrada'!$D$76 ) )</f>
        <v>408.77100232741191</v>
      </c>
      <c r="D21" s="21">
        <f xml:space="preserve"> ( ( $C21 ) * ( 'Dados de Entrada'!$D$77 ) )</f>
        <v>613.15650349111786</v>
      </c>
      <c r="E21" s="21">
        <f xml:space="preserve"> ( ( 'Evolução Volume'!$N21 ) / ( 365 ) / ( 86.4 ) )</f>
        <v>0.99173441260937745</v>
      </c>
      <c r="F21" s="21">
        <f xml:space="preserve"> ( ( $E21 ) * ( 'Dados de Entrada'!$E$76 ) )</f>
        <v>1.1900812951312529</v>
      </c>
      <c r="G21" s="21">
        <f xml:space="preserve"> ( ( $F21 ) * ( 'Dados de Entrada'!$E$77 ) )</f>
        <v>1.7851219426968794</v>
      </c>
      <c r="H21" s="21">
        <f xml:space="preserve"> ( ( 'Evolução Volume'!$P21 ) / ( 365 ) / ( 86.4 ) )</f>
        <v>0.16963878110423564</v>
      </c>
      <c r="I21" s="21">
        <f xml:space="preserve"> ( ( $H21 ) * ( 'Dados de Entrada'!$F$76 ) )</f>
        <v>0.20356653732508276</v>
      </c>
      <c r="J21" s="21">
        <f xml:space="preserve"> ( ( $I21 ) * ( 'Dados de Entrada'!$F$77 ) )</f>
        <v>0.30534980598762412</v>
      </c>
      <c r="K21" s="21">
        <f>('Evolução Volume'!R21/365/86.4)+('Evolução Volume'!U21/365/86.4)</f>
        <v>238.86628740644707</v>
      </c>
      <c r="L21" s="21">
        <f>(('Evolução Volume'!R21/365/86.4)*'Dados de Entrada'!$D$76)+('Evolução Volume'!U21/365/86.4)</f>
        <v>274.15397200917386</v>
      </c>
      <c r="M21" s="21">
        <f>(('Evolução Volume'!R21*'Dados de Entrada'!$D$76*'Dados de Entrada'!$D$77)/365/86.4)+('Evolução Volume'!U21/365/86.4)</f>
        <v>380.01702581735418</v>
      </c>
      <c r="N21" s="21">
        <f>('Evolução Volume'!S21/365/86.4)+('Evolução Volume'!W21/365/86.4)</f>
        <v>1.1806765224916747</v>
      </c>
      <c r="O21" s="21">
        <f>(('Evolução Volume'!S21/365/86.4)*'Dados de Entrada'!$E$76)+('Evolução Volume'!W21/365/86.4)</f>
        <v>1.2834118269900094</v>
      </c>
      <c r="P21" s="21">
        <f>(('Evolução Volume'!S21*'Dados de Entrada'!$E$76*'Dados de Entrada'!$E$77)/365/86.4)+('Evolução Volume'!W21/365/86.4)</f>
        <v>1.5916177404850145</v>
      </c>
      <c r="Q21" s="21">
        <f>('Evolução Volume'!T21/365/86.4)+('Evolução Volume'!Y21/365/86.4)</f>
        <v>0.19796572095252329</v>
      </c>
      <c r="R21" s="21">
        <f>(('Evolução Volume'!T21/365/86.4)*'Dados de Entrada'!$F$76)+('Evolução Volume'!Y21/365/86.4)</f>
        <v>0.21553886514302795</v>
      </c>
      <c r="S21" s="21">
        <f>(('Evolução Volume'!T21*'Dados de Entrada'!$F$76*'Dados de Entrada'!$F$77)/365/86.4)+('Evolução Volume'!Y21/365/86.4)</f>
        <v>0.26825829771454196</v>
      </c>
    </row>
    <row r="22" spans="1:19" s="18" customFormat="1" ht="15" customHeight="1">
      <c r="A22" s="2">
        <f t="shared" si="0"/>
        <v>19</v>
      </c>
      <c r="B22" s="21">
        <f xml:space="preserve"> ( ( 'Evolução Volume'!$L22 ) / ( 365 ) / ( 86.4 ) )</f>
        <v>344.55985286931696</v>
      </c>
      <c r="C22" s="21">
        <f xml:space="preserve"> ( ( $B22 ) * ( 'Dados de Entrada'!$D$76 ) )</f>
        <v>413.47182344318031</v>
      </c>
      <c r="D22" s="21">
        <f xml:space="preserve"> ( ( $C22 ) * ( 'Dados de Entrada'!$D$77 ) )</f>
        <v>620.2077351647705</v>
      </c>
      <c r="E22" s="21">
        <f xml:space="preserve"> ( ( 'Evolução Volume'!$N22 ) / ( 365 ) / ( 86.4 ) )</f>
        <v>1.0021737222157918</v>
      </c>
      <c r="F22" s="21">
        <f xml:space="preserve"> ( ( $E22 ) * ( 'Dados de Entrada'!$E$76 ) )</f>
        <v>1.20260846665895</v>
      </c>
      <c r="G22" s="21">
        <f xml:space="preserve"> ( ( $F22 ) * ( 'Dados de Entrada'!$E$77 ) )</f>
        <v>1.803912699988425</v>
      </c>
      <c r="H22" s="21">
        <f xml:space="preserve"> ( ( 'Evolução Volume'!$P22 ) / ( 365 ) / ( 86.4 ) )</f>
        <v>0.17224860850583923</v>
      </c>
      <c r="I22" s="21">
        <f xml:space="preserve"> ( ( $H22 ) * ( 'Dados de Entrada'!$F$76 ) )</f>
        <v>0.20669833020700706</v>
      </c>
      <c r="J22" s="21">
        <f xml:space="preserve"> ( ( $I22 ) * ( 'Dados de Entrada'!$F$77 ) )</f>
        <v>0.31004749531051057</v>
      </c>
      <c r="K22" s="21">
        <f>('Evolução Volume'!R22/365/86.4)+('Evolução Volume'!U22/365/86.4)</f>
        <v>241.47184171297712</v>
      </c>
      <c r="L22" s="21">
        <f>(('Evolução Volume'!R22/365/86.4)*'Dados de Entrada'!$D$76)+('Evolução Volume'!U22/365/86.4)</f>
        <v>277.16530026261898</v>
      </c>
      <c r="M22" s="21">
        <f>(('Evolução Volume'!R22*'Dados de Entrada'!$D$76*'Dados de Entrada'!$D$77)/365/86.4)+('Evolução Volume'!U22/365/86.4)</f>
        <v>384.24567591154448</v>
      </c>
      <c r="N22" s="21">
        <f>('Evolução Volume'!S22/365/86.4)+('Evolução Volume'!W22/365/86.4)</f>
        <v>1.1866832001402194</v>
      </c>
      <c r="O22" s="21">
        <f>(('Evolução Volume'!S22/365/86.4)*'Dados de Entrada'!$E$76)+('Evolução Volume'!W22/365/86.4)</f>
        <v>1.290499840168263</v>
      </c>
      <c r="P22" s="21">
        <f>(('Evolução Volume'!S22*'Dados de Entrada'!$E$76*'Dados de Entrada'!$E$77)/365/86.4)+('Evolução Volume'!W22/365/86.4)</f>
        <v>1.6019497602523947</v>
      </c>
      <c r="Q22" s="21">
        <f>('Evolução Volume'!T22/365/86.4)+('Evolução Volume'!Y22/365/86.4)</f>
        <v>0.19951742502410025</v>
      </c>
      <c r="R22" s="21">
        <f>(('Evolução Volume'!T22/365/86.4)*'Dados de Entrada'!$F$76)+('Evolução Volume'!Y22/365/86.4)</f>
        <v>0.21736091002892027</v>
      </c>
      <c r="S22" s="21">
        <f>(('Evolução Volume'!T22*'Dados de Entrada'!$F$76*'Dados de Entrada'!$F$77)/365/86.4)+('Evolução Volume'!Y22/365/86.4)</f>
        <v>0.27089136504338041</v>
      </c>
    </row>
    <row r="23" spans="1:19" ht="15" customHeight="1">
      <c r="A23" s="2">
        <f t="shared" si="0"/>
        <v>20</v>
      </c>
      <c r="B23" s="21">
        <f xml:space="preserve"> ( ( 'Evolução Volume'!$L23 ) / ( 365 ) / ( 86.4 ) )</f>
        <v>348.52157086495134</v>
      </c>
      <c r="C23" s="21">
        <f xml:space="preserve"> ( ( $B23 ) * ( 'Dados de Entrada'!$D$76 ) )</f>
        <v>418.22588503794162</v>
      </c>
      <c r="D23" s="21">
        <f xml:space="preserve"> ( ( $C23 ) * ( 'Dados de Entrada'!$D$77 ) )</f>
        <v>627.33882755691241</v>
      </c>
      <c r="E23" s="21">
        <f xml:space="preserve"> ( ( 'Evolução Volume'!$N23 ) / ( 365 ) / ( 86.4 ) )</f>
        <v>1.0126130318222064</v>
      </c>
      <c r="F23" s="21">
        <f xml:space="preserve"> ( ( $E23 ) * ( 'Dados de Entrada'!$E$76 ) )</f>
        <v>1.2151356381866476</v>
      </c>
      <c r="G23" s="21">
        <f xml:space="preserve"> ( ( $F23 ) * ( 'Dados de Entrada'!$E$77 ) )</f>
        <v>1.8227034572799714</v>
      </c>
      <c r="H23" s="21">
        <f xml:space="preserve"> ( ( 'Evolução Volume'!$P23 ) / ( 365 ) / ( 86.4 ) )</f>
        <v>0.17485843590744288</v>
      </c>
      <c r="I23" s="21">
        <f xml:space="preserve"> ( ( $H23 ) * ( 'Dados de Entrada'!$F$76 ) )</f>
        <v>0.20983012308893145</v>
      </c>
      <c r="J23" s="21">
        <f xml:space="preserve"> ( ( $I23 ) * ( 'Dados de Entrada'!$F$77 ) )</f>
        <v>0.31474518463339718</v>
      </c>
      <c r="K23" s="21">
        <f>('Evolução Volume'!R23/365/86.4)+('Evolução Volume'!U23/365/86.4)</f>
        <v>244.1076340162287</v>
      </c>
      <c r="L23" s="21">
        <f>(('Evolução Volume'!R23/365/86.4)*'Dados de Entrada'!$D$76)+('Evolução Volume'!U23/365/86.4)</f>
        <v>280.21148910006025</v>
      </c>
      <c r="M23" s="21">
        <f>(('Evolução Volume'!R23*'Dados de Entrada'!$D$76*'Dados de Entrada'!$D$77)/365/86.4)+('Evolução Volume'!U23/365/86.4)</f>
        <v>388.52305435155489</v>
      </c>
      <c r="N23" s="21">
        <f>('Evolução Volume'!S23/365/86.4)+('Evolução Volume'!W23/365/86.4)</f>
        <v>1.192890264206266</v>
      </c>
      <c r="O23" s="21">
        <f>(('Evolução Volume'!S23/365/86.4)*'Dados de Entrada'!$E$76)+('Evolução Volume'!W23/365/86.4)</f>
        <v>1.2977883170475191</v>
      </c>
      <c r="P23" s="21">
        <f>(('Evolução Volume'!S23*'Dados de Entrada'!$E$76*'Dados de Entrada'!$E$77)/365/86.4)+('Evolução Volume'!W23/365/86.4)</f>
        <v>1.6124824755712786</v>
      </c>
      <c r="Q23" s="21">
        <f>('Evolução Volume'!T23/365/86.4)+('Evolução Volume'!Y23/365/86.4)</f>
        <v>0.20106919510778309</v>
      </c>
      <c r="R23" s="21">
        <f>(('Evolução Volume'!T23/365/86.4)*'Dados de Entrada'!$F$76)+('Evolução Volume'!Y23/365/86.4)</f>
        <v>0.2191830341293397</v>
      </c>
      <c r="S23" s="21">
        <f>(('Evolução Volume'!T23*'Dados de Entrada'!$F$76*'Dados de Entrada'!$F$77)/365/86.4)+('Evolução Volume'!Y23/365/86.4)</f>
        <v>0.27352455119400954</v>
      </c>
    </row>
    <row r="24" spans="1:19" ht="15" customHeight="1">
      <c r="A24" s="2">
        <f t="shared" si="0"/>
        <v>21</v>
      </c>
      <c r="B24" s="21">
        <f xml:space="preserve"> ( ( 'Evolução Volume'!$L24 ) / ( 365 ) / ( 86.4 ) )</f>
        <v>352.53026575381449</v>
      </c>
      <c r="C24" s="21">
        <f xml:space="preserve"> ( ( $B24 ) * ( 'Dados de Entrada'!$D$76 ) )</f>
        <v>423.0363189045774</v>
      </c>
      <c r="D24" s="21">
        <f xml:space="preserve"> ( ( $C24 ) * ( 'Dados de Entrada'!$D$77 ) )</f>
        <v>634.55447835686607</v>
      </c>
      <c r="E24" s="21">
        <f xml:space="preserve"> ( ( 'Evolução Volume'!$N24 ) / ( 365 ) / ( 86.4 ) )</f>
        <v>1.023052341428621</v>
      </c>
      <c r="F24" s="21">
        <f xml:space="preserve"> ( ( $E24 ) * ( 'Dados de Entrada'!$E$76 ) )</f>
        <v>1.2276628097143452</v>
      </c>
      <c r="G24" s="21">
        <f xml:space="preserve"> ( ( $F24 ) * ( 'Dados de Entrada'!$E$77 ) )</f>
        <v>1.8414942145715179</v>
      </c>
      <c r="H24" s="21">
        <f xml:space="preserve"> ( ( 'Evolução Volume'!$P24 ) / ( 365 ) / ( 86.4 ) )</f>
        <v>0.17746826330904647</v>
      </c>
      <c r="I24" s="21">
        <f xml:space="preserve"> ( ( $H24 ) * ( 'Dados de Entrada'!$F$76 ) )</f>
        <v>0.21296191597085576</v>
      </c>
      <c r="J24" s="21">
        <f xml:space="preserve"> ( ( $I24 ) * ( 'Dados de Entrada'!$F$77 ) )</f>
        <v>0.31944287395628362</v>
      </c>
      <c r="K24" s="21">
        <f>('Evolução Volume'!R24/365/86.4)+('Evolução Volume'!U24/365/86.4)</f>
        <v>246.77465299531949</v>
      </c>
      <c r="L24" s="21">
        <f>(('Evolução Volume'!R24/365/86.4)*'Dados de Entrada'!$D$76)+('Evolução Volume'!U24/365/86.4)</f>
        <v>283.29381399969316</v>
      </c>
      <c r="M24" s="21">
        <f>(('Evolução Volume'!R24*'Dados de Entrada'!$D$76*'Dados de Entrada'!$D$77)/365/86.4)+('Evolução Volume'!U24/365/86.4)</f>
        <v>392.85129701281431</v>
      </c>
      <c r="N24" s="21">
        <f>('Evolução Volume'!S24/365/86.4)+('Evolução Volume'!W24/365/86.4)</f>
        <v>1.1988979520615679</v>
      </c>
      <c r="O24" s="21">
        <f>(('Evolução Volume'!S24/365/86.4)*'Dados de Entrada'!$E$76)+('Evolução Volume'!W24/365/86.4)</f>
        <v>1.3048775424738814</v>
      </c>
      <c r="P24" s="21">
        <f>(('Evolução Volume'!S24*'Dados de Entrada'!$E$76*'Dados de Entrada'!$E$77)/365/86.4)+('Evolução Volume'!W24/365/86.4)</f>
        <v>1.622816313710822</v>
      </c>
      <c r="Q24" s="21">
        <f>('Evolução Volume'!T24/365/86.4)+('Evolução Volume'!Y24/365/86.4)</f>
        <v>0.20262107331680257</v>
      </c>
      <c r="R24" s="21">
        <f>(('Evolução Volume'!T24/365/86.4)*'Dados de Entrada'!$F$76)+('Evolução Volume'!Y24/365/86.4)</f>
        <v>0.22100528798016306</v>
      </c>
      <c r="S24" s="21">
        <f>(('Evolução Volume'!T24*'Dados de Entrada'!$F$76*'Dados de Entrada'!$F$77)/365/86.4)+('Evolução Volume'!Y24/365/86.4)</f>
        <v>0.27615793197024457</v>
      </c>
    </row>
    <row r="25" spans="1:19" ht="15" customHeight="1">
      <c r="A25" s="2">
        <f t="shared" si="0"/>
        <v>22</v>
      </c>
      <c r="B25" s="21">
        <f xml:space="preserve"> ( ( 'Evolução Volume'!$L25 ) / ( 365 ) / ( 86.4 ) )</f>
        <v>356.58332770850484</v>
      </c>
      <c r="C25" s="21">
        <f xml:space="preserve"> ( ( $B25 ) * ( 'Dados de Entrada'!$D$76 ) )</f>
        <v>427.8999932502058</v>
      </c>
      <c r="D25" s="21">
        <f xml:space="preserve"> ( ( $C25 ) * ( 'Dados de Entrada'!$D$77 ) )</f>
        <v>641.84998987530867</v>
      </c>
      <c r="E25" s="21">
        <f xml:space="preserve"> ( ( 'Evolução Volume'!$N25 ) / ( 365 ) / ( 86.4 ) )</f>
        <v>1.0361014784366391</v>
      </c>
      <c r="F25" s="21">
        <f xml:space="preserve"> ( ( $E25 ) * ( 'Dados de Entrada'!$E$76 ) )</f>
        <v>1.2433217741239668</v>
      </c>
      <c r="G25" s="21">
        <f xml:space="preserve"> ( ( $F25 ) * ( 'Dados de Entrada'!$E$77 ) )</f>
        <v>1.8649826611859504</v>
      </c>
      <c r="H25" s="21">
        <f xml:space="preserve"> ( ( 'Evolução Volume'!$P25 ) / ( 365 ) / ( 86.4 ) )</f>
        <v>0.18007809071065015</v>
      </c>
      <c r="I25" s="21">
        <f xml:space="preserve"> ( ( $H25 ) * ( 'Dados de Entrada'!$F$76 ) )</f>
        <v>0.21609370885278018</v>
      </c>
      <c r="J25" s="21">
        <f xml:space="preserve"> ( ( $I25 ) * ( 'Dados de Entrada'!$F$77 ) )</f>
        <v>0.32414056327917029</v>
      </c>
      <c r="K25" s="21">
        <f>('Evolução Volume'!R25/365/86.4)+('Evolução Volume'!U25/365/86.4)</f>
        <v>249.47154686948033</v>
      </c>
      <c r="L25" s="21">
        <f>(('Evolução Volume'!R25/365/86.4)*'Dados de Entrada'!$D$76)+('Evolução Volume'!U25/365/86.4)</f>
        <v>286.41065282459488</v>
      </c>
      <c r="M25" s="21">
        <f>(('Evolução Volume'!R25*'Dados de Entrada'!$D$76*'Dados de Entrada'!$D$77)/365/86.4)+('Evolução Volume'!U25/365/86.4)</f>
        <v>397.22797068993856</v>
      </c>
      <c r="N25" s="21">
        <f>('Evolução Volume'!S25/365/86.4)+('Evolução Volume'!W25/365/86.4)</f>
        <v>1.2066580448134203</v>
      </c>
      <c r="O25" s="21">
        <f>(('Evolução Volume'!S25/365/86.4)*'Dados de Entrada'!$E$76)+('Evolução Volume'!W25/365/86.4)</f>
        <v>1.3139896537761042</v>
      </c>
      <c r="P25" s="21">
        <f>(('Evolução Volume'!S25*'Dados de Entrada'!$E$76*'Dados de Entrada'!$E$77)/365/86.4)+('Evolução Volume'!W25/365/86.4)</f>
        <v>1.6359844806641566</v>
      </c>
      <c r="Q25" s="21">
        <f>('Evolução Volume'!T25/365/86.4)+('Evolução Volume'!Y25/365/86.4)</f>
        <v>0.20417306068545588</v>
      </c>
      <c r="R25" s="21">
        <f>(('Evolução Volume'!T25/365/86.4)*'Dados de Entrada'!$F$76)+('Evolução Volume'!Y25/365/86.4)</f>
        <v>0.22282767282254706</v>
      </c>
      <c r="S25" s="21">
        <f>(('Evolução Volume'!T25*'Dados de Entrada'!$F$76*'Dados de Entrada'!$F$77)/365/86.4)+('Evolução Volume'!Y25/365/86.4)</f>
        <v>0.27879150923382062</v>
      </c>
    </row>
    <row r="26" spans="1:19" s="18" customFormat="1" ht="15" customHeight="1">
      <c r="A26" s="2">
        <f t="shared" si="0"/>
        <v>23</v>
      </c>
      <c r="B26" s="21">
        <f xml:space="preserve"> ( ( 'Evolução Volume'!$L26 ) / ( 365 ) / ( 86.4 ) )</f>
        <v>360.68336655642412</v>
      </c>
      <c r="C26" s="21">
        <f xml:space="preserve"> ( ( $B26 ) * ( 'Dados de Entrada'!$D$76 ) )</f>
        <v>432.82003986770894</v>
      </c>
      <c r="D26" s="21">
        <f xml:space="preserve"> ( ( $C26 ) * ( 'Dados de Entrada'!$D$77 ) )</f>
        <v>649.23005980156336</v>
      </c>
      <c r="E26" s="21">
        <f xml:space="preserve"> ( ( 'Evolução Volume'!$N26 ) / ( 365 ) / ( 86.4 ) )</f>
        <v>1.0491506154446573</v>
      </c>
      <c r="F26" s="21">
        <f xml:space="preserve"> ( ( $E26 ) * ( 'Dados de Entrada'!$E$76 ) )</f>
        <v>1.2589807385335887</v>
      </c>
      <c r="G26" s="21">
        <f xml:space="preserve"> ( ( $F26 ) * ( 'Dados de Entrada'!$E$77 ) )</f>
        <v>1.8884711078003831</v>
      </c>
      <c r="H26" s="21">
        <f xml:space="preserve"> ( ( 'Evolução Volume'!$P26 ) / ( 365 ) / ( 86.4 ) )</f>
        <v>0.18268791811225377</v>
      </c>
      <c r="I26" s="21">
        <f xml:space="preserve"> ( ( $H26 ) * ( 'Dados de Entrada'!$F$76 ) )</f>
        <v>0.21922550173470451</v>
      </c>
      <c r="J26" s="21">
        <f xml:space="preserve"> ( ( $I26 ) * ( 'Dados de Entrada'!$F$77 ) )</f>
        <v>0.32883825260205679</v>
      </c>
      <c r="K26" s="21">
        <f>('Evolução Volume'!R26/365/86.4)+('Evolução Volume'!U26/365/86.4)</f>
        <v>252.19966741787886</v>
      </c>
      <c r="L26" s="21">
        <f>(('Evolução Volume'!R26/365/86.4)*'Dados de Entrada'!$D$76)+('Evolução Volume'!U26/365/86.4)</f>
        <v>289.56362770976648</v>
      </c>
      <c r="M26" s="21">
        <f>(('Evolução Volume'!R26*'Dados de Entrada'!$D$76*'Dados de Entrada'!$D$77)/365/86.4)+('Evolução Volume'!U26/365/86.4)</f>
        <v>401.65550858542929</v>
      </c>
      <c r="N26" s="21">
        <f>('Evolução Volume'!S26/365/86.4)+('Evolução Volume'!W26/365/86.4)</f>
        <v>1.2142187651893179</v>
      </c>
      <c r="O26" s="21">
        <f>(('Evolução Volume'!S26/365/86.4)*'Dados de Entrada'!$E$76)+('Evolução Volume'!W26/365/86.4)</f>
        <v>1.3229025182271816</v>
      </c>
      <c r="P26" s="21">
        <f>(('Evolução Volume'!S26*'Dados de Entrada'!$E$76*'Dados de Entrada'!$E$77)/365/86.4)+('Evolução Volume'!W26/365/86.4)</f>
        <v>1.6489537773407723</v>
      </c>
      <c r="Q26" s="21">
        <f>('Evolução Volume'!T26/365/86.4)+('Evolução Volume'!Y26/365/86.4)</f>
        <v>0.20552515811754291</v>
      </c>
      <c r="R26" s="21">
        <f>(('Evolução Volume'!T26/365/86.4)*'Dados de Entrada'!$F$76)+('Evolução Volume'!Y26/365/86.4)</f>
        <v>0.22445018974105152</v>
      </c>
      <c r="S26" s="21">
        <f>(('Evolução Volume'!T26*'Dados de Entrada'!$F$76*'Dados de Entrada'!$F$77)/365/86.4)+('Evolução Volume'!Y26/365/86.4)</f>
        <v>0.28122528461157725</v>
      </c>
    </row>
    <row r="27" spans="1:19" s="18" customFormat="1" ht="15" customHeight="1">
      <c r="A27" s="2">
        <f t="shared" si="0"/>
        <v>24</v>
      </c>
      <c r="B27" s="21">
        <f xml:space="preserve"> ( ( 'Evolução Volume'!$L27 ) / ( 365 ) / ( 86.4 ) )</f>
        <v>364.83299212497388</v>
      </c>
      <c r="C27" s="21">
        <f xml:space="preserve"> ( ( $B27 ) * ( 'Dados de Entrada'!$D$76 ) )</f>
        <v>437.79959054996863</v>
      </c>
      <c r="D27" s="21">
        <f xml:space="preserve"> ( ( $C27 ) * ( 'Dados de Entrada'!$D$77 ) )</f>
        <v>656.69938582495297</v>
      </c>
      <c r="E27" s="21">
        <f xml:space="preserve"> ( ( 'Evolução Volume'!$N27 ) / ( 365 ) / ( 86.4 ) )</f>
        <v>1.0621997524526752</v>
      </c>
      <c r="F27" s="21">
        <f xml:space="preserve"> ( ( $E27 ) * ( 'Dados de Entrada'!$E$76 ) )</f>
        <v>1.2746397029432102</v>
      </c>
      <c r="G27" s="21">
        <f xml:space="preserve"> ( ( $F27 ) * ( 'Dados de Entrada'!$E$77 ) )</f>
        <v>1.9119595544148154</v>
      </c>
      <c r="H27" s="21">
        <f xml:space="preserve"> ( ( 'Evolução Volume'!$P27 ) / ( 365 ) / ( 86.4 ) )</f>
        <v>0.18529774551385733</v>
      </c>
      <c r="I27" s="21">
        <f xml:space="preserve"> ( ( $H27 ) * ( 'Dados de Entrada'!$F$76 ) )</f>
        <v>0.22235729461662879</v>
      </c>
      <c r="J27" s="21">
        <f xml:space="preserve"> ( ( $I27 ) * ( 'Dados de Entrada'!$F$77 ) )</f>
        <v>0.33353594192494318</v>
      </c>
      <c r="K27" s="21">
        <f>('Evolução Volume'!R27/365/86.4)+('Evolução Volume'!U27/365/86.4)</f>
        <v>254.9617845870801</v>
      </c>
      <c r="L27" s="21">
        <f>(('Evolução Volume'!R27/365/86.4)*'Dados de Entrada'!$D$76)+('Evolução Volume'!U27/365/86.4)</f>
        <v>292.75579540132287</v>
      </c>
      <c r="M27" s="21">
        <f>(('Evolução Volume'!R27*'Dados de Entrada'!$D$76*'Dados de Entrada'!$D$77)/365/86.4)+('Evolução Volume'!U27/365/86.4)</f>
        <v>406.13782784405134</v>
      </c>
      <c r="N27" s="21">
        <f>('Evolução Volume'!S27/365/86.4)+('Evolução Volume'!W27/365/86.4)</f>
        <v>1.2217803537182681</v>
      </c>
      <c r="O27" s="21">
        <f>(('Evolução Volume'!S27/365/86.4)*'Dados de Entrada'!$E$76)+('Evolução Volume'!W27/365/86.4)</f>
        <v>1.3318164244619217</v>
      </c>
      <c r="P27" s="21">
        <f>(('Evolução Volume'!S27*'Dados de Entrada'!$E$76*'Dados de Entrada'!$E$77)/365/86.4)+('Evolução Volume'!W27/365/86.4)</f>
        <v>1.6619246366928824</v>
      </c>
      <c r="Q27" s="21">
        <f>('Evolução Volume'!T27/365/86.4)+('Evolução Volume'!Y27/365/86.4)</f>
        <v>0.20707740814249886</v>
      </c>
      <c r="R27" s="21">
        <f>(('Evolução Volume'!T27/365/86.4)*'Dados de Entrada'!$F$76)+('Evolução Volume'!Y27/365/86.4)</f>
        <v>0.22627288977099863</v>
      </c>
      <c r="S27" s="21">
        <f>(('Evolução Volume'!T27*'Dados de Entrada'!$F$76*'Dados de Entrada'!$F$77)/365/86.4)+('Evolução Volume'!Y27/365/86.4)</f>
        <v>0.28385933465649793</v>
      </c>
    </row>
    <row r="28" spans="1:19" ht="15" customHeight="1">
      <c r="A28" s="2">
        <f t="shared" si="0"/>
        <v>25</v>
      </c>
      <c r="B28" s="21">
        <f xml:space="preserve"> ( ( 'Evolução Volume'!$L28 ) / ( 365 ) / ( 86.4 ) )</f>
        <v>369.03220441415408</v>
      </c>
      <c r="C28" s="21">
        <f xml:space="preserve"> ( ( $B28 ) * ( 'Dados de Entrada'!$D$76 ) )</f>
        <v>442.83864529698491</v>
      </c>
      <c r="D28" s="21">
        <f xml:space="preserve"> ( ( $C28 ) * ( 'Dados de Entrada'!$D$77 ) )</f>
        <v>664.25796794547739</v>
      </c>
      <c r="E28" s="21">
        <f xml:space="preserve"> ( ( 'Evolução Volume'!$N28 ) / ( 365 ) / ( 86.4 ) )</f>
        <v>1.0752488894606933</v>
      </c>
      <c r="F28" s="21">
        <f xml:space="preserve"> ( ( $E28 ) * ( 'Dados de Entrada'!$E$76 ) )</f>
        <v>1.2902986673528318</v>
      </c>
      <c r="G28" s="21">
        <f xml:space="preserve"> ( ( $F28 ) * ( 'Dados de Entrada'!$E$77 ) )</f>
        <v>1.9354480010292479</v>
      </c>
      <c r="H28" s="21">
        <f xml:space="preserve"> ( ( 'Evolução Volume'!$P28 ) / ( 365 ) / ( 86.4 ) )</f>
        <v>0.18790757291546098</v>
      </c>
      <c r="I28" s="21">
        <f xml:space="preserve"> ( ( $H28 ) * ( 'Dados de Entrada'!$F$76 ) )</f>
        <v>0.22548908749855318</v>
      </c>
      <c r="J28" s="21">
        <f xml:space="preserve"> ( ( $I28 ) * ( 'Dados de Entrada'!$F$77 ) )</f>
        <v>0.33823363124782979</v>
      </c>
      <c r="K28" s="21">
        <f>('Evolução Volume'!R28/365/86.4)+('Evolução Volume'!U28/365/86.4)</f>
        <v>257.75656243442381</v>
      </c>
      <c r="L28" s="21">
        <f>(('Evolução Volume'!R28/365/86.4)*'Dados de Entrada'!$D$76)+('Evolução Volume'!U28/365/86.4)</f>
        <v>295.98581995783491</v>
      </c>
      <c r="M28" s="21">
        <f>(('Evolução Volume'!R28*'Dados de Entrada'!$D$76*'Dados de Entrada'!$D$77)/365/86.4)+('Evolução Volume'!U28/365/86.4)</f>
        <v>410.67359252806841</v>
      </c>
      <c r="N28" s="21">
        <f>('Evolução Volume'!S28/365/86.4)+('Evolução Volume'!W28/365/86.4)</f>
        <v>1.2295428115658797</v>
      </c>
      <c r="O28" s="21">
        <f>(('Evolução Volume'!S28/365/86.4)*'Dados de Entrada'!$E$76)+('Evolução Volume'!W28/365/86.4)</f>
        <v>1.3409313738790558</v>
      </c>
      <c r="P28" s="21">
        <f>(('Evolução Volume'!S28*'Dados de Entrada'!$E$76*'Dados de Entrada'!$E$77)/365/86.4)+('Evolução Volume'!W28/365/86.4)</f>
        <v>1.675097060818584</v>
      </c>
      <c r="Q28" s="21">
        <f>('Evolução Volume'!T28/365/86.4)+('Evolução Volume'!Y28/365/86.4)</f>
        <v>0.20862981172995959</v>
      </c>
      <c r="R28" s="21">
        <f>(('Evolução Volume'!T28/365/86.4)*'Dados de Entrada'!$F$76)+('Evolução Volume'!Y28/365/86.4)</f>
        <v>0.22809577407595152</v>
      </c>
      <c r="S28" s="21">
        <f>(('Evolução Volume'!T28*'Dados de Entrada'!$F$76*'Dados de Entrada'!$F$77)/365/86.4)+('Evolução Volume'!Y28/365/86.4)</f>
        <v>0.28649366111392727</v>
      </c>
    </row>
    <row r="29" spans="1:19" ht="15" customHeight="1">
      <c r="A29" s="2">
        <f t="shared" si="0"/>
        <v>26</v>
      </c>
      <c r="B29" s="21">
        <f xml:space="preserve"> ( ( 'Evolução Volume'!$L29 ) / ( 365 ) / ( 86.4 ) )</f>
        <v>373.27578376916171</v>
      </c>
      <c r="C29" s="21">
        <f xml:space="preserve"> ( ( $B29 ) * ( 'Dados de Entrada'!$D$76 ) )</f>
        <v>447.93094052299404</v>
      </c>
      <c r="D29" s="21">
        <f xml:space="preserve"> ( ( $C29 ) * ( 'Dados de Entrada'!$D$77 ) )</f>
        <v>671.89641078449108</v>
      </c>
      <c r="E29" s="21">
        <f xml:space="preserve"> ( ( 'Evolução Volume'!$N29 ) / ( 365 ) / ( 86.4 ) )</f>
        <v>1.0882980264687117</v>
      </c>
      <c r="F29" s="21">
        <f xml:space="preserve"> ( ( $E29 ) * ( 'Dados de Entrada'!$E$76 ) )</f>
        <v>1.3059576317624539</v>
      </c>
      <c r="G29" s="21">
        <f xml:space="preserve"> ( ( $F29 ) * ( 'Dados de Entrada'!$E$77 ) )</f>
        <v>1.9589364476436808</v>
      </c>
      <c r="H29" s="21">
        <f xml:space="preserve"> ( ( 'Evolução Volume'!$P29 ) / ( 365 ) / ( 86.4 ) )</f>
        <v>0.1905174003170646</v>
      </c>
      <c r="I29" s="21">
        <f xml:space="preserve"> ( ( $H29 ) * ( 'Dados de Entrada'!$F$76 ) )</f>
        <v>0.22862088038047751</v>
      </c>
      <c r="J29" s="21">
        <f xml:space="preserve"> ( ( $I29 ) * ( 'Dados de Entrada'!$F$77 ) )</f>
        <v>0.34293132057071629</v>
      </c>
      <c r="K29" s="21">
        <f>('Evolução Volume'!R29/365/86.4)+('Evolução Volume'!U29/365/86.4)</f>
        <v>260.57986797128848</v>
      </c>
      <c r="L29" s="21">
        <f>(('Evolução Volume'!R29/365/86.4)*'Dados de Entrada'!$D$76)+('Evolução Volume'!U29/365/86.4)</f>
        <v>299.24874179295682</v>
      </c>
      <c r="M29" s="21">
        <f>(('Evolução Volume'!R29*'Dados de Entrada'!$D$76*'Dados de Entrada'!$D$77)/365/86.4)+('Evolução Volume'!U29/365/86.4)</f>
        <v>415.2553632579619</v>
      </c>
      <c r="N29" s="21">
        <f>('Evolução Volume'!S29/365/86.4)+('Evolução Volume'!W29/365/86.4)</f>
        <v>1.2371019717828</v>
      </c>
      <c r="O29" s="21">
        <f>(('Evolução Volume'!S29/365/86.4)*'Dados de Entrada'!$E$76)+('Evolução Volume'!W29/365/86.4)</f>
        <v>1.3498423661393599</v>
      </c>
      <c r="P29" s="21">
        <f>(('Evolução Volume'!S29*'Dados de Entrada'!$E$76*'Dados de Entrada'!$E$77)/365/86.4)+('Evolução Volume'!W29/365/86.4)</f>
        <v>1.6880635492090399</v>
      </c>
      <c r="Q29" s="21">
        <f>('Evolução Volume'!T29/365/86.4)+('Evolução Volume'!Y29/365/86.4)</f>
        <v>0.21018164014423113</v>
      </c>
      <c r="R29" s="21">
        <f>(('Evolução Volume'!T29/365/86.4)*'Dados de Entrada'!$F$76)+('Evolução Volume'!Y29/365/86.4)</f>
        <v>0.22991796817307736</v>
      </c>
      <c r="S29" s="21">
        <f>(('Evolução Volume'!T29*'Dados de Entrada'!$F$76*'Dados de Entrada'!$F$77)/365/86.4)+('Evolução Volume'!Y29/365/86.4)</f>
        <v>0.28912695225961604</v>
      </c>
    </row>
    <row r="30" spans="1:19" ht="15" customHeight="1">
      <c r="A30" s="2">
        <f t="shared" si="0"/>
        <v>27</v>
      </c>
      <c r="B30" s="21">
        <f xml:space="preserve"> ( ( 'Evolução Volume'!$L30 ) / ( 365 ) / ( 86.4 ) )</f>
        <v>377.56894984479959</v>
      </c>
      <c r="C30" s="21">
        <f xml:space="preserve"> ( ( $B30 ) * ( 'Dados de Entrada'!$D$76 ) )</f>
        <v>453.08273981375947</v>
      </c>
      <c r="D30" s="21">
        <f xml:space="preserve"> ( ( $C30 ) * ( 'Dados de Entrada'!$D$77 ) )</f>
        <v>679.62410972063924</v>
      </c>
      <c r="E30" s="21">
        <f xml:space="preserve"> ( ( 'Evolução Volume'!$N30 ) / ( 365 ) / ( 86.4 ) )</f>
        <v>1.1013471634767298</v>
      </c>
      <c r="F30" s="21">
        <f xml:space="preserve"> ( ( $E30 ) * ( 'Dados de Entrada'!$E$76 ) )</f>
        <v>1.3216165961720756</v>
      </c>
      <c r="G30" s="21">
        <f xml:space="preserve"> ( ( $F30 ) * ( 'Dados de Entrada'!$E$77 ) )</f>
        <v>1.9824248942581133</v>
      </c>
      <c r="H30" s="21">
        <f xml:space="preserve"> ( ( 'Evolução Volume'!$P30 ) / ( 365 ) / ( 86.4 ) )</f>
        <v>0.19312722771866819</v>
      </c>
      <c r="I30" s="21">
        <f xml:space="preserve"> ( ( $H30 ) * ( 'Dados de Entrada'!$F$76 ) )</f>
        <v>0.23175267326240181</v>
      </c>
      <c r="J30" s="21">
        <f xml:space="preserve"> ( ( $I30 ) * ( 'Dados de Entrada'!$F$77 ) )</f>
        <v>0.34762900989360274</v>
      </c>
      <c r="K30" s="21">
        <f>('Evolução Volume'!R30/365/86.4)+('Evolução Volume'!U30/365/86.4)</f>
        <v>263.43627950070999</v>
      </c>
      <c r="L30" s="21">
        <f>(('Evolução Volume'!R30/365/86.4)*'Dados de Entrada'!$D$76)+('Evolução Volume'!U30/365/86.4)</f>
        <v>302.54996580707723</v>
      </c>
      <c r="M30" s="21">
        <f>(('Evolução Volume'!R30*'Dados de Entrada'!$D$76*'Dados de Entrada'!$D$77)/365/86.4)+('Evolução Volume'!U30/365/86.4)</f>
        <v>419.8910247261789</v>
      </c>
      <c r="N30" s="21">
        <f>('Evolução Volume'!S30/365/86.4)+('Evolução Volume'!W30/365/86.4)</f>
        <v>1.2446619975284428</v>
      </c>
      <c r="O30" s="21">
        <f>(('Evolução Volume'!S30/365/86.4)*'Dados de Entrada'!$E$76)+('Evolução Volume'!W30/365/86.4)</f>
        <v>1.3587543970341311</v>
      </c>
      <c r="P30" s="21">
        <f>(('Evolução Volume'!S30*'Dados de Entrada'!$E$76*'Dados de Entrada'!$E$77)/365/86.4)+('Evolução Volume'!W30/365/86.4)</f>
        <v>1.7010315955511963</v>
      </c>
      <c r="Q30" s="21">
        <f>('Evolução Volume'!T30/365/86.4)+('Evolução Volume'!Y30/365/86.4)</f>
        <v>0.21173362041967952</v>
      </c>
      <c r="R30" s="21">
        <f>(('Evolução Volume'!T30/365/86.4)*'Dados de Entrada'!$F$76)+('Evolução Volume'!Y30/365/86.4)</f>
        <v>0.23174034450361541</v>
      </c>
      <c r="S30" s="21">
        <f>(('Evolução Volume'!T30*'Dados de Entrada'!$F$76*'Dados de Entrada'!$F$77)/365/86.4)+('Evolução Volume'!Y30/365/86.4)</f>
        <v>0.29176051675542314</v>
      </c>
    </row>
    <row r="31" spans="1:19" ht="15" customHeight="1">
      <c r="A31" s="2">
        <f t="shared" si="0"/>
        <v>28</v>
      </c>
      <c r="B31" s="21">
        <f xml:space="preserve"> ( ( 'Evolução Volume'!$L31 ) / ( 365 ) / ( 86.4 ) )</f>
        <v>381.91170264106813</v>
      </c>
      <c r="C31" s="21">
        <f xml:space="preserve"> ( ( $B31 ) * ( 'Dados de Entrada'!$D$76 ) )</f>
        <v>458.29404316928174</v>
      </c>
      <c r="D31" s="21">
        <f xml:space="preserve"> ( ( $C31 ) * ( 'Dados de Entrada'!$D$77 ) )</f>
        <v>687.44106475392255</v>
      </c>
      <c r="E31" s="21">
        <f xml:space="preserve"> ( ( 'Evolução Volume'!$N31 ) / ( 365 ) / ( 86.4 ) )</f>
        <v>1.1143963004847477</v>
      </c>
      <c r="F31" s="21">
        <f xml:space="preserve"> ( ( $E31 ) * ( 'Dados de Entrada'!$E$76 ) )</f>
        <v>1.3372755605816973</v>
      </c>
      <c r="G31" s="21">
        <f xml:space="preserve"> ( ( $F31 ) * ( 'Dados de Entrada'!$E$77 ) )</f>
        <v>2.0059133408725458</v>
      </c>
      <c r="H31" s="21">
        <f xml:space="preserve"> ( ( 'Evolução Volume'!$P31 ) / ( 365 ) / ( 86.4 ) )</f>
        <v>0.1957370551202719</v>
      </c>
      <c r="I31" s="21">
        <f xml:space="preserve"> ( ( $H31 ) * ( 'Dados de Entrada'!$F$76 ) )</f>
        <v>0.23488446614432626</v>
      </c>
      <c r="J31" s="21">
        <f xml:space="preserve"> ( ( $I31 ) * ( 'Dados de Entrada'!$F$77 ) )</f>
        <v>0.3523266992164894</v>
      </c>
      <c r="K31" s="21">
        <f>('Evolução Volume'!R31/365/86.4)+('Evolução Volume'!U31/365/86.4)</f>
        <v>266.32624234033869</v>
      </c>
      <c r="L31" s="21">
        <f>(('Evolução Volume'!R31/365/86.4)*'Dados de Entrada'!$D$76)+('Evolução Volume'!U31/365/86.4)</f>
        <v>305.88993731812218</v>
      </c>
      <c r="M31" s="21">
        <f>(('Evolução Volume'!R31*'Dados de Entrada'!$D$76*'Dados de Entrada'!$D$77)/365/86.4)+('Evolução Volume'!U31/365/86.4)</f>
        <v>424.58102225147263</v>
      </c>
      <c r="N31" s="21">
        <f>('Evolução Volume'!S31/365/86.4)+('Evolução Volume'!W31/365/86.4)</f>
        <v>1.2524228896345924</v>
      </c>
      <c r="O31" s="21">
        <f>(('Evolução Volume'!S31/365/86.4)*'Dados de Entrada'!$E$76)+('Evolução Volume'!W31/365/86.4)</f>
        <v>1.3678674675615108</v>
      </c>
      <c r="P31" s="21">
        <f>(('Evolução Volume'!S31*'Dados de Entrada'!$E$76*'Dados de Entrada'!$E$77)/365/86.4)+('Evolução Volume'!W31/365/86.4)</f>
        <v>1.7142012013422665</v>
      </c>
      <c r="Q31" s="21">
        <f>('Evolução Volume'!T31/365/86.4)+('Evolução Volume'!Y31/365/86.4)</f>
        <v>0.21328575344869893</v>
      </c>
      <c r="R31" s="21">
        <f>(('Evolução Volume'!T31/365/86.4)*'Dados de Entrada'!$F$76)+('Evolução Volume'!Y31/365/86.4)</f>
        <v>0.23356290413843872</v>
      </c>
      <c r="S31" s="21">
        <f>(('Evolução Volume'!T31*'Dados de Entrada'!$F$76*'Dados de Entrada'!$F$77)/365/86.4)+('Evolução Volume'!Y31/365/86.4)</f>
        <v>0.29439435620765808</v>
      </c>
    </row>
    <row r="32" spans="1:19" ht="15" customHeight="1">
      <c r="A32" s="2">
        <f t="shared" si="0"/>
        <v>29</v>
      </c>
      <c r="B32" s="21">
        <f xml:space="preserve"> ( ( 'Evolução Volume'!$L32 ) / ( 365 ) / ( 86.4 ) )</f>
        <v>386.30404215796688</v>
      </c>
      <c r="C32" s="21">
        <f xml:space="preserve"> ( ( $B32 ) * ( 'Dados de Entrada'!$D$76 ) )</f>
        <v>463.56485058956025</v>
      </c>
      <c r="D32" s="21">
        <f xml:space="preserve"> ( ( $C32 ) * ( 'Dados de Entrada'!$D$77 ) )</f>
        <v>695.34727588434043</v>
      </c>
      <c r="E32" s="21">
        <f xml:space="preserve"> ( ( 'Evolução Volume'!$N32 ) / ( 365 ) / ( 86.4 ) )</f>
        <v>1.1274454374927658</v>
      </c>
      <c r="F32" s="21">
        <f xml:space="preserve"> ( ( $E32 ) * ( 'Dados de Entrada'!$E$76 ) )</f>
        <v>1.3529345249913189</v>
      </c>
      <c r="G32" s="21">
        <f xml:space="preserve"> ( ( $F32 ) * ( 'Dados de Entrada'!$E$77 ) )</f>
        <v>2.0294017874869783</v>
      </c>
      <c r="H32" s="21">
        <f xml:space="preserve"> ( ( 'Evolução Volume'!$P32 ) / ( 365 ) / ( 86.4 ) )</f>
        <v>0.19834688252187546</v>
      </c>
      <c r="I32" s="21">
        <f xml:space="preserve"> ( ( $H32 ) * ( 'Dados de Entrada'!$F$76 ) )</f>
        <v>0.23801625902625054</v>
      </c>
      <c r="J32" s="21">
        <f xml:space="preserve"> ( ( $I32 ) * ( 'Dados de Entrada'!$F$77 ) )</f>
        <v>0.35702438853937579</v>
      </c>
      <c r="K32" s="21">
        <f>('Evolução Volume'!R32/365/86.4)+('Evolução Volume'!U32/365/86.4)</f>
        <v>269.24804617488189</v>
      </c>
      <c r="L32" s="21">
        <f>(('Evolução Volume'!R32/365/86.4)*'Dados de Entrada'!$D$76)+('Evolução Volume'!U32/365/86.4)</f>
        <v>309.26669301099486</v>
      </c>
      <c r="M32" s="21">
        <f>(('Evolução Volume'!R32*'Dados de Entrada'!$D$76*'Dados de Entrada'!$D$77)/365/86.4)+('Evolução Volume'!U32/365/86.4)</f>
        <v>429.32263351933364</v>
      </c>
      <c r="N32" s="21">
        <f>('Evolução Volume'!S32/365/86.4)+('Evolução Volume'!W32/365/86.4)</f>
        <v>1.2599809562691544</v>
      </c>
      <c r="O32" s="21">
        <f>(('Evolução Volume'!S32/365/86.4)*'Dados de Entrada'!$E$76)+('Evolução Volume'!W32/365/86.4)</f>
        <v>1.3767771475229853</v>
      </c>
      <c r="P32" s="21">
        <f>(('Evolução Volume'!S32*'Dados de Entrada'!$E$76*'Dados de Entrada'!$E$77)/365/86.4)+('Evolução Volume'!W32/365/86.4)</f>
        <v>1.7271657212844782</v>
      </c>
      <c r="Q32" s="21">
        <f>('Evolução Volume'!T32/365/86.4)+('Evolução Volume'!Y32/365/86.4)</f>
        <v>0.21483739045475864</v>
      </c>
      <c r="R32" s="21">
        <f>(('Evolução Volume'!T32/365/86.4)*'Dados de Entrada'!$F$76)+('Evolução Volume'!Y32/365/86.4)</f>
        <v>0.23538486854571036</v>
      </c>
      <c r="S32" s="21">
        <f>(('Evolução Volume'!T32*'Dados de Entrada'!$F$76*'Dados de Entrada'!$F$77)/365/86.4)+('Evolução Volume'!Y32/365/86.4)</f>
        <v>0.29702730281856554</v>
      </c>
    </row>
    <row r="33" spans="1:19" ht="15" customHeight="1">
      <c r="A33" s="2">
        <f t="shared" si="0"/>
        <v>30</v>
      </c>
      <c r="B33" s="21">
        <f xml:space="preserve"> ( ( 'Evolução Volume'!$L33 ) / ( 365 ) / ( 86.4 ) )</f>
        <v>390.74857822289795</v>
      </c>
      <c r="C33" s="21">
        <f xml:space="preserve"> ( ( $B33 ) * ( 'Dados de Entrada'!$D$76 ) )</f>
        <v>468.89829386747749</v>
      </c>
      <c r="D33" s="21">
        <f xml:space="preserve"> ( ( $C33 ) * ( 'Dados de Entrada'!$D$77 ) )</f>
        <v>703.34744080121618</v>
      </c>
      <c r="E33" s="21">
        <f xml:space="preserve"> ( ( 'Evolução Volume'!$N33 ) / ( 365 ) / ( 86.4 ) )</f>
        <v>1.140494574500784</v>
      </c>
      <c r="F33" s="21">
        <f xml:space="preserve"> ( ( $E33 ) * ( 'Dados de Entrada'!$E$76 ) )</f>
        <v>1.3685934894009406</v>
      </c>
      <c r="G33" s="21">
        <f xml:space="preserve"> ( ( $F33 ) * ( 'Dados de Entrada'!$E$77 ) )</f>
        <v>2.0528902341014108</v>
      </c>
      <c r="H33" s="21">
        <f xml:space="preserve"> ( ( 'Evolução Volume'!$P33 ) / ( 365 ) / ( 86.4 ) )</f>
        <v>0.20095670992347908</v>
      </c>
      <c r="I33" s="21">
        <f xml:space="preserve"> ( ( $H33 ) * ( 'Dados de Entrada'!$F$76 ) )</f>
        <v>0.2411480519081749</v>
      </c>
      <c r="J33" s="21">
        <f xml:space="preserve"> ( ( $I33 ) * ( 'Dados de Entrada'!$F$77 ) )</f>
        <v>0.36172207786226235</v>
      </c>
      <c r="K33" s="21">
        <f>('Evolução Volume'!R33/365/86.4)+('Evolução Volume'!U33/365/86.4)</f>
        <v>272.20650072772145</v>
      </c>
      <c r="L33" s="21">
        <f>(('Evolução Volume'!R33/365/86.4)*'Dados de Entrada'!$D$76)+('Evolução Volume'!U33/365/86.4)</f>
        <v>312.68582642724471</v>
      </c>
      <c r="M33" s="21">
        <f>(('Evolução Volume'!R33*'Dados de Entrada'!$D$76*'Dados de Entrada'!$D$77)/365/86.4)+('Evolução Volume'!U33/365/86.4)</f>
        <v>434.12380352581448</v>
      </c>
      <c r="N33" s="21">
        <f>('Evolução Volume'!S33/365/86.4)+('Evolução Volume'!W33/365/86.4)</f>
        <v>1.2675436893272756</v>
      </c>
      <c r="O33" s="21">
        <f>(('Evolução Volume'!S33/365/86.4)*'Dados de Entrada'!$E$76)+('Evolução Volume'!W33/365/86.4)</f>
        <v>1.3856924271927307</v>
      </c>
      <c r="P33" s="21">
        <f>(('Evolução Volume'!S33*'Dados de Entrada'!$E$76*'Dados de Entrada'!$E$77)/365/86.4)+('Evolução Volume'!W33/365/86.4)</f>
        <v>1.7401386407890962</v>
      </c>
      <c r="Q33" s="21">
        <f>('Evolução Volume'!T33/365/86.4)+('Evolução Volume'!Y33/365/86.4)</f>
        <v>0.21618984914919959</v>
      </c>
      <c r="R33" s="21">
        <f>(('Evolução Volume'!T33/365/86.4)*'Dados de Entrada'!$F$76)+('Evolução Volume'!Y33/365/86.4)</f>
        <v>0.2370078189790395</v>
      </c>
      <c r="S33" s="21">
        <f>(('Evolução Volume'!T33*'Dados de Entrada'!$F$76*'Dados de Entrada'!$F$77)/365/86.4)+('Evolução Volume'!Y33/365/86.4)</f>
        <v>0.29946172846855923</v>
      </c>
    </row>
  </sheetData>
  <mergeCells count="1">
    <mergeCell ref="A1:S1"/>
  </mergeCells>
  <printOptions horizontalCentered="1"/>
  <pageMargins left="1.1811023622047245" right="0.39370078740157483" top="1.1811023622047245" bottom="0.59055118110236227" header="0.39370078740157483" footer="0.39370078740157483"/>
  <pageSetup paperSize="9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M104"/>
  <sheetViews>
    <sheetView showGridLines="0" zoomScale="70" zoomScaleNormal="70" workbookViewId="0">
      <pane ySplit="4" topLeftCell="A59" activePane="bottomLeft" state="frozen"/>
      <selection activeCell="L3" sqref="L3:L108"/>
      <selection pane="bottomLeft" activeCell="O25" sqref="O25"/>
    </sheetView>
  </sheetViews>
  <sheetFormatPr defaultColWidth="11.44140625" defaultRowHeight="15" customHeight="1"/>
  <cols>
    <col min="1" max="1" width="10.77734375" style="16" customWidth="1"/>
    <col min="2" max="2" width="20" style="16" customWidth="1"/>
    <col min="3" max="3" width="18.77734375" style="16" customWidth="1"/>
    <col min="4" max="4" width="18" style="16" customWidth="1"/>
    <col min="5" max="5" width="17.109375" style="16" bestFit="1" customWidth="1"/>
    <col min="6" max="6" width="18.44140625" style="16" customWidth="1"/>
    <col min="7" max="7" width="18.44140625" style="16" bestFit="1" customWidth="1"/>
    <col min="8" max="8" width="16.33203125" style="16" bestFit="1" customWidth="1"/>
    <col min="9" max="9" width="24.77734375" style="16" customWidth="1"/>
    <col min="10" max="10" width="9.6640625" style="16" customWidth="1"/>
    <col min="11" max="11" width="9.44140625" style="16" customWidth="1"/>
    <col min="12" max="12" width="14.6640625" style="16" customWidth="1"/>
    <col min="13" max="13" width="15" style="16" customWidth="1"/>
    <col min="14" max="14" width="16.109375" style="16" customWidth="1"/>
    <col min="15" max="15" width="21.109375" style="16" customWidth="1"/>
    <col min="16" max="16384" width="11.44140625" style="16"/>
  </cols>
  <sheetData>
    <row r="1" spans="1:13" s="13" customFormat="1" ht="40.049999999999997" customHeight="1">
      <c r="A1" s="961" t="s">
        <v>367</v>
      </c>
      <c r="B1" s="961"/>
      <c r="C1" s="961"/>
      <c r="D1" s="961"/>
      <c r="E1" s="961"/>
      <c r="F1" s="961"/>
      <c r="G1" s="961"/>
      <c r="H1" s="961"/>
      <c r="I1" s="961"/>
    </row>
    <row r="2" spans="1:13" s="13" customFormat="1" ht="16.8" customHeight="1">
      <c r="A2" s="19"/>
      <c r="B2" s="19"/>
      <c r="C2" s="19"/>
      <c r="D2" s="19"/>
      <c r="E2" s="19"/>
      <c r="F2" s="19"/>
      <c r="G2" s="19"/>
      <c r="H2" s="19"/>
      <c r="I2" s="19"/>
    </row>
    <row r="3" spans="1:13" s="15" customFormat="1" ht="15" customHeight="1">
      <c r="A3" s="962" t="s">
        <v>888</v>
      </c>
      <c r="B3" s="963"/>
      <c r="C3" s="963"/>
      <c r="D3" s="963"/>
      <c r="E3" s="963"/>
      <c r="F3" s="963"/>
      <c r="G3" s="963"/>
      <c r="H3" s="963"/>
      <c r="I3" s="964"/>
    </row>
    <row r="4" spans="1:13" s="18" customFormat="1" ht="71.55" customHeight="1">
      <c r="A4" s="2" t="s">
        <v>1</v>
      </c>
      <c r="B4" s="1" t="s">
        <v>59</v>
      </c>
      <c r="C4" s="1" t="s">
        <v>60</v>
      </c>
      <c r="D4" s="176" t="s">
        <v>366</v>
      </c>
      <c r="E4" s="1" t="s">
        <v>365</v>
      </c>
      <c r="F4" s="1" t="s">
        <v>364</v>
      </c>
      <c r="G4" s="1" t="s">
        <v>398</v>
      </c>
      <c r="H4" s="176" t="s">
        <v>399</v>
      </c>
      <c r="I4" s="200" t="s">
        <v>368</v>
      </c>
      <c r="L4" s="684" t="s">
        <v>993</v>
      </c>
      <c r="M4" s="584" t="s">
        <v>1003</v>
      </c>
    </row>
    <row r="5" spans="1:13" ht="15" customHeight="1">
      <c r="A5" s="2">
        <v>1</v>
      </c>
      <c r="B5" s="21">
        <f>Vazões!B4</f>
        <v>375.36841760261473</v>
      </c>
      <c r="C5" s="21">
        <f>Vazões!C4</f>
        <v>450.44210112313766</v>
      </c>
      <c r="D5" s="201">
        <f>C5*86.4</f>
        <v>38918.197537039094</v>
      </c>
      <c r="E5" s="21">
        <f>D5/3</f>
        <v>12972.732512346365</v>
      </c>
      <c r="F5" s="21">
        <f>'Dados de Entrada'!D34</f>
        <v>8740</v>
      </c>
      <c r="G5" s="21">
        <f>IF(E5-F5&lt;=0,"-",E5-F5)</f>
        <v>4232.7325123463652</v>
      </c>
      <c r="H5" s="201">
        <v>0</v>
      </c>
      <c r="I5" s="219">
        <f t="shared" ref="I5:I34" si="0">F5/D5</f>
        <v>0.22457360703002746</v>
      </c>
      <c r="L5" s="685">
        <f>H5</f>
        <v>0</v>
      </c>
      <c r="M5" s="685">
        <f t="shared" ref="M5:M34" si="1">SUM(L5:L5)</f>
        <v>0</v>
      </c>
    </row>
    <row r="6" spans="1:13" ht="15" customHeight="1">
      <c r="A6" s="2">
        <f xml:space="preserve"> ( ( A5 ) + ( 1 ) )</f>
        <v>2</v>
      </c>
      <c r="B6" s="21">
        <f>Vazões!B5</f>
        <v>369.39800114321605</v>
      </c>
      <c r="C6" s="21">
        <f>Vazões!C5</f>
        <v>443.27760137185925</v>
      </c>
      <c r="D6" s="201">
        <f t="shared" ref="D6:D34" si="2">C6*86.4</f>
        <v>38299.184758528645</v>
      </c>
      <c r="E6" s="21">
        <f t="shared" ref="E6:E34" si="3">D6/3</f>
        <v>12766.394919509548</v>
      </c>
      <c r="F6" s="21">
        <f>F5+H5</f>
        <v>8740</v>
      </c>
      <c r="G6" s="21">
        <f t="shared" ref="G6:G34" si="4">IF(E6-F6&lt;=0,"-",E6-F6)</f>
        <v>4026.3949195095483</v>
      </c>
      <c r="H6" s="201">
        <v>0</v>
      </c>
      <c r="I6" s="219">
        <f t="shared" si="0"/>
        <v>0.22820329088215735</v>
      </c>
      <c r="L6" s="685">
        <f t="shared" ref="L6:L34" si="5">H6</f>
        <v>0</v>
      </c>
      <c r="M6" s="685">
        <f t="shared" si="1"/>
        <v>0</v>
      </c>
    </row>
    <row r="7" spans="1:13" ht="15" customHeight="1">
      <c r="A7" s="2">
        <f t="shared" ref="A7:A34" si="6" xml:space="preserve"> ( ( A6 ) + ( 1 ) )</f>
        <v>3</v>
      </c>
      <c r="B7" s="21">
        <f>Vazões!B6</f>
        <v>364.95962437229701</v>
      </c>
      <c r="C7" s="21">
        <f>Vazões!C6</f>
        <v>437.95154924675643</v>
      </c>
      <c r="D7" s="201">
        <f t="shared" si="2"/>
        <v>37839.013854919758</v>
      </c>
      <c r="E7" s="21">
        <f t="shared" si="3"/>
        <v>12613.004618306586</v>
      </c>
      <c r="F7" s="21">
        <f t="shared" ref="F7:F34" si="7">F6+H6</f>
        <v>8740</v>
      </c>
      <c r="G7" s="21">
        <f t="shared" si="4"/>
        <v>3873.0046183065861</v>
      </c>
      <c r="H7" s="793">
        <v>3000</v>
      </c>
      <c r="I7" s="219">
        <f t="shared" si="0"/>
        <v>0.23097853536855958</v>
      </c>
      <c r="L7" s="685">
        <f t="shared" si="5"/>
        <v>3000</v>
      </c>
      <c r="M7" s="685">
        <f t="shared" si="1"/>
        <v>3000</v>
      </c>
    </row>
    <row r="8" spans="1:13" ht="15" customHeight="1">
      <c r="A8" s="2">
        <f t="shared" si="6"/>
        <v>4</v>
      </c>
      <c r="B8" s="21">
        <f>Vazões!B7</f>
        <v>354.93652661809296</v>
      </c>
      <c r="C8" s="21">
        <f>Vazões!C7</f>
        <v>425.92383194171151</v>
      </c>
      <c r="D8" s="201">
        <f t="shared" si="2"/>
        <v>36799.819079763874</v>
      </c>
      <c r="E8" s="21">
        <f t="shared" si="3"/>
        <v>12266.606359921292</v>
      </c>
      <c r="F8" s="21">
        <f t="shared" si="7"/>
        <v>11740</v>
      </c>
      <c r="G8" s="21">
        <f t="shared" si="4"/>
        <v>526.6063599212921</v>
      </c>
      <c r="H8" s="201">
        <v>0</v>
      </c>
      <c r="I8" s="219">
        <f t="shared" si="0"/>
        <v>0.31902330754815572</v>
      </c>
      <c r="L8" s="685">
        <f t="shared" si="5"/>
        <v>0</v>
      </c>
      <c r="M8" s="685">
        <f t="shared" si="1"/>
        <v>0</v>
      </c>
    </row>
    <row r="9" spans="1:13" ht="15" customHeight="1">
      <c r="A9" s="2">
        <f t="shared" si="6"/>
        <v>5</v>
      </c>
      <c r="B9" s="21">
        <f>Vazões!B8</f>
        <v>351.57216443949352</v>
      </c>
      <c r="C9" s="21">
        <f>Vazões!C8</f>
        <v>421.88659732739222</v>
      </c>
      <c r="D9" s="201">
        <f t="shared" si="2"/>
        <v>36451.002009086689</v>
      </c>
      <c r="E9" s="21">
        <f t="shared" si="3"/>
        <v>12150.334003028896</v>
      </c>
      <c r="F9" s="21">
        <f t="shared" si="7"/>
        <v>11740</v>
      </c>
      <c r="G9" s="21">
        <f t="shared" si="4"/>
        <v>410.3340030288964</v>
      </c>
      <c r="H9" s="201">
        <v>0</v>
      </c>
      <c r="I9" s="219">
        <f t="shared" si="0"/>
        <v>0.32207619414888494</v>
      </c>
      <c r="L9" s="685">
        <f t="shared" si="5"/>
        <v>0</v>
      </c>
      <c r="M9" s="685">
        <f t="shared" si="1"/>
        <v>0</v>
      </c>
    </row>
    <row r="10" spans="1:13" ht="15" customHeight="1">
      <c r="A10" s="2">
        <f t="shared" si="6"/>
        <v>6</v>
      </c>
      <c r="B10" s="21">
        <f>Vazões!B9</f>
        <v>339.78447099224422</v>
      </c>
      <c r="C10" s="21">
        <f>Vazões!C9</f>
        <v>407.74136519069305</v>
      </c>
      <c r="D10" s="201">
        <f t="shared" si="2"/>
        <v>35228.853952475882</v>
      </c>
      <c r="E10" s="21">
        <f t="shared" si="3"/>
        <v>11742.951317491961</v>
      </c>
      <c r="F10" s="21">
        <f t="shared" si="7"/>
        <v>11740</v>
      </c>
      <c r="G10" s="21">
        <f t="shared" si="4"/>
        <v>2.9513174919611629</v>
      </c>
      <c r="H10" s="793">
        <v>1800</v>
      </c>
      <c r="I10" s="219">
        <f t="shared" si="0"/>
        <v>0.33324955775846105</v>
      </c>
      <c r="L10" s="685">
        <f t="shared" si="5"/>
        <v>1800</v>
      </c>
      <c r="M10" s="685">
        <f t="shared" si="1"/>
        <v>1800</v>
      </c>
    </row>
    <row r="11" spans="1:13" ht="15" customHeight="1">
      <c r="A11" s="2">
        <f t="shared" si="6"/>
        <v>7</v>
      </c>
      <c r="B11" s="21">
        <f>Vazões!B10</f>
        <v>329.03398965717707</v>
      </c>
      <c r="C11" s="21">
        <f>Vazões!C10</f>
        <v>394.8407875886125</v>
      </c>
      <c r="D11" s="201">
        <f t="shared" si="2"/>
        <v>34114.244047656124</v>
      </c>
      <c r="E11" s="21">
        <f t="shared" si="3"/>
        <v>11371.414682552042</v>
      </c>
      <c r="F11" s="21">
        <f t="shared" si="7"/>
        <v>13540</v>
      </c>
      <c r="G11" s="21" t="str">
        <f t="shared" si="4"/>
        <v>-</v>
      </c>
      <c r="H11" s="201">
        <v>0</v>
      </c>
      <c r="I11" s="219">
        <f t="shared" si="0"/>
        <v>0.39690165729849403</v>
      </c>
      <c r="L11" s="685">
        <f t="shared" si="5"/>
        <v>0</v>
      </c>
      <c r="M11" s="685">
        <f t="shared" si="1"/>
        <v>0</v>
      </c>
    </row>
    <row r="12" spans="1:13" ht="15" customHeight="1">
      <c r="A12" s="2">
        <f t="shared" si="6"/>
        <v>8</v>
      </c>
      <c r="B12" s="21">
        <f>Vazões!B11</f>
        <v>314.75877748444725</v>
      </c>
      <c r="C12" s="21">
        <f>Vazões!C11</f>
        <v>377.71053298133671</v>
      </c>
      <c r="D12" s="201">
        <f t="shared" si="2"/>
        <v>32634.190049587494</v>
      </c>
      <c r="E12" s="21">
        <f t="shared" si="3"/>
        <v>10878.063349862497</v>
      </c>
      <c r="F12" s="21">
        <f t="shared" si="7"/>
        <v>13540</v>
      </c>
      <c r="G12" s="21" t="str">
        <f t="shared" si="4"/>
        <v>-</v>
      </c>
      <c r="H12" s="201">
        <v>0</v>
      </c>
      <c r="I12" s="219">
        <f t="shared" si="0"/>
        <v>0.41490228436575372</v>
      </c>
      <c r="L12" s="685">
        <f t="shared" si="5"/>
        <v>0</v>
      </c>
      <c r="M12" s="685">
        <f t="shared" si="1"/>
        <v>0</v>
      </c>
    </row>
    <row r="13" spans="1:13" ht="15" customHeight="1">
      <c r="A13" s="2">
        <f t="shared" si="6"/>
        <v>9</v>
      </c>
      <c r="B13" s="21">
        <f>Vazões!B12</f>
        <v>310.14800893341027</v>
      </c>
      <c r="C13" s="21">
        <f>Vazões!C12</f>
        <v>372.17761072009233</v>
      </c>
      <c r="D13" s="201">
        <f t="shared" si="2"/>
        <v>32156.145566215979</v>
      </c>
      <c r="E13" s="21">
        <f t="shared" si="3"/>
        <v>10718.715188738659</v>
      </c>
      <c r="F13" s="21">
        <f t="shared" si="7"/>
        <v>13540</v>
      </c>
      <c r="G13" s="21" t="str">
        <f t="shared" si="4"/>
        <v>-</v>
      </c>
      <c r="H13" s="201">
        <v>0</v>
      </c>
      <c r="I13" s="219">
        <f t="shared" si="0"/>
        <v>0.42107036653750723</v>
      </c>
      <c r="L13" s="685">
        <f t="shared" si="5"/>
        <v>0</v>
      </c>
      <c r="M13" s="685">
        <f t="shared" si="1"/>
        <v>0</v>
      </c>
    </row>
    <row r="14" spans="1:13" ht="15" customHeight="1">
      <c r="A14" s="2">
        <f t="shared" si="6"/>
        <v>10</v>
      </c>
      <c r="B14" s="21">
        <f>Vazões!B13</f>
        <v>309.85697791019351</v>
      </c>
      <c r="C14" s="21">
        <f>Vazões!C13</f>
        <v>371.82837349223217</v>
      </c>
      <c r="D14" s="201">
        <f t="shared" si="2"/>
        <v>32125.971469728862</v>
      </c>
      <c r="E14" s="21">
        <f t="shared" si="3"/>
        <v>10708.657156576288</v>
      </c>
      <c r="F14" s="21">
        <f t="shared" si="7"/>
        <v>13540</v>
      </c>
      <c r="G14" s="21" t="str">
        <f t="shared" si="4"/>
        <v>-</v>
      </c>
      <c r="H14" s="201">
        <v>0</v>
      </c>
      <c r="I14" s="219">
        <f t="shared" si="0"/>
        <v>0.42146585396672753</v>
      </c>
      <c r="L14" s="685">
        <f t="shared" si="5"/>
        <v>0</v>
      </c>
      <c r="M14" s="685">
        <f t="shared" si="1"/>
        <v>0</v>
      </c>
    </row>
    <row r="15" spans="1:13" ht="15" customHeight="1">
      <c r="A15" s="2">
        <f t="shared" si="6"/>
        <v>11</v>
      </c>
      <c r="B15" s="21">
        <f>Vazões!B14</f>
        <v>313.70125367275568</v>
      </c>
      <c r="C15" s="21">
        <f>Vazões!C14</f>
        <v>376.44150440730681</v>
      </c>
      <c r="D15" s="201">
        <f>C15*86.4</f>
        <v>32524.54598079131</v>
      </c>
      <c r="E15" s="21">
        <f t="shared" si="3"/>
        <v>10841.515326930437</v>
      </c>
      <c r="F15" s="21">
        <f t="shared" si="7"/>
        <v>13540</v>
      </c>
      <c r="G15" s="21" t="str">
        <f t="shared" si="4"/>
        <v>-</v>
      </c>
      <c r="H15" s="201">
        <v>0</v>
      </c>
      <c r="I15" s="219">
        <f t="shared" si="0"/>
        <v>0.41630096875131156</v>
      </c>
      <c r="L15" s="685">
        <f t="shared" si="5"/>
        <v>0</v>
      </c>
      <c r="M15" s="685">
        <f t="shared" si="1"/>
        <v>0</v>
      </c>
    </row>
    <row r="16" spans="1:13" ht="15" customHeight="1">
      <c r="A16" s="2">
        <f t="shared" si="6"/>
        <v>12</v>
      </c>
      <c r="B16" s="21">
        <f>Vazões!B15</f>
        <v>317.54552943531786</v>
      </c>
      <c r="C16" s="21">
        <f>Vazões!C15</f>
        <v>381.05463532238144</v>
      </c>
      <c r="D16" s="201">
        <f t="shared" si="2"/>
        <v>32923.120491853762</v>
      </c>
      <c r="E16" s="21">
        <f t="shared" si="3"/>
        <v>10974.373497284587</v>
      </c>
      <c r="F16" s="21">
        <f t="shared" si="7"/>
        <v>13540</v>
      </c>
      <c r="G16" s="21" t="str">
        <f t="shared" si="4"/>
        <v>-</v>
      </c>
      <c r="H16" s="201">
        <v>0</v>
      </c>
      <c r="I16" s="219">
        <f t="shared" si="0"/>
        <v>0.41126113800027647</v>
      </c>
      <c r="L16" s="685">
        <f t="shared" si="5"/>
        <v>0</v>
      </c>
      <c r="M16" s="685">
        <f t="shared" si="1"/>
        <v>0</v>
      </c>
    </row>
    <row r="17" spans="1:13" ht="15" customHeight="1">
      <c r="A17" s="2">
        <f t="shared" si="6"/>
        <v>13</v>
      </c>
      <c r="B17" s="21">
        <f>Vazões!B16</f>
        <v>321.38980519787998</v>
      </c>
      <c r="C17" s="21">
        <f>Vazões!C16</f>
        <v>385.66776623745596</v>
      </c>
      <c r="D17" s="201">
        <f t="shared" si="2"/>
        <v>33321.695002916196</v>
      </c>
      <c r="E17" s="21">
        <f t="shared" si="3"/>
        <v>11107.231667638733</v>
      </c>
      <c r="F17" s="21">
        <f t="shared" si="7"/>
        <v>13540</v>
      </c>
      <c r="G17" s="21" t="str">
        <f t="shared" si="4"/>
        <v>-</v>
      </c>
      <c r="H17" s="201">
        <v>0</v>
      </c>
      <c r="I17" s="219">
        <f t="shared" si="0"/>
        <v>0.4063418742298382</v>
      </c>
      <c r="L17" s="685">
        <f t="shared" si="5"/>
        <v>0</v>
      </c>
      <c r="M17" s="685">
        <f t="shared" si="1"/>
        <v>0</v>
      </c>
    </row>
    <row r="18" spans="1:13" ht="15" customHeight="1">
      <c r="A18" s="2">
        <f t="shared" si="6"/>
        <v>14</v>
      </c>
      <c r="B18" s="21">
        <f>Vazões!B17</f>
        <v>325.23408096044216</v>
      </c>
      <c r="C18" s="21">
        <f>Vazões!C17</f>
        <v>390.2808971525306</v>
      </c>
      <c r="D18" s="201">
        <f t="shared" si="2"/>
        <v>33720.269513978645</v>
      </c>
      <c r="E18" s="21">
        <f t="shared" si="3"/>
        <v>11240.089837992882</v>
      </c>
      <c r="F18" s="21">
        <f t="shared" si="7"/>
        <v>13540</v>
      </c>
      <c r="G18" s="21" t="str">
        <f t="shared" si="4"/>
        <v>-</v>
      </c>
      <c r="H18" s="201">
        <v>0</v>
      </c>
      <c r="I18" s="219">
        <f t="shared" si="0"/>
        <v>0.40153890212493792</v>
      </c>
      <c r="L18" s="685">
        <f t="shared" si="5"/>
        <v>0</v>
      </c>
      <c r="M18" s="685">
        <f t="shared" si="1"/>
        <v>0</v>
      </c>
    </row>
    <row r="19" spans="1:13" ht="15" customHeight="1">
      <c r="A19" s="2">
        <f t="shared" si="6"/>
        <v>15</v>
      </c>
      <c r="B19" s="21">
        <f>Vazões!B18</f>
        <v>329.08096655040583</v>
      </c>
      <c r="C19" s="21">
        <f>Vazões!C18</f>
        <v>394.89715986048697</v>
      </c>
      <c r="D19" s="201">
        <f t="shared" si="2"/>
        <v>34119.114611946075</v>
      </c>
      <c r="E19" s="21">
        <f t="shared" si="3"/>
        <v>11373.038203982025</v>
      </c>
      <c r="F19" s="21">
        <f t="shared" si="7"/>
        <v>13540</v>
      </c>
      <c r="G19" s="21" t="str">
        <f t="shared" si="4"/>
        <v>-</v>
      </c>
      <c r="H19" s="201">
        <v>0</v>
      </c>
      <c r="I19" s="219">
        <f t="shared" si="0"/>
        <v>0.39684499888104541</v>
      </c>
      <c r="L19" s="685">
        <f t="shared" si="5"/>
        <v>0</v>
      </c>
      <c r="M19" s="685">
        <f t="shared" si="1"/>
        <v>0</v>
      </c>
    </row>
    <row r="20" spans="1:13" ht="15" customHeight="1">
      <c r="A20" s="2">
        <f t="shared" si="6"/>
        <v>16</v>
      </c>
      <c r="B20" s="21">
        <f>Vazões!B19</f>
        <v>332.92524231296807</v>
      </c>
      <c r="C20" s="21">
        <f>Vazões!C19</f>
        <v>399.51029077556166</v>
      </c>
      <c r="D20" s="201">
        <f t="shared" si="2"/>
        <v>34517.689123008531</v>
      </c>
      <c r="E20" s="21">
        <f t="shared" si="3"/>
        <v>11505.896374336176</v>
      </c>
      <c r="F20" s="21">
        <f t="shared" si="7"/>
        <v>13540</v>
      </c>
      <c r="G20" s="21" t="str">
        <f t="shared" si="4"/>
        <v>-</v>
      </c>
      <c r="H20" s="201">
        <v>0</v>
      </c>
      <c r="I20" s="219">
        <f t="shared" si="0"/>
        <v>0.39226264399532507</v>
      </c>
      <c r="L20" s="685">
        <f t="shared" si="5"/>
        <v>0</v>
      </c>
      <c r="M20" s="685">
        <f t="shared" si="1"/>
        <v>0</v>
      </c>
    </row>
    <row r="21" spans="1:13" ht="15" customHeight="1">
      <c r="A21" s="2">
        <f t="shared" si="6"/>
        <v>17</v>
      </c>
      <c r="B21" s="21">
        <f>Vazões!B20</f>
        <v>336.76951807553013</v>
      </c>
      <c r="C21" s="21">
        <f>Vazões!C20</f>
        <v>404.12342169063612</v>
      </c>
      <c r="D21" s="201">
        <f t="shared" si="2"/>
        <v>34916.263634070965</v>
      </c>
      <c r="E21" s="21">
        <f t="shared" si="3"/>
        <v>11638.754544690322</v>
      </c>
      <c r="F21" s="21">
        <f t="shared" si="7"/>
        <v>13540</v>
      </c>
      <c r="G21" s="21" t="str">
        <f t="shared" si="4"/>
        <v>-</v>
      </c>
      <c r="H21" s="201">
        <v>0</v>
      </c>
      <c r="I21" s="219">
        <f t="shared" si="0"/>
        <v>0.38778490567896257</v>
      </c>
      <c r="L21" s="685">
        <f t="shared" si="5"/>
        <v>0</v>
      </c>
      <c r="M21" s="685">
        <f t="shared" si="1"/>
        <v>0</v>
      </c>
    </row>
    <row r="22" spans="1:13" ht="15" customHeight="1">
      <c r="A22" s="2">
        <f t="shared" si="6"/>
        <v>18</v>
      </c>
      <c r="B22" s="21">
        <f>Vazões!B21</f>
        <v>340.64250193950994</v>
      </c>
      <c r="C22" s="21">
        <f>Vazões!C21</f>
        <v>408.77100232741191</v>
      </c>
      <c r="D22" s="201">
        <f t="shared" si="2"/>
        <v>35317.814601088394</v>
      </c>
      <c r="E22" s="21">
        <f t="shared" si="3"/>
        <v>11772.604867029464</v>
      </c>
      <c r="F22" s="21">
        <f t="shared" si="7"/>
        <v>13540</v>
      </c>
      <c r="G22" s="21" t="str">
        <f t="shared" si="4"/>
        <v>-</v>
      </c>
      <c r="H22" s="201">
        <v>0</v>
      </c>
      <c r="I22" s="219">
        <f t="shared" si="0"/>
        <v>0.38337592948298493</v>
      </c>
      <c r="L22" s="685">
        <f t="shared" si="5"/>
        <v>0</v>
      </c>
      <c r="M22" s="685">
        <f t="shared" si="1"/>
        <v>0</v>
      </c>
    </row>
    <row r="23" spans="1:13" s="18" customFormat="1" ht="15" customHeight="1">
      <c r="A23" s="2">
        <f t="shared" si="6"/>
        <v>19</v>
      </c>
      <c r="B23" s="21">
        <f>Vazões!B22</f>
        <v>344.55985286931696</v>
      </c>
      <c r="C23" s="21">
        <f>Vazões!C22</f>
        <v>413.47182344318031</v>
      </c>
      <c r="D23" s="201">
        <f t="shared" si="2"/>
        <v>35723.965545490784</v>
      </c>
      <c r="E23" s="21">
        <f t="shared" si="3"/>
        <v>11907.988515163595</v>
      </c>
      <c r="F23" s="21">
        <f t="shared" si="7"/>
        <v>13540</v>
      </c>
      <c r="G23" s="21" t="str">
        <f t="shared" si="4"/>
        <v>-</v>
      </c>
      <c r="H23" s="201">
        <v>0</v>
      </c>
      <c r="I23" s="219">
        <f t="shared" si="0"/>
        <v>0.37901727294967313</v>
      </c>
      <c r="J23" s="16"/>
      <c r="L23" s="685">
        <f t="shared" si="5"/>
        <v>0</v>
      </c>
      <c r="M23" s="685">
        <f t="shared" si="1"/>
        <v>0</v>
      </c>
    </row>
    <row r="24" spans="1:13" ht="15" customHeight="1">
      <c r="A24" s="2">
        <f t="shared" si="6"/>
        <v>20</v>
      </c>
      <c r="B24" s="21">
        <f>Vazões!B23</f>
        <v>348.52157086495134</v>
      </c>
      <c r="C24" s="21">
        <f>Vazões!C23</f>
        <v>418.22588503794162</v>
      </c>
      <c r="D24" s="201">
        <f t="shared" si="2"/>
        <v>36134.716467278158</v>
      </c>
      <c r="E24" s="21">
        <f t="shared" si="3"/>
        <v>12044.90548909272</v>
      </c>
      <c r="F24" s="21">
        <f t="shared" si="7"/>
        <v>13540</v>
      </c>
      <c r="G24" s="21" t="str">
        <f t="shared" si="4"/>
        <v>-</v>
      </c>
      <c r="H24" s="201">
        <v>0</v>
      </c>
      <c r="I24" s="219">
        <f t="shared" si="0"/>
        <v>0.37470890389471206</v>
      </c>
      <c r="L24" s="685">
        <f t="shared" si="5"/>
        <v>0</v>
      </c>
      <c r="M24" s="685">
        <f t="shared" si="1"/>
        <v>0</v>
      </c>
    </row>
    <row r="25" spans="1:13" ht="15" customHeight="1">
      <c r="A25" s="2">
        <f t="shared" si="6"/>
        <v>21</v>
      </c>
      <c r="B25" s="21">
        <f>Vazões!B24</f>
        <v>352.53026575381449</v>
      </c>
      <c r="C25" s="21">
        <f>Vazões!C24</f>
        <v>423.0363189045774</v>
      </c>
      <c r="D25" s="201">
        <f t="shared" si="2"/>
        <v>36550.337953355491</v>
      </c>
      <c r="E25" s="21">
        <f t="shared" si="3"/>
        <v>12183.44598445183</v>
      </c>
      <c r="F25" s="21">
        <f t="shared" si="7"/>
        <v>13540</v>
      </c>
      <c r="G25" s="21" t="str">
        <f t="shared" si="4"/>
        <v>-</v>
      </c>
      <c r="H25" s="201">
        <v>0</v>
      </c>
      <c r="I25" s="219">
        <f t="shared" si="0"/>
        <v>0.37044801110401127</v>
      </c>
      <c r="L25" s="685">
        <f t="shared" si="5"/>
        <v>0</v>
      </c>
      <c r="M25" s="685">
        <f t="shared" si="1"/>
        <v>0</v>
      </c>
    </row>
    <row r="26" spans="1:13" ht="15" customHeight="1">
      <c r="A26" s="2">
        <f t="shared" si="6"/>
        <v>22</v>
      </c>
      <c r="B26" s="21">
        <f>Vazões!B25</f>
        <v>356.58332770850484</v>
      </c>
      <c r="C26" s="21">
        <f>Vazões!C25</f>
        <v>427.8999932502058</v>
      </c>
      <c r="D26" s="201">
        <f t="shared" si="2"/>
        <v>36970.559416817785</v>
      </c>
      <c r="E26" s="21">
        <f t="shared" si="3"/>
        <v>12323.519805605929</v>
      </c>
      <c r="F26" s="21">
        <f t="shared" si="7"/>
        <v>13540</v>
      </c>
      <c r="G26" s="21" t="str">
        <f t="shared" si="4"/>
        <v>-</v>
      </c>
      <c r="H26" s="201">
        <v>0</v>
      </c>
      <c r="I26" s="219">
        <f t="shared" si="0"/>
        <v>0.36623735787564793</v>
      </c>
      <c r="L26" s="685">
        <f t="shared" si="5"/>
        <v>0</v>
      </c>
      <c r="M26" s="685">
        <f t="shared" si="1"/>
        <v>0</v>
      </c>
    </row>
    <row r="27" spans="1:13" s="18" customFormat="1" ht="15" customHeight="1">
      <c r="A27" s="2">
        <f t="shared" si="6"/>
        <v>23</v>
      </c>
      <c r="B27" s="21">
        <f>Vazões!B26</f>
        <v>360.68336655642412</v>
      </c>
      <c r="C27" s="21">
        <f>Vazões!C26</f>
        <v>432.82003986770894</v>
      </c>
      <c r="D27" s="201">
        <f t="shared" si="2"/>
        <v>37395.651444570052</v>
      </c>
      <c r="E27" s="21">
        <f t="shared" si="3"/>
        <v>12465.217148190017</v>
      </c>
      <c r="F27" s="21">
        <f t="shared" si="7"/>
        <v>13540</v>
      </c>
      <c r="G27" s="21" t="str">
        <f t="shared" si="4"/>
        <v>-</v>
      </c>
      <c r="H27" s="201">
        <v>0</v>
      </c>
      <c r="I27" s="219">
        <f t="shared" si="0"/>
        <v>0.36207418448291384</v>
      </c>
      <c r="J27" s="16"/>
      <c r="L27" s="685">
        <f t="shared" si="5"/>
        <v>0</v>
      </c>
      <c r="M27" s="685">
        <f t="shared" si="1"/>
        <v>0</v>
      </c>
    </row>
    <row r="28" spans="1:13" s="18" customFormat="1" ht="15" customHeight="1">
      <c r="A28" s="2">
        <f t="shared" si="6"/>
        <v>24</v>
      </c>
      <c r="B28" s="21">
        <f>Vazões!B27</f>
        <v>364.83299212497388</v>
      </c>
      <c r="C28" s="21">
        <f>Vazões!C27</f>
        <v>437.79959054996863</v>
      </c>
      <c r="D28" s="201">
        <f t="shared" si="2"/>
        <v>37825.88462351729</v>
      </c>
      <c r="E28" s="21">
        <f t="shared" si="3"/>
        <v>12608.628207839096</v>
      </c>
      <c r="F28" s="21">
        <f t="shared" si="7"/>
        <v>13540</v>
      </c>
      <c r="G28" s="21" t="str">
        <f t="shared" si="4"/>
        <v>-</v>
      </c>
      <c r="H28" s="201">
        <v>0</v>
      </c>
      <c r="I28" s="219">
        <f t="shared" si="0"/>
        <v>0.35795593770679052</v>
      </c>
      <c r="J28" s="16"/>
      <c r="L28" s="685">
        <f t="shared" si="5"/>
        <v>0</v>
      </c>
      <c r="M28" s="685">
        <f t="shared" si="1"/>
        <v>0</v>
      </c>
    </row>
    <row r="29" spans="1:13" ht="15" customHeight="1">
      <c r="A29" s="2">
        <f t="shared" si="6"/>
        <v>25</v>
      </c>
      <c r="B29" s="21">
        <f>Vazões!B28</f>
        <v>369.03220441415408</v>
      </c>
      <c r="C29" s="21">
        <f>Vazões!C28</f>
        <v>442.83864529698491</v>
      </c>
      <c r="D29" s="201">
        <f t="shared" si="2"/>
        <v>38261.258953659497</v>
      </c>
      <c r="E29" s="21">
        <f t="shared" si="3"/>
        <v>12753.752984553166</v>
      </c>
      <c r="F29" s="21">
        <f t="shared" si="7"/>
        <v>13540</v>
      </c>
      <c r="G29" s="21" t="str">
        <f t="shared" si="4"/>
        <v>-</v>
      </c>
      <c r="H29" s="201">
        <v>0</v>
      </c>
      <c r="I29" s="219">
        <f t="shared" si="0"/>
        <v>0.35388276210145375</v>
      </c>
      <c r="L29" s="685">
        <f t="shared" si="5"/>
        <v>0</v>
      </c>
      <c r="M29" s="685">
        <f t="shared" si="1"/>
        <v>0</v>
      </c>
    </row>
    <row r="30" spans="1:13" ht="15" customHeight="1">
      <c r="A30" s="2">
        <f t="shared" si="6"/>
        <v>26</v>
      </c>
      <c r="B30" s="21">
        <f>Vazões!B29</f>
        <v>373.27578376916171</v>
      </c>
      <c r="C30" s="21">
        <f>Vazões!C29</f>
        <v>447.93094052299404</v>
      </c>
      <c r="D30" s="201">
        <f t="shared" si="2"/>
        <v>38701.233261186688</v>
      </c>
      <c r="E30" s="21">
        <f t="shared" si="3"/>
        <v>12900.41108706223</v>
      </c>
      <c r="F30" s="21">
        <f t="shared" si="7"/>
        <v>13540</v>
      </c>
      <c r="G30" s="21" t="str">
        <f t="shared" si="4"/>
        <v>-</v>
      </c>
      <c r="H30" s="201">
        <v>0</v>
      </c>
      <c r="I30" s="219">
        <f t="shared" si="0"/>
        <v>0.34985965198114788</v>
      </c>
      <c r="L30" s="685">
        <f t="shared" si="5"/>
        <v>0</v>
      </c>
      <c r="M30" s="685">
        <f t="shared" si="1"/>
        <v>0</v>
      </c>
    </row>
    <row r="31" spans="1:13" ht="15" customHeight="1">
      <c r="A31" s="2">
        <f t="shared" si="6"/>
        <v>27</v>
      </c>
      <c r="B31" s="21">
        <f>Vazões!B30</f>
        <v>377.56894984479959</v>
      </c>
      <c r="C31" s="21">
        <f>Vazões!C30</f>
        <v>453.08273981375947</v>
      </c>
      <c r="D31" s="201">
        <f t="shared" si="2"/>
        <v>39146.348719908819</v>
      </c>
      <c r="E31" s="21">
        <f t="shared" si="3"/>
        <v>13048.782906636274</v>
      </c>
      <c r="F31" s="21">
        <f t="shared" si="7"/>
        <v>13540</v>
      </c>
      <c r="G31" s="21" t="str">
        <f t="shared" si="4"/>
        <v>-</v>
      </c>
      <c r="H31" s="201">
        <v>0</v>
      </c>
      <c r="I31" s="219">
        <f t="shared" si="0"/>
        <v>0.34588155582218849</v>
      </c>
      <c r="L31" s="685">
        <f t="shared" si="5"/>
        <v>0</v>
      </c>
      <c r="M31" s="685">
        <f t="shared" si="1"/>
        <v>0</v>
      </c>
    </row>
    <row r="32" spans="1:13" ht="15" customHeight="1">
      <c r="A32" s="2">
        <f t="shared" si="6"/>
        <v>28</v>
      </c>
      <c r="B32" s="21">
        <f>Vazões!B31</f>
        <v>381.91170264106813</v>
      </c>
      <c r="C32" s="21">
        <f>Vazões!C31</f>
        <v>458.29404316928174</v>
      </c>
      <c r="D32" s="201">
        <f t="shared" si="2"/>
        <v>39596.605329825943</v>
      </c>
      <c r="E32" s="21">
        <f t="shared" si="3"/>
        <v>13198.868443275314</v>
      </c>
      <c r="F32" s="21">
        <f t="shared" si="7"/>
        <v>13540</v>
      </c>
      <c r="G32" s="21" t="str">
        <f t="shared" si="4"/>
        <v>-</v>
      </c>
      <c r="H32" s="201">
        <v>0</v>
      </c>
      <c r="I32" s="219">
        <f t="shared" si="0"/>
        <v>0.34194850511089303</v>
      </c>
      <c r="L32" s="685">
        <f t="shared" si="5"/>
        <v>0</v>
      </c>
      <c r="M32" s="685">
        <f t="shared" si="1"/>
        <v>0</v>
      </c>
    </row>
    <row r="33" spans="1:13" ht="15" customHeight="1">
      <c r="A33" s="2">
        <f t="shared" si="6"/>
        <v>29</v>
      </c>
      <c r="B33" s="21">
        <f>Vazões!B32</f>
        <v>386.30404215796688</v>
      </c>
      <c r="C33" s="21">
        <f>Vazões!C32</f>
        <v>463.56485058956025</v>
      </c>
      <c r="D33" s="201">
        <f t="shared" si="2"/>
        <v>40052.003090938008</v>
      </c>
      <c r="E33" s="21">
        <f t="shared" si="3"/>
        <v>13350.667696979335</v>
      </c>
      <c r="F33" s="21">
        <f t="shared" si="7"/>
        <v>13540</v>
      </c>
      <c r="G33" s="21" t="str">
        <f t="shared" si="4"/>
        <v>-</v>
      </c>
      <c r="H33" s="201">
        <v>0</v>
      </c>
      <c r="I33" s="219">
        <f t="shared" si="0"/>
        <v>0.33806049523309611</v>
      </c>
      <c r="L33" s="685">
        <f t="shared" si="5"/>
        <v>0</v>
      </c>
      <c r="M33" s="685">
        <f t="shared" si="1"/>
        <v>0</v>
      </c>
    </row>
    <row r="34" spans="1:13" ht="15" customHeight="1">
      <c r="A34" s="2">
        <f t="shared" si="6"/>
        <v>30</v>
      </c>
      <c r="B34" s="21">
        <f>Vazões!B33</f>
        <v>390.74857822289795</v>
      </c>
      <c r="C34" s="21">
        <f>Vazões!C33</f>
        <v>468.89829386747749</v>
      </c>
      <c r="D34" s="201">
        <f t="shared" si="2"/>
        <v>40512.812590150061</v>
      </c>
      <c r="E34" s="21">
        <f t="shared" si="3"/>
        <v>13504.270863383354</v>
      </c>
      <c r="F34" s="21">
        <f t="shared" si="7"/>
        <v>13540</v>
      </c>
      <c r="G34" s="21" t="str">
        <f t="shared" si="4"/>
        <v>-</v>
      </c>
      <c r="H34" s="201">
        <v>0</v>
      </c>
      <c r="I34" s="219">
        <f t="shared" si="0"/>
        <v>0.33421525523241502</v>
      </c>
      <c r="L34" s="685">
        <f t="shared" si="5"/>
        <v>0</v>
      </c>
      <c r="M34" s="685">
        <f t="shared" si="1"/>
        <v>0</v>
      </c>
    </row>
    <row r="35" spans="1:13" ht="15" customHeight="1">
      <c r="A35" s="18"/>
      <c r="B35" s="61"/>
      <c r="C35" s="61"/>
      <c r="D35" s="61"/>
      <c r="E35" s="61"/>
      <c r="F35" s="61"/>
      <c r="G35" s="61"/>
      <c r="H35" s="61">
        <f>SUM(H5:H34)</f>
        <v>4800</v>
      </c>
    </row>
    <row r="37" spans="1:13" ht="15" customHeight="1">
      <c r="A37" s="950" t="s">
        <v>889</v>
      </c>
      <c r="B37" s="965"/>
      <c r="C37" s="965"/>
      <c r="D37" s="965"/>
      <c r="E37" s="965"/>
      <c r="F37" s="965"/>
      <c r="G37" s="965"/>
      <c r="H37" s="965"/>
      <c r="I37" s="951"/>
    </row>
    <row r="38" spans="1:13" ht="52.8">
      <c r="A38" s="2" t="s">
        <v>1</v>
      </c>
      <c r="B38" s="1" t="s">
        <v>59</v>
      </c>
      <c r="C38" s="1" t="s">
        <v>60</v>
      </c>
      <c r="D38" s="176" t="s">
        <v>366</v>
      </c>
      <c r="E38" s="1" t="s">
        <v>365</v>
      </c>
      <c r="F38" s="1" t="s">
        <v>364</v>
      </c>
      <c r="G38" s="1" t="s">
        <v>398</v>
      </c>
      <c r="H38" s="176" t="s">
        <v>399</v>
      </c>
      <c r="I38" s="200" t="s">
        <v>368</v>
      </c>
      <c r="L38" s="684" t="s">
        <v>994</v>
      </c>
      <c r="M38" s="684" t="s">
        <v>994</v>
      </c>
    </row>
    <row r="39" spans="1:13" ht="15" customHeight="1">
      <c r="A39" s="2">
        <v>1</v>
      </c>
      <c r="B39" s="21">
        <f>Vazões!E4</f>
        <v>1.1104205623644463</v>
      </c>
      <c r="C39" s="21">
        <f>Vazões!F4</f>
        <v>1.3325046748373355</v>
      </c>
      <c r="D39" s="201">
        <f>C39*86.4</f>
        <v>115.12840390594579</v>
      </c>
      <c r="E39" s="21">
        <f>D39/3</f>
        <v>38.37613463531526</v>
      </c>
      <c r="F39" s="21">
        <f>'Dados de Entrada'!E34</f>
        <v>40</v>
      </c>
      <c r="G39" s="21" t="str">
        <f>IF(E39-F39&lt;=0,"-",E39-F39)</f>
        <v>-</v>
      </c>
      <c r="H39" s="201">
        <v>0</v>
      </c>
      <c r="I39" s="219">
        <f t="shared" ref="I39:I68" si="8">F39/D39</f>
        <v>0.34743815290515123</v>
      </c>
      <c r="L39" s="685">
        <v>0</v>
      </c>
      <c r="M39" s="685">
        <v>0</v>
      </c>
    </row>
    <row r="40" spans="1:13" ht="15" customHeight="1">
      <c r="A40" s="2">
        <f xml:space="preserve"> ( ( A39 ) + ( 1 ) )</f>
        <v>2</v>
      </c>
      <c r="B40" s="21">
        <f>Vazões!E5</f>
        <v>1.0915240818505008</v>
      </c>
      <c r="C40" s="21">
        <f>Vazões!F5</f>
        <v>1.3098288982206008</v>
      </c>
      <c r="D40" s="201">
        <f t="shared" ref="D40:D48" si="9">C40*86.4</f>
        <v>113.16921680625991</v>
      </c>
      <c r="E40" s="21">
        <f t="shared" ref="E40:E68" si="10">D40/3</f>
        <v>37.723072268753306</v>
      </c>
      <c r="F40" s="21">
        <f>F39+H39</f>
        <v>40</v>
      </c>
      <c r="G40" s="21" t="str">
        <f t="shared" ref="G40:G68" si="11">IF(E40-F40&lt;=0,"-",E40-F40)</f>
        <v>-</v>
      </c>
      <c r="H40" s="201">
        <v>0</v>
      </c>
      <c r="I40" s="219">
        <f t="shared" si="8"/>
        <v>0.35345300717666023</v>
      </c>
      <c r="L40" s="685">
        <v>0</v>
      </c>
      <c r="M40" s="685">
        <v>0</v>
      </c>
    </row>
    <row r="41" spans="1:13" ht="15" customHeight="1">
      <c r="A41" s="2">
        <f t="shared" ref="A41:A68" si="12" xml:space="preserve"> ( ( A40 ) + ( 1 ) )</f>
        <v>3</v>
      </c>
      <c r="B41" s="21">
        <f>Vazões!E6</f>
        <v>1.0772225227056684</v>
      </c>
      <c r="C41" s="21">
        <f>Vazões!F6</f>
        <v>1.2926670272468022</v>
      </c>
      <c r="D41" s="201">
        <f t="shared" si="9"/>
        <v>111.68643115412371</v>
      </c>
      <c r="E41" s="21">
        <f t="shared" si="10"/>
        <v>37.228810384707906</v>
      </c>
      <c r="F41" s="21">
        <f t="shared" ref="F41:F68" si="13">F40+H40</f>
        <v>40</v>
      </c>
      <c r="G41" s="21" t="str">
        <f t="shared" si="11"/>
        <v>-</v>
      </c>
      <c r="H41" s="201">
        <v>0</v>
      </c>
      <c r="I41" s="219">
        <f t="shared" si="8"/>
        <v>0.358145565102723</v>
      </c>
      <c r="L41" s="685">
        <v>0</v>
      </c>
      <c r="M41" s="685">
        <v>0</v>
      </c>
    </row>
    <row r="42" spans="1:13" ht="15" customHeight="1">
      <c r="A42" s="2">
        <f t="shared" si="12"/>
        <v>4</v>
      </c>
      <c r="B42" s="21">
        <f>Vazões!E7</f>
        <v>1.0465149481677902</v>
      </c>
      <c r="C42" s="21">
        <f>Vazões!F7</f>
        <v>1.2558179378013483</v>
      </c>
      <c r="D42" s="201">
        <f t="shared" si="9"/>
        <v>108.5026698260365</v>
      </c>
      <c r="E42" s="21">
        <f t="shared" si="10"/>
        <v>36.167556608678829</v>
      </c>
      <c r="F42" s="21">
        <f t="shared" si="13"/>
        <v>40</v>
      </c>
      <c r="G42" s="21" t="str">
        <f t="shared" si="11"/>
        <v>-</v>
      </c>
      <c r="H42" s="201">
        <v>0</v>
      </c>
      <c r="I42" s="219">
        <f t="shared" si="8"/>
        <v>0.36865452310189634</v>
      </c>
      <c r="L42" s="685">
        <v>0</v>
      </c>
      <c r="M42" s="685">
        <v>0</v>
      </c>
    </row>
    <row r="43" spans="1:13" ht="15" customHeight="1">
      <c r="A43" s="2">
        <f t="shared" si="12"/>
        <v>5</v>
      </c>
      <c r="B43" s="21">
        <f>Vazões!E8</f>
        <v>1.0355121625717609</v>
      </c>
      <c r="C43" s="21">
        <f>Vazões!F8</f>
        <v>1.2426145950861132</v>
      </c>
      <c r="D43" s="201">
        <f t="shared" si="9"/>
        <v>107.36190101544018</v>
      </c>
      <c r="E43" s="21">
        <f t="shared" si="10"/>
        <v>35.787300338480058</v>
      </c>
      <c r="F43" s="21">
        <f t="shared" si="13"/>
        <v>40</v>
      </c>
      <c r="G43" s="21" t="str">
        <f t="shared" si="11"/>
        <v>-</v>
      </c>
      <c r="H43" s="201">
        <v>0</v>
      </c>
      <c r="I43" s="219">
        <f t="shared" si="8"/>
        <v>0.37257164433263368</v>
      </c>
      <c r="L43" s="685">
        <v>0</v>
      </c>
      <c r="M43" s="685">
        <v>0</v>
      </c>
    </row>
    <row r="44" spans="1:13" ht="15" customHeight="1">
      <c r="A44" s="2">
        <f t="shared" si="12"/>
        <v>6</v>
      </c>
      <c r="B44" s="21">
        <f>Vazões!E9</f>
        <v>0.99976465076815779</v>
      </c>
      <c r="C44" s="21">
        <f>Vazões!F9</f>
        <v>1.1997175809217893</v>
      </c>
      <c r="D44" s="201">
        <f t="shared" si="9"/>
        <v>103.65559899164261</v>
      </c>
      <c r="E44" s="21">
        <f t="shared" si="10"/>
        <v>34.551866330547533</v>
      </c>
      <c r="F44" s="21">
        <f t="shared" si="13"/>
        <v>40</v>
      </c>
      <c r="G44" s="21" t="str">
        <f t="shared" si="11"/>
        <v>-</v>
      </c>
      <c r="H44" s="201">
        <v>0</v>
      </c>
      <c r="I44" s="219">
        <f t="shared" si="8"/>
        <v>0.38589328882490043</v>
      </c>
      <c r="L44" s="685">
        <v>0</v>
      </c>
      <c r="M44" s="685">
        <v>0</v>
      </c>
    </row>
    <row r="45" spans="1:13" ht="15" customHeight="1">
      <c r="A45" s="2">
        <f t="shared" si="12"/>
        <v>7</v>
      </c>
      <c r="B45" s="21">
        <f>Vazões!E10</f>
        <v>0.96717133118251974</v>
      </c>
      <c r="C45" s="21">
        <f>Vazões!F10</f>
        <v>1.1606055974190237</v>
      </c>
      <c r="D45" s="201">
        <f t="shared" si="9"/>
        <v>100.27632361700365</v>
      </c>
      <c r="E45" s="21">
        <f t="shared" si="10"/>
        <v>33.425441205667887</v>
      </c>
      <c r="F45" s="21">
        <f t="shared" si="13"/>
        <v>40</v>
      </c>
      <c r="G45" s="21" t="str">
        <f t="shared" si="11"/>
        <v>-</v>
      </c>
      <c r="H45" s="201">
        <v>0</v>
      </c>
      <c r="I45" s="219">
        <f t="shared" si="8"/>
        <v>0.39889775130544652</v>
      </c>
      <c r="L45" s="685">
        <v>0</v>
      </c>
      <c r="M45" s="685">
        <v>0</v>
      </c>
    </row>
    <row r="46" spans="1:13" ht="15" customHeight="1">
      <c r="A46" s="2">
        <f t="shared" si="12"/>
        <v>8</v>
      </c>
      <c r="B46" s="21">
        <f>Vazões!E11</f>
        <v>0.92431387140128385</v>
      </c>
      <c r="C46" s="21">
        <f>Vazões!F11</f>
        <v>1.1091766456815406</v>
      </c>
      <c r="D46" s="201">
        <f t="shared" si="9"/>
        <v>95.832862186885109</v>
      </c>
      <c r="E46" s="21">
        <f t="shared" si="10"/>
        <v>31.944287395628368</v>
      </c>
      <c r="F46" s="21">
        <f t="shared" si="13"/>
        <v>40</v>
      </c>
      <c r="G46" s="21" t="str">
        <f t="shared" si="11"/>
        <v>-</v>
      </c>
      <c r="H46" s="201">
        <v>0</v>
      </c>
      <c r="I46" s="219">
        <f t="shared" si="8"/>
        <v>0.4173933563832769</v>
      </c>
      <c r="L46" s="685">
        <v>0</v>
      </c>
      <c r="M46" s="685">
        <v>0</v>
      </c>
    </row>
    <row r="47" spans="1:13" ht="15" customHeight="1">
      <c r="A47" s="2">
        <f t="shared" si="12"/>
        <v>9</v>
      </c>
      <c r="B47" s="21">
        <f>Vazões!E12</f>
        <v>0.909912796775318</v>
      </c>
      <c r="C47" s="21">
        <f>Vazões!F12</f>
        <v>1.0918953561303815</v>
      </c>
      <c r="D47" s="201">
        <f t="shared" si="9"/>
        <v>94.339758769664968</v>
      </c>
      <c r="E47" s="21">
        <f t="shared" si="10"/>
        <v>31.446586256554991</v>
      </c>
      <c r="F47" s="21">
        <f t="shared" si="13"/>
        <v>40</v>
      </c>
      <c r="G47" s="21" t="str">
        <f t="shared" si="11"/>
        <v>-</v>
      </c>
      <c r="H47" s="201">
        <v>0</v>
      </c>
      <c r="I47" s="219">
        <f t="shared" si="8"/>
        <v>0.42399938818650057</v>
      </c>
      <c r="L47" s="685">
        <v>0</v>
      </c>
      <c r="M47" s="685">
        <v>0</v>
      </c>
    </row>
    <row r="48" spans="1:13" ht="15" customHeight="1">
      <c r="A48" s="2">
        <f t="shared" si="12"/>
        <v>10</v>
      </c>
      <c r="B48" s="21">
        <f>Vazões!E13</f>
        <v>0.90821993575806159</v>
      </c>
      <c r="C48" s="21">
        <f>Vazões!F13</f>
        <v>1.0898639229096738</v>
      </c>
      <c r="D48" s="201">
        <f t="shared" si="9"/>
        <v>94.16424293939582</v>
      </c>
      <c r="E48" s="21">
        <f t="shared" si="10"/>
        <v>31.388080979798605</v>
      </c>
      <c r="F48" s="21">
        <f t="shared" si="13"/>
        <v>40</v>
      </c>
      <c r="G48" s="21" t="str">
        <f t="shared" si="11"/>
        <v>-</v>
      </c>
      <c r="H48" s="201">
        <v>0</v>
      </c>
      <c r="I48" s="219">
        <f t="shared" si="8"/>
        <v>0.42478969459504956</v>
      </c>
      <c r="L48" s="685">
        <v>0</v>
      </c>
      <c r="M48" s="685">
        <v>0</v>
      </c>
    </row>
    <row r="49" spans="1:13" ht="15" customHeight="1">
      <c r="A49" s="2">
        <f t="shared" si="12"/>
        <v>11</v>
      </c>
      <c r="B49" s="21">
        <f>Vazões!E14</f>
        <v>0.91865924536447607</v>
      </c>
      <c r="C49" s="21">
        <f>Vazões!F14</f>
        <v>1.1023910944373712</v>
      </c>
      <c r="D49" s="201">
        <f>C49*86.4</f>
        <v>95.246590559388878</v>
      </c>
      <c r="E49" s="21">
        <f t="shared" si="10"/>
        <v>31.748863519796291</v>
      </c>
      <c r="F49" s="21">
        <f t="shared" si="13"/>
        <v>40</v>
      </c>
      <c r="G49" s="21" t="str">
        <f t="shared" si="11"/>
        <v>-</v>
      </c>
      <c r="H49" s="201">
        <v>0</v>
      </c>
      <c r="I49" s="219">
        <f t="shared" si="8"/>
        <v>0.41996253897465124</v>
      </c>
      <c r="L49" s="685">
        <v>0</v>
      </c>
      <c r="M49" s="685">
        <v>0</v>
      </c>
    </row>
    <row r="50" spans="1:13" ht="15" customHeight="1">
      <c r="A50" s="2">
        <f t="shared" si="12"/>
        <v>12</v>
      </c>
      <c r="B50" s="21">
        <f>Vazões!E15</f>
        <v>0.92909855497089044</v>
      </c>
      <c r="C50" s="21">
        <f>Vazões!F15</f>
        <v>1.1149182659650685</v>
      </c>
      <c r="D50" s="201">
        <f t="shared" ref="D50:D68" si="14">C50*86.4</f>
        <v>96.328938179381922</v>
      </c>
      <c r="E50" s="21">
        <f t="shared" si="10"/>
        <v>32.109646059793974</v>
      </c>
      <c r="F50" s="21">
        <f t="shared" si="13"/>
        <v>40</v>
      </c>
      <c r="G50" s="21" t="str">
        <f t="shared" si="11"/>
        <v>-</v>
      </c>
      <c r="H50" s="201">
        <v>0</v>
      </c>
      <c r="I50" s="219">
        <f t="shared" si="8"/>
        <v>0.41524385876145298</v>
      </c>
      <c r="L50" s="685">
        <v>0</v>
      </c>
      <c r="M50" s="685">
        <v>0</v>
      </c>
    </row>
    <row r="51" spans="1:13" ht="15" customHeight="1">
      <c r="A51" s="2">
        <f t="shared" si="12"/>
        <v>13</v>
      </c>
      <c r="B51" s="21">
        <f>Vazões!E16</f>
        <v>0.9395378645773047</v>
      </c>
      <c r="C51" s="21">
        <f>Vazões!F16</f>
        <v>1.1274454374927656</v>
      </c>
      <c r="D51" s="201">
        <f t="shared" si="14"/>
        <v>97.411285799374951</v>
      </c>
      <c r="E51" s="21">
        <f t="shared" si="10"/>
        <v>32.470428599791653</v>
      </c>
      <c r="F51" s="21">
        <f t="shared" si="13"/>
        <v>40</v>
      </c>
      <c r="G51" s="21" t="str">
        <f t="shared" si="11"/>
        <v>-</v>
      </c>
      <c r="H51" s="201">
        <v>0</v>
      </c>
      <c r="I51" s="219">
        <f t="shared" si="8"/>
        <v>0.41063003810854803</v>
      </c>
      <c r="L51" s="685">
        <v>0</v>
      </c>
      <c r="M51" s="685">
        <v>0</v>
      </c>
    </row>
    <row r="52" spans="1:13" ht="15" customHeight="1">
      <c r="A52" s="2">
        <f t="shared" si="12"/>
        <v>14</v>
      </c>
      <c r="B52" s="21">
        <f>Vazões!E17</f>
        <v>0.94997717418371941</v>
      </c>
      <c r="C52" s="21">
        <f>Vazões!F17</f>
        <v>1.1399726090204632</v>
      </c>
      <c r="D52" s="201">
        <f t="shared" si="14"/>
        <v>98.493633419368024</v>
      </c>
      <c r="E52" s="21">
        <f t="shared" si="10"/>
        <v>32.831211139789339</v>
      </c>
      <c r="F52" s="21">
        <f t="shared" si="13"/>
        <v>40</v>
      </c>
      <c r="G52" s="21" t="str">
        <f t="shared" si="11"/>
        <v>-</v>
      </c>
      <c r="H52" s="201">
        <v>0</v>
      </c>
      <c r="I52" s="219">
        <f t="shared" si="8"/>
        <v>0.40611762010735514</v>
      </c>
      <c r="L52" s="685">
        <v>0</v>
      </c>
      <c r="M52" s="685">
        <v>0</v>
      </c>
    </row>
    <row r="53" spans="1:13" ht="15" customHeight="1">
      <c r="A53" s="2">
        <f t="shared" si="12"/>
        <v>15</v>
      </c>
      <c r="B53" s="21">
        <f>Vazões!E18</f>
        <v>0.96041648379013411</v>
      </c>
      <c r="C53" s="21">
        <f>Vazões!F18</f>
        <v>1.1524997805481609</v>
      </c>
      <c r="D53" s="201">
        <f t="shared" si="14"/>
        <v>99.57598103936111</v>
      </c>
      <c r="E53" s="21">
        <f t="shared" si="10"/>
        <v>33.191993679787039</v>
      </c>
      <c r="F53" s="21">
        <f t="shared" si="13"/>
        <v>40</v>
      </c>
      <c r="G53" s="21" t="str">
        <f t="shared" si="11"/>
        <v>-</v>
      </c>
      <c r="H53" s="201">
        <v>0</v>
      </c>
      <c r="I53" s="219">
        <f t="shared" si="8"/>
        <v>0.40170329814966638</v>
      </c>
      <c r="L53" s="685">
        <v>0</v>
      </c>
      <c r="M53" s="685">
        <v>0</v>
      </c>
    </row>
    <row r="54" spans="1:13" ht="15" customHeight="1">
      <c r="A54" s="2">
        <f t="shared" si="12"/>
        <v>16</v>
      </c>
      <c r="B54" s="21">
        <f>Vazões!E19</f>
        <v>0.97085579339654837</v>
      </c>
      <c r="C54" s="21">
        <f>Vazões!F19</f>
        <v>1.165026952075858</v>
      </c>
      <c r="D54" s="201">
        <f t="shared" si="14"/>
        <v>100.65832865935414</v>
      </c>
      <c r="E54" s="21">
        <f t="shared" si="10"/>
        <v>33.552776219784711</v>
      </c>
      <c r="F54" s="21">
        <f t="shared" si="13"/>
        <v>40</v>
      </c>
      <c r="G54" s="21" t="str">
        <f t="shared" si="11"/>
        <v>-</v>
      </c>
      <c r="H54" s="201">
        <v>0</v>
      </c>
      <c r="I54" s="219">
        <f t="shared" si="8"/>
        <v>0.39738390784698185</v>
      </c>
      <c r="L54" s="685">
        <v>0</v>
      </c>
      <c r="M54" s="685">
        <v>0</v>
      </c>
    </row>
    <row r="55" spans="1:13" ht="15" customHeight="1">
      <c r="A55" s="2">
        <f t="shared" si="12"/>
        <v>17</v>
      </c>
      <c r="B55" s="21">
        <f>Vazões!E20</f>
        <v>0.98129510300296285</v>
      </c>
      <c r="C55" s="21">
        <f>Vazões!F20</f>
        <v>1.1775541236035554</v>
      </c>
      <c r="D55" s="201">
        <f t="shared" si="14"/>
        <v>101.7406762793472</v>
      </c>
      <c r="E55" s="21">
        <f t="shared" si="10"/>
        <v>33.913558759782397</v>
      </c>
      <c r="F55" s="21">
        <f t="shared" si="13"/>
        <v>40</v>
      </c>
      <c r="G55" s="21" t="str">
        <f t="shared" si="11"/>
        <v>-</v>
      </c>
      <c r="H55" s="201">
        <v>0</v>
      </c>
      <c r="I55" s="219">
        <f t="shared" si="8"/>
        <v>0.39315641946563101</v>
      </c>
      <c r="L55" s="685">
        <v>0</v>
      </c>
      <c r="M55" s="685">
        <v>0</v>
      </c>
    </row>
    <row r="56" spans="1:13" ht="15" customHeight="1">
      <c r="A56" s="2">
        <f t="shared" si="12"/>
        <v>18</v>
      </c>
      <c r="B56" s="21">
        <f>Vazões!E21</f>
        <v>0.99173441260937745</v>
      </c>
      <c r="C56" s="21">
        <f>Vazões!F21</f>
        <v>1.1900812951312529</v>
      </c>
      <c r="D56" s="201">
        <f t="shared" si="14"/>
        <v>102.82302389934026</v>
      </c>
      <c r="E56" s="21">
        <f t="shared" si="10"/>
        <v>34.274341299780083</v>
      </c>
      <c r="F56" s="21">
        <f t="shared" si="13"/>
        <v>40</v>
      </c>
      <c r="G56" s="21" t="str">
        <f t="shared" si="11"/>
        <v>-</v>
      </c>
      <c r="H56" s="201">
        <v>0</v>
      </c>
      <c r="I56" s="219">
        <f t="shared" si="8"/>
        <v>0.38901793083967695</v>
      </c>
      <c r="L56" s="685">
        <v>0</v>
      </c>
      <c r="M56" s="685">
        <v>0</v>
      </c>
    </row>
    <row r="57" spans="1:13" ht="15" customHeight="1">
      <c r="A57" s="2">
        <f t="shared" si="12"/>
        <v>19</v>
      </c>
      <c r="B57" s="21">
        <f>Vazões!E22</f>
        <v>1.0021737222157918</v>
      </c>
      <c r="C57" s="21">
        <f>Vazões!F22</f>
        <v>1.20260846665895</v>
      </c>
      <c r="D57" s="201">
        <f t="shared" si="14"/>
        <v>103.90537151933329</v>
      </c>
      <c r="E57" s="21">
        <f t="shared" si="10"/>
        <v>34.635123839777762</v>
      </c>
      <c r="F57" s="21">
        <f t="shared" si="13"/>
        <v>40</v>
      </c>
      <c r="G57" s="21" t="str">
        <f t="shared" si="11"/>
        <v>-</v>
      </c>
      <c r="H57" s="201">
        <v>0</v>
      </c>
      <c r="I57" s="219">
        <f t="shared" si="8"/>
        <v>0.38496566072676375</v>
      </c>
      <c r="L57" s="685">
        <v>0</v>
      </c>
      <c r="M57" s="685">
        <v>0</v>
      </c>
    </row>
    <row r="58" spans="1:13" ht="15" customHeight="1">
      <c r="A58" s="2">
        <f t="shared" si="12"/>
        <v>20</v>
      </c>
      <c r="B58" s="21">
        <f>Vazões!E23</f>
        <v>1.0126130318222064</v>
      </c>
      <c r="C58" s="21">
        <f>Vazões!F23</f>
        <v>1.2151356381866476</v>
      </c>
      <c r="D58" s="201">
        <f t="shared" si="14"/>
        <v>104.98771913932636</v>
      </c>
      <c r="E58" s="21">
        <f t="shared" si="10"/>
        <v>34.995906379775455</v>
      </c>
      <c r="F58" s="21">
        <f t="shared" si="13"/>
        <v>40</v>
      </c>
      <c r="G58" s="21" t="str">
        <f t="shared" si="11"/>
        <v>-</v>
      </c>
      <c r="H58" s="201">
        <v>0</v>
      </c>
      <c r="I58" s="219">
        <f t="shared" si="8"/>
        <v>0.38099694257494138</v>
      </c>
      <c r="L58" s="685">
        <v>0</v>
      </c>
      <c r="M58" s="685">
        <v>0</v>
      </c>
    </row>
    <row r="59" spans="1:13" ht="15" customHeight="1">
      <c r="A59" s="2">
        <f t="shared" si="12"/>
        <v>21</v>
      </c>
      <c r="B59" s="21">
        <f>Vazões!E24</f>
        <v>1.023052341428621</v>
      </c>
      <c r="C59" s="21">
        <f>Vazões!F24</f>
        <v>1.2276628097143452</v>
      </c>
      <c r="D59" s="201">
        <f t="shared" si="14"/>
        <v>106.07006675931943</v>
      </c>
      <c r="E59" s="21">
        <f t="shared" si="10"/>
        <v>35.356688919773141</v>
      </c>
      <c r="F59" s="21">
        <f t="shared" si="13"/>
        <v>40</v>
      </c>
      <c r="G59" s="21" t="str">
        <f t="shared" si="11"/>
        <v>-</v>
      </c>
      <c r="H59" s="201">
        <v>0</v>
      </c>
      <c r="I59" s="219">
        <f t="shared" si="8"/>
        <v>0.37710921867111541</v>
      </c>
      <c r="L59" s="685">
        <v>0</v>
      </c>
      <c r="M59" s="685">
        <v>0</v>
      </c>
    </row>
    <row r="60" spans="1:13" ht="15" customHeight="1">
      <c r="A60" s="2">
        <f t="shared" si="12"/>
        <v>22</v>
      </c>
      <c r="B60" s="21">
        <f>Vazões!E25</f>
        <v>1.0361014784366391</v>
      </c>
      <c r="C60" s="21">
        <f>Vazões!F25</f>
        <v>1.2433217741239668</v>
      </c>
      <c r="D60" s="201">
        <f t="shared" si="14"/>
        <v>107.42300128431074</v>
      </c>
      <c r="E60" s="21">
        <f t="shared" si="10"/>
        <v>35.807667094770245</v>
      </c>
      <c r="F60" s="21">
        <f t="shared" si="13"/>
        <v>40</v>
      </c>
      <c r="G60" s="21" t="str">
        <f t="shared" si="11"/>
        <v>-</v>
      </c>
      <c r="H60" s="201">
        <v>0</v>
      </c>
      <c r="I60" s="219">
        <f t="shared" si="8"/>
        <v>0.37235973228986713</v>
      </c>
      <c r="L60" s="685">
        <v>0</v>
      </c>
      <c r="M60" s="685">
        <v>0</v>
      </c>
    </row>
    <row r="61" spans="1:13" ht="15" customHeight="1">
      <c r="A61" s="2">
        <f t="shared" si="12"/>
        <v>23</v>
      </c>
      <c r="B61" s="21">
        <f>Vazões!E26</f>
        <v>1.0491506154446573</v>
      </c>
      <c r="C61" s="21">
        <f>Vazões!F26</f>
        <v>1.2589807385335887</v>
      </c>
      <c r="D61" s="201">
        <f t="shared" si="14"/>
        <v>108.77593580930207</v>
      </c>
      <c r="E61" s="21">
        <f t="shared" si="10"/>
        <v>36.258645269767356</v>
      </c>
      <c r="F61" s="21">
        <f t="shared" si="13"/>
        <v>40</v>
      </c>
      <c r="G61" s="21" t="str">
        <f t="shared" si="11"/>
        <v>-</v>
      </c>
      <c r="H61" s="201">
        <v>0</v>
      </c>
      <c r="I61" s="219">
        <f t="shared" si="8"/>
        <v>0.36772839233601301</v>
      </c>
      <c r="L61" s="685">
        <v>0</v>
      </c>
      <c r="M61" s="685">
        <v>0</v>
      </c>
    </row>
    <row r="62" spans="1:13" ht="15" customHeight="1">
      <c r="A62" s="2">
        <f t="shared" si="12"/>
        <v>24</v>
      </c>
      <c r="B62" s="21">
        <f>Vazões!E27</f>
        <v>1.0621997524526752</v>
      </c>
      <c r="C62" s="21">
        <f>Vazões!F27</f>
        <v>1.2746397029432102</v>
      </c>
      <c r="D62" s="201">
        <f t="shared" si="14"/>
        <v>110.12887033429337</v>
      </c>
      <c r="E62" s="21">
        <f t="shared" si="10"/>
        <v>36.709623444764453</v>
      </c>
      <c r="F62" s="21">
        <f t="shared" si="13"/>
        <v>40</v>
      </c>
      <c r="G62" s="21" t="str">
        <f t="shared" si="11"/>
        <v>-</v>
      </c>
      <c r="H62" s="201">
        <v>0</v>
      </c>
      <c r="I62" s="219">
        <f t="shared" si="8"/>
        <v>0.36321084451861735</v>
      </c>
      <c r="L62" s="685">
        <v>0</v>
      </c>
      <c r="M62" s="685">
        <v>0</v>
      </c>
    </row>
    <row r="63" spans="1:13" ht="15" customHeight="1">
      <c r="A63" s="2">
        <f t="shared" si="12"/>
        <v>25</v>
      </c>
      <c r="B63" s="21">
        <f>Vazões!E28</f>
        <v>1.0752488894606933</v>
      </c>
      <c r="C63" s="21">
        <f>Vazões!F28</f>
        <v>1.2902986673528318</v>
      </c>
      <c r="D63" s="201">
        <f t="shared" si="14"/>
        <v>111.48180485928468</v>
      </c>
      <c r="E63" s="21">
        <f t="shared" si="10"/>
        <v>37.160601619761557</v>
      </c>
      <c r="F63" s="21">
        <f t="shared" si="13"/>
        <v>40</v>
      </c>
      <c r="G63" s="21" t="str">
        <f t="shared" si="11"/>
        <v>-</v>
      </c>
      <c r="H63" s="201">
        <v>0</v>
      </c>
      <c r="I63" s="219">
        <f t="shared" si="8"/>
        <v>0.35880294592009049</v>
      </c>
      <c r="L63" s="685">
        <v>0</v>
      </c>
      <c r="M63" s="685">
        <v>0</v>
      </c>
    </row>
    <row r="64" spans="1:13" ht="15" customHeight="1">
      <c r="A64" s="2">
        <f t="shared" si="12"/>
        <v>26</v>
      </c>
      <c r="B64" s="21">
        <f>Vazões!E29</f>
        <v>1.0882980264687117</v>
      </c>
      <c r="C64" s="21">
        <f>Vazões!F29</f>
        <v>1.3059576317624539</v>
      </c>
      <c r="D64" s="201">
        <f t="shared" si="14"/>
        <v>112.83473938427603</v>
      </c>
      <c r="E64" s="21">
        <f t="shared" si="10"/>
        <v>37.611579794758676</v>
      </c>
      <c r="F64" s="21">
        <f t="shared" si="13"/>
        <v>40</v>
      </c>
      <c r="G64" s="21" t="str">
        <f t="shared" si="11"/>
        <v>-</v>
      </c>
      <c r="H64" s="201">
        <v>0</v>
      </c>
      <c r="I64" s="219">
        <f t="shared" si="8"/>
        <v>0.35450075232392619</v>
      </c>
      <c r="L64" s="685">
        <v>0</v>
      </c>
      <c r="M64" s="685">
        <v>0</v>
      </c>
    </row>
    <row r="65" spans="1:13" ht="15" customHeight="1">
      <c r="A65" s="2">
        <f t="shared" si="12"/>
        <v>27</v>
      </c>
      <c r="B65" s="21">
        <f>Vazões!E30</f>
        <v>1.1013471634767298</v>
      </c>
      <c r="C65" s="21">
        <f>Vazões!F30</f>
        <v>1.3216165961720756</v>
      </c>
      <c r="D65" s="201">
        <f t="shared" si="14"/>
        <v>114.18767390926735</v>
      </c>
      <c r="E65" s="21">
        <f t="shared" si="10"/>
        <v>38.06255796975578</v>
      </c>
      <c r="F65" s="21">
        <f t="shared" si="13"/>
        <v>40</v>
      </c>
      <c r="G65" s="21" t="str">
        <f t="shared" si="11"/>
        <v>-</v>
      </c>
      <c r="H65" s="201">
        <v>0</v>
      </c>
      <c r="I65" s="219">
        <f t="shared" si="8"/>
        <v>0.35030050644331101</v>
      </c>
      <c r="L65" s="685">
        <v>0</v>
      </c>
      <c r="M65" s="685">
        <v>0</v>
      </c>
    </row>
    <row r="66" spans="1:13" ht="15" customHeight="1">
      <c r="A66" s="2">
        <f t="shared" si="12"/>
        <v>28</v>
      </c>
      <c r="B66" s="21">
        <f>Vazões!E31</f>
        <v>1.1143963004847477</v>
      </c>
      <c r="C66" s="21">
        <f>Vazões!F31</f>
        <v>1.3372755605816973</v>
      </c>
      <c r="D66" s="201">
        <f t="shared" si="14"/>
        <v>115.54060843425866</v>
      </c>
      <c r="E66" s="21">
        <f t="shared" si="10"/>
        <v>38.513536144752884</v>
      </c>
      <c r="F66" s="21">
        <f t="shared" si="13"/>
        <v>40</v>
      </c>
      <c r="G66" s="21" t="str">
        <f t="shared" si="11"/>
        <v>-</v>
      </c>
      <c r="H66" s="201">
        <v>0</v>
      </c>
      <c r="I66" s="219">
        <f t="shared" si="8"/>
        <v>0.34619862697676168</v>
      </c>
      <c r="L66" s="685">
        <v>0</v>
      </c>
      <c r="M66" s="685">
        <v>0</v>
      </c>
    </row>
    <row r="67" spans="1:13" ht="15" customHeight="1">
      <c r="A67" s="2">
        <f t="shared" si="12"/>
        <v>29</v>
      </c>
      <c r="B67" s="21">
        <f>Vazões!E32</f>
        <v>1.1274454374927658</v>
      </c>
      <c r="C67" s="21">
        <f>Vazões!F32</f>
        <v>1.3529345249913189</v>
      </c>
      <c r="D67" s="201">
        <f t="shared" si="14"/>
        <v>116.89354295924997</v>
      </c>
      <c r="E67" s="21">
        <f t="shared" si="10"/>
        <v>38.964514319749988</v>
      </c>
      <c r="F67" s="21">
        <f t="shared" si="13"/>
        <v>40</v>
      </c>
      <c r="G67" s="21" t="str">
        <f t="shared" si="11"/>
        <v>-</v>
      </c>
      <c r="H67" s="201">
        <v>0</v>
      </c>
      <c r="I67" s="219">
        <f t="shared" si="8"/>
        <v>0.34219169842378994</v>
      </c>
      <c r="L67" s="685">
        <v>0</v>
      </c>
      <c r="M67" s="685">
        <v>0</v>
      </c>
    </row>
    <row r="68" spans="1:13" ht="15" customHeight="1">
      <c r="A68" s="2">
        <f t="shared" si="12"/>
        <v>30</v>
      </c>
      <c r="B68" s="21">
        <f>Vazões!E33</f>
        <v>1.140494574500784</v>
      </c>
      <c r="C68" s="21">
        <f>Vazões!F33</f>
        <v>1.3685934894009406</v>
      </c>
      <c r="D68" s="201">
        <f t="shared" si="14"/>
        <v>118.24647748424128</v>
      </c>
      <c r="E68" s="21">
        <f t="shared" si="10"/>
        <v>39.415492494747092</v>
      </c>
      <c r="F68" s="21">
        <f t="shared" si="13"/>
        <v>40</v>
      </c>
      <c r="G68" s="21" t="str">
        <f t="shared" si="11"/>
        <v>-</v>
      </c>
      <c r="H68" s="201">
        <v>0</v>
      </c>
      <c r="I68" s="219">
        <f t="shared" si="8"/>
        <v>0.33827646159971914</v>
      </c>
      <c r="L68" s="685">
        <v>0</v>
      </c>
      <c r="M68" s="685">
        <v>0</v>
      </c>
    </row>
    <row r="69" spans="1:13" ht="15" customHeight="1">
      <c r="A69" s="18"/>
      <c r="B69" s="61"/>
      <c r="C69" s="61"/>
      <c r="D69" s="61"/>
      <c r="E69" s="61"/>
      <c r="F69" s="61"/>
      <c r="G69" s="61"/>
      <c r="H69" s="61">
        <f>SUM(H39:H68)</f>
        <v>0</v>
      </c>
    </row>
    <row r="71" spans="1:13" ht="15" customHeight="1">
      <c r="A71" s="950" t="s">
        <v>890</v>
      </c>
      <c r="B71" s="965"/>
      <c r="C71" s="965"/>
      <c r="D71" s="965"/>
      <c r="E71" s="965"/>
      <c r="F71" s="965"/>
      <c r="G71" s="965"/>
      <c r="H71" s="965"/>
      <c r="I71" s="951"/>
    </row>
    <row r="72" spans="1:13" ht="52.8">
      <c r="A72" s="2" t="s">
        <v>1</v>
      </c>
      <c r="B72" s="1" t="s">
        <v>59</v>
      </c>
      <c r="C72" s="1" t="s">
        <v>60</v>
      </c>
      <c r="D72" s="176" t="s">
        <v>366</v>
      </c>
      <c r="E72" s="1" t="s">
        <v>365</v>
      </c>
      <c r="F72" s="1" t="s">
        <v>364</v>
      </c>
      <c r="G72" s="1" t="s">
        <v>398</v>
      </c>
      <c r="H72" s="176" t="s">
        <v>399</v>
      </c>
      <c r="I72" s="200" t="s">
        <v>368</v>
      </c>
      <c r="L72" s="684" t="s">
        <v>995</v>
      </c>
      <c r="M72" s="684" t="s">
        <v>995</v>
      </c>
    </row>
    <row r="73" spans="1:13" ht="15" customHeight="1">
      <c r="A73" s="2">
        <v>1</v>
      </c>
      <c r="B73" s="21">
        <f>Vazões!H4</f>
        <v>0.1708339326714533</v>
      </c>
      <c r="C73" s="21">
        <f>Vazões!I4</f>
        <v>0.20500071920574395</v>
      </c>
      <c r="D73" s="201">
        <f>C73*86.4</f>
        <v>17.712062139376279</v>
      </c>
      <c r="E73" s="21">
        <f>D73/3</f>
        <v>5.9040207131254263</v>
      </c>
      <c r="F73" s="21">
        <f>'Dados de Entrada'!F34</f>
        <v>20</v>
      </c>
      <c r="G73" s="21" t="str">
        <f>IF(E73-F73&lt;=0,"-",E73-F73)</f>
        <v>-</v>
      </c>
      <c r="H73" s="201">
        <v>0</v>
      </c>
      <c r="I73" s="219">
        <f t="shared" ref="I73:I102" si="15">F73/D73</f>
        <v>1.1291739969417411</v>
      </c>
      <c r="L73" s="685">
        <v>0</v>
      </c>
      <c r="M73" s="685">
        <v>0</v>
      </c>
    </row>
    <row r="74" spans="1:13" ht="15" customHeight="1">
      <c r="A74" s="2">
        <f xml:space="preserve"> ( ( A73 ) + ( 1 ) )</f>
        <v>2</v>
      </c>
      <c r="B74" s="21">
        <f>Vazões!H5</f>
        <v>0.16925531648947645</v>
      </c>
      <c r="C74" s="21">
        <f>Vazões!I5</f>
        <v>0.20310637978737173</v>
      </c>
      <c r="D74" s="201">
        <f t="shared" ref="D74:D82" si="16">C74*86.4</f>
        <v>17.548391213628918</v>
      </c>
      <c r="E74" s="21">
        <f t="shared" ref="E74:E102" si="17">D74/3</f>
        <v>5.8494637378763059</v>
      </c>
      <c r="F74" s="21">
        <f>F73+H73</f>
        <v>20</v>
      </c>
      <c r="G74" s="21" t="str">
        <f t="shared" ref="G74:G102" si="18">IF(E74-F74&lt;=0,"-",E74-F74)</f>
        <v>-</v>
      </c>
      <c r="H74" s="201">
        <v>0</v>
      </c>
      <c r="I74" s="219">
        <f t="shared" si="15"/>
        <v>1.1397056149778018</v>
      </c>
      <c r="L74" s="685">
        <v>0</v>
      </c>
      <c r="M74" s="685">
        <v>0</v>
      </c>
    </row>
    <row r="75" spans="1:13" ht="15" customHeight="1">
      <c r="A75" s="2">
        <f t="shared" ref="A75:A102" si="19" xml:space="preserve"> ( ( A74 ) + ( 1 ) )</f>
        <v>3</v>
      </c>
      <c r="B75" s="21">
        <f>Vazões!H6</f>
        <v>0.16831601917276073</v>
      </c>
      <c r="C75" s="21">
        <f>Vazões!I6</f>
        <v>0.20197922300731289</v>
      </c>
      <c r="D75" s="201">
        <f t="shared" si="16"/>
        <v>17.451004867831834</v>
      </c>
      <c r="E75" s="21">
        <f t="shared" si="17"/>
        <v>5.8170016226106114</v>
      </c>
      <c r="F75" s="21">
        <f t="shared" ref="F75:F102" si="20">F74+H74</f>
        <v>20</v>
      </c>
      <c r="G75" s="21" t="str">
        <f t="shared" si="18"/>
        <v>-</v>
      </c>
      <c r="H75" s="201">
        <v>0</v>
      </c>
      <c r="I75" s="219">
        <f t="shared" si="15"/>
        <v>1.1460658083287132</v>
      </c>
      <c r="L75" s="685">
        <v>0</v>
      </c>
      <c r="M75" s="685">
        <v>0</v>
      </c>
    </row>
    <row r="76" spans="1:13" ht="15" customHeight="1">
      <c r="A76" s="2">
        <f t="shared" si="19"/>
        <v>4</v>
      </c>
      <c r="B76" s="21">
        <f>Vazões!H7</f>
        <v>0.16472920480418921</v>
      </c>
      <c r="C76" s="21">
        <f>Vazões!I7</f>
        <v>0.19767504576502704</v>
      </c>
      <c r="D76" s="201">
        <f t="shared" si="16"/>
        <v>17.079123954098336</v>
      </c>
      <c r="E76" s="21">
        <f t="shared" si="17"/>
        <v>5.6930413180327788</v>
      </c>
      <c r="F76" s="21">
        <f t="shared" si="20"/>
        <v>20</v>
      </c>
      <c r="G76" s="21" t="str">
        <f t="shared" si="18"/>
        <v>-</v>
      </c>
      <c r="H76" s="201">
        <v>0</v>
      </c>
      <c r="I76" s="219">
        <f t="shared" si="15"/>
        <v>1.1710202498530826</v>
      </c>
      <c r="L76" s="685">
        <v>0</v>
      </c>
      <c r="M76" s="685">
        <v>0</v>
      </c>
    </row>
    <row r="77" spans="1:13" ht="15" customHeight="1">
      <c r="A77" s="2">
        <f t="shared" si="19"/>
        <v>5</v>
      </c>
      <c r="B77" s="21">
        <f>Vazões!H8</f>
        <v>0.1641665623589377</v>
      </c>
      <c r="C77" s="21">
        <f>Vazões!I8</f>
        <v>0.19699987483072523</v>
      </c>
      <c r="D77" s="201">
        <f t="shared" si="16"/>
        <v>17.02078918537466</v>
      </c>
      <c r="E77" s="21">
        <f t="shared" si="17"/>
        <v>5.6735963951248864</v>
      </c>
      <c r="F77" s="21">
        <f t="shared" si="20"/>
        <v>20</v>
      </c>
      <c r="G77" s="21" t="str">
        <f t="shared" si="18"/>
        <v>-</v>
      </c>
      <c r="H77" s="201">
        <v>0</v>
      </c>
      <c r="I77" s="219">
        <f t="shared" si="15"/>
        <v>1.175033647510614</v>
      </c>
      <c r="L77" s="685">
        <v>0</v>
      </c>
      <c r="M77" s="685">
        <v>0</v>
      </c>
    </row>
    <row r="78" spans="1:13" ht="15" customHeight="1">
      <c r="A78" s="2">
        <f t="shared" si="19"/>
        <v>6</v>
      </c>
      <c r="B78" s="21">
        <f>Vazões!H9</f>
        <v>0.15960098340576012</v>
      </c>
      <c r="C78" s="21">
        <f>Vazões!I9</f>
        <v>0.19152118008691213</v>
      </c>
      <c r="D78" s="201">
        <f t="shared" si="16"/>
        <v>16.547429959509209</v>
      </c>
      <c r="E78" s="21">
        <f t="shared" si="17"/>
        <v>5.5158099865030694</v>
      </c>
      <c r="F78" s="21">
        <f t="shared" si="20"/>
        <v>20</v>
      </c>
      <c r="G78" s="21" t="str">
        <f t="shared" si="18"/>
        <v>-</v>
      </c>
      <c r="H78" s="201">
        <v>0</v>
      </c>
      <c r="I78" s="219">
        <f t="shared" si="15"/>
        <v>1.2086469046213866</v>
      </c>
      <c r="L78" s="685">
        <v>0</v>
      </c>
      <c r="M78" s="685">
        <v>0</v>
      </c>
    </row>
    <row r="79" spans="1:13" ht="15" customHeight="1">
      <c r="A79" s="2">
        <f t="shared" si="19"/>
        <v>7</v>
      </c>
      <c r="B79" s="21">
        <f>Vazões!H10</f>
        <v>0.15543824965433353</v>
      </c>
      <c r="C79" s="21">
        <f>Vazões!I10</f>
        <v>0.18652589958520024</v>
      </c>
      <c r="D79" s="201">
        <f t="shared" si="16"/>
        <v>16.115837724161302</v>
      </c>
      <c r="E79" s="21">
        <f t="shared" si="17"/>
        <v>5.3719459080537675</v>
      </c>
      <c r="F79" s="21">
        <f t="shared" si="20"/>
        <v>20</v>
      </c>
      <c r="G79" s="21" t="str">
        <f t="shared" si="18"/>
        <v>-</v>
      </c>
      <c r="H79" s="201">
        <v>0</v>
      </c>
      <c r="I79" s="219">
        <f t="shared" si="15"/>
        <v>1.2410152262836114</v>
      </c>
      <c r="L79" s="685">
        <v>0</v>
      </c>
      <c r="M79" s="685">
        <v>0</v>
      </c>
    </row>
    <row r="80" spans="1:13" ht="15" customHeight="1">
      <c r="A80" s="2">
        <f t="shared" si="19"/>
        <v>8</v>
      </c>
      <c r="B80" s="21">
        <f>Vazões!H11</f>
        <v>0.14952136155020768</v>
      </c>
      <c r="C80" s="21">
        <f>Vazões!I11</f>
        <v>0.17942563386024921</v>
      </c>
      <c r="D80" s="201">
        <f t="shared" si="16"/>
        <v>15.502374765525532</v>
      </c>
      <c r="E80" s="21">
        <f t="shared" si="17"/>
        <v>5.1674582551751778</v>
      </c>
      <c r="F80" s="21">
        <f t="shared" si="20"/>
        <v>20</v>
      </c>
      <c r="G80" s="21" t="str">
        <f t="shared" si="18"/>
        <v>-</v>
      </c>
      <c r="H80" s="201">
        <v>0</v>
      </c>
      <c r="I80" s="219">
        <f t="shared" si="15"/>
        <v>1.2901249197301288</v>
      </c>
      <c r="L80" s="685">
        <v>0</v>
      </c>
      <c r="M80" s="685">
        <v>0</v>
      </c>
    </row>
    <row r="81" spans="1:13" ht="15" customHeight="1">
      <c r="A81" s="2">
        <f t="shared" si="19"/>
        <v>9</v>
      </c>
      <c r="B81" s="21">
        <f>Vazões!H12</f>
        <v>0.14812533900993549</v>
      </c>
      <c r="C81" s="21">
        <f>Vazões!I12</f>
        <v>0.17775040681192258</v>
      </c>
      <c r="D81" s="201">
        <f t="shared" si="16"/>
        <v>15.357635148550113</v>
      </c>
      <c r="E81" s="21">
        <f t="shared" si="17"/>
        <v>5.1192117161833712</v>
      </c>
      <c r="F81" s="21">
        <f t="shared" si="20"/>
        <v>20</v>
      </c>
      <c r="G81" s="21" t="str">
        <f t="shared" si="18"/>
        <v>-</v>
      </c>
      <c r="H81" s="201">
        <v>0</v>
      </c>
      <c r="I81" s="219">
        <f t="shared" si="15"/>
        <v>1.3022838351442516</v>
      </c>
      <c r="L81" s="685">
        <v>0</v>
      </c>
      <c r="M81" s="685">
        <v>0</v>
      </c>
    </row>
    <row r="82" spans="1:13" ht="15" customHeight="1">
      <c r="A82" s="2">
        <f t="shared" si="19"/>
        <v>10</v>
      </c>
      <c r="B82" s="21">
        <f>Vazões!H13</f>
        <v>0.14876016189140662</v>
      </c>
      <c r="C82" s="21">
        <f>Vazões!I13</f>
        <v>0.17851219426968792</v>
      </c>
      <c r="D82" s="201">
        <f t="shared" si="16"/>
        <v>15.423453584901038</v>
      </c>
      <c r="E82" s="21">
        <f t="shared" si="17"/>
        <v>5.141151194967013</v>
      </c>
      <c r="F82" s="21">
        <f t="shared" si="20"/>
        <v>20</v>
      </c>
      <c r="G82" s="21" t="str">
        <f t="shared" si="18"/>
        <v>-</v>
      </c>
      <c r="H82" s="201">
        <v>0</v>
      </c>
      <c r="I82" s="219">
        <f t="shared" si="15"/>
        <v>1.2967264361322566</v>
      </c>
      <c r="L82" s="685">
        <v>0</v>
      </c>
      <c r="M82" s="685">
        <v>0</v>
      </c>
    </row>
    <row r="83" spans="1:13" ht="15" customHeight="1">
      <c r="A83" s="2">
        <f t="shared" si="19"/>
        <v>11</v>
      </c>
      <c r="B83" s="21">
        <f>Vazões!H14</f>
        <v>0.15136998929301024</v>
      </c>
      <c r="C83" s="21">
        <f>Vazões!I14</f>
        <v>0.18164398715161229</v>
      </c>
      <c r="D83" s="201">
        <f>C83*86.4</f>
        <v>15.694040489899303</v>
      </c>
      <c r="E83" s="21">
        <f t="shared" si="17"/>
        <v>5.2313468299664345</v>
      </c>
      <c r="F83" s="21">
        <f t="shared" si="20"/>
        <v>20</v>
      </c>
      <c r="G83" s="21" t="str">
        <f t="shared" si="18"/>
        <v>-</v>
      </c>
      <c r="H83" s="201">
        <v>0</v>
      </c>
      <c r="I83" s="219">
        <f t="shared" si="15"/>
        <v>1.2743690837851487</v>
      </c>
      <c r="L83" s="685">
        <v>0</v>
      </c>
      <c r="M83" s="685">
        <v>0</v>
      </c>
    </row>
    <row r="84" spans="1:13" ht="15" customHeight="1">
      <c r="A84" s="2">
        <f t="shared" si="19"/>
        <v>12</v>
      </c>
      <c r="B84" s="21">
        <f>Vazões!H15</f>
        <v>0.15397981669461386</v>
      </c>
      <c r="C84" s="21">
        <f>Vazões!I15</f>
        <v>0.18477578003353662</v>
      </c>
      <c r="D84" s="201">
        <f t="shared" ref="D84:D102" si="21">C84*86.4</f>
        <v>15.964627394897565</v>
      </c>
      <c r="E84" s="21">
        <f t="shared" si="17"/>
        <v>5.3215424649658551</v>
      </c>
      <c r="F84" s="21">
        <f t="shared" si="20"/>
        <v>20</v>
      </c>
      <c r="G84" s="21" t="str">
        <f t="shared" si="18"/>
        <v>-</v>
      </c>
      <c r="H84" s="201">
        <v>0</v>
      </c>
      <c r="I84" s="219">
        <f t="shared" si="15"/>
        <v>1.2527696077887902</v>
      </c>
      <c r="L84" s="685">
        <v>0</v>
      </c>
      <c r="M84" s="685">
        <v>0</v>
      </c>
    </row>
    <row r="85" spans="1:13" ht="15" customHeight="1">
      <c r="A85" s="2">
        <f t="shared" si="19"/>
        <v>13</v>
      </c>
      <c r="B85" s="21">
        <f>Vazões!H16</f>
        <v>0.15658964409621751</v>
      </c>
      <c r="C85" s="21">
        <f>Vazões!I16</f>
        <v>0.18790757291546101</v>
      </c>
      <c r="D85" s="201">
        <f t="shared" si="21"/>
        <v>16.235214299895834</v>
      </c>
      <c r="E85" s="21">
        <f t="shared" si="17"/>
        <v>5.4117380999652775</v>
      </c>
      <c r="F85" s="21">
        <f t="shared" si="20"/>
        <v>20</v>
      </c>
      <c r="G85" s="21" t="str">
        <f t="shared" si="18"/>
        <v>-</v>
      </c>
      <c r="H85" s="201">
        <v>0</v>
      </c>
      <c r="I85" s="219">
        <f t="shared" si="15"/>
        <v>1.2318901143256435</v>
      </c>
      <c r="L85" s="685">
        <v>0</v>
      </c>
      <c r="M85" s="685">
        <v>0</v>
      </c>
    </row>
    <row r="86" spans="1:13" ht="15" customHeight="1">
      <c r="A86" s="2">
        <f t="shared" si="19"/>
        <v>14</v>
      </c>
      <c r="B86" s="21">
        <f>Vazões!H17</f>
        <v>0.1591994714978211</v>
      </c>
      <c r="C86" s="21">
        <f>Vazões!I17</f>
        <v>0.19103936579738531</v>
      </c>
      <c r="D86" s="201">
        <f t="shared" si="21"/>
        <v>16.505801204894091</v>
      </c>
      <c r="E86" s="21">
        <f t="shared" si="17"/>
        <v>5.5019337349646973</v>
      </c>
      <c r="F86" s="21">
        <f t="shared" si="20"/>
        <v>20</v>
      </c>
      <c r="G86" s="21" t="str">
        <f t="shared" si="18"/>
        <v>-</v>
      </c>
      <c r="H86" s="201">
        <v>0</v>
      </c>
      <c r="I86" s="219">
        <f t="shared" si="15"/>
        <v>1.2116951944186662</v>
      </c>
      <c r="L86" s="685">
        <v>0</v>
      </c>
      <c r="M86" s="685">
        <v>0</v>
      </c>
    </row>
    <row r="87" spans="1:13" ht="15" customHeight="1">
      <c r="A87" s="2">
        <f t="shared" si="19"/>
        <v>15</v>
      </c>
      <c r="B87" s="21">
        <f>Vazões!H18</f>
        <v>0.16180929889942477</v>
      </c>
      <c r="C87" s="21">
        <f>Vazões!I18</f>
        <v>0.19417115867930973</v>
      </c>
      <c r="D87" s="201">
        <f t="shared" si="21"/>
        <v>16.776388109892363</v>
      </c>
      <c r="E87" s="21">
        <f t="shared" si="17"/>
        <v>5.5921293699641206</v>
      </c>
      <c r="F87" s="21">
        <f t="shared" si="20"/>
        <v>20</v>
      </c>
      <c r="G87" s="21" t="str">
        <f t="shared" si="18"/>
        <v>-</v>
      </c>
      <c r="H87" s="201">
        <v>0</v>
      </c>
      <c r="I87" s="219">
        <f t="shared" si="15"/>
        <v>1.1921517235409451</v>
      </c>
      <c r="L87" s="685">
        <v>0</v>
      </c>
      <c r="M87" s="685">
        <v>0</v>
      </c>
    </row>
    <row r="88" spans="1:13" ht="15" customHeight="1">
      <c r="A88" s="2">
        <f t="shared" si="19"/>
        <v>16</v>
      </c>
      <c r="B88" s="21">
        <f>Vazões!H19</f>
        <v>0.16441912630102837</v>
      </c>
      <c r="C88" s="21">
        <f>Vazões!I19</f>
        <v>0.19730295156123404</v>
      </c>
      <c r="D88" s="201">
        <f t="shared" si="21"/>
        <v>17.04697501489062</v>
      </c>
      <c r="E88" s="21">
        <f t="shared" si="17"/>
        <v>5.6823250049635403</v>
      </c>
      <c r="F88" s="21">
        <f t="shared" si="20"/>
        <v>20</v>
      </c>
      <c r="G88" s="21" t="str">
        <f t="shared" si="18"/>
        <v>-</v>
      </c>
      <c r="H88" s="201">
        <v>0</v>
      </c>
      <c r="I88" s="219">
        <f t="shared" si="15"/>
        <v>1.1732286803101371</v>
      </c>
      <c r="L88" s="685">
        <v>0</v>
      </c>
      <c r="M88" s="685">
        <v>0</v>
      </c>
    </row>
    <row r="89" spans="1:13" ht="15" customHeight="1">
      <c r="A89" s="2">
        <f t="shared" si="19"/>
        <v>17</v>
      </c>
      <c r="B89" s="21">
        <f>Vazões!H20</f>
        <v>0.16702895370263199</v>
      </c>
      <c r="C89" s="21">
        <f>Vazões!I20</f>
        <v>0.20043474444315837</v>
      </c>
      <c r="D89" s="201">
        <f t="shared" si="21"/>
        <v>17.317561919888885</v>
      </c>
      <c r="E89" s="21">
        <f t="shared" si="17"/>
        <v>5.7725206399629618</v>
      </c>
      <c r="F89" s="21">
        <f t="shared" si="20"/>
        <v>20</v>
      </c>
      <c r="G89" s="21" t="str">
        <f t="shared" si="18"/>
        <v>-</v>
      </c>
      <c r="H89" s="201">
        <v>0</v>
      </c>
      <c r="I89" s="219">
        <f t="shared" si="15"/>
        <v>1.154896982180291</v>
      </c>
      <c r="L89" s="685">
        <v>0</v>
      </c>
      <c r="M89" s="685">
        <v>0</v>
      </c>
    </row>
    <row r="90" spans="1:13" ht="15" customHeight="1">
      <c r="A90" s="2">
        <f t="shared" si="19"/>
        <v>18</v>
      </c>
      <c r="B90" s="21">
        <f>Vazões!H21</f>
        <v>0.16963878110423564</v>
      </c>
      <c r="C90" s="21">
        <f>Vazões!I21</f>
        <v>0.20356653732508276</v>
      </c>
      <c r="D90" s="201">
        <f t="shared" si="21"/>
        <v>17.588148824887153</v>
      </c>
      <c r="E90" s="21">
        <f t="shared" si="17"/>
        <v>5.8627162749623842</v>
      </c>
      <c r="F90" s="21">
        <f t="shared" si="20"/>
        <v>20</v>
      </c>
      <c r="G90" s="21" t="str">
        <f t="shared" si="18"/>
        <v>-</v>
      </c>
      <c r="H90" s="201">
        <v>0</v>
      </c>
      <c r="I90" s="219">
        <f t="shared" si="15"/>
        <v>1.1371293363005941</v>
      </c>
      <c r="L90" s="685">
        <v>0</v>
      </c>
      <c r="M90" s="685">
        <v>0</v>
      </c>
    </row>
    <row r="91" spans="1:13" ht="15" customHeight="1">
      <c r="A91" s="2">
        <f t="shared" si="19"/>
        <v>19</v>
      </c>
      <c r="B91" s="21">
        <f>Vazões!H22</f>
        <v>0.17224860850583923</v>
      </c>
      <c r="C91" s="21">
        <f>Vazões!I22</f>
        <v>0.20669833020700706</v>
      </c>
      <c r="D91" s="201">
        <f t="shared" si="21"/>
        <v>17.85873572988541</v>
      </c>
      <c r="E91" s="21">
        <f t="shared" si="17"/>
        <v>5.9529119099618031</v>
      </c>
      <c r="F91" s="21">
        <f t="shared" si="20"/>
        <v>20</v>
      </c>
      <c r="G91" s="21" t="str">
        <f t="shared" si="18"/>
        <v>-</v>
      </c>
      <c r="H91" s="201">
        <v>0</v>
      </c>
      <c r="I91" s="219">
        <f t="shared" si="15"/>
        <v>1.1199001039324035</v>
      </c>
      <c r="L91" s="685">
        <v>0</v>
      </c>
      <c r="M91" s="685">
        <v>0</v>
      </c>
    </row>
    <row r="92" spans="1:13" ht="15" customHeight="1">
      <c r="A92" s="2">
        <f t="shared" si="19"/>
        <v>20</v>
      </c>
      <c r="B92" s="21">
        <f>Vazões!H23</f>
        <v>0.17485843590744288</v>
      </c>
      <c r="C92" s="21">
        <f>Vazões!I23</f>
        <v>0.20983012308893145</v>
      </c>
      <c r="D92" s="201">
        <f t="shared" si="21"/>
        <v>18.129322634883678</v>
      </c>
      <c r="E92" s="21">
        <f t="shared" si="17"/>
        <v>6.0431075449612264</v>
      </c>
      <c r="F92" s="21">
        <f t="shared" si="20"/>
        <v>20</v>
      </c>
      <c r="G92" s="21" t="str">
        <f t="shared" si="18"/>
        <v>-</v>
      </c>
      <c r="H92" s="201">
        <v>0</v>
      </c>
      <c r="I92" s="219">
        <f t="shared" si="15"/>
        <v>1.103185177008039</v>
      </c>
      <c r="L92" s="685">
        <v>0</v>
      </c>
      <c r="M92" s="685">
        <v>0</v>
      </c>
    </row>
    <row r="93" spans="1:13" ht="15" customHeight="1">
      <c r="A93" s="2">
        <f t="shared" si="19"/>
        <v>21</v>
      </c>
      <c r="B93" s="21">
        <f>Vazões!H24</f>
        <v>0.17746826330904647</v>
      </c>
      <c r="C93" s="21">
        <f>Vazões!I24</f>
        <v>0.21296191597085576</v>
      </c>
      <c r="D93" s="201">
        <f t="shared" si="21"/>
        <v>18.399909539881939</v>
      </c>
      <c r="E93" s="21">
        <f t="shared" si="17"/>
        <v>6.1333031799606461</v>
      </c>
      <c r="F93" s="21">
        <f t="shared" si="20"/>
        <v>20</v>
      </c>
      <c r="G93" s="21" t="str">
        <f t="shared" si="18"/>
        <v>-</v>
      </c>
      <c r="H93" s="201">
        <v>0</v>
      </c>
      <c r="I93" s="219">
        <f t="shared" si="15"/>
        <v>1.0869618655814504</v>
      </c>
      <c r="L93" s="685">
        <v>0</v>
      </c>
      <c r="M93" s="685">
        <v>0</v>
      </c>
    </row>
    <row r="94" spans="1:13" ht="15" customHeight="1">
      <c r="A94" s="2">
        <f t="shared" si="19"/>
        <v>22</v>
      </c>
      <c r="B94" s="21">
        <f>Vazões!H25</f>
        <v>0.18007809071065015</v>
      </c>
      <c r="C94" s="21">
        <f>Vazões!I25</f>
        <v>0.21609370885278018</v>
      </c>
      <c r="D94" s="201">
        <f t="shared" si="21"/>
        <v>18.670496444880207</v>
      </c>
      <c r="E94" s="21">
        <f t="shared" si="17"/>
        <v>6.2234988149600694</v>
      </c>
      <c r="F94" s="21">
        <f t="shared" si="20"/>
        <v>20</v>
      </c>
      <c r="G94" s="21" t="str">
        <f t="shared" si="18"/>
        <v>-</v>
      </c>
      <c r="H94" s="201">
        <v>0</v>
      </c>
      <c r="I94" s="219">
        <f t="shared" si="15"/>
        <v>1.0712087950657769</v>
      </c>
      <c r="L94" s="685">
        <v>0</v>
      </c>
      <c r="M94" s="685">
        <v>0</v>
      </c>
    </row>
    <row r="95" spans="1:13" ht="15" customHeight="1">
      <c r="A95" s="2">
        <f t="shared" si="19"/>
        <v>23</v>
      </c>
      <c r="B95" s="21">
        <f>Vazões!H26</f>
        <v>0.18268791811225377</v>
      </c>
      <c r="C95" s="21">
        <f>Vazões!I26</f>
        <v>0.21922550173470451</v>
      </c>
      <c r="D95" s="201">
        <f t="shared" si="21"/>
        <v>18.941083349878472</v>
      </c>
      <c r="E95" s="21">
        <f t="shared" si="17"/>
        <v>6.3136944499594909</v>
      </c>
      <c r="F95" s="21">
        <f t="shared" si="20"/>
        <v>20</v>
      </c>
      <c r="G95" s="21" t="str">
        <f t="shared" si="18"/>
        <v>-</v>
      </c>
      <c r="H95" s="201">
        <v>0</v>
      </c>
      <c r="I95" s="219">
        <f t="shared" si="15"/>
        <v>1.0559058122791229</v>
      </c>
      <c r="L95" s="685">
        <v>0</v>
      </c>
      <c r="M95" s="685">
        <v>0</v>
      </c>
    </row>
    <row r="96" spans="1:13" ht="15" customHeight="1">
      <c r="A96" s="2">
        <f t="shared" si="19"/>
        <v>24</v>
      </c>
      <c r="B96" s="21">
        <f>Vazões!H27</f>
        <v>0.18529774551385733</v>
      </c>
      <c r="C96" s="21">
        <f>Vazões!I27</f>
        <v>0.22235729461662879</v>
      </c>
      <c r="D96" s="201">
        <f t="shared" si="21"/>
        <v>19.211670254876729</v>
      </c>
      <c r="E96" s="21">
        <f t="shared" si="17"/>
        <v>6.4038900849589098</v>
      </c>
      <c r="F96" s="21">
        <f t="shared" si="20"/>
        <v>20</v>
      </c>
      <c r="G96" s="21" t="str">
        <f t="shared" si="18"/>
        <v>-</v>
      </c>
      <c r="H96" s="201">
        <v>0</v>
      </c>
      <c r="I96" s="219">
        <f t="shared" si="15"/>
        <v>1.0410338994301216</v>
      </c>
      <c r="L96" s="685">
        <v>0</v>
      </c>
      <c r="M96" s="685">
        <v>0</v>
      </c>
    </row>
    <row r="97" spans="1:13" ht="15" customHeight="1">
      <c r="A97" s="2">
        <f t="shared" si="19"/>
        <v>25</v>
      </c>
      <c r="B97" s="21">
        <f>Vazões!H28</f>
        <v>0.18790757291546098</v>
      </c>
      <c r="C97" s="21">
        <f>Vazões!I28</f>
        <v>0.22548908749855318</v>
      </c>
      <c r="D97" s="201">
        <f t="shared" si="21"/>
        <v>19.482257159874997</v>
      </c>
      <c r="E97" s="21">
        <f t="shared" si="17"/>
        <v>6.4940857199583322</v>
      </c>
      <c r="F97" s="21">
        <f t="shared" si="20"/>
        <v>20</v>
      </c>
      <c r="G97" s="21" t="str">
        <f t="shared" si="18"/>
        <v>-</v>
      </c>
      <c r="H97" s="201">
        <v>0</v>
      </c>
      <c r="I97" s="219">
        <f t="shared" si="15"/>
        <v>1.0265750952713697</v>
      </c>
      <c r="L97" s="685">
        <v>0</v>
      </c>
      <c r="M97" s="685">
        <v>0</v>
      </c>
    </row>
    <row r="98" spans="1:13" ht="15" customHeight="1">
      <c r="A98" s="2">
        <f t="shared" si="19"/>
        <v>26</v>
      </c>
      <c r="B98" s="21">
        <f>Vazões!H29</f>
        <v>0.1905174003170646</v>
      </c>
      <c r="C98" s="21">
        <f>Vazões!I29</f>
        <v>0.22862088038047751</v>
      </c>
      <c r="D98" s="201">
        <f t="shared" si="21"/>
        <v>19.752844064873258</v>
      </c>
      <c r="E98" s="21">
        <f t="shared" si="17"/>
        <v>6.5842813549577528</v>
      </c>
      <c r="F98" s="21">
        <f t="shared" si="20"/>
        <v>20</v>
      </c>
      <c r="G98" s="21" t="str">
        <f t="shared" si="18"/>
        <v>-</v>
      </c>
      <c r="H98" s="201">
        <v>0</v>
      </c>
      <c r="I98" s="219">
        <f t="shared" si="15"/>
        <v>1.0125124227334059</v>
      </c>
      <c r="L98" s="685">
        <v>0</v>
      </c>
      <c r="M98" s="685">
        <v>0</v>
      </c>
    </row>
    <row r="99" spans="1:13" ht="15" customHeight="1">
      <c r="A99" s="2">
        <f t="shared" si="19"/>
        <v>27</v>
      </c>
      <c r="B99" s="21">
        <f>Vazões!H30</f>
        <v>0.19312722771866819</v>
      </c>
      <c r="C99" s="21">
        <f>Vazões!I30</f>
        <v>0.23175267326240181</v>
      </c>
      <c r="D99" s="201">
        <f t="shared" si="21"/>
        <v>20.023430969871519</v>
      </c>
      <c r="E99" s="21">
        <f t="shared" si="17"/>
        <v>6.6744769899571734</v>
      </c>
      <c r="F99" s="21">
        <f t="shared" si="20"/>
        <v>20</v>
      </c>
      <c r="G99" s="21" t="str">
        <f t="shared" si="18"/>
        <v>-</v>
      </c>
      <c r="H99" s="201">
        <v>0</v>
      </c>
      <c r="I99" s="219">
        <f t="shared" si="15"/>
        <v>0.99882982242619789</v>
      </c>
      <c r="L99" s="685">
        <v>0</v>
      </c>
      <c r="M99" s="685">
        <v>0</v>
      </c>
    </row>
    <row r="100" spans="1:13" ht="15" customHeight="1">
      <c r="A100" s="2">
        <f t="shared" si="19"/>
        <v>28</v>
      </c>
      <c r="B100" s="21">
        <f>Vazões!H31</f>
        <v>0.1957370551202719</v>
      </c>
      <c r="C100" s="21">
        <f>Vazões!I31</f>
        <v>0.23488446614432626</v>
      </c>
      <c r="D100" s="201">
        <f t="shared" si="21"/>
        <v>20.294017874869791</v>
      </c>
      <c r="E100" s="21">
        <f t="shared" si="17"/>
        <v>6.7646726249565967</v>
      </c>
      <c r="F100" s="21">
        <f t="shared" si="20"/>
        <v>20</v>
      </c>
      <c r="G100" s="21" t="str">
        <f t="shared" si="18"/>
        <v>-</v>
      </c>
      <c r="H100" s="201">
        <v>0</v>
      </c>
      <c r="I100" s="219">
        <f t="shared" si="15"/>
        <v>0.98551209146051477</v>
      </c>
      <c r="L100" s="685">
        <v>0</v>
      </c>
      <c r="M100" s="685">
        <v>0</v>
      </c>
    </row>
    <row r="101" spans="1:13" ht="15" customHeight="1">
      <c r="A101" s="2">
        <f t="shared" si="19"/>
        <v>29</v>
      </c>
      <c r="B101" s="21">
        <f>Vazões!H32</f>
        <v>0.19834688252187546</v>
      </c>
      <c r="C101" s="21">
        <f>Vazões!I32</f>
        <v>0.23801625902625054</v>
      </c>
      <c r="D101" s="201">
        <f t="shared" si="21"/>
        <v>20.564604779868048</v>
      </c>
      <c r="E101" s="21">
        <f t="shared" si="17"/>
        <v>6.8548682599560165</v>
      </c>
      <c r="F101" s="21">
        <f t="shared" si="20"/>
        <v>20</v>
      </c>
      <c r="G101" s="21" t="str">
        <f t="shared" si="18"/>
        <v>-</v>
      </c>
      <c r="H101" s="201">
        <v>0</v>
      </c>
      <c r="I101" s="219">
        <f t="shared" si="15"/>
        <v>0.97254482709919254</v>
      </c>
      <c r="L101" s="685">
        <v>0</v>
      </c>
      <c r="M101" s="685">
        <v>0</v>
      </c>
    </row>
    <row r="102" spans="1:13" ht="15" customHeight="1">
      <c r="A102" s="2">
        <f t="shared" si="19"/>
        <v>30</v>
      </c>
      <c r="B102" s="21">
        <f>Vazões!H33</f>
        <v>0.20095670992347908</v>
      </c>
      <c r="C102" s="21">
        <f>Vazões!I33</f>
        <v>0.2411480519081749</v>
      </c>
      <c r="D102" s="201">
        <f t="shared" si="21"/>
        <v>20.835191684866313</v>
      </c>
      <c r="E102" s="21">
        <f t="shared" si="17"/>
        <v>6.945063894955438</v>
      </c>
      <c r="F102" s="21">
        <f t="shared" si="20"/>
        <v>20</v>
      </c>
      <c r="G102" s="21" t="str">
        <f t="shared" si="18"/>
        <v>-</v>
      </c>
      <c r="H102" s="201">
        <v>0</v>
      </c>
      <c r="I102" s="219">
        <f t="shared" si="15"/>
        <v>0.95991437479920305</v>
      </c>
      <c r="L102" s="685">
        <v>0</v>
      </c>
      <c r="M102" s="685">
        <v>0</v>
      </c>
    </row>
    <row r="103" spans="1:13" ht="15" customHeight="1">
      <c r="H103" s="61">
        <f>SUM(H73:H102)</f>
        <v>0</v>
      </c>
    </row>
    <row r="104" spans="1:13" ht="15" customHeight="1">
      <c r="H104" s="61"/>
    </row>
  </sheetData>
  <mergeCells count="4">
    <mergeCell ref="A1:I1"/>
    <mergeCell ref="A3:I3"/>
    <mergeCell ref="A37:I37"/>
    <mergeCell ref="A71:I71"/>
  </mergeCells>
  <conditionalFormatting sqref="H5:H35">
    <cfRule type="cellIs" dxfId="59" priority="15" operator="greaterThan">
      <formula>0</formula>
    </cfRule>
  </conditionalFormatting>
  <conditionalFormatting sqref="H39:H69">
    <cfRule type="cellIs" dxfId="58" priority="12" operator="greaterThan">
      <formula>0</formula>
    </cfRule>
  </conditionalFormatting>
  <conditionalFormatting sqref="H73:H104">
    <cfRule type="cellIs" dxfId="57" priority="8" operator="greaterThan">
      <formula>0</formula>
    </cfRule>
  </conditionalFormatting>
  <conditionalFormatting sqref="I5:I34">
    <cfRule type="cellIs" dxfId="56" priority="19" operator="lessThan">
      <formula>0.3333</formula>
    </cfRule>
    <cfRule type="cellIs" dxfId="55" priority="20" operator="greaterThan">
      <formula>0.3333</formula>
    </cfRule>
  </conditionalFormatting>
  <conditionalFormatting sqref="I39:I68">
    <cfRule type="cellIs" dxfId="54" priority="13" operator="lessThan">
      <formula>0.3333</formula>
    </cfRule>
    <cfRule type="cellIs" dxfId="53" priority="14" operator="greaterThan">
      <formula>0.3333</formula>
    </cfRule>
  </conditionalFormatting>
  <conditionalFormatting sqref="I73:I102">
    <cfRule type="cellIs" dxfId="52" priority="10" operator="lessThan">
      <formula>0.3333</formula>
    </cfRule>
    <cfRule type="cellIs" dxfId="51" priority="11" operator="greaterThan">
      <formula>0.3333</formula>
    </cfRule>
  </conditionalFormatting>
  <conditionalFormatting sqref="L5:L34">
    <cfRule type="cellIs" dxfId="50" priority="7" operator="greaterThan">
      <formula>0</formula>
    </cfRule>
  </conditionalFormatting>
  <conditionalFormatting sqref="L39:M68">
    <cfRule type="cellIs" dxfId="49" priority="2" operator="greaterThan">
      <formula>0</formula>
    </cfRule>
  </conditionalFormatting>
  <conditionalFormatting sqref="L73:M102">
    <cfRule type="cellIs" dxfId="48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X106"/>
  <sheetViews>
    <sheetView showGridLines="0" zoomScale="55" zoomScaleNormal="55" workbookViewId="0">
      <pane ySplit="4" topLeftCell="A5" activePane="bottomLeft" state="frozen"/>
      <selection activeCell="L3" sqref="L3:L108"/>
      <selection pane="bottomLeft" activeCell="U30" sqref="U30"/>
    </sheetView>
  </sheetViews>
  <sheetFormatPr defaultColWidth="11.44140625" defaultRowHeight="15" customHeight="1"/>
  <cols>
    <col min="1" max="1" width="10.77734375" style="16" customWidth="1"/>
    <col min="2" max="2" width="19.109375" style="16" customWidth="1"/>
    <col min="3" max="3" width="16.44140625" style="16" customWidth="1"/>
    <col min="4" max="5" width="15" style="16" customWidth="1"/>
    <col min="6" max="6" width="16.77734375" style="16" customWidth="1"/>
    <col min="7" max="7" width="19.44140625" style="16" customWidth="1"/>
    <col min="8" max="8" width="18" style="16" customWidth="1"/>
    <col min="9" max="9" width="16.44140625" style="16" customWidth="1"/>
    <col min="10" max="10" width="16.109375" style="16" customWidth="1"/>
    <col min="11" max="11" width="15.77734375" style="230" customWidth="1"/>
    <col min="12" max="12" width="11.44140625" style="16"/>
    <col min="13" max="13" width="14.109375" style="16" customWidth="1"/>
    <col min="14" max="15" width="11.44140625" style="16"/>
    <col min="16" max="16" width="19.77734375" style="16" customWidth="1"/>
    <col min="17" max="17" width="12" style="16" bestFit="1" customWidth="1"/>
    <col min="18" max="18" width="20.77734375" style="16" customWidth="1"/>
    <col min="19" max="19" width="16.6640625" style="16" customWidth="1"/>
    <col min="20" max="21" width="11.44140625" style="16"/>
    <col min="22" max="22" width="12" style="16" bestFit="1" customWidth="1"/>
    <col min="23" max="23" width="13.77734375" style="16" bestFit="1" customWidth="1"/>
    <col min="24" max="24" width="15" style="16" bestFit="1" customWidth="1"/>
    <col min="25" max="16384" width="11.44140625" style="16"/>
  </cols>
  <sheetData>
    <row r="1" spans="1:24" s="13" customFormat="1" ht="40.049999999999997" customHeight="1">
      <c r="A1" s="966" t="s">
        <v>405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</row>
    <row r="2" spans="1:24" s="13" customFormat="1" ht="40.049999999999997" customHeight="1">
      <c r="A2" s="723"/>
      <c r="B2" s="723"/>
      <c r="C2" s="723"/>
      <c r="D2" s="723"/>
      <c r="E2" s="723"/>
      <c r="F2" s="723"/>
      <c r="G2" s="723"/>
      <c r="H2" s="723"/>
      <c r="I2" s="723"/>
      <c r="J2" s="723"/>
      <c r="K2" s="723"/>
    </row>
    <row r="3" spans="1:24" s="15" customFormat="1" ht="15" customHeight="1">
      <c r="A3" s="954" t="s">
        <v>891</v>
      </c>
      <c r="B3" s="955"/>
      <c r="C3" s="955"/>
      <c r="D3" s="955"/>
      <c r="E3" s="955"/>
      <c r="F3" s="955"/>
      <c r="G3" s="955"/>
      <c r="H3" s="955"/>
      <c r="I3" s="955"/>
      <c r="J3" s="955"/>
      <c r="K3" s="956"/>
      <c r="P3" s="738"/>
      <c r="Q3" s="738"/>
      <c r="R3" s="738"/>
      <c r="S3" s="738"/>
      <c r="U3" s="738"/>
      <c r="V3" s="738"/>
      <c r="W3" s="738"/>
      <c r="X3" s="738"/>
    </row>
    <row r="4" spans="1:24" s="18" customFormat="1" ht="38.25" customHeight="1">
      <c r="A4" s="231" t="s">
        <v>1</v>
      </c>
      <c r="B4" s="151" t="s">
        <v>406</v>
      </c>
      <c r="C4" s="232" t="s">
        <v>407</v>
      </c>
      <c r="D4" s="151" t="s">
        <v>408</v>
      </c>
      <c r="E4" s="151" t="s">
        <v>409</v>
      </c>
      <c r="F4" s="151" t="s">
        <v>410</v>
      </c>
      <c r="G4" s="232" t="s">
        <v>411</v>
      </c>
      <c r="H4" s="233" t="s">
        <v>412</v>
      </c>
      <c r="I4" s="233" t="s">
        <v>417</v>
      </c>
      <c r="J4" s="232" t="s">
        <v>420</v>
      </c>
      <c r="K4" s="234" t="s">
        <v>413</v>
      </c>
      <c r="M4" s="363" t="s">
        <v>576</v>
      </c>
      <c r="P4" s="363" t="s">
        <v>993</v>
      </c>
      <c r="R4" s="363" t="s">
        <v>993</v>
      </c>
    </row>
    <row r="5" spans="1:24" s="18" customFormat="1" ht="13.2">
      <c r="A5" s="2">
        <v>0</v>
      </c>
      <c r="B5" s="223">
        <f>B6</f>
        <v>375.36841760261473</v>
      </c>
      <c r="C5" s="222">
        <f>'Dados de Entrada'!D61</f>
        <v>0.46620312445918932</v>
      </c>
      <c r="D5" s="223">
        <f>D6</f>
        <v>174.99792910964075</v>
      </c>
      <c r="E5" s="223">
        <f>E6</f>
        <v>450.44210112313766</v>
      </c>
      <c r="F5" s="223">
        <f>F6</f>
        <v>675.66315168470646</v>
      </c>
      <c r="G5" s="225">
        <f>'Dados de Entrada'!D38</f>
        <v>18.61</v>
      </c>
      <c r="H5" s="228">
        <f>'Dados de Entrada'!D37</f>
        <v>430</v>
      </c>
      <c r="I5" s="228">
        <f>H5+G5</f>
        <v>448.61</v>
      </c>
      <c r="J5" s="223">
        <v>0</v>
      </c>
      <c r="K5" s="229">
        <f>I5-E5</f>
        <v>-1.8321011231376474</v>
      </c>
      <c r="M5" s="364">
        <f>'Dados de Entrada'!D35</f>
        <v>2</v>
      </c>
      <c r="P5" s="223">
        <f>J5</f>
        <v>0</v>
      </c>
      <c r="R5" s="223">
        <v>2</v>
      </c>
    </row>
    <row r="6" spans="1:24" ht="15" customHeight="1">
      <c r="A6" s="2">
        <v>1</v>
      </c>
      <c r="B6" s="21">
        <f>Vazões!B4</f>
        <v>375.36841760261473</v>
      </c>
      <c r="C6" s="216">
        <f>'Evolução Volume'!Q4</f>
        <v>0.46620312445918932</v>
      </c>
      <c r="D6" s="21">
        <f>'Evolução Volume'!AD4/365/86.4</f>
        <v>174.99792910964075</v>
      </c>
      <c r="E6" s="21">
        <f>Vazões!C4</f>
        <v>450.44210112313766</v>
      </c>
      <c r="F6" s="21">
        <f>Vazões!D4</f>
        <v>675.66315168470646</v>
      </c>
      <c r="G6" s="201">
        <f>G5</f>
        <v>18.61</v>
      </c>
      <c r="H6" s="303">
        <f t="shared" ref="H6:H35" si="0">H5+J5</f>
        <v>430</v>
      </c>
      <c r="I6" s="303">
        <f t="shared" ref="I6:I35" si="1">H6+G6</f>
        <v>448.61</v>
      </c>
      <c r="J6" s="223">
        <v>0</v>
      </c>
      <c r="K6" s="229">
        <f>I6-E6</f>
        <v>-1.8321011231376474</v>
      </c>
      <c r="M6" s="364">
        <f t="shared" ref="M6:M35" si="2">COUNTIF(J6,"&lt;&gt;0")+(M5)</f>
        <v>2</v>
      </c>
      <c r="P6" s="223">
        <f t="shared" ref="P6:P35" si="3">J6</f>
        <v>0</v>
      </c>
      <c r="R6" s="223">
        <v>2</v>
      </c>
    </row>
    <row r="7" spans="1:24" ht="15" customHeight="1">
      <c r="A7" s="2">
        <f xml:space="preserve"> ( ( A6 ) + ( 1 ) )</f>
        <v>2</v>
      </c>
      <c r="B7" s="21">
        <f>Vazões!B5</f>
        <v>369.39800114321605</v>
      </c>
      <c r="C7" s="216">
        <f>'Evolução Volume'!Q5</f>
        <v>0.45</v>
      </c>
      <c r="D7" s="21">
        <f>'Evolução Volume'!AD5/365/86.4</f>
        <v>166.22910051444723</v>
      </c>
      <c r="E7" s="21">
        <f>Vazões!C5</f>
        <v>443.27760137185925</v>
      </c>
      <c r="F7" s="21">
        <f>Vazões!D5</f>
        <v>664.9164020577889</v>
      </c>
      <c r="G7" s="201">
        <f t="shared" ref="G7:G35" si="4">G6</f>
        <v>18.61</v>
      </c>
      <c r="H7" s="303">
        <f t="shared" si="0"/>
        <v>430</v>
      </c>
      <c r="I7" s="303">
        <f t="shared" si="1"/>
        <v>448.61</v>
      </c>
      <c r="J7" s="223">
        <v>0</v>
      </c>
      <c r="K7" s="229">
        <f t="shared" ref="K7:K35" si="5">I7-E7</f>
        <v>5.3323986281407656</v>
      </c>
      <c r="M7" s="364">
        <f t="shared" si="2"/>
        <v>2</v>
      </c>
      <c r="P7" s="223">
        <f t="shared" si="3"/>
        <v>0</v>
      </c>
      <c r="R7" s="223">
        <v>2</v>
      </c>
    </row>
    <row r="8" spans="1:24" ht="15" customHeight="1">
      <c r="A8" s="2">
        <f t="shared" ref="A8:A35" si="6" xml:space="preserve"> ( ( A7 ) + ( 1 ) )</f>
        <v>3</v>
      </c>
      <c r="B8" s="21">
        <f>Vazões!B6</f>
        <v>364.95962437229701</v>
      </c>
      <c r="C8" s="216">
        <f>'Evolução Volume'!Q6</f>
        <v>0.43</v>
      </c>
      <c r="D8" s="21">
        <f>'Evolução Volume'!AD6/365/86.4</f>
        <v>156.93263848008772</v>
      </c>
      <c r="E8" s="21">
        <f>Vazões!C6</f>
        <v>437.95154924675643</v>
      </c>
      <c r="F8" s="21">
        <f>Vazões!D6</f>
        <v>656.92732387013461</v>
      </c>
      <c r="G8" s="201">
        <f t="shared" si="4"/>
        <v>18.61</v>
      </c>
      <c r="H8" s="303">
        <f t="shared" si="0"/>
        <v>430</v>
      </c>
      <c r="I8" s="303">
        <f t="shared" si="1"/>
        <v>448.61</v>
      </c>
      <c r="J8" s="223">
        <v>0</v>
      </c>
      <c r="K8" s="229">
        <f>I8-E8</f>
        <v>10.658450753243585</v>
      </c>
      <c r="M8" s="364">
        <f t="shared" si="2"/>
        <v>2</v>
      </c>
      <c r="P8" s="223">
        <f t="shared" si="3"/>
        <v>0</v>
      </c>
      <c r="R8" s="223">
        <v>2</v>
      </c>
    </row>
    <row r="9" spans="1:24" ht="15" customHeight="1">
      <c r="A9" s="2">
        <f t="shared" si="6"/>
        <v>4</v>
      </c>
      <c r="B9" s="21">
        <f>Vazões!B7</f>
        <v>354.93652661809296</v>
      </c>
      <c r="C9" s="216">
        <f>'Evolução Volume'!Q7</f>
        <v>0.4</v>
      </c>
      <c r="D9" s="21">
        <f>'Evolução Volume'!AD7/365/86.4</f>
        <v>141.9746106472372</v>
      </c>
      <c r="E9" s="21">
        <f>Vazões!C7</f>
        <v>425.92383194171151</v>
      </c>
      <c r="F9" s="21">
        <f>Vazões!D7</f>
        <v>638.88574791256724</v>
      </c>
      <c r="G9" s="201">
        <f t="shared" si="4"/>
        <v>18.61</v>
      </c>
      <c r="H9" s="303">
        <f t="shared" si="0"/>
        <v>430</v>
      </c>
      <c r="I9" s="303">
        <f t="shared" si="1"/>
        <v>448.61</v>
      </c>
      <c r="J9" s="223">
        <v>0</v>
      </c>
      <c r="K9" s="229">
        <f t="shared" si="5"/>
        <v>22.686168058288501</v>
      </c>
      <c r="M9" s="364">
        <f t="shared" si="2"/>
        <v>2</v>
      </c>
      <c r="P9" s="223">
        <f t="shared" si="3"/>
        <v>0</v>
      </c>
      <c r="R9" s="223">
        <v>2</v>
      </c>
    </row>
    <row r="10" spans="1:24" ht="15" customHeight="1">
      <c r="A10" s="2">
        <f t="shared" si="6"/>
        <v>5</v>
      </c>
      <c r="B10" s="21">
        <f>Vazões!B8</f>
        <v>351.57216443949352</v>
      </c>
      <c r="C10" s="216">
        <f>'Evolução Volume'!Q8</f>
        <v>0.38</v>
      </c>
      <c r="D10" s="21">
        <f>'Evolução Volume'!AD8/365/86.4</f>
        <v>133.59742248700752</v>
      </c>
      <c r="E10" s="21">
        <f>Vazões!C8</f>
        <v>421.88659732739222</v>
      </c>
      <c r="F10" s="21">
        <f>Vazões!D8</f>
        <v>632.82989599108828</v>
      </c>
      <c r="G10" s="201">
        <f t="shared" si="4"/>
        <v>18.61</v>
      </c>
      <c r="H10" s="303">
        <f t="shared" si="0"/>
        <v>430</v>
      </c>
      <c r="I10" s="303">
        <f>H10+G10</f>
        <v>448.61</v>
      </c>
      <c r="J10" s="223">
        <v>0</v>
      </c>
      <c r="K10" s="229">
        <f t="shared" si="5"/>
        <v>26.72340267260779</v>
      </c>
      <c r="M10" s="364">
        <f t="shared" si="2"/>
        <v>2</v>
      </c>
      <c r="P10" s="223">
        <f t="shared" si="3"/>
        <v>0</v>
      </c>
      <c r="R10" s="223">
        <v>2</v>
      </c>
    </row>
    <row r="11" spans="1:24" ht="15" customHeight="1">
      <c r="A11" s="2">
        <f t="shared" si="6"/>
        <v>6</v>
      </c>
      <c r="B11" s="21">
        <f>Vazões!B9</f>
        <v>339.78447099224422</v>
      </c>
      <c r="C11" s="216">
        <f>'Evolução Volume'!Q9</f>
        <v>0.35</v>
      </c>
      <c r="D11" s="21">
        <f>'Evolução Volume'!AD9/365/86.4</f>
        <v>118.92456484728548</v>
      </c>
      <c r="E11" s="21">
        <f>Vazões!C9</f>
        <v>407.74136519069305</v>
      </c>
      <c r="F11" s="21">
        <f>Vazões!D9</f>
        <v>611.61204778603951</v>
      </c>
      <c r="G11" s="201">
        <f t="shared" si="4"/>
        <v>18.61</v>
      </c>
      <c r="H11" s="303">
        <f t="shared" si="0"/>
        <v>430</v>
      </c>
      <c r="I11" s="303">
        <f t="shared" si="1"/>
        <v>448.61</v>
      </c>
      <c r="J11" s="223">
        <v>0</v>
      </c>
      <c r="K11" s="229">
        <f t="shared" si="5"/>
        <v>40.868634809306968</v>
      </c>
      <c r="M11" s="364">
        <f t="shared" si="2"/>
        <v>2</v>
      </c>
      <c r="P11" s="223">
        <f t="shared" si="3"/>
        <v>0</v>
      </c>
      <c r="R11" s="223">
        <v>2</v>
      </c>
    </row>
    <row r="12" spans="1:24" ht="15" customHeight="1">
      <c r="A12" s="2">
        <f t="shared" si="6"/>
        <v>7</v>
      </c>
      <c r="B12" s="21">
        <f>Vazões!B10</f>
        <v>329.03398965717707</v>
      </c>
      <c r="C12" s="216">
        <f>'Evolução Volume'!Q10</f>
        <v>0.32</v>
      </c>
      <c r="D12" s="21">
        <f>'Evolução Volume'!AD10/365/86.4</f>
        <v>105.29087669029668</v>
      </c>
      <c r="E12" s="21">
        <f>Vazões!C10</f>
        <v>394.8407875886125</v>
      </c>
      <c r="F12" s="21">
        <f>Vazões!D10</f>
        <v>592.26118138291872</v>
      </c>
      <c r="G12" s="201">
        <f t="shared" si="4"/>
        <v>18.61</v>
      </c>
      <c r="H12" s="303">
        <f t="shared" si="0"/>
        <v>430</v>
      </c>
      <c r="I12" s="303">
        <f>H12+G12</f>
        <v>448.61</v>
      </c>
      <c r="J12" s="223">
        <v>0</v>
      </c>
      <c r="K12" s="229">
        <f t="shared" si="5"/>
        <v>53.769212411387514</v>
      </c>
      <c r="M12" s="364">
        <f t="shared" si="2"/>
        <v>2</v>
      </c>
      <c r="P12" s="223">
        <f t="shared" si="3"/>
        <v>0</v>
      </c>
      <c r="R12" s="223">
        <v>2</v>
      </c>
    </row>
    <row r="13" spans="1:24" ht="15" customHeight="1">
      <c r="A13" s="2">
        <f t="shared" si="6"/>
        <v>8</v>
      </c>
      <c r="B13" s="21">
        <f>Vazões!B11</f>
        <v>314.75877748444725</v>
      </c>
      <c r="C13" s="216">
        <f>'Evolução Volume'!Q11</f>
        <v>0.28000000000000003</v>
      </c>
      <c r="D13" s="21">
        <f>'Evolução Volume'!AD11/365/86.4</f>
        <v>88.132457695645229</v>
      </c>
      <c r="E13" s="21">
        <f>Vazões!C11</f>
        <v>377.71053298133671</v>
      </c>
      <c r="F13" s="21">
        <f>Vazões!D11</f>
        <v>566.5657994720051</v>
      </c>
      <c r="G13" s="201">
        <f t="shared" si="4"/>
        <v>18.61</v>
      </c>
      <c r="H13" s="303">
        <f t="shared" si="0"/>
        <v>430</v>
      </c>
      <c r="I13" s="303">
        <f>H13+G13</f>
        <v>448.61</v>
      </c>
      <c r="J13" s="223">
        <v>0</v>
      </c>
      <c r="K13" s="229">
        <f t="shared" si="5"/>
        <v>70.899467018663302</v>
      </c>
      <c r="M13" s="364">
        <f t="shared" si="2"/>
        <v>2</v>
      </c>
      <c r="P13" s="223">
        <f t="shared" si="3"/>
        <v>0</v>
      </c>
      <c r="R13" s="223">
        <v>2</v>
      </c>
    </row>
    <row r="14" spans="1:24" ht="15" customHeight="1">
      <c r="A14" s="2">
        <f t="shared" si="6"/>
        <v>9</v>
      </c>
      <c r="B14" s="21">
        <f>Vazões!B12</f>
        <v>310.14800893341027</v>
      </c>
      <c r="C14" s="216">
        <f>'Evolução Volume'!Q12</f>
        <v>0.26</v>
      </c>
      <c r="D14" s="21">
        <f>'Evolução Volume'!AD12/365/86.4</f>
        <v>80.638482322686684</v>
      </c>
      <c r="E14" s="21">
        <f>Vazões!C12</f>
        <v>372.17761072009233</v>
      </c>
      <c r="F14" s="21">
        <f>Vazões!D12</f>
        <v>558.26641608013847</v>
      </c>
      <c r="G14" s="201">
        <f t="shared" si="4"/>
        <v>18.61</v>
      </c>
      <c r="H14" s="303">
        <f t="shared" si="0"/>
        <v>430</v>
      </c>
      <c r="I14" s="303">
        <f t="shared" si="1"/>
        <v>448.61</v>
      </c>
      <c r="J14" s="223">
        <v>0</v>
      </c>
      <c r="K14" s="229">
        <f t="shared" si="5"/>
        <v>76.432389279907682</v>
      </c>
      <c r="M14" s="364">
        <f t="shared" si="2"/>
        <v>2</v>
      </c>
      <c r="P14" s="223">
        <f t="shared" si="3"/>
        <v>0</v>
      </c>
      <c r="R14" s="223">
        <v>2</v>
      </c>
    </row>
    <row r="15" spans="1:24" ht="15" customHeight="1">
      <c r="A15" s="2">
        <f t="shared" si="6"/>
        <v>10</v>
      </c>
      <c r="B15" s="21">
        <f>Vazões!B13</f>
        <v>309.85697791019351</v>
      </c>
      <c r="C15" s="216">
        <f>'Evolução Volume'!Q13</f>
        <v>0.25</v>
      </c>
      <c r="D15" s="21">
        <f>'Evolução Volume'!AD13/365/86.4</f>
        <v>77.464244477548377</v>
      </c>
      <c r="E15" s="21">
        <f>Vazões!C13</f>
        <v>371.82837349223217</v>
      </c>
      <c r="F15" s="21">
        <f>Vazões!D13</f>
        <v>557.74256023834823</v>
      </c>
      <c r="G15" s="201">
        <f t="shared" si="4"/>
        <v>18.61</v>
      </c>
      <c r="H15" s="303">
        <f t="shared" si="0"/>
        <v>430</v>
      </c>
      <c r="I15" s="303">
        <f t="shared" si="1"/>
        <v>448.61</v>
      </c>
      <c r="J15" s="223">
        <v>0</v>
      </c>
      <c r="K15" s="229">
        <f t="shared" si="5"/>
        <v>76.781626507767839</v>
      </c>
      <c r="M15" s="364">
        <f t="shared" si="2"/>
        <v>2</v>
      </c>
      <c r="P15" s="223">
        <f t="shared" si="3"/>
        <v>0</v>
      </c>
      <c r="R15" s="223">
        <v>2</v>
      </c>
    </row>
    <row r="16" spans="1:24" ht="15" customHeight="1">
      <c r="A16" s="2">
        <f t="shared" si="6"/>
        <v>11</v>
      </c>
      <c r="B16" s="21">
        <f>Vazões!B14</f>
        <v>313.70125367275568</v>
      </c>
      <c r="C16" s="216">
        <f>'Evolução Volume'!Q14</f>
        <v>0.25</v>
      </c>
      <c r="D16" s="21">
        <f>'Evolução Volume'!AD14/365/86.4</f>
        <v>78.425313418188935</v>
      </c>
      <c r="E16" s="21">
        <f>Vazões!C14</f>
        <v>376.44150440730681</v>
      </c>
      <c r="F16" s="21">
        <f>Vazões!D14</f>
        <v>564.66225661096018</v>
      </c>
      <c r="G16" s="201">
        <f t="shared" si="4"/>
        <v>18.61</v>
      </c>
      <c r="H16" s="303">
        <f t="shared" si="0"/>
        <v>430</v>
      </c>
      <c r="I16" s="303">
        <f t="shared" si="1"/>
        <v>448.61</v>
      </c>
      <c r="J16" s="223">
        <v>0</v>
      </c>
      <c r="K16" s="229">
        <f t="shared" si="5"/>
        <v>72.168495592693205</v>
      </c>
      <c r="M16" s="364">
        <f t="shared" si="2"/>
        <v>2</v>
      </c>
      <c r="P16" s="223">
        <f t="shared" si="3"/>
        <v>0</v>
      </c>
      <c r="R16" s="223">
        <v>2</v>
      </c>
    </row>
    <row r="17" spans="1:18" ht="15" customHeight="1">
      <c r="A17" s="2">
        <f t="shared" si="6"/>
        <v>12</v>
      </c>
      <c r="B17" s="21">
        <f>Vazões!B15</f>
        <v>317.54552943531786</v>
      </c>
      <c r="C17" s="216">
        <f>'Evolução Volume'!Q15</f>
        <v>0.25</v>
      </c>
      <c r="D17" s="21">
        <f>'Evolução Volume'!AD15/365/86.4</f>
        <v>79.386382358829465</v>
      </c>
      <c r="E17" s="21">
        <f>Vazões!C15</f>
        <v>381.05463532238144</v>
      </c>
      <c r="F17" s="21">
        <f>Vazões!D15</f>
        <v>571.58195298357214</v>
      </c>
      <c r="G17" s="201">
        <f t="shared" si="4"/>
        <v>18.61</v>
      </c>
      <c r="H17" s="303">
        <f t="shared" si="0"/>
        <v>430</v>
      </c>
      <c r="I17" s="303">
        <f t="shared" si="1"/>
        <v>448.61</v>
      </c>
      <c r="J17" s="223">
        <v>0</v>
      </c>
      <c r="K17" s="229">
        <f t="shared" si="5"/>
        <v>67.55536467761857</v>
      </c>
      <c r="M17" s="364">
        <f t="shared" si="2"/>
        <v>2</v>
      </c>
      <c r="P17" s="223">
        <f t="shared" si="3"/>
        <v>0</v>
      </c>
      <c r="R17" s="223">
        <v>2</v>
      </c>
    </row>
    <row r="18" spans="1:18" ht="15" customHeight="1">
      <c r="A18" s="2">
        <f t="shared" si="6"/>
        <v>13</v>
      </c>
      <c r="B18" s="21">
        <f>Vazões!B16</f>
        <v>321.38980519787998</v>
      </c>
      <c r="C18" s="216">
        <f>'Evolução Volume'!Q16</f>
        <v>0.25</v>
      </c>
      <c r="D18" s="21">
        <f>'Evolução Volume'!AD16/365/86.4</f>
        <v>80.347451299470023</v>
      </c>
      <c r="E18" s="21">
        <f>Vazões!C16</f>
        <v>385.66776623745596</v>
      </c>
      <c r="F18" s="21">
        <f>Vazões!D16</f>
        <v>578.50164935618398</v>
      </c>
      <c r="G18" s="201">
        <f t="shared" si="4"/>
        <v>18.61</v>
      </c>
      <c r="H18" s="303">
        <f t="shared" si="0"/>
        <v>430</v>
      </c>
      <c r="I18" s="303">
        <f t="shared" si="1"/>
        <v>448.61</v>
      </c>
      <c r="J18" s="223">
        <v>0</v>
      </c>
      <c r="K18" s="229">
        <f t="shared" si="5"/>
        <v>62.942233762544049</v>
      </c>
      <c r="M18" s="364">
        <f t="shared" si="2"/>
        <v>2</v>
      </c>
      <c r="P18" s="223">
        <f t="shared" si="3"/>
        <v>0</v>
      </c>
      <c r="R18" s="223">
        <v>2</v>
      </c>
    </row>
    <row r="19" spans="1:18" ht="15" customHeight="1">
      <c r="A19" s="2">
        <f t="shared" si="6"/>
        <v>14</v>
      </c>
      <c r="B19" s="21">
        <f>Vazões!B17</f>
        <v>325.23408096044216</v>
      </c>
      <c r="C19" s="216">
        <f>'Evolução Volume'!Q17</f>
        <v>0.25</v>
      </c>
      <c r="D19" s="21">
        <f>'Evolução Volume'!AD17/365/86.4</f>
        <v>81.308520240110539</v>
      </c>
      <c r="E19" s="21">
        <f>Vazões!C17</f>
        <v>390.2808971525306</v>
      </c>
      <c r="F19" s="21">
        <f>Vazões!D17</f>
        <v>585.42134572879593</v>
      </c>
      <c r="G19" s="201">
        <f t="shared" si="4"/>
        <v>18.61</v>
      </c>
      <c r="H19" s="303">
        <f t="shared" si="0"/>
        <v>430</v>
      </c>
      <c r="I19" s="303">
        <f t="shared" si="1"/>
        <v>448.61</v>
      </c>
      <c r="J19" s="223">
        <v>0</v>
      </c>
      <c r="K19" s="229">
        <f t="shared" si="5"/>
        <v>58.329102847469414</v>
      </c>
      <c r="M19" s="364">
        <f t="shared" si="2"/>
        <v>2</v>
      </c>
      <c r="P19" s="223">
        <f t="shared" si="3"/>
        <v>0</v>
      </c>
      <c r="R19" s="223">
        <v>2</v>
      </c>
    </row>
    <row r="20" spans="1:18" ht="15" customHeight="1">
      <c r="A20" s="2">
        <f t="shared" si="6"/>
        <v>15</v>
      </c>
      <c r="B20" s="21">
        <f>Vazões!B18</f>
        <v>329.08096655040583</v>
      </c>
      <c r="C20" s="216">
        <f>'Evolução Volume'!Q18</f>
        <v>0.25</v>
      </c>
      <c r="D20" s="21">
        <f>'Evolução Volume'!AD18/365/86.4</f>
        <v>82.270241637601487</v>
      </c>
      <c r="E20" s="21">
        <f>Vazões!C18</f>
        <v>394.89715986048697</v>
      </c>
      <c r="F20" s="21">
        <f>Vazões!D18</f>
        <v>592.34573979073048</v>
      </c>
      <c r="G20" s="201">
        <f t="shared" si="4"/>
        <v>18.61</v>
      </c>
      <c r="H20" s="303">
        <f t="shared" si="0"/>
        <v>430</v>
      </c>
      <c r="I20" s="303">
        <f t="shared" si="1"/>
        <v>448.61</v>
      </c>
      <c r="J20" s="223">
        <v>0</v>
      </c>
      <c r="K20" s="229">
        <f t="shared" si="5"/>
        <v>53.712840139513048</v>
      </c>
      <c r="M20" s="364">
        <f t="shared" si="2"/>
        <v>2</v>
      </c>
      <c r="P20" s="223">
        <f t="shared" si="3"/>
        <v>0</v>
      </c>
      <c r="R20" s="223">
        <v>2</v>
      </c>
    </row>
    <row r="21" spans="1:18" ht="15" customHeight="1">
      <c r="A21" s="2">
        <f t="shared" si="6"/>
        <v>16</v>
      </c>
      <c r="B21" s="21">
        <f>Vazões!B19</f>
        <v>332.92524231296807</v>
      </c>
      <c r="C21" s="216">
        <f>'Evolução Volume'!Q19</f>
        <v>0.25</v>
      </c>
      <c r="D21" s="21">
        <f>'Evolução Volume'!AD19/365/86.4</f>
        <v>83.231310578242031</v>
      </c>
      <c r="E21" s="21">
        <f>Vazões!C19</f>
        <v>399.51029077556166</v>
      </c>
      <c r="F21" s="21">
        <f>Vazões!D19</f>
        <v>599.26543616334243</v>
      </c>
      <c r="G21" s="201">
        <f t="shared" si="4"/>
        <v>18.61</v>
      </c>
      <c r="H21" s="303">
        <f t="shared" si="0"/>
        <v>430</v>
      </c>
      <c r="I21" s="303">
        <f t="shared" si="1"/>
        <v>448.61</v>
      </c>
      <c r="J21" s="223">
        <v>0</v>
      </c>
      <c r="K21" s="229">
        <f t="shared" si="5"/>
        <v>49.099709224438357</v>
      </c>
      <c r="M21" s="364">
        <f t="shared" si="2"/>
        <v>2</v>
      </c>
      <c r="P21" s="223">
        <f t="shared" si="3"/>
        <v>0</v>
      </c>
      <c r="R21" s="223">
        <v>2</v>
      </c>
    </row>
    <row r="22" spans="1:18" ht="15" customHeight="1">
      <c r="A22" s="2">
        <f t="shared" si="6"/>
        <v>17</v>
      </c>
      <c r="B22" s="21">
        <f>Vazões!B20</f>
        <v>336.76951807553013</v>
      </c>
      <c r="C22" s="216">
        <f>'Evolução Volume'!Q20</f>
        <v>0.25</v>
      </c>
      <c r="D22" s="21">
        <f>'Evolução Volume'!AD20/365/86.4</f>
        <v>84.192379518882532</v>
      </c>
      <c r="E22" s="21">
        <f>Vazões!C20</f>
        <v>404.12342169063612</v>
      </c>
      <c r="F22" s="21">
        <f>Vazões!D20</f>
        <v>606.18513253595415</v>
      </c>
      <c r="G22" s="201">
        <f t="shared" si="4"/>
        <v>18.61</v>
      </c>
      <c r="H22" s="303">
        <f t="shared" si="0"/>
        <v>430</v>
      </c>
      <c r="I22" s="303">
        <f t="shared" si="1"/>
        <v>448.61</v>
      </c>
      <c r="J22" s="223">
        <v>0</v>
      </c>
      <c r="K22" s="229">
        <f t="shared" si="5"/>
        <v>44.486578309363892</v>
      </c>
      <c r="M22" s="364">
        <f t="shared" si="2"/>
        <v>2</v>
      </c>
      <c r="P22" s="223">
        <f t="shared" si="3"/>
        <v>0</v>
      </c>
      <c r="R22" s="223">
        <v>2</v>
      </c>
    </row>
    <row r="23" spans="1:18" ht="15" customHeight="1">
      <c r="A23" s="2">
        <f t="shared" si="6"/>
        <v>18</v>
      </c>
      <c r="B23" s="21">
        <f>Vazões!B21</f>
        <v>340.64250193950994</v>
      </c>
      <c r="C23" s="216">
        <f>'Evolução Volume'!Q21</f>
        <v>0.25</v>
      </c>
      <c r="D23" s="21">
        <f>'Evolução Volume'!AD21/365/86.4</f>
        <v>85.160625484877514</v>
      </c>
      <c r="E23" s="21">
        <f>Vazões!C21</f>
        <v>408.77100232741191</v>
      </c>
      <c r="F23" s="21">
        <f>Vazões!D21</f>
        <v>613.15650349111786</v>
      </c>
      <c r="G23" s="201">
        <f t="shared" si="4"/>
        <v>18.61</v>
      </c>
      <c r="H23" s="303">
        <f t="shared" si="0"/>
        <v>430</v>
      </c>
      <c r="I23" s="303">
        <f t="shared" si="1"/>
        <v>448.61</v>
      </c>
      <c r="J23" s="223">
        <v>0</v>
      </c>
      <c r="K23" s="229">
        <f t="shared" si="5"/>
        <v>39.838997672588107</v>
      </c>
      <c r="M23" s="364">
        <f t="shared" si="2"/>
        <v>2</v>
      </c>
      <c r="P23" s="223">
        <f t="shared" si="3"/>
        <v>0</v>
      </c>
      <c r="R23" s="223">
        <v>2</v>
      </c>
    </row>
    <row r="24" spans="1:18" s="18" customFormat="1" ht="15" customHeight="1">
      <c r="A24" s="2">
        <f t="shared" si="6"/>
        <v>19</v>
      </c>
      <c r="B24" s="21">
        <f>Vazões!B22</f>
        <v>344.55985286931696</v>
      </c>
      <c r="C24" s="216">
        <f>'Evolução Volume'!Q22</f>
        <v>0.25</v>
      </c>
      <c r="D24" s="21">
        <f>'Evolução Volume'!AD22/365/86.4</f>
        <v>86.139963217329239</v>
      </c>
      <c r="E24" s="21">
        <f>Vazões!C22</f>
        <v>413.47182344318031</v>
      </c>
      <c r="F24" s="21">
        <f>Vazões!D22</f>
        <v>620.2077351647705</v>
      </c>
      <c r="G24" s="201">
        <f t="shared" si="4"/>
        <v>18.61</v>
      </c>
      <c r="H24" s="303">
        <f t="shared" si="0"/>
        <v>430</v>
      </c>
      <c r="I24" s="303">
        <f t="shared" si="1"/>
        <v>448.61</v>
      </c>
      <c r="J24" s="223">
        <v>0</v>
      </c>
      <c r="K24" s="229">
        <f t="shared" si="5"/>
        <v>35.138176556819701</v>
      </c>
      <c r="M24" s="364">
        <f t="shared" si="2"/>
        <v>2</v>
      </c>
      <c r="P24" s="223">
        <f t="shared" si="3"/>
        <v>0</v>
      </c>
      <c r="R24" s="223">
        <v>2</v>
      </c>
    </row>
    <row r="25" spans="1:18" ht="15" customHeight="1">
      <c r="A25" s="2">
        <f t="shared" si="6"/>
        <v>20</v>
      </c>
      <c r="B25" s="21">
        <f>Vazões!B23</f>
        <v>348.52157086495134</v>
      </c>
      <c r="C25" s="216">
        <f>'Evolução Volume'!Q23</f>
        <v>0.25</v>
      </c>
      <c r="D25" s="21">
        <f>'Evolução Volume'!AD23/365/86.4</f>
        <v>87.130392716237836</v>
      </c>
      <c r="E25" s="21">
        <f>Vazões!C23</f>
        <v>418.22588503794162</v>
      </c>
      <c r="F25" s="21">
        <f>Vazões!D23</f>
        <v>627.33882755691241</v>
      </c>
      <c r="G25" s="201">
        <f t="shared" si="4"/>
        <v>18.61</v>
      </c>
      <c r="H25" s="303">
        <f t="shared" si="0"/>
        <v>430</v>
      </c>
      <c r="I25" s="303">
        <f t="shared" si="1"/>
        <v>448.61</v>
      </c>
      <c r="J25" s="223">
        <v>0</v>
      </c>
      <c r="K25" s="229">
        <f t="shared" si="5"/>
        <v>30.384114962058391</v>
      </c>
      <c r="M25" s="364">
        <f t="shared" si="2"/>
        <v>2</v>
      </c>
      <c r="P25" s="223">
        <f t="shared" si="3"/>
        <v>0</v>
      </c>
      <c r="R25" s="223">
        <v>2</v>
      </c>
    </row>
    <row r="26" spans="1:18" ht="15" customHeight="1">
      <c r="A26" s="2">
        <f t="shared" si="6"/>
        <v>21</v>
      </c>
      <c r="B26" s="21">
        <f>Vazões!B24</f>
        <v>352.53026575381449</v>
      </c>
      <c r="C26" s="216">
        <f>'Evolução Volume'!Q24</f>
        <v>0.25</v>
      </c>
      <c r="D26" s="21">
        <f>'Evolução Volume'!AD24/365/86.4</f>
        <v>88.132566438453637</v>
      </c>
      <c r="E26" s="21">
        <f>Vazões!C24</f>
        <v>423.0363189045774</v>
      </c>
      <c r="F26" s="21">
        <f>Vazões!D24</f>
        <v>634.55447835686607</v>
      </c>
      <c r="G26" s="201">
        <f t="shared" si="4"/>
        <v>18.61</v>
      </c>
      <c r="H26" s="303">
        <f t="shared" si="0"/>
        <v>430</v>
      </c>
      <c r="I26" s="303">
        <f t="shared" si="1"/>
        <v>448.61</v>
      </c>
      <c r="J26" s="223">
        <v>0</v>
      </c>
      <c r="K26" s="229">
        <f t="shared" si="5"/>
        <v>25.573681095422614</v>
      </c>
      <c r="M26" s="364">
        <f t="shared" si="2"/>
        <v>2</v>
      </c>
      <c r="P26" s="223">
        <f t="shared" si="3"/>
        <v>0</v>
      </c>
      <c r="R26" s="223">
        <v>2</v>
      </c>
    </row>
    <row r="27" spans="1:18" ht="15" customHeight="1">
      <c r="A27" s="2">
        <f t="shared" si="6"/>
        <v>22</v>
      </c>
      <c r="B27" s="21">
        <f>Vazões!B25</f>
        <v>356.58332770850484</v>
      </c>
      <c r="C27" s="216">
        <f>'Evolução Volume'!Q25</f>
        <v>0.25</v>
      </c>
      <c r="D27" s="21">
        <f>'Evolução Volume'!AD25/365/86.4</f>
        <v>89.145831927126196</v>
      </c>
      <c r="E27" s="21">
        <f>Vazões!C25</f>
        <v>427.8999932502058</v>
      </c>
      <c r="F27" s="21">
        <f>Vazões!D25</f>
        <v>641.84998987530867</v>
      </c>
      <c r="G27" s="201">
        <f t="shared" si="4"/>
        <v>18.61</v>
      </c>
      <c r="H27" s="303">
        <f t="shared" si="0"/>
        <v>430</v>
      </c>
      <c r="I27" s="303">
        <f t="shared" si="1"/>
        <v>448.61</v>
      </c>
      <c r="J27" s="223">
        <v>0</v>
      </c>
      <c r="K27" s="229">
        <f t="shared" si="5"/>
        <v>20.710006749794218</v>
      </c>
      <c r="M27" s="364">
        <f t="shared" si="2"/>
        <v>2</v>
      </c>
      <c r="P27" s="223">
        <f t="shared" si="3"/>
        <v>0</v>
      </c>
      <c r="R27" s="223">
        <v>2</v>
      </c>
    </row>
    <row r="28" spans="1:18" s="18" customFormat="1" ht="15" customHeight="1">
      <c r="A28" s="2">
        <f t="shared" si="6"/>
        <v>23</v>
      </c>
      <c r="B28" s="21">
        <f>Vazões!B26</f>
        <v>360.68336655642412</v>
      </c>
      <c r="C28" s="216">
        <f>'Evolução Volume'!Q26</f>
        <v>0.25</v>
      </c>
      <c r="D28" s="21">
        <f>'Evolução Volume'!AD26/365/86.4</f>
        <v>90.17084163910603</v>
      </c>
      <c r="E28" s="21">
        <f>Vazões!C26</f>
        <v>432.82003986770894</v>
      </c>
      <c r="F28" s="21">
        <f>Vazões!D26</f>
        <v>649.23005980156336</v>
      </c>
      <c r="G28" s="201">
        <f t="shared" si="4"/>
        <v>18.61</v>
      </c>
      <c r="H28" s="303">
        <f t="shared" si="0"/>
        <v>430</v>
      </c>
      <c r="I28" s="303">
        <f t="shared" si="1"/>
        <v>448.61</v>
      </c>
      <c r="J28" s="223">
        <v>0</v>
      </c>
      <c r="K28" s="229">
        <f t="shared" si="5"/>
        <v>15.789960132291071</v>
      </c>
      <c r="M28" s="364">
        <f t="shared" si="2"/>
        <v>2</v>
      </c>
      <c r="P28" s="223">
        <f t="shared" si="3"/>
        <v>0</v>
      </c>
      <c r="R28" s="223">
        <v>2</v>
      </c>
    </row>
    <row r="29" spans="1:18" s="18" customFormat="1" ht="15" customHeight="1">
      <c r="A29" s="2">
        <f t="shared" si="6"/>
        <v>24</v>
      </c>
      <c r="B29" s="21">
        <f>Vazões!B27</f>
        <v>364.83299212497388</v>
      </c>
      <c r="C29" s="216">
        <f>'Evolução Volume'!Q27</f>
        <v>0.25</v>
      </c>
      <c r="D29" s="21">
        <f>'Evolução Volume'!AD27/365/86.4</f>
        <v>91.208248031243471</v>
      </c>
      <c r="E29" s="21">
        <f>Vazões!C27</f>
        <v>437.79959054996863</v>
      </c>
      <c r="F29" s="21">
        <f>Vazões!D27</f>
        <v>656.69938582495297</v>
      </c>
      <c r="G29" s="201">
        <f t="shared" si="4"/>
        <v>18.61</v>
      </c>
      <c r="H29" s="303">
        <f t="shared" si="0"/>
        <v>430</v>
      </c>
      <c r="I29" s="303">
        <f t="shared" si="1"/>
        <v>448.61</v>
      </c>
      <c r="J29" s="223">
        <v>0</v>
      </c>
      <c r="K29" s="229">
        <f t="shared" si="5"/>
        <v>10.810409450031386</v>
      </c>
      <c r="M29" s="364">
        <f t="shared" si="2"/>
        <v>2</v>
      </c>
      <c r="P29" s="223">
        <f t="shared" si="3"/>
        <v>0</v>
      </c>
      <c r="R29" s="223">
        <v>2</v>
      </c>
    </row>
    <row r="30" spans="1:18" ht="15" customHeight="1">
      <c r="A30" s="2">
        <f t="shared" si="6"/>
        <v>25</v>
      </c>
      <c r="B30" s="21">
        <f>Vazões!B28</f>
        <v>369.03220441415408</v>
      </c>
      <c r="C30" s="216">
        <f>'Evolução Volume'!Q28</f>
        <v>0.25</v>
      </c>
      <c r="D30" s="21">
        <f>'Evolução Volume'!AD28/365/86.4</f>
        <v>92.25805110353852</v>
      </c>
      <c r="E30" s="21">
        <f>Vazões!C28</f>
        <v>442.83864529698491</v>
      </c>
      <c r="F30" s="21">
        <f>Vazões!D28</f>
        <v>664.25796794547739</v>
      </c>
      <c r="G30" s="201">
        <f t="shared" si="4"/>
        <v>18.61</v>
      </c>
      <c r="H30" s="303">
        <f t="shared" si="0"/>
        <v>430</v>
      </c>
      <c r="I30" s="303">
        <f t="shared" si="1"/>
        <v>448.61</v>
      </c>
      <c r="J30" s="223">
        <v>0</v>
      </c>
      <c r="K30" s="229">
        <f t="shared" si="5"/>
        <v>5.7713547030151062</v>
      </c>
      <c r="M30" s="364">
        <f t="shared" si="2"/>
        <v>2</v>
      </c>
      <c r="P30" s="223">
        <f t="shared" si="3"/>
        <v>0</v>
      </c>
      <c r="R30" s="223">
        <v>2</v>
      </c>
    </row>
    <row r="31" spans="1:18" ht="15" customHeight="1">
      <c r="A31" s="2">
        <f t="shared" si="6"/>
        <v>26</v>
      </c>
      <c r="B31" s="21">
        <f>Vazões!B29</f>
        <v>373.27578376916171</v>
      </c>
      <c r="C31" s="216">
        <f>'Evolução Volume'!Q29</f>
        <v>0.25</v>
      </c>
      <c r="D31" s="21">
        <f>'Evolução Volume'!AD29/365/86.4</f>
        <v>93.318945942290426</v>
      </c>
      <c r="E31" s="21">
        <f>Vazões!C29</f>
        <v>447.93094052299404</v>
      </c>
      <c r="F31" s="21">
        <f>Vazões!D29</f>
        <v>671.89641078449108</v>
      </c>
      <c r="G31" s="201">
        <f t="shared" si="4"/>
        <v>18.61</v>
      </c>
      <c r="H31" s="303">
        <f t="shared" si="0"/>
        <v>430</v>
      </c>
      <c r="I31" s="303">
        <f t="shared" si="1"/>
        <v>448.61</v>
      </c>
      <c r="J31" s="223">
        <v>25</v>
      </c>
      <c r="K31" s="229">
        <f t="shared" si="5"/>
        <v>0.67905947700597835</v>
      </c>
      <c r="M31" s="787">
        <v>2</v>
      </c>
      <c r="P31" s="223">
        <f t="shared" si="3"/>
        <v>25</v>
      </c>
      <c r="R31" s="223">
        <v>2</v>
      </c>
    </row>
    <row r="32" spans="1:18" ht="15" customHeight="1">
      <c r="A32" s="2">
        <f t="shared" si="6"/>
        <v>27</v>
      </c>
      <c r="B32" s="21">
        <f>Vazões!B30</f>
        <v>377.56894984479959</v>
      </c>
      <c r="C32" s="216">
        <f>'Evolução Volume'!Q30</f>
        <v>0.25</v>
      </c>
      <c r="D32" s="21">
        <f>'Evolução Volume'!AD30/365/86.4</f>
        <v>94.392237461199912</v>
      </c>
      <c r="E32" s="21">
        <f>Vazões!C30</f>
        <v>453.08273981375947</v>
      </c>
      <c r="F32" s="21">
        <f>Vazões!D30</f>
        <v>679.62410972063924</v>
      </c>
      <c r="G32" s="201">
        <f t="shared" si="4"/>
        <v>18.61</v>
      </c>
      <c r="H32" s="303">
        <f t="shared" si="0"/>
        <v>455</v>
      </c>
      <c r="I32" s="303">
        <f t="shared" si="1"/>
        <v>473.61</v>
      </c>
      <c r="J32" s="223">
        <v>0</v>
      </c>
      <c r="K32" s="229">
        <f t="shared" si="5"/>
        <v>20.527260186240539</v>
      </c>
      <c r="M32" s="787">
        <v>2</v>
      </c>
      <c r="P32" s="223">
        <f t="shared" si="3"/>
        <v>0</v>
      </c>
      <c r="R32" s="223">
        <v>2</v>
      </c>
    </row>
    <row r="33" spans="1:18" ht="15" customHeight="1">
      <c r="A33" s="2">
        <f t="shared" si="6"/>
        <v>28</v>
      </c>
      <c r="B33" s="21">
        <f>Vazões!B31</f>
        <v>381.91170264106813</v>
      </c>
      <c r="C33" s="216">
        <f>'Evolução Volume'!Q31</f>
        <v>0.25</v>
      </c>
      <c r="D33" s="21">
        <f>'Evolução Volume'!AD31/365/86.4</f>
        <v>95.477925660267033</v>
      </c>
      <c r="E33" s="21">
        <f>Vazões!C31</f>
        <v>458.29404316928174</v>
      </c>
      <c r="F33" s="21">
        <f>Vazões!D31</f>
        <v>687.44106475392255</v>
      </c>
      <c r="G33" s="201">
        <f t="shared" si="4"/>
        <v>18.61</v>
      </c>
      <c r="H33" s="303">
        <f t="shared" si="0"/>
        <v>455</v>
      </c>
      <c r="I33" s="303">
        <f t="shared" si="1"/>
        <v>473.61</v>
      </c>
      <c r="J33" s="223">
        <v>0</v>
      </c>
      <c r="K33" s="229">
        <f t="shared" si="5"/>
        <v>15.315956830718278</v>
      </c>
      <c r="M33" s="787">
        <v>2</v>
      </c>
      <c r="P33" s="223">
        <f t="shared" si="3"/>
        <v>0</v>
      </c>
      <c r="R33" s="223">
        <v>2</v>
      </c>
    </row>
    <row r="34" spans="1:18" ht="15" customHeight="1">
      <c r="A34" s="2">
        <f t="shared" si="6"/>
        <v>29</v>
      </c>
      <c r="B34" s="21">
        <f>Vazões!B32</f>
        <v>386.30404215796688</v>
      </c>
      <c r="C34" s="216">
        <f>'Evolução Volume'!Q32</f>
        <v>0.25</v>
      </c>
      <c r="D34" s="21">
        <f>'Evolução Volume'!AD32/365/86.4</f>
        <v>96.576010539491747</v>
      </c>
      <c r="E34" s="21">
        <f>Vazões!C32</f>
        <v>463.56485058956025</v>
      </c>
      <c r="F34" s="21">
        <f>Vazões!D32</f>
        <v>695.34727588434043</v>
      </c>
      <c r="G34" s="201">
        <f t="shared" si="4"/>
        <v>18.61</v>
      </c>
      <c r="H34" s="303">
        <f t="shared" si="0"/>
        <v>455</v>
      </c>
      <c r="I34" s="303">
        <f t="shared" si="1"/>
        <v>473.61</v>
      </c>
      <c r="J34" s="223">
        <v>0</v>
      </c>
      <c r="K34" s="229">
        <f t="shared" si="5"/>
        <v>10.045149410439763</v>
      </c>
      <c r="M34" s="787">
        <f t="shared" si="2"/>
        <v>2</v>
      </c>
      <c r="P34" s="223">
        <f t="shared" si="3"/>
        <v>0</v>
      </c>
      <c r="R34" s="223">
        <v>2</v>
      </c>
    </row>
    <row r="35" spans="1:18" ht="15" customHeight="1">
      <c r="A35" s="2">
        <f t="shared" si="6"/>
        <v>30</v>
      </c>
      <c r="B35" s="21">
        <f>Vazões!B33</f>
        <v>390.74857822289795</v>
      </c>
      <c r="C35" s="216">
        <f>'Evolução Volume'!Q33</f>
        <v>0.25</v>
      </c>
      <c r="D35" s="21">
        <f>'Evolução Volume'!AD33/365/86.4</f>
        <v>97.687144555724501</v>
      </c>
      <c r="E35" s="21">
        <f>Vazões!C33</f>
        <v>468.89829386747749</v>
      </c>
      <c r="F35" s="21">
        <f>Vazões!D33</f>
        <v>703.34744080121618</v>
      </c>
      <c r="G35" s="201">
        <f t="shared" si="4"/>
        <v>18.61</v>
      </c>
      <c r="H35" s="303">
        <f t="shared" si="0"/>
        <v>455</v>
      </c>
      <c r="I35" s="303">
        <f t="shared" si="1"/>
        <v>473.61</v>
      </c>
      <c r="J35" s="223">
        <v>0</v>
      </c>
      <c r="K35" s="229">
        <f t="shared" si="5"/>
        <v>4.7117061325225222</v>
      </c>
      <c r="M35" s="787">
        <f t="shared" si="2"/>
        <v>2</v>
      </c>
      <c r="P35" s="223">
        <f t="shared" si="3"/>
        <v>0</v>
      </c>
      <c r="R35" s="223">
        <v>2</v>
      </c>
    </row>
    <row r="38" spans="1:18" ht="15" customHeight="1">
      <c r="A38" s="954" t="s">
        <v>892</v>
      </c>
      <c r="B38" s="955"/>
      <c r="C38" s="955"/>
      <c r="D38" s="955"/>
      <c r="E38" s="955"/>
      <c r="F38" s="955"/>
      <c r="G38" s="955"/>
      <c r="H38" s="955"/>
      <c r="I38" s="955"/>
      <c r="J38" s="955"/>
      <c r="K38" s="956"/>
      <c r="L38" s="15"/>
      <c r="M38" s="15"/>
    </row>
    <row r="39" spans="1:18" ht="39.6">
      <c r="A39" s="231" t="s">
        <v>1</v>
      </c>
      <c r="B39" s="151" t="s">
        <v>406</v>
      </c>
      <c r="C39" s="232" t="s">
        <v>407</v>
      </c>
      <c r="D39" s="151" t="s">
        <v>408</v>
      </c>
      <c r="E39" s="151" t="s">
        <v>409</v>
      </c>
      <c r="F39" s="151" t="s">
        <v>410</v>
      </c>
      <c r="G39" s="232" t="s">
        <v>411</v>
      </c>
      <c r="H39" s="233" t="s">
        <v>412</v>
      </c>
      <c r="I39" s="233" t="s">
        <v>417</v>
      </c>
      <c r="J39" s="232" t="s">
        <v>420</v>
      </c>
      <c r="K39" s="234" t="s">
        <v>413</v>
      </c>
      <c r="L39" s="18"/>
      <c r="M39" s="363" t="s">
        <v>576</v>
      </c>
      <c r="P39" s="363" t="s">
        <v>1004</v>
      </c>
      <c r="R39" s="363" t="s">
        <v>1005</v>
      </c>
    </row>
    <row r="40" spans="1:18" ht="15" customHeight="1">
      <c r="A40" s="2">
        <v>0</v>
      </c>
      <c r="B40" s="223">
        <f>B41</f>
        <v>1.1104205623644463</v>
      </c>
      <c r="C40" s="222">
        <f>'Dados de Entrada'!E61</f>
        <v>0.46620312445918932</v>
      </c>
      <c r="D40" s="223">
        <f>D41</f>
        <v>174.99792910964075</v>
      </c>
      <c r="E40" s="223">
        <f>E41</f>
        <v>1.3325046748373355</v>
      </c>
      <c r="F40" s="223">
        <f>F41</f>
        <v>1.9987570122560032</v>
      </c>
      <c r="G40" s="225">
        <f>'Dados de Entrada'!E38</f>
        <v>6.6666666666666661</v>
      </c>
      <c r="H40" s="228">
        <f>'Dados de Entrada'!E37</f>
        <v>0</v>
      </c>
      <c r="I40" s="228">
        <f>H40+G40</f>
        <v>6.6666666666666661</v>
      </c>
      <c r="J40" s="223">
        <v>0</v>
      </c>
      <c r="K40" s="229">
        <f>I40-E40</f>
        <v>5.3341619918293306</v>
      </c>
      <c r="L40" s="18"/>
      <c r="M40" s="364">
        <f>'Dados de Entrada'!E35</f>
        <v>0</v>
      </c>
      <c r="P40" s="223">
        <v>0</v>
      </c>
      <c r="R40" s="223">
        <v>0</v>
      </c>
    </row>
    <row r="41" spans="1:18" ht="15" customHeight="1">
      <c r="A41" s="2">
        <v>1</v>
      </c>
      <c r="B41" s="21">
        <f>Vazões!E4</f>
        <v>1.1104205623644463</v>
      </c>
      <c r="C41" s="216">
        <f>'Evolução Volume'!Q4</f>
        <v>0.46620312445918932</v>
      </c>
      <c r="D41" s="21">
        <f>'Evolução Volume'!AD4/365/86.4</f>
        <v>174.99792910964075</v>
      </c>
      <c r="E41" s="21">
        <f>Vazões!F4</f>
        <v>1.3325046748373355</v>
      </c>
      <c r="F41" s="21">
        <f>Vazões!G4</f>
        <v>1.9987570122560032</v>
      </c>
      <c r="G41" s="201">
        <f>G40</f>
        <v>6.6666666666666661</v>
      </c>
      <c r="H41" s="303">
        <f>H40+J40</f>
        <v>0</v>
      </c>
      <c r="I41" s="303">
        <f t="shared" ref="I41:I44" si="7">H41+G41</f>
        <v>6.6666666666666661</v>
      </c>
      <c r="J41" s="223">
        <v>0</v>
      </c>
      <c r="K41" s="229">
        <f>I41-E41</f>
        <v>5.3341619918293306</v>
      </c>
      <c r="M41" s="364">
        <f>COUNTIF(J41,"&lt;&gt;0")+(M40)</f>
        <v>0</v>
      </c>
      <c r="P41" s="223">
        <v>0</v>
      </c>
      <c r="R41" s="223">
        <v>0</v>
      </c>
    </row>
    <row r="42" spans="1:18" ht="15" customHeight="1">
      <c r="A42" s="2">
        <f xml:space="preserve"> ( ( A41 ) + ( 1 ) )</f>
        <v>2</v>
      </c>
      <c r="B42" s="21">
        <f>Vazões!E5</f>
        <v>1.0915240818505008</v>
      </c>
      <c r="C42" s="216">
        <f>'Evolução Volume'!Q5</f>
        <v>0.45</v>
      </c>
      <c r="D42" s="21">
        <f>'Evolução Volume'!AD5/365/86.4</f>
        <v>166.22910051444723</v>
      </c>
      <c r="E42" s="21">
        <f>Vazões!F5</f>
        <v>1.3098288982206008</v>
      </c>
      <c r="F42" s="21">
        <f>Vazões!G5</f>
        <v>1.9647433473309013</v>
      </c>
      <c r="G42" s="201">
        <f t="shared" ref="G42:G70" si="8">G41</f>
        <v>6.6666666666666661</v>
      </c>
      <c r="H42" s="303">
        <f t="shared" ref="H42:H70" si="9">H41+J41</f>
        <v>0</v>
      </c>
      <c r="I42" s="303">
        <f t="shared" si="7"/>
        <v>6.6666666666666661</v>
      </c>
      <c r="J42" s="223">
        <v>0</v>
      </c>
      <c r="K42" s="229">
        <f t="shared" ref="K42" si="10">I42-E42</f>
        <v>5.3568377684460655</v>
      </c>
      <c r="M42" s="364">
        <f t="shared" ref="M42:M70" si="11">COUNTIF(J42,"&lt;&gt;0")+(M41)</f>
        <v>0</v>
      </c>
      <c r="P42" s="223">
        <v>0</v>
      </c>
      <c r="R42" s="223">
        <v>0</v>
      </c>
    </row>
    <row r="43" spans="1:18" ht="15" customHeight="1">
      <c r="A43" s="2">
        <f t="shared" ref="A43:A70" si="12" xml:space="preserve"> ( ( A42 ) + ( 1 ) )</f>
        <v>3</v>
      </c>
      <c r="B43" s="21">
        <f>Vazões!E6</f>
        <v>1.0772225227056684</v>
      </c>
      <c r="C43" s="216">
        <f>'Evolução Volume'!Q6</f>
        <v>0.43</v>
      </c>
      <c r="D43" s="21">
        <f>'Evolução Volume'!AD6/365/86.4</f>
        <v>156.93263848008772</v>
      </c>
      <c r="E43" s="21">
        <f>Vazões!F6</f>
        <v>1.2926670272468022</v>
      </c>
      <c r="F43" s="21">
        <f>Vazões!G6</f>
        <v>1.9390005408702033</v>
      </c>
      <c r="G43" s="201">
        <f t="shared" si="8"/>
        <v>6.6666666666666661</v>
      </c>
      <c r="H43" s="303">
        <f t="shared" si="9"/>
        <v>0</v>
      </c>
      <c r="I43" s="303">
        <f t="shared" si="7"/>
        <v>6.6666666666666661</v>
      </c>
      <c r="J43" s="223">
        <v>0</v>
      </c>
      <c r="K43" s="229">
        <f>I43-E43</f>
        <v>5.3739996394198641</v>
      </c>
      <c r="M43" s="364">
        <f t="shared" si="11"/>
        <v>0</v>
      </c>
      <c r="P43" s="223">
        <v>0</v>
      </c>
      <c r="R43" s="223">
        <v>0</v>
      </c>
    </row>
    <row r="44" spans="1:18" ht="15" customHeight="1">
      <c r="A44" s="2">
        <f t="shared" si="12"/>
        <v>4</v>
      </c>
      <c r="B44" s="21">
        <f>Vazões!E7</f>
        <v>1.0465149481677902</v>
      </c>
      <c r="C44" s="216">
        <f>'Evolução Volume'!Q7</f>
        <v>0.4</v>
      </c>
      <c r="D44" s="21">
        <f>'Evolução Volume'!AD7/365/86.4</f>
        <v>141.9746106472372</v>
      </c>
      <c r="E44" s="21">
        <f>Vazões!F7</f>
        <v>1.2558179378013483</v>
      </c>
      <c r="F44" s="21">
        <f>Vazões!G7</f>
        <v>1.8837269067020226</v>
      </c>
      <c r="G44" s="201">
        <f t="shared" si="8"/>
        <v>6.6666666666666661</v>
      </c>
      <c r="H44" s="303">
        <f t="shared" si="9"/>
        <v>0</v>
      </c>
      <c r="I44" s="303">
        <f t="shared" si="7"/>
        <v>6.6666666666666661</v>
      </c>
      <c r="J44" s="223">
        <v>0</v>
      </c>
      <c r="K44" s="229">
        <f t="shared" ref="K44:K70" si="13">I44-E44</f>
        <v>5.410848728865318</v>
      </c>
      <c r="M44" s="364">
        <f t="shared" si="11"/>
        <v>0</v>
      </c>
      <c r="P44" s="223">
        <v>0</v>
      </c>
      <c r="R44" s="223">
        <v>0</v>
      </c>
    </row>
    <row r="45" spans="1:18" ht="15" customHeight="1">
      <c r="A45" s="2">
        <f t="shared" si="12"/>
        <v>5</v>
      </c>
      <c r="B45" s="21">
        <f>Vazões!E8</f>
        <v>1.0355121625717609</v>
      </c>
      <c r="C45" s="216">
        <f>'Evolução Volume'!Q8</f>
        <v>0.38</v>
      </c>
      <c r="D45" s="21">
        <f>'Evolução Volume'!AD8/365/86.4</f>
        <v>133.59742248700752</v>
      </c>
      <c r="E45" s="21">
        <f>Vazões!F8</f>
        <v>1.2426145950861132</v>
      </c>
      <c r="F45" s="21">
        <f>Vazões!G8</f>
        <v>1.8639218926291696</v>
      </c>
      <c r="G45" s="201">
        <f t="shared" si="8"/>
        <v>6.6666666666666661</v>
      </c>
      <c r="H45" s="303">
        <f t="shared" si="9"/>
        <v>0</v>
      </c>
      <c r="I45" s="303">
        <f>H45+G45</f>
        <v>6.6666666666666661</v>
      </c>
      <c r="J45" s="223">
        <v>0</v>
      </c>
      <c r="K45" s="229">
        <f t="shared" si="13"/>
        <v>5.4240520715805527</v>
      </c>
      <c r="M45" s="364">
        <f t="shared" si="11"/>
        <v>0</v>
      </c>
      <c r="P45" s="223">
        <v>0</v>
      </c>
      <c r="R45" s="223">
        <v>0</v>
      </c>
    </row>
    <row r="46" spans="1:18" ht="15" customHeight="1">
      <c r="A46" s="2">
        <f t="shared" si="12"/>
        <v>6</v>
      </c>
      <c r="B46" s="21">
        <f>Vazões!E9</f>
        <v>0.99976465076815779</v>
      </c>
      <c r="C46" s="216">
        <f>'Evolução Volume'!Q9</f>
        <v>0.35</v>
      </c>
      <c r="D46" s="21">
        <f>'Evolução Volume'!AD9/365/86.4</f>
        <v>118.92456484728548</v>
      </c>
      <c r="E46" s="21">
        <f>Vazões!F9</f>
        <v>1.1997175809217893</v>
      </c>
      <c r="F46" s="21">
        <f>Vazões!G9</f>
        <v>1.7995763713826838</v>
      </c>
      <c r="G46" s="201">
        <f t="shared" si="8"/>
        <v>6.6666666666666661</v>
      </c>
      <c r="H46" s="303">
        <f t="shared" si="9"/>
        <v>0</v>
      </c>
      <c r="I46" s="303">
        <f t="shared" ref="I46" si="14">H46+G46</f>
        <v>6.6666666666666661</v>
      </c>
      <c r="J46" s="223">
        <v>0</v>
      </c>
      <c r="K46" s="229">
        <f t="shared" si="13"/>
        <v>5.4669490857448766</v>
      </c>
      <c r="M46" s="364">
        <f t="shared" si="11"/>
        <v>0</v>
      </c>
      <c r="P46" s="223">
        <v>0</v>
      </c>
      <c r="R46" s="223">
        <v>0</v>
      </c>
    </row>
    <row r="47" spans="1:18" ht="15" customHeight="1">
      <c r="A47" s="2">
        <f t="shared" si="12"/>
        <v>7</v>
      </c>
      <c r="B47" s="21">
        <f>Vazões!E10</f>
        <v>0.96717133118251974</v>
      </c>
      <c r="C47" s="216">
        <f>'Evolução Volume'!Q10</f>
        <v>0.32</v>
      </c>
      <c r="D47" s="21">
        <f>'Evolução Volume'!AD10/365/86.4</f>
        <v>105.29087669029668</v>
      </c>
      <c r="E47" s="21">
        <f>Vazões!F10</f>
        <v>1.1606055974190237</v>
      </c>
      <c r="F47" s="21">
        <f>Vazões!G10</f>
        <v>1.7409083961285354</v>
      </c>
      <c r="G47" s="201">
        <f t="shared" si="8"/>
        <v>6.6666666666666661</v>
      </c>
      <c r="H47" s="303">
        <f t="shared" si="9"/>
        <v>0</v>
      </c>
      <c r="I47" s="303">
        <f>H47+G47</f>
        <v>6.6666666666666661</v>
      </c>
      <c r="J47" s="223">
        <v>0</v>
      </c>
      <c r="K47" s="229">
        <f t="shared" si="13"/>
        <v>5.5060610692476422</v>
      </c>
      <c r="M47" s="364">
        <f t="shared" si="11"/>
        <v>0</v>
      </c>
      <c r="P47" s="223">
        <v>0</v>
      </c>
      <c r="R47" s="223">
        <v>0</v>
      </c>
    </row>
    <row r="48" spans="1:18" ht="15" customHeight="1">
      <c r="A48" s="2">
        <f t="shared" si="12"/>
        <v>8</v>
      </c>
      <c r="B48" s="21">
        <f>Vazões!E11</f>
        <v>0.92431387140128385</v>
      </c>
      <c r="C48" s="216">
        <f>'Evolução Volume'!Q11</f>
        <v>0.28000000000000003</v>
      </c>
      <c r="D48" s="21">
        <f>'Evolução Volume'!AD11/365/86.4</f>
        <v>88.132457695645229</v>
      </c>
      <c r="E48" s="21">
        <f>Vazões!F11</f>
        <v>1.1091766456815406</v>
      </c>
      <c r="F48" s="21">
        <f>Vazões!G11</f>
        <v>1.6637649685223108</v>
      </c>
      <c r="G48" s="201">
        <f t="shared" si="8"/>
        <v>6.6666666666666661</v>
      </c>
      <c r="H48" s="303">
        <f t="shared" si="9"/>
        <v>0</v>
      </c>
      <c r="I48" s="303">
        <f>H48+G48</f>
        <v>6.6666666666666661</v>
      </c>
      <c r="J48" s="223">
        <v>0</v>
      </c>
      <c r="K48" s="229">
        <f t="shared" si="13"/>
        <v>5.5574900209851252</v>
      </c>
      <c r="M48" s="364">
        <f t="shared" si="11"/>
        <v>0</v>
      </c>
      <c r="P48" s="223">
        <v>0</v>
      </c>
      <c r="R48" s="223">
        <v>0</v>
      </c>
    </row>
    <row r="49" spans="1:18" ht="15" customHeight="1">
      <c r="A49" s="2">
        <f t="shared" si="12"/>
        <v>9</v>
      </c>
      <c r="B49" s="21">
        <f>Vazões!E12</f>
        <v>0.909912796775318</v>
      </c>
      <c r="C49" s="216">
        <f>'Evolução Volume'!Q12</f>
        <v>0.26</v>
      </c>
      <c r="D49" s="21">
        <f>'Evolução Volume'!AD12/365/86.4</f>
        <v>80.638482322686684</v>
      </c>
      <c r="E49" s="21">
        <f>Vazões!F12</f>
        <v>1.0918953561303815</v>
      </c>
      <c r="F49" s="21">
        <f>Vazões!G12</f>
        <v>1.6378430341955723</v>
      </c>
      <c r="G49" s="201">
        <f t="shared" si="8"/>
        <v>6.6666666666666661</v>
      </c>
      <c r="H49" s="303">
        <f t="shared" si="9"/>
        <v>0</v>
      </c>
      <c r="I49" s="303">
        <f t="shared" ref="I49:I70" si="15">H49+G49</f>
        <v>6.6666666666666661</v>
      </c>
      <c r="J49" s="223">
        <v>0</v>
      </c>
      <c r="K49" s="229">
        <f t="shared" si="13"/>
        <v>5.5747713105362848</v>
      </c>
      <c r="M49" s="364">
        <f t="shared" si="11"/>
        <v>0</v>
      </c>
      <c r="P49" s="223">
        <v>0</v>
      </c>
      <c r="R49" s="223">
        <v>0</v>
      </c>
    </row>
    <row r="50" spans="1:18" ht="15" customHeight="1">
      <c r="A50" s="2">
        <f t="shared" si="12"/>
        <v>10</v>
      </c>
      <c r="B50" s="21">
        <f>Vazões!E13</f>
        <v>0.90821993575806159</v>
      </c>
      <c r="C50" s="216">
        <f>'Evolução Volume'!Q13</f>
        <v>0.25</v>
      </c>
      <c r="D50" s="21">
        <f>'Evolução Volume'!AD13/365/86.4</f>
        <v>77.464244477548377</v>
      </c>
      <c r="E50" s="21">
        <f>Vazões!F13</f>
        <v>1.0898639229096738</v>
      </c>
      <c r="F50" s="21">
        <f>Vazões!G13</f>
        <v>1.6347958843645107</v>
      </c>
      <c r="G50" s="201">
        <f t="shared" si="8"/>
        <v>6.6666666666666661</v>
      </c>
      <c r="H50" s="303">
        <f t="shared" si="9"/>
        <v>0</v>
      </c>
      <c r="I50" s="303">
        <f t="shared" si="15"/>
        <v>6.6666666666666661</v>
      </c>
      <c r="J50" s="223">
        <v>0</v>
      </c>
      <c r="K50" s="229">
        <f t="shared" si="13"/>
        <v>5.5768027437569927</v>
      </c>
      <c r="M50" s="364">
        <f t="shared" si="11"/>
        <v>0</v>
      </c>
      <c r="P50" s="223">
        <v>0</v>
      </c>
      <c r="R50" s="223">
        <v>0</v>
      </c>
    </row>
    <row r="51" spans="1:18" ht="15" customHeight="1">
      <c r="A51" s="2">
        <f t="shared" si="12"/>
        <v>11</v>
      </c>
      <c r="B51" s="21">
        <f>Vazões!E14</f>
        <v>0.91865924536447607</v>
      </c>
      <c r="C51" s="216">
        <f>'Evolução Volume'!Q14</f>
        <v>0.25</v>
      </c>
      <c r="D51" s="21">
        <f>'Evolução Volume'!AD14/365/86.4</f>
        <v>78.425313418188935</v>
      </c>
      <c r="E51" s="21">
        <f>Vazões!F14</f>
        <v>1.1023910944373712</v>
      </c>
      <c r="F51" s="21">
        <f>Vazões!G14</f>
        <v>1.6535866416560567</v>
      </c>
      <c r="G51" s="201">
        <f t="shared" si="8"/>
        <v>6.6666666666666661</v>
      </c>
      <c r="H51" s="303">
        <f t="shared" si="9"/>
        <v>0</v>
      </c>
      <c r="I51" s="303">
        <f t="shared" si="15"/>
        <v>6.6666666666666661</v>
      </c>
      <c r="J51" s="223">
        <v>0</v>
      </c>
      <c r="K51" s="229">
        <f t="shared" si="13"/>
        <v>5.5642755722292954</v>
      </c>
      <c r="M51" s="364">
        <f t="shared" si="11"/>
        <v>0</v>
      </c>
      <c r="P51" s="223">
        <v>0</v>
      </c>
      <c r="R51" s="223">
        <v>0</v>
      </c>
    </row>
    <row r="52" spans="1:18" ht="15" customHeight="1">
      <c r="A52" s="2">
        <f t="shared" si="12"/>
        <v>12</v>
      </c>
      <c r="B52" s="21">
        <f>Vazões!E15</f>
        <v>0.92909855497089044</v>
      </c>
      <c r="C52" s="216">
        <f>'Evolução Volume'!Q15</f>
        <v>0.25</v>
      </c>
      <c r="D52" s="21">
        <f>'Evolução Volume'!AD15/365/86.4</f>
        <v>79.386382358829465</v>
      </c>
      <c r="E52" s="21">
        <f>Vazões!F15</f>
        <v>1.1149182659650685</v>
      </c>
      <c r="F52" s="21">
        <f>Vazões!G15</f>
        <v>1.6723773989476027</v>
      </c>
      <c r="G52" s="201">
        <f t="shared" si="8"/>
        <v>6.6666666666666661</v>
      </c>
      <c r="H52" s="303">
        <f t="shared" si="9"/>
        <v>0</v>
      </c>
      <c r="I52" s="303">
        <f t="shared" si="15"/>
        <v>6.6666666666666661</v>
      </c>
      <c r="J52" s="223">
        <v>0</v>
      </c>
      <c r="K52" s="229">
        <f t="shared" si="13"/>
        <v>5.551748400701598</v>
      </c>
      <c r="M52" s="364">
        <f t="shared" si="11"/>
        <v>0</v>
      </c>
      <c r="P52" s="223">
        <v>0</v>
      </c>
      <c r="R52" s="223">
        <v>0</v>
      </c>
    </row>
    <row r="53" spans="1:18" ht="15" customHeight="1">
      <c r="A53" s="2">
        <f t="shared" si="12"/>
        <v>13</v>
      </c>
      <c r="B53" s="21">
        <f>Vazões!E16</f>
        <v>0.9395378645773047</v>
      </c>
      <c r="C53" s="216">
        <f>'Evolução Volume'!Q16</f>
        <v>0.25</v>
      </c>
      <c r="D53" s="21">
        <f>'Evolução Volume'!AD16/365/86.4</f>
        <v>80.347451299470023</v>
      </c>
      <c r="E53" s="21">
        <f>Vazões!F16</f>
        <v>1.1274454374927656</v>
      </c>
      <c r="F53" s="21">
        <f>Vazões!G16</f>
        <v>1.6911681562391485</v>
      </c>
      <c r="G53" s="201">
        <f t="shared" si="8"/>
        <v>6.6666666666666661</v>
      </c>
      <c r="H53" s="303">
        <f t="shared" si="9"/>
        <v>0</v>
      </c>
      <c r="I53" s="303">
        <f t="shared" si="15"/>
        <v>6.6666666666666661</v>
      </c>
      <c r="J53" s="223">
        <v>0</v>
      </c>
      <c r="K53" s="229">
        <f t="shared" si="13"/>
        <v>5.5392212291739007</v>
      </c>
      <c r="M53" s="364">
        <f t="shared" si="11"/>
        <v>0</v>
      </c>
      <c r="P53" s="223">
        <v>0</v>
      </c>
      <c r="R53" s="223">
        <v>0</v>
      </c>
    </row>
    <row r="54" spans="1:18" ht="15" customHeight="1">
      <c r="A54" s="2">
        <f t="shared" si="12"/>
        <v>14</v>
      </c>
      <c r="B54" s="21">
        <f>Vazões!E17</f>
        <v>0.94997717418371941</v>
      </c>
      <c r="C54" s="216">
        <f>'Evolução Volume'!Q17</f>
        <v>0.25</v>
      </c>
      <c r="D54" s="21">
        <f>'Evolução Volume'!AD17/365/86.4</f>
        <v>81.308520240110539</v>
      </c>
      <c r="E54" s="21">
        <f>Vazões!F17</f>
        <v>1.1399726090204632</v>
      </c>
      <c r="F54" s="21">
        <f>Vazões!G17</f>
        <v>1.7099589135306947</v>
      </c>
      <c r="G54" s="201">
        <f t="shared" si="8"/>
        <v>6.6666666666666661</v>
      </c>
      <c r="H54" s="303">
        <f t="shared" si="9"/>
        <v>0</v>
      </c>
      <c r="I54" s="303">
        <f t="shared" si="15"/>
        <v>6.6666666666666661</v>
      </c>
      <c r="J54" s="223">
        <v>0</v>
      </c>
      <c r="K54" s="229">
        <f t="shared" si="13"/>
        <v>5.5266940576462034</v>
      </c>
      <c r="M54" s="364">
        <f t="shared" si="11"/>
        <v>0</v>
      </c>
      <c r="P54" s="223">
        <v>0</v>
      </c>
      <c r="R54" s="223">
        <v>0</v>
      </c>
    </row>
    <row r="55" spans="1:18" ht="15" customHeight="1">
      <c r="A55" s="2">
        <f t="shared" si="12"/>
        <v>15</v>
      </c>
      <c r="B55" s="21">
        <f>Vazões!E18</f>
        <v>0.96041648379013411</v>
      </c>
      <c r="C55" s="216">
        <f>'Evolução Volume'!Q18</f>
        <v>0.25</v>
      </c>
      <c r="D55" s="21">
        <f>'Evolução Volume'!AD18/365/86.4</f>
        <v>82.270241637601487</v>
      </c>
      <c r="E55" s="21">
        <f>Vazões!F18</f>
        <v>1.1524997805481609</v>
      </c>
      <c r="F55" s="21">
        <f>Vazões!G18</f>
        <v>1.7287496708222414</v>
      </c>
      <c r="G55" s="201">
        <f t="shared" si="8"/>
        <v>6.6666666666666661</v>
      </c>
      <c r="H55" s="303">
        <f t="shared" si="9"/>
        <v>0</v>
      </c>
      <c r="I55" s="303">
        <f t="shared" si="15"/>
        <v>6.6666666666666661</v>
      </c>
      <c r="J55" s="223">
        <v>0</v>
      </c>
      <c r="K55" s="229">
        <f t="shared" si="13"/>
        <v>5.5141668861185051</v>
      </c>
      <c r="M55" s="364">
        <f t="shared" si="11"/>
        <v>0</v>
      </c>
      <c r="P55" s="223">
        <v>0</v>
      </c>
      <c r="R55" s="223">
        <v>0</v>
      </c>
    </row>
    <row r="56" spans="1:18" ht="15" customHeight="1">
      <c r="A56" s="2">
        <f t="shared" si="12"/>
        <v>16</v>
      </c>
      <c r="B56" s="21">
        <f>Vazões!E19</f>
        <v>0.97085579339654837</v>
      </c>
      <c r="C56" s="216">
        <f>'Evolução Volume'!Q19</f>
        <v>0.25</v>
      </c>
      <c r="D56" s="21">
        <f>'Evolução Volume'!AD19/365/86.4</f>
        <v>83.231310578242031</v>
      </c>
      <c r="E56" s="21">
        <f>Vazões!F19</f>
        <v>1.165026952075858</v>
      </c>
      <c r="F56" s="21">
        <f>Vazões!G19</f>
        <v>1.747540428113787</v>
      </c>
      <c r="G56" s="201">
        <f t="shared" si="8"/>
        <v>6.6666666666666661</v>
      </c>
      <c r="H56" s="303">
        <f t="shared" si="9"/>
        <v>0</v>
      </c>
      <c r="I56" s="303">
        <f t="shared" si="15"/>
        <v>6.6666666666666661</v>
      </c>
      <c r="J56" s="223">
        <v>0</v>
      </c>
      <c r="K56" s="229">
        <f t="shared" si="13"/>
        <v>5.5016397145908078</v>
      </c>
      <c r="M56" s="364">
        <f t="shared" si="11"/>
        <v>0</v>
      </c>
      <c r="P56" s="223">
        <v>0</v>
      </c>
      <c r="R56" s="223">
        <v>0</v>
      </c>
    </row>
    <row r="57" spans="1:18" ht="15" customHeight="1">
      <c r="A57" s="2">
        <f t="shared" si="12"/>
        <v>17</v>
      </c>
      <c r="B57" s="21">
        <f>Vazões!E20</f>
        <v>0.98129510300296285</v>
      </c>
      <c r="C57" s="216">
        <f>'Evolução Volume'!Q20</f>
        <v>0.25</v>
      </c>
      <c r="D57" s="21">
        <f>'Evolução Volume'!AD20/365/86.4</f>
        <v>84.192379518882532</v>
      </c>
      <c r="E57" s="21">
        <f>Vazões!F20</f>
        <v>1.1775541236035554</v>
      </c>
      <c r="F57" s="21">
        <f>Vazões!G20</f>
        <v>1.766331185405333</v>
      </c>
      <c r="G57" s="201">
        <f t="shared" si="8"/>
        <v>6.6666666666666661</v>
      </c>
      <c r="H57" s="303">
        <f t="shared" si="9"/>
        <v>0</v>
      </c>
      <c r="I57" s="303">
        <f t="shared" si="15"/>
        <v>6.6666666666666661</v>
      </c>
      <c r="J57" s="223">
        <v>0</v>
      </c>
      <c r="K57" s="229">
        <f t="shared" si="13"/>
        <v>5.4891125430631105</v>
      </c>
      <c r="M57" s="364">
        <f t="shared" si="11"/>
        <v>0</v>
      </c>
      <c r="P57" s="223">
        <v>0</v>
      </c>
      <c r="R57" s="223">
        <v>0</v>
      </c>
    </row>
    <row r="58" spans="1:18" ht="15" customHeight="1">
      <c r="A58" s="2">
        <f t="shared" si="12"/>
        <v>18</v>
      </c>
      <c r="B58" s="21">
        <f>Vazões!E21</f>
        <v>0.99173441260937745</v>
      </c>
      <c r="C58" s="216">
        <f>'Evolução Volume'!Q21</f>
        <v>0.25</v>
      </c>
      <c r="D58" s="21">
        <f>'Evolução Volume'!AD21/365/86.4</f>
        <v>85.160625484877514</v>
      </c>
      <c r="E58" s="21">
        <f>Vazões!F21</f>
        <v>1.1900812951312529</v>
      </c>
      <c r="F58" s="21">
        <f>Vazões!G21</f>
        <v>1.7851219426968794</v>
      </c>
      <c r="G58" s="201">
        <f t="shared" si="8"/>
        <v>6.6666666666666661</v>
      </c>
      <c r="H58" s="303">
        <f t="shared" si="9"/>
        <v>0</v>
      </c>
      <c r="I58" s="303">
        <f t="shared" si="15"/>
        <v>6.6666666666666661</v>
      </c>
      <c r="J58" s="223">
        <v>0</v>
      </c>
      <c r="K58" s="229">
        <f t="shared" si="13"/>
        <v>5.4765853715354131</v>
      </c>
      <c r="M58" s="364">
        <f t="shared" si="11"/>
        <v>0</v>
      </c>
      <c r="P58" s="223">
        <v>0</v>
      </c>
      <c r="R58" s="223">
        <v>0</v>
      </c>
    </row>
    <row r="59" spans="1:18" ht="15" customHeight="1">
      <c r="A59" s="2">
        <f t="shared" si="12"/>
        <v>19</v>
      </c>
      <c r="B59" s="21">
        <f>Vazões!E22</f>
        <v>1.0021737222157918</v>
      </c>
      <c r="C59" s="216">
        <f>'Evolução Volume'!Q22</f>
        <v>0.25</v>
      </c>
      <c r="D59" s="21">
        <f>'Evolução Volume'!AD22/365/86.4</f>
        <v>86.139963217329239</v>
      </c>
      <c r="E59" s="21">
        <f>Vazões!F22</f>
        <v>1.20260846665895</v>
      </c>
      <c r="F59" s="21">
        <f>Vazões!G22</f>
        <v>1.803912699988425</v>
      </c>
      <c r="G59" s="201">
        <f t="shared" si="8"/>
        <v>6.6666666666666661</v>
      </c>
      <c r="H59" s="303">
        <f t="shared" si="9"/>
        <v>0</v>
      </c>
      <c r="I59" s="303">
        <f t="shared" si="15"/>
        <v>6.6666666666666661</v>
      </c>
      <c r="J59" s="223">
        <v>0</v>
      </c>
      <c r="K59" s="229">
        <f t="shared" si="13"/>
        <v>5.4640582000077158</v>
      </c>
      <c r="L59" s="18"/>
      <c r="M59" s="364">
        <f t="shared" si="11"/>
        <v>0</v>
      </c>
      <c r="P59" s="223">
        <v>0</v>
      </c>
      <c r="R59" s="223">
        <v>0</v>
      </c>
    </row>
    <row r="60" spans="1:18" ht="15" customHeight="1">
      <c r="A60" s="2">
        <f t="shared" si="12"/>
        <v>20</v>
      </c>
      <c r="B60" s="21">
        <f>Vazões!E23</f>
        <v>1.0126130318222064</v>
      </c>
      <c r="C60" s="216">
        <f>'Evolução Volume'!Q23</f>
        <v>0.25</v>
      </c>
      <c r="D60" s="21">
        <f>'Evolução Volume'!AD23/365/86.4</f>
        <v>87.130392716237836</v>
      </c>
      <c r="E60" s="21">
        <f>Vazões!F23</f>
        <v>1.2151356381866476</v>
      </c>
      <c r="F60" s="21">
        <f>Vazões!G23</f>
        <v>1.8227034572799714</v>
      </c>
      <c r="G60" s="201">
        <f t="shared" si="8"/>
        <v>6.6666666666666661</v>
      </c>
      <c r="H60" s="303">
        <f t="shared" si="9"/>
        <v>0</v>
      </c>
      <c r="I60" s="303">
        <f t="shared" si="15"/>
        <v>6.6666666666666661</v>
      </c>
      <c r="J60" s="223">
        <v>0</v>
      </c>
      <c r="K60" s="229">
        <f t="shared" si="13"/>
        <v>5.4515310284800185</v>
      </c>
      <c r="M60" s="364">
        <f t="shared" si="11"/>
        <v>0</v>
      </c>
      <c r="P60" s="223">
        <v>0</v>
      </c>
      <c r="R60" s="223">
        <v>0</v>
      </c>
    </row>
    <row r="61" spans="1:18" ht="15" customHeight="1">
      <c r="A61" s="2">
        <f t="shared" si="12"/>
        <v>21</v>
      </c>
      <c r="B61" s="21">
        <f>Vazões!E24</f>
        <v>1.023052341428621</v>
      </c>
      <c r="C61" s="216">
        <f>'Evolução Volume'!Q24</f>
        <v>0.25</v>
      </c>
      <c r="D61" s="21">
        <f>'Evolução Volume'!AD24/365/86.4</f>
        <v>88.132566438453637</v>
      </c>
      <c r="E61" s="21">
        <f>Vazões!F24</f>
        <v>1.2276628097143452</v>
      </c>
      <c r="F61" s="21">
        <f>Vazões!G24</f>
        <v>1.8414942145715179</v>
      </c>
      <c r="G61" s="201">
        <f t="shared" si="8"/>
        <v>6.6666666666666661</v>
      </c>
      <c r="H61" s="303">
        <f t="shared" si="9"/>
        <v>0</v>
      </c>
      <c r="I61" s="303">
        <f t="shared" si="15"/>
        <v>6.6666666666666661</v>
      </c>
      <c r="J61" s="223">
        <v>0</v>
      </c>
      <c r="K61" s="229">
        <f t="shared" si="13"/>
        <v>5.4390038569523211</v>
      </c>
      <c r="M61" s="364">
        <f t="shared" si="11"/>
        <v>0</v>
      </c>
      <c r="P61" s="223">
        <v>0</v>
      </c>
      <c r="R61" s="223">
        <v>0</v>
      </c>
    </row>
    <row r="62" spans="1:18" ht="15" customHeight="1">
      <c r="A62" s="2">
        <f t="shared" si="12"/>
        <v>22</v>
      </c>
      <c r="B62" s="21">
        <f>Vazões!E25</f>
        <v>1.0361014784366391</v>
      </c>
      <c r="C62" s="216">
        <f>'Evolução Volume'!Q25</f>
        <v>0.25</v>
      </c>
      <c r="D62" s="21">
        <f>'Evolução Volume'!AD25/365/86.4</f>
        <v>89.145831927126196</v>
      </c>
      <c r="E62" s="21">
        <f>Vazões!F25</f>
        <v>1.2433217741239668</v>
      </c>
      <c r="F62" s="21">
        <f>Vazões!G25</f>
        <v>1.8649826611859504</v>
      </c>
      <c r="G62" s="201">
        <f t="shared" si="8"/>
        <v>6.6666666666666661</v>
      </c>
      <c r="H62" s="303">
        <f t="shared" si="9"/>
        <v>0</v>
      </c>
      <c r="I62" s="303">
        <f t="shared" si="15"/>
        <v>6.6666666666666661</v>
      </c>
      <c r="J62" s="223">
        <v>0</v>
      </c>
      <c r="K62" s="229">
        <f t="shared" si="13"/>
        <v>5.4233448925426995</v>
      </c>
      <c r="M62" s="364">
        <f t="shared" si="11"/>
        <v>0</v>
      </c>
      <c r="P62" s="223">
        <v>0</v>
      </c>
      <c r="R62" s="223">
        <v>0</v>
      </c>
    </row>
    <row r="63" spans="1:18" ht="15" customHeight="1">
      <c r="A63" s="2">
        <f t="shared" si="12"/>
        <v>23</v>
      </c>
      <c r="B63" s="21">
        <f>Vazões!E26</f>
        <v>1.0491506154446573</v>
      </c>
      <c r="C63" s="216">
        <f>'Evolução Volume'!Q26</f>
        <v>0.25</v>
      </c>
      <c r="D63" s="21">
        <f>'Evolução Volume'!AD26/365/86.4</f>
        <v>90.17084163910603</v>
      </c>
      <c r="E63" s="21">
        <f>Vazões!F26</f>
        <v>1.2589807385335887</v>
      </c>
      <c r="F63" s="21">
        <f>Vazões!G26</f>
        <v>1.8884711078003831</v>
      </c>
      <c r="G63" s="201">
        <f t="shared" si="8"/>
        <v>6.6666666666666661</v>
      </c>
      <c r="H63" s="303">
        <f t="shared" si="9"/>
        <v>0</v>
      </c>
      <c r="I63" s="303">
        <f t="shared" si="15"/>
        <v>6.6666666666666661</v>
      </c>
      <c r="J63" s="223">
        <v>0</v>
      </c>
      <c r="K63" s="229">
        <f t="shared" si="13"/>
        <v>5.4076859281330769</v>
      </c>
      <c r="L63" s="18"/>
      <c r="M63" s="364">
        <f t="shared" si="11"/>
        <v>0</v>
      </c>
      <c r="P63" s="223">
        <v>0</v>
      </c>
      <c r="R63" s="223">
        <v>0</v>
      </c>
    </row>
    <row r="64" spans="1:18" ht="15" customHeight="1">
      <c r="A64" s="2">
        <f t="shared" si="12"/>
        <v>24</v>
      </c>
      <c r="B64" s="21">
        <f>Vazões!E27</f>
        <v>1.0621997524526752</v>
      </c>
      <c r="C64" s="216">
        <f>'Evolução Volume'!Q27</f>
        <v>0.25</v>
      </c>
      <c r="D64" s="21">
        <f>'Evolução Volume'!AD27/365/86.4</f>
        <v>91.208248031243471</v>
      </c>
      <c r="E64" s="21">
        <f>Vazões!F27</f>
        <v>1.2746397029432102</v>
      </c>
      <c r="F64" s="21">
        <f>Vazões!G27</f>
        <v>1.9119595544148154</v>
      </c>
      <c r="G64" s="201">
        <f t="shared" si="8"/>
        <v>6.6666666666666661</v>
      </c>
      <c r="H64" s="303">
        <f t="shared" si="9"/>
        <v>0</v>
      </c>
      <c r="I64" s="303">
        <f t="shared" si="15"/>
        <v>6.6666666666666661</v>
      </c>
      <c r="J64" s="223">
        <v>0</v>
      </c>
      <c r="K64" s="229">
        <f t="shared" si="13"/>
        <v>5.3920269637234561</v>
      </c>
      <c r="L64" s="18"/>
      <c r="M64" s="364">
        <f t="shared" si="11"/>
        <v>0</v>
      </c>
      <c r="P64" s="223">
        <v>0</v>
      </c>
      <c r="R64" s="223">
        <v>0</v>
      </c>
    </row>
    <row r="65" spans="1:18" ht="15" customHeight="1">
      <c r="A65" s="2">
        <f t="shared" si="12"/>
        <v>25</v>
      </c>
      <c r="B65" s="21">
        <f>Vazões!E28</f>
        <v>1.0752488894606933</v>
      </c>
      <c r="C65" s="216">
        <f>'Evolução Volume'!Q28</f>
        <v>0.25</v>
      </c>
      <c r="D65" s="21">
        <f>'Evolução Volume'!AD28/365/86.4</f>
        <v>92.25805110353852</v>
      </c>
      <c r="E65" s="21">
        <f>Vazões!F28</f>
        <v>1.2902986673528318</v>
      </c>
      <c r="F65" s="21">
        <f>Vazões!G28</f>
        <v>1.9354480010292479</v>
      </c>
      <c r="G65" s="201">
        <f t="shared" si="8"/>
        <v>6.6666666666666661</v>
      </c>
      <c r="H65" s="303">
        <f t="shared" si="9"/>
        <v>0</v>
      </c>
      <c r="I65" s="303">
        <f t="shared" si="15"/>
        <v>6.6666666666666661</v>
      </c>
      <c r="J65" s="223">
        <v>0</v>
      </c>
      <c r="K65" s="229">
        <f t="shared" si="13"/>
        <v>5.3763679993138345</v>
      </c>
      <c r="M65" s="364">
        <f t="shared" si="11"/>
        <v>0</v>
      </c>
      <c r="P65" s="223">
        <v>0</v>
      </c>
      <c r="R65" s="223">
        <v>0</v>
      </c>
    </row>
    <row r="66" spans="1:18" ht="15" customHeight="1">
      <c r="A66" s="2">
        <f t="shared" si="12"/>
        <v>26</v>
      </c>
      <c r="B66" s="21">
        <f>Vazões!E29</f>
        <v>1.0882980264687117</v>
      </c>
      <c r="C66" s="216">
        <f>'Evolução Volume'!Q29</f>
        <v>0.25</v>
      </c>
      <c r="D66" s="21">
        <f>'Evolução Volume'!AD29/365/86.4</f>
        <v>93.318945942290426</v>
      </c>
      <c r="E66" s="21">
        <f>Vazões!F29</f>
        <v>1.3059576317624539</v>
      </c>
      <c r="F66" s="21">
        <f>Vazões!G29</f>
        <v>1.9589364476436808</v>
      </c>
      <c r="G66" s="201">
        <f t="shared" si="8"/>
        <v>6.6666666666666661</v>
      </c>
      <c r="H66" s="303">
        <f t="shared" si="9"/>
        <v>0</v>
      </c>
      <c r="I66" s="303">
        <f t="shared" si="15"/>
        <v>6.6666666666666661</v>
      </c>
      <c r="J66" s="223">
        <v>0</v>
      </c>
      <c r="K66" s="229">
        <f t="shared" si="13"/>
        <v>5.3607090349042119</v>
      </c>
      <c r="M66" s="364">
        <f t="shared" si="11"/>
        <v>0</v>
      </c>
      <c r="P66" s="223">
        <v>0</v>
      </c>
      <c r="R66" s="223">
        <v>0</v>
      </c>
    </row>
    <row r="67" spans="1:18" ht="15" customHeight="1">
      <c r="A67" s="2">
        <f t="shared" si="12"/>
        <v>27</v>
      </c>
      <c r="B67" s="21">
        <f>Vazões!E30</f>
        <v>1.1013471634767298</v>
      </c>
      <c r="C67" s="216">
        <f>'Evolução Volume'!Q30</f>
        <v>0.25</v>
      </c>
      <c r="D67" s="21">
        <f>'Evolução Volume'!AD30/365/86.4</f>
        <v>94.392237461199912</v>
      </c>
      <c r="E67" s="21">
        <f>Vazões!F30</f>
        <v>1.3216165961720756</v>
      </c>
      <c r="F67" s="21">
        <f>Vazões!G30</f>
        <v>1.9824248942581133</v>
      </c>
      <c r="G67" s="201">
        <f t="shared" si="8"/>
        <v>6.6666666666666661</v>
      </c>
      <c r="H67" s="303">
        <f t="shared" si="9"/>
        <v>0</v>
      </c>
      <c r="I67" s="303">
        <f t="shared" si="15"/>
        <v>6.6666666666666661</v>
      </c>
      <c r="J67" s="223">
        <v>0</v>
      </c>
      <c r="K67" s="229">
        <f t="shared" si="13"/>
        <v>5.3450500704945902</v>
      </c>
      <c r="M67" s="364">
        <f t="shared" si="11"/>
        <v>0</v>
      </c>
      <c r="P67" s="223">
        <v>0</v>
      </c>
      <c r="R67" s="223">
        <v>0</v>
      </c>
    </row>
    <row r="68" spans="1:18" ht="15" customHeight="1">
      <c r="A68" s="2">
        <f t="shared" si="12"/>
        <v>28</v>
      </c>
      <c r="B68" s="21">
        <f>Vazões!E31</f>
        <v>1.1143963004847477</v>
      </c>
      <c r="C68" s="216">
        <f>'Evolução Volume'!Q31</f>
        <v>0.25</v>
      </c>
      <c r="D68" s="21">
        <f>'Evolução Volume'!AD31/365/86.4</f>
        <v>95.477925660267033</v>
      </c>
      <c r="E68" s="21">
        <f>Vazões!F31</f>
        <v>1.3372755605816973</v>
      </c>
      <c r="F68" s="21">
        <f>Vazões!G31</f>
        <v>2.0059133408725458</v>
      </c>
      <c r="G68" s="201">
        <f t="shared" si="8"/>
        <v>6.6666666666666661</v>
      </c>
      <c r="H68" s="303">
        <f t="shared" si="9"/>
        <v>0</v>
      </c>
      <c r="I68" s="303">
        <f t="shared" si="15"/>
        <v>6.6666666666666661</v>
      </c>
      <c r="J68" s="223">
        <v>0</v>
      </c>
      <c r="K68" s="229">
        <f t="shared" si="13"/>
        <v>5.3293911060849686</v>
      </c>
      <c r="M68" s="364">
        <f t="shared" si="11"/>
        <v>0</v>
      </c>
      <c r="P68" s="223">
        <v>0</v>
      </c>
      <c r="R68" s="223">
        <v>0</v>
      </c>
    </row>
    <row r="69" spans="1:18" ht="15" customHeight="1">
      <c r="A69" s="2">
        <f t="shared" si="12"/>
        <v>29</v>
      </c>
      <c r="B69" s="21">
        <f>Vazões!E32</f>
        <v>1.1274454374927658</v>
      </c>
      <c r="C69" s="216">
        <f>'Evolução Volume'!Q32</f>
        <v>0.25</v>
      </c>
      <c r="D69" s="21">
        <f>'Evolução Volume'!AD32/365/86.4</f>
        <v>96.576010539491747</v>
      </c>
      <c r="E69" s="21">
        <f>Vazões!F32</f>
        <v>1.3529345249913189</v>
      </c>
      <c r="F69" s="21">
        <f>Vazões!G32</f>
        <v>2.0294017874869783</v>
      </c>
      <c r="G69" s="201">
        <f t="shared" si="8"/>
        <v>6.6666666666666661</v>
      </c>
      <c r="H69" s="303">
        <f t="shared" si="9"/>
        <v>0</v>
      </c>
      <c r="I69" s="303">
        <f t="shared" si="15"/>
        <v>6.6666666666666661</v>
      </c>
      <c r="J69" s="223">
        <v>0</v>
      </c>
      <c r="K69" s="229">
        <f t="shared" si="13"/>
        <v>5.3137321416753469</v>
      </c>
      <c r="M69" s="364">
        <f t="shared" si="11"/>
        <v>0</v>
      </c>
      <c r="P69" s="223">
        <v>0</v>
      </c>
      <c r="R69" s="223">
        <v>0</v>
      </c>
    </row>
    <row r="70" spans="1:18" ht="15" customHeight="1">
      <c r="A70" s="2">
        <f t="shared" si="12"/>
        <v>30</v>
      </c>
      <c r="B70" s="21">
        <f>Vazões!E33</f>
        <v>1.140494574500784</v>
      </c>
      <c r="C70" s="216">
        <f>'Evolução Volume'!Q33</f>
        <v>0.25</v>
      </c>
      <c r="D70" s="21">
        <f>'Evolução Volume'!AD33/365/86.4</f>
        <v>97.687144555724501</v>
      </c>
      <c r="E70" s="21">
        <f>Vazões!F33</f>
        <v>1.3685934894009406</v>
      </c>
      <c r="F70" s="21">
        <f>Vazões!G33</f>
        <v>2.0528902341014108</v>
      </c>
      <c r="G70" s="201">
        <f t="shared" si="8"/>
        <v>6.6666666666666661</v>
      </c>
      <c r="H70" s="303">
        <f t="shared" si="9"/>
        <v>0</v>
      </c>
      <c r="I70" s="303">
        <f t="shared" si="15"/>
        <v>6.6666666666666661</v>
      </c>
      <c r="J70" s="223">
        <v>0</v>
      </c>
      <c r="K70" s="229">
        <f t="shared" si="13"/>
        <v>5.2980731772657252</v>
      </c>
      <c r="M70" s="364">
        <f t="shared" si="11"/>
        <v>0</v>
      </c>
      <c r="P70" s="223">
        <v>0</v>
      </c>
      <c r="R70" s="223">
        <v>0</v>
      </c>
    </row>
    <row r="73" spans="1:18" ht="15" customHeight="1">
      <c r="A73" s="954" t="s">
        <v>893</v>
      </c>
      <c r="B73" s="955"/>
      <c r="C73" s="955"/>
      <c r="D73" s="955"/>
      <c r="E73" s="955"/>
      <c r="F73" s="955"/>
      <c r="G73" s="955"/>
      <c r="H73" s="955"/>
      <c r="I73" s="955"/>
      <c r="J73" s="955"/>
      <c r="K73" s="956"/>
      <c r="L73" s="15"/>
      <c r="M73" s="15"/>
    </row>
    <row r="74" spans="1:18" ht="39.6">
      <c r="A74" s="231" t="s">
        <v>1</v>
      </c>
      <c r="B74" s="151" t="s">
        <v>406</v>
      </c>
      <c r="C74" s="232" t="s">
        <v>407</v>
      </c>
      <c r="D74" s="151" t="s">
        <v>408</v>
      </c>
      <c r="E74" s="151" t="s">
        <v>409</v>
      </c>
      <c r="F74" s="151" t="s">
        <v>410</v>
      </c>
      <c r="G74" s="232" t="s">
        <v>411</v>
      </c>
      <c r="H74" s="233" t="s">
        <v>412</v>
      </c>
      <c r="I74" s="233" t="s">
        <v>417</v>
      </c>
      <c r="J74" s="232" t="s">
        <v>420</v>
      </c>
      <c r="K74" s="234" t="s">
        <v>413</v>
      </c>
      <c r="L74" s="18"/>
      <c r="M74" s="363" t="s">
        <v>576</v>
      </c>
      <c r="P74" s="363" t="s">
        <v>1006</v>
      </c>
      <c r="R74" s="363" t="s">
        <v>1007</v>
      </c>
    </row>
    <row r="75" spans="1:18" ht="15" customHeight="1">
      <c r="A75" s="2">
        <v>0</v>
      </c>
      <c r="B75" s="223">
        <f>B76</f>
        <v>0.1708339326714533</v>
      </c>
      <c r="C75" s="222">
        <f>'Dados de Entrada'!F61</f>
        <v>0.46620312445918932</v>
      </c>
      <c r="D75" s="223">
        <f>D76</f>
        <v>174.99792910964075</v>
      </c>
      <c r="E75" s="223">
        <f>E76</f>
        <v>0.20500071920574395</v>
      </c>
      <c r="F75" s="223">
        <f>F76</f>
        <v>0.30750107880861594</v>
      </c>
      <c r="G75" s="225">
        <f>'Dados de Entrada'!F38</f>
        <v>2.7777777777777777</v>
      </c>
      <c r="H75" s="228">
        <f>'Dados de Entrada'!F35</f>
        <v>0</v>
      </c>
      <c r="I75" s="228">
        <f>H75+G75</f>
        <v>2.7777777777777777</v>
      </c>
      <c r="J75" s="223">
        <v>0</v>
      </c>
      <c r="K75" s="229">
        <f>I75-E75</f>
        <v>2.5727770585720338</v>
      </c>
      <c r="L75" s="18"/>
      <c r="M75" s="364">
        <f>'Dados de Entrada'!F35</f>
        <v>0</v>
      </c>
      <c r="P75" s="223">
        <v>0</v>
      </c>
      <c r="R75" s="223">
        <v>0</v>
      </c>
    </row>
    <row r="76" spans="1:18" ht="15" customHeight="1">
      <c r="A76" s="2">
        <v>1</v>
      </c>
      <c r="B76" s="21">
        <f>Vazões!H4</f>
        <v>0.1708339326714533</v>
      </c>
      <c r="C76" s="216">
        <f>'Evolução Volume'!Q4</f>
        <v>0.46620312445918932</v>
      </c>
      <c r="D76" s="21">
        <f>'Evolução Volume'!AD4/365/86.4</f>
        <v>174.99792910964075</v>
      </c>
      <c r="E76" s="21">
        <f>Vazões!I4</f>
        <v>0.20500071920574395</v>
      </c>
      <c r="F76" s="21">
        <f>Vazões!J4</f>
        <v>0.30750107880861594</v>
      </c>
      <c r="G76" s="201">
        <f>G75</f>
        <v>2.7777777777777777</v>
      </c>
      <c r="H76" s="303">
        <f t="shared" ref="H76:H105" si="16">H75+J75</f>
        <v>0</v>
      </c>
      <c r="I76" s="303">
        <f t="shared" ref="I76:I79" si="17">H76+G76</f>
        <v>2.7777777777777777</v>
      </c>
      <c r="J76" s="223">
        <v>0</v>
      </c>
      <c r="K76" s="229">
        <f>I76-E76</f>
        <v>2.5727770585720338</v>
      </c>
      <c r="M76" s="364">
        <f t="shared" ref="M76:M105" si="18">COUNTIF(J76,"&lt;&gt;0")+(M75)</f>
        <v>0</v>
      </c>
      <c r="P76" s="223">
        <v>0</v>
      </c>
      <c r="R76" s="223">
        <v>0</v>
      </c>
    </row>
    <row r="77" spans="1:18" ht="15" customHeight="1">
      <c r="A77" s="2">
        <f xml:space="preserve"> ( ( A76 ) + ( 1 ) )</f>
        <v>2</v>
      </c>
      <c r="B77" s="21">
        <f>Vazões!H5</f>
        <v>0.16925531648947645</v>
      </c>
      <c r="C77" s="216">
        <f>'Evolução Volume'!Q5</f>
        <v>0.45</v>
      </c>
      <c r="D77" s="21">
        <f>'Evolução Volume'!AD5/365/86.4</f>
        <v>166.22910051444723</v>
      </c>
      <c r="E77" s="21">
        <f>Vazões!I5</f>
        <v>0.20310637978737173</v>
      </c>
      <c r="F77" s="21">
        <f>Vazões!J5</f>
        <v>0.30465956968105756</v>
      </c>
      <c r="G77" s="201">
        <f t="shared" ref="G77:G105" si="19">G76</f>
        <v>2.7777777777777777</v>
      </c>
      <c r="H77" s="303">
        <f t="shared" si="16"/>
        <v>0</v>
      </c>
      <c r="I77" s="303">
        <f t="shared" si="17"/>
        <v>2.7777777777777777</v>
      </c>
      <c r="J77" s="223">
        <v>0</v>
      </c>
      <c r="K77" s="229">
        <f t="shared" ref="K77" si="20">I77-E77</f>
        <v>2.5746713979904059</v>
      </c>
      <c r="M77" s="364">
        <f t="shared" si="18"/>
        <v>0</v>
      </c>
      <c r="P77" s="223">
        <v>0</v>
      </c>
      <c r="R77" s="223">
        <v>0</v>
      </c>
    </row>
    <row r="78" spans="1:18" ht="15" customHeight="1">
      <c r="A78" s="2">
        <f t="shared" ref="A78:A105" si="21" xml:space="preserve"> ( ( A77 ) + ( 1 ) )</f>
        <v>3</v>
      </c>
      <c r="B78" s="21">
        <f>Vazões!H6</f>
        <v>0.16831601917276073</v>
      </c>
      <c r="C78" s="216">
        <f>'Evolução Volume'!Q6</f>
        <v>0.43</v>
      </c>
      <c r="D78" s="21">
        <f>'Evolução Volume'!AD6/365/86.4</f>
        <v>156.93263848008772</v>
      </c>
      <c r="E78" s="21">
        <f>Vazões!I6</f>
        <v>0.20197922300731289</v>
      </c>
      <c r="F78" s="21">
        <f>Vazões!J6</f>
        <v>0.30296883451096934</v>
      </c>
      <c r="G78" s="201">
        <f t="shared" si="19"/>
        <v>2.7777777777777777</v>
      </c>
      <c r="H78" s="303">
        <f t="shared" si="16"/>
        <v>0</v>
      </c>
      <c r="I78" s="303">
        <f t="shared" si="17"/>
        <v>2.7777777777777777</v>
      </c>
      <c r="J78" s="223">
        <v>0</v>
      </c>
      <c r="K78" s="229">
        <f>I78-E78</f>
        <v>2.5757985547704649</v>
      </c>
      <c r="M78" s="364">
        <f t="shared" si="18"/>
        <v>0</v>
      </c>
      <c r="P78" s="223">
        <v>0</v>
      </c>
      <c r="R78" s="223">
        <v>0</v>
      </c>
    </row>
    <row r="79" spans="1:18" ht="15" customHeight="1">
      <c r="A79" s="2">
        <f t="shared" si="21"/>
        <v>4</v>
      </c>
      <c r="B79" s="21">
        <f>Vazões!H7</f>
        <v>0.16472920480418921</v>
      </c>
      <c r="C79" s="216">
        <f>'Evolução Volume'!Q7</f>
        <v>0.4</v>
      </c>
      <c r="D79" s="21">
        <f>'Evolução Volume'!AD7/365/86.4</f>
        <v>141.9746106472372</v>
      </c>
      <c r="E79" s="21">
        <f>Vazões!I7</f>
        <v>0.19767504576502704</v>
      </c>
      <c r="F79" s="21">
        <f>Vazões!J7</f>
        <v>0.29651256864754055</v>
      </c>
      <c r="G79" s="201">
        <f t="shared" si="19"/>
        <v>2.7777777777777777</v>
      </c>
      <c r="H79" s="303">
        <f t="shared" si="16"/>
        <v>0</v>
      </c>
      <c r="I79" s="303">
        <f t="shared" si="17"/>
        <v>2.7777777777777777</v>
      </c>
      <c r="J79" s="223">
        <v>0</v>
      </c>
      <c r="K79" s="229">
        <f t="shared" ref="K79:K105" si="22">I79-E79</f>
        <v>2.5801027320127505</v>
      </c>
      <c r="M79" s="364">
        <f t="shared" si="18"/>
        <v>0</v>
      </c>
      <c r="P79" s="223">
        <v>0</v>
      </c>
      <c r="R79" s="223">
        <v>0</v>
      </c>
    </row>
    <row r="80" spans="1:18" ht="15" customHeight="1">
      <c r="A80" s="2">
        <f t="shared" si="21"/>
        <v>5</v>
      </c>
      <c r="B80" s="21">
        <f>Vazões!H8</f>
        <v>0.1641665623589377</v>
      </c>
      <c r="C80" s="216">
        <f>'Evolução Volume'!Q8</f>
        <v>0.38</v>
      </c>
      <c r="D80" s="21">
        <f>'Evolução Volume'!AD8/365/86.4</f>
        <v>133.59742248700752</v>
      </c>
      <c r="E80" s="21">
        <f>Vazões!I8</f>
        <v>0.19699987483072523</v>
      </c>
      <c r="F80" s="21">
        <f>Vazões!J8</f>
        <v>0.29549981224608785</v>
      </c>
      <c r="G80" s="201">
        <f t="shared" si="19"/>
        <v>2.7777777777777777</v>
      </c>
      <c r="H80" s="303">
        <f t="shared" si="16"/>
        <v>0</v>
      </c>
      <c r="I80" s="303">
        <f>H80+G80</f>
        <v>2.7777777777777777</v>
      </c>
      <c r="J80" s="223">
        <v>0</v>
      </c>
      <c r="K80" s="229">
        <f t="shared" si="22"/>
        <v>2.5807779029470526</v>
      </c>
      <c r="M80" s="364">
        <f t="shared" si="18"/>
        <v>0</v>
      </c>
      <c r="P80" s="223">
        <v>0</v>
      </c>
      <c r="R80" s="223">
        <v>0</v>
      </c>
    </row>
    <row r="81" spans="1:18" ht="15" customHeight="1">
      <c r="A81" s="2">
        <f t="shared" si="21"/>
        <v>6</v>
      </c>
      <c r="B81" s="21">
        <f>Vazões!H9</f>
        <v>0.15960098340576012</v>
      </c>
      <c r="C81" s="216">
        <f>'Evolução Volume'!Q9</f>
        <v>0.35</v>
      </c>
      <c r="D81" s="21">
        <f>'Evolução Volume'!AD9/365/86.4</f>
        <v>118.92456484728548</v>
      </c>
      <c r="E81" s="21">
        <f>Vazões!I9</f>
        <v>0.19152118008691213</v>
      </c>
      <c r="F81" s="21">
        <f>Vazões!J9</f>
        <v>0.28728177013036821</v>
      </c>
      <c r="G81" s="201">
        <f t="shared" si="19"/>
        <v>2.7777777777777777</v>
      </c>
      <c r="H81" s="303">
        <f t="shared" si="16"/>
        <v>0</v>
      </c>
      <c r="I81" s="303">
        <f t="shared" ref="I81" si="23">H81+G81</f>
        <v>2.7777777777777777</v>
      </c>
      <c r="J81" s="223">
        <v>0</v>
      </c>
      <c r="K81" s="229">
        <f t="shared" si="22"/>
        <v>2.5862565976908654</v>
      </c>
      <c r="M81" s="364">
        <f t="shared" si="18"/>
        <v>0</v>
      </c>
      <c r="P81" s="223">
        <v>0</v>
      </c>
      <c r="R81" s="223">
        <v>0</v>
      </c>
    </row>
    <row r="82" spans="1:18" ht="15" customHeight="1">
      <c r="A82" s="2">
        <f t="shared" si="21"/>
        <v>7</v>
      </c>
      <c r="B82" s="21">
        <f>Vazões!H10</f>
        <v>0.15543824965433353</v>
      </c>
      <c r="C82" s="216">
        <f>'Evolução Volume'!Q10</f>
        <v>0.32</v>
      </c>
      <c r="D82" s="21">
        <f>'Evolução Volume'!AD10/365/86.4</f>
        <v>105.29087669029668</v>
      </c>
      <c r="E82" s="21">
        <f>Vazões!I10</f>
        <v>0.18652589958520024</v>
      </c>
      <c r="F82" s="21">
        <f>Vazões!J10</f>
        <v>0.27978884937780035</v>
      </c>
      <c r="G82" s="201">
        <f t="shared" si="19"/>
        <v>2.7777777777777777</v>
      </c>
      <c r="H82" s="303">
        <f t="shared" si="16"/>
        <v>0</v>
      </c>
      <c r="I82" s="303">
        <f>H82+G82</f>
        <v>2.7777777777777777</v>
      </c>
      <c r="J82" s="223">
        <v>0</v>
      </c>
      <c r="K82" s="229">
        <f t="shared" si="22"/>
        <v>2.5912518781925775</v>
      </c>
      <c r="M82" s="364">
        <f t="shared" si="18"/>
        <v>0</v>
      </c>
      <c r="P82" s="223">
        <v>0</v>
      </c>
      <c r="R82" s="223">
        <v>0</v>
      </c>
    </row>
    <row r="83" spans="1:18" ht="15" customHeight="1">
      <c r="A83" s="2">
        <f t="shared" si="21"/>
        <v>8</v>
      </c>
      <c r="B83" s="21">
        <f>Vazões!H11</f>
        <v>0.14952136155020768</v>
      </c>
      <c r="C83" s="216">
        <f>'Evolução Volume'!Q11</f>
        <v>0.28000000000000003</v>
      </c>
      <c r="D83" s="21">
        <f>'Evolução Volume'!AD11/365/86.4</f>
        <v>88.132457695645229</v>
      </c>
      <c r="E83" s="21">
        <f>Vazões!I11</f>
        <v>0.17942563386024921</v>
      </c>
      <c r="F83" s="21">
        <f>Vazões!J11</f>
        <v>0.2691384507903738</v>
      </c>
      <c r="G83" s="201">
        <f t="shared" si="19"/>
        <v>2.7777777777777777</v>
      </c>
      <c r="H83" s="303">
        <f t="shared" si="16"/>
        <v>0</v>
      </c>
      <c r="I83" s="303">
        <f>H83+G83</f>
        <v>2.7777777777777777</v>
      </c>
      <c r="J83" s="223">
        <v>0</v>
      </c>
      <c r="K83" s="229">
        <f t="shared" si="22"/>
        <v>2.5983521439175283</v>
      </c>
      <c r="M83" s="364">
        <f t="shared" si="18"/>
        <v>0</v>
      </c>
      <c r="P83" s="223">
        <v>0</v>
      </c>
      <c r="R83" s="223">
        <v>0</v>
      </c>
    </row>
    <row r="84" spans="1:18" ht="15" customHeight="1">
      <c r="A84" s="2">
        <f t="shared" si="21"/>
        <v>9</v>
      </c>
      <c r="B84" s="21">
        <f>Vazões!H12</f>
        <v>0.14812533900993549</v>
      </c>
      <c r="C84" s="216">
        <f>'Evolução Volume'!Q12</f>
        <v>0.26</v>
      </c>
      <c r="D84" s="21">
        <f>'Evolução Volume'!AD12/365/86.4</f>
        <v>80.638482322686684</v>
      </c>
      <c r="E84" s="21">
        <f>Vazões!I12</f>
        <v>0.17775040681192258</v>
      </c>
      <c r="F84" s="21">
        <f>Vazões!J12</f>
        <v>0.26662561021788389</v>
      </c>
      <c r="G84" s="201">
        <f t="shared" si="19"/>
        <v>2.7777777777777777</v>
      </c>
      <c r="H84" s="303">
        <f t="shared" si="16"/>
        <v>0</v>
      </c>
      <c r="I84" s="303">
        <f t="shared" ref="I84:I105" si="24">H84+G84</f>
        <v>2.7777777777777777</v>
      </c>
      <c r="J84" s="223">
        <v>0</v>
      </c>
      <c r="K84" s="229">
        <f t="shared" si="22"/>
        <v>2.6000273709658552</v>
      </c>
      <c r="M84" s="364">
        <f t="shared" si="18"/>
        <v>0</v>
      </c>
      <c r="P84" s="223">
        <v>0</v>
      </c>
      <c r="R84" s="223">
        <v>0</v>
      </c>
    </row>
    <row r="85" spans="1:18" ht="15" customHeight="1">
      <c r="A85" s="2">
        <f t="shared" si="21"/>
        <v>10</v>
      </c>
      <c r="B85" s="21">
        <f>Vazões!H13</f>
        <v>0.14876016189140662</v>
      </c>
      <c r="C85" s="216">
        <f>'Evolução Volume'!Q13</f>
        <v>0.25</v>
      </c>
      <c r="D85" s="21">
        <f>'Evolução Volume'!AD13/365/86.4</f>
        <v>77.464244477548377</v>
      </c>
      <c r="E85" s="21">
        <f>Vazões!I13</f>
        <v>0.17851219426968792</v>
      </c>
      <c r="F85" s="21">
        <f>Vazões!J13</f>
        <v>0.2677682914045319</v>
      </c>
      <c r="G85" s="201">
        <f t="shared" si="19"/>
        <v>2.7777777777777777</v>
      </c>
      <c r="H85" s="303">
        <f t="shared" si="16"/>
        <v>0</v>
      </c>
      <c r="I85" s="303">
        <f t="shared" si="24"/>
        <v>2.7777777777777777</v>
      </c>
      <c r="J85" s="223">
        <v>0</v>
      </c>
      <c r="K85" s="229">
        <f t="shared" si="22"/>
        <v>2.5992655835080898</v>
      </c>
      <c r="M85" s="364">
        <f t="shared" si="18"/>
        <v>0</v>
      </c>
      <c r="P85" s="223">
        <v>0</v>
      </c>
      <c r="R85" s="223">
        <v>0</v>
      </c>
    </row>
    <row r="86" spans="1:18" ht="15" customHeight="1">
      <c r="A86" s="2">
        <f t="shared" si="21"/>
        <v>11</v>
      </c>
      <c r="B86" s="21">
        <f>Vazões!H14</f>
        <v>0.15136998929301024</v>
      </c>
      <c r="C86" s="216">
        <f>'Evolução Volume'!Q14</f>
        <v>0.25</v>
      </c>
      <c r="D86" s="21">
        <f>'Evolução Volume'!AD14/365/86.4</f>
        <v>78.425313418188935</v>
      </c>
      <c r="E86" s="21">
        <f>Vazões!I14</f>
        <v>0.18164398715161229</v>
      </c>
      <c r="F86" s="21">
        <f>Vazões!J14</f>
        <v>0.27246598072741846</v>
      </c>
      <c r="G86" s="201">
        <f t="shared" si="19"/>
        <v>2.7777777777777777</v>
      </c>
      <c r="H86" s="303">
        <f t="shared" si="16"/>
        <v>0</v>
      </c>
      <c r="I86" s="303">
        <f t="shared" si="24"/>
        <v>2.7777777777777777</v>
      </c>
      <c r="J86" s="223">
        <v>0</v>
      </c>
      <c r="K86" s="229">
        <f t="shared" si="22"/>
        <v>2.5961337906261654</v>
      </c>
      <c r="M86" s="364">
        <f t="shared" si="18"/>
        <v>0</v>
      </c>
      <c r="P86" s="223">
        <v>0</v>
      </c>
      <c r="R86" s="223">
        <v>0</v>
      </c>
    </row>
    <row r="87" spans="1:18" ht="15" customHeight="1">
      <c r="A87" s="2">
        <f t="shared" si="21"/>
        <v>12</v>
      </c>
      <c r="B87" s="21">
        <f>Vazões!H15</f>
        <v>0.15397981669461386</v>
      </c>
      <c r="C87" s="216">
        <f>'Evolução Volume'!Q15</f>
        <v>0.25</v>
      </c>
      <c r="D87" s="21">
        <f>'Evolução Volume'!AD15/365/86.4</f>
        <v>79.386382358829465</v>
      </c>
      <c r="E87" s="21">
        <f>Vazões!I15</f>
        <v>0.18477578003353662</v>
      </c>
      <c r="F87" s="21">
        <f>Vazões!J15</f>
        <v>0.27716367005030496</v>
      </c>
      <c r="G87" s="201">
        <f t="shared" si="19"/>
        <v>2.7777777777777777</v>
      </c>
      <c r="H87" s="303">
        <f t="shared" si="16"/>
        <v>0</v>
      </c>
      <c r="I87" s="303">
        <f t="shared" si="24"/>
        <v>2.7777777777777777</v>
      </c>
      <c r="J87" s="223">
        <v>0</v>
      </c>
      <c r="K87" s="229">
        <f t="shared" si="22"/>
        <v>2.5930019977442411</v>
      </c>
      <c r="M87" s="364">
        <f t="shared" si="18"/>
        <v>0</v>
      </c>
      <c r="P87" s="223">
        <v>0</v>
      </c>
      <c r="R87" s="223">
        <v>0</v>
      </c>
    </row>
    <row r="88" spans="1:18" ht="15" customHeight="1">
      <c r="A88" s="2">
        <f t="shared" si="21"/>
        <v>13</v>
      </c>
      <c r="B88" s="21">
        <f>Vazões!H16</f>
        <v>0.15658964409621751</v>
      </c>
      <c r="C88" s="216">
        <f>'Evolução Volume'!Q16</f>
        <v>0.25</v>
      </c>
      <c r="D88" s="21">
        <f>'Evolução Volume'!AD16/365/86.4</f>
        <v>80.347451299470023</v>
      </c>
      <c r="E88" s="21">
        <f>Vazões!I16</f>
        <v>0.18790757291546101</v>
      </c>
      <c r="F88" s="21">
        <f>Vazões!J16</f>
        <v>0.28186135937319151</v>
      </c>
      <c r="G88" s="201">
        <f t="shared" si="19"/>
        <v>2.7777777777777777</v>
      </c>
      <c r="H88" s="303">
        <f t="shared" si="16"/>
        <v>0</v>
      </c>
      <c r="I88" s="303">
        <f t="shared" si="24"/>
        <v>2.7777777777777777</v>
      </c>
      <c r="J88" s="223">
        <v>0</v>
      </c>
      <c r="K88" s="229">
        <f t="shared" si="22"/>
        <v>2.5898702048623168</v>
      </c>
      <c r="M88" s="364">
        <f t="shared" si="18"/>
        <v>0</v>
      </c>
      <c r="P88" s="223">
        <v>0</v>
      </c>
      <c r="R88" s="223">
        <v>0</v>
      </c>
    </row>
    <row r="89" spans="1:18" ht="15" customHeight="1">
      <c r="A89" s="2">
        <f t="shared" si="21"/>
        <v>14</v>
      </c>
      <c r="B89" s="21">
        <f>Vazões!H17</f>
        <v>0.1591994714978211</v>
      </c>
      <c r="C89" s="216">
        <f>'Evolução Volume'!Q17</f>
        <v>0.25</v>
      </c>
      <c r="D89" s="21">
        <f>'Evolução Volume'!AD17/365/86.4</f>
        <v>81.308520240110539</v>
      </c>
      <c r="E89" s="21">
        <f>Vazões!I17</f>
        <v>0.19103936579738531</v>
      </c>
      <c r="F89" s="21">
        <f>Vazões!J17</f>
        <v>0.28655904869607796</v>
      </c>
      <c r="G89" s="201">
        <f t="shared" si="19"/>
        <v>2.7777777777777777</v>
      </c>
      <c r="H89" s="303">
        <f t="shared" si="16"/>
        <v>0</v>
      </c>
      <c r="I89" s="303">
        <f t="shared" si="24"/>
        <v>2.7777777777777777</v>
      </c>
      <c r="J89" s="223">
        <v>0</v>
      </c>
      <c r="K89" s="229">
        <f t="shared" si="22"/>
        <v>2.5867384119803924</v>
      </c>
      <c r="M89" s="364">
        <f t="shared" si="18"/>
        <v>0</v>
      </c>
      <c r="P89" s="223">
        <v>0</v>
      </c>
      <c r="R89" s="223">
        <v>0</v>
      </c>
    </row>
    <row r="90" spans="1:18" ht="15" customHeight="1">
      <c r="A90" s="2">
        <f t="shared" si="21"/>
        <v>15</v>
      </c>
      <c r="B90" s="21">
        <f>Vazões!H18</f>
        <v>0.16180929889942477</v>
      </c>
      <c r="C90" s="216">
        <f>'Evolução Volume'!Q18</f>
        <v>0.25</v>
      </c>
      <c r="D90" s="21">
        <f>'Evolução Volume'!AD18/365/86.4</f>
        <v>82.270241637601487</v>
      </c>
      <c r="E90" s="21">
        <f>Vazões!I18</f>
        <v>0.19417115867930973</v>
      </c>
      <c r="F90" s="21">
        <f>Vazões!J18</f>
        <v>0.29125673801896457</v>
      </c>
      <c r="G90" s="201">
        <f t="shared" si="19"/>
        <v>2.7777777777777777</v>
      </c>
      <c r="H90" s="303">
        <f t="shared" si="16"/>
        <v>0</v>
      </c>
      <c r="I90" s="303">
        <f t="shared" si="24"/>
        <v>2.7777777777777777</v>
      </c>
      <c r="J90" s="223">
        <v>0</v>
      </c>
      <c r="K90" s="229">
        <f t="shared" si="22"/>
        <v>2.5836066190984681</v>
      </c>
      <c r="M90" s="364">
        <f t="shared" si="18"/>
        <v>0</v>
      </c>
      <c r="P90" s="223">
        <v>0</v>
      </c>
      <c r="R90" s="223">
        <v>0</v>
      </c>
    </row>
    <row r="91" spans="1:18" ht="15" customHeight="1">
      <c r="A91" s="2">
        <f t="shared" si="21"/>
        <v>16</v>
      </c>
      <c r="B91" s="21">
        <f>Vazões!H19</f>
        <v>0.16441912630102837</v>
      </c>
      <c r="C91" s="216">
        <f>'Evolução Volume'!Q19</f>
        <v>0.25</v>
      </c>
      <c r="D91" s="21">
        <f>'Evolução Volume'!AD19/365/86.4</f>
        <v>83.231310578242031</v>
      </c>
      <c r="E91" s="21">
        <f>Vazões!I19</f>
        <v>0.19730295156123404</v>
      </c>
      <c r="F91" s="21">
        <f>Vazões!J19</f>
        <v>0.29595442734185107</v>
      </c>
      <c r="G91" s="201">
        <f t="shared" si="19"/>
        <v>2.7777777777777777</v>
      </c>
      <c r="H91" s="303">
        <f t="shared" si="16"/>
        <v>0</v>
      </c>
      <c r="I91" s="303">
        <f t="shared" si="24"/>
        <v>2.7777777777777777</v>
      </c>
      <c r="J91" s="223">
        <v>0</v>
      </c>
      <c r="K91" s="229">
        <f t="shared" si="22"/>
        <v>2.5804748262165438</v>
      </c>
      <c r="M91" s="364">
        <f t="shared" si="18"/>
        <v>0</v>
      </c>
      <c r="P91" s="223">
        <v>0</v>
      </c>
      <c r="R91" s="223">
        <v>0</v>
      </c>
    </row>
    <row r="92" spans="1:18" ht="15" customHeight="1">
      <c r="A92" s="2">
        <f t="shared" si="21"/>
        <v>17</v>
      </c>
      <c r="B92" s="21">
        <f>Vazões!H20</f>
        <v>0.16702895370263199</v>
      </c>
      <c r="C92" s="216">
        <f>'Evolução Volume'!Q20</f>
        <v>0.25</v>
      </c>
      <c r="D92" s="21">
        <f>'Evolução Volume'!AD20/365/86.4</f>
        <v>84.192379518882532</v>
      </c>
      <c r="E92" s="21">
        <f>Vazões!I20</f>
        <v>0.20043474444315837</v>
      </c>
      <c r="F92" s="21">
        <f>Vazões!J20</f>
        <v>0.30065211666473757</v>
      </c>
      <c r="G92" s="201">
        <f t="shared" si="19"/>
        <v>2.7777777777777777</v>
      </c>
      <c r="H92" s="303">
        <f t="shared" si="16"/>
        <v>0</v>
      </c>
      <c r="I92" s="303">
        <f t="shared" si="24"/>
        <v>2.7777777777777777</v>
      </c>
      <c r="J92" s="223">
        <v>0</v>
      </c>
      <c r="K92" s="229">
        <f t="shared" si="22"/>
        <v>2.5773430333346194</v>
      </c>
      <c r="M92" s="364">
        <f t="shared" si="18"/>
        <v>0</v>
      </c>
      <c r="P92" s="223">
        <v>0</v>
      </c>
      <c r="R92" s="223">
        <v>0</v>
      </c>
    </row>
    <row r="93" spans="1:18" ht="15" customHeight="1">
      <c r="A93" s="2">
        <f t="shared" si="21"/>
        <v>18</v>
      </c>
      <c r="B93" s="21">
        <f>Vazões!H21</f>
        <v>0.16963878110423564</v>
      </c>
      <c r="C93" s="216">
        <f>'Evolução Volume'!Q21</f>
        <v>0.25</v>
      </c>
      <c r="D93" s="21">
        <f>'Evolução Volume'!AD21/365/86.4</f>
        <v>85.160625484877514</v>
      </c>
      <c r="E93" s="21">
        <f>Vazões!I21</f>
        <v>0.20356653732508276</v>
      </c>
      <c r="F93" s="21">
        <f>Vazões!J21</f>
        <v>0.30534980598762412</v>
      </c>
      <c r="G93" s="201">
        <f t="shared" si="19"/>
        <v>2.7777777777777777</v>
      </c>
      <c r="H93" s="303">
        <f t="shared" si="16"/>
        <v>0</v>
      </c>
      <c r="I93" s="303">
        <f t="shared" si="24"/>
        <v>2.7777777777777777</v>
      </c>
      <c r="J93" s="223">
        <v>0</v>
      </c>
      <c r="K93" s="229">
        <f t="shared" si="22"/>
        <v>2.5742112404526951</v>
      </c>
      <c r="M93" s="364">
        <f t="shared" si="18"/>
        <v>0</v>
      </c>
      <c r="P93" s="223">
        <v>0</v>
      </c>
      <c r="R93" s="223">
        <v>0</v>
      </c>
    </row>
    <row r="94" spans="1:18" ht="15" customHeight="1">
      <c r="A94" s="2">
        <f t="shared" si="21"/>
        <v>19</v>
      </c>
      <c r="B94" s="21">
        <f>Vazões!H22</f>
        <v>0.17224860850583923</v>
      </c>
      <c r="C94" s="216">
        <f>'Evolução Volume'!Q22</f>
        <v>0.25</v>
      </c>
      <c r="D94" s="21">
        <f>'Evolução Volume'!AD22/365/86.4</f>
        <v>86.139963217329239</v>
      </c>
      <c r="E94" s="21">
        <f>Vazões!I22</f>
        <v>0.20669833020700706</v>
      </c>
      <c r="F94" s="21">
        <f>Vazões!J22</f>
        <v>0.31004749531051057</v>
      </c>
      <c r="G94" s="201">
        <f t="shared" si="19"/>
        <v>2.7777777777777777</v>
      </c>
      <c r="H94" s="303">
        <f t="shared" si="16"/>
        <v>0</v>
      </c>
      <c r="I94" s="303">
        <f t="shared" si="24"/>
        <v>2.7777777777777777</v>
      </c>
      <c r="J94" s="223">
        <v>0</v>
      </c>
      <c r="K94" s="229">
        <f t="shared" si="22"/>
        <v>2.5710794475707708</v>
      </c>
      <c r="L94" s="18"/>
      <c r="M94" s="364">
        <f t="shared" si="18"/>
        <v>0</v>
      </c>
      <c r="P94" s="223">
        <v>0</v>
      </c>
      <c r="R94" s="223">
        <v>0</v>
      </c>
    </row>
    <row r="95" spans="1:18" ht="15" customHeight="1">
      <c r="A95" s="2">
        <f t="shared" si="21"/>
        <v>20</v>
      </c>
      <c r="B95" s="21">
        <f>Vazões!H23</f>
        <v>0.17485843590744288</v>
      </c>
      <c r="C95" s="216">
        <f>'Evolução Volume'!Q23</f>
        <v>0.25</v>
      </c>
      <c r="D95" s="21">
        <f>'Evolução Volume'!AD23/365/86.4</f>
        <v>87.130392716237836</v>
      </c>
      <c r="E95" s="21">
        <f>Vazões!I23</f>
        <v>0.20983012308893145</v>
      </c>
      <c r="F95" s="21">
        <f>Vazões!J23</f>
        <v>0.31474518463339718</v>
      </c>
      <c r="G95" s="201">
        <f t="shared" si="19"/>
        <v>2.7777777777777777</v>
      </c>
      <c r="H95" s="303">
        <f t="shared" si="16"/>
        <v>0</v>
      </c>
      <c r="I95" s="303">
        <f t="shared" si="24"/>
        <v>2.7777777777777777</v>
      </c>
      <c r="J95" s="223">
        <v>0</v>
      </c>
      <c r="K95" s="229">
        <f t="shared" si="22"/>
        <v>2.5679476546888464</v>
      </c>
      <c r="M95" s="364">
        <f t="shared" si="18"/>
        <v>0</v>
      </c>
      <c r="P95" s="223">
        <v>0</v>
      </c>
      <c r="R95" s="223">
        <v>0</v>
      </c>
    </row>
    <row r="96" spans="1:18" ht="15" customHeight="1">
      <c r="A96" s="2">
        <f t="shared" si="21"/>
        <v>21</v>
      </c>
      <c r="B96" s="21">
        <f>Vazões!H24</f>
        <v>0.17746826330904647</v>
      </c>
      <c r="C96" s="216">
        <f>'Evolução Volume'!Q24</f>
        <v>0.25</v>
      </c>
      <c r="D96" s="21">
        <f>'Evolução Volume'!AD24/365/86.4</f>
        <v>88.132566438453637</v>
      </c>
      <c r="E96" s="21">
        <f>Vazões!I24</f>
        <v>0.21296191597085576</v>
      </c>
      <c r="F96" s="21">
        <f>Vazões!J24</f>
        <v>0.31944287395628362</v>
      </c>
      <c r="G96" s="201">
        <f t="shared" si="19"/>
        <v>2.7777777777777777</v>
      </c>
      <c r="H96" s="303">
        <f t="shared" si="16"/>
        <v>0</v>
      </c>
      <c r="I96" s="303">
        <f t="shared" si="24"/>
        <v>2.7777777777777777</v>
      </c>
      <c r="J96" s="223">
        <v>0</v>
      </c>
      <c r="K96" s="229">
        <f t="shared" si="22"/>
        <v>2.5648158618069221</v>
      </c>
      <c r="M96" s="364">
        <f t="shared" si="18"/>
        <v>0</v>
      </c>
      <c r="P96" s="223">
        <v>0</v>
      </c>
      <c r="R96" s="223">
        <v>0</v>
      </c>
    </row>
    <row r="97" spans="1:18" ht="15" customHeight="1">
      <c r="A97" s="2">
        <f t="shared" si="21"/>
        <v>22</v>
      </c>
      <c r="B97" s="21">
        <f>Vazões!H25</f>
        <v>0.18007809071065015</v>
      </c>
      <c r="C97" s="216">
        <f>'Evolução Volume'!Q25</f>
        <v>0.25</v>
      </c>
      <c r="D97" s="21">
        <f>'Evolução Volume'!AD25/365/86.4</f>
        <v>89.145831927126196</v>
      </c>
      <c r="E97" s="21">
        <f>Vazões!I25</f>
        <v>0.21609370885278018</v>
      </c>
      <c r="F97" s="21">
        <f>Vazões!J25</f>
        <v>0.32414056327917029</v>
      </c>
      <c r="G97" s="201">
        <f t="shared" si="19"/>
        <v>2.7777777777777777</v>
      </c>
      <c r="H97" s="303">
        <f t="shared" si="16"/>
        <v>0</v>
      </c>
      <c r="I97" s="303">
        <f t="shared" si="24"/>
        <v>2.7777777777777777</v>
      </c>
      <c r="J97" s="223">
        <v>0</v>
      </c>
      <c r="K97" s="229">
        <f t="shared" si="22"/>
        <v>2.5616840689249973</v>
      </c>
      <c r="M97" s="364">
        <f t="shared" si="18"/>
        <v>0</v>
      </c>
      <c r="P97" s="223">
        <v>0</v>
      </c>
      <c r="R97" s="223">
        <v>0</v>
      </c>
    </row>
    <row r="98" spans="1:18" ht="15" customHeight="1">
      <c r="A98" s="2">
        <f t="shared" si="21"/>
        <v>23</v>
      </c>
      <c r="B98" s="21">
        <f>Vazões!H26</f>
        <v>0.18268791811225377</v>
      </c>
      <c r="C98" s="216">
        <f>'Evolução Volume'!Q26</f>
        <v>0.25</v>
      </c>
      <c r="D98" s="21">
        <f>'Evolução Volume'!AD26/365/86.4</f>
        <v>90.17084163910603</v>
      </c>
      <c r="E98" s="21">
        <f>Vazões!I26</f>
        <v>0.21922550173470451</v>
      </c>
      <c r="F98" s="21">
        <f>Vazões!J26</f>
        <v>0.32883825260205679</v>
      </c>
      <c r="G98" s="201">
        <f t="shared" si="19"/>
        <v>2.7777777777777777</v>
      </c>
      <c r="H98" s="303">
        <f t="shared" si="16"/>
        <v>0</v>
      </c>
      <c r="I98" s="303">
        <f t="shared" si="24"/>
        <v>2.7777777777777777</v>
      </c>
      <c r="J98" s="223">
        <v>0</v>
      </c>
      <c r="K98" s="229">
        <f t="shared" si="22"/>
        <v>2.558552276043073</v>
      </c>
      <c r="L98" s="18"/>
      <c r="M98" s="364">
        <f t="shared" si="18"/>
        <v>0</v>
      </c>
      <c r="P98" s="223">
        <v>0</v>
      </c>
      <c r="R98" s="223">
        <v>0</v>
      </c>
    </row>
    <row r="99" spans="1:18" ht="15" customHeight="1">
      <c r="A99" s="2">
        <f t="shared" si="21"/>
        <v>24</v>
      </c>
      <c r="B99" s="21">
        <f>Vazões!H27</f>
        <v>0.18529774551385733</v>
      </c>
      <c r="C99" s="216">
        <f>'Evolução Volume'!Q27</f>
        <v>0.25</v>
      </c>
      <c r="D99" s="21">
        <f>'Evolução Volume'!AD27/365/86.4</f>
        <v>91.208248031243471</v>
      </c>
      <c r="E99" s="21">
        <f>Vazões!I27</f>
        <v>0.22235729461662879</v>
      </c>
      <c r="F99" s="21">
        <f>Vazões!J27</f>
        <v>0.33353594192494318</v>
      </c>
      <c r="G99" s="201">
        <f t="shared" si="19"/>
        <v>2.7777777777777777</v>
      </c>
      <c r="H99" s="303">
        <f t="shared" si="16"/>
        <v>0</v>
      </c>
      <c r="I99" s="303">
        <f t="shared" si="24"/>
        <v>2.7777777777777777</v>
      </c>
      <c r="J99" s="223">
        <v>0</v>
      </c>
      <c r="K99" s="229">
        <f t="shared" si="22"/>
        <v>2.5554204831611491</v>
      </c>
      <c r="L99" s="18"/>
      <c r="M99" s="364">
        <f t="shared" si="18"/>
        <v>0</v>
      </c>
      <c r="P99" s="223">
        <v>0</v>
      </c>
      <c r="R99" s="223">
        <v>0</v>
      </c>
    </row>
    <row r="100" spans="1:18" ht="15" customHeight="1">
      <c r="A100" s="2">
        <f t="shared" si="21"/>
        <v>25</v>
      </c>
      <c r="B100" s="21">
        <f>Vazões!H28</f>
        <v>0.18790757291546098</v>
      </c>
      <c r="C100" s="216">
        <f>'Evolução Volume'!Q28</f>
        <v>0.25</v>
      </c>
      <c r="D100" s="21">
        <f>'Evolução Volume'!AD28/365/86.4</f>
        <v>92.25805110353852</v>
      </c>
      <c r="E100" s="21">
        <f>Vazões!I28</f>
        <v>0.22548908749855318</v>
      </c>
      <c r="F100" s="21">
        <f>Vazões!J28</f>
        <v>0.33823363124782979</v>
      </c>
      <c r="G100" s="201">
        <f t="shared" si="19"/>
        <v>2.7777777777777777</v>
      </c>
      <c r="H100" s="303">
        <f t="shared" si="16"/>
        <v>0</v>
      </c>
      <c r="I100" s="303">
        <f t="shared" si="24"/>
        <v>2.7777777777777777</v>
      </c>
      <c r="J100" s="223">
        <v>0</v>
      </c>
      <c r="K100" s="229">
        <f t="shared" si="22"/>
        <v>2.5522886902792243</v>
      </c>
      <c r="M100" s="364">
        <f t="shared" si="18"/>
        <v>0</v>
      </c>
      <c r="P100" s="223">
        <v>0</v>
      </c>
      <c r="R100" s="223">
        <v>0</v>
      </c>
    </row>
    <row r="101" spans="1:18" ht="15" customHeight="1">
      <c r="A101" s="2">
        <f t="shared" si="21"/>
        <v>26</v>
      </c>
      <c r="B101" s="21">
        <f>Vazões!H29</f>
        <v>0.1905174003170646</v>
      </c>
      <c r="C101" s="216">
        <f>'Evolução Volume'!Q29</f>
        <v>0.25</v>
      </c>
      <c r="D101" s="21">
        <f>'Evolução Volume'!AD29/365/86.4</f>
        <v>93.318945942290426</v>
      </c>
      <c r="E101" s="21">
        <f>Vazões!I29</f>
        <v>0.22862088038047751</v>
      </c>
      <c r="F101" s="21">
        <f>Vazões!J29</f>
        <v>0.34293132057071629</v>
      </c>
      <c r="G101" s="201">
        <f t="shared" si="19"/>
        <v>2.7777777777777777</v>
      </c>
      <c r="H101" s="303">
        <f t="shared" si="16"/>
        <v>0</v>
      </c>
      <c r="I101" s="303">
        <f t="shared" si="24"/>
        <v>2.7777777777777777</v>
      </c>
      <c r="J101" s="223">
        <v>0</v>
      </c>
      <c r="K101" s="229">
        <f t="shared" si="22"/>
        <v>2.5491568973973</v>
      </c>
      <c r="M101" s="364">
        <f t="shared" si="18"/>
        <v>0</v>
      </c>
      <c r="P101" s="223">
        <v>0</v>
      </c>
      <c r="R101" s="223">
        <v>0</v>
      </c>
    </row>
    <row r="102" spans="1:18" ht="15" customHeight="1">
      <c r="A102" s="2">
        <f t="shared" si="21"/>
        <v>27</v>
      </c>
      <c r="B102" s="21">
        <f>Vazões!H30</f>
        <v>0.19312722771866819</v>
      </c>
      <c r="C102" s="216">
        <f>'Evolução Volume'!Q30</f>
        <v>0.25</v>
      </c>
      <c r="D102" s="21">
        <f>'Evolução Volume'!AD30/365/86.4</f>
        <v>94.392237461199912</v>
      </c>
      <c r="E102" s="21">
        <f>Vazões!I30</f>
        <v>0.23175267326240181</v>
      </c>
      <c r="F102" s="21">
        <f>Vazões!J30</f>
        <v>0.34762900989360274</v>
      </c>
      <c r="G102" s="201">
        <f t="shared" si="19"/>
        <v>2.7777777777777777</v>
      </c>
      <c r="H102" s="303">
        <f t="shared" si="16"/>
        <v>0</v>
      </c>
      <c r="I102" s="303">
        <f t="shared" si="24"/>
        <v>2.7777777777777777</v>
      </c>
      <c r="J102" s="223">
        <v>0</v>
      </c>
      <c r="K102" s="229">
        <f t="shared" si="22"/>
        <v>2.5460251045153757</v>
      </c>
      <c r="M102" s="364">
        <f t="shared" si="18"/>
        <v>0</v>
      </c>
      <c r="P102" s="223">
        <v>0</v>
      </c>
      <c r="R102" s="223">
        <v>0</v>
      </c>
    </row>
    <row r="103" spans="1:18" ht="15" customHeight="1">
      <c r="A103" s="2">
        <f t="shared" si="21"/>
        <v>28</v>
      </c>
      <c r="B103" s="21">
        <f>Vazões!H31</f>
        <v>0.1957370551202719</v>
      </c>
      <c r="C103" s="216">
        <f>'Evolução Volume'!Q31</f>
        <v>0.25</v>
      </c>
      <c r="D103" s="21">
        <f>'Evolução Volume'!AD31/365/86.4</f>
        <v>95.477925660267033</v>
      </c>
      <c r="E103" s="21">
        <f>Vazões!I31</f>
        <v>0.23488446614432626</v>
      </c>
      <c r="F103" s="21">
        <f>Vazões!J31</f>
        <v>0.3523266992164894</v>
      </c>
      <c r="G103" s="201">
        <f t="shared" si="19"/>
        <v>2.7777777777777777</v>
      </c>
      <c r="H103" s="303">
        <f t="shared" si="16"/>
        <v>0</v>
      </c>
      <c r="I103" s="303">
        <f t="shared" si="24"/>
        <v>2.7777777777777777</v>
      </c>
      <c r="J103" s="223">
        <v>0</v>
      </c>
      <c r="K103" s="229">
        <f t="shared" si="22"/>
        <v>2.5428933116334513</v>
      </c>
      <c r="M103" s="364">
        <f t="shared" si="18"/>
        <v>0</v>
      </c>
      <c r="P103" s="223">
        <v>0</v>
      </c>
      <c r="R103" s="223">
        <v>0</v>
      </c>
    </row>
    <row r="104" spans="1:18" ht="15" customHeight="1">
      <c r="A104" s="2">
        <f t="shared" si="21"/>
        <v>29</v>
      </c>
      <c r="B104" s="21">
        <f>Vazões!H32</f>
        <v>0.19834688252187546</v>
      </c>
      <c r="C104" s="216">
        <f>'Evolução Volume'!Q32</f>
        <v>0.25</v>
      </c>
      <c r="D104" s="21">
        <f>'Evolução Volume'!AD32/365/86.4</f>
        <v>96.576010539491747</v>
      </c>
      <c r="E104" s="21">
        <f>Vazões!I32</f>
        <v>0.23801625902625054</v>
      </c>
      <c r="F104" s="21">
        <f>Vazões!J32</f>
        <v>0.35702438853937579</v>
      </c>
      <c r="G104" s="201">
        <f t="shared" si="19"/>
        <v>2.7777777777777777</v>
      </c>
      <c r="H104" s="303">
        <f t="shared" si="16"/>
        <v>0</v>
      </c>
      <c r="I104" s="303">
        <f t="shared" si="24"/>
        <v>2.7777777777777777</v>
      </c>
      <c r="J104" s="223">
        <v>0</v>
      </c>
      <c r="K104" s="229">
        <f t="shared" si="22"/>
        <v>2.539761518751527</v>
      </c>
      <c r="M104" s="364">
        <f t="shared" si="18"/>
        <v>0</v>
      </c>
      <c r="P104" s="223">
        <v>0</v>
      </c>
      <c r="R104" s="223">
        <v>0</v>
      </c>
    </row>
    <row r="105" spans="1:18" ht="15" customHeight="1">
      <c r="A105" s="2">
        <f t="shared" si="21"/>
        <v>30</v>
      </c>
      <c r="B105" s="21">
        <f>Vazões!H33</f>
        <v>0.20095670992347908</v>
      </c>
      <c r="C105" s="216">
        <f>'Evolução Volume'!Q33</f>
        <v>0.25</v>
      </c>
      <c r="D105" s="21">
        <f>'Evolução Volume'!AD33/365/86.4</f>
        <v>97.687144555724501</v>
      </c>
      <c r="E105" s="21">
        <f>Vazões!I33</f>
        <v>0.2411480519081749</v>
      </c>
      <c r="F105" s="21">
        <f>Vazões!J33</f>
        <v>0.36172207786226235</v>
      </c>
      <c r="G105" s="201">
        <f t="shared" si="19"/>
        <v>2.7777777777777777</v>
      </c>
      <c r="H105" s="303">
        <f t="shared" si="16"/>
        <v>0</v>
      </c>
      <c r="I105" s="303">
        <f t="shared" si="24"/>
        <v>2.7777777777777777</v>
      </c>
      <c r="J105" s="223">
        <v>0</v>
      </c>
      <c r="K105" s="229">
        <f t="shared" si="22"/>
        <v>2.5366297258696027</v>
      </c>
      <c r="M105" s="364">
        <f t="shared" si="18"/>
        <v>0</v>
      </c>
      <c r="P105" s="223">
        <v>0</v>
      </c>
      <c r="R105" s="223">
        <v>0</v>
      </c>
    </row>
    <row r="106" spans="1:18" ht="15" customHeight="1">
      <c r="A106" s="18"/>
      <c r="B106" s="61"/>
      <c r="C106" s="731"/>
      <c r="D106" s="61"/>
      <c r="E106" s="61"/>
      <c r="F106" s="61"/>
      <c r="G106" s="61"/>
      <c r="H106" s="230"/>
      <c r="I106" s="230"/>
      <c r="J106" s="732"/>
      <c r="K106" s="733"/>
      <c r="M106" s="725"/>
    </row>
  </sheetData>
  <mergeCells count="4">
    <mergeCell ref="A1:K1"/>
    <mergeCell ref="A3:K3"/>
    <mergeCell ref="A38:K38"/>
    <mergeCell ref="A73:K73"/>
  </mergeCells>
  <conditionalFormatting sqref="J5:J35">
    <cfRule type="cellIs" dxfId="47" priority="18" operator="greaterThan">
      <formula>0</formula>
    </cfRule>
  </conditionalFormatting>
  <conditionalFormatting sqref="J40:J70">
    <cfRule type="cellIs" dxfId="46" priority="15" operator="greaterThan">
      <formula>0</formula>
    </cfRule>
  </conditionalFormatting>
  <conditionalFormatting sqref="J75:J106">
    <cfRule type="cellIs" dxfId="45" priority="12" operator="greaterThan">
      <formula>0</formula>
    </cfRule>
  </conditionalFormatting>
  <conditionalFormatting sqref="K5:K35">
    <cfRule type="cellIs" dxfId="44" priority="19" operator="lessThan">
      <formula>0</formula>
    </cfRule>
    <cfRule type="cellIs" dxfId="43" priority="20" operator="greaterThan">
      <formula>0.1</formula>
    </cfRule>
  </conditionalFormatting>
  <conditionalFormatting sqref="K40:K70">
    <cfRule type="cellIs" dxfId="42" priority="16" operator="lessThan">
      <formula>0</formula>
    </cfRule>
    <cfRule type="cellIs" dxfId="41" priority="17" operator="greaterThan">
      <formula>0.1</formula>
    </cfRule>
  </conditionalFormatting>
  <conditionalFormatting sqref="K75:K106">
    <cfRule type="cellIs" dxfId="40" priority="13" operator="lessThan">
      <formula>0</formula>
    </cfRule>
    <cfRule type="cellIs" dxfId="39" priority="14" operator="greaterThan">
      <formula>0.1</formula>
    </cfRule>
  </conditionalFormatting>
  <conditionalFormatting sqref="P5:P35">
    <cfRule type="cellIs" dxfId="38" priority="11" operator="greaterThan">
      <formula>0</formula>
    </cfRule>
  </conditionalFormatting>
  <conditionalFormatting sqref="P40:P70">
    <cfRule type="cellIs" dxfId="37" priority="4" operator="greaterThan">
      <formula>0</formula>
    </cfRule>
  </conditionalFormatting>
  <conditionalFormatting sqref="P75:P105">
    <cfRule type="cellIs" dxfId="36" priority="3" operator="greaterThan">
      <formula>0</formula>
    </cfRule>
  </conditionalFormatting>
  <conditionalFormatting sqref="R5:R35">
    <cfRule type="cellIs" dxfId="35" priority="5" operator="greaterThan">
      <formula>0</formula>
    </cfRule>
  </conditionalFormatting>
  <conditionalFormatting sqref="R40:R70">
    <cfRule type="cellIs" dxfId="34" priority="2" operator="greaterThan">
      <formula>0</formula>
    </cfRule>
  </conditionalFormatting>
  <conditionalFormatting sqref="R75:R105">
    <cfRule type="cellIs" dxfId="33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C5 C40 C7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Q104"/>
  <sheetViews>
    <sheetView showGridLines="0" zoomScale="70" zoomScaleNormal="70" workbookViewId="0">
      <pane ySplit="3" topLeftCell="A4" activePane="bottomLeft" state="frozen"/>
      <selection activeCell="L3" sqref="L3:L108"/>
      <selection pane="bottomLeft" activeCell="L38" sqref="L38"/>
    </sheetView>
  </sheetViews>
  <sheetFormatPr defaultColWidth="11.44140625" defaultRowHeight="15" customHeight="1"/>
  <cols>
    <col min="1" max="1" width="10.77734375" style="16" customWidth="1"/>
    <col min="2" max="2" width="24.44140625" style="16" customWidth="1"/>
    <col min="3" max="3" width="18" style="16" customWidth="1"/>
    <col min="4" max="4" width="16.109375" style="16" customWidth="1"/>
    <col min="5" max="5" width="20.109375" style="16" customWidth="1"/>
    <col min="6" max="6" width="11.44140625" style="16"/>
    <col min="7" max="7" width="13" style="16" customWidth="1"/>
    <col min="8" max="8" width="11.44140625" style="16"/>
    <col min="9" max="9" width="22.109375" style="16" customWidth="1"/>
    <col min="10" max="11" width="15.44140625" style="16" customWidth="1"/>
    <col min="12" max="12" width="17.44140625" style="16" customWidth="1"/>
    <col min="13" max="13" width="11.44140625" style="16"/>
    <col min="14" max="14" width="9.33203125" style="16" customWidth="1"/>
    <col min="15" max="15" width="12" style="16" bestFit="1" customWidth="1"/>
    <col min="16" max="16" width="13.77734375" style="16" bestFit="1" customWidth="1"/>
    <col min="17" max="17" width="15" style="16" bestFit="1" customWidth="1"/>
    <col min="18" max="16384" width="11.44140625" style="16"/>
  </cols>
  <sheetData>
    <row r="1" spans="1:17" s="13" customFormat="1" ht="40.049999999999997" customHeight="1">
      <c r="A1" s="967" t="s">
        <v>956</v>
      </c>
      <c r="B1" s="967"/>
      <c r="C1" s="967"/>
      <c r="D1" s="967"/>
      <c r="E1" s="967"/>
    </row>
    <row r="2" spans="1:17" s="15" customFormat="1" ht="16.2" customHeight="1">
      <c r="A2" s="14"/>
      <c r="B2" s="14"/>
      <c r="I2" s="739"/>
      <c r="J2" s="739"/>
      <c r="K2" s="739"/>
      <c r="L2" s="739"/>
      <c r="N2" s="739"/>
      <c r="O2" s="739"/>
      <c r="P2" s="739"/>
      <c r="Q2" s="739"/>
    </row>
    <row r="3" spans="1:17" s="18" customFormat="1" ht="38.25" customHeight="1">
      <c r="A3" s="279" t="s">
        <v>1</v>
      </c>
      <c r="B3" s="280" t="s">
        <v>416</v>
      </c>
      <c r="C3" s="281" t="s">
        <v>418</v>
      </c>
      <c r="D3" s="282" t="s">
        <v>419</v>
      </c>
      <c r="E3" s="282" t="s">
        <v>413</v>
      </c>
      <c r="G3" s="365" t="s">
        <v>577</v>
      </c>
      <c r="I3" s="282" t="s">
        <v>419</v>
      </c>
    </row>
    <row r="4" spans="1:17" ht="15" customHeight="1">
      <c r="A4" s="2">
        <v>1</v>
      </c>
      <c r="B4" s="21">
        <f>Vazões!K4</f>
        <v>0</v>
      </c>
      <c r="C4" s="221">
        <v>0</v>
      </c>
      <c r="D4" s="223">
        <v>0</v>
      </c>
      <c r="E4" s="224">
        <f t="shared" ref="E4:E12" si="0">C4-B4+D4</f>
        <v>0</v>
      </c>
      <c r="G4" s="816">
        <v>0</v>
      </c>
      <c r="I4" s="223">
        <f>D4</f>
        <v>0</v>
      </c>
    </row>
    <row r="5" spans="1:17" ht="15" customHeight="1">
      <c r="A5" s="2">
        <f xml:space="preserve"> ( ( A4 ) + ( 1 ) )</f>
        <v>2</v>
      </c>
      <c r="B5" s="21">
        <f>Vazões!K5</f>
        <v>0</v>
      </c>
      <c r="C5" s="221">
        <f t="shared" ref="C5:C33" si="1">C4+D4</f>
        <v>0</v>
      </c>
      <c r="D5" s="223">
        <v>0</v>
      </c>
      <c r="E5" s="224">
        <f t="shared" si="0"/>
        <v>0</v>
      </c>
      <c r="G5" s="816">
        <v>0</v>
      </c>
      <c r="I5" s="223">
        <f t="shared" ref="I5:I33" si="2">D5</f>
        <v>0</v>
      </c>
    </row>
    <row r="6" spans="1:17" ht="15" customHeight="1">
      <c r="A6" s="2">
        <f t="shared" ref="A6:A33" si="3" xml:space="preserve"> ( ( A5 ) + ( 1 ) )</f>
        <v>3</v>
      </c>
      <c r="B6" s="21">
        <f>Vazões!K6</f>
        <v>0</v>
      </c>
      <c r="C6" s="221">
        <v>0</v>
      </c>
      <c r="D6" s="794">
        <v>95</v>
      </c>
      <c r="E6" s="224">
        <f t="shared" si="0"/>
        <v>95</v>
      </c>
      <c r="G6" s="816">
        <v>1</v>
      </c>
      <c r="I6" s="223">
        <f t="shared" si="2"/>
        <v>95</v>
      </c>
    </row>
    <row r="7" spans="1:17" ht="15" customHeight="1">
      <c r="A7" s="2">
        <f t="shared" si="3"/>
        <v>4</v>
      </c>
      <c r="B7" s="21">
        <f>Vazões!K7</f>
        <v>48.709263893456679</v>
      </c>
      <c r="C7" s="221">
        <f>C6+D6</f>
        <v>95</v>
      </c>
      <c r="D7" s="223">
        <v>0</v>
      </c>
      <c r="E7" s="224">
        <f t="shared" si="0"/>
        <v>46.290736106543321</v>
      </c>
      <c r="G7" s="816">
        <v>1</v>
      </c>
      <c r="I7" s="223">
        <f t="shared" si="2"/>
        <v>0</v>
      </c>
    </row>
    <row r="8" spans="1:17" ht="15" customHeight="1">
      <c r="A8" s="2">
        <f t="shared" si="3"/>
        <v>5</v>
      </c>
      <c r="B8" s="21">
        <f>Vazões!K8</f>
        <v>91.443543419690585</v>
      </c>
      <c r="C8" s="221">
        <f t="shared" si="1"/>
        <v>95</v>
      </c>
      <c r="D8" s="223">
        <v>0</v>
      </c>
      <c r="E8" s="224">
        <f t="shared" si="0"/>
        <v>3.5564565803094155</v>
      </c>
      <c r="G8" s="816">
        <v>1</v>
      </c>
      <c r="I8" s="223">
        <f t="shared" si="2"/>
        <v>0</v>
      </c>
    </row>
    <row r="9" spans="1:17" ht="15" customHeight="1">
      <c r="A9" s="2">
        <f t="shared" si="3"/>
        <v>6</v>
      </c>
      <c r="B9" s="21">
        <f>Vazões!K9</f>
        <v>134.76236394002171</v>
      </c>
      <c r="C9" s="221">
        <f t="shared" si="1"/>
        <v>95</v>
      </c>
      <c r="D9" s="794">
        <v>95</v>
      </c>
      <c r="E9" s="224">
        <f t="shared" si="0"/>
        <v>55.237636059978286</v>
      </c>
      <c r="G9" s="816">
        <v>1</v>
      </c>
      <c r="I9" s="223">
        <f t="shared" si="2"/>
        <v>95</v>
      </c>
    </row>
    <row r="10" spans="1:17" ht="15" customHeight="1">
      <c r="A10" s="2">
        <f t="shared" si="3"/>
        <v>7</v>
      </c>
      <c r="B10" s="21">
        <f>Vazões!K10</f>
        <v>161.32903371709733</v>
      </c>
      <c r="C10" s="221">
        <f t="shared" si="1"/>
        <v>190</v>
      </c>
      <c r="D10" s="223">
        <v>0</v>
      </c>
      <c r="E10" s="224">
        <f t="shared" si="0"/>
        <v>28.670966282902668</v>
      </c>
      <c r="G10" s="816">
        <v>1</v>
      </c>
      <c r="I10" s="223">
        <f t="shared" si="2"/>
        <v>0</v>
      </c>
    </row>
    <row r="11" spans="1:17" ht="15" customHeight="1">
      <c r="A11" s="2">
        <f t="shared" si="3"/>
        <v>8</v>
      </c>
      <c r="B11" s="21">
        <f>Vazões!K11</f>
        <v>188.35093275971101</v>
      </c>
      <c r="C11" s="221">
        <f t="shared" si="1"/>
        <v>190</v>
      </c>
      <c r="D11" s="223">
        <v>0</v>
      </c>
      <c r="E11" s="224">
        <f t="shared" si="0"/>
        <v>1.6490672402889857</v>
      </c>
      <c r="G11" s="816">
        <v>1</v>
      </c>
      <c r="I11" s="223">
        <f t="shared" si="2"/>
        <v>0</v>
      </c>
    </row>
    <row r="12" spans="1:17" ht="15" customHeight="1">
      <c r="A12" s="2">
        <f t="shared" si="3"/>
        <v>9</v>
      </c>
      <c r="B12" s="21">
        <f>Vazões!K12</f>
        <v>215.82801608645804</v>
      </c>
      <c r="C12" s="221">
        <f t="shared" si="1"/>
        <v>190</v>
      </c>
      <c r="D12" s="794">
        <v>95</v>
      </c>
      <c r="E12" s="224">
        <f t="shared" si="0"/>
        <v>69.171983913541965</v>
      </c>
      <c r="G12" s="816">
        <v>1</v>
      </c>
      <c r="I12" s="223">
        <f t="shared" si="2"/>
        <v>95</v>
      </c>
    </row>
    <row r="13" spans="1:17" ht="15" customHeight="1">
      <c r="A13" s="2">
        <f t="shared" si="3"/>
        <v>10</v>
      </c>
      <c r="B13" s="21">
        <f>Vazões!K13</f>
        <v>218.38526089680244</v>
      </c>
      <c r="C13" s="221">
        <f t="shared" si="1"/>
        <v>285</v>
      </c>
      <c r="D13" s="223">
        <v>0</v>
      </c>
      <c r="E13" s="224">
        <f>C13-B13+D13</f>
        <v>66.614739103197564</v>
      </c>
      <c r="G13" s="816">
        <v>1</v>
      </c>
      <c r="I13" s="223">
        <f t="shared" si="2"/>
        <v>0</v>
      </c>
    </row>
    <row r="14" spans="1:17" ht="15" customHeight="1">
      <c r="A14" s="2">
        <f t="shared" si="3"/>
        <v>11</v>
      </c>
      <c r="B14" s="21">
        <f>Vazões!K14</f>
        <v>220.94295102353007</v>
      </c>
      <c r="C14" s="221">
        <f t="shared" si="1"/>
        <v>285</v>
      </c>
      <c r="D14" s="223">
        <v>0</v>
      </c>
      <c r="E14" s="224">
        <f t="shared" ref="E14:E33" si="4">C14-B14+D14</f>
        <v>64.057048976469929</v>
      </c>
      <c r="G14" s="816">
        <v>1</v>
      </c>
      <c r="I14" s="223">
        <f t="shared" si="2"/>
        <v>0</v>
      </c>
    </row>
    <row r="15" spans="1:17" ht="15" customHeight="1">
      <c r="A15" s="2">
        <f t="shared" si="3"/>
        <v>12</v>
      </c>
      <c r="B15" s="21">
        <f>Vazões!K15</f>
        <v>223.50064115036537</v>
      </c>
      <c r="C15" s="221">
        <f t="shared" si="1"/>
        <v>285</v>
      </c>
      <c r="D15" s="223">
        <v>0</v>
      </c>
      <c r="E15" s="224">
        <f t="shared" si="4"/>
        <v>61.499358849634632</v>
      </c>
      <c r="G15" s="816">
        <v>1</v>
      </c>
      <c r="I15" s="223">
        <f t="shared" si="2"/>
        <v>0</v>
      </c>
    </row>
    <row r="16" spans="1:17" ht="15" customHeight="1">
      <c r="A16" s="2">
        <f t="shared" si="3"/>
        <v>13</v>
      </c>
      <c r="B16" s="21">
        <f>Vazões!K16</f>
        <v>226.0578859610325</v>
      </c>
      <c r="C16" s="221">
        <f t="shared" si="1"/>
        <v>285</v>
      </c>
      <c r="D16" s="223">
        <v>0</v>
      </c>
      <c r="E16" s="224">
        <f t="shared" si="4"/>
        <v>58.942114038967503</v>
      </c>
      <c r="G16" s="816">
        <v>1</v>
      </c>
      <c r="I16" s="223">
        <f t="shared" si="2"/>
        <v>0</v>
      </c>
    </row>
    <row r="17" spans="1:9" ht="15" customHeight="1">
      <c r="A17" s="2">
        <f t="shared" si="3"/>
        <v>14</v>
      </c>
      <c r="B17" s="21">
        <f>Vazões!K17</f>
        <v>228.61557608807138</v>
      </c>
      <c r="C17" s="221">
        <f t="shared" si="1"/>
        <v>285</v>
      </c>
      <c r="D17" s="223">
        <v>0</v>
      </c>
      <c r="E17" s="224">
        <f t="shared" si="4"/>
        <v>56.384423911928621</v>
      </c>
      <c r="G17" s="816">
        <v>1</v>
      </c>
      <c r="I17" s="223">
        <f t="shared" si="2"/>
        <v>0</v>
      </c>
    </row>
    <row r="18" spans="1:9" ht="15" customHeight="1">
      <c r="A18" s="2">
        <f t="shared" si="3"/>
        <v>15</v>
      </c>
      <c r="B18" s="21">
        <f>Vazões!K18</f>
        <v>231.17470020990717</v>
      </c>
      <c r="C18" s="221">
        <f t="shared" si="1"/>
        <v>285</v>
      </c>
      <c r="D18" s="223">
        <v>0</v>
      </c>
      <c r="E18" s="224">
        <f t="shared" si="4"/>
        <v>53.825299790092828</v>
      </c>
      <c r="G18" s="816">
        <v>1</v>
      </c>
      <c r="I18" s="223">
        <f t="shared" si="2"/>
        <v>0</v>
      </c>
    </row>
    <row r="19" spans="1:9" ht="15" customHeight="1">
      <c r="A19" s="2">
        <f t="shared" si="3"/>
        <v>16</v>
      </c>
      <c r="B19" s="21">
        <f>Vazões!K19</f>
        <v>233.73239033722348</v>
      </c>
      <c r="C19" s="221">
        <f t="shared" si="1"/>
        <v>285</v>
      </c>
      <c r="D19" s="223">
        <v>0</v>
      </c>
      <c r="E19" s="224">
        <f t="shared" si="4"/>
        <v>51.267609662776522</v>
      </c>
      <c r="G19" s="816">
        <v>1</v>
      </c>
      <c r="I19" s="223">
        <f t="shared" si="2"/>
        <v>0</v>
      </c>
    </row>
    <row r="20" spans="1:9" ht="15" customHeight="1">
      <c r="A20" s="2">
        <f t="shared" si="3"/>
        <v>17</v>
      </c>
      <c r="B20" s="21">
        <f>Vazões!K20</f>
        <v>236.29008046462775</v>
      </c>
      <c r="C20" s="221">
        <f t="shared" si="1"/>
        <v>285</v>
      </c>
      <c r="D20" s="223">
        <v>0</v>
      </c>
      <c r="E20" s="224">
        <f t="shared" si="4"/>
        <v>48.709919535372251</v>
      </c>
      <c r="G20" s="816">
        <v>1</v>
      </c>
      <c r="I20" s="223">
        <f t="shared" si="2"/>
        <v>0</v>
      </c>
    </row>
    <row r="21" spans="1:9" ht="15" customHeight="1">
      <c r="A21" s="2">
        <f t="shared" si="3"/>
        <v>18</v>
      </c>
      <c r="B21" s="21">
        <f>Vazões!K21</f>
        <v>238.86628740644707</v>
      </c>
      <c r="C21" s="221">
        <f t="shared" si="1"/>
        <v>285</v>
      </c>
      <c r="D21" s="223">
        <v>0</v>
      </c>
      <c r="E21" s="224">
        <f t="shared" si="4"/>
        <v>46.133712593552929</v>
      </c>
      <c r="G21" s="816">
        <v>1</v>
      </c>
      <c r="I21" s="223">
        <f t="shared" si="2"/>
        <v>0</v>
      </c>
    </row>
    <row r="22" spans="1:9" s="18" customFormat="1" ht="15" customHeight="1">
      <c r="A22" s="2">
        <f t="shared" si="3"/>
        <v>19</v>
      </c>
      <c r="B22" s="21">
        <f>Vazões!K22</f>
        <v>241.47184171297712</v>
      </c>
      <c r="C22" s="221">
        <f t="shared" si="1"/>
        <v>285</v>
      </c>
      <c r="D22" s="223">
        <v>0</v>
      </c>
      <c r="E22" s="224">
        <f t="shared" si="4"/>
        <v>43.528158287022876</v>
      </c>
      <c r="G22" s="816">
        <v>1</v>
      </c>
      <c r="I22" s="223">
        <f t="shared" si="2"/>
        <v>0</v>
      </c>
    </row>
    <row r="23" spans="1:9" ht="15" customHeight="1">
      <c r="A23" s="2">
        <f t="shared" si="3"/>
        <v>20</v>
      </c>
      <c r="B23" s="21">
        <f>Vazões!K23</f>
        <v>244.1076340162287</v>
      </c>
      <c r="C23" s="221">
        <f t="shared" si="1"/>
        <v>285</v>
      </c>
      <c r="D23" s="223">
        <v>0</v>
      </c>
      <c r="E23" s="224">
        <f t="shared" si="4"/>
        <v>40.892365983771299</v>
      </c>
      <c r="G23" s="816">
        <v>1</v>
      </c>
      <c r="I23" s="223">
        <f t="shared" si="2"/>
        <v>0</v>
      </c>
    </row>
    <row r="24" spans="1:9" ht="15" customHeight="1">
      <c r="A24" s="2">
        <f t="shared" si="3"/>
        <v>21</v>
      </c>
      <c r="B24" s="21">
        <f>Vazões!K24</f>
        <v>246.77465299531949</v>
      </c>
      <c r="C24" s="221">
        <f t="shared" si="1"/>
        <v>285</v>
      </c>
      <c r="D24" s="223">
        <v>0</v>
      </c>
      <c r="E24" s="224">
        <f t="shared" si="4"/>
        <v>38.225347004680515</v>
      </c>
      <c r="G24" s="816">
        <v>1</v>
      </c>
      <c r="I24" s="223">
        <f t="shared" si="2"/>
        <v>0</v>
      </c>
    </row>
    <row r="25" spans="1:9" ht="15" customHeight="1">
      <c r="A25" s="2">
        <f t="shared" si="3"/>
        <v>22</v>
      </c>
      <c r="B25" s="21">
        <f>Vazões!K25</f>
        <v>249.47154686948033</v>
      </c>
      <c r="C25" s="221">
        <f t="shared" si="1"/>
        <v>285</v>
      </c>
      <c r="D25" s="223">
        <v>0</v>
      </c>
      <c r="E25" s="224">
        <f t="shared" si="4"/>
        <v>35.528453130519665</v>
      </c>
      <c r="G25" s="816">
        <v>1</v>
      </c>
      <c r="I25" s="223">
        <f t="shared" si="2"/>
        <v>0</v>
      </c>
    </row>
    <row r="26" spans="1:9" s="18" customFormat="1" ht="15" customHeight="1">
      <c r="A26" s="2">
        <f t="shared" si="3"/>
        <v>23</v>
      </c>
      <c r="B26" s="21">
        <f>Vazões!K26</f>
        <v>252.19966741787886</v>
      </c>
      <c r="C26" s="221">
        <f t="shared" si="1"/>
        <v>285</v>
      </c>
      <c r="D26" s="223">
        <v>0</v>
      </c>
      <c r="E26" s="224">
        <f t="shared" si="4"/>
        <v>32.800332582121143</v>
      </c>
      <c r="G26" s="816">
        <v>1</v>
      </c>
      <c r="I26" s="223">
        <f t="shared" si="2"/>
        <v>0</v>
      </c>
    </row>
    <row r="27" spans="1:9" s="18" customFormat="1" ht="15" customHeight="1">
      <c r="A27" s="2">
        <f t="shared" si="3"/>
        <v>24</v>
      </c>
      <c r="B27" s="21">
        <f>Vazões!K27</f>
        <v>254.9617845870801</v>
      </c>
      <c r="C27" s="221">
        <f t="shared" si="1"/>
        <v>285</v>
      </c>
      <c r="D27" s="223">
        <v>0</v>
      </c>
      <c r="E27" s="224">
        <f t="shared" si="4"/>
        <v>30.038215412919897</v>
      </c>
      <c r="G27" s="816">
        <v>1</v>
      </c>
      <c r="I27" s="223">
        <f t="shared" si="2"/>
        <v>0</v>
      </c>
    </row>
    <row r="28" spans="1:9" ht="15" customHeight="1">
      <c r="A28" s="2">
        <f t="shared" si="3"/>
        <v>25</v>
      </c>
      <c r="B28" s="21">
        <f>Vazões!K28</f>
        <v>257.75656243442381</v>
      </c>
      <c r="C28" s="221">
        <f t="shared" si="1"/>
        <v>285</v>
      </c>
      <c r="D28" s="223">
        <v>0</v>
      </c>
      <c r="E28" s="224">
        <f t="shared" si="4"/>
        <v>27.243437565576187</v>
      </c>
      <c r="G28" s="816">
        <v>1</v>
      </c>
      <c r="I28" s="223">
        <f t="shared" si="2"/>
        <v>0</v>
      </c>
    </row>
    <row r="29" spans="1:9" ht="15" customHeight="1">
      <c r="A29" s="2">
        <f t="shared" si="3"/>
        <v>26</v>
      </c>
      <c r="B29" s="21">
        <f>Vazões!K29</f>
        <v>260.57986797128848</v>
      </c>
      <c r="C29" s="221">
        <f t="shared" si="1"/>
        <v>285</v>
      </c>
      <c r="D29" s="223">
        <v>0</v>
      </c>
      <c r="E29" s="224">
        <f t="shared" si="4"/>
        <v>24.420132028711521</v>
      </c>
      <c r="G29" s="816">
        <v>1</v>
      </c>
      <c r="I29" s="223">
        <f t="shared" si="2"/>
        <v>0</v>
      </c>
    </row>
    <row r="30" spans="1:9" ht="15" customHeight="1">
      <c r="A30" s="2">
        <f t="shared" si="3"/>
        <v>27</v>
      </c>
      <c r="B30" s="21">
        <f>Vazões!K30</f>
        <v>263.43627950070999</v>
      </c>
      <c r="C30" s="221">
        <f t="shared" si="1"/>
        <v>285</v>
      </c>
      <c r="D30" s="223">
        <v>0</v>
      </c>
      <c r="E30" s="224">
        <f t="shared" si="4"/>
        <v>21.563720499290014</v>
      </c>
      <c r="G30" s="816">
        <v>1</v>
      </c>
      <c r="I30" s="223">
        <f t="shared" si="2"/>
        <v>0</v>
      </c>
    </row>
    <row r="31" spans="1:9" ht="15" customHeight="1">
      <c r="A31" s="2">
        <f t="shared" si="3"/>
        <v>28</v>
      </c>
      <c r="B31" s="21">
        <f>Vazões!K31</f>
        <v>266.32624234033869</v>
      </c>
      <c r="C31" s="221">
        <f t="shared" si="1"/>
        <v>285</v>
      </c>
      <c r="D31" s="223">
        <v>0</v>
      </c>
      <c r="E31" s="224">
        <f t="shared" si="4"/>
        <v>18.673757659661305</v>
      </c>
      <c r="G31" s="816">
        <v>1</v>
      </c>
      <c r="I31" s="223">
        <f t="shared" si="2"/>
        <v>0</v>
      </c>
    </row>
    <row r="32" spans="1:9" ht="15" customHeight="1">
      <c r="A32" s="2">
        <f t="shared" si="3"/>
        <v>29</v>
      </c>
      <c r="B32" s="21">
        <f>Vazões!K32</f>
        <v>269.24804617488189</v>
      </c>
      <c r="C32" s="221">
        <f t="shared" si="1"/>
        <v>285</v>
      </c>
      <c r="D32" s="223">
        <v>0</v>
      </c>
      <c r="E32" s="224">
        <f t="shared" si="4"/>
        <v>15.751953825118107</v>
      </c>
      <c r="G32" s="816">
        <v>1</v>
      </c>
      <c r="I32" s="223">
        <f t="shared" si="2"/>
        <v>0</v>
      </c>
    </row>
    <row r="33" spans="1:9" ht="15" customHeight="1">
      <c r="A33" s="2">
        <f t="shared" si="3"/>
        <v>30</v>
      </c>
      <c r="B33" s="21">
        <f>Vazões!K33</f>
        <v>272.20650072772145</v>
      </c>
      <c r="C33" s="221">
        <f t="shared" si="1"/>
        <v>285</v>
      </c>
      <c r="D33" s="223">
        <v>0</v>
      </c>
      <c r="E33" s="224">
        <f t="shared" si="4"/>
        <v>12.793499272278552</v>
      </c>
      <c r="G33" s="816">
        <v>1</v>
      </c>
      <c r="I33" s="223">
        <f t="shared" si="2"/>
        <v>0</v>
      </c>
    </row>
    <row r="36" spans="1:9" ht="30.45" customHeight="1">
      <c r="A36" s="967" t="s">
        <v>957</v>
      </c>
      <c r="B36" s="967"/>
      <c r="C36" s="967"/>
      <c r="D36" s="967"/>
      <c r="E36" s="967"/>
      <c r="F36" s="13"/>
      <c r="G36" s="13"/>
    </row>
    <row r="37" spans="1:9" ht="15" customHeight="1">
      <c r="A37" s="14"/>
      <c r="B37" s="14"/>
      <c r="C37" s="15"/>
      <c r="D37" s="15"/>
      <c r="E37" s="15"/>
      <c r="F37" s="15"/>
      <c r="G37" s="15"/>
    </row>
    <row r="38" spans="1:9" ht="37.799999999999997" customHeight="1">
      <c r="A38" s="279" t="s">
        <v>1</v>
      </c>
      <c r="B38" s="280" t="s">
        <v>416</v>
      </c>
      <c r="C38" s="281" t="s">
        <v>418</v>
      </c>
      <c r="D38" s="282" t="s">
        <v>419</v>
      </c>
      <c r="E38" s="282" t="s">
        <v>413</v>
      </c>
      <c r="F38" s="18"/>
      <c r="G38" s="365" t="s">
        <v>577</v>
      </c>
      <c r="I38" s="282" t="s">
        <v>419</v>
      </c>
    </row>
    <row r="39" spans="1:9" ht="15" customHeight="1">
      <c r="A39" s="2">
        <v>1</v>
      </c>
      <c r="B39" s="21">
        <f>Vazões!N4</f>
        <v>0</v>
      </c>
      <c r="C39" s="221">
        <v>0</v>
      </c>
      <c r="D39" s="223">
        <v>0</v>
      </c>
      <c r="E39" s="224">
        <f t="shared" ref="E39:E47" si="5">C39-B39+D39</f>
        <v>0</v>
      </c>
      <c r="G39" s="364">
        <v>0</v>
      </c>
      <c r="I39" s="223">
        <v>0</v>
      </c>
    </row>
    <row r="40" spans="1:9" ht="15" customHeight="1">
      <c r="A40" s="2">
        <f xml:space="preserve"> ( ( A39 ) + ( 1 ) )</f>
        <v>2</v>
      </c>
      <c r="B40" s="21">
        <f>Vazões!N5</f>
        <v>0</v>
      </c>
      <c r="C40" s="221">
        <f t="shared" ref="C40" si="6">C39+D39</f>
        <v>0</v>
      </c>
      <c r="D40" s="223">
        <v>0</v>
      </c>
      <c r="E40" s="224">
        <f t="shared" si="5"/>
        <v>0</v>
      </c>
      <c r="G40" s="364">
        <v>0</v>
      </c>
      <c r="I40" s="223">
        <v>0</v>
      </c>
    </row>
    <row r="41" spans="1:9" ht="15" customHeight="1">
      <c r="A41" s="2">
        <f t="shared" ref="A41:A68" si="7" xml:space="preserve"> ( ( A40 ) + ( 1 ) )</f>
        <v>3</v>
      </c>
      <c r="B41" s="21">
        <f>Vazões!N6</f>
        <v>0</v>
      </c>
      <c r="C41" s="221">
        <v>0</v>
      </c>
      <c r="D41" s="223">
        <v>2</v>
      </c>
      <c r="E41" s="224">
        <f t="shared" si="5"/>
        <v>2</v>
      </c>
      <c r="G41" s="364">
        <v>1</v>
      </c>
      <c r="I41" s="223">
        <v>2</v>
      </c>
    </row>
    <row r="42" spans="1:9" ht="15" customHeight="1">
      <c r="A42" s="2">
        <f t="shared" si="7"/>
        <v>4</v>
      </c>
      <c r="B42" s="21">
        <f>Vazões!N7</f>
        <v>0.28516398017899047</v>
      </c>
      <c r="C42" s="221">
        <v>2</v>
      </c>
      <c r="D42" s="223">
        <v>0</v>
      </c>
      <c r="E42" s="224">
        <f t="shared" si="5"/>
        <v>1.7148360198210095</v>
      </c>
      <c r="G42" s="364">
        <f>COUNTIF(D42,"&lt;&gt;0")+(G41)</f>
        <v>1</v>
      </c>
      <c r="I42" s="223">
        <v>0</v>
      </c>
    </row>
    <row r="43" spans="1:9" ht="15" customHeight="1">
      <c r="A43" s="2">
        <f t="shared" si="7"/>
        <v>5</v>
      </c>
      <c r="B43" s="21">
        <f>Vazões!N8</f>
        <v>0.48025850487636568</v>
      </c>
      <c r="C43" s="221">
        <f t="shared" ref="C43:C68" si="8">C42+D42</f>
        <v>2</v>
      </c>
      <c r="D43" s="223">
        <v>0</v>
      </c>
      <c r="E43" s="224">
        <f t="shared" si="5"/>
        <v>1.5197414951236343</v>
      </c>
      <c r="G43" s="364">
        <f>COUNTIF(D43,"&lt;&gt;0")+(G42)</f>
        <v>1</v>
      </c>
      <c r="I43" s="223">
        <v>0</v>
      </c>
    </row>
    <row r="44" spans="1:9" ht="15" customHeight="1">
      <c r="A44" s="2">
        <f t="shared" si="7"/>
        <v>6</v>
      </c>
      <c r="B44" s="21">
        <f>Vazões!N9</f>
        <v>0.67679281561858529</v>
      </c>
      <c r="C44" s="221">
        <f t="shared" si="8"/>
        <v>2</v>
      </c>
      <c r="D44" s="223">
        <v>0</v>
      </c>
      <c r="E44" s="224">
        <f t="shared" si="5"/>
        <v>1.3232071843814146</v>
      </c>
      <c r="G44" s="364">
        <f>COUNTIF(D44,"&lt;&gt;0")+(G43)</f>
        <v>1</v>
      </c>
      <c r="I44" s="223">
        <v>0</v>
      </c>
    </row>
    <row r="45" spans="1:9" ht="15" customHeight="1">
      <c r="A45" s="2">
        <f t="shared" si="7"/>
        <v>7</v>
      </c>
      <c r="B45" s="21">
        <f>Vazões!N10</f>
        <v>0.82526399750573365</v>
      </c>
      <c r="C45" s="221">
        <f t="shared" si="8"/>
        <v>2</v>
      </c>
      <c r="D45" s="223">
        <v>0</v>
      </c>
      <c r="E45" s="224">
        <f t="shared" si="5"/>
        <v>1.1747360024942664</v>
      </c>
      <c r="G45" s="364">
        <f>COUNTIF(D45,"&lt;&gt;0")+(G44)</f>
        <v>1</v>
      </c>
      <c r="I45" s="223">
        <v>0</v>
      </c>
    </row>
    <row r="46" spans="1:9" ht="15" customHeight="1">
      <c r="A46" s="2">
        <f t="shared" si="7"/>
        <v>8</v>
      </c>
      <c r="B46" s="21">
        <f>Vazões!N11</f>
        <v>0.97493681114632125</v>
      </c>
      <c r="C46" s="221">
        <f t="shared" si="8"/>
        <v>2</v>
      </c>
      <c r="D46" s="223">
        <v>0</v>
      </c>
      <c r="E46" s="224">
        <f t="shared" si="5"/>
        <v>1.0250631888536788</v>
      </c>
      <c r="G46" s="364">
        <v>1</v>
      </c>
      <c r="I46" s="223">
        <v>0</v>
      </c>
    </row>
    <row r="47" spans="1:9" ht="15" customHeight="1">
      <c r="A47" s="2">
        <f t="shared" si="7"/>
        <v>9</v>
      </c>
      <c r="B47" s="21">
        <f>Vazões!N12</f>
        <v>1.1258112563996716</v>
      </c>
      <c r="C47" s="221">
        <f t="shared" si="8"/>
        <v>2</v>
      </c>
      <c r="D47" s="223">
        <v>0</v>
      </c>
      <c r="E47" s="224">
        <f t="shared" si="5"/>
        <v>0.87418874360032839</v>
      </c>
      <c r="G47" s="364">
        <v>1</v>
      </c>
      <c r="I47" s="223">
        <v>0</v>
      </c>
    </row>
    <row r="48" spans="1:9" ht="15" customHeight="1">
      <c r="A48" s="2">
        <f t="shared" si="7"/>
        <v>10</v>
      </c>
      <c r="B48" s="21">
        <f>Vazões!N13</f>
        <v>1.1318185998188799</v>
      </c>
      <c r="C48" s="221">
        <f t="shared" si="8"/>
        <v>2</v>
      </c>
      <c r="D48" s="223">
        <v>0</v>
      </c>
      <c r="E48" s="224">
        <f>C48-B48+D48</f>
        <v>0.86818140018112011</v>
      </c>
      <c r="G48" s="364">
        <v>1</v>
      </c>
      <c r="I48" s="223">
        <v>0</v>
      </c>
    </row>
    <row r="49" spans="1:9" ht="15" customHeight="1">
      <c r="A49" s="2">
        <f t="shared" si="7"/>
        <v>11</v>
      </c>
      <c r="B49" s="21">
        <f>Vazões!N14</f>
        <v>1.138025942813442</v>
      </c>
      <c r="C49" s="221">
        <f t="shared" si="8"/>
        <v>2</v>
      </c>
      <c r="D49" s="223">
        <v>0</v>
      </c>
      <c r="E49" s="224">
        <f t="shared" ref="E49:E68" si="9">C49-B49+D49</f>
        <v>0.86197405718655795</v>
      </c>
      <c r="G49" s="364">
        <v>1</v>
      </c>
      <c r="I49" s="223">
        <v>0</v>
      </c>
    </row>
    <row r="50" spans="1:9" ht="15" customHeight="1">
      <c r="A50" s="2">
        <f t="shared" si="7"/>
        <v>12</v>
      </c>
      <c r="B50" s="21">
        <f>Vazões!N15</f>
        <v>1.1440332853987805</v>
      </c>
      <c r="C50" s="221">
        <f t="shared" si="8"/>
        <v>2</v>
      </c>
      <c r="D50" s="223">
        <v>0</v>
      </c>
      <c r="E50" s="224">
        <f t="shared" si="9"/>
        <v>0.85596671460121954</v>
      </c>
      <c r="G50" s="364">
        <v>1</v>
      </c>
      <c r="I50" s="223">
        <v>0</v>
      </c>
    </row>
    <row r="51" spans="1:9" ht="15" customHeight="1">
      <c r="A51" s="2">
        <f t="shared" si="7"/>
        <v>13</v>
      </c>
      <c r="B51" s="21">
        <f>Vazões!N16</f>
        <v>1.1502406275895787</v>
      </c>
      <c r="C51" s="221">
        <f t="shared" si="8"/>
        <v>2</v>
      </c>
      <c r="D51" s="223">
        <v>0</v>
      </c>
      <c r="E51" s="224">
        <f t="shared" si="9"/>
        <v>0.84975937241042132</v>
      </c>
      <c r="G51" s="364">
        <v>1</v>
      </c>
      <c r="I51" s="223">
        <v>0</v>
      </c>
    </row>
    <row r="52" spans="1:9" ht="15" customHeight="1">
      <c r="A52" s="2">
        <f t="shared" si="7"/>
        <v>14</v>
      </c>
      <c r="B52" s="21">
        <f>Vazões!N17</f>
        <v>1.1562479693998267</v>
      </c>
      <c r="C52" s="221">
        <f t="shared" si="8"/>
        <v>2</v>
      </c>
      <c r="D52" s="223">
        <v>0</v>
      </c>
      <c r="E52" s="224">
        <f t="shared" si="9"/>
        <v>0.84375203060017334</v>
      </c>
      <c r="G52" s="364">
        <v>1</v>
      </c>
      <c r="I52" s="223">
        <v>0</v>
      </c>
    </row>
    <row r="53" spans="1:9" ht="15" customHeight="1">
      <c r="A53" s="2">
        <f t="shared" si="7"/>
        <v>15</v>
      </c>
      <c r="B53" s="21">
        <f>Vazões!N18</f>
        <v>1.1624555507827372</v>
      </c>
      <c r="C53" s="221">
        <f t="shared" si="8"/>
        <v>2</v>
      </c>
      <c r="D53" s="223">
        <v>0</v>
      </c>
      <c r="E53" s="224">
        <f t="shared" si="9"/>
        <v>0.83754444921726279</v>
      </c>
      <c r="G53" s="364">
        <v>1</v>
      </c>
      <c r="I53" s="223">
        <v>0</v>
      </c>
    </row>
    <row r="54" spans="1:9" ht="15" customHeight="1">
      <c r="A54" s="2">
        <f t="shared" si="7"/>
        <v>16</v>
      </c>
      <c r="B54" s="21">
        <f>Vazões!N19</f>
        <v>1.168462891677172</v>
      </c>
      <c r="C54" s="221">
        <f t="shared" si="8"/>
        <v>2</v>
      </c>
      <c r="D54" s="223">
        <v>0</v>
      </c>
      <c r="E54" s="224">
        <f t="shared" si="9"/>
        <v>0.83153710832282801</v>
      </c>
      <c r="G54" s="364">
        <v>1</v>
      </c>
      <c r="I54" s="223">
        <v>0</v>
      </c>
    </row>
    <row r="55" spans="1:9" ht="15" customHeight="1">
      <c r="A55" s="2">
        <f t="shared" si="7"/>
        <v>17</v>
      </c>
      <c r="B55" s="21">
        <f>Vazões!N20</f>
        <v>1.1746702322336859</v>
      </c>
      <c r="C55" s="221">
        <f t="shared" si="8"/>
        <v>2</v>
      </c>
      <c r="D55" s="223">
        <v>0</v>
      </c>
      <c r="E55" s="224">
        <f t="shared" si="9"/>
        <v>0.82532976776631406</v>
      </c>
      <c r="G55" s="364">
        <v>1</v>
      </c>
      <c r="I55" s="223">
        <v>0</v>
      </c>
    </row>
    <row r="56" spans="1:9" ht="15" customHeight="1">
      <c r="A56" s="2">
        <f t="shared" si="7"/>
        <v>18</v>
      </c>
      <c r="B56" s="21">
        <f>Vazões!N21</f>
        <v>1.1806765224916747</v>
      </c>
      <c r="C56" s="221">
        <f t="shared" si="8"/>
        <v>2</v>
      </c>
      <c r="D56" s="223">
        <v>0</v>
      </c>
      <c r="E56" s="224">
        <f t="shared" si="9"/>
        <v>0.81932347750832535</v>
      </c>
      <c r="G56" s="364">
        <v>1</v>
      </c>
      <c r="I56" s="223">
        <v>0</v>
      </c>
    </row>
    <row r="57" spans="1:9" ht="15" customHeight="1">
      <c r="A57" s="2">
        <f t="shared" si="7"/>
        <v>19</v>
      </c>
      <c r="B57" s="21">
        <f>Vazões!N22</f>
        <v>1.1866832001402194</v>
      </c>
      <c r="C57" s="221">
        <f t="shared" si="8"/>
        <v>2</v>
      </c>
      <c r="D57" s="223">
        <v>0</v>
      </c>
      <c r="E57" s="224">
        <f t="shared" si="9"/>
        <v>0.81331679985978056</v>
      </c>
      <c r="F57" s="18"/>
      <c r="G57" s="364">
        <v>1</v>
      </c>
      <c r="I57" s="223">
        <v>0</v>
      </c>
    </row>
    <row r="58" spans="1:9" ht="15" customHeight="1">
      <c r="A58" s="2">
        <f t="shared" si="7"/>
        <v>20</v>
      </c>
      <c r="B58" s="21">
        <f>Vazões!N23</f>
        <v>1.192890264206266</v>
      </c>
      <c r="C58" s="221">
        <f t="shared" si="8"/>
        <v>2</v>
      </c>
      <c r="D58" s="223">
        <v>0</v>
      </c>
      <c r="E58" s="224">
        <f t="shared" si="9"/>
        <v>0.80710973579373402</v>
      </c>
      <c r="G58" s="364">
        <v>1</v>
      </c>
      <c r="I58" s="223">
        <v>0</v>
      </c>
    </row>
    <row r="59" spans="1:9" ht="15" customHeight="1">
      <c r="A59" s="2">
        <f t="shared" si="7"/>
        <v>21</v>
      </c>
      <c r="B59" s="21">
        <f>Vazões!N24</f>
        <v>1.1988979520615679</v>
      </c>
      <c r="C59" s="221">
        <f t="shared" si="8"/>
        <v>2</v>
      </c>
      <c r="D59" s="223">
        <v>0</v>
      </c>
      <c r="E59" s="224">
        <f t="shared" si="9"/>
        <v>0.80110204793843209</v>
      </c>
      <c r="G59" s="364">
        <v>1</v>
      </c>
      <c r="I59" s="223">
        <v>0</v>
      </c>
    </row>
    <row r="60" spans="1:9" ht="15" customHeight="1">
      <c r="A60" s="2">
        <f t="shared" si="7"/>
        <v>22</v>
      </c>
      <c r="B60" s="21">
        <f>Vazões!N25</f>
        <v>1.2066580448134203</v>
      </c>
      <c r="C60" s="221">
        <f t="shared" si="8"/>
        <v>2</v>
      </c>
      <c r="D60" s="223">
        <v>0</v>
      </c>
      <c r="E60" s="224">
        <f t="shared" si="9"/>
        <v>0.79334195518657968</v>
      </c>
      <c r="G60" s="364">
        <v>1</v>
      </c>
      <c r="I60" s="223">
        <v>0</v>
      </c>
    </row>
    <row r="61" spans="1:9" ht="15" customHeight="1">
      <c r="A61" s="2">
        <f t="shared" si="7"/>
        <v>23</v>
      </c>
      <c r="B61" s="21">
        <f>Vazões!N26</f>
        <v>1.2142187651893179</v>
      </c>
      <c r="C61" s="221">
        <f t="shared" si="8"/>
        <v>2</v>
      </c>
      <c r="D61" s="223">
        <v>0</v>
      </c>
      <c r="E61" s="224">
        <f t="shared" si="9"/>
        <v>0.78578123481068207</v>
      </c>
      <c r="F61" s="18"/>
      <c r="G61" s="364">
        <v>1</v>
      </c>
      <c r="I61" s="223">
        <v>0</v>
      </c>
    </row>
    <row r="62" spans="1:9" ht="15" customHeight="1">
      <c r="A62" s="2">
        <f t="shared" si="7"/>
        <v>24</v>
      </c>
      <c r="B62" s="21">
        <f>Vazões!N27</f>
        <v>1.2217803537182681</v>
      </c>
      <c r="C62" s="221">
        <f t="shared" si="8"/>
        <v>2</v>
      </c>
      <c r="D62" s="223">
        <v>0</v>
      </c>
      <c r="E62" s="224">
        <f t="shared" si="9"/>
        <v>0.7782196462817319</v>
      </c>
      <c r="F62" s="18"/>
      <c r="G62" s="364">
        <v>1</v>
      </c>
      <c r="I62" s="223">
        <v>0</v>
      </c>
    </row>
    <row r="63" spans="1:9" ht="15" customHeight="1">
      <c r="A63" s="2">
        <f t="shared" si="7"/>
        <v>25</v>
      </c>
      <c r="B63" s="21">
        <f>Vazões!N28</f>
        <v>1.2295428115658797</v>
      </c>
      <c r="C63" s="221">
        <f t="shared" si="8"/>
        <v>2</v>
      </c>
      <c r="D63" s="223">
        <v>0</v>
      </c>
      <c r="E63" s="224">
        <f t="shared" si="9"/>
        <v>0.77045718843412025</v>
      </c>
      <c r="G63" s="364">
        <v>1</v>
      </c>
      <c r="I63" s="223">
        <v>0</v>
      </c>
    </row>
    <row r="64" spans="1:9" ht="15" customHeight="1">
      <c r="A64" s="2">
        <f t="shared" si="7"/>
        <v>26</v>
      </c>
      <c r="B64" s="21">
        <f>Vazões!N29</f>
        <v>1.2371019717828</v>
      </c>
      <c r="C64" s="221">
        <f t="shared" si="8"/>
        <v>2</v>
      </c>
      <c r="D64" s="223">
        <v>0</v>
      </c>
      <c r="E64" s="224">
        <f t="shared" si="9"/>
        <v>0.76289802821719999</v>
      </c>
      <c r="G64" s="364">
        <v>1</v>
      </c>
      <c r="I64" s="223">
        <v>0</v>
      </c>
    </row>
    <row r="65" spans="1:9" ht="15" customHeight="1">
      <c r="A65" s="2">
        <f t="shared" si="7"/>
        <v>27</v>
      </c>
      <c r="B65" s="21">
        <f>Vazões!N30</f>
        <v>1.2446619975284428</v>
      </c>
      <c r="C65" s="221">
        <f t="shared" si="8"/>
        <v>2</v>
      </c>
      <c r="D65" s="223">
        <v>0</v>
      </c>
      <c r="E65" s="224">
        <f t="shared" si="9"/>
        <v>0.75533800247155725</v>
      </c>
      <c r="G65" s="364">
        <v>1</v>
      </c>
      <c r="I65" s="223">
        <v>0</v>
      </c>
    </row>
    <row r="66" spans="1:9" ht="15" customHeight="1">
      <c r="A66" s="2">
        <f t="shared" si="7"/>
        <v>28</v>
      </c>
      <c r="B66" s="21">
        <f>Vazões!N31</f>
        <v>1.2524228896345924</v>
      </c>
      <c r="C66" s="221">
        <f t="shared" si="8"/>
        <v>2</v>
      </c>
      <c r="D66" s="223">
        <v>0</v>
      </c>
      <c r="E66" s="224">
        <f t="shared" si="9"/>
        <v>0.74757711036540764</v>
      </c>
      <c r="G66" s="364">
        <v>1</v>
      </c>
      <c r="I66" s="223">
        <v>0</v>
      </c>
    </row>
    <row r="67" spans="1:9" ht="15" customHeight="1">
      <c r="A67" s="2">
        <f t="shared" si="7"/>
        <v>29</v>
      </c>
      <c r="B67" s="21">
        <f>Vazões!N32</f>
        <v>1.2599809562691544</v>
      </c>
      <c r="C67" s="221">
        <f t="shared" si="8"/>
        <v>2</v>
      </c>
      <c r="D67" s="223">
        <v>0</v>
      </c>
      <c r="E67" s="224">
        <f t="shared" si="9"/>
        <v>0.74001904373084559</v>
      </c>
      <c r="G67" s="364">
        <v>1</v>
      </c>
      <c r="I67" s="223">
        <v>0</v>
      </c>
    </row>
    <row r="68" spans="1:9" ht="15" customHeight="1">
      <c r="A68" s="2">
        <f t="shared" si="7"/>
        <v>30</v>
      </c>
      <c r="B68" s="21">
        <f>Vazões!N33</f>
        <v>1.2675436893272756</v>
      </c>
      <c r="C68" s="221">
        <f t="shared" si="8"/>
        <v>2</v>
      </c>
      <c r="D68" s="223">
        <v>0</v>
      </c>
      <c r="E68" s="224">
        <f t="shared" si="9"/>
        <v>0.73245631067272443</v>
      </c>
      <c r="G68" s="364">
        <v>1</v>
      </c>
      <c r="I68" s="223">
        <v>0</v>
      </c>
    </row>
    <row r="71" spans="1:9" ht="33" customHeight="1">
      <c r="A71" s="967" t="s">
        <v>958</v>
      </c>
      <c r="B71" s="967"/>
      <c r="C71" s="967"/>
      <c r="D71" s="967"/>
      <c r="E71" s="967"/>
      <c r="F71" s="13"/>
      <c r="G71" s="13"/>
    </row>
    <row r="72" spans="1:9" ht="15" customHeight="1">
      <c r="A72" s="14"/>
      <c r="B72" s="14"/>
      <c r="C72" s="15"/>
      <c r="D72" s="15"/>
      <c r="E72" s="15"/>
      <c r="F72" s="15"/>
      <c r="G72" s="15"/>
    </row>
    <row r="73" spans="1:9" ht="43.8" customHeight="1">
      <c r="A73" s="279" t="s">
        <v>1</v>
      </c>
      <c r="B73" s="280" t="s">
        <v>416</v>
      </c>
      <c r="C73" s="281" t="s">
        <v>418</v>
      </c>
      <c r="D73" s="282" t="s">
        <v>419</v>
      </c>
      <c r="E73" s="282" t="s">
        <v>413</v>
      </c>
      <c r="F73" s="18"/>
      <c r="G73" s="365" t="s">
        <v>577</v>
      </c>
      <c r="I73" s="282" t="s">
        <v>419</v>
      </c>
    </row>
    <row r="74" spans="1:9" ht="15" customHeight="1">
      <c r="A74" s="2">
        <v>1</v>
      </c>
      <c r="B74" s="21">
        <f>Vazões!Q4</f>
        <v>0</v>
      </c>
      <c r="C74" s="221">
        <v>0</v>
      </c>
      <c r="D74" s="223">
        <v>0</v>
      </c>
      <c r="E74" s="224">
        <f t="shared" ref="E74:E82" si="10">C74-B74+D74</f>
        <v>0</v>
      </c>
      <c r="G74" s="364">
        <v>0</v>
      </c>
      <c r="I74" s="223">
        <v>0</v>
      </c>
    </row>
    <row r="75" spans="1:9" ht="15" customHeight="1">
      <c r="A75" s="2">
        <f xml:space="preserve"> ( ( A74 ) + ( 1 ) )</f>
        <v>2</v>
      </c>
      <c r="B75" s="21">
        <f>Vazões!Q5</f>
        <v>0</v>
      </c>
      <c r="C75" s="221">
        <f t="shared" ref="C75" si="11">C74+D74</f>
        <v>0</v>
      </c>
      <c r="D75" s="223">
        <v>0</v>
      </c>
      <c r="E75" s="224">
        <f t="shared" si="10"/>
        <v>0</v>
      </c>
      <c r="G75" s="364">
        <v>0</v>
      </c>
      <c r="I75" s="223">
        <v>0</v>
      </c>
    </row>
    <row r="76" spans="1:9" ht="15" customHeight="1">
      <c r="A76" s="2">
        <f t="shared" ref="A76:A103" si="12" xml:space="preserve"> ( ( A75 ) + ( 1 ) )</f>
        <v>3</v>
      </c>
      <c r="B76" s="21">
        <f>Vazões!Q6</f>
        <v>0</v>
      </c>
      <c r="C76" s="221">
        <v>0</v>
      </c>
      <c r="D76" s="223">
        <v>2</v>
      </c>
      <c r="E76" s="224">
        <f t="shared" si="10"/>
        <v>2</v>
      </c>
      <c r="G76" s="364">
        <v>1</v>
      </c>
      <c r="I76" s="223">
        <v>2</v>
      </c>
    </row>
    <row r="77" spans="1:9" ht="15" customHeight="1">
      <c r="A77" s="2">
        <f t="shared" si="12"/>
        <v>4</v>
      </c>
      <c r="B77" s="21">
        <f>Vazões!Q7</f>
        <v>4.6168404287433684E-2</v>
      </c>
      <c r="C77" s="221">
        <v>2</v>
      </c>
      <c r="D77" s="223">
        <v>0</v>
      </c>
      <c r="E77" s="224">
        <f t="shared" si="10"/>
        <v>1.9538315957125663</v>
      </c>
      <c r="G77" s="364">
        <f>COUNTIF(D77,"&lt;&gt;0")+(G76)</f>
        <v>1</v>
      </c>
      <c r="I77" s="223">
        <v>0</v>
      </c>
    </row>
    <row r="78" spans="1:9" ht="15" customHeight="1">
      <c r="A78" s="2">
        <f t="shared" si="12"/>
        <v>5</v>
      </c>
      <c r="B78" s="21">
        <f>Vazões!Q8</f>
        <v>7.7740982480399456E-2</v>
      </c>
      <c r="C78" s="221">
        <f t="shared" ref="C78:C103" si="13">C77+D77</f>
        <v>2</v>
      </c>
      <c r="D78" s="223">
        <v>0</v>
      </c>
      <c r="E78" s="224">
        <f t="shared" si="10"/>
        <v>1.9222590175196006</v>
      </c>
      <c r="G78" s="364">
        <f>COUNTIF(D78,"&lt;&gt;0")+(G77)</f>
        <v>1</v>
      </c>
      <c r="I78" s="223">
        <v>0</v>
      </c>
    </row>
    <row r="79" spans="1:9" ht="15" customHeight="1">
      <c r="A79" s="2">
        <f t="shared" si="12"/>
        <v>6</v>
      </c>
      <c r="B79" s="21">
        <f>Vazões!Q9</f>
        <v>0.10976270851742474</v>
      </c>
      <c r="C79" s="221">
        <f t="shared" si="13"/>
        <v>2</v>
      </c>
      <c r="D79" s="223">
        <v>0</v>
      </c>
      <c r="E79" s="224">
        <f t="shared" si="10"/>
        <v>1.8902372914825754</v>
      </c>
      <c r="G79" s="364">
        <f>COUNTIF(D79,"&lt;&gt;0")+(G78)</f>
        <v>1</v>
      </c>
      <c r="I79" s="223">
        <v>0</v>
      </c>
    </row>
    <row r="80" spans="1:9" ht="15" customHeight="1">
      <c r="A80" s="2">
        <f t="shared" si="12"/>
        <v>7</v>
      </c>
      <c r="B80" s="21">
        <f>Vazões!Q10</f>
        <v>0.13427457102770715</v>
      </c>
      <c r="C80" s="221">
        <f t="shared" si="13"/>
        <v>2</v>
      </c>
      <c r="D80" s="223">
        <v>0</v>
      </c>
      <c r="E80" s="224">
        <f t="shared" si="10"/>
        <v>1.8657254289722929</v>
      </c>
      <c r="G80" s="364">
        <f>COUNTIF(D80,"&lt;&gt;0")+(G79)</f>
        <v>1</v>
      </c>
      <c r="I80" s="223">
        <v>0</v>
      </c>
    </row>
    <row r="81" spans="1:9" ht="15" customHeight="1">
      <c r="A81" s="2">
        <f t="shared" si="12"/>
        <v>8</v>
      </c>
      <c r="B81" s="21">
        <f>Vazões!Q11</f>
        <v>0.15908683709719906</v>
      </c>
      <c r="C81" s="221">
        <f t="shared" si="13"/>
        <v>2</v>
      </c>
      <c r="D81" s="223">
        <v>0</v>
      </c>
      <c r="E81" s="224">
        <f t="shared" si="10"/>
        <v>1.840913162902801</v>
      </c>
      <c r="G81" s="364">
        <v>1</v>
      </c>
      <c r="I81" s="223">
        <v>0</v>
      </c>
    </row>
    <row r="82" spans="1:9" ht="15" customHeight="1">
      <c r="A82" s="2">
        <f t="shared" si="12"/>
        <v>9</v>
      </c>
      <c r="B82" s="21">
        <f>Vazões!Q12</f>
        <v>0.18419950685576053</v>
      </c>
      <c r="C82" s="221">
        <f t="shared" si="13"/>
        <v>2</v>
      </c>
      <c r="D82" s="223">
        <v>0</v>
      </c>
      <c r="E82" s="224">
        <f t="shared" si="10"/>
        <v>1.8158004931442395</v>
      </c>
      <c r="G82" s="364">
        <v>1</v>
      </c>
      <c r="I82" s="223">
        <v>0</v>
      </c>
    </row>
    <row r="83" spans="1:9" ht="15" customHeight="1">
      <c r="A83" s="2">
        <f t="shared" si="12"/>
        <v>10</v>
      </c>
      <c r="B83" s="21">
        <f>Vazões!Q13</f>
        <v>0.18575132238412687</v>
      </c>
      <c r="C83" s="221">
        <f t="shared" si="13"/>
        <v>2</v>
      </c>
      <c r="D83" s="223">
        <v>0</v>
      </c>
      <c r="E83" s="224">
        <f>C83-B83+D83</f>
        <v>1.8142486776158731</v>
      </c>
      <c r="G83" s="364">
        <v>1</v>
      </c>
      <c r="I83" s="223">
        <v>0</v>
      </c>
    </row>
    <row r="84" spans="1:9" ht="15" customHeight="1">
      <c r="A84" s="2">
        <f t="shared" si="12"/>
        <v>11</v>
      </c>
      <c r="B84" s="21">
        <f>Vazões!Q14</f>
        <v>0.18730313830448764</v>
      </c>
      <c r="C84" s="221">
        <f t="shared" si="13"/>
        <v>2</v>
      </c>
      <c r="D84" s="223">
        <v>0</v>
      </c>
      <c r="E84" s="224">
        <f t="shared" ref="E84:E103" si="14">C84-B84+D84</f>
        <v>1.8126968616955124</v>
      </c>
      <c r="G84" s="364">
        <v>1</v>
      </c>
      <c r="I84" s="223">
        <v>0</v>
      </c>
    </row>
    <row r="85" spans="1:9" ht="15" customHeight="1">
      <c r="A85" s="2">
        <f t="shared" si="12"/>
        <v>12</v>
      </c>
      <c r="B85" s="21">
        <f>Vazões!Q15</f>
        <v>0.1888549546026069</v>
      </c>
      <c r="C85" s="221">
        <f t="shared" si="13"/>
        <v>2</v>
      </c>
      <c r="D85" s="223">
        <v>0</v>
      </c>
      <c r="E85" s="224">
        <f t="shared" si="14"/>
        <v>1.8111450453973932</v>
      </c>
      <c r="G85" s="364">
        <v>1</v>
      </c>
      <c r="I85" s="223">
        <v>0</v>
      </c>
    </row>
    <row r="86" spans="1:9" ht="15" customHeight="1">
      <c r="A86" s="2">
        <f t="shared" si="12"/>
        <v>13</v>
      </c>
      <c r="B86" s="21">
        <f>Vazões!Q16</f>
        <v>0.19040677126492978</v>
      </c>
      <c r="C86" s="221">
        <f t="shared" si="13"/>
        <v>2</v>
      </c>
      <c r="D86" s="223">
        <v>0</v>
      </c>
      <c r="E86" s="224">
        <f t="shared" si="14"/>
        <v>1.8095932287350702</v>
      </c>
      <c r="G86" s="364">
        <v>1</v>
      </c>
      <c r="I86" s="223">
        <v>0</v>
      </c>
    </row>
    <row r="87" spans="1:9" ht="15" customHeight="1">
      <c r="A87" s="2">
        <f t="shared" si="12"/>
        <v>14</v>
      </c>
      <c r="B87" s="21">
        <f>Vazões!Q17</f>
        <v>0.1919585882785424</v>
      </c>
      <c r="C87" s="221">
        <f t="shared" si="13"/>
        <v>2</v>
      </c>
      <c r="D87" s="223">
        <v>0</v>
      </c>
      <c r="E87" s="224">
        <f t="shared" si="14"/>
        <v>1.8080414117214576</v>
      </c>
      <c r="G87" s="364">
        <v>1</v>
      </c>
      <c r="I87" s="223">
        <v>0</v>
      </c>
    </row>
    <row r="88" spans="1:9" ht="15" customHeight="1">
      <c r="A88" s="2">
        <f t="shared" si="12"/>
        <v>15</v>
      </c>
      <c r="B88" s="21">
        <f>Vazões!Q18</f>
        <v>0.19351044605578724</v>
      </c>
      <c r="C88" s="221">
        <f t="shared" si="13"/>
        <v>2</v>
      </c>
      <c r="D88" s="223">
        <v>0</v>
      </c>
      <c r="E88" s="224">
        <f t="shared" si="14"/>
        <v>1.8064895539442127</v>
      </c>
      <c r="G88" s="364">
        <v>1</v>
      </c>
      <c r="I88" s="223">
        <v>0</v>
      </c>
    </row>
    <row r="89" spans="1:9" ht="15" customHeight="1">
      <c r="A89" s="2">
        <f t="shared" si="12"/>
        <v>16</v>
      </c>
      <c r="B89" s="21">
        <f>Vazões!Q19</f>
        <v>0.19486226391306949</v>
      </c>
      <c r="C89" s="221">
        <f t="shared" si="13"/>
        <v>2</v>
      </c>
      <c r="D89" s="223">
        <v>0</v>
      </c>
      <c r="E89" s="224">
        <f t="shared" si="14"/>
        <v>1.8051377360869305</v>
      </c>
      <c r="G89" s="364">
        <v>1</v>
      </c>
      <c r="I89" s="223">
        <v>0</v>
      </c>
    </row>
    <row r="90" spans="1:9" ht="15" customHeight="1">
      <c r="A90" s="2">
        <f t="shared" si="12"/>
        <v>17</v>
      </c>
      <c r="B90" s="21">
        <f>Vazões!Q20</f>
        <v>0.19641408208232949</v>
      </c>
      <c r="C90" s="221">
        <f t="shared" si="13"/>
        <v>2</v>
      </c>
      <c r="D90" s="223">
        <v>0</v>
      </c>
      <c r="E90" s="224">
        <f t="shared" si="14"/>
        <v>1.8035859179176705</v>
      </c>
      <c r="G90" s="364">
        <v>1</v>
      </c>
      <c r="I90" s="223">
        <v>0</v>
      </c>
    </row>
    <row r="91" spans="1:9" ht="15" customHeight="1">
      <c r="A91" s="2">
        <f t="shared" si="12"/>
        <v>18</v>
      </c>
      <c r="B91" s="21">
        <f>Vazões!Q21</f>
        <v>0.19796572095252329</v>
      </c>
      <c r="C91" s="221">
        <f t="shared" si="13"/>
        <v>2</v>
      </c>
      <c r="D91" s="223">
        <v>0</v>
      </c>
      <c r="E91" s="224">
        <f t="shared" si="14"/>
        <v>1.8020342790474766</v>
      </c>
      <c r="G91" s="364">
        <v>1</v>
      </c>
      <c r="I91" s="223">
        <v>0</v>
      </c>
    </row>
    <row r="92" spans="1:9" ht="15" customHeight="1">
      <c r="A92" s="2">
        <f t="shared" si="12"/>
        <v>19</v>
      </c>
      <c r="B92" s="21">
        <f>Vazões!Q22</f>
        <v>0.19951742502410025</v>
      </c>
      <c r="C92" s="221">
        <f t="shared" si="13"/>
        <v>2</v>
      </c>
      <c r="D92" s="223">
        <v>0</v>
      </c>
      <c r="E92" s="224">
        <f t="shared" si="14"/>
        <v>1.8004825749758997</v>
      </c>
      <c r="F92" s="18"/>
      <c r="G92" s="364">
        <v>1</v>
      </c>
      <c r="I92" s="223">
        <v>0</v>
      </c>
    </row>
    <row r="93" spans="1:9" ht="15" customHeight="1">
      <c r="A93" s="2">
        <f t="shared" si="12"/>
        <v>20</v>
      </c>
      <c r="B93" s="21">
        <f>Vazões!Q23</f>
        <v>0.20106919510778309</v>
      </c>
      <c r="C93" s="221">
        <f t="shared" si="13"/>
        <v>2</v>
      </c>
      <c r="D93" s="223">
        <v>0</v>
      </c>
      <c r="E93" s="224">
        <f t="shared" si="14"/>
        <v>1.7989308048922168</v>
      </c>
      <c r="G93" s="364">
        <v>1</v>
      </c>
      <c r="I93" s="223">
        <v>0</v>
      </c>
    </row>
    <row r="94" spans="1:9" ht="15" customHeight="1">
      <c r="A94" s="2">
        <f t="shared" si="12"/>
        <v>21</v>
      </c>
      <c r="B94" s="21">
        <f>Vazões!Q24</f>
        <v>0.20262107331680257</v>
      </c>
      <c r="C94" s="221">
        <f t="shared" si="13"/>
        <v>2</v>
      </c>
      <c r="D94" s="223">
        <v>0</v>
      </c>
      <c r="E94" s="224">
        <f t="shared" si="14"/>
        <v>1.7973789266831974</v>
      </c>
      <c r="G94" s="364">
        <v>1</v>
      </c>
      <c r="I94" s="223">
        <v>0</v>
      </c>
    </row>
    <row r="95" spans="1:9" ht="15" customHeight="1">
      <c r="A95" s="2">
        <f t="shared" si="12"/>
        <v>22</v>
      </c>
      <c r="B95" s="21">
        <f>Vazões!Q25</f>
        <v>0.20417306068545588</v>
      </c>
      <c r="C95" s="221">
        <f t="shared" si="13"/>
        <v>2</v>
      </c>
      <c r="D95" s="223">
        <v>0</v>
      </c>
      <c r="E95" s="224">
        <f t="shared" si="14"/>
        <v>1.7958269393145441</v>
      </c>
      <c r="G95" s="364">
        <v>1</v>
      </c>
      <c r="I95" s="223">
        <v>0</v>
      </c>
    </row>
    <row r="96" spans="1:9" ht="15" customHeight="1">
      <c r="A96" s="2">
        <f t="shared" si="12"/>
        <v>23</v>
      </c>
      <c r="B96" s="21">
        <f>Vazões!Q26</f>
        <v>0.20552515811754291</v>
      </c>
      <c r="C96" s="221">
        <f t="shared" si="13"/>
        <v>2</v>
      </c>
      <c r="D96" s="223">
        <v>0</v>
      </c>
      <c r="E96" s="224">
        <f t="shared" si="14"/>
        <v>1.7944748418824572</v>
      </c>
      <c r="F96" s="18"/>
      <c r="G96" s="364">
        <v>1</v>
      </c>
      <c r="I96" s="223">
        <v>0</v>
      </c>
    </row>
    <row r="97" spans="1:9" ht="15" customHeight="1">
      <c r="A97" s="2">
        <f t="shared" si="12"/>
        <v>24</v>
      </c>
      <c r="B97" s="21">
        <f>Vazões!Q27</f>
        <v>0.20707740814249886</v>
      </c>
      <c r="C97" s="221">
        <f t="shared" si="13"/>
        <v>2</v>
      </c>
      <c r="D97" s="223">
        <v>0</v>
      </c>
      <c r="E97" s="224">
        <f t="shared" si="14"/>
        <v>1.7929225918575011</v>
      </c>
      <c r="F97" s="18"/>
      <c r="G97" s="364">
        <v>1</v>
      </c>
      <c r="I97" s="223">
        <v>0</v>
      </c>
    </row>
    <row r="98" spans="1:9" ht="15" customHeight="1">
      <c r="A98" s="2">
        <f t="shared" si="12"/>
        <v>25</v>
      </c>
      <c r="B98" s="21">
        <f>Vazões!Q28</f>
        <v>0.20862981172995959</v>
      </c>
      <c r="C98" s="221">
        <f t="shared" si="13"/>
        <v>2</v>
      </c>
      <c r="D98" s="223">
        <v>0</v>
      </c>
      <c r="E98" s="224">
        <f t="shared" si="14"/>
        <v>1.7913701882700404</v>
      </c>
      <c r="G98" s="364">
        <v>1</v>
      </c>
      <c r="I98" s="223">
        <v>0</v>
      </c>
    </row>
    <row r="99" spans="1:9" ht="15" customHeight="1">
      <c r="A99" s="2">
        <f t="shared" si="12"/>
        <v>26</v>
      </c>
      <c r="B99" s="21">
        <f>Vazões!Q29</f>
        <v>0.21018164014423113</v>
      </c>
      <c r="C99" s="221">
        <f t="shared" si="13"/>
        <v>2</v>
      </c>
      <c r="D99" s="223">
        <v>0</v>
      </c>
      <c r="E99" s="224">
        <f t="shared" si="14"/>
        <v>1.7898183598557689</v>
      </c>
      <c r="G99" s="364">
        <v>1</v>
      </c>
      <c r="I99" s="223">
        <v>0</v>
      </c>
    </row>
    <row r="100" spans="1:9" ht="15" customHeight="1">
      <c r="A100" s="2">
        <f t="shared" si="12"/>
        <v>27</v>
      </c>
      <c r="B100" s="21">
        <f>Vazões!Q30</f>
        <v>0.21173362041967952</v>
      </c>
      <c r="C100" s="221">
        <f t="shared" si="13"/>
        <v>2</v>
      </c>
      <c r="D100" s="223">
        <v>0</v>
      </c>
      <c r="E100" s="224">
        <f t="shared" si="14"/>
        <v>1.7882663795803204</v>
      </c>
      <c r="G100" s="364">
        <v>1</v>
      </c>
      <c r="I100" s="223">
        <v>0</v>
      </c>
    </row>
    <row r="101" spans="1:9" ht="15" customHeight="1">
      <c r="A101" s="2">
        <f t="shared" si="12"/>
        <v>28</v>
      </c>
      <c r="B101" s="21">
        <f>Vazões!Q31</f>
        <v>0.21328575344869893</v>
      </c>
      <c r="C101" s="221">
        <f t="shared" si="13"/>
        <v>2</v>
      </c>
      <c r="D101" s="223">
        <v>0</v>
      </c>
      <c r="E101" s="224">
        <f t="shared" si="14"/>
        <v>1.7867142465513011</v>
      </c>
      <c r="G101" s="364">
        <v>1</v>
      </c>
      <c r="I101" s="223">
        <v>0</v>
      </c>
    </row>
    <row r="102" spans="1:9" ht="15" customHeight="1">
      <c r="A102" s="2">
        <f t="shared" si="12"/>
        <v>29</v>
      </c>
      <c r="B102" s="21">
        <f>Vazões!Q32</f>
        <v>0.21483739045475864</v>
      </c>
      <c r="C102" s="221">
        <f t="shared" si="13"/>
        <v>2</v>
      </c>
      <c r="D102" s="223">
        <v>0</v>
      </c>
      <c r="E102" s="224">
        <f t="shared" si="14"/>
        <v>1.7851626095452413</v>
      </c>
      <c r="G102" s="364">
        <v>1</v>
      </c>
      <c r="I102" s="223">
        <v>0</v>
      </c>
    </row>
    <row r="103" spans="1:9" ht="15" customHeight="1">
      <c r="A103" s="2">
        <f t="shared" si="12"/>
        <v>30</v>
      </c>
      <c r="B103" s="21">
        <f>Vazões!Q33</f>
        <v>0.21618984914919959</v>
      </c>
      <c r="C103" s="221">
        <f t="shared" si="13"/>
        <v>2</v>
      </c>
      <c r="D103" s="223">
        <v>0</v>
      </c>
      <c r="E103" s="224">
        <f t="shared" si="14"/>
        <v>1.7838101508508004</v>
      </c>
      <c r="G103" s="364">
        <v>1</v>
      </c>
      <c r="I103" s="223">
        <v>0</v>
      </c>
    </row>
    <row r="104" spans="1:9" ht="15" customHeight="1">
      <c r="A104" s="18"/>
      <c r="B104" s="61"/>
      <c r="C104" s="734"/>
      <c r="D104" s="732"/>
      <c r="E104" s="735"/>
      <c r="G104" s="725"/>
    </row>
  </sheetData>
  <mergeCells count="3">
    <mergeCell ref="A1:E1"/>
    <mergeCell ref="A36:E36"/>
    <mergeCell ref="A71:E71"/>
  </mergeCells>
  <conditionalFormatting sqref="D4:D33">
    <cfRule type="cellIs" dxfId="32" priority="15" operator="greaterThan">
      <formula>1</formula>
    </cfRule>
  </conditionalFormatting>
  <conditionalFormatting sqref="D39:D68">
    <cfRule type="cellIs" dxfId="31" priority="12" operator="greaterThan">
      <formula>1</formula>
    </cfRule>
  </conditionalFormatting>
  <conditionalFormatting sqref="D74:D104">
    <cfRule type="cellIs" dxfId="30" priority="9" operator="greaterThan">
      <formula>1</formula>
    </cfRule>
  </conditionalFormatting>
  <conditionalFormatting sqref="E4:E33">
    <cfRule type="cellIs" dxfId="29" priority="16" operator="lessThan">
      <formula>0</formula>
    </cfRule>
    <cfRule type="cellIs" dxfId="28" priority="17" operator="greaterThan">
      <formula>0</formula>
    </cfRule>
  </conditionalFormatting>
  <conditionalFormatting sqref="E39:E68">
    <cfRule type="cellIs" dxfId="27" priority="13" operator="lessThan">
      <formula>0</formula>
    </cfRule>
    <cfRule type="cellIs" dxfId="26" priority="14" operator="greaterThan">
      <formula>0</formula>
    </cfRule>
  </conditionalFormatting>
  <conditionalFormatting sqref="E74:E104">
    <cfRule type="cellIs" dxfId="25" priority="10" operator="lessThan">
      <formula>0</formula>
    </cfRule>
    <cfRule type="cellIs" dxfId="24" priority="11" operator="greaterThan">
      <formula>0</formula>
    </cfRule>
  </conditionalFormatting>
  <conditionalFormatting sqref="I4:I33">
    <cfRule type="cellIs" dxfId="23" priority="8" operator="greaterThan">
      <formula>1</formula>
    </cfRule>
  </conditionalFormatting>
  <conditionalFormatting sqref="I39:I68">
    <cfRule type="cellIs" dxfId="22" priority="2" operator="greaterThan">
      <formula>1</formula>
    </cfRule>
  </conditionalFormatting>
  <conditionalFormatting sqref="I74:I103">
    <cfRule type="cellIs" dxfId="21" priority="1" operator="greaterThan"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R37"/>
  <sheetViews>
    <sheetView showGridLines="0" topLeftCell="L1" zoomScale="145" zoomScaleNormal="145" zoomScalePageLayoutView="90" workbookViewId="0">
      <pane ySplit="4" topLeftCell="A22" activePane="bottomLeft" state="frozen"/>
      <selection activeCell="L3" sqref="L3:L108"/>
      <selection pane="bottomLeft" activeCell="R35" sqref="R35"/>
    </sheetView>
  </sheetViews>
  <sheetFormatPr defaultColWidth="11.44140625" defaultRowHeight="15" customHeight="1"/>
  <cols>
    <col min="1" max="1" width="10.77734375" style="16" customWidth="1"/>
    <col min="2" max="2" width="24.6640625" style="16" customWidth="1"/>
    <col min="3" max="8" width="23" style="16" customWidth="1"/>
    <col min="9" max="9" width="24.77734375" style="16" customWidth="1"/>
    <col min="10" max="10" width="24.33203125" style="16" customWidth="1"/>
    <col min="11" max="11" width="25.44140625" style="16" customWidth="1"/>
    <col min="12" max="12" width="24.33203125" style="16" customWidth="1"/>
    <col min="13" max="13" width="31" style="16" customWidth="1"/>
    <col min="14" max="14" width="24.33203125" style="16" customWidth="1"/>
    <col min="15" max="15" width="22.33203125" style="16" customWidth="1"/>
    <col min="16" max="17" width="23.77734375" style="16" customWidth="1"/>
    <col min="18" max="18" width="11.44140625" style="16" customWidth="1"/>
    <col min="19" max="16384" width="11.44140625" style="16"/>
  </cols>
  <sheetData>
    <row r="1" spans="1:17" s="13" customFormat="1" ht="40.049999999999997" customHeight="1">
      <c r="A1" s="952" t="s">
        <v>268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</row>
    <row r="2" spans="1:17" s="15" customFormat="1" ht="15" customHeight="1">
      <c r="A2" s="14"/>
      <c r="B2" s="14"/>
      <c r="I2" s="14"/>
      <c r="N2" s="788"/>
      <c r="O2" s="824"/>
      <c r="P2" s="825"/>
    </row>
    <row r="3" spans="1:17" s="157" customFormat="1" ht="71.55" customHeight="1">
      <c r="A3" s="1" t="s">
        <v>48</v>
      </c>
      <c r="B3" s="1" t="s">
        <v>900</v>
      </c>
      <c r="C3" s="1" t="s">
        <v>901</v>
      </c>
      <c r="D3" s="1" t="s">
        <v>902</v>
      </c>
      <c r="E3" s="1" t="s">
        <v>903</v>
      </c>
      <c r="F3" s="1" t="s">
        <v>904</v>
      </c>
      <c r="G3" s="1" t="s">
        <v>905</v>
      </c>
      <c r="H3" s="584" t="s">
        <v>997</v>
      </c>
      <c r="I3" s="1" t="s">
        <v>906</v>
      </c>
      <c r="J3" s="1" t="s">
        <v>907</v>
      </c>
      <c r="K3" s="1" t="s">
        <v>908</v>
      </c>
      <c r="L3" s="1" t="s">
        <v>909</v>
      </c>
      <c r="M3" s="1" t="s">
        <v>910</v>
      </c>
      <c r="N3" s="1" t="s">
        <v>911</v>
      </c>
      <c r="O3" s="1" t="s">
        <v>758</v>
      </c>
      <c r="P3" s="1" t="s">
        <v>759</v>
      </c>
      <c r="Q3" s="584" t="s">
        <v>996</v>
      </c>
    </row>
    <row r="4" spans="1:17" s="18" customFormat="1" ht="13.2">
      <c r="A4" s="682">
        <v>0</v>
      </c>
      <c r="B4" s="683">
        <f>'Dados de Entrada'!D12</f>
        <v>54924</v>
      </c>
      <c r="C4" s="684"/>
      <c r="D4" s="683">
        <f>'Dados de Entrada'!E12</f>
        <v>147</v>
      </c>
      <c r="E4" s="684"/>
      <c r="F4" s="683">
        <f>'Dados de Entrada'!F12</f>
        <v>52</v>
      </c>
      <c r="G4" s="684"/>
      <c r="H4" s="724">
        <f>B4+D4+F4</f>
        <v>55123</v>
      </c>
      <c r="I4" s="683">
        <f>'Dados de Entrada'!D13</f>
        <v>0</v>
      </c>
      <c r="J4" s="684"/>
      <c r="K4" s="683">
        <f>'Dados de Entrada'!E13</f>
        <v>0</v>
      </c>
      <c r="L4" s="684"/>
      <c r="M4" s="683">
        <f>'Dados de Entrada'!F13</f>
        <v>0</v>
      </c>
      <c r="N4" s="684"/>
      <c r="O4" s="684"/>
      <c r="P4" s="684"/>
      <c r="Q4" s="724">
        <f>I4+K4+M4</f>
        <v>0</v>
      </c>
    </row>
    <row r="5" spans="1:17" ht="15" customHeight="1">
      <c r="A5" s="684">
        <v>1</v>
      </c>
      <c r="B5" s="319">
        <f>ROUND(('Evolução Atendimento'!I5/'Dados de Entrada'!$D$18),0)</f>
        <v>55702</v>
      </c>
      <c r="C5" s="319">
        <f>ROUND(B5-B4,0)</f>
        <v>778</v>
      </c>
      <c r="D5" s="319">
        <f>ROUND(('Evolução Atendimento'!J5/'Dados de Entrada'!$E$18),0)</f>
        <v>149</v>
      </c>
      <c r="E5" s="319">
        <f>ROUND(D5-D4,0)</f>
        <v>2</v>
      </c>
      <c r="F5" s="319">
        <f>ROUND(('Evolução Atendimento'!K5/'Dados de Entrada'!$F$18),0)</f>
        <v>53</v>
      </c>
      <c r="G5" s="319">
        <f>ROUND(F5-F4,0)</f>
        <v>1</v>
      </c>
      <c r="H5" s="724">
        <f t="shared" ref="H5:H34" si="0">B5+D5+F5</f>
        <v>55904</v>
      </c>
      <c r="I5" s="319">
        <f>ROUND('Evolução Atendimento'!O5/'Dados de Entrada'!$D$18,0)</f>
        <v>0</v>
      </c>
      <c r="J5" s="319">
        <f>ROUND(I5-I4,0)</f>
        <v>0</v>
      </c>
      <c r="K5" s="319">
        <f>ROUND('Evolução Atendimento'!P5/'Dados de Entrada'!$E$18,0)</f>
        <v>0</v>
      </c>
      <c r="L5" s="319">
        <f>ROUND(K5-K4,0)</f>
        <v>0</v>
      </c>
      <c r="M5" s="319">
        <f>ROUND('Evolução Atendimento'!Q5/'Dados de Entrada'!$F$18,0)</f>
        <v>0</v>
      </c>
      <c r="N5" s="319">
        <f>ROUND(M5-M4,0)</f>
        <v>0</v>
      </c>
      <c r="O5" s="637">
        <f>ROUND('Evolução atendimento INDIVIDUAL'!H4/'Dados de Entrada'!$D$18,0)</f>
        <v>0</v>
      </c>
      <c r="P5" s="826"/>
      <c r="Q5" s="724">
        <f t="shared" ref="Q5:Q33" si="1">I5+K5+M5</f>
        <v>0</v>
      </c>
    </row>
    <row r="6" spans="1:17" ht="15" customHeight="1">
      <c r="A6" s="684">
        <f xml:space="preserve"> ( ( A5 ) + ( 1 ) )</f>
        <v>2</v>
      </c>
      <c r="B6" s="319">
        <f>ROUND(('Evolução Atendimento'!I6/'Dados de Entrada'!$D$18),0)</f>
        <v>56480</v>
      </c>
      <c r="C6" s="319">
        <f t="shared" ref="C6:C33" si="2">ROUND(B6-B5,0)</f>
        <v>778</v>
      </c>
      <c r="D6" s="319">
        <f>ROUND(('Evolução Atendimento'!J6/'Dados de Entrada'!$E$18),0)</f>
        <v>151</v>
      </c>
      <c r="E6" s="319">
        <f>ROUND(D6-D5,0)</f>
        <v>2</v>
      </c>
      <c r="F6" s="319">
        <f>ROUND(('Evolução Atendimento'!K6/'Dados de Entrada'!$F$18),0)</f>
        <v>54</v>
      </c>
      <c r="G6" s="319">
        <f t="shared" ref="G6:G34" si="3">ROUND(F6-F5,0)</f>
        <v>1</v>
      </c>
      <c r="H6" s="724">
        <f t="shared" si="0"/>
        <v>56685</v>
      </c>
      <c r="I6" s="319">
        <f>ROUND('Evolução Atendimento'!O6/'Dados de Entrada'!$D$18,0)</f>
        <v>0</v>
      </c>
      <c r="J6" s="319">
        <f t="shared" ref="J6:J34" si="4">ROUND(I6-I5,0)</f>
        <v>0</v>
      </c>
      <c r="K6" s="319">
        <f>ROUND('Evolução Atendimento'!P6/'Dados de Entrada'!$E$18,0)</f>
        <v>0</v>
      </c>
      <c r="L6" s="319">
        <f t="shared" ref="L6:L34" si="5">ROUND(K6-K5,0)</f>
        <v>0</v>
      </c>
      <c r="M6" s="319">
        <f>ROUND('Evolução Atendimento'!Q6/'Dados de Entrada'!$F$18,0)</f>
        <v>0</v>
      </c>
      <c r="N6" s="319">
        <f t="shared" ref="N6:N34" si="6">ROUND(M6-M5,0)</f>
        <v>0</v>
      </c>
      <c r="O6" s="637">
        <f>ROUND('Evolução atendimento INDIVIDUAL'!H5/'Dados de Entrada'!$D$18,0)</f>
        <v>0</v>
      </c>
      <c r="P6" s="637">
        <f t="shared" ref="P6" si="7">O6+P5</f>
        <v>0</v>
      </c>
      <c r="Q6" s="724">
        <f t="shared" si="1"/>
        <v>0</v>
      </c>
    </row>
    <row r="7" spans="1:17" ht="15" customHeight="1">
      <c r="A7" s="684">
        <f t="shared" ref="A7:A34" si="8" xml:space="preserve"> ( ( A6 ) + ( 1 ) )</f>
        <v>3</v>
      </c>
      <c r="B7" s="319">
        <f>ROUND(('Evolução Atendimento'!I7/'Dados de Entrada'!$D$18),0)</f>
        <v>57258</v>
      </c>
      <c r="C7" s="319">
        <f t="shared" si="2"/>
        <v>778</v>
      </c>
      <c r="D7" s="319">
        <f>ROUND(('Evolução Atendimento'!J7/'Dados de Entrada'!$E$18),0)</f>
        <v>153</v>
      </c>
      <c r="E7" s="319">
        <f t="shared" ref="E7:E34" si="9">ROUND(D7-D6,0)</f>
        <v>2</v>
      </c>
      <c r="F7" s="319">
        <f>ROUND(('Evolução Atendimento'!K7/'Dados de Entrada'!$F$18),0)</f>
        <v>55</v>
      </c>
      <c r="G7" s="319">
        <f t="shared" si="3"/>
        <v>1</v>
      </c>
      <c r="H7" s="724">
        <f t="shared" si="0"/>
        <v>57466</v>
      </c>
      <c r="I7" s="319">
        <f>ROUND('Evolução Atendimento'!O7/'Dados de Entrada'!$D$18,0)</f>
        <v>0</v>
      </c>
      <c r="J7" s="319">
        <f t="shared" si="4"/>
        <v>0</v>
      </c>
      <c r="K7" s="319">
        <f>ROUND('Evolução Atendimento'!P7/'Dados de Entrada'!$E$18,0)</f>
        <v>0</v>
      </c>
      <c r="L7" s="319">
        <f t="shared" si="5"/>
        <v>0</v>
      </c>
      <c r="M7" s="319">
        <f>ROUND('Evolução Atendimento'!Q7/'Dados de Entrada'!$F$18,0)</f>
        <v>0</v>
      </c>
      <c r="N7" s="319">
        <f t="shared" si="6"/>
        <v>0</v>
      </c>
      <c r="O7" s="637">
        <f>ROUND('Evolução atendimento INDIVIDUAL'!H6/'Dados de Entrada'!$D$18,0)</f>
        <v>0</v>
      </c>
      <c r="P7" s="827">
        <f>O7-O6</f>
        <v>0</v>
      </c>
      <c r="Q7" s="724">
        <f t="shared" si="1"/>
        <v>0</v>
      </c>
    </row>
    <row r="8" spans="1:17" ht="15" customHeight="1">
      <c r="A8" s="684">
        <f t="shared" si="8"/>
        <v>4</v>
      </c>
      <c r="B8" s="319">
        <f>ROUND(('Evolução Atendimento'!I8/'Dados de Entrada'!$D$18),0)</f>
        <v>58036</v>
      </c>
      <c r="C8" s="319">
        <f t="shared" si="2"/>
        <v>778</v>
      </c>
      <c r="D8" s="319">
        <f>ROUND(('Evolução Atendimento'!J8/'Dados de Entrada'!$E$18),0)</f>
        <v>155</v>
      </c>
      <c r="E8" s="319">
        <f t="shared" si="9"/>
        <v>2</v>
      </c>
      <c r="F8" s="319">
        <f>ROUND(('Evolução Atendimento'!K8/'Dados de Entrada'!$F$18),0)</f>
        <v>56</v>
      </c>
      <c r="G8" s="319">
        <f t="shared" si="3"/>
        <v>1</v>
      </c>
      <c r="H8" s="724">
        <f t="shared" si="0"/>
        <v>58247</v>
      </c>
      <c r="I8" s="319">
        <f>ROUND('Evolução Atendimento'!O8/'Dados de Entrada'!$D$18,0)</f>
        <v>11133</v>
      </c>
      <c r="J8" s="319">
        <f t="shared" si="4"/>
        <v>11133</v>
      </c>
      <c r="K8" s="319">
        <f>ROUND('Evolução Atendimento'!P8/'Dados de Entrada'!$E$18,0)</f>
        <v>30</v>
      </c>
      <c r="L8" s="319">
        <f t="shared" si="5"/>
        <v>30</v>
      </c>
      <c r="M8" s="319">
        <f>ROUND('Evolução Atendimento'!Q8/'Dados de Entrada'!$F$18,0)</f>
        <v>11</v>
      </c>
      <c r="N8" s="319">
        <f t="shared" si="6"/>
        <v>11</v>
      </c>
      <c r="O8" s="637">
        <f>ROUND('Evolução atendimento INDIVIDUAL'!H8/'Dados de Entrada'!$D$18,0)</f>
        <v>474</v>
      </c>
      <c r="P8" s="827">
        <f t="shared" ref="P8:P34" si="10">O8-O7</f>
        <v>474</v>
      </c>
      <c r="Q8" s="724">
        <f t="shared" si="1"/>
        <v>11174</v>
      </c>
    </row>
    <row r="9" spans="1:17" ht="15" customHeight="1">
      <c r="A9" s="684">
        <f t="shared" si="8"/>
        <v>5</v>
      </c>
      <c r="B9" s="319">
        <f>ROUND(('Evolução Atendimento'!I9/'Dados de Entrada'!$D$18),0)</f>
        <v>58814</v>
      </c>
      <c r="C9" s="319">
        <f t="shared" si="2"/>
        <v>778</v>
      </c>
      <c r="D9" s="319">
        <f>ROUND(('Evolução Atendimento'!J9/'Dados de Entrada'!$E$18),0)</f>
        <v>157</v>
      </c>
      <c r="E9" s="319">
        <f t="shared" si="9"/>
        <v>2</v>
      </c>
      <c r="F9" s="319">
        <f>ROUND(('Evolução Atendimento'!K9/'Dados de Entrada'!$F$18),0)</f>
        <v>58</v>
      </c>
      <c r="G9" s="319">
        <f t="shared" si="3"/>
        <v>2</v>
      </c>
      <c r="H9" s="724">
        <f t="shared" si="0"/>
        <v>59029</v>
      </c>
      <c r="I9" s="319">
        <f>ROUND('Evolução Atendimento'!O9/'Dados de Entrada'!$D$18,0)</f>
        <v>22565</v>
      </c>
      <c r="J9" s="319">
        <f t="shared" si="4"/>
        <v>11432</v>
      </c>
      <c r="K9" s="319">
        <f>ROUND('Evolução Atendimento'!P9/'Dados de Entrada'!$E$18,0)</f>
        <v>60</v>
      </c>
      <c r="L9" s="319">
        <f t="shared" si="5"/>
        <v>30</v>
      </c>
      <c r="M9" s="319">
        <f>ROUND('Evolução Atendimento'!Q9/'Dados de Entrada'!$F$18,0)</f>
        <v>22</v>
      </c>
      <c r="N9" s="319">
        <f t="shared" si="6"/>
        <v>11</v>
      </c>
      <c r="O9" s="637">
        <f>ROUND('Evolução atendimento INDIVIDUAL'!H9/'Dados de Entrada'!$D$18,0)</f>
        <v>960</v>
      </c>
      <c r="P9" s="827">
        <f t="shared" si="10"/>
        <v>486</v>
      </c>
      <c r="Q9" s="724">
        <f>I9+K9+M9</f>
        <v>22647</v>
      </c>
    </row>
    <row r="10" spans="1:17" ht="15" customHeight="1">
      <c r="A10" s="684">
        <f t="shared" si="8"/>
        <v>6</v>
      </c>
      <c r="B10" s="319">
        <f>ROUND(('Evolução Atendimento'!I10/'Dados de Entrada'!$D$18),0)</f>
        <v>59592</v>
      </c>
      <c r="C10" s="319">
        <f t="shared" si="2"/>
        <v>778</v>
      </c>
      <c r="D10" s="319">
        <f>ROUND(('Evolução Atendimento'!J10/'Dados de Entrada'!$E$18),0)</f>
        <v>158</v>
      </c>
      <c r="E10" s="319">
        <f t="shared" si="9"/>
        <v>1</v>
      </c>
      <c r="F10" s="319">
        <f>ROUND(('Evolução Atendimento'!K10/'Dados de Entrada'!$F$18),0)</f>
        <v>59</v>
      </c>
      <c r="G10" s="319">
        <f t="shared" si="3"/>
        <v>1</v>
      </c>
      <c r="H10" s="724">
        <f t="shared" si="0"/>
        <v>59809</v>
      </c>
      <c r="I10" s="319">
        <f>ROUND('Evolução Atendimento'!O10/'Dados de Entrada'!$D$18,0)</f>
        <v>34296</v>
      </c>
      <c r="J10" s="319">
        <f t="shared" si="4"/>
        <v>11731</v>
      </c>
      <c r="K10" s="319">
        <f>ROUND('Evolução Atendimento'!P10/'Dados de Entrada'!$E$18,0)</f>
        <v>91</v>
      </c>
      <c r="L10" s="319">
        <f t="shared" si="5"/>
        <v>31</v>
      </c>
      <c r="M10" s="319">
        <f>ROUND('Evolução Atendimento'!Q10/'Dados de Entrada'!$F$18,0)</f>
        <v>34</v>
      </c>
      <c r="N10" s="319">
        <f t="shared" si="6"/>
        <v>12</v>
      </c>
      <c r="O10" s="637">
        <f>ROUND('Evolução atendimento INDIVIDUAL'!H10/'Dados de Entrada'!$D$18,0)</f>
        <v>1460</v>
      </c>
      <c r="P10" s="827">
        <f t="shared" si="10"/>
        <v>500</v>
      </c>
      <c r="Q10" s="724">
        <f t="shared" si="1"/>
        <v>34421</v>
      </c>
    </row>
    <row r="11" spans="1:17" ht="15" customHeight="1">
      <c r="A11" s="684">
        <f t="shared" si="8"/>
        <v>7</v>
      </c>
      <c r="B11" s="319">
        <f>ROUND(('Evolução Atendimento'!I11/'Dados de Entrada'!$D$18),0)</f>
        <v>60370</v>
      </c>
      <c r="C11" s="319">
        <f t="shared" si="2"/>
        <v>778</v>
      </c>
      <c r="D11" s="319">
        <f>ROUND(('Evolução Atendimento'!J11/'Dados de Entrada'!$E$18),0)</f>
        <v>160</v>
      </c>
      <c r="E11" s="319">
        <f t="shared" si="9"/>
        <v>2</v>
      </c>
      <c r="F11" s="319">
        <f>ROUND(('Evolução Atendimento'!K11/'Dados de Entrada'!$F$18),0)</f>
        <v>60</v>
      </c>
      <c r="G11" s="319">
        <f t="shared" si="3"/>
        <v>1</v>
      </c>
      <c r="H11" s="724">
        <f t="shared" si="0"/>
        <v>60590</v>
      </c>
      <c r="I11" s="319">
        <f>ROUND('Evolução Atendimento'!O11/'Dados de Entrada'!$D$18,0)</f>
        <v>40534</v>
      </c>
      <c r="J11" s="319">
        <f t="shared" si="4"/>
        <v>6238</v>
      </c>
      <c r="K11" s="319">
        <f>ROUND('Evolução Atendimento'!P11/'Dados de Entrada'!$E$18,0)</f>
        <v>108</v>
      </c>
      <c r="L11" s="319">
        <f t="shared" si="5"/>
        <v>17</v>
      </c>
      <c r="M11" s="319">
        <f>ROUND('Evolução Atendimento'!Q11/'Dados de Entrada'!$F$18,0)</f>
        <v>40</v>
      </c>
      <c r="N11" s="319">
        <f t="shared" si="6"/>
        <v>6</v>
      </c>
      <c r="O11" s="637">
        <f>ROUND('Evolução atendimento INDIVIDUAL'!H11/'Dados de Entrada'!$D$18,0)</f>
        <v>1725</v>
      </c>
      <c r="P11" s="827">
        <f t="shared" si="10"/>
        <v>265</v>
      </c>
      <c r="Q11" s="724">
        <f t="shared" si="1"/>
        <v>40682</v>
      </c>
    </row>
    <row r="12" spans="1:17" ht="15" customHeight="1">
      <c r="A12" s="684">
        <f t="shared" si="8"/>
        <v>8</v>
      </c>
      <c r="B12" s="319">
        <f>ROUND(('Evolução Atendimento'!I12/'Dados de Entrada'!$D$18),0)</f>
        <v>61148</v>
      </c>
      <c r="C12" s="319">
        <f t="shared" si="2"/>
        <v>778</v>
      </c>
      <c r="D12" s="319">
        <f>ROUND(('Evolução Atendimento'!J12/'Dados de Entrada'!$E$18),0)</f>
        <v>162</v>
      </c>
      <c r="E12" s="319">
        <f t="shared" si="9"/>
        <v>2</v>
      </c>
      <c r="F12" s="319">
        <f>ROUND(('Evolução Atendimento'!K12/'Dados de Entrada'!$F$18),0)</f>
        <v>61</v>
      </c>
      <c r="G12" s="319">
        <f t="shared" si="3"/>
        <v>1</v>
      </c>
      <c r="H12" s="724">
        <f t="shared" si="0"/>
        <v>61371</v>
      </c>
      <c r="I12" s="319">
        <f>ROUND('Evolução Atendimento'!O12/'Dados de Entrada'!$D$18,0)</f>
        <v>46922</v>
      </c>
      <c r="J12" s="319">
        <f t="shared" si="4"/>
        <v>6388</v>
      </c>
      <c r="K12" s="319">
        <f>ROUND('Evolução Atendimento'!P12/'Dados de Entrada'!$E$18,0)</f>
        <v>125</v>
      </c>
      <c r="L12" s="319">
        <f t="shared" si="5"/>
        <v>17</v>
      </c>
      <c r="M12" s="319">
        <f>ROUND('Evolução Atendimento'!Q12/'Dados de Entrada'!$F$18,0)</f>
        <v>47</v>
      </c>
      <c r="N12" s="319">
        <f t="shared" si="6"/>
        <v>7</v>
      </c>
      <c r="O12" s="637">
        <f>ROUND('Evolução atendimento INDIVIDUAL'!H12/'Dados de Entrada'!$D$18,0)</f>
        <v>1997</v>
      </c>
      <c r="P12" s="827">
        <f t="shared" si="10"/>
        <v>272</v>
      </c>
      <c r="Q12" s="724">
        <f t="shared" si="1"/>
        <v>47094</v>
      </c>
    </row>
    <row r="13" spans="1:17" ht="15" customHeight="1">
      <c r="A13" s="684">
        <f t="shared" si="8"/>
        <v>9</v>
      </c>
      <c r="B13" s="319">
        <f>ROUND(('Evolução Atendimento'!I13/'Dados de Entrada'!$D$18),0)</f>
        <v>61926</v>
      </c>
      <c r="C13" s="319">
        <f t="shared" si="2"/>
        <v>778</v>
      </c>
      <c r="D13" s="319">
        <f>ROUND(('Evolução Atendimento'!J13/'Dados de Entrada'!$E$18),0)</f>
        <v>164</v>
      </c>
      <c r="E13" s="319">
        <f t="shared" si="9"/>
        <v>2</v>
      </c>
      <c r="F13" s="319">
        <f>ROUND(('Evolução Atendimento'!K13/'Dados de Entrada'!$F$18),0)</f>
        <v>62</v>
      </c>
      <c r="G13" s="319">
        <f t="shared" si="3"/>
        <v>1</v>
      </c>
      <c r="H13" s="724">
        <f t="shared" si="0"/>
        <v>62152</v>
      </c>
      <c r="I13" s="319">
        <f>ROUND('Evolução Atendimento'!O13/'Dados de Entrada'!$D$18,0)</f>
        <v>53458</v>
      </c>
      <c r="J13" s="319">
        <f t="shared" si="4"/>
        <v>6536</v>
      </c>
      <c r="K13" s="319">
        <f>ROUND('Evolução Atendimento'!P13/'Dados de Entrada'!$E$18,0)</f>
        <v>142</v>
      </c>
      <c r="L13" s="319">
        <f t="shared" si="5"/>
        <v>17</v>
      </c>
      <c r="M13" s="319">
        <f>ROUND('Evolução Atendimento'!Q13/'Dados de Entrada'!$F$18,0)</f>
        <v>53</v>
      </c>
      <c r="N13" s="319">
        <f t="shared" si="6"/>
        <v>6</v>
      </c>
      <c r="O13" s="637">
        <f>ROUND('Evolução atendimento INDIVIDUAL'!H13/'Dados de Entrada'!$D$18,0)</f>
        <v>2275</v>
      </c>
      <c r="P13" s="827">
        <f t="shared" si="10"/>
        <v>278</v>
      </c>
      <c r="Q13" s="724">
        <f t="shared" si="1"/>
        <v>53653</v>
      </c>
    </row>
    <row r="14" spans="1:17" ht="15" customHeight="1">
      <c r="A14" s="684">
        <f t="shared" si="8"/>
        <v>10</v>
      </c>
      <c r="B14" s="319">
        <f>ROUND(('Evolução Atendimento'!I14/'Dados de Entrada'!$D$18),0)</f>
        <v>62704</v>
      </c>
      <c r="C14" s="319">
        <f t="shared" si="2"/>
        <v>778</v>
      </c>
      <c r="D14" s="319">
        <f>ROUND(('Evolução Atendimento'!J14/'Dados de Entrada'!$E$18),0)</f>
        <v>166</v>
      </c>
      <c r="E14" s="319">
        <f t="shared" si="9"/>
        <v>2</v>
      </c>
      <c r="F14" s="319">
        <f>ROUND(('Evolução Atendimento'!K14/'Dados de Entrada'!$F$18),0)</f>
        <v>63</v>
      </c>
      <c r="G14" s="319">
        <f t="shared" si="3"/>
        <v>1</v>
      </c>
      <c r="H14" s="724">
        <f t="shared" si="0"/>
        <v>62933</v>
      </c>
      <c r="I14" s="319">
        <f>ROUND('Evolução Atendimento'!O14/'Dados de Entrada'!$D$18,0)</f>
        <v>54130</v>
      </c>
      <c r="J14" s="319">
        <f t="shared" si="4"/>
        <v>672</v>
      </c>
      <c r="K14" s="319">
        <f>ROUND('Evolução Atendimento'!P14/'Dados de Entrada'!$E$18,0)</f>
        <v>143</v>
      </c>
      <c r="L14" s="319">
        <f t="shared" si="5"/>
        <v>1</v>
      </c>
      <c r="M14" s="319">
        <f>ROUND('Evolução Atendimento'!Q14/'Dados de Entrada'!$F$18,0)</f>
        <v>54</v>
      </c>
      <c r="N14" s="319">
        <f t="shared" si="6"/>
        <v>1</v>
      </c>
      <c r="O14" s="637">
        <f>ROUND('Evolução atendimento INDIVIDUAL'!H14/'Dados de Entrada'!$D$18,0)</f>
        <v>2304</v>
      </c>
      <c r="P14" s="827">
        <f t="shared" si="10"/>
        <v>29</v>
      </c>
      <c r="Q14" s="724">
        <f t="shared" si="1"/>
        <v>54327</v>
      </c>
    </row>
    <row r="15" spans="1:17" ht="15" customHeight="1">
      <c r="A15" s="684">
        <f t="shared" si="8"/>
        <v>11</v>
      </c>
      <c r="B15" s="319">
        <f>ROUND(('Evolução Atendimento'!I15/'Dados de Entrada'!$D$18),0)</f>
        <v>63482</v>
      </c>
      <c r="C15" s="319">
        <f t="shared" si="2"/>
        <v>778</v>
      </c>
      <c r="D15" s="319">
        <f>ROUND(('Evolução Atendimento'!J15/'Dados de Entrada'!$E$18),0)</f>
        <v>168</v>
      </c>
      <c r="E15" s="319">
        <f t="shared" si="9"/>
        <v>2</v>
      </c>
      <c r="F15" s="319">
        <f>ROUND(('Evolução Atendimento'!K15/'Dados de Entrada'!$F$18),0)</f>
        <v>64</v>
      </c>
      <c r="G15" s="319">
        <f t="shared" si="3"/>
        <v>1</v>
      </c>
      <c r="H15" s="724">
        <f t="shared" si="0"/>
        <v>63714</v>
      </c>
      <c r="I15" s="319">
        <f>ROUND('Evolução Atendimento'!O15/'Dados de Entrada'!$D$18,0)</f>
        <v>54801</v>
      </c>
      <c r="J15" s="319">
        <f t="shared" si="4"/>
        <v>671</v>
      </c>
      <c r="K15" s="319">
        <f>ROUND('Evolução Atendimento'!P15/'Dados de Entrada'!$E$18,0)</f>
        <v>145</v>
      </c>
      <c r="L15" s="319">
        <f t="shared" si="5"/>
        <v>2</v>
      </c>
      <c r="M15" s="319">
        <f>ROUND('Evolução Atendimento'!Q15/'Dados de Entrada'!$F$18,0)</f>
        <v>55</v>
      </c>
      <c r="N15" s="319">
        <f t="shared" si="6"/>
        <v>1</v>
      </c>
      <c r="O15" s="637">
        <f>ROUND('Evolução atendimento INDIVIDUAL'!H15/'Dados de Entrada'!$D$18,0)</f>
        <v>2332</v>
      </c>
      <c r="P15" s="827">
        <f t="shared" si="10"/>
        <v>28</v>
      </c>
      <c r="Q15" s="724">
        <f t="shared" si="1"/>
        <v>55001</v>
      </c>
    </row>
    <row r="16" spans="1:17" ht="15" customHeight="1">
      <c r="A16" s="684">
        <f t="shared" si="8"/>
        <v>12</v>
      </c>
      <c r="B16" s="319">
        <f>ROUND(('Evolução Atendimento'!I16/'Dados de Entrada'!$D$18),0)</f>
        <v>64260</v>
      </c>
      <c r="C16" s="319">
        <f t="shared" si="2"/>
        <v>778</v>
      </c>
      <c r="D16" s="319">
        <f>ROUND(('Evolução Atendimento'!J16/'Dados de Entrada'!$E$18),0)</f>
        <v>170</v>
      </c>
      <c r="E16" s="319">
        <f t="shared" si="9"/>
        <v>2</v>
      </c>
      <c r="F16" s="319">
        <f>ROUND(('Evolução Atendimento'!K16/'Dados de Entrada'!$F$18),0)</f>
        <v>65</v>
      </c>
      <c r="G16" s="319">
        <f t="shared" si="3"/>
        <v>1</v>
      </c>
      <c r="H16" s="724">
        <f t="shared" si="0"/>
        <v>64495</v>
      </c>
      <c r="I16" s="319">
        <f>ROUND('Evolução Atendimento'!O16/'Dados de Entrada'!$D$18,0)</f>
        <v>55473</v>
      </c>
      <c r="J16" s="319">
        <f t="shared" si="4"/>
        <v>672</v>
      </c>
      <c r="K16" s="319">
        <f>ROUND('Evolução Atendimento'!P16/'Dados de Entrada'!$E$18,0)</f>
        <v>147</v>
      </c>
      <c r="L16" s="319">
        <f t="shared" si="5"/>
        <v>2</v>
      </c>
      <c r="M16" s="319">
        <f>ROUND('Evolução Atendimento'!Q16/'Dados de Entrada'!$F$18,0)</f>
        <v>56</v>
      </c>
      <c r="N16" s="319">
        <f t="shared" si="6"/>
        <v>1</v>
      </c>
      <c r="O16" s="637">
        <f>ROUND('Evolução atendimento INDIVIDUAL'!H16/'Dados de Entrada'!$D$18,0)</f>
        <v>2361</v>
      </c>
      <c r="P16" s="827">
        <f t="shared" si="10"/>
        <v>29</v>
      </c>
      <c r="Q16" s="724">
        <f t="shared" si="1"/>
        <v>55676</v>
      </c>
    </row>
    <row r="17" spans="1:17" ht="15" customHeight="1">
      <c r="A17" s="684">
        <f t="shared" si="8"/>
        <v>13</v>
      </c>
      <c r="B17" s="319">
        <f>ROUND(('Evolução Atendimento'!I17/'Dados de Entrada'!$D$18),0)</f>
        <v>65038</v>
      </c>
      <c r="C17" s="319">
        <f t="shared" si="2"/>
        <v>778</v>
      </c>
      <c r="D17" s="319">
        <f>ROUND(('Evolução Atendimento'!J17/'Dados de Entrada'!$E$18),0)</f>
        <v>172</v>
      </c>
      <c r="E17" s="319">
        <f t="shared" si="9"/>
        <v>2</v>
      </c>
      <c r="F17" s="319">
        <f>ROUND(('Evolução Atendimento'!K17/'Dados de Entrada'!$F$18),0)</f>
        <v>66</v>
      </c>
      <c r="G17" s="319">
        <f t="shared" si="3"/>
        <v>1</v>
      </c>
      <c r="H17" s="724">
        <f t="shared" si="0"/>
        <v>65276</v>
      </c>
      <c r="I17" s="319">
        <f>ROUND('Evolução Atendimento'!O17/'Dados de Entrada'!$D$18,0)</f>
        <v>56145</v>
      </c>
      <c r="J17" s="319">
        <f t="shared" si="4"/>
        <v>672</v>
      </c>
      <c r="K17" s="319">
        <f>ROUND('Evolução Atendimento'!P17/'Dados de Entrada'!$E$18,0)</f>
        <v>148</v>
      </c>
      <c r="L17" s="319">
        <f t="shared" si="5"/>
        <v>1</v>
      </c>
      <c r="M17" s="319">
        <f>ROUND('Evolução Atendimento'!Q17/'Dados de Entrada'!$F$18,0)</f>
        <v>57</v>
      </c>
      <c r="N17" s="319">
        <f t="shared" si="6"/>
        <v>1</v>
      </c>
      <c r="O17" s="637">
        <f>ROUND('Evolução atendimento INDIVIDUAL'!H17/'Dados de Entrada'!$D$18,0)</f>
        <v>2389</v>
      </c>
      <c r="P17" s="827">
        <f t="shared" si="10"/>
        <v>28</v>
      </c>
      <c r="Q17" s="724">
        <f t="shared" si="1"/>
        <v>56350</v>
      </c>
    </row>
    <row r="18" spans="1:17" ht="15" customHeight="1">
      <c r="A18" s="684">
        <f t="shared" si="8"/>
        <v>14</v>
      </c>
      <c r="B18" s="319">
        <f>ROUND(('Evolução Atendimento'!I18/'Dados de Entrada'!$D$18),0)</f>
        <v>65816</v>
      </c>
      <c r="C18" s="319">
        <f t="shared" si="2"/>
        <v>778</v>
      </c>
      <c r="D18" s="319">
        <f>ROUND(('Evolução Atendimento'!J18/'Dados de Entrada'!$E$18),0)</f>
        <v>174</v>
      </c>
      <c r="E18" s="319">
        <f t="shared" si="9"/>
        <v>2</v>
      </c>
      <c r="F18" s="319">
        <f>ROUND(('Evolução Atendimento'!K18/'Dados de Entrada'!$F$18),0)</f>
        <v>67</v>
      </c>
      <c r="G18" s="319">
        <f t="shared" si="3"/>
        <v>1</v>
      </c>
      <c r="H18" s="724">
        <f t="shared" si="0"/>
        <v>66057</v>
      </c>
      <c r="I18" s="319">
        <f>ROUND('Evolução Atendimento'!O18/'Dados de Entrada'!$D$18,0)</f>
        <v>56816</v>
      </c>
      <c r="J18" s="319">
        <f t="shared" si="4"/>
        <v>671</v>
      </c>
      <c r="K18" s="319">
        <f>ROUND('Evolução Atendimento'!P18/'Dados de Entrada'!$E$18,0)</f>
        <v>150</v>
      </c>
      <c r="L18" s="319">
        <f t="shared" si="5"/>
        <v>2</v>
      </c>
      <c r="M18" s="319">
        <f>ROUND('Evolução Atendimento'!Q18/'Dados de Entrada'!$F$18,0)</f>
        <v>58</v>
      </c>
      <c r="N18" s="319">
        <f t="shared" si="6"/>
        <v>1</v>
      </c>
      <c r="O18" s="637">
        <f>ROUND('Evolução atendimento INDIVIDUAL'!H18/'Dados de Entrada'!$D$18,0)</f>
        <v>2418</v>
      </c>
      <c r="P18" s="827">
        <f t="shared" si="10"/>
        <v>29</v>
      </c>
      <c r="Q18" s="724">
        <f t="shared" si="1"/>
        <v>57024</v>
      </c>
    </row>
    <row r="19" spans="1:17" ht="15" customHeight="1">
      <c r="A19" s="684">
        <f t="shared" si="8"/>
        <v>15</v>
      </c>
      <c r="B19" s="319">
        <f>ROUND(('Evolução Atendimento'!I19/'Dados de Entrada'!$D$18),0)</f>
        <v>66594</v>
      </c>
      <c r="C19" s="319">
        <f t="shared" si="2"/>
        <v>778</v>
      </c>
      <c r="D19" s="319">
        <f>ROUND(('Evolução Atendimento'!J19/'Dados de Entrada'!$E$18),0)</f>
        <v>176</v>
      </c>
      <c r="E19" s="319">
        <f t="shared" si="9"/>
        <v>2</v>
      </c>
      <c r="F19" s="319">
        <f>ROUND(('Evolução Atendimento'!K19/'Dados de Entrada'!$F$18),0)</f>
        <v>69</v>
      </c>
      <c r="G19" s="319">
        <f t="shared" si="3"/>
        <v>2</v>
      </c>
      <c r="H19" s="724">
        <f t="shared" si="0"/>
        <v>66839</v>
      </c>
      <c r="I19" s="319">
        <f>ROUND('Evolução Atendimento'!O19/'Dados de Entrada'!$D$18,0)</f>
        <v>57488</v>
      </c>
      <c r="J19" s="319">
        <f t="shared" si="4"/>
        <v>672</v>
      </c>
      <c r="K19" s="319">
        <f>ROUND('Evolução Atendimento'!P19/'Dados de Entrada'!$E$18,0)</f>
        <v>152</v>
      </c>
      <c r="L19" s="319">
        <f t="shared" si="5"/>
        <v>2</v>
      </c>
      <c r="M19" s="319">
        <f>ROUND('Evolução Atendimento'!Q19/'Dados de Entrada'!$F$18,0)</f>
        <v>59</v>
      </c>
      <c r="N19" s="319">
        <f t="shared" si="6"/>
        <v>1</v>
      </c>
      <c r="O19" s="637">
        <f>ROUND('Evolução atendimento INDIVIDUAL'!H19/'Dados de Entrada'!$D$18,0)</f>
        <v>2446</v>
      </c>
      <c r="P19" s="827">
        <f t="shared" si="10"/>
        <v>28</v>
      </c>
      <c r="Q19" s="724">
        <f t="shared" si="1"/>
        <v>57699</v>
      </c>
    </row>
    <row r="20" spans="1:17" ht="15" customHeight="1">
      <c r="A20" s="684">
        <f t="shared" si="8"/>
        <v>16</v>
      </c>
      <c r="B20" s="319">
        <f>ROUND(('Evolução Atendimento'!I20/'Dados de Entrada'!$D$18),0)</f>
        <v>67372</v>
      </c>
      <c r="C20" s="319">
        <f t="shared" si="2"/>
        <v>778</v>
      </c>
      <c r="D20" s="319">
        <f>ROUND(('Evolução Atendimento'!J20/'Dados de Entrada'!$E$18),0)</f>
        <v>178</v>
      </c>
      <c r="E20" s="319">
        <f t="shared" si="9"/>
        <v>2</v>
      </c>
      <c r="F20" s="319">
        <f>ROUND(('Evolução Atendimento'!K20/'Dados de Entrada'!$F$18),0)</f>
        <v>70</v>
      </c>
      <c r="G20" s="319">
        <f t="shared" si="3"/>
        <v>1</v>
      </c>
      <c r="H20" s="724">
        <f t="shared" si="0"/>
        <v>67620</v>
      </c>
      <c r="I20" s="319">
        <f>ROUND('Evolução Atendimento'!O20/'Dados de Entrada'!$D$18,0)</f>
        <v>58160</v>
      </c>
      <c r="J20" s="319">
        <f t="shared" si="4"/>
        <v>672</v>
      </c>
      <c r="K20" s="319">
        <f>ROUND('Evolução Atendimento'!P20/'Dados de Entrada'!$E$18,0)</f>
        <v>153</v>
      </c>
      <c r="L20" s="319">
        <f t="shared" si="5"/>
        <v>1</v>
      </c>
      <c r="M20" s="319">
        <f>ROUND('Evolução Atendimento'!Q20/'Dados de Entrada'!$F$18,0)</f>
        <v>60</v>
      </c>
      <c r="N20" s="319">
        <f t="shared" si="6"/>
        <v>1</v>
      </c>
      <c r="O20" s="637">
        <f>ROUND('Evolução atendimento INDIVIDUAL'!H20/'Dados de Entrada'!$D$18,0)</f>
        <v>2475</v>
      </c>
      <c r="P20" s="827">
        <f t="shared" si="10"/>
        <v>29</v>
      </c>
      <c r="Q20" s="724">
        <f t="shared" si="1"/>
        <v>58373</v>
      </c>
    </row>
    <row r="21" spans="1:17" ht="15" customHeight="1">
      <c r="A21" s="684">
        <f t="shared" si="8"/>
        <v>17</v>
      </c>
      <c r="B21" s="319">
        <f>ROUND(('Evolução Atendimento'!I21/'Dados de Entrada'!$D$18),0)</f>
        <v>68150</v>
      </c>
      <c r="C21" s="319">
        <f t="shared" si="2"/>
        <v>778</v>
      </c>
      <c r="D21" s="319">
        <f>ROUND(('Evolução Atendimento'!J21/'Dados de Entrada'!$E$18),0)</f>
        <v>179</v>
      </c>
      <c r="E21" s="319">
        <f t="shared" si="9"/>
        <v>1</v>
      </c>
      <c r="F21" s="319">
        <f>ROUND(('Evolução Atendimento'!K21/'Dados de Entrada'!$F$18),0)</f>
        <v>71</v>
      </c>
      <c r="G21" s="319">
        <f t="shared" si="3"/>
        <v>1</v>
      </c>
      <c r="H21" s="724">
        <f t="shared" si="0"/>
        <v>68400</v>
      </c>
      <c r="I21" s="319">
        <f>ROUND('Evolução Atendimento'!O21/'Dados de Entrada'!$D$18,0)</f>
        <v>58832</v>
      </c>
      <c r="J21" s="319">
        <f t="shared" si="4"/>
        <v>672</v>
      </c>
      <c r="K21" s="319">
        <f>ROUND('Evolução Atendimento'!P21/'Dados de Entrada'!$E$18,0)</f>
        <v>155</v>
      </c>
      <c r="L21" s="319">
        <f t="shared" si="5"/>
        <v>2</v>
      </c>
      <c r="M21" s="319">
        <f>ROUND('Evolução Atendimento'!Q21/'Dados de Entrada'!$F$18,0)</f>
        <v>61</v>
      </c>
      <c r="N21" s="319">
        <f t="shared" si="6"/>
        <v>1</v>
      </c>
      <c r="O21" s="637">
        <f>ROUND('Evolução atendimento INDIVIDUAL'!H21/'Dados de Entrada'!$D$18,0)</f>
        <v>2503</v>
      </c>
      <c r="P21" s="827">
        <f t="shared" si="10"/>
        <v>28</v>
      </c>
      <c r="Q21" s="724">
        <f t="shared" si="1"/>
        <v>59048</v>
      </c>
    </row>
    <row r="22" spans="1:17" ht="15" customHeight="1">
      <c r="A22" s="684">
        <f t="shared" si="8"/>
        <v>18</v>
      </c>
      <c r="B22" s="319">
        <f>ROUND(('Evolução Atendimento'!I22/'Dados de Entrada'!$D$18),0)</f>
        <v>68934</v>
      </c>
      <c r="C22" s="319">
        <f t="shared" si="2"/>
        <v>784</v>
      </c>
      <c r="D22" s="319">
        <f>ROUND(('Evolução Atendimento'!J22/'Dados de Entrada'!$E$18),0)</f>
        <v>181</v>
      </c>
      <c r="E22" s="319">
        <f t="shared" si="9"/>
        <v>2</v>
      </c>
      <c r="F22" s="319">
        <f>ROUND(('Evolução Atendimento'!K22/'Dados de Entrada'!$F$18),0)</f>
        <v>72</v>
      </c>
      <c r="G22" s="319">
        <f t="shared" si="3"/>
        <v>1</v>
      </c>
      <c r="H22" s="724">
        <f t="shared" si="0"/>
        <v>69187</v>
      </c>
      <c r="I22" s="319">
        <f>ROUND('Evolução Atendimento'!O22/'Dados de Entrada'!$D$18,0)</f>
        <v>59508</v>
      </c>
      <c r="J22" s="319">
        <f t="shared" si="4"/>
        <v>676</v>
      </c>
      <c r="K22" s="319">
        <f>ROUND('Evolução Atendimento'!P22/'Dados de Entrada'!$E$18,0)</f>
        <v>157</v>
      </c>
      <c r="L22" s="319">
        <f t="shared" si="5"/>
        <v>2</v>
      </c>
      <c r="M22" s="319">
        <f>ROUND('Evolução Atendimento'!Q22/'Dados de Entrada'!$F$18,0)</f>
        <v>62</v>
      </c>
      <c r="N22" s="319">
        <f t="shared" si="6"/>
        <v>1</v>
      </c>
      <c r="O22" s="637">
        <f>ROUND('Evolução atendimento INDIVIDUAL'!H22/'Dados de Entrada'!$D$18,0)</f>
        <v>2532</v>
      </c>
      <c r="P22" s="827">
        <f t="shared" si="10"/>
        <v>29</v>
      </c>
      <c r="Q22" s="724">
        <f t="shared" si="1"/>
        <v>59727</v>
      </c>
    </row>
    <row r="23" spans="1:17" s="18" customFormat="1" ht="15" customHeight="1">
      <c r="A23" s="684">
        <f t="shared" si="8"/>
        <v>19</v>
      </c>
      <c r="B23" s="319">
        <f>ROUND(('Evolução Atendimento'!I23/'Dados de Entrada'!$D$18),0)</f>
        <v>69727</v>
      </c>
      <c r="C23" s="319">
        <f t="shared" si="2"/>
        <v>793</v>
      </c>
      <c r="D23" s="319">
        <f>ROUND(('Evolução Atendimento'!J23/'Dados de Entrada'!$E$18),0)</f>
        <v>183</v>
      </c>
      <c r="E23" s="319">
        <f t="shared" si="9"/>
        <v>2</v>
      </c>
      <c r="F23" s="319">
        <f>ROUND(('Evolução Atendimento'!K23/'Dados de Entrada'!$F$18),0)</f>
        <v>73</v>
      </c>
      <c r="G23" s="319">
        <f t="shared" si="3"/>
        <v>1</v>
      </c>
      <c r="H23" s="724">
        <f t="shared" si="0"/>
        <v>69983</v>
      </c>
      <c r="I23" s="319">
        <f>ROUND('Evolução Atendimento'!O23/'Dados de Entrada'!$D$18,0)</f>
        <v>60192</v>
      </c>
      <c r="J23" s="319">
        <f t="shared" si="4"/>
        <v>684</v>
      </c>
      <c r="K23" s="319">
        <f>ROUND('Evolução Atendimento'!P23/'Dados de Entrada'!$E$18,0)</f>
        <v>158</v>
      </c>
      <c r="L23" s="319">
        <f t="shared" si="5"/>
        <v>1</v>
      </c>
      <c r="M23" s="319">
        <f>ROUND('Evolução Atendimento'!Q23/'Dados de Entrada'!$F$18,0)</f>
        <v>63</v>
      </c>
      <c r="N23" s="319">
        <f t="shared" si="6"/>
        <v>1</v>
      </c>
      <c r="O23" s="637">
        <f>ROUND('Evolução atendimento INDIVIDUAL'!H23/'Dados de Entrada'!$D$18,0)</f>
        <v>2561</v>
      </c>
      <c r="P23" s="827">
        <f t="shared" si="10"/>
        <v>29</v>
      </c>
      <c r="Q23" s="724">
        <f t="shared" si="1"/>
        <v>60413</v>
      </c>
    </row>
    <row r="24" spans="1:17" ht="15" customHeight="1">
      <c r="A24" s="684">
        <f t="shared" si="8"/>
        <v>20</v>
      </c>
      <c r="B24" s="319">
        <f>ROUND(('Evolução Atendimento'!I24/'Dados de Entrada'!$D$18),0)</f>
        <v>70528</v>
      </c>
      <c r="C24" s="319">
        <f t="shared" si="2"/>
        <v>801</v>
      </c>
      <c r="D24" s="319">
        <f>ROUND(('Evolução Atendimento'!J24/'Dados de Entrada'!$E$18),0)</f>
        <v>185</v>
      </c>
      <c r="E24" s="319">
        <f t="shared" si="9"/>
        <v>2</v>
      </c>
      <c r="F24" s="319">
        <f>ROUND(('Evolução Atendimento'!K24/'Dados de Entrada'!$F$18),0)</f>
        <v>74</v>
      </c>
      <c r="G24" s="319">
        <f t="shared" si="3"/>
        <v>1</v>
      </c>
      <c r="H24" s="724">
        <f t="shared" si="0"/>
        <v>70787</v>
      </c>
      <c r="I24" s="319">
        <f>ROUND('Evolução Atendimento'!O24/'Dados de Entrada'!$D$18,0)</f>
        <v>60884</v>
      </c>
      <c r="J24" s="319">
        <f t="shared" si="4"/>
        <v>692</v>
      </c>
      <c r="K24" s="319">
        <f>ROUND('Evolução Atendimento'!P24/'Dados de Entrada'!$E$18,0)</f>
        <v>160</v>
      </c>
      <c r="L24" s="319">
        <f t="shared" si="5"/>
        <v>2</v>
      </c>
      <c r="M24" s="319">
        <f>ROUND('Evolução Atendimento'!Q24/'Dados de Entrada'!$F$18,0)</f>
        <v>64</v>
      </c>
      <c r="N24" s="319">
        <f t="shared" si="6"/>
        <v>1</v>
      </c>
      <c r="O24" s="637">
        <f>ROUND('Evolução atendimento INDIVIDUAL'!H24/'Dados de Entrada'!$D$18,0)</f>
        <v>2591</v>
      </c>
      <c r="P24" s="827">
        <f t="shared" si="10"/>
        <v>30</v>
      </c>
      <c r="Q24" s="724">
        <f t="shared" si="1"/>
        <v>61108</v>
      </c>
    </row>
    <row r="25" spans="1:17" ht="15" customHeight="1">
      <c r="A25" s="684">
        <f t="shared" si="8"/>
        <v>21</v>
      </c>
      <c r="B25" s="319">
        <f>ROUND(('Evolução Atendimento'!I25/'Dados de Entrada'!$D$18),0)</f>
        <v>71340</v>
      </c>
      <c r="C25" s="319">
        <f t="shared" si="2"/>
        <v>812</v>
      </c>
      <c r="D25" s="319">
        <f>ROUND(('Evolução Atendimento'!J25/'Dados de Entrada'!$E$18),0)</f>
        <v>187</v>
      </c>
      <c r="E25" s="319">
        <f t="shared" si="9"/>
        <v>2</v>
      </c>
      <c r="F25" s="319">
        <f>ROUND(('Evolução Atendimento'!K25/'Dados de Entrada'!$F$18),0)</f>
        <v>75</v>
      </c>
      <c r="G25" s="319">
        <f t="shared" si="3"/>
        <v>1</v>
      </c>
      <c r="H25" s="724">
        <f t="shared" si="0"/>
        <v>71602</v>
      </c>
      <c r="I25" s="319">
        <f>ROUND('Evolução Atendimento'!O25/'Dados de Entrada'!$D$18,0)</f>
        <v>61585</v>
      </c>
      <c r="J25" s="319">
        <f t="shared" si="4"/>
        <v>701</v>
      </c>
      <c r="K25" s="319">
        <f>ROUND('Evolução Atendimento'!P25/'Dados de Entrada'!$E$18,0)</f>
        <v>162</v>
      </c>
      <c r="L25" s="319">
        <f t="shared" si="5"/>
        <v>2</v>
      </c>
      <c r="M25" s="319">
        <f>ROUND('Evolução Atendimento'!Q25/'Dados de Entrada'!$F$18,0)</f>
        <v>65</v>
      </c>
      <c r="N25" s="319">
        <f t="shared" si="6"/>
        <v>1</v>
      </c>
      <c r="O25" s="637">
        <f>ROUND('Evolução atendimento INDIVIDUAL'!H25/'Dados de Entrada'!$D$18,0)</f>
        <v>2621</v>
      </c>
      <c r="P25" s="827">
        <f t="shared" si="10"/>
        <v>30</v>
      </c>
      <c r="Q25" s="724">
        <f t="shared" si="1"/>
        <v>61812</v>
      </c>
    </row>
    <row r="26" spans="1:17" ht="15" customHeight="1">
      <c r="A26" s="684">
        <f t="shared" si="8"/>
        <v>22</v>
      </c>
      <c r="B26" s="319">
        <f>ROUND(('Evolução Atendimento'!I26/'Dados de Entrada'!$D$18),0)</f>
        <v>72160</v>
      </c>
      <c r="C26" s="319">
        <f t="shared" si="2"/>
        <v>820</v>
      </c>
      <c r="D26" s="319">
        <f>ROUND(('Evolução Atendimento'!J26/'Dados de Entrada'!$E$18),0)</f>
        <v>189</v>
      </c>
      <c r="E26" s="319">
        <f t="shared" si="9"/>
        <v>2</v>
      </c>
      <c r="F26" s="319">
        <f>ROUND(('Evolução Atendimento'!K26/'Dados de Entrada'!$F$18),0)</f>
        <v>76</v>
      </c>
      <c r="G26" s="319">
        <f t="shared" si="3"/>
        <v>1</v>
      </c>
      <c r="H26" s="724">
        <f t="shared" si="0"/>
        <v>72425</v>
      </c>
      <c r="I26" s="319">
        <f>ROUND('Evolução Atendimento'!O26/'Dados de Entrada'!$D$18,0)</f>
        <v>62293</v>
      </c>
      <c r="J26" s="319">
        <f t="shared" si="4"/>
        <v>708</v>
      </c>
      <c r="K26" s="319">
        <f>ROUND('Evolução Atendimento'!P26/'Dados de Entrada'!$E$18,0)</f>
        <v>164</v>
      </c>
      <c r="L26" s="319">
        <f t="shared" si="5"/>
        <v>2</v>
      </c>
      <c r="M26" s="319">
        <f>ROUND('Evolução Atendimento'!Q26/'Dados de Entrada'!$F$18,0)</f>
        <v>66</v>
      </c>
      <c r="N26" s="319">
        <f t="shared" si="6"/>
        <v>1</v>
      </c>
      <c r="O26" s="637">
        <f>ROUND('Evolução atendimento INDIVIDUAL'!H26/'Dados de Entrada'!$D$18,0)</f>
        <v>2651</v>
      </c>
      <c r="P26" s="827">
        <f t="shared" si="10"/>
        <v>30</v>
      </c>
      <c r="Q26" s="724">
        <f t="shared" si="1"/>
        <v>62523</v>
      </c>
    </row>
    <row r="27" spans="1:17" s="18" customFormat="1" ht="15" customHeight="1">
      <c r="A27" s="684">
        <f t="shared" si="8"/>
        <v>23</v>
      </c>
      <c r="B27" s="319">
        <f>ROUND(('Evolução Atendimento'!I27/'Dados de Entrada'!$D$18),0)</f>
        <v>72989</v>
      </c>
      <c r="C27" s="319">
        <f t="shared" si="2"/>
        <v>829</v>
      </c>
      <c r="D27" s="319">
        <f>ROUND(('Evolução Atendimento'!J27/'Dados de Entrada'!$E$18),0)</f>
        <v>192</v>
      </c>
      <c r="E27" s="319">
        <f t="shared" si="9"/>
        <v>3</v>
      </c>
      <c r="F27" s="319">
        <f>ROUND(('Evolução Atendimento'!K27/'Dados de Entrada'!$F$18),0)</f>
        <v>77</v>
      </c>
      <c r="G27" s="319">
        <f t="shared" si="3"/>
        <v>1</v>
      </c>
      <c r="H27" s="724">
        <f t="shared" si="0"/>
        <v>73258</v>
      </c>
      <c r="I27" s="319">
        <f>ROUND('Evolução Atendimento'!O27/'Dados de Entrada'!$D$18,0)</f>
        <v>63009</v>
      </c>
      <c r="J27" s="319">
        <f t="shared" si="4"/>
        <v>716</v>
      </c>
      <c r="K27" s="319">
        <f>ROUND('Evolução Atendimento'!P27/'Dados de Entrada'!$E$18,0)</f>
        <v>166</v>
      </c>
      <c r="L27" s="319">
        <f t="shared" si="5"/>
        <v>2</v>
      </c>
      <c r="M27" s="319">
        <f>ROUND('Evolução Atendimento'!Q27/'Dados de Entrada'!$F$18,0)</f>
        <v>67</v>
      </c>
      <c r="N27" s="319">
        <f t="shared" si="6"/>
        <v>1</v>
      </c>
      <c r="O27" s="637">
        <f>ROUND('Evolução atendimento INDIVIDUAL'!H27/'Dados de Entrada'!$D$18,0)</f>
        <v>2681</v>
      </c>
      <c r="P27" s="827">
        <f t="shared" si="10"/>
        <v>30</v>
      </c>
      <c r="Q27" s="724">
        <f t="shared" si="1"/>
        <v>63242</v>
      </c>
    </row>
    <row r="28" spans="1:17" s="18" customFormat="1" ht="15" customHeight="1">
      <c r="A28" s="684">
        <f t="shared" si="8"/>
        <v>24</v>
      </c>
      <c r="B28" s="319">
        <f>ROUND(('Evolução Atendimento'!I28/'Dados de Entrada'!$D$18),0)</f>
        <v>73829</v>
      </c>
      <c r="C28" s="319">
        <f t="shared" si="2"/>
        <v>840</v>
      </c>
      <c r="D28" s="319">
        <f>ROUND(('Evolução Atendimento'!J28/'Dados de Entrada'!$E$18),0)</f>
        <v>194</v>
      </c>
      <c r="E28" s="319">
        <f t="shared" si="9"/>
        <v>2</v>
      </c>
      <c r="F28" s="319">
        <f>ROUND(('Evolução Atendimento'!K28/'Dados de Entrada'!$F$18),0)</f>
        <v>79</v>
      </c>
      <c r="G28" s="319">
        <f t="shared" si="3"/>
        <v>2</v>
      </c>
      <c r="H28" s="724">
        <f t="shared" si="0"/>
        <v>74102</v>
      </c>
      <c r="I28" s="319">
        <f>ROUND('Evolução Atendimento'!O28/'Dados de Entrada'!$D$18,0)</f>
        <v>63735</v>
      </c>
      <c r="J28" s="319">
        <f t="shared" si="4"/>
        <v>726</v>
      </c>
      <c r="K28" s="319">
        <f>ROUND('Evolução Atendimento'!P28/'Dados de Entrada'!$E$18,0)</f>
        <v>168</v>
      </c>
      <c r="L28" s="319">
        <f t="shared" si="5"/>
        <v>2</v>
      </c>
      <c r="M28" s="319">
        <f>ROUND('Evolução Atendimento'!Q28/'Dados de Entrada'!$F$18,0)</f>
        <v>68</v>
      </c>
      <c r="N28" s="319">
        <f t="shared" si="6"/>
        <v>1</v>
      </c>
      <c r="O28" s="637">
        <f>ROUND('Evolução atendimento INDIVIDUAL'!H28/'Dados de Entrada'!$D$18,0)</f>
        <v>2711</v>
      </c>
      <c r="P28" s="827">
        <f t="shared" si="10"/>
        <v>30</v>
      </c>
      <c r="Q28" s="724">
        <f t="shared" si="1"/>
        <v>63971</v>
      </c>
    </row>
    <row r="29" spans="1:17" ht="15" customHeight="1">
      <c r="A29" s="684">
        <f t="shared" si="8"/>
        <v>25</v>
      </c>
      <c r="B29" s="319">
        <f>ROUND(('Evolução Atendimento'!I29/'Dados de Entrada'!$D$18),0)</f>
        <v>74679</v>
      </c>
      <c r="C29" s="319">
        <f t="shared" si="2"/>
        <v>850</v>
      </c>
      <c r="D29" s="319">
        <f>ROUND(('Evolução Atendimento'!J29/'Dados de Entrada'!$E$18),0)</f>
        <v>197</v>
      </c>
      <c r="E29" s="319">
        <f t="shared" si="9"/>
        <v>3</v>
      </c>
      <c r="F29" s="319">
        <f>ROUND(('Evolução Atendimento'!K29/'Dados de Entrada'!$F$18),0)</f>
        <v>80</v>
      </c>
      <c r="G29" s="319">
        <f t="shared" si="3"/>
        <v>1</v>
      </c>
      <c r="H29" s="724">
        <f t="shared" si="0"/>
        <v>74956</v>
      </c>
      <c r="I29" s="319">
        <f>ROUND('Evolução Atendimento'!O29/'Dados de Entrada'!$D$18,0)</f>
        <v>64469</v>
      </c>
      <c r="J29" s="319">
        <f t="shared" si="4"/>
        <v>734</v>
      </c>
      <c r="K29" s="319">
        <f>ROUND('Evolução Atendimento'!P29/'Dados de Entrada'!$E$18,0)</f>
        <v>170</v>
      </c>
      <c r="L29" s="319">
        <f t="shared" si="5"/>
        <v>2</v>
      </c>
      <c r="M29" s="319">
        <f>ROUND('Evolução Atendimento'!Q29/'Dados de Entrada'!$F$18,0)</f>
        <v>69</v>
      </c>
      <c r="N29" s="319">
        <f t="shared" si="6"/>
        <v>1</v>
      </c>
      <c r="O29" s="637">
        <f>ROUND('Evolução atendimento INDIVIDUAL'!H29/'Dados de Entrada'!$D$18,0)</f>
        <v>2743</v>
      </c>
      <c r="P29" s="827">
        <f t="shared" si="10"/>
        <v>32</v>
      </c>
      <c r="Q29" s="724">
        <f t="shared" si="1"/>
        <v>64708</v>
      </c>
    </row>
    <row r="30" spans="1:17" ht="15" customHeight="1">
      <c r="A30" s="684">
        <f t="shared" si="8"/>
        <v>26</v>
      </c>
      <c r="B30" s="319">
        <f>ROUND(('Evolução Atendimento'!I30/'Dados de Entrada'!$D$18),0)</f>
        <v>75538</v>
      </c>
      <c r="C30" s="319">
        <f t="shared" si="2"/>
        <v>859</v>
      </c>
      <c r="D30" s="319">
        <f>ROUND(('Evolução Atendimento'!J30/'Dados de Entrada'!$E$18),0)</f>
        <v>199</v>
      </c>
      <c r="E30" s="319">
        <f t="shared" si="9"/>
        <v>2</v>
      </c>
      <c r="F30" s="319">
        <f>ROUND(('Evolução Atendimento'!K30/'Dados de Entrada'!$F$18),0)</f>
        <v>81</v>
      </c>
      <c r="G30" s="319">
        <f t="shared" si="3"/>
        <v>1</v>
      </c>
      <c r="H30" s="724">
        <f t="shared" si="0"/>
        <v>75818</v>
      </c>
      <c r="I30" s="319">
        <f>ROUND('Evolução Atendimento'!O30/'Dados de Entrada'!$D$18,0)</f>
        <v>65210</v>
      </c>
      <c r="J30" s="319">
        <f t="shared" si="4"/>
        <v>741</v>
      </c>
      <c r="K30" s="319">
        <f>ROUND('Evolução Atendimento'!P30/'Dados de Entrada'!$E$18,0)</f>
        <v>172</v>
      </c>
      <c r="L30" s="319">
        <f t="shared" si="5"/>
        <v>2</v>
      </c>
      <c r="M30" s="319">
        <f>ROUND('Evolução Atendimento'!Q30/'Dados de Entrada'!$F$18,0)</f>
        <v>70</v>
      </c>
      <c r="N30" s="319">
        <f t="shared" si="6"/>
        <v>1</v>
      </c>
      <c r="O30" s="637">
        <f>ROUND('Evolução atendimento INDIVIDUAL'!H30/'Dados de Entrada'!$D$18,0)</f>
        <v>2774</v>
      </c>
      <c r="P30" s="827">
        <f t="shared" si="10"/>
        <v>31</v>
      </c>
      <c r="Q30" s="724">
        <f t="shared" si="1"/>
        <v>65452</v>
      </c>
    </row>
    <row r="31" spans="1:17" ht="15" customHeight="1">
      <c r="A31" s="684">
        <f t="shared" si="8"/>
        <v>27</v>
      </c>
      <c r="B31" s="319">
        <f>ROUND(('Evolução Atendimento'!I31/'Dados de Entrada'!$D$18),0)</f>
        <v>76406</v>
      </c>
      <c r="C31" s="319">
        <f t="shared" si="2"/>
        <v>868</v>
      </c>
      <c r="D31" s="319">
        <f>ROUND(('Evolução Atendimento'!J31/'Dados de Entrada'!$E$18),0)</f>
        <v>201</v>
      </c>
      <c r="E31" s="319">
        <f t="shared" si="9"/>
        <v>2</v>
      </c>
      <c r="F31" s="319">
        <f>ROUND(('Evolução Atendimento'!K31/'Dados de Entrada'!$F$18),0)</f>
        <v>82</v>
      </c>
      <c r="G31" s="319">
        <f t="shared" si="3"/>
        <v>1</v>
      </c>
      <c r="H31" s="724">
        <f t="shared" si="0"/>
        <v>76689</v>
      </c>
      <c r="I31" s="319">
        <f>ROUND('Evolução Atendimento'!O31/'Dados de Entrada'!$D$18,0)</f>
        <v>65960</v>
      </c>
      <c r="J31" s="319">
        <f t="shared" si="4"/>
        <v>750</v>
      </c>
      <c r="K31" s="319">
        <f>ROUND('Evolução Atendimento'!P31/'Dados de Entrada'!$E$18,0)</f>
        <v>174</v>
      </c>
      <c r="L31" s="319">
        <f t="shared" si="5"/>
        <v>2</v>
      </c>
      <c r="M31" s="319">
        <f>ROUND('Evolução Atendimento'!Q31/'Dados de Entrada'!$F$18,0)</f>
        <v>71</v>
      </c>
      <c r="N31" s="319">
        <f t="shared" si="6"/>
        <v>1</v>
      </c>
      <c r="O31" s="637">
        <f>ROUND('Evolução atendimento INDIVIDUAL'!H31/'Dados de Entrada'!$D$18,0)</f>
        <v>2805</v>
      </c>
      <c r="P31" s="827">
        <f t="shared" si="10"/>
        <v>31</v>
      </c>
      <c r="Q31" s="724">
        <f t="shared" si="1"/>
        <v>66205</v>
      </c>
    </row>
    <row r="32" spans="1:17" ht="15" customHeight="1">
      <c r="A32" s="684">
        <f t="shared" si="8"/>
        <v>28</v>
      </c>
      <c r="B32" s="319">
        <f>ROUND(('Evolução Atendimento'!I32/'Dados de Entrada'!$D$18),0)</f>
        <v>77285</v>
      </c>
      <c r="C32" s="319">
        <f t="shared" si="2"/>
        <v>879</v>
      </c>
      <c r="D32" s="319">
        <f>ROUND(('Evolução Atendimento'!J32/'Dados de Entrada'!$E$18),0)</f>
        <v>204</v>
      </c>
      <c r="E32" s="319">
        <f t="shared" si="9"/>
        <v>3</v>
      </c>
      <c r="F32" s="319">
        <f>ROUND(('Evolução Atendimento'!K32/'Dados de Entrada'!$F$18),0)</f>
        <v>83</v>
      </c>
      <c r="G32" s="319">
        <f t="shared" si="3"/>
        <v>1</v>
      </c>
      <c r="H32" s="724">
        <f t="shared" si="0"/>
        <v>77572</v>
      </c>
      <c r="I32" s="319">
        <f>ROUND('Evolução Atendimento'!O32/'Dados de Entrada'!$D$18,0)</f>
        <v>66719</v>
      </c>
      <c r="J32" s="319">
        <f t="shared" si="4"/>
        <v>759</v>
      </c>
      <c r="K32" s="319">
        <f>ROUND('Evolução Atendimento'!P32/'Dados de Entrada'!$E$18,0)</f>
        <v>176</v>
      </c>
      <c r="L32" s="319">
        <f t="shared" si="5"/>
        <v>2</v>
      </c>
      <c r="M32" s="319">
        <f>ROUND('Evolução Atendimento'!Q32/'Dados de Entrada'!$F$18,0)</f>
        <v>72</v>
      </c>
      <c r="N32" s="319">
        <f t="shared" si="6"/>
        <v>1</v>
      </c>
      <c r="O32" s="637">
        <f>ROUND('Evolução atendimento INDIVIDUAL'!H32/'Dados de Entrada'!$D$18,0)</f>
        <v>2838</v>
      </c>
      <c r="P32" s="827">
        <f t="shared" si="10"/>
        <v>33</v>
      </c>
      <c r="Q32" s="724">
        <f t="shared" si="1"/>
        <v>66967</v>
      </c>
    </row>
    <row r="33" spans="1:18" ht="15" customHeight="1">
      <c r="A33" s="684">
        <f t="shared" si="8"/>
        <v>29</v>
      </c>
      <c r="B33" s="319">
        <f>ROUND(('Evolução Atendimento'!I33/'Dados de Entrada'!$D$18),0)</f>
        <v>78174</v>
      </c>
      <c r="C33" s="319">
        <f t="shared" si="2"/>
        <v>889</v>
      </c>
      <c r="D33" s="319">
        <f>ROUND(('Evolução Atendimento'!J33/'Dados de Entrada'!$E$18),0)</f>
        <v>206</v>
      </c>
      <c r="E33" s="319">
        <f t="shared" si="9"/>
        <v>2</v>
      </c>
      <c r="F33" s="319">
        <f>ROUND(('Evolução Atendimento'!K33/'Dados de Entrada'!$F$18),0)</f>
        <v>84</v>
      </c>
      <c r="G33" s="319">
        <f t="shared" si="3"/>
        <v>1</v>
      </c>
      <c r="H33" s="724">
        <f t="shared" si="0"/>
        <v>78464</v>
      </c>
      <c r="I33" s="319">
        <f>ROUND('Evolução Atendimento'!O33/'Dados de Entrada'!$D$18,0)</f>
        <v>67486</v>
      </c>
      <c r="J33" s="319">
        <f t="shared" si="4"/>
        <v>767</v>
      </c>
      <c r="K33" s="319">
        <f>ROUND('Evolução Atendimento'!P33/'Dados de Entrada'!$E$18,0)</f>
        <v>178</v>
      </c>
      <c r="L33" s="319">
        <f t="shared" si="5"/>
        <v>2</v>
      </c>
      <c r="M33" s="319">
        <f>ROUND('Evolução Atendimento'!Q33/'Dados de Entrada'!$F$18,0)</f>
        <v>73</v>
      </c>
      <c r="N33" s="319">
        <f t="shared" si="6"/>
        <v>1</v>
      </c>
      <c r="O33" s="637">
        <f>ROUND('Evolução atendimento INDIVIDUAL'!H33/'Dados de Entrada'!$D$18,0)</f>
        <v>2870</v>
      </c>
      <c r="P33" s="827">
        <f t="shared" si="10"/>
        <v>32</v>
      </c>
      <c r="Q33" s="724">
        <f t="shared" si="1"/>
        <v>67737</v>
      </c>
    </row>
    <row r="34" spans="1:18" ht="15" customHeight="1">
      <c r="A34" s="684">
        <f t="shared" si="8"/>
        <v>30</v>
      </c>
      <c r="B34" s="319">
        <f>ROUND(('Evolução Atendimento'!I34/'Dados de Entrada'!$D$18),0)</f>
        <v>79074</v>
      </c>
      <c r="C34" s="319">
        <f>ROUND(B34-B33,0)</f>
        <v>900</v>
      </c>
      <c r="D34" s="319">
        <f>ROUND(('Evolução Atendimento'!J34/'Dados de Entrada'!$E$18),0)</f>
        <v>209</v>
      </c>
      <c r="E34" s="319">
        <f t="shared" si="9"/>
        <v>3</v>
      </c>
      <c r="F34" s="319">
        <f>ROUND(('Evolução Atendimento'!K34/'Dados de Entrada'!$F$18),0)</f>
        <v>85</v>
      </c>
      <c r="G34" s="319">
        <f t="shared" si="3"/>
        <v>1</v>
      </c>
      <c r="H34" s="724">
        <f t="shared" si="0"/>
        <v>79368</v>
      </c>
      <c r="I34" s="319">
        <f>ROUND('Evolução Atendimento'!O34/'Dados de Entrada'!$D$18,0)</f>
        <v>68263</v>
      </c>
      <c r="J34" s="319">
        <f t="shared" si="4"/>
        <v>777</v>
      </c>
      <c r="K34" s="319">
        <f>ROUND('Evolução Atendimento'!P34/'Dados de Entrada'!$E$18,0)</f>
        <v>180</v>
      </c>
      <c r="L34" s="319">
        <f t="shared" si="5"/>
        <v>2</v>
      </c>
      <c r="M34" s="319">
        <f>ROUND('Evolução Atendimento'!Q34/'Dados de Entrada'!$F$18,0)</f>
        <v>74</v>
      </c>
      <c r="N34" s="319">
        <f t="shared" si="6"/>
        <v>1</v>
      </c>
      <c r="O34" s="637">
        <f>ROUND('Evolução atendimento INDIVIDUAL'!H34/'Dados de Entrada'!$D$18,0)</f>
        <v>2903</v>
      </c>
      <c r="P34" s="827">
        <f t="shared" si="10"/>
        <v>33</v>
      </c>
      <c r="Q34" s="724">
        <f>I34+K34+M34</f>
        <v>68517</v>
      </c>
      <c r="R34" s="16">
        <f>O34/Q34</f>
        <v>4.2369047097800545E-2</v>
      </c>
    </row>
    <row r="35" spans="1:18" s="18" customFormat="1" ht="15" customHeight="1">
      <c r="A35" s="684"/>
      <c r="B35" s="684"/>
      <c r="C35" s="305">
        <f>SUM(C5:C34)</f>
        <v>24150</v>
      </c>
      <c r="D35" s="305"/>
      <c r="E35" s="305">
        <f>SUM(E4:E34)</f>
        <v>62</v>
      </c>
      <c r="F35" s="305"/>
      <c r="G35" s="305">
        <f>SUM(G4:G34)</f>
        <v>33</v>
      </c>
      <c r="H35" s="305"/>
      <c r="I35" s="711"/>
      <c r="J35" s="305">
        <f>SUM(J5:J34)</f>
        <v>68263</v>
      </c>
      <c r="K35" s="305"/>
      <c r="L35" s="305">
        <f>SUM(L5:L34)</f>
        <v>180</v>
      </c>
      <c r="M35" s="305"/>
      <c r="N35" s="305">
        <f>SUM(N5:N34)</f>
        <v>74</v>
      </c>
      <c r="O35" s="637"/>
      <c r="P35" s="828">
        <f>SUM(P6:P34)</f>
        <v>2903</v>
      </c>
      <c r="Q35" s="684"/>
    </row>
    <row r="36" spans="1:18" ht="15" customHeight="1">
      <c r="J36" s="712"/>
      <c r="K36" s="712"/>
      <c r="L36" s="712"/>
      <c r="M36" s="712"/>
      <c r="N36" s="712"/>
    </row>
    <row r="37" spans="1:18" ht="15" customHeight="1">
      <c r="J37" s="293"/>
      <c r="K37" s="293"/>
      <c r="L37" s="293"/>
      <c r="M37" s="293"/>
      <c r="N37" s="293"/>
      <c r="P37" s="26"/>
    </row>
  </sheetData>
  <mergeCells count="1">
    <mergeCell ref="A1:Q1"/>
  </mergeCells>
  <phoneticPr fontId="12" type="noConversion"/>
  <printOptions horizontalCentered="1"/>
  <pageMargins left="1.0629921259842521" right="1.0629921259842521" top="1.1811023622047245" bottom="0.39370078740157483" header="0.39370078740157483" footer="0.39370078740157483"/>
  <pageSetup paperSize="9" scale="80" fitToWidth="2" orientation="portrait" r:id="rId1"/>
  <headerFooter alignWithMargins="0"/>
  <ignoredErrors>
    <ignoredError sqref="D5:D34 F5:F34 I5:I34 K5:K34 M5:M34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AD101"/>
  <sheetViews>
    <sheetView showGridLines="0" showZeros="0" topLeftCell="E1" zoomScale="55" zoomScaleNormal="55" zoomScalePageLayoutView="90" workbookViewId="0">
      <pane ySplit="4" topLeftCell="A5" activePane="bottomLeft" state="frozen"/>
      <selection activeCell="L3" sqref="L3:L108"/>
      <selection pane="bottomLeft" activeCell="P8" sqref="P8"/>
    </sheetView>
  </sheetViews>
  <sheetFormatPr defaultColWidth="11.44140625" defaultRowHeight="15" customHeight="1"/>
  <cols>
    <col min="1" max="1" width="10.77734375" style="16" customWidth="1"/>
    <col min="2" max="2" width="29.6640625" style="16" customWidth="1"/>
    <col min="3" max="14" width="28.77734375" style="16" customWidth="1"/>
    <col min="15" max="15" width="26.109375" style="16" customWidth="1"/>
    <col min="16" max="16" width="24.77734375" style="16" customWidth="1"/>
    <col min="17" max="17" width="29.44140625" style="16" customWidth="1"/>
    <col min="18" max="18" width="20.77734375" style="16" customWidth="1"/>
    <col min="19" max="20" width="12.77734375" style="16" bestFit="1" customWidth="1"/>
    <col min="21" max="21" width="12.44140625" style="16" bestFit="1" customWidth="1"/>
    <col min="22" max="22" width="12.77734375" style="16" bestFit="1" customWidth="1"/>
    <col min="23" max="23" width="12.44140625" style="16" bestFit="1" customWidth="1"/>
    <col min="24" max="26" width="12.77734375" style="16" bestFit="1" customWidth="1"/>
    <col min="27" max="27" width="12.44140625" style="16" bestFit="1" customWidth="1"/>
    <col min="28" max="28" width="12.77734375" style="16" bestFit="1" customWidth="1"/>
    <col min="29" max="29" width="12.44140625" style="16" bestFit="1" customWidth="1"/>
    <col min="30" max="30" width="12.77734375" style="16" bestFit="1" customWidth="1"/>
    <col min="31" max="16384" width="11.44140625" style="16"/>
  </cols>
  <sheetData>
    <row r="1" spans="1:17" s="13" customFormat="1" ht="40.049999999999997" customHeight="1">
      <c r="A1" s="954" t="s">
        <v>267</v>
      </c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6"/>
    </row>
    <row r="2" spans="1:17" s="15" customFormat="1" ht="15" customHeight="1">
      <c r="A2" s="14"/>
      <c r="B2" s="494"/>
      <c r="C2" s="13"/>
      <c r="D2" s="13"/>
      <c r="J2" s="14"/>
    </row>
    <row r="3" spans="1:17" s="157" customFormat="1" ht="46.2" customHeight="1">
      <c r="A3" s="1" t="s">
        <v>48</v>
      </c>
      <c r="B3" s="1" t="s">
        <v>913</v>
      </c>
      <c r="C3" s="1" t="s">
        <v>1236</v>
      </c>
      <c r="D3" s="1" t="s">
        <v>914</v>
      </c>
      <c r="E3" s="1" t="s">
        <v>915</v>
      </c>
      <c r="F3" s="1" t="s">
        <v>916</v>
      </c>
      <c r="G3" s="1" t="s">
        <v>917</v>
      </c>
      <c r="H3" s="1" t="s">
        <v>988</v>
      </c>
      <c r="I3" s="1" t="s">
        <v>989</v>
      </c>
      <c r="J3" s="1" t="s">
        <v>918</v>
      </c>
      <c r="K3" s="1" t="s">
        <v>919</v>
      </c>
      <c r="L3" s="1" t="s">
        <v>920</v>
      </c>
      <c r="M3" s="1" t="s">
        <v>921</v>
      </c>
      <c r="N3" s="1" t="s">
        <v>922</v>
      </c>
      <c r="O3" s="1" t="s">
        <v>923</v>
      </c>
      <c r="P3" s="1" t="s">
        <v>998</v>
      </c>
      <c r="Q3" s="1" t="s">
        <v>999</v>
      </c>
    </row>
    <row r="4" spans="1:17" s="18" customFormat="1" ht="32.25" customHeight="1">
      <c r="A4" s="2">
        <v>0</v>
      </c>
      <c r="B4" s="152" t="s">
        <v>912</v>
      </c>
      <c r="C4" s="220">
        <f>'Dados de Entrada'!D15</f>
        <v>33737</v>
      </c>
      <c r="D4" s="152" t="s">
        <v>912</v>
      </c>
      <c r="E4" s="220">
        <f>'Dados de Entrada'!E15</f>
        <v>147</v>
      </c>
      <c r="F4" s="152" t="s">
        <v>912</v>
      </c>
      <c r="G4" s="220">
        <f>'Dados de Entrada'!F15</f>
        <v>52</v>
      </c>
      <c r="H4" s="724"/>
      <c r="I4" s="724"/>
      <c r="J4" s="152">
        <f>'Dados de Entrada'!D16</f>
        <v>0</v>
      </c>
      <c r="K4" s="2"/>
      <c r="L4" s="152">
        <f>'Dados de Entrada'!E16</f>
        <v>0</v>
      </c>
      <c r="M4" s="2"/>
      <c r="N4" s="152">
        <f>'Dados de Entrada'!F16</f>
        <v>0</v>
      </c>
      <c r="O4" s="2"/>
      <c r="P4" s="2"/>
      <c r="Q4" s="2"/>
    </row>
    <row r="5" spans="1:17" ht="15" customHeight="1">
      <c r="A5" s="2">
        <v>1</v>
      </c>
      <c r="B5" s="12">
        <f>ROUND('Evolução Economias'!B5/'Dados de Entrada'!$D$17,0)</f>
        <v>34215</v>
      </c>
      <c r="C5" s="12">
        <f>ROUND(('Evolução Economias'!B5/'Dados de Entrada'!D17)-C4,0)</f>
        <v>478</v>
      </c>
      <c r="D5" s="12">
        <f>ROUND('Evolução Economias'!D5/'Dados de Entrada'!$E$17,0)</f>
        <v>149</v>
      </c>
      <c r="E5" s="12">
        <f>D5-E4</f>
        <v>2</v>
      </c>
      <c r="F5" s="12">
        <f>'Evolução Economias'!F5/'Dados de Entrada'!$F$17</f>
        <v>53</v>
      </c>
      <c r="G5" s="12">
        <f>F5-G4</f>
        <v>1</v>
      </c>
      <c r="H5" s="319">
        <f>B5+D5+F5</f>
        <v>34417</v>
      </c>
      <c r="I5" s="319">
        <f>C5+E5+G5</f>
        <v>481</v>
      </c>
      <c r="J5" s="12">
        <f>J4</f>
        <v>0</v>
      </c>
      <c r="K5" s="12"/>
      <c r="L5" s="12">
        <f>L4</f>
        <v>0</v>
      </c>
      <c r="M5" s="12"/>
      <c r="N5" s="12">
        <f>N4</f>
        <v>0</v>
      </c>
      <c r="O5" s="12"/>
      <c r="P5" s="12">
        <f>J5+L5+N5</f>
        <v>0</v>
      </c>
      <c r="Q5" s="12">
        <f>SUM(K5+M5+O5)</f>
        <v>0</v>
      </c>
    </row>
    <row r="6" spans="1:17" ht="15" customHeight="1">
      <c r="A6" s="2">
        <f t="shared" ref="A6:A34" si="0" xml:space="preserve"> ( ( A5 ) + ( 1 ) )</f>
        <v>2</v>
      </c>
      <c r="B6" s="12">
        <f>ROUND('Evolução Economias'!B6/'Dados de Entrada'!$D$17,0)</f>
        <v>34693</v>
      </c>
      <c r="C6" s="12">
        <f>ROUND(B6-B5,0)</f>
        <v>478</v>
      </c>
      <c r="D6" s="12">
        <f>ROUND('Evolução Economias'!D6/'Dados de Entrada'!$E$17,0)</f>
        <v>151</v>
      </c>
      <c r="E6" s="12">
        <f>D6-D5</f>
        <v>2</v>
      </c>
      <c r="F6" s="12">
        <f>'Evolução Economias'!F6/'Dados de Entrada'!$F$17</f>
        <v>54</v>
      </c>
      <c r="G6" s="12">
        <f>F6-F5</f>
        <v>1</v>
      </c>
      <c r="H6" s="319">
        <f t="shared" ref="H6:H34" si="1">B6+D6+F6</f>
        <v>34898</v>
      </c>
      <c r="I6" s="319">
        <f t="shared" ref="I6:I34" si="2">C6+E6+G6</f>
        <v>481</v>
      </c>
      <c r="J6" s="12">
        <f>J5</f>
        <v>0</v>
      </c>
      <c r="K6" s="12">
        <f>J6-J5</f>
        <v>0</v>
      </c>
      <c r="L6" s="12"/>
      <c r="M6" s="12">
        <f>L6-L5</f>
        <v>0</v>
      </c>
      <c r="N6" s="12">
        <f>N5</f>
        <v>0</v>
      </c>
      <c r="O6" s="12">
        <f>N6-N5</f>
        <v>0</v>
      </c>
      <c r="P6" s="12">
        <f t="shared" ref="P6:P34" si="3">J6+L6+N6</f>
        <v>0</v>
      </c>
      <c r="Q6" s="12">
        <f t="shared" ref="Q6:Q34" si="4">SUM(K6+M6+O6)</f>
        <v>0</v>
      </c>
    </row>
    <row r="7" spans="1:17" ht="15" customHeight="1">
      <c r="A7" s="2">
        <f t="shared" si="0"/>
        <v>3</v>
      </c>
      <c r="B7" s="12">
        <f>ROUND('Evolução Economias'!B7/'Dados de Entrada'!$D$17,0)</f>
        <v>35171</v>
      </c>
      <c r="C7" s="12">
        <f>ROUND(B7-B6,0)</f>
        <v>478</v>
      </c>
      <c r="D7" s="12">
        <f>ROUND('Evolução Economias'!D7/'Dados de Entrada'!$E$17,0)</f>
        <v>153</v>
      </c>
      <c r="E7" s="12">
        <f>D7-D6</f>
        <v>2</v>
      </c>
      <c r="F7" s="12">
        <f>'Evolução Economias'!F7/'Dados de Entrada'!$F$17</f>
        <v>55</v>
      </c>
      <c r="G7" s="12">
        <f t="shared" ref="G7:G34" si="5">F7-F6</f>
        <v>1</v>
      </c>
      <c r="H7" s="319">
        <f t="shared" si="1"/>
        <v>35379</v>
      </c>
      <c r="I7" s="319">
        <f t="shared" si="2"/>
        <v>481</v>
      </c>
      <c r="J7" s="12">
        <f>'Evolução Economias'!I7/'Dados de Entrada'!$D$17</f>
        <v>0</v>
      </c>
      <c r="K7" s="12">
        <f t="shared" ref="K7:M34" si="6">J7-J6</f>
        <v>0</v>
      </c>
      <c r="L7" s="12">
        <f>'Evolução Economias'!K7/'Dados de Entrada'!$E$17</f>
        <v>0</v>
      </c>
      <c r="M7" s="12">
        <f t="shared" si="6"/>
        <v>0</v>
      </c>
      <c r="N7" s="12">
        <f>'Evolução Economias'!M7/'Dados de Entrada'!$F$17</f>
        <v>0</v>
      </c>
      <c r="O7" s="12">
        <f t="shared" ref="O7:O34" si="7">N7-N6</f>
        <v>0</v>
      </c>
      <c r="P7" s="12">
        <f t="shared" si="3"/>
        <v>0</v>
      </c>
      <c r="Q7" s="12">
        <f t="shared" si="4"/>
        <v>0</v>
      </c>
    </row>
    <row r="8" spans="1:17" ht="15" customHeight="1">
      <c r="A8" s="2">
        <f t="shared" si="0"/>
        <v>4</v>
      </c>
      <c r="B8" s="12">
        <f>ROUND('Evolução Economias'!B8/'Dados de Entrada'!$D$17,0)</f>
        <v>35649</v>
      </c>
      <c r="C8" s="12">
        <f t="shared" ref="C8:C34" si="8">ROUND(B8-B7,0)</f>
        <v>478</v>
      </c>
      <c r="D8" s="12">
        <f>ROUND('Evolução Economias'!D8/'Dados de Entrada'!$E$17,0)</f>
        <v>155</v>
      </c>
      <c r="E8" s="12">
        <f t="shared" ref="E8:E34" si="9">D8-D7</f>
        <v>2</v>
      </c>
      <c r="F8" s="12">
        <f>'Evolução Economias'!F8/'Dados de Entrada'!$F$17</f>
        <v>56</v>
      </c>
      <c r="G8" s="12">
        <f t="shared" si="5"/>
        <v>1</v>
      </c>
      <c r="H8" s="319">
        <f t="shared" si="1"/>
        <v>35860</v>
      </c>
      <c r="I8" s="319">
        <f t="shared" si="2"/>
        <v>481</v>
      </c>
      <c r="J8" s="12">
        <f>'Evolução Economias'!I8/'Dados de Entrada'!$D$17</f>
        <v>6838.4316692156435</v>
      </c>
      <c r="K8" s="12">
        <f t="shared" si="6"/>
        <v>6838.4316692156435</v>
      </c>
      <c r="L8" s="12">
        <f>'Evolução Economias'!K8/'Dados de Entrada'!$E$17</f>
        <v>30</v>
      </c>
      <c r="M8" s="12">
        <f t="shared" si="6"/>
        <v>30</v>
      </c>
      <c r="N8" s="12">
        <f>'Evolução Economias'!M8/'Dados de Entrada'!$F$17</f>
        <v>11</v>
      </c>
      <c r="O8" s="12">
        <f t="shared" si="7"/>
        <v>11</v>
      </c>
      <c r="P8" s="12">
        <f>J8+L8+N8</f>
        <v>6879.4316692156435</v>
      </c>
      <c r="Q8" s="12">
        <f t="shared" si="4"/>
        <v>6879.4316692156435</v>
      </c>
    </row>
    <row r="9" spans="1:17" ht="15" customHeight="1">
      <c r="A9" s="2">
        <f t="shared" si="0"/>
        <v>5</v>
      </c>
      <c r="B9" s="12">
        <f>ROUND('Evolução Economias'!B9/'Dados de Entrada'!$D$17,0)</f>
        <v>36126</v>
      </c>
      <c r="C9" s="12">
        <f t="shared" si="8"/>
        <v>477</v>
      </c>
      <c r="D9" s="12">
        <f>ROUND('Evolução Economias'!D9/'Dados de Entrada'!$E$17,0)</f>
        <v>157</v>
      </c>
      <c r="E9" s="12">
        <f t="shared" si="9"/>
        <v>2</v>
      </c>
      <c r="F9" s="12">
        <f>'Evolução Economias'!F9/'Dados de Entrada'!$F$17</f>
        <v>58</v>
      </c>
      <c r="G9" s="12">
        <f t="shared" si="5"/>
        <v>2</v>
      </c>
      <c r="H9" s="319">
        <f t="shared" si="1"/>
        <v>36341</v>
      </c>
      <c r="I9" s="319">
        <f t="shared" si="2"/>
        <v>481</v>
      </c>
      <c r="J9" s="12">
        <f>'Evolução Economias'!I9/'Dados de Entrada'!$D$17</f>
        <v>13860.52372369092</v>
      </c>
      <c r="K9" s="12">
        <f t="shared" si="6"/>
        <v>7022.0920544752762</v>
      </c>
      <c r="L9" s="12">
        <f>'Evolução Economias'!K9/'Dados de Entrada'!$E$17</f>
        <v>60</v>
      </c>
      <c r="M9" s="12">
        <f t="shared" si="6"/>
        <v>30</v>
      </c>
      <c r="N9" s="12">
        <f>'Evolução Economias'!M9/'Dados de Entrada'!$F$17</f>
        <v>22</v>
      </c>
      <c r="O9" s="12">
        <f t="shared" si="7"/>
        <v>11</v>
      </c>
      <c r="P9" s="12">
        <f t="shared" si="3"/>
        <v>13942.52372369092</v>
      </c>
      <c r="Q9" s="12">
        <f t="shared" si="4"/>
        <v>7063.0920544752762</v>
      </c>
    </row>
    <row r="10" spans="1:17" ht="15" customHeight="1">
      <c r="A10" s="2">
        <f t="shared" si="0"/>
        <v>6</v>
      </c>
      <c r="B10" s="12">
        <f>ROUND('Evolução Economias'!B10/'Dados de Entrada'!$D$17,0)</f>
        <v>36604</v>
      </c>
      <c r="C10" s="12">
        <f t="shared" si="8"/>
        <v>478</v>
      </c>
      <c r="D10" s="12">
        <f>ROUND('Evolução Economias'!D10/'Dados de Entrada'!$E$17,0)</f>
        <v>158</v>
      </c>
      <c r="E10" s="12">
        <f t="shared" si="9"/>
        <v>1</v>
      </c>
      <c r="F10" s="12">
        <f>'Evolução Economias'!F10/'Dados de Entrada'!$F$17</f>
        <v>59</v>
      </c>
      <c r="G10" s="12">
        <f t="shared" si="5"/>
        <v>1</v>
      </c>
      <c r="H10" s="319">
        <f t="shared" si="1"/>
        <v>36821</v>
      </c>
      <c r="I10" s="319">
        <f t="shared" si="2"/>
        <v>480</v>
      </c>
      <c r="J10" s="12">
        <f>'Evolução Economias'!I10/'Dados de Entrada'!$D$17</f>
        <v>21066.276163425828</v>
      </c>
      <c r="K10" s="12">
        <f t="shared" si="6"/>
        <v>7205.752439734908</v>
      </c>
      <c r="L10" s="12">
        <f>'Evolução Economias'!K10/'Dados de Entrada'!$E$17</f>
        <v>91</v>
      </c>
      <c r="M10" s="12">
        <f t="shared" si="6"/>
        <v>31</v>
      </c>
      <c r="N10" s="12">
        <f>'Evolução Economias'!M10/'Dados de Entrada'!$F$17</f>
        <v>34</v>
      </c>
      <c r="O10" s="12">
        <f t="shared" si="7"/>
        <v>12</v>
      </c>
      <c r="P10" s="12">
        <f t="shared" si="3"/>
        <v>21191.276163425828</v>
      </c>
      <c r="Q10" s="12">
        <f t="shared" si="4"/>
        <v>7248.752439734908</v>
      </c>
    </row>
    <row r="11" spans="1:17" ht="15" customHeight="1">
      <c r="A11" s="2">
        <f t="shared" si="0"/>
        <v>7</v>
      </c>
      <c r="B11" s="12">
        <f>ROUND('Evolução Economias'!B11/'Dados de Entrada'!$D$17,0)</f>
        <v>37082</v>
      </c>
      <c r="C11" s="12">
        <f t="shared" si="8"/>
        <v>478</v>
      </c>
      <c r="D11" s="12">
        <f>ROUND('Evolução Economias'!D11/'Dados de Entrada'!$E$17,0)</f>
        <v>160</v>
      </c>
      <c r="E11" s="12">
        <f t="shared" si="9"/>
        <v>2</v>
      </c>
      <c r="F11" s="12">
        <f>'Evolução Economias'!F11/'Dados de Entrada'!$F$17</f>
        <v>60</v>
      </c>
      <c r="G11" s="12">
        <f t="shared" si="5"/>
        <v>1</v>
      </c>
      <c r="H11" s="319">
        <f t="shared" si="1"/>
        <v>37302</v>
      </c>
      <c r="I11" s="319">
        <f t="shared" si="2"/>
        <v>481</v>
      </c>
      <c r="J11" s="12">
        <f>'Evolução Economias'!I11/'Dados de Entrada'!$D$17</f>
        <v>24897.960053892653</v>
      </c>
      <c r="K11" s="12">
        <f t="shared" si="6"/>
        <v>3831.6838904668257</v>
      </c>
      <c r="L11" s="12">
        <f>'Evolução Economias'!K11/'Dados de Entrada'!$E$17</f>
        <v>108</v>
      </c>
      <c r="M11" s="12">
        <f t="shared" si="6"/>
        <v>17</v>
      </c>
      <c r="N11" s="12">
        <f>'Evolução Economias'!M11/'Dados de Entrada'!$F$17</f>
        <v>40</v>
      </c>
      <c r="O11" s="12">
        <f t="shared" si="7"/>
        <v>6</v>
      </c>
      <c r="P11" s="12">
        <f t="shared" si="3"/>
        <v>25045.960053892653</v>
      </c>
      <c r="Q11" s="12">
        <f t="shared" si="4"/>
        <v>3854.6838904668257</v>
      </c>
    </row>
    <row r="12" spans="1:17" ht="15" customHeight="1">
      <c r="A12" s="2">
        <f t="shared" si="0"/>
        <v>8</v>
      </c>
      <c r="B12" s="12">
        <f>ROUND('Evolução Economias'!B12/'Dados de Entrada'!$D$17,0)</f>
        <v>37560</v>
      </c>
      <c r="C12" s="12">
        <f t="shared" si="8"/>
        <v>478</v>
      </c>
      <c r="D12" s="12">
        <f>ROUND('Evolução Economias'!D12/'Dados de Entrada'!$E$17,0)</f>
        <v>162</v>
      </c>
      <c r="E12" s="12">
        <f t="shared" si="9"/>
        <v>2</v>
      </c>
      <c r="F12" s="12">
        <f>'Evolução Economias'!F12/'Dados de Entrada'!$F$17</f>
        <v>61</v>
      </c>
      <c r="G12" s="12">
        <f t="shared" si="5"/>
        <v>1</v>
      </c>
      <c r="H12" s="319">
        <f t="shared" si="1"/>
        <v>37783</v>
      </c>
      <c r="I12" s="319">
        <f t="shared" si="2"/>
        <v>481</v>
      </c>
      <c r="J12" s="12">
        <f>'Evolução Economias'!I12/'Dados de Entrada'!$D$17</f>
        <v>28821.781261379361</v>
      </c>
      <c r="K12" s="12">
        <f t="shared" si="6"/>
        <v>3923.8212074867079</v>
      </c>
      <c r="L12" s="12">
        <f>'Evolução Economias'!K12/'Dados de Entrada'!$E$17</f>
        <v>125</v>
      </c>
      <c r="M12" s="12">
        <f t="shared" si="6"/>
        <v>17</v>
      </c>
      <c r="N12" s="12">
        <f>'Evolução Economias'!M12/'Dados de Entrada'!$F$17</f>
        <v>47</v>
      </c>
      <c r="O12" s="12">
        <f t="shared" si="7"/>
        <v>7</v>
      </c>
      <c r="P12" s="12">
        <f t="shared" si="3"/>
        <v>28993.781261379361</v>
      </c>
      <c r="Q12" s="12">
        <f t="shared" si="4"/>
        <v>3947.8212074867079</v>
      </c>
    </row>
    <row r="13" spans="1:17" ht="15" customHeight="1">
      <c r="A13" s="2">
        <f t="shared" si="0"/>
        <v>9</v>
      </c>
      <c r="B13" s="12">
        <f>ROUND('Evolução Economias'!B13/'Dados de Entrada'!$D$17,0)</f>
        <v>38038</v>
      </c>
      <c r="C13" s="12">
        <f t="shared" si="8"/>
        <v>478</v>
      </c>
      <c r="D13" s="12">
        <f>ROUND('Evolução Economias'!D13/'Dados de Entrada'!$E$17,0)</f>
        <v>164</v>
      </c>
      <c r="E13" s="12">
        <f t="shared" si="9"/>
        <v>2</v>
      </c>
      <c r="F13" s="12">
        <f>'Evolução Economias'!F13/'Dados de Entrada'!$F$17</f>
        <v>62</v>
      </c>
      <c r="G13" s="12">
        <f t="shared" si="5"/>
        <v>1</v>
      </c>
      <c r="H13" s="319">
        <f t="shared" si="1"/>
        <v>38264</v>
      </c>
      <c r="I13" s="319">
        <f t="shared" si="2"/>
        <v>481</v>
      </c>
      <c r="J13" s="12">
        <f>'Evolução Economias'!I13/'Dados de Entrada'!$D$17</f>
        <v>32836.511288325688</v>
      </c>
      <c r="K13" s="12">
        <f t="shared" si="6"/>
        <v>4014.7300269463267</v>
      </c>
      <c r="L13" s="12">
        <f>'Evolução Economias'!K13/'Dados de Entrada'!$E$17</f>
        <v>142</v>
      </c>
      <c r="M13" s="12">
        <f t="shared" si="6"/>
        <v>17</v>
      </c>
      <c r="N13" s="12">
        <f>'Evolução Economias'!M13/'Dados de Entrada'!$F$17</f>
        <v>53</v>
      </c>
      <c r="O13" s="12">
        <f t="shared" si="7"/>
        <v>6</v>
      </c>
      <c r="P13" s="12">
        <f t="shared" si="3"/>
        <v>33031.511288325688</v>
      </c>
      <c r="Q13" s="12">
        <f t="shared" si="4"/>
        <v>4037.7300269463267</v>
      </c>
    </row>
    <row r="14" spans="1:17" ht="15" customHeight="1">
      <c r="A14" s="2">
        <f t="shared" si="0"/>
        <v>10</v>
      </c>
      <c r="B14" s="12">
        <f>ROUND('Evolução Economias'!B14/'Dados de Entrada'!$D$17,0)</f>
        <v>38516</v>
      </c>
      <c r="C14" s="12">
        <f t="shared" si="8"/>
        <v>478</v>
      </c>
      <c r="D14" s="12">
        <f>ROUND('Evolução Economias'!D14/'Dados de Entrada'!$E$17,0)</f>
        <v>166</v>
      </c>
      <c r="E14" s="12">
        <f t="shared" si="9"/>
        <v>2</v>
      </c>
      <c r="F14" s="12">
        <f>'Evolução Economias'!F14/'Dados de Entrada'!$F$17</f>
        <v>63</v>
      </c>
      <c r="G14" s="12">
        <f t="shared" si="5"/>
        <v>1</v>
      </c>
      <c r="H14" s="319">
        <f t="shared" si="1"/>
        <v>38745</v>
      </c>
      <c r="I14" s="319">
        <f t="shared" si="2"/>
        <v>481</v>
      </c>
      <c r="J14" s="12">
        <f>'Evolução Economias'!I14/'Dados de Entrada'!$D$17</f>
        <v>33249.286468574763</v>
      </c>
      <c r="K14" s="12">
        <f t="shared" si="6"/>
        <v>412.77518024907477</v>
      </c>
      <c r="L14" s="12">
        <f>'Evolução Economias'!K14/'Dados de Entrada'!$E$17</f>
        <v>143</v>
      </c>
      <c r="M14" s="12">
        <f t="shared" si="6"/>
        <v>1</v>
      </c>
      <c r="N14" s="12">
        <f>'Evolução Economias'!M14/'Dados de Entrada'!$F$17</f>
        <v>54</v>
      </c>
      <c r="O14" s="12">
        <f t="shared" si="7"/>
        <v>1</v>
      </c>
      <c r="P14" s="12">
        <f t="shared" si="3"/>
        <v>33446.286468574763</v>
      </c>
      <c r="Q14" s="12">
        <f t="shared" si="4"/>
        <v>414.77518024907477</v>
      </c>
    </row>
    <row r="15" spans="1:17" ht="15" customHeight="1">
      <c r="A15" s="2">
        <f t="shared" si="0"/>
        <v>11</v>
      </c>
      <c r="B15" s="12">
        <f>ROUND('Evolução Economias'!B15/'Dados de Entrada'!$D$17,0)</f>
        <v>38994</v>
      </c>
      <c r="C15" s="12">
        <f t="shared" si="8"/>
        <v>478</v>
      </c>
      <c r="D15" s="12">
        <f>ROUND('Evolução Economias'!D15/'Dados de Entrada'!$E$17,0)</f>
        <v>168</v>
      </c>
      <c r="E15" s="12">
        <f t="shared" si="9"/>
        <v>2</v>
      </c>
      <c r="F15" s="12">
        <f>'Evolução Economias'!F15/'Dados de Entrada'!$F$17</f>
        <v>64</v>
      </c>
      <c r="G15" s="12">
        <f t="shared" si="5"/>
        <v>1</v>
      </c>
      <c r="H15" s="319">
        <f t="shared" si="1"/>
        <v>39226</v>
      </c>
      <c r="I15" s="319">
        <f t="shared" si="2"/>
        <v>481</v>
      </c>
      <c r="J15" s="12">
        <f>'Evolução Economias'!I15/'Dados de Entrada'!$D$17</f>
        <v>33661.447400043697</v>
      </c>
      <c r="K15" s="12">
        <f t="shared" si="6"/>
        <v>412.160931468934</v>
      </c>
      <c r="L15" s="12">
        <f>'Evolução Economias'!K15/'Dados de Entrada'!$E$17</f>
        <v>145</v>
      </c>
      <c r="M15" s="12">
        <f t="shared" si="6"/>
        <v>2</v>
      </c>
      <c r="N15" s="12">
        <f>'Evolução Economias'!M15/'Dados de Entrada'!$F$17</f>
        <v>55</v>
      </c>
      <c r="O15" s="12">
        <f t="shared" si="7"/>
        <v>1</v>
      </c>
      <c r="P15" s="12">
        <f t="shared" si="3"/>
        <v>33861.447400043697</v>
      </c>
      <c r="Q15" s="12">
        <f t="shared" si="4"/>
        <v>415.160931468934</v>
      </c>
    </row>
    <row r="16" spans="1:17" ht="15" customHeight="1">
      <c r="A16" s="2">
        <f t="shared" si="0"/>
        <v>12</v>
      </c>
      <c r="B16" s="12">
        <f>ROUND('Evolução Economias'!B16/'Dados de Entrada'!$D$17,0)</f>
        <v>39472</v>
      </c>
      <c r="C16" s="12">
        <f t="shared" si="8"/>
        <v>478</v>
      </c>
      <c r="D16" s="12">
        <f>ROUND('Evolução Economias'!D16/'Dados de Entrada'!$E$17,0)</f>
        <v>170</v>
      </c>
      <c r="E16" s="12">
        <f t="shared" si="9"/>
        <v>2</v>
      </c>
      <c r="F16" s="12">
        <f>'Evolução Economias'!F16/'Dados de Entrada'!$F$17</f>
        <v>65</v>
      </c>
      <c r="G16" s="12">
        <f t="shared" si="5"/>
        <v>1</v>
      </c>
      <c r="H16" s="319">
        <f t="shared" si="1"/>
        <v>39707</v>
      </c>
      <c r="I16" s="319">
        <f t="shared" si="2"/>
        <v>481</v>
      </c>
      <c r="J16" s="12">
        <f>'Evolução Economias'!I16/'Dados de Entrada'!$D$17</f>
        <v>34074.222580292771</v>
      </c>
      <c r="K16" s="12">
        <f t="shared" si="6"/>
        <v>412.77518024907477</v>
      </c>
      <c r="L16" s="12">
        <f>'Evolução Economias'!K16/'Dados de Entrada'!$E$17</f>
        <v>147</v>
      </c>
      <c r="M16" s="12">
        <f t="shared" si="6"/>
        <v>2</v>
      </c>
      <c r="N16" s="12">
        <f>'Evolução Economias'!M16/'Dados de Entrada'!$F$17</f>
        <v>56</v>
      </c>
      <c r="O16" s="12">
        <f t="shared" si="7"/>
        <v>1</v>
      </c>
      <c r="P16" s="12">
        <f t="shared" si="3"/>
        <v>34277.222580292771</v>
      </c>
      <c r="Q16" s="12">
        <f t="shared" si="4"/>
        <v>415.77518024907477</v>
      </c>
    </row>
    <row r="17" spans="1:17" ht="15" customHeight="1">
      <c r="A17" s="2">
        <f t="shared" si="0"/>
        <v>13</v>
      </c>
      <c r="B17" s="12">
        <f>ROUND('Evolução Economias'!B17/'Dados de Entrada'!$D$17,0)</f>
        <v>39950</v>
      </c>
      <c r="C17" s="12">
        <f t="shared" si="8"/>
        <v>478</v>
      </c>
      <c r="D17" s="12">
        <f>ROUND('Evolução Economias'!D17/'Dados de Entrada'!$E$17,0)</f>
        <v>172</v>
      </c>
      <c r="E17" s="12">
        <f t="shared" si="9"/>
        <v>2</v>
      </c>
      <c r="F17" s="12">
        <f>'Evolução Economias'!F17/'Dados de Entrada'!$F$17</f>
        <v>66</v>
      </c>
      <c r="G17" s="12">
        <f t="shared" si="5"/>
        <v>1</v>
      </c>
      <c r="H17" s="319">
        <f t="shared" si="1"/>
        <v>40188</v>
      </c>
      <c r="I17" s="319">
        <f t="shared" si="2"/>
        <v>481</v>
      </c>
      <c r="J17" s="12">
        <f>'Evolução Economias'!I17/'Dados de Entrada'!$D$17</f>
        <v>34486.997760541839</v>
      </c>
      <c r="K17" s="12">
        <f t="shared" si="6"/>
        <v>412.77518024906749</v>
      </c>
      <c r="L17" s="12">
        <f>'Evolução Economias'!K17/'Dados de Entrada'!$E$17</f>
        <v>148</v>
      </c>
      <c r="M17" s="12">
        <f t="shared" si="6"/>
        <v>1</v>
      </c>
      <c r="N17" s="12">
        <f>'Evolução Economias'!M17/'Dados de Entrada'!$F$17</f>
        <v>57</v>
      </c>
      <c r="O17" s="12">
        <f t="shared" si="7"/>
        <v>1</v>
      </c>
      <c r="P17" s="12">
        <f t="shared" si="3"/>
        <v>34691.997760541839</v>
      </c>
      <c r="Q17" s="12">
        <f t="shared" si="4"/>
        <v>414.77518024906749</v>
      </c>
    </row>
    <row r="18" spans="1:17" ht="15" customHeight="1">
      <c r="A18" s="2">
        <f t="shared" si="0"/>
        <v>14</v>
      </c>
      <c r="B18" s="12">
        <f>ROUND('Evolução Economias'!B18/'Dados de Entrada'!$D$17,0)</f>
        <v>40427</v>
      </c>
      <c r="C18" s="12">
        <f t="shared" si="8"/>
        <v>477</v>
      </c>
      <c r="D18" s="12">
        <f>ROUND('Evolução Economias'!D18/'Dados de Entrada'!$E$17,0)</f>
        <v>174</v>
      </c>
      <c r="E18" s="12">
        <f t="shared" si="9"/>
        <v>2</v>
      </c>
      <c r="F18" s="12">
        <f>'Evolução Economias'!F18/'Dados de Entrada'!$F$17</f>
        <v>67</v>
      </c>
      <c r="G18" s="12">
        <f t="shared" si="5"/>
        <v>1</v>
      </c>
      <c r="H18" s="319">
        <f t="shared" si="1"/>
        <v>40668</v>
      </c>
      <c r="I18" s="319">
        <f t="shared" si="2"/>
        <v>480</v>
      </c>
      <c r="J18" s="12">
        <f>'Evolução Economias'!I18/'Dados de Entrada'!$D$17</f>
        <v>34899.15869201078</v>
      </c>
      <c r="K18" s="12">
        <f t="shared" si="6"/>
        <v>412.16093146894127</v>
      </c>
      <c r="L18" s="12">
        <f>'Evolução Economias'!K18/'Dados de Entrada'!$E$17</f>
        <v>150</v>
      </c>
      <c r="M18" s="12">
        <f t="shared" si="6"/>
        <v>2</v>
      </c>
      <c r="N18" s="12">
        <f>'Evolução Economias'!M18/'Dados de Entrada'!$F$17</f>
        <v>58</v>
      </c>
      <c r="O18" s="12">
        <f t="shared" si="7"/>
        <v>1</v>
      </c>
      <c r="P18" s="12">
        <f t="shared" si="3"/>
        <v>35107.15869201078</v>
      </c>
      <c r="Q18" s="12">
        <f t="shared" si="4"/>
        <v>415.16093146894127</v>
      </c>
    </row>
    <row r="19" spans="1:17" ht="15" customHeight="1">
      <c r="A19" s="2">
        <f t="shared" si="0"/>
        <v>15</v>
      </c>
      <c r="B19" s="12">
        <f>ROUND('Evolução Economias'!B19/'Dados de Entrada'!$D$17,0)</f>
        <v>40905</v>
      </c>
      <c r="C19" s="12">
        <f t="shared" si="8"/>
        <v>478</v>
      </c>
      <c r="D19" s="12">
        <f>ROUND('Evolução Economias'!D19/'Dados de Entrada'!$E$17,0)</f>
        <v>176</v>
      </c>
      <c r="E19" s="12">
        <f t="shared" si="9"/>
        <v>2</v>
      </c>
      <c r="F19" s="12">
        <f>'Evolução Economias'!F19/'Dados de Entrada'!$F$17</f>
        <v>69</v>
      </c>
      <c r="G19" s="12">
        <f t="shared" si="5"/>
        <v>2</v>
      </c>
      <c r="H19" s="319">
        <f t="shared" si="1"/>
        <v>41150</v>
      </c>
      <c r="I19" s="319">
        <f t="shared" si="2"/>
        <v>482</v>
      </c>
      <c r="J19" s="12">
        <f>'Evolução Economias'!I19/'Dados de Entrada'!$D$17</f>
        <v>35311.933872259855</v>
      </c>
      <c r="K19" s="12">
        <f t="shared" si="6"/>
        <v>412.77518024907477</v>
      </c>
      <c r="L19" s="12">
        <f>'Evolução Economias'!K19/'Dados de Entrada'!$E$17</f>
        <v>152</v>
      </c>
      <c r="M19" s="12">
        <f t="shared" si="6"/>
        <v>2</v>
      </c>
      <c r="N19" s="12">
        <f>'Evolução Economias'!M19/'Dados de Entrada'!$F$17</f>
        <v>59</v>
      </c>
      <c r="O19" s="12">
        <f t="shared" si="7"/>
        <v>1</v>
      </c>
      <c r="P19" s="12">
        <f t="shared" si="3"/>
        <v>35522.933872259855</v>
      </c>
      <c r="Q19" s="12">
        <f t="shared" si="4"/>
        <v>415.77518024907477</v>
      </c>
    </row>
    <row r="20" spans="1:17" ht="15" customHeight="1">
      <c r="A20" s="2">
        <f t="shared" si="0"/>
        <v>16</v>
      </c>
      <c r="B20" s="12">
        <f>ROUND('Evolução Economias'!B20/'Dados de Entrada'!$D$17,0)</f>
        <v>41383</v>
      </c>
      <c r="C20" s="12">
        <f t="shared" si="8"/>
        <v>478</v>
      </c>
      <c r="D20" s="12">
        <f>ROUND('Evolução Economias'!D20/'Dados de Entrada'!$E$17,0)</f>
        <v>178</v>
      </c>
      <c r="E20" s="12">
        <f t="shared" si="9"/>
        <v>2</v>
      </c>
      <c r="F20" s="12">
        <f>'Evolução Economias'!F20/'Dados de Entrada'!$F$17</f>
        <v>70</v>
      </c>
      <c r="G20" s="12">
        <f t="shared" si="5"/>
        <v>1</v>
      </c>
      <c r="H20" s="319">
        <f t="shared" si="1"/>
        <v>41631</v>
      </c>
      <c r="I20" s="319">
        <f t="shared" si="2"/>
        <v>481</v>
      </c>
      <c r="J20" s="12">
        <f>'Evolução Economias'!I20/'Dados de Entrada'!$D$17</f>
        <v>35724.709052508922</v>
      </c>
      <c r="K20" s="12">
        <f t="shared" si="6"/>
        <v>412.77518024906749</v>
      </c>
      <c r="L20" s="12">
        <f>'Evolução Economias'!K20/'Dados de Entrada'!$E$17</f>
        <v>153</v>
      </c>
      <c r="M20" s="12">
        <f t="shared" si="6"/>
        <v>1</v>
      </c>
      <c r="N20" s="12">
        <f>'Evolução Economias'!M20/'Dados de Entrada'!$F$17</f>
        <v>60</v>
      </c>
      <c r="O20" s="12">
        <f t="shared" si="7"/>
        <v>1</v>
      </c>
      <c r="P20" s="12">
        <f t="shared" si="3"/>
        <v>35937.709052508922</v>
      </c>
      <c r="Q20" s="12">
        <f t="shared" si="4"/>
        <v>414.77518024906749</v>
      </c>
    </row>
    <row r="21" spans="1:17" ht="15" customHeight="1">
      <c r="A21" s="2">
        <f t="shared" si="0"/>
        <v>17</v>
      </c>
      <c r="B21" s="12">
        <f>ROUND('Evolução Economias'!B21/'Dados de Entrada'!$D$17,0)</f>
        <v>41861</v>
      </c>
      <c r="C21" s="12">
        <f t="shared" si="8"/>
        <v>478</v>
      </c>
      <c r="D21" s="12">
        <f>ROUND('Evolução Economias'!D21/'Dados de Entrada'!$E$17,0)</f>
        <v>179</v>
      </c>
      <c r="E21" s="12">
        <f t="shared" si="9"/>
        <v>1</v>
      </c>
      <c r="F21" s="12">
        <f>'Evolução Economias'!F21/'Dados de Entrada'!$F$17</f>
        <v>71</v>
      </c>
      <c r="G21" s="12">
        <f t="shared" si="5"/>
        <v>1</v>
      </c>
      <c r="H21" s="319">
        <f t="shared" si="1"/>
        <v>42111</v>
      </c>
      <c r="I21" s="319">
        <f t="shared" si="2"/>
        <v>480</v>
      </c>
      <c r="J21" s="12">
        <f>'Evolução Economias'!I21/'Dados de Entrada'!$D$17</f>
        <v>36137.484232757997</v>
      </c>
      <c r="K21" s="12">
        <f t="shared" si="6"/>
        <v>412.77518024907477</v>
      </c>
      <c r="L21" s="12">
        <f>'Evolução Economias'!K21/'Dados de Entrada'!$E$17</f>
        <v>155</v>
      </c>
      <c r="M21" s="12">
        <f t="shared" si="6"/>
        <v>2</v>
      </c>
      <c r="N21" s="12">
        <f>'Evolução Economias'!M21/'Dados de Entrada'!$F$17</f>
        <v>61</v>
      </c>
      <c r="O21" s="12">
        <f t="shared" si="7"/>
        <v>1</v>
      </c>
      <c r="P21" s="12">
        <f t="shared" si="3"/>
        <v>36353.484232757997</v>
      </c>
      <c r="Q21" s="12">
        <f t="shared" si="4"/>
        <v>415.77518024907477</v>
      </c>
    </row>
    <row r="22" spans="1:17" ht="15" customHeight="1">
      <c r="A22" s="2">
        <f t="shared" si="0"/>
        <v>18</v>
      </c>
      <c r="B22" s="12">
        <f>ROUND('Evolução Economias'!B22/'Dados de Entrada'!$D$17,0)</f>
        <v>42343</v>
      </c>
      <c r="C22" s="12">
        <f t="shared" si="8"/>
        <v>482</v>
      </c>
      <c r="D22" s="12">
        <f>ROUND('Evolução Economias'!D22/'Dados de Entrada'!$E$17,0)</f>
        <v>181</v>
      </c>
      <c r="E22" s="12">
        <f t="shared" si="9"/>
        <v>2</v>
      </c>
      <c r="F22" s="12">
        <f>'Evolução Economias'!F22/'Dados de Entrada'!$F$17</f>
        <v>72</v>
      </c>
      <c r="G22" s="12">
        <f t="shared" si="5"/>
        <v>1</v>
      </c>
      <c r="H22" s="319">
        <f t="shared" si="1"/>
        <v>42596</v>
      </c>
      <c r="I22" s="319">
        <f t="shared" si="2"/>
        <v>485</v>
      </c>
      <c r="J22" s="12">
        <f>'Evolução Economias'!I22/'Dados de Entrada'!$D$17</f>
        <v>36552.716408127599</v>
      </c>
      <c r="K22" s="12">
        <f t="shared" si="6"/>
        <v>415.23217536960146</v>
      </c>
      <c r="L22" s="12">
        <f>'Evolução Economias'!K22/'Dados de Entrada'!$E$17</f>
        <v>157</v>
      </c>
      <c r="M22" s="12">
        <f t="shared" si="6"/>
        <v>2</v>
      </c>
      <c r="N22" s="12">
        <f>'Evolução Economias'!M22/'Dados de Entrada'!$F$17</f>
        <v>62</v>
      </c>
      <c r="O22" s="12">
        <f t="shared" si="7"/>
        <v>1</v>
      </c>
      <c r="P22" s="12">
        <f t="shared" si="3"/>
        <v>36771.716408127599</v>
      </c>
      <c r="Q22" s="12">
        <f t="shared" si="4"/>
        <v>418.23217536960146</v>
      </c>
    </row>
    <row r="23" spans="1:17" s="18" customFormat="1" ht="15" customHeight="1">
      <c r="A23" s="2">
        <f t="shared" si="0"/>
        <v>19</v>
      </c>
      <c r="B23" s="12">
        <f>ROUND('Evolução Economias'!B23/'Dados de Entrada'!$D$17,0)</f>
        <v>42830</v>
      </c>
      <c r="C23" s="12">
        <f t="shared" si="8"/>
        <v>487</v>
      </c>
      <c r="D23" s="12">
        <f>ROUND('Evolução Economias'!D23/'Dados de Entrada'!$E$17,0)</f>
        <v>183</v>
      </c>
      <c r="E23" s="12">
        <f t="shared" si="9"/>
        <v>2</v>
      </c>
      <c r="F23" s="12">
        <f>'Evolução Economias'!F23/'Dados de Entrada'!$F$17</f>
        <v>73</v>
      </c>
      <c r="G23" s="12">
        <f t="shared" si="5"/>
        <v>1</v>
      </c>
      <c r="H23" s="319">
        <f t="shared" si="1"/>
        <v>43086</v>
      </c>
      <c r="I23" s="319">
        <f t="shared" si="2"/>
        <v>490</v>
      </c>
      <c r="J23" s="12">
        <f>'Evolução Economias'!I23/'Dados de Entrada'!$D$17</f>
        <v>36972.862573738261</v>
      </c>
      <c r="K23" s="12">
        <f t="shared" si="6"/>
        <v>420.14616561066214</v>
      </c>
      <c r="L23" s="12">
        <f>'Evolução Economias'!K23/'Dados de Entrada'!$E$17</f>
        <v>158</v>
      </c>
      <c r="M23" s="12">
        <f t="shared" si="6"/>
        <v>1</v>
      </c>
      <c r="N23" s="12">
        <f>'Evolução Economias'!M23/'Dados de Entrada'!$F$17</f>
        <v>63</v>
      </c>
      <c r="O23" s="12">
        <f t="shared" si="7"/>
        <v>1</v>
      </c>
      <c r="P23" s="12">
        <f t="shared" si="3"/>
        <v>37193.862573738261</v>
      </c>
      <c r="Q23" s="12">
        <f t="shared" si="4"/>
        <v>422.14616561066214</v>
      </c>
    </row>
    <row r="24" spans="1:17" ht="15" customHeight="1">
      <c r="A24" s="2">
        <f t="shared" si="0"/>
        <v>20</v>
      </c>
      <c r="B24" s="12">
        <f>ROUND('Evolução Economias'!B24/'Dados de Entrada'!$D$17,0)</f>
        <v>43322</v>
      </c>
      <c r="C24" s="12">
        <f t="shared" si="8"/>
        <v>492</v>
      </c>
      <c r="D24" s="12">
        <f>ROUND('Evolução Economias'!D24/'Dados de Entrada'!$E$17,0)</f>
        <v>185</v>
      </c>
      <c r="E24" s="12">
        <f t="shared" si="9"/>
        <v>2</v>
      </c>
      <c r="F24" s="12">
        <f>'Evolução Economias'!F24/'Dados de Entrada'!$F$17</f>
        <v>74</v>
      </c>
      <c r="G24" s="12">
        <f t="shared" si="5"/>
        <v>1</v>
      </c>
      <c r="H24" s="319">
        <f t="shared" si="1"/>
        <v>43581</v>
      </c>
      <c r="I24" s="319">
        <f t="shared" si="2"/>
        <v>495</v>
      </c>
      <c r="J24" s="12">
        <f>'Evolução Economias'!I24/'Dados de Entrada'!$D$17</f>
        <v>37397.922729589984</v>
      </c>
      <c r="K24" s="12">
        <f t="shared" si="6"/>
        <v>425.06015585172281</v>
      </c>
      <c r="L24" s="12">
        <f>'Evolução Economias'!K24/'Dados de Entrada'!$E$17</f>
        <v>160</v>
      </c>
      <c r="M24" s="12">
        <f t="shared" si="6"/>
        <v>2</v>
      </c>
      <c r="N24" s="12">
        <f>'Evolução Economias'!M24/'Dados de Entrada'!$F$17</f>
        <v>64</v>
      </c>
      <c r="O24" s="12">
        <f t="shared" si="7"/>
        <v>1</v>
      </c>
      <c r="P24" s="12">
        <f t="shared" si="3"/>
        <v>37621.922729589984</v>
      </c>
      <c r="Q24" s="12">
        <f t="shared" si="4"/>
        <v>428.06015585172281</v>
      </c>
    </row>
    <row r="25" spans="1:17" ht="15" customHeight="1">
      <c r="A25" s="2">
        <f t="shared" si="0"/>
        <v>21</v>
      </c>
      <c r="B25" s="12">
        <f>ROUND('Evolução Economias'!B25/'Dados de Entrada'!$D$17,0)</f>
        <v>43821</v>
      </c>
      <c r="C25" s="12">
        <f t="shared" si="8"/>
        <v>499</v>
      </c>
      <c r="D25" s="12">
        <f>ROUND('Evolução Economias'!D25/'Dados de Entrada'!$E$17,0)</f>
        <v>187</v>
      </c>
      <c r="E25" s="12">
        <f t="shared" si="9"/>
        <v>2</v>
      </c>
      <c r="F25" s="12">
        <f>'Evolução Economias'!F25/'Dados de Entrada'!$F$17</f>
        <v>75</v>
      </c>
      <c r="G25" s="12">
        <f t="shared" si="5"/>
        <v>1</v>
      </c>
      <c r="H25" s="319">
        <f t="shared" si="1"/>
        <v>44083</v>
      </c>
      <c r="I25" s="319">
        <f t="shared" si="2"/>
        <v>502</v>
      </c>
      <c r="J25" s="12">
        <f>'Evolução Economias'!I25/'Dados de Entrada'!$D$17</f>
        <v>37828.511124462893</v>
      </c>
      <c r="K25" s="12">
        <f t="shared" si="6"/>
        <v>430.5883948729097</v>
      </c>
      <c r="L25" s="12">
        <f>'Evolução Economias'!K25/'Dados de Entrada'!$E$17</f>
        <v>162</v>
      </c>
      <c r="M25" s="12">
        <f t="shared" si="6"/>
        <v>2</v>
      </c>
      <c r="N25" s="12">
        <f>'Evolução Economias'!M25/'Dados de Entrada'!$F$17</f>
        <v>65</v>
      </c>
      <c r="O25" s="12">
        <f t="shared" si="7"/>
        <v>1</v>
      </c>
      <c r="P25" s="12">
        <f t="shared" si="3"/>
        <v>38055.511124462893</v>
      </c>
      <c r="Q25" s="12">
        <f t="shared" si="4"/>
        <v>433.5883948729097</v>
      </c>
    </row>
    <row r="26" spans="1:17" ht="15" customHeight="1">
      <c r="A26" s="2">
        <f t="shared" si="0"/>
        <v>22</v>
      </c>
      <c r="B26" s="12">
        <f>ROUND('Evolução Economias'!B26/'Dados de Entrada'!$D$17,0)</f>
        <v>44324</v>
      </c>
      <c r="C26" s="12">
        <f t="shared" si="8"/>
        <v>503</v>
      </c>
      <c r="D26" s="12">
        <f>ROUND('Evolução Economias'!D26/'Dados de Entrada'!$E$17,0)</f>
        <v>189</v>
      </c>
      <c r="E26" s="12">
        <f t="shared" si="9"/>
        <v>2</v>
      </c>
      <c r="F26" s="12">
        <f>'Evolução Economias'!F26/'Dados de Entrada'!$F$17</f>
        <v>76</v>
      </c>
      <c r="G26" s="12">
        <f t="shared" si="5"/>
        <v>1</v>
      </c>
      <c r="H26" s="319">
        <f t="shared" si="1"/>
        <v>44589</v>
      </c>
      <c r="I26" s="319">
        <f t="shared" si="2"/>
        <v>506</v>
      </c>
      <c r="J26" s="12">
        <f>'Evolução Economias'!I26/'Dados de Entrada'!$D$17</f>
        <v>38263.399260796738</v>
      </c>
      <c r="K26" s="12">
        <f t="shared" si="6"/>
        <v>434.88813633384416</v>
      </c>
      <c r="L26" s="12">
        <f>'Evolução Economias'!K26/'Dados de Entrada'!$E$17</f>
        <v>164</v>
      </c>
      <c r="M26" s="12">
        <f t="shared" si="6"/>
        <v>2</v>
      </c>
      <c r="N26" s="12">
        <f>'Evolução Economias'!M26/'Dados de Entrada'!$F$17</f>
        <v>66</v>
      </c>
      <c r="O26" s="12">
        <f t="shared" si="7"/>
        <v>1</v>
      </c>
      <c r="P26" s="12">
        <f t="shared" si="3"/>
        <v>38493.399260796738</v>
      </c>
      <c r="Q26" s="12">
        <f t="shared" si="4"/>
        <v>437.88813633384416</v>
      </c>
    </row>
    <row r="27" spans="1:17" s="18" customFormat="1" ht="15" customHeight="1">
      <c r="A27" s="2">
        <f t="shared" si="0"/>
        <v>23</v>
      </c>
      <c r="B27" s="12">
        <f>ROUND('Evolução Economias'!B27/'Dados de Entrada'!$D$17,0)</f>
        <v>44833</v>
      </c>
      <c r="C27" s="12">
        <f t="shared" si="8"/>
        <v>509</v>
      </c>
      <c r="D27" s="12">
        <f>ROUND('Evolução Economias'!D27/'Dados de Entrada'!$E$17,0)</f>
        <v>192</v>
      </c>
      <c r="E27" s="12">
        <f t="shared" si="9"/>
        <v>3</v>
      </c>
      <c r="F27" s="12">
        <f>'Evolução Economias'!F27/'Dados de Entrada'!$F$17</f>
        <v>77</v>
      </c>
      <c r="G27" s="12">
        <f t="shared" si="5"/>
        <v>1</v>
      </c>
      <c r="H27" s="319">
        <f t="shared" si="1"/>
        <v>45102</v>
      </c>
      <c r="I27" s="319">
        <f t="shared" si="2"/>
        <v>513</v>
      </c>
      <c r="J27" s="12">
        <f>'Evolução Economias'!I27/'Dados de Entrada'!$D$17</f>
        <v>38703.201387371642</v>
      </c>
      <c r="K27" s="12">
        <f t="shared" si="6"/>
        <v>439.80212657490483</v>
      </c>
      <c r="L27" s="12">
        <f>'Evolução Economias'!K27/'Dados de Entrada'!$E$17</f>
        <v>166</v>
      </c>
      <c r="M27" s="12">
        <f t="shared" si="6"/>
        <v>2</v>
      </c>
      <c r="N27" s="12">
        <f>'Evolução Economias'!M27/'Dados de Entrada'!$F$17</f>
        <v>67</v>
      </c>
      <c r="O27" s="12">
        <f t="shared" si="7"/>
        <v>1</v>
      </c>
      <c r="P27" s="12">
        <f t="shared" si="3"/>
        <v>38936.201387371642</v>
      </c>
      <c r="Q27" s="12">
        <f t="shared" si="4"/>
        <v>442.80212657490483</v>
      </c>
    </row>
    <row r="28" spans="1:17" s="18" customFormat="1" ht="15" customHeight="1">
      <c r="A28" s="2">
        <f t="shared" si="0"/>
        <v>24</v>
      </c>
      <c r="B28" s="12">
        <f>ROUND('Evolução Economias'!B28/'Dados de Entrada'!$D$17,0)</f>
        <v>45349</v>
      </c>
      <c r="C28" s="12">
        <f t="shared" si="8"/>
        <v>516</v>
      </c>
      <c r="D28" s="12">
        <f>ROUND('Evolução Economias'!D28/'Dados de Entrada'!$E$17,0)</f>
        <v>194</v>
      </c>
      <c r="E28" s="12">
        <f t="shared" si="9"/>
        <v>2</v>
      </c>
      <c r="F28" s="12">
        <f>'Evolução Economias'!F28/'Dados de Entrada'!$F$17</f>
        <v>79</v>
      </c>
      <c r="G28" s="12">
        <f t="shared" si="5"/>
        <v>2</v>
      </c>
      <c r="H28" s="319">
        <f t="shared" si="1"/>
        <v>45622</v>
      </c>
      <c r="I28" s="319">
        <f t="shared" si="2"/>
        <v>520</v>
      </c>
      <c r="J28" s="12">
        <f>'Evolução Economias'!I28/'Dados de Entrada'!$D$17</f>
        <v>39149.146001747875</v>
      </c>
      <c r="K28" s="12">
        <f t="shared" si="6"/>
        <v>445.94461437623249</v>
      </c>
      <c r="L28" s="12">
        <f>'Evolução Economias'!K28/'Dados de Entrada'!$E$17</f>
        <v>168</v>
      </c>
      <c r="M28" s="12">
        <f t="shared" si="6"/>
        <v>2</v>
      </c>
      <c r="N28" s="12">
        <f>'Evolução Economias'!M28/'Dados de Entrada'!$F$17</f>
        <v>68</v>
      </c>
      <c r="O28" s="12">
        <f t="shared" si="7"/>
        <v>1</v>
      </c>
      <c r="P28" s="12">
        <f t="shared" si="3"/>
        <v>39385.146001747875</v>
      </c>
      <c r="Q28" s="12">
        <f t="shared" si="4"/>
        <v>448.94461437623249</v>
      </c>
    </row>
    <row r="29" spans="1:17" ht="15" customHeight="1">
      <c r="A29" s="2">
        <f t="shared" si="0"/>
        <v>25</v>
      </c>
      <c r="B29" s="12">
        <f>ROUND('Evolução Economias'!B29/'Dados de Entrada'!$D$17,0)</f>
        <v>45871</v>
      </c>
      <c r="C29" s="12">
        <f t="shared" si="8"/>
        <v>522</v>
      </c>
      <c r="D29" s="12">
        <f>ROUND('Evolução Economias'!D29/'Dados de Entrada'!$E$17,0)</f>
        <v>197</v>
      </c>
      <c r="E29" s="12">
        <f t="shared" si="9"/>
        <v>3</v>
      </c>
      <c r="F29" s="12">
        <f>'Evolução Economias'!F29/'Dados de Entrada'!$F$17</f>
        <v>80</v>
      </c>
      <c r="G29" s="12">
        <f t="shared" si="5"/>
        <v>1</v>
      </c>
      <c r="H29" s="319">
        <f t="shared" si="1"/>
        <v>46148</v>
      </c>
      <c r="I29" s="319">
        <f t="shared" si="2"/>
        <v>526</v>
      </c>
      <c r="J29" s="12">
        <f>'Evolução Economias'!I29/'Dados de Entrada'!$D$17</f>
        <v>39600.004606365161</v>
      </c>
      <c r="K29" s="12">
        <f t="shared" si="6"/>
        <v>450.85860461728589</v>
      </c>
      <c r="L29" s="12">
        <f>'Evolução Economias'!K29/'Dados de Entrada'!$E$17</f>
        <v>170</v>
      </c>
      <c r="M29" s="12">
        <f t="shared" si="6"/>
        <v>2</v>
      </c>
      <c r="N29" s="12">
        <f>'Evolução Economias'!M29/'Dados de Entrada'!$F$17</f>
        <v>69</v>
      </c>
      <c r="O29" s="12">
        <f t="shared" si="7"/>
        <v>1</v>
      </c>
      <c r="P29" s="12">
        <f t="shared" si="3"/>
        <v>39839.004606365161</v>
      </c>
      <c r="Q29" s="12">
        <f t="shared" si="4"/>
        <v>453.85860461728589</v>
      </c>
    </row>
    <row r="30" spans="1:17" ht="15" customHeight="1">
      <c r="A30" s="2">
        <f t="shared" si="0"/>
        <v>26</v>
      </c>
      <c r="B30" s="12">
        <f>ROUND('Evolução Economias'!B30/'Dados de Entrada'!$D$17,0)</f>
        <v>46399</v>
      </c>
      <c r="C30" s="12">
        <f t="shared" si="8"/>
        <v>528</v>
      </c>
      <c r="D30" s="12">
        <f>ROUND('Evolução Economias'!D30/'Dados de Entrada'!$E$17,0)</f>
        <v>199</v>
      </c>
      <c r="E30" s="12">
        <f t="shared" si="9"/>
        <v>2</v>
      </c>
      <c r="F30" s="12">
        <f>'Evolução Economias'!F30/'Dados de Entrada'!$F$17</f>
        <v>81</v>
      </c>
      <c r="G30" s="12">
        <f t="shared" si="5"/>
        <v>1</v>
      </c>
      <c r="H30" s="319">
        <f t="shared" si="1"/>
        <v>46679</v>
      </c>
      <c r="I30" s="319">
        <f t="shared" si="2"/>
        <v>531</v>
      </c>
      <c r="J30" s="12">
        <f>'Evolução Economias'!I30/'Dados de Entrada'!$D$17</f>
        <v>40055.162952443381</v>
      </c>
      <c r="K30" s="12">
        <f t="shared" si="6"/>
        <v>455.15834607822035</v>
      </c>
      <c r="L30" s="12">
        <f>'Evolução Economias'!K30/'Dados de Entrada'!$E$17</f>
        <v>172</v>
      </c>
      <c r="M30" s="12">
        <f t="shared" si="6"/>
        <v>2</v>
      </c>
      <c r="N30" s="12">
        <f>'Evolução Economias'!M30/'Dados de Entrada'!$F$17</f>
        <v>70</v>
      </c>
      <c r="O30" s="12">
        <f t="shared" si="7"/>
        <v>1</v>
      </c>
      <c r="P30" s="12">
        <f t="shared" si="3"/>
        <v>40297.162952443381</v>
      </c>
      <c r="Q30" s="12">
        <f t="shared" si="4"/>
        <v>458.15834607822035</v>
      </c>
    </row>
    <row r="31" spans="1:17" ht="15" customHeight="1">
      <c r="A31" s="2">
        <f t="shared" si="0"/>
        <v>27</v>
      </c>
      <c r="B31" s="12">
        <f>ROUND('Evolução Economias'!B31/'Dados de Entrada'!$D$17,0)</f>
        <v>46932</v>
      </c>
      <c r="C31" s="12">
        <f t="shared" si="8"/>
        <v>533</v>
      </c>
      <c r="D31" s="12">
        <f>ROUND('Evolução Economias'!D31/'Dados de Entrada'!$E$17,0)</f>
        <v>201</v>
      </c>
      <c r="E31" s="12">
        <f t="shared" si="9"/>
        <v>2</v>
      </c>
      <c r="F31" s="12">
        <f>'Evolução Economias'!F31/'Dados de Entrada'!$F$17</f>
        <v>82</v>
      </c>
      <c r="G31" s="12">
        <f t="shared" si="5"/>
        <v>1</v>
      </c>
      <c r="H31" s="319">
        <f t="shared" si="1"/>
        <v>47215</v>
      </c>
      <c r="I31" s="319">
        <f t="shared" si="2"/>
        <v>536</v>
      </c>
      <c r="J31" s="12">
        <f>'Evolução Economias'!I31/'Dados de Entrada'!$D$17</f>
        <v>40515.849537542788</v>
      </c>
      <c r="K31" s="12">
        <f t="shared" si="6"/>
        <v>460.68658509940724</v>
      </c>
      <c r="L31" s="12">
        <f>'Evolução Economias'!K31/'Dados de Entrada'!$E$17</f>
        <v>174</v>
      </c>
      <c r="M31" s="12">
        <f t="shared" si="6"/>
        <v>2</v>
      </c>
      <c r="N31" s="12">
        <f>'Evolução Economias'!M31/'Dados de Entrada'!$F$17</f>
        <v>71</v>
      </c>
      <c r="O31" s="12">
        <f t="shared" si="7"/>
        <v>1</v>
      </c>
      <c r="P31" s="12">
        <f t="shared" si="3"/>
        <v>40760.849537542788</v>
      </c>
      <c r="Q31" s="12">
        <f t="shared" si="4"/>
        <v>463.68658509940724</v>
      </c>
    </row>
    <row r="32" spans="1:17" ht="15" customHeight="1">
      <c r="A32" s="2">
        <f t="shared" si="0"/>
        <v>28</v>
      </c>
      <c r="B32" s="12">
        <f>ROUND('Evolução Economias'!B32/'Dados de Entrada'!$D$17,0)</f>
        <v>47472</v>
      </c>
      <c r="C32" s="12">
        <f t="shared" si="8"/>
        <v>540</v>
      </c>
      <c r="D32" s="12">
        <f>ROUND('Evolução Economias'!D32/'Dados de Entrada'!$E$17,0)</f>
        <v>204</v>
      </c>
      <c r="E32" s="12">
        <f t="shared" si="9"/>
        <v>3</v>
      </c>
      <c r="F32" s="12">
        <f>'Evolução Economias'!F32/'Dados de Entrada'!$F$17</f>
        <v>83</v>
      </c>
      <c r="G32" s="12">
        <f t="shared" si="5"/>
        <v>1</v>
      </c>
      <c r="H32" s="319">
        <f t="shared" si="1"/>
        <v>47759</v>
      </c>
      <c r="I32" s="319">
        <f t="shared" si="2"/>
        <v>544</v>
      </c>
      <c r="J32" s="12">
        <f>'Evolução Economias'!I32/'Dados de Entrada'!$D$17</f>
        <v>40982.06436166339</v>
      </c>
      <c r="K32" s="12">
        <f t="shared" si="6"/>
        <v>466.21482412060141</v>
      </c>
      <c r="L32" s="12">
        <f>'Evolução Economias'!K32/'Dados de Entrada'!$E$17</f>
        <v>176</v>
      </c>
      <c r="M32" s="12">
        <f t="shared" si="6"/>
        <v>2</v>
      </c>
      <c r="N32" s="12">
        <f>'Evolução Economias'!M32/'Dados de Entrada'!$F$17</f>
        <v>72</v>
      </c>
      <c r="O32" s="12">
        <f t="shared" si="7"/>
        <v>1</v>
      </c>
      <c r="P32" s="12">
        <f t="shared" si="3"/>
        <v>41230.06436166339</v>
      </c>
      <c r="Q32" s="12">
        <f t="shared" si="4"/>
        <v>469.21482412060141</v>
      </c>
    </row>
    <row r="33" spans="1:30" ht="15" customHeight="1">
      <c r="A33" s="2">
        <f t="shared" si="0"/>
        <v>29</v>
      </c>
      <c r="B33" s="12">
        <f>ROUND('Evolução Economias'!B33/'Dados de Entrada'!$D$17,0)</f>
        <v>48018</v>
      </c>
      <c r="C33" s="12">
        <f t="shared" si="8"/>
        <v>546</v>
      </c>
      <c r="D33" s="12">
        <f>ROUND('Evolução Economias'!D33/'Dados de Entrada'!$E$17,0)</f>
        <v>206</v>
      </c>
      <c r="E33" s="12">
        <f t="shared" si="9"/>
        <v>2</v>
      </c>
      <c r="F33" s="12">
        <f>'Evolução Economias'!F33/'Dados de Entrada'!$F$17</f>
        <v>84</v>
      </c>
      <c r="G33" s="12">
        <f t="shared" si="5"/>
        <v>1</v>
      </c>
      <c r="H33" s="319">
        <f t="shared" si="1"/>
        <v>48308</v>
      </c>
      <c r="I33" s="319">
        <f t="shared" si="2"/>
        <v>549</v>
      </c>
      <c r="J33" s="12">
        <f>'Evolução Economias'!I33/'Dados de Entrada'!$D$17</f>
        <v>41453.193176025052</v>
      </c>
      <c r="K33" s="12">
        <f t="shared" si="6"/>
        <v>471.12881436166208</v>
      </c>
      <c r="L33" s="12">
        <f>'Evolução Economias'!K33/'Dados de Entrada'!$E$17</f>
        <v>178</v>
      </c>
      <c r="M33" s="12">
        <f t="shared" si="6"/>
        <v>2</v>
      </c>
      <c r="N33" s="12">
        <f>'Evolução Economias'!M33/'Dados de Entrada'!$F$17</f>
        <v>73</v>
      </c>
      <c r="O33" s="12">
        <f t="shared" si="7"/>
        <v>1</v>
      </c>
      <c r="P33" s="12">
        <f t="shared" si="3"/>
        <v>41704.193176025052</v>
      </c>
      <c r="Q33" s="12">
        <f t="shared" si="4"/>
        <v>474.12881436166208</v>
      </c>
    </row>
    <row r="34" spans="1:30" ht="15" customHeight="1">
      <c r="A34" s="2">
        <f t="shared" si="0"/>
        <v>30</v>
      </c>
      <c r="B34" s="12">
        <f>ROUND('Evolução Economias'!B34/'Dados de Entrada'!$D$17,0)</f>
        <v>48571</v>
      </c>
      <c r="C34" s="12">
        <f t="shared" si="8"/>
        <v>553</v>
      </c>
      <c r="D34" s="12">
        <f>ROUND('Evolução Economias'!D34/'Dados de Entrada'!$E$17,0)</f>
        <v>209</v>
      </c>
      <c r="E34" s="12">
        <f t="shared" si="9"/>
        <v>3</v>
      </c>
      <c r="F34" s="12">
        <f>'Evolução Economias'!F34/'Dados de Entrada'!$F$17</f>
        <v>85</v>
      </c>
      <c r="G34" s="12">
        <f t="shared" si="5"/>
        <v>1</v>
      </c>
      <c r="H34" s="319">
        <f t="shared" si="1"/>
        <v>48865</v>
      </c>
      <c r="I34" s="319">
        <f t="shared" si="2"/>
        <v>557</v>
      </c>
      <c r="J34" s="12">
        <f>'Evolução Economias'!I34/'Dados de Entrada'!$D$17</f>
        <v>41930.464478188042</v>
      </c>
      <c r="K34" s="12">
        <f t="shared" si="6"/>
        <v>477.27130216298974</v>
      </c>
      <c r="L34" s="12">
        <f>'Evolução Economias'!K34/'Dados de Entrada'!$E$17</f>
        <v>180</v>
      </c>
      <c r="M34" s="12">
        <f t="shared" si="6"/>
        <v>2</v>
      </c>
      <c r="N34" s="12">
        <f>'Evolução Economias'!M34/'Dados de Entrada'!$F$17</f>
        <v>74</v>
      </c>
      <c r="O34" s="319">
        <f t="shared" si="7"/>
        <v>1</v>
      </c>
      <c r="P34" s="12">
        <f t="shared" si="3"/>
        <v>42184.464478188042</v>
      </c>
      <c r="Q34" s="12">
        <f t="shared" si="4"/>
        <v>480.27130216298974</v>
      </c>
    </row>
    <row r="35" spans="1:30" s="18" customFormat="1" ht="15" customHeight="1">
      <c r="C35" s="11">
        <f>SUM(C5:C34)</f>
        <v>14834</v>
      </c>
      <c r="D35" s="169"/>
      <c r="E35" s="305">
        <f>SUM(E5:E34)</f>
        <v>62</v>
      </c>
      <c r="F35" s="169"/>
      <c r="G35" s="305">
        <f>SUM(G5:G34)</f>
        <v>33</v>
      </c>
      <c r="H35" s="169"/>
      <c r="I35" s="711">
        <f>SUM(I5:I34)</f>
        <v>14929</v>
      </c>
      <c r="J35" s="11">
        <f>SUM(K5:K34)</f>
        <v>41930.464478188042</v>
      </c>
      <c r="K35" s="583"/>
      <c r="L35" s="11">
        <f>SUM(M5:M34)</f>
        <v>180</v>
      </c>
      <c r="M35" s="583"/>
      <c r="N35" s="305">
        <f>SUM(O5:O34)</f>
        <v>74</v>
      </c>
      <c r="O35" s="169"/>
      <c r="Q35" s="711">
        <f>SUM(Q5:Q34)</f>
        <v>42184.464478188042</v>
      </c>
    </row>
    <row r="41" spans="1:30" ht="17.55" customHeight="1"/>
    <row r="43" spans="1:30" ht="15" customHeight="1">
      <c r="A43" s="968"/>
      <c r="B43" s="968"/>
    </row>
    <row r="44" spans="1:30" ht="1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ht="1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</row>
    <row r="46" spans="1:30" ht="1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</row>
    <row r="47" spans="1:30" ht="15" customHeight="1">
      <c r="A47" s="968"/>
      <c r="B47" s="968"/>
    </row>
    <row r="48" spans="1:30" ht="1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</row>
    <row r="49" spans="1:30" ht="1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</row>
    <row r="50" spans="1:30" ht="1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</row>
    <row r="51" spans="1:30" ht="15" customHeight="1">
      <c r="A51" s="968"/>
      <c r="B51" s="968"/>
    </row>
    <row r="52" spans="1:30" ht="1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</row>
    <row r="53" spans="1:30" ht="1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</row>
    <row r="54" spans="1:30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</row>
    <row r="56" spans="1:30" ht="15" customHeight="1">
      <c r="A56" s="968"/>
      <c r="B56" s="968"/>
    </row>
    <row r="57" spans="1:30" ht="1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</row>
    <row r="58" spans="1:30" s="835" customFormat="1" ht="13.2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</row>
    <row r="59" spans="1:30" s="835" customFormat="1" ht="13.2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</row>
    <row r="60" spans="1:30" s="835" customFormat="1" ht="13.2">
      <c r="A60" s="968"/>
      <c r="B60" s="968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</row>
    <row r="61" spans="1:30" s="835" customFormat="1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</row>
    <row r="62" spans="1:30" s="835" customFormat="1" ht="13.2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s="835" customFormat="1" ht="13.2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</row>
    <row r="64" spans="1:30" s="835" customFormat="1" ht="13.2">
      <c r="A64" s="968"/>
      <c r="B64" s="968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</row>
    <row r="65" spans="1:30" s="835" customFormat="1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</row>
    <row r="66" spans="1:30" s="835" customFormat="1" ht="13.2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1:30" s="835" customFormat="1" ht="13.2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</row>
    <row r="68" spans="1:30" s="835" customFormat="1" ht="13.2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</row>
    <row r="69" spans="1:30" s="835" customFormat="1" ht="13.2">
      <c r="A69" s="968"/>
      <c r="B69" s="968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</row>
    <row r="70" spans="1:30" s="835" customFormat="1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</row>
    <row r="71" spans="1:30" s="835" customFormat="1" ht="13.2">
      <c r="A71" s="709"/>
      <c r="B71" s="709"/>
      <c r="C71" s="709"/>
      <c r="D71" s="709"/>
      <c r="E71" s="709"/>
      <c r="F71" s="709"/>
      <c r="G71" s="709"/>
      <c r="H71" s="709"/>
      <c r="I71" s="709"/>
      <c r="J71" s="709"/>
      <c r="K71" s="709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09"/>
      <c r="X71" s="709"/>
      <c r="Y71" s="709"/>
      <c r="Z71" s="709"/>
      <c r="AA71" s="709"/>
      <c r="AB71" s="709"/>
      <c r="AC71" s="709"/>
      <c r="AD71" s="709"/>
    </row>
    <row r="72" spans="1:30" s="835" customFormat="1" ht="13.2">
      <c r="A72" s="709"/>
      <c r="B72" s="709"/>
      <c r="C72" s="709"/>
      <c r="D72" s="709"/>
      <c r="E72" s="709"/>
      <c r="F72" s="709"/>
      <c r="G72" s="709"/>
      <c r="H72" s="709"/>
      <c r="I72" s="709"/>
      <c r="J72" s="709"/>
      <c r="K72" s="709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09"/>
      <c r="X72" s="709"/>
      <c r="Y72" s="709"/>
      <c r="Z72" s="709"/>
      <c r="AA72" s="709"/>
      <c r="AB72" s="709"/>
      <c r="AC72" s="709"/>
      <c r="AD72" s="709"/>
    </row>
    <row r="73" spans="1:30" s="835" customFormat="1" ht="13.2">
      <c r="A73" s="968"/>
      <c r="B73" s="968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</row>
    <row r="74" spans="1:30" s="835" customFormat="1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</row>
    <row r="75" spans="1:30" s="835" customFormat="1" ht="13.2">
      <c r="A75" s="709"/>
      <c r="B75" s="709"/>
      <c r="C75" s="709"/>
      <c r="D75" s="709"/>
      <c r="E75" s="709"/>
      <c r="F75" s="709"/>
      <c r="G75" s="709"/>
      <c r="H75" s="709"/>
      <c r="I75" s="709"/>
      <c r="J75" s="709"/>
      <c r="K75" s="709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09"/>
      <c r="X75" s="709"/>
      <c r="Y75" s="709"/>
      <c r="Z75" s="709"/>
      <c r="AA75" s="709"/>
      <c r="AB75" s="709"/>
      <c r="AC75" s="709"/>
      <c r="AD75" s="709"/>
    </row>
    <row r="76" spans="1:30" s="835" customFormat="1" ht="13.2">
      <c r="A76" s="709"/>
      <c r="B76" s="709"/>
      <c r="C76" s="709"/>
      <c r="D76" s="709"/>
      <c r="E76" s="709"/>
      <c r="F76" s="709"/>
      <c r="G76" s="709"/>
      <c r="H76" s="709"/>
      <c r="I76" s="709"/>
      <c r="J76" s="709"/>
      <c r="K76" s="709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09"/>
      <c r="X76" s="709"/>
      <c r="Y76" s="709"/>
      <c r="Z76" s="709"/>
      <c r="AA76" s="709"/>
      <c r="AB76" s="709"/>
      <c r="AC76" s="709"/>
      <c r="AD76" s="709"/>
    </row>
    <row r="77" spans="1:30" s="835" customFormat="1" ht="13.2">
      <c r="A77" s="968"/>
      <c r="B77" s="968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</row>
    <row r="78" spans="1:30" s="835" customFormat="1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</row>
    <row r="79" spans="1:30" s="835" customFormat="1" ht="13.2">
      <c r="A79" s="709"/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09"/>
      <c r="X79" s="709"/>
      <c r="Y79" s="709"/>
      <c r="Z79" s="709"/>
      <c r="AA79" s="709"/>
      <c r="AB79" s="709"/>
      <c r="AC79" s="709"/>
      <c r="AD79" s="709"/>
    </row>
    <row r="80" spans="1:30" s="835" customFormat="1" ht="13.2">
      <c r="A80" s="709"/>
      <c r="B80" s="709"/>
      <c r="C80" s="709"/>
      <c r="D80" s="709"/>
      <c r="E80" s="709"/>
      <c r="F80" s="709"/>
      <c r="G80" s="709"/>
      <c r="H80" s="709"/>
      <c r="I80" s="709"/>
      <c r="J80" s="709"/>
      <c r="K80" s="709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09"/>
      <c r="AA80" s="709"/>
      <c r="AB80" s="709"/>
      <c r="AC80" s="709"/>
      <c r="AD80" s="709"/>
    </row>
    <row r="81" spans="1:30" s="835" customFormat="1" ht="13.2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</row>
    <row r="83" spans="1:30" ht="15" customHeight="1">
      <c r="A83" s="968"/>
      <c r="B83" s="968"/>
    </row>
    <row r="84" spans="1:30" ht="1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</row>
    <row r="85" spans="1:30" ht="15" customHeight="1">
      <c r="A85" s="709"/>
      <c r="B85" s="709"/>
      <c r="C85" s="709"/>
      <c r="D85" s="709"/>
      <c r="E85" s="709"/>
      <c r="F85" s="709"/>
      <c r="G85" s="709"/>
      <c r="H85" s="709"/>
      <c r="I85" s="709"/>
      <c r="J85" s="709"/>
      <c r="K85" s="709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09"/>
      <c r="AA85" s="709"/>
      <c r="AB85" s="709"/>
      <c r="AC85" s="709"/>
      <c r="AD85" s="709"/>
    </row>
    <row r="86" spans="1:30" ht="15" customHeight="1">
      <c r="A86" s="709"/>
      <c r="B86" s="709"/>
      <c r="C86" s="709"/>
      <c r="D86" s="709"/>
      <c r="E86" s="709"/>
      <c r="F86" s="709"/>
      <c r="G86" s="709"/>
      <c r="H86" s="709"/>
      <c r="I86" s="709"/>
      <c r="J86" s="709"/>
      <c r="K86" s="709"/>
      <c r="L86" s="709"/>
      <c r="M86" s="709"/>
      <c r="N86" s="709"/>
      <c r="O86" s="709"/>
      <c r="P86" s="709"/>
      <c r="Q86" s="709"/>
      <c r="R86" s="709"/>
      <c r="S86" s="709"/>
      <c r="T86" s="709"/>
      <c r="U86" s="709"/>
      <c r="V86" s="709"/>
      <c r="W86" s="709"/>
      <c r="X86" s="709"/>
      <c r="Y86" s="709"/>
      <c r="Z86" s="709"/>
      <c r="AA86" s="709"/>
      <c r="AB86" s="709"/>
      <c r="AC86" s="709"/>
      <c r="AD86" s="709"/>
    </row>
    <row r="87" spans="1:30" ht="15" customHeight="1">
      <c r="A87" s="968"/>
      <c r="B87" s="968"/>
    </row>
    <row r="88" spans="1:30" ht="1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</row>
    <row r="89" spans="1:30" ht="15" customHeight="1">
      <c r="A89" s="709"/>
      <c r="B89" s="709"/>
      <c r="C89" s="709"/>
      <c r="D89" s="709"/>
      <c r="E89" s="709"/>
      <c r="F89" s="709"/>
      <c r="G89" s="709"/>
      <c r="H89" s="709"/>
      <c r="I89" s="709"/>
      <c r="J89" s="709"/>
      <c r="K89" s="709"/>
      <c r="L89" s="709"/>
      <c r="M89" s="709"/>
      <c r="N89" s="709"/>
      <c r="O89" s="709"/>
      <c r="P89" s="709"/>
      <c r="Q89" s="709"/>
      <c r="R89" s="709"/>
      <c r="S89" s="709"/>
      <c r="T89" s="709"/>
      <c r="U89" s="709"/>
      <c r="V89" s="709"/>
      <c r="W89" s="709"/>
      <c r="X89" s="709"/>
      <c r="Y89" s="709"/>
      <c r="Z89" s="709"/>
      <c r="AA89" s="709"/>
      <c r="AB89" s="709"/>
      <c r="AC89" s="709"/>
      <c r="AD89" s="709"/>
    </row>
    <row r="90" spans="1:30" ht="15" customHeight="1">
      <c r="A90" s="709"/>
      <c r="B90" s="709"/>
      <c r="C90" s="709"/>
      <c r="D90" s="709"/>
      <c r="E90" s="709"/>
      <c r="F90" s="709"/>
      <c r="G90" s="709"/>
      <c r="H90" s="709"/>
      <c r="I90" s="709"/>
      <c r="J90" s="709"/>
      <c r="K90" s="709"/>
      <c r="L90" s="709"/>
      <c r="M90" s="709"/>
      <c r="N90" s="709"/>
      <c r="O90" s="709"/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</row>
    <row r="91" spans="1:30" ht="15" customHeight="1">
      <c r="A91" s="968"/>
      <c r="B91" s="968"/>
    </row>
    <row r="92" spans="1:30" ht="1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</row>
    <row r="93" spans="1:30" ht="15" customHeight="1">
      <c r="A93" s="836"/>
      <c r="B93" s="836"/>
      <c r="C93" s="836"/>
      <c r="D93" s="836"/>
      <c r="E93" s="836"/>
      <c r="F93" s="836"/>
      <c r="G93" s="836"/>
      <c r="H93" s="836"/>
      <c r="I93" s="836"/>
      <c r="J93" s="836"/>
      <c r="K93" s="836"/>
      <c r="L93" s="836"/>
      <c r="M93" s="836"/>
      <c r="N93" s="836"/>
      <c r="O93" s="836"/>
      <c r="P93" s="836"/>
      <c r="Q93" s="836"/>
      <c r="R93" s="836"/>
      <c r="S93" s="836"/>
      <c r="T93" s="836"/>
      <c r="U93" s="836"/>
      <c r="V93" s="836"/>
      <c r="W93" s="836"/>
      <c r="X93" s="836"/>
      <c r="Y93" s="836"/>
      <c r="Z93" s="836"/>
      <c r="AA93" s="836"/>
      <c r="AB93" s="836"/>
      <c r="AC93" s="836"/>
      <c r="AD93" s="836"/>
    </row>
    <row r="94" spans="1:30" ht="15" customHeight="1">
      <c r="A94" s="836"/>
      <c r="B94" s="836"/>
      <c r="C94" s="836"/>
      <c r="D94" s="836"/>
      <c r="E94" s="836"/>
      <c r="F94" s="836"/>
      <c r="G94" s="836"/>
      <c r="H94" s="836"/>
      <c r="I94" s="836"/>
      <c r="J94" s="836"/>
      <c r="K94" s="836"/>
      <c r="L94" s="836"/>
      <c r="M94" s="836"/>
      <c r="N94" s="836"/>
      <c r="O94" s="836"/>
      <c r="P94" s="836"/>
      <c r="Q94" s="836"/>
      <c r="R94" s="836"/>
      <c r="S94" s="836"/>
      <c r="T94" s="836"/>
      <c r="U94" s="836"/>
      <c r="V94" s="836"/>
      <c r="W94" s="836"/>
      <c r="X94" s="836"/>
      <c r="Y94" s="836"/>
      <c r="Z94" s="836"/>
      <c r="AA94" s="836"/>
      <c r="AB94" s="836"/>
      <c r="AC94" s="836"/>
      <c r="AD94" s="836"/>
    </row>
    <row r="95" spans="1:30" ht="15" customHeight="1">
      <c r="A95" s="836"/>
      <c r="B95" s="836"/>
      <c r="C95" s="836"/>
      <c r="D95" s="836"/>
      <c r="E95" s="836"/>
      <c r="F95" s="836"/>
      <c r="G95" s="836"/>
      <c r="H95" s="836"/>
      <c r="I95" s="836"/>
      <c r="J95" s="836"/>
      <c r="K95" s="836"/>
      <c r="L95" s="836"/>
      <c r="M95" s="836"/>
      <c r="N95" s="836"/>
      <c r="O95" s="836"/>
      <c r="P95" s="836"/>
      <c r="Q95" s="836"/>
      <c r="R95" s="836"/>
      <c r="S95" s="836"/>
      <c r="T95" s="836"/>
      <c r="U95" s="836"/>
      <c r="V95" s="836"/>
      <c r="W95" s="836"/>
      <c r="X95" s="836"/>
      <c r="Y95" s="836"/>
      <c r="Z95" s="836"/>
      <c r="AA95" s="836"/>
      <c r="AB95" s="836"/>
      <c r="AC95" s="836"/>
      <c r="AD95" s="836"/>
    </row>
    <row r="96" spans="1:30" ht="15" customHeight="1">
      <c r="A96" s="836"/>
      <c r="B96" s="836"/>
      <c r="C96" s="836"/>
      <c r="D96" s="836"/>
      <c r="E96" s="836"/>
      <c r="F96" s="836"/>
      <c r="G96" s="836"/>
      <c r="H96" s="836"/>
      <c r="I96" s="836"/>
      <c r="J96" s="836"/>
      <c r="K96" s="836"/>
      <c r="L96" s="836"/>
      <c r="M96" s="836"/>
      <c r="N96" s="836"/>
      <c r="O96" s="836"/>
      <c r="P96" s="836"/>
      <c r="Q96" s="836"/>
      <c r="R96" s="836"/>
      <c r="S96" s="836"/>
      <c r="T96" s="836"/>
      <c r="U96" s="836"/>
      <c r="V96" s="836"/>
      <c r="W96" s="836"/>
      <c r="X96" s="836"/>
      <c r="Y96" s="836"/>
      <c r="Z96" s="836"/>
      <c r="AA96" s="836"/>
      <c r="AB96" s="836"/>
      <c r="AC96" s="836"/>
      <c r="AD96" s="836"/>
    </row>
    <row r="97" spans="1:30" ht="15" customHeight="1">
      <c r="A97" s="836"/>
      <c r="B97" s="836"/>
      <c r="C97" s="836"/>
      <c r="D97" s="836"/>
      <c r="E97" s="836"/>
      <c r="F97" s="836"/>
      <c r="G97" s="836"/>
      <c r="H97" s="836"/>
      <c r="I97" s="836"/>
      <c r="J97" s="836"/>
      <c r="K97" s="836"/>
      <c r="L97" s="836"/>
      <c r="M97" s="836"/>
      <c r="N97" s="836"/>
      <c r="O97" s="836"/>
      <c r="P97" s="836"/>
      <c r="Q97" s="836"/>
      <c r="R97" s="836"/>
      <c r="S97" s="836"/>
      <c r="T97" s="836"/>
      <c r="U97" s="836"/>
      <c r="V97" s="836"/>
      <c r="W97" s="836"/>
      <c r="X97" s="836"/>
      <c r="Y97" s="836"/>
      <c r="Z97" s="836"/>
      <c r="AA97" s="836"/>
      <c r="AB97" s="836"/>
      <c r="AC97" s="836"/>
      <c r="AD97" s="836"/>
    </row>
    <row r="98" spans="1:30" ht="15" customHeight="1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  <c r="Z98" s="729"/>
      <c r="AA98" s="729"/>
      <c r="AB98" s="729"/>
      <c r="AC98" s="729"/>
      <c r="AD98" s="729"/>
    </row>
    <row r="99" spans="1:30" ht="15" customHeight="1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  <c r="Z99" s="729"/>
      <c r="AA99" s="729"/>
      <c r="AB99" s="729"/>
      <c r="AC99" s="729"/>
      <c r="AD99" s="729"/>
    </row>
    <row r="101" spans="1:30" ht="15" customHeight="1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</row>
  </sheetData>
  <mergeCells count="13">
    <mergeCell ref="A91:B91"/>
    <mergeCell ref="A69:B69"/>
    <mergeCell ref="A73:B73"/>
    <mergeCell ref="A77:B77"/>
    <mergeCell ref="A1:N1"/>
    <mergeCell ref="A43:B43"/>
    <mergeCell ref="A56:B56"/>
    <mergeCell ref="A83:B83"/>
    <mergeCell ref="A47:B47"/>
    <mergeCell ref="A51:B51"/>
    <mergeCell ref="A60:B60"/>
    <mergeCell ref="A64:B64"/>
    <mergeCell ref="A87:B87"/>
  </mergeCells>
  <printOptions horizontalCentered="1"/>
  <pageMargins left="1.0629921259842521" right="1.0629921259842521" top="1.1811023622047245" bottom="0.39370078740157483" header="0.39370078740157483" footer="0.39370078740157483"/>
  <pageSetup paperSize="9" scale="80" fitToWidth="2" orientation="portrait" r:id="rId1"/>
  <headerFooter alignWithMargins="0"/>
  <ignoredErrors>
    <ignoredError sqref="J6 F5:F34 L7:L34 N6 N7:N34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AD34"/>
  <sheetViews>
    <sheetView showGridLines="0" showZeros="0" topLeftCell="Q1" zoomScale="85" zoomScaleNormal="85" zoomScalePageLayoutView="90" workbookViewId="0">
      <pane ySplit="3" topLeftCell="A4" activePane="bottomLeft" state="frozen"/>
      <selection activeCell="L3" sqref="L3:L108"/>
      <selection pane="bottomLeft" sqref="A1:XFD1048576"/>
    </sheetView>
  </sheetViews>
  <sheetFormatPr defaultColWidth="11.44140625" defaultRowHeight="15" customHeight="1"/>
  <cols>
    <col min="1" max="1" width="4.6640625" style="16" bestFit="1" customWidth="1"/>
    <col min="2" max="2" width="22.109375" style="16" bestFit="1" customWidth="1"/>
    <col min="3" max="3" width="29.109375" style="16" bestFit="1" customWidth="1"/>
    <col min="4" max="4" width="27" style="16" bestFit="1" customWidth="1"/>
    <col min="5" max="5" width="27.77734375" style="16" bestFit="1" customWidth="1"/>
    <col min="6" max="6" width="26.109375" style="16" bestFit="1" customWidth="1"/>
    <col min="7" max="7" width="36.77734375" style="16" bestFit="1" customWidth="1"/>
    <col min="8" max="8" width="28.44140625" style="16" bestFit="1" customWidth="1"/>
    <col min="9" max="9" width="28.77734375" style="16" bestFit="1" customWidth="1"/>
    <col min="10" max="10" width="30.44140625" style="16" bestFit="1" customWidth="1"/>
    <col min="11" max="11" width="30.109375" style="16" bestFit="1" customWidth="1"/>
    <col min="12" max="12" width="36.44140625" style="16" bestFit="1" customWidth="1"/>
    <col min="13" max="13" width="31.33203125" style="16" bestFit="1" customWidth="1"/>
    <col min="14" max="14" width="30.77734375" style="16" bestFit="1" customWidth="1"/>
    <col min="15" max="15" width="28.77734375" style="16" bestFit="1" customWidth="1"/>
    <col min="16" max="16" width="30.77734375" style="16" bestFit="1" customWidth="1"/>
    <col min="17" max="17" width="28.77734375" style="16" bestFit="1" customWidth="1"/>
    <col min="18" max="18" width="34.109375" style="16" bestFit="1" customWidth="1"/>
    <col min="19" max="20" width="37.109375" style="16" bestFit="1" customWidth="1"/>
    <col min="21" max="21" width="30.77734375" style="16" bestFit="1" customWidth="1"/>
    <col min="22" max="22" width="24.44140625" style="16" bestFit="1" customWidth="1"/>
    <col min="23" max="23" width="32.109375" style="16" bestFit="1" customWidth="1"/>
    <col min="24" max="24" width="9.44140625" style="16" bestFit="1" customWidth="1"/>
    <col min="25" max="25" width="43" style="16" bestFit="1" customWidth="1"/>
    <col min="26" max="26" width="17.109375" style="16" hidden="1" customWidth="1"/>
    <col min="27" max="28" width="11.44140625" style="16" hidden="1" customWidth="1"/>
    <col min="29" max="29" width="20.44140625" style="16" bestFit="1" customWidth="1"/>
    <col min="30" max="30" width="21.44140625" style="16" bestFit="1" customWidth="1"/>
    <col min="31" max="16384" width="11.44140625" style="16"/>
  </cols>
  <sheetData>
    <row r="1" spans="1:30" s="13" customFormat="1" ht="40.049999999999997" customHeight="1">
      <c r="A1" s="952" t="s">
        <v>270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</row>
    <row r="2" spans="1:30" s="15" customFormat="1" ht="15" customHeight="1">
      <c r="A2" s="14"/>
      <c r="B2" s="14"/>
      <c r="L2" s="14"/>
      <c r="S2" s="736"/>
    </row>
    <row r="3" spans="1:30" s="18" customFormat="1" ht="60.45" customHeight="1">
      <c r="A3" s="2" t="s">
        <v>48</v>
      </c>
      <c r="B3" s="1" t="s">
        <v>857</v>
      </c>
      <c r="C3" s="1" t="s">
        <v>858</v>
      </c>
      <c r="D3" s="1" t="s">
        <v>859</v>
      </c>
      <c r="E3" s="1" t="s">
        <v>860</v>
      </c>
      <c r="F3" s="1" t="s">
        <v>861</v>
      </c>
      <c r="G3" s="1" t="s">
        <v>862</v>
      </c>
      <c r="H3" s="1" t="s">
        <v>924</v>
      </c>
      <c r="I3" s="1" t="s">
        <v>925</v>
      </c>
      <c r="J3" s="1" t="s">
        <v>926</v>
      </c>
      <c r="K3" s="584" t="s">
        <v>990</v>
      </c>
      <c r="L3" s="584" t="s">
        <v>992</v>
      </c>
      <c r="M3" s="1" t="s">
        <v>933</v>
      </c>
      <c r="N3" s="1" t="s">
        <v>934</v>
      </c>
      <c r="O3" s="1" t="s">
        <v>935</v>
      </c>
      <c r="P3" s="1" t="s">
        <v>936</v>
      </c>
      <c r="Q3" s="1" t="s">
        <v>937</v>
      </c>
      <c r="R3" s="1" t="s">
        <v>938</v>
      </c>
      <c r="S3" s="1" t="s">
        <v>939</v>
      </c>
      <c r="T3" s="1" t="s">
        <v>940</v>
      </c>
      <c r="U3" s="1" t="s">
        <v>941</v>
      </c>
      <c r="V3" s="1" t="s">
        <v>991</v>
      </c>
      <c r="W3" s="1" t="s">
        <v>1167</v>
      </c>
      <c r="AC3" s="684" t="s">
        <v>1243</v>
      </c>
      <c r="AD3" s="684" t="s">
        <v>1244</v>
      </c>
    </row>
    <row r="4" spans="1:30" ht="15" customHeight="1">
      <c r="A4" s="376">
        <v>1</v>
      </c>
      <c r="B4" s="12">
        <f>'Dados de Entrada'!D32+('Evolução Ligações'!C5*'Dados de Entrada'!$D$42)</f>
        <v>474959</v>
      </c>
      <c r="C4" s="17">
        <f>(B4-'Dados de Entrada'!D32)*'Dados de Entrada'!$D$93</f>
        <v>717</v>
      </c>
      <c r="D4" s="12">
        <f>'Dados de Entrada'!E32+('Evolução Ligações'!E5*'Dados de Entrada'!$E$42)</f>
        <v>6730</v>
      </c>
      <c r="E4" s="17">
        <f>(D4-'Dados de Entrada'!E32)*'Dados de Entrada'!$D$93</f>
        <v>3</v>
      </c>
      <c r="F4" s="12">
        <f>'Dados de Entrada'!F32+('Evolução Ligações'!G5*'Dados de Entrada'!$F$42)</f>
        <v>1115</v>
      </c>
      <c r="G4" s="17">
        <f>(F4-'Dados de Entrada'!F32)*'Dados de Entrada'!$D$93</f>
        <v>1.5</v>
      </c>
      <c r="H4" s="17">
        <f>B4-'Dados de Entrada'!D32-'Evolução de Rede'!C4</f>
        <v>6453</v>
      </c>
      <c r="I4" s="17">
        <f>D4-'Dados de Entrada'!E32-'Evolução de Rede'!E4</f>
        <v>27</v>
      </c>
      <c r="J4" s="17">
        <f>F4-'Dados de Entrada'!F32-'Evolução de Rede'!G4</f>
        <v>13.5</v>
      </c>
      <c r="K4" s="321">
        <f>SUM(B4+D4+F4)</f>
        <v>482804</v>
      </c>
      <c r="L4" s="321">
        <f>C4+E4+G4</f>
        <v>721.5</v>
      </c>
      <c r="M4" s="12">
        <f>'Dados de Entrada'!D33</f>
        <v>0</v>
      </c>
      <c r="N4" s="17"/>
      <c r="O4" s="12">
        <f>'Dados de Entrada'!E33</f>
        <v>0</v>
      </c>
      <c r="P4" s="17"/>
      <c r="Q4" s="321"/>
      <c r="R4" s="321"/>
      <c r="S4" s="321"/>
      <c r="T4" s="321"/>
      <c r="U4" s="321"/>
      <c r="V4" s="321">
        <f>SUM(M4+O4+Q4)</f>
        <v>0</v>
      </c>
      <c r="W4" s="321">
        <f>SUM(N4+P4+R4)</f>
        <v>0</v>
      </c>
      <c r="X4" s="777">
        <f>527734</f>
        <v>527734</v>
      </c>
      <c r="Y4" s="773" t="s">
        <v>927</v>
      </c>
      <c r="Z4" s="774"/>
      <c r="AA4" s="775"/>
      <c r="AB4" s="776"/>
      <c r="AC4" s="318">
        <f>$X$13*'Evolução Atendimento'!M5</f>
        <v>0</v>
      </c>
      <c r="AD4" s="318">
        <f>AC4</f>
        <v>0</v>
      </c>
    </row>
    <row r="5" spans="1:30" ht="15" customHeight="1">
      <c r="A5" s="376">
        <f xml:space="preserve"> ( ( A4 ) + ( 1 ) )</f>
        <v>2</v>
      </c>
      <c r="B5" s="12">
        <f>B4+('Evolução Ligações'!C6*'Dados de Entrada'!$D$42)</f>
        <v>482129</v>
      </c>
      <c r="C5" s="17">
        <f>(B5-B4)*'Dados de Entrada'!$D$93</f>
        <v>717</v>
      </c>
      <c r="D5" s="12">
        <f>D4+('Evolução Ligações'!E6*'Dados de Entrada'!$E$42)</f>
        <v>6760</v>
      </c>
      <c r="E5" s="17">
        <f>(D5-D4)*'Dados de Entrada'!$D$93</f>
        <v>3</v>
      </c>
      <c r="F5" s="12">
        <f>F4+('Evolução Ligações'!G6*'Dados de Entrada'!$F$42)</f>
        <v>1130</v>
      </c>
      <c r="G5" s="17">
        <f>(F5-F4)*'Dados de Entrada'!$D$93</f>
        <v>1.5</v>
      </c>
      <c r="H5" s="17">
        <f>B5-B4-C5</f>
        <v>6453</v>
      </c>
      <c r="I5" s="17">
        <f>D5-D4-E5</f>
        <v>27</v>
      </c>
      <c r="J5" s="17">
        <f>F5-F4-G5</f>
        <v>13.5</v>
      </c>
      <c r="K5" s="321">
        <f t="shared" ref="K5:K33" si="0">SUM(B5+D5+F5)</f>
        <v>490019</v>
      </c>
      <c r="L5" s="321">
        <f t="shared" ref="L5:L33" si="1">C5+E5+G5</f>
        <v>721.5</v>
      </c>
      <c r="M5" s="12">
        <f>N5+S5</f>
        <v>0</v>
      </c>
      <c r="N5" s="17">
        <v>0</v>
      </c>
      <c r="O5" s="12">
        <f>N5+S5</f>
        <v>0</v>
      </c>
      <c r="P5" s="17">
        <v>0</v>
      </c>
      <c r="Q5" s="321"/>
      <c r="R5" s="321"/>
      <c r="S5" s="321"/>
      <c r="T5" s="321"/>
      <c r="U5" s="321"/>
      <c r="V5" s="321">
        <f t="shared" ref="V5" si="2">SUM(M5+O5+Q5)</f>
        <v>0</v>
      </c>
      <c r="W5" s="321">
        <f t="shared" ref="W5:W33" si="3">SUM(N5+P5+R5)</f>
        <v>0</v>
      </c>
      <c r="X5" s="777">
        <f>ROUND(X4/7,0)</f>
        <v>75391</v>
      </c>
      <c r="Y5" s="773" t="s">
        <v>928</v>
      </c>
      <c r="Z5" s="774"/>
      <c r="AA5" s="310"/>
      <c r="AC5" s="318">
        <f>$X$13*'Evolução Atendimento'!M6</f>
        <v>0</v>
      </c>
      <c r="AD5" s="318">
        <f>AD4+AC5</f>
        <v>0</v>
      </c>
    </row>
    <row r="6" spans="1:30" ht="15" customHeight="1">
      <c r="A6" s="376">
        <f t="shared" ref="A6:A33" si="4" xml:space="preserve"> ( ( A5 ) + ( 1 ) )</f>
        <v>3</v>
      </c>
      <c r="B6" s="12">
        <f>B5+('Evolução Ligações'!C7*'Dados de Entrada'!$D$42)</f>
        <v>489299</v>
      </c>
      <c r="C6" s="17">
        <f>(B6-B5)*'Dados de Entrada'!$D$93</f>
        <v>717</v>
      </c>
      <c r="D6" s="12">
        <f>D5+('Evolução Ligações'!E7*'Dados de Entrada'!$E$42)</f>
        <v>6790</v>
      </c>
      <c r="E6" s="17">
        <f>(D6-D5)*'Dados de Entrada'!$D$93</f>
        <v>3</v>
      </c>
      <c r="F6" s="12">
        <f>F5+('Evolução Ligações'!G7*'Dados de Entrada'!$F$42)</f>
        <v>1145</v>
      </c>
      <c r="G6" s="17">
        <f>(F6-F5)*'Dados de Entrada'!$D$93</f>
        <v>1.5</v>
      </c>
      <c r="H6" s="17">
        <f t="shared" ref="H6:H33" si="5">B6-B5-C6</f>
        <v>6453</v>
      </c>
      <c r="I6" s="17">
        <f t="shared" ref="I6:I33" si="6">D6-D5-E6</f>
        <v>27</v>
      </c>
      <c r="J6" s="17">
        <f t="shared" ref="J6:J33" si="7">F6-F5-G6</f>
        <v>13.5</v>
      </c>
      <c r="K6" s="321">
        <f t="shared" si="0"/>
        <v>497234</v>
      </c>
      <c r="L6" s="321">
        <f t="shared" si="1"/>
        <v>721.5</v>
      </c>
      <c r="M6" s="12">
        <f>N6+S6</f>
        <v>75391</v>
      </c>
      <c r="N6" s="17">
        <f>X5</f>
        <v>75391</v>
      </c>
      <c r="O6" s="12">
        <f>P6</f>
        <v>944</v>
      </c>
      <c r="P6" s="17">
        <f>X8</f>
        <v>944</v>
      </c>
      <c r="Q6" s="321">
        <f>R6</f>
        <v>155</v>
      </c>
      <c r="R6" s="321">
        <f>X11</f>
        <v>155</v>
      </c>
      <c r="S6" s="321">
        <f>('Evolução Atendimento'!R7-'Evolução Atendimento'!R6)*'Dados de Entrada'!$D$43*'Dados de Entrada'!$D$95</f>
        <v>0</v>
      </c>
      <c r="T6" s="321">
        <f>('Evolução Atendimento'!S7-'Evolução Atendimento'!S6)*'Dados de Entrada'!$D$43*'Dados de Entrada'!$D$95</f>
        <v>0</v>
      </c>
      <c r="U6" s="321">
        <f>('Evolução Atendimento'!T7-'Evolução Atendimento'!T6)*'Dados de Entrada'!$D$43*'Dados de Entrada'!$D$95</f>
        <v>0</v>
      </c>
      <c r="V6" s="321">
        <f>W6</f>
        <v>76490</v>
      </c>
      <c r="W6" s="321">
        <f>SUM(N6+P6+R6)</f>
        <v>76490</v>
      </c>
      <c r="AC6" s="318">
        <f>$X$13*'Evolução Atendimento'!M7</f>
        <v>0</v>
      </c>
      <c r="AD6" s="318">
        <f t="shared" ref="AD6:AD11" si="8">AD5+AC6</f>
        <v>0</v>
      </c>
    </row>
    <row r="7" spans="1:30" ht="15" customHeight="1">
      <c r="A7" s="376">
        <f t="shared" si="4"/>
        <v>4</v>
      </c>
      <c r="B7" s="12">
        <f>B6+('Evolução Ligações'!C8*'Dados de Entrada'!$D$42)</f>
        <v>496469</v>
      </c>
      <c r="C7" s="17">
        <f>(B7-B6)*'Dados de Entrada'!$D$93</f>
        <v>717</v>
      </c>
      <c r="D7" s="12">
        <f>D6+('Evolução Ligações'!E8*'Dados de Entrada'!$E$42)</f>
        <v>6820</v>
      </c>
      <c r="E7" s="17">
        <f>(D7-D6)*'Dados de Entrada'!$D$93</f>
        <v>3</v>
      </c>
      <c r="F7" s="12">
        <f>F6+('Evolução Ligações'!G8*'Dados de Entrada'!$F$42)</f>
        <v>1160</v>
      </c>
      <c r="G7" s="17">
        <f>(F7-F6)*'Dados de Entrada'!$D$93</f>
        <v>1.5</v>
      </c>
      <c r="H7" s="17">
        <f t="shared" si="5"/>
        <v>6453</v>
      </c>
      <c r="I7" s="17">
        <f t="shared" si="6"/>
        <v>27</v>
      </c>
      <c r="J7" s="17">
        <f t="shared" si="7"/>
        <v>13.5</v>
      </c>
      <c r="K7" s="321">
        <f t="shared" si="0"/>
        <v>504449</v>
      </c>
      <c r="L7" s="321">
        <f t="shared" si="1"/>
        <v>721.5</v>
      </c>
      <c r="M7" s="12">
        <f>M6+N7+S7</f>
        <v>160264.0878879957</v>
      </c>
      <c r="N7" s="17">
        <f>N6</f>
        <v>75391</v>
      </c>
      <c r="O7" s="12">
        <f>P7+O6</f>
        <v>1888</v>
      </c>
      <c r="P7" s="321">
        <f t="shared" ref="P7:P12" si="9">P6</f>
        <v>944</v>
      </c>
      <c r="Q7" s="321">
        <f>Q6+R7</f>
        <v>310</v>
      </c>
      <c r="R7" s="321">
        <f t="shared" ref="R7:R12" si="10">R6</f>
        <v>155</v>
      </c>
      <c r="S7" s="321">
        <f>('Evolução Atendimento'!R8-'Evolução Atendimento'!R7)*'Dados de Entrada'!$D$43*'Dados de Entrada'!$D$95</f>
        <v>9482.0878879956927</v>
      </c>
      <c r="T7" s="321">
        <f>('Evolução Atendimento'!S8-'Evolução Atendimento'!S7)*'Dados de Entrada'!$D$43*'Dados de Entrada'!$D$95</f>
        <v>27.888493788222629</v>
      </c>
      <c r="U7" s="321">
        <f>('Evolução Atendimento'!T8-'Evolução Atendimento'!T7)*'Dados de Entrada'!$D$43*'Dados de Entrada'!$D$95</f>
        <v>4.4981441593907467</v>
      </c>
      <c r="V7" s="321">
        <f>V6+W7</f>
        <v>152980</v>
      </c>
      <c r="W7" s="321">
        <f t="shared" si="3"/>
        <v>76490</v>
      </c>
      <c r="X7" s="16">
        <v>6611</v>
      </c>
      <c r="Y7" s="716" t="s">
        <v>929</v>
      </c>
      <c r="AC7" s="318">
        <f>$X$13*0.2</f>
        <v>4060</v>
      </c>
      <c r="AD7" s="318">
        <f t="shared" si="8"/>
        <v>4060</v>
      </c>
    </row>
    <row r="8" spans="1:30" ht="15" customHeight="1">
      <c r="A8" s="376">
        <f t="shared" si="4"/>
        <v>5</v>
      </c>
      <c r="B8" s="12">
        <f>B7+('Evolução Ligações'!C9*'Dados de Entrada'!$D$42)</f>
        <v>503624</v>
      </c>
      <c r="C8" s="17">
        <f>(B8-B7)*'Dados de Entrada'!$D$93</f>
        <v>715.5</v>
      </c>
      <c r="D8" s="12">
        <f>D7+('Evolução Ligações'!E9*'Dados de Entrada'!$E$42)</f>
        <v>6850</v>
      </c>
      <c r="E8" s="17">
        <f>(D8-D7)*'Dados de Entrada'!$D$93</f>
        <v>3</v>
      </c>
      <c r="F8" s="12">
        <f>F7+('Evolução Ligações'!G9*'Dados de Entrada'!$F$42)</f>
        <v>1190</v>
      </c>
      <c r="G8" s="17">
        <f>(F8-F7)*'Dados de Entrada'!$D$93</f>
        <v>3</v>
      </c>
      <c r="H8" s="17">
        <f t="shared" si="5"/>
        <v>6439.5</v>
      </c>
      <c r="I8" s="17">
        <f t="shared" si="6"/>
        <v>27</v>
      </c>
      <c r="J8" s="17">
        <f t="shared" si="7"/>
        <v>27</v>
      </c>
      <c r="K8" s="321">
        <f t="shared" si="0"/>
        <v>511664</v>
      </c>
      <c r="L8" s="321">
        <f t="shared" si="1"/>
        <v>721.5</v>
      </c>
      <c r="M8" s="12">
        <f t="shared" ref="M8:M33" si="11">M7+N8+S8</f>
        <v>245391.77073541292</v>
      </c>
      <c r="N8" s="17">
        <f t="shared" ref="N8:N12" si="12">N7</f>
        <v>75391</v>
      </c>
      <c r="O8" s="12">
        <f t="shared" ref="O8:O33" si="13">P8+O7</f>
        <v>2832</v>
      </c>
      <c r="P8" s="321">
        <f t="shared" si="9"/>
        <v>944</v>
      </c>
      <c r="Q8" s="321">
        <f t="shared" ref="Q8:Q33" si="14">Q7+R8</f>
        <v>465</v>
      </c>
      <c r="R8" s="321">
        <f t="shared" si="10"/>
        <v>155</v>
      </c>
      <c r="S8" s="321">
        <f>('Evolução Atendimento'!R9-'Evolução Atendimento'!R8)*'Dados de Entrada'!$D$43*'Dados de Entrada'!$D$95</f>
        <v>9736.6828474172089</v>
      </c>
      <c r="T8" s="321">
        <f>('Evolução Atendimento'!S9-'Evolução Atendimento'!S8)*'Dados de Entrada'!$D$43*'Dados de Entrada'!$D$95</f>
        <v>28.788122620100776</v>
      </c>
      <c r="U8" s="321">
        <f>('Evolução Atendimento'!T9-'Evolução Atendimento'!T8)*'Dados de Entrada'!$D$43*'Dados de Entrada'!$D$95</f>
        <v>4.4981441593907467</v>
      </c>
      <c r="V8" s="321">
        <f t="shared" ref="V8:V33" si="15">V7+W8</f>
        <v>229470</v>
      </c>
      <c r="W8" s="321">
        <f t="shared" si="3"/>
        <v>76490</v>
      </c>
      <c r="X8" s="16">
        <f>ROUND(X7/7,0)</f>
        <v>944</v>
      </c>
      <c r="Y8" s="716" t="s">
        <v>930</v>
      </c>
      <c r="AC8" s="318">
        <f t="shared" ref="AC8:AC11" si="16">$X$13*0.2</f>
        <v>4060</v>
      </c>
      <c r="AD8" s="318">
        <f t="shared" si="8"/>
        <v>8120</v>
      </c>
    </row>
    <row r="9" spans="1:30" ht="15" customHeight="1">
      <c r="A9" s="376">
        <f t="shared" si="4"/>
        <v>6</v>
      </c>
      <c r="B9" s="12">
        <f>B8+('Evolução Ligações'!C10*'Dados de Entrada'!$D$42)</f>
        <v>510794</v>
      </c>
      <c r="C9" s="17">
        <f>(B9-B8)*'Dados de Entrada'!$D$93</f>
        <v>717</v>
      </c>
      <c r="D9" s="12">
        <f>D8+('Evolução Ligações'!E10*'Dados de Entrada'!$E$42)</f>
        <v>6865</v>
      </c>
      <c r="E9" s="17">
        <f>(D9-D8)*'Dados de Entrada'!$D$93</f>
        <v>1.5</v>
      </c>
      <c r="F9" s="12">
        <f>F8+('Evolução Ligações'!G10*'Dados de Entrada'!$F$42)</f>
        <v>1205</v>
      </c>
      <c r="G9" s="17">
        <f>(F9-F8)*'Dados de Entrada'!$D$93</f>
        <v>1.5</v>
      </c>
      <c r="H9" s="17">
        <f t="shared" si="5"/>
        <v>6453</v>
      </c>
      <c r="I9" s="17">
        <f t="shared" si="6"/>
        <v>13.5</v>
      </c>
      <c r="J9" s="17">
        <f t="shared" si="7"/>
        <v>13.5</v>
      </c>
      <c r="K9" s="321">
        <f t="shared" si="0"/>
        <v>518864</v>
      </c>
      <c r="L9" s="321">
        <f t="shared" si="1"/>
        <v>720</v>
      </c>
      <c r="M9" s="12">
        <f t="shared" si="11"/>
        <v>330773.59872783575</v>
      </c>
      <c r="N9" s="17">
        <f t="shared" si="12"/>
        <v>75391</v>
      </c>
      <c r="O9" s="12">
        <f t="shared" si="13"/>
        <v>3776</v>
      </c>
      <c r="P9" s="321">
        <f t="shared" si="9"/>
        <v>944</v>
      </c>
      <c r="Q9" s="321">
        <f t="shared" si="14"/>
        <v>620</v>
      </c>
      <c r="R9" s="321">
        <f t="shared" si="10"/>
        <v>155</v>
      </c>
      <c r="S9" s="321">
        <f>('Evolução Atendimento'!R10-'Evolução Atendimento'!R9)*'Dados de Entrada'!$D$43*'Dados de Entrada'!$D$95</f>
        <v>9990.8279924227863</v>
      </c>
      <c r="T9" s="321">
        <f>('Evolução Atendimento'!S10-'Evolução Atendimento'!S9)*'Dados de Entrada'!$D$43*'Dados de Entrada'!$D$95</f>
        <v>29.237937036039849</v>
      </c>
      <c r="U9" s="321">
        <f>('Evolução Atendimento'!T10-'Evolução Atendimento'!T9)*'Dados de Entrada'!$D$43*'Dados de Entrada'!$D$95</f>
        <v>4.947958575329821</v>
      </c>
      <c r="V9" s="321">
        <f t="shared" si="15"/>
        <v>305960</v>
      </c>
      <c r="W9" s="321">
        <f t="shared" si="3"/>
        <v>76490</v>
      </c>
      <c r="AC9" s="318">
        <f t="shared" si="16"/>
        <v>4060</v>
      </c>
      <c r="AD9" s="318">
        <f t="shared" si="8"/>
        <v>12180</v>
      </c>
    </row>
    <row r="10" spans="1:30" ht="15" customHeight="1">
      <c r="A10" s="376">
        <f t="shared" si="4"/>
        <v>7</v>
      </c>
      <c r="B10" s="12">
        <f>B9+('Evolução Ligações'!C11*'Dados de Entrada'!$D$42)</f>
        <v>517964</v>
      </c>
      <c r="C10" s="17">
        <f>(B10-B9)*'Dados de Entrada'!$D$93</f>
        <v>717</v>
      </c>
      <c r="D10" s="12">
        <f>D9+('Evolução Ligações'!E11*'Dados de Entrada'!$E$42)</f>
        <v>6895</v>
      </c>
      <c r="E10" s="17">
        <f>(D10-D9)*'Dados de Entrada'!$D$93</f>
        <v>3</v>
      </c>
      <c r="F10" s="12">
        <f>F9+('Evolução Ligações'!G11*'Dados de Entrada'!$F$42)</f>
        <v>1220</v>
      </c>
      <c r="G10" s="17">
        <f>(F10-F9)*'Dados de Entrada'!$D$93</f>
        <v>1.5</v>
      </c>
      <c r="H10" s="17">
        <f t="shared" si="5"/>
        <v>6453</v>
      </c>
      <c r="I10" s="17">
        <f t="shared" si="6"/>
        <v>27</v>
      </c>
      <c r="J10" s="17">
        <f t="shared" si="7"/>
        <v>13.5</v>
      </c>
      <c r="K10" s="321">
        <f t="shared" si="0"/>
        <v>526079</v>
      </c>
      <c r="L10" s="321">
        <f t="shared" si="1"/>
        <v>721.5</v>
      </c>
      <c r="M10" s="12">
        <f t="shared" si="11"/>
        <v>411477.80660890811</v>
      </c>
      <c r="N10" s="17">
        <f t="shared" si="12"/>
        <v>75391</v>
      </c>
      <c r="O10" s="12">
        <f t="shared" si="13"/>
        <v>4720</v>
      </c>
      <c r="P10" s="321">
        <f t="shared" si="9"/>
        <v>944</v>
      </c>
      <c r="Q10" s="321">
        <f t="shared" si="14"/>
        <v>775</v>
      </c>
      <c r="R10" s="321">
        <f t="shared" si="10"/>
        <v>155</v>
      </c>
      <c r="S10" s="321">
        <f>('Evolução Atendimento'!R11-'Evolução Atendimento'!R10)*'Dados de Entrada'!$D$43*'Dados de Entrada'!$D$95</f>
        <v>5313.2078810723497</v>
      </c>
      <c r="T10" s="321">
        <f>('Evolução Atendimento'!S11-'Evolução Atendimento'!S10)*'Dados de Entrada'!$D$43*'Dados de Entrada'!$D$95</f>
        <v>15.74350455786761</v>
      </c>
      <c r="U10" s="321">
        <f>('Evolução Atendimento'!T11-'Evolução Atendimento'!T10)*'Dados de Entrada'!$D$43*'Dados de Entrada'!$D$95</f>
        <v>2.2490720796953734</v>
      </c>
      <c r="V10" s="321">
        <f t="shared" si="15"/>
        <v>382450</v>
      </c>
      <c r="W10" s="321">
        <f t="shared" si="3"/>
        <v>76490</v>
      </c>
      <c r="X10" s="16">
        <v>1084</v>
      </c>
      <c r="Y10" s="716" t="s">
        <v>931</v>
      </c>
      <c r="AC10" s="318">
        <f t="shared" si="16"/>
        <v>4060</v>
      </c>
      <c r="AD10" s="318">
        <f t="shared" si="8"/>
        <v>16240</v>
      </c>
    </row>
    <row r="11" spans="1:30" ht="15" customHeight="1">
      <c r="A11" s="376">
        <f t="shared" si="4"/>
        <v>8</v>
      </c>
      <c r="B11" s="12">
        <f>B10+('Evolução Ligações'!C12*'Dados de Entrada'!$D$42)</f>
        <v>525134</v>
      </c>
      <c r="C11" s="17">
        <f>(B11-B10)*'Dados de Entrada'!$D$93</f>
        <v>717</v>
      </c>
      <c r="D11" s="12">
        <f>D10+('Evolução Ligações'!E12*'Dados de Entrada'!$E$42)</f>
        <v>6925</v>
      </c>
      <c r="E11" s="17">
        <f>(D11-D10)*'Dados de Entrada'!$D$93</f>
        <v>3</v>
      </c>
      <c r="F11" s="12">
        <f>F10+('Evolução Ligações'!G12*'Dados de Entrada'!$F$42)</f>
        <v>1235</v>
      </c>
      <c r="G11" s="17">
        <f>(F11-F10)*'Dados de Entrada'!$D$93</f>
        <v>1.5</v>
      </c>
      <c r="H11" s="17">
        <f t="shared" si="5"/>
        <v>6453</v>
      </c>
      <c r="I11" s="17">
        <f t="shared" si="6"/>
        <v>27</v>
      </c>
      <c r="J11" s="17">
        <f t="shared" si="7"/>
        <v>13.5</v>
      </c>
      <c r="K11" s="321">
        <f t="shared" si="0"/>
        <v>533294</v>
      </c>
      <c r="L11" s="321">
        <f t="shared" si="1"/>
        <v>721.5</v>
      </c>
      <c r="M11" s="12">
        <f t="shared" si="11"/>
        <v>492309.31196969119</v>
      </c>
      <c r="N11" s="17">
        <f t="shared" si="12"/>
        <v>75391</v>
      </c>
      <c r="O11" s="12">
        <f t="shared" si="13"/>
        <v>5664</v>
      </c>
      <c r="P11" s="321">
        <f t="shared" si="9"/>
        <v>944</v>
      </c>
      <c r="Q11" s="321">
        <f t="shared" si="14"/>
        <v>930</v>
      </c>
      <c r="R11" s="321">
        <f t="shared" si="10"/>
        <v>155</v>
      </c>
      <c r="S11" s="321">
        <f>('Evolução Atendimento'!R12-'Evolução Atendimento'!R11)*'Dados de Entrada'!$D$43*'Dados de Entrada'!$D$95</f>
        <v>5440.5053607831069</v>
      </c>
      <c r="T11" s="321">
        <f>('Evolução Atendimento'!S12-'Evolução Atendimento'!S11)*'Dados de Entrada'!$D$43*'Dados de Entrada'!$D$95</f>
        <v>15.74350455786761</v>
      </c>
      <c r="U11" s="321">
        <f>('Evolução Atendimento'!T12-'Evolução Atendimento'!T11)*'Dados de Entrada'!$D$43*'Dados de Entrada'!$D$95</f>
        <v>2.6988864956344476</v>
      </c>
      <c r="V11" s="321">
        <f t="shared" si="15"/>
        <v>458940</v>
      </c>
      <c r="W11" s="321">
        <f t="shared" si="3"/>
        <v>76490</v>
      </c>
      <c r="X11" s="16">
        <f>ROUND(X10/7,0)</f>
        <v>155</v>
      </c>
      <c r="Y11" s="716" t="s">
        <v>932</v>
      </c>
      <c r="AC11" s="318">
        <f t="shared" si="16"/>
        <v>4060</v>
      </c>
      <c r="AD11" s="318">
        <f t="shared" si="8"/>
        <v>20300</v>
      </c>
    </row>
    <row r="12" spans="1:30" ht="15" customHeight="1">
      <c r="A12" s="376">
        <f t="shared" si="4"/>
        <v>9</v>
      </c>
      <c r="B12" s="12">
        <f>B11+('Evolução Ligações'!C13*'Dados de Entrada'!$D$42)</f>
        <v>532304</v>
      </c>
      <c r="C12" s="17">
        <f>(B12-B11)*'Dados de Entrada'!$D$93</f>
        <v>717</v>
      </c>
      <c r="D12" s="12">
        <f>D11+('Evolução Ligações'!E13*'Dados de Entrada'!$E$42)</f>
        <v>6955</v>
      </c>
      <c r="E12" s="17">
        <f>(D12-D11)*'Dados de Entrada'!$D$93</f>
        <v>3</v>
      </c>
      <c r="F12" s="12">
        <f>F11+('Evolução Ligações'!G13*'Dados de Entrada'!$F$42)</f>
        <v>1250</v>
      </c>
      <c r="G12" s="17">
        <f>(F12-F11)*'Dados de Entrada'!$D$93</f>
        <v>1.5</v>
      </c>
      <c r="H12" s="17">
        <f t="shared" si="5"/>
        <v>6453</v>
      </c>
      <c r="I12" s="17">
        <f t="shared" si="6"/>
        <v>27</v>
      </c>
      <c r="J12" s="17">
        <f t="shared" si="7"/>
        <v>13.5</v>
      </c>
      <c r="K12" s="321">
        <f t="shared" si="0"/>
        <v>540509</v>
      </c>
      <c r="L12" s="321">
        <f t="shared" si="1"/>
        <v>721.5</v>
      </c>
      <c r="M12" s="12">
        <f t="shared" si="11"/>
        <v>573267.66499576916</v>
      </c>
      <c r="N12" s="17">
        <f t="shared" si="12"/>
        <v>75391</v>
      </c>
      <c r="O12" s="12">
        <f t="shared" si="13"/>
        <v>6608</v>
      </c>
      <c r="P12" s="321">
        <f t="shared" si="9"/>
        <v>944</v>
      </c>
      <c r="Q12" s="321">
        <f t="shared" si="14"/>
        <v>1085</v>
      </c>
      <c r="R12" s="321">
        <f t="shared" si="10"/>
        <v>155</v>
      </c>
      <c r="S12" s="321">
        <f>('Evolução Atendimento'!R13-'Evolução Atendimento'!R12)*'Dados de Entrada'!$D$43*'Dados de Entrada'!$D$95</f>
        <v>5567.3530260779262</v>
      </c>
      <c r="T12" s="321">
        <f>('Evolução Atendimento'!S13-'Evolução Atendimento'!S12)*'Dados de Entrada'!$D$43*'Dados de Entrada'!$D$95</f>
        <v>16.193318973806687</v>
      </c>
      <c r="U12" s="321">
        <f>('Evolução Atendimento'!T13-'Evolução Atendimento'!T12)*'Dados de Entrada'!$D$43*'Dados de Entrada'!$D$95</f>
        <v>2.6988864956344476</v>
      </c>
      <c r="V12" s="321">
        <f t="shared" si="15"/>
        <v>535430</v>
      </c>
      <c r="W12" s="321">
        <f t="shared" si="3"/>
        <v>76490</v>
      </c>
      <c r="AC12" s="318"/>
      <c r="AD12" s="318"/>
    </row>
    <row r="13" spans="1:30" ht="15" customHeight="1">
      <c r="A13" s="2">
        <f t="shared" si="4"/>
        <v>10</v>
      </c>
      <c r="B13" s="12">
        <f>B12+('Evolução Ligações'!C14*'Dados de Entrada'!$D$42)</f>
        <v>539474</v>
      </c>
      <c r="C13" s="17">
        <f>(B13-B12)*'Dados de Entrada'!$D$93</f>
        <v>717</v>
      </c>
      <c r="D13" s="12">
        <f>D12+('Evolução Ligações'!E14*'Dados de Entrada'!$E$42)</f>
        <v>6985</v>
      </c>
      <c r="E13" s="17">
        <f>(D13-D12)*'Dados de Entrada'!$D$93</f>
        <v>3</v>
      </c>
      <c r="F13" s="12">
        <f>F12+('Evolução Ligações'!G14*'Dados de Entrada'!$F$42)</f>
        <v>1265</v>
      </c>
      <c r="G13" s="17">
        <f>(F13-F12)*'Dados de Entrada'!$D$93</f>
        <v>1.5</v>
      </c>
      <c r="H13" s="17">
        <f t="shared" si="5"/>
        <v>6453</v>
      </c>
      <c r="I13" s="17">
        <f t="shared" si="6"/>
        <v>27</v>
      </c>
      <c r="J13" s="17">
        <f t="shared" si="7"/>
        <v>13.5</v>
      </c>
      <c r="K13" s="321">
        <f t="shared" si="0"/>
        <v>547724</v>
      </c>
      <c r="L13" s="321">
        <f t="shared" si="1"/>
        <v>721.5</v>
      </c>
      <c r="M13" s="12">
        <f t="shared" si="11"/>
        <v>578927.63481008902</v>
      </c>
      <c r="N13" s="17">
        <f>S13*'Dados de Entrada'!$D$94</f>
        <v>514.54271039270748</v>
      </c>
      <c r="O13" s="12">
        <f t="shared" si="13"/>
        <v>6614</v>
      </c>
      <c r="P13" s="321">
        <f>ROUND(T13*'Dados de Entrada'!$D$94,0)</f>
        <v>6</v>
      </c>
      <c r="Q13" s="321">
        <f t="shared" si="14"/>
        <v>1087</v>
      </c>
      <c r="R13" s="321">
        <f>ROUND(U13*'Dados de Entrada'!$D$94,0)</f>
        <v>2</v>
      </c>
      <c r="S13" s="321">
        <f>('Evolução Atendimento'!R14-'Evolução Atendimento'!R13)*'Dados de Entrada'!$D$43*'Dados de Entrada'!$D$96</f>
        <v>5145.4271039270743</v>
      </c>
      <c r="T13" s="321">
        <f>('Evolução Atendimento'!S14-'Evolução Atendimento'!S13)*'Dados de Entrada'!$E$43*'Dados de Entrada'!$D$96</f>
        <v>58.733766233766232</v>
      </c>
      <c r="U13" s="321">
        <f>('Evolução Atendimento'!T14-'Evolução Atendimento'!T13)*'Dados de Entrada'!$F$43*'Dados de Entrada'!$D$96</f>
        <v>21.063829787234045</v>
      </c>
      <c r="V13" s="321">
        <f t="shared" si="15"/>
        <v>535952.54271039274</v>
      </c>
      <c r="W13" s="321">
        <f t="shared" si="3"/>
        <v>522.54271039270748</v>
      </c>
      <c r="X13" s="16">
        <v>20300</v>
      </c>
      <c r="Y13" s="16" t="s">
        <v>1242</v>
      </c>
      <c r="AC13" s="318"/>
      <c r="AD13" s="318"/>
    </row>
    <row r="14" spans="1:30" ht="15" customHeight="1">
      <c r="A14" s="2">
        <f t="shared" si="4"/>
        <v>11</v>
      </c>
      <c r="B14" s="12">
        <f>B13+('Evolução Ligações'!C15*'Dados de Entrada'!$D$42)</f>
        <v>546644</v>
      </c>
      <c r="C14" s="17">
        <f>('Evolução Atendimento'!I14-'Evolução Atendimento'!I13)*'Dados de Entrada'!$D$40*'Dados de Entrada'!$D$93</f>
        <v>662.57663467825694</v>
      </c>
      <c r="D14" s="12">
        <f>D13+('Evolução Ligações'!E15*'Dados de Entrada'!$E$42)</f>
        <v>7015</v>
      </c>
      <c r="E14" s="17">
        <f>(D14-D13)*'Dados de Entrada'!$D$93</f>
        <v>3</v>
      </c>
      <c r="F14" s="12">
        <f>F13+('Evolução Ligações'!G15*'Dados de Entrada'!$F$42)</f>
        <v>1280</v>
      </c>
      <c r="G14" s="17">
        <f>(F14-F13)*'Dados de Entrada'!$D$93</f>
        <v>1.5</v>
      </c>
      <c r="H14" s="17">
        <f t="shared" si="5"/>
        <v>6507.4233653217434</v>
      </c>
      <c r="I14" s="17">
        <f t="shared" si="6"/>
        <v>27</v>
      </c>
      <c r="J14" s="17">
        <f t="shared" si="7"/>
        <v>13.5</v>
      </c>
      <c r="K14" s="321">
        <f t="shared" si="0"/>
        <v>554939</v>
      </c>
      <c r="L14" s="321">
        <f t="shared" si="1"/>
        <v>667.07663467825694</v>
      </c>
      <c r="M14" s="12">
        <f t="shared" si="11"/>
        <v>584592.05778712663</v>
      </c>
      <c r="N14" s="17">
        <f>S14*'Dados de Entrada'!$D$94</f>
        <v>514.94754336705262</v>
      </c>
      <c r="O14" s="12">
        <f t="shared" si="13"/>
        <v>6622</v>
      </c>
      <c r="P14" s="321">
        <f>ROUND(T14*'Dados de Entrada'!$D$94,0)</f>
        <v>8</v>
      </c>
      <c r="Q14" s="321">
        <f t="shared" si="14"/>
        <v>1089</v>
      </c>
      <c r="R14" s="321">
        <f>ROUND(U14*'Dados de Entrada'!$D$94,0)</f>
        <v>2</v>
      </c>
      <c r="S14" s="321">
        <f>('Evolução Atendimento'!R15-'Evolução Atendimento'!R14)*'Dados de Entrada'!$D$43*'Dados de Entrada'!$D$96</f>
        <v>5149.4754336705264</v>
      </c>
      <c r="T14" s="321">
        <f>('Evolução Atendimento'!S15-'Evolução Atendimento'!S14)*'Dados de Entrada'!$E$43*'Dados de Entrada'!$D$96</f>
        <v>78.311688311688314</v>
      </c>
      <c r="U14" s="321">
        <f>('Evolução Atendimento'!T15-'Evolução Atendimento'!T14)*'Dados de Entrada'!$F$43*'Dados de Entrada'!$D$96</f>
        <v>21.063829787234045</v>
      </c>
      <c r="V14" s="321">
        <f t="shared" si="15"/>
        <v>536477.49025375978</v>
      </c>
      <c r="W14" s="321">
        <f t="shared" si="3"/>
        <v>524.94754336705262</v>
      </c>
      <c r="AC14" s="318"/>
      <c r="AD14" s="318"/>
    </row>
    <row r="15" spans="1:30" ht="15" customHeight="1">
      <c r="A15" s="2">
        <f t="shared" si="4"/>
        <v>12</v>
      </c>
      <c r="B15" s="12">
        <f>B14+('Evolução Ligações'!C16*'Dados de Entrada'!$D$42)</f>
        <v>553814</v>
      </c>
      <c r="C15" s="17">
        <f>('Evolução Atendimento'!I15-'Evolução Atendimento'!I14)*'Dados de Entrada'!$D$40*'Dados de Entrada'!$D$93</f>
        <v>662.57663467825694</v>
      </c>
      <c r="D15" s="12">
        <f>D14+('Evolução Ligações'!E16*'Dados de Entrada'!$E$42)</f>
        <v>7045</v>
      </c>
      <c r="E15" s="17">
        <f>(D15-D14)*'Dados de Entrada'!$D$93</f>
        <v>3</v>
      </c>
      <c r="F15" s="12">
        <f>F14+('Evolução Ligações'!G16*'Dados de Entrada'!$F$42)</f>
        <v>1295</v>
      </c>
      <c r="G15" s="17">
        <f>(F15-F14)*'Dados de Entrada'!$D$93</f>
        <v>1.5</v>
      </c>
      <c r="H15" s="17">
        <f t="shared" si="5"/>
        <v>6507.4233653217434</v>
      </c>
      <c r="I15" s="17">
        <f t="shared" si="6"/>
        <v>27</v>
      </c>
      <c r="J15" s="17">
        <f t="shared" si="7"/>
        <v>13.5</v>
      </c>
      <c r="K15" s="321">
        <f t="shared" si="0"/>
        <v>562154</v>
      </c>
      <c r="L15" s="321">
        <f t="shared" si="1"/>
        <v>667.07663467825694</v>
      </c>
      <c r="M15" s="12">
        <f>M14+N15+S15</f>
        <v>590256.48076416424</v>
      </c>
      <c r="N15" s="17">
        <f>S15*'Dados de Entrada'!$D$94</f>
        <v>514.94754336705262</v>
      </c>
      <c r="O15" s="12">
        <f t="shared" si="13"/>
        <v>6628</v>
      </c>
      <c r="P15" s="321">
        <f>ROUND(T15*'Dados de Entrada'!$D$94,0)</f>
        <v>6</v>
      </c>
      <c r="Q15" s="321">
        <f t="shared" si="14"/>
        <v>1091</v>
      </c>
      <c r="R15" s="321">
        <f>ROUND(U15*'Dados de Entrada'!$D$94,0)</f>
        <v>2</v>
      </c>
      <c r="S15" s="321">
        <f>('Evolução Atendimento'!R16-'Evolução Atendimento'!R15)*'Dados de Entrada'!$D$43*'Dados de Entrada'!$D$96</f>
        <v>5149.4754336705264</v>
      </c>
      <c r="T15" s="321">
        <f>('Evolução Atendimento'!S16-'Evolução Atendimento'!S15)*'Dados de Entrada'!$E$43*'Dados de Entrada'!$D$96</f>
        <v>58.733766233766232</v>
      </c>
      <c r="U15" s="321">
        <f>('Evolução Atendimento'!T16-'Evolução Atendimento'!T15)*'Dados de Entrada'!$F$43*'Dados de Entrada'!$D$96</f>
        <v>21.063829787234045</v>
      </c>
      <c r="V15" s="321">
        <f t="shared" si="15"/>
        <v>537000.43779712683</v>
      </c>
      <c r="W15" s="321">
        <f t="shared" si="3"/>
        <v>522.94754336705262</v>
      </c>
      <c r="AC15" s="318"/>
      <c r="AD15" s="318"/>
    </row>
    <row r="16" spans="1:30" ht="15" customHeight="1">
      <c r="A16" s="2">
        <f t="shared" si="4"/>
        <v>13</v>
      </c>
      <c r="B16" s="12">
        <f>B15+('Evolução Ligações'!C17*'Dados de Entrada'!$D$42)</f>
        <v>560984</v>
      </c>
      <c r="C16" s="17">
        <f>('Evolução Atendimento'!I16-'Evolução Atendimento'!I15)*'Dados de Entrada'!$D$40*'Dados de Entrada'!$D$93</f>
        <v>662.57663467825694</v>
      </c>
      <c r="D16" s="12">
        <f>D15+('Evolução Ligações'!E17*'Dados de Entrada'!$E$42)</f>
        <v>7075</v>
      </c>
      <c r="E16" s="17">
        <f>(D16-D15)*'Dados de Entrada'!$D$93</f>
        <v>3</v>
      </c>
      <c r="F16" s="12">
        <f>F15+('Evolução Ligações'!G17*'Dados de Entrada'!$F$42)</f>
        <v>1310</v>
      </c>
      <c r="G16" s="17">
        <f>(F16-F15)*'Dados de Entrada'!$D$93</f>
        <v>1.5</v>
      </c>
      <c r="H16" s="17">
        <f t="shared" si="5"/>
        <v>6507.4233653217434</v>
      </c>
      <c r="I16" s="17">
        <f t="shared" si="6"/>
        <v>27</v>
      </c>
      <c r="J16" s="17">
        <f t="shared" si="7"/>
        <v>13.5</v>
      </c>
      <c r="K16" s="321">
        <f t="shared" si="0"/>
        <v>569369</v>
      </c>
      <c r="L16" s="321">
        <f t="shared" si="1"/>
        <v>667.07663467825694</v>
      </c>
      <c r="M16" s="12">
        <f t="shared" si="11"/>
        <v>595916.4505784841</v>
      </c>
      <c r="N16" s="17">
        <f>S16*'Dados de Entrada'!$D$94</f>
        <v>514.54271039270748</v>
      </c>
      <c r="O16" s="12">
        <f t="shared" si="13"/>
        <v>6636</v>
      </c>
      <c r="P16" s="321">
        <f>ROUND(T16*'Dados de Entrada'!$D$94,0)</f>
        <v>8</v>
      </c>
      <c r="Q16" s="321">
        <f t="shared" si="14"/>
        <v>1093</v>
      </c>
      <c r="R16" s="321">
        <f>ROUND(U16*'Dados de Entrada'!$D$94,0)</f>
        <v>2</v>
      </c>
      <c r="S16" s="321">
        <f>('Evolução Atendimento'!R17-'Evolução Atendimento'!R16)*'Dados de Entrada'!$D$43*'Dados de Entrada'!$D$96</f>
        <v>5145.4271039270743</v>
      </c>
      <c r="T16" s="321">
        <f>('Evolução Atendimento'!S17-'Evolução Atendimento'!S16)*'Dados de Entrada'!$E$43*'Dados de Entrada'!$D$96</f>
        <v>78.311688311688314</v>
      </c>
      <c r="U16" s="321">
        <f>('Evolução Atendimento'!T17-'Evolução Atendimento'!T16)*'Dados de Entrada'!$F$43*'Dados de Entrada'!$D$96</f>
        <v>21.063829787234045</v>
      </c>
      <c r="V16" s="321">
        <f t="shared" si="15"/>
        <v>537524.98050751956</v>
      </c>
      <c r="W16" s="321">
        <f t="shared" si="3"/>
        <v>524.54271039270748</v>
      </c>
      <c r="AC16" s="318"/>
      <c r="AD16" s="318"/>
    </row>
    <row r="17" spans="1:30" ht="15" customHeight="1">
      <c r="A17" s="2">
        <f t="shared" si="4"/>
        <v>14</v>
      </c>
      <c r="B17" s="12">
        <f>B16+('Evolução Ligações'!C18*'Dados de Entrada'!$D$42)</f>
        <v>568139</v>
      </c>
      <c r="C17" s="17">
        <f>('Evolução Atendimento'!I17-'Evolução Atendimento'!I16)*'Dados de Entrada'!$D$40*'Dados de Entrada'!$D$93</f>
        <v>662.57663467825694</v>
      </c>
      <c r="D17" s="12">
        <f>D16+('Evolução Ligações'!E18*'Dados de Entrada'!$E$42)</f>
        <v>7105</v>
      </c>
      <c r="E17" s="17">
        <f>(D17-D16)*'Dados de Entrada'!$D$93</f>
        <v>3</v>
      </c>
      <c r="F17" s="12">
        <f>F16+('Evolução Ligações'!G18*'Dados de Entrada'!$F$42)</f>
        <v>1325</v>
      </c>
      <c r="G17" s="17">
        <f>(F17-F16)*'Dados de Entrada'!$D$93</f>
        <v>1.5</v>
      </c>
      <c r="H17" s="17">
        <f t="shared" si="5"/>
        <v>6492.4233653217434</v>
      </c>
      <c r="I17" s="17">
        <f t="shared" si="6"/>
        <v>27</v>
      </c>
      <c r="J17" s="17">
        <f t="shared" si="7"/>
        <v>13.5</v>
      </c>
      <c r="K17" s="321">
        <f t="shared" si="0"/>
        <v>576569</v>
      </c>
      <c r="L17" s="321">
        <f t="shared" si="1"/>
        <v>667.07663467825694</v>
      </c>
      <c r="M17" s="12">
        <f t="shared" si="11"/>
        <v>601580.87355552171</v>
      </c>
      <c r="N17" s="17">
        <f>S17*'Dados de Entrada'!$D$94</f>
        <v>514.94754336705262</v>
      </c>
      <c r="O17" s="12">
        <f t="shared" si="13"/>
        <v>6642</v>
      </c>
      <c r="P17" s="321">
        <f>ROUND(T17*'Dados de Entrada'!$D$94,0)</f>
        <v>6</v>
      </c>
      <c r="Q17" s="321">
        <f t="shared" si="14"/>
        <v>1095</v>
      </c>
      <c r="R17" s="321">
        <f>ROUND(U17*'Dados de Entrada'!$D$94,0)</f>
        <v>2</v>
      </c>
      <c r="S17" s="321">
        <f>('Evolução Atendimento'!R18-'Evolução Atendimento'!R17)*'Dados de Entrada'!$D$43*'Dados de Entrada'!$D$96</f>
        <v>5149.4754336705264</v>
      </c>
      <c r="T17" s="321">
        <f>('Evolução Atendimento'!S18-'Evolução Atendimento'!S17)*'Dados de Entrada'!$E$43*'Dados de Entrada'!$D$96</f>
        <v>58.733766233766232</v>
      </c>
      <c r="U17" s="321">
        <f>('Evolução Atendimento'!T18-'Evolução Atendimento'!T17)*'Dados de Entrada'!$F$43*'Dados de Entrada'!$D$96</f>
        <v>21.063829787234045</v>
      </c>
      <c r="V17" s="321">
        <f t="shared" si="15"/>
        <v>538047.92805088661</v>
      </c>
      <c r="W17" s="321">
        <f t="shared" si="3"/>
        <v>522.94754336705262</v>
      </c>
      <c r="AC17" s="318"/>
      <c r="AD17" s="318"/>
    </row>
    <row r="18" spans="1:30" ht="15" customHeight="1">
      <c r="A18" s="2">
        <f t="shared" si="4"/>
        <v>15</v>
      </c>
      <c r="B18" s="12">
        <f>B17+('Evolução Ligações'!C19*'Dados de Entrada'!$D$42)</f>
        <v>575309</v>
      </c>
      <c r="C18" s="17">
        <f>('Evolução Atendimento'!I18-'Evolução Atendimento'!I17)*'Dados de Entrada'!$D$40*'Dados de Entrada'!$D$93</f>
        <v>662.57663467825694</v>
      </c>
      <c r="D18" s="12">
        <f>D17+('Evolução Ligações'!E19*'Dados de Entrada'!$E$42)</f>
        <v>7135</v>
      </c>
      <c r="E18" s="17">
        <f>(D18-D17)*'Dados de Entrada'!$D$93</f>
        <v>3</v>
      </c>
      <c r="F18" s="12">
        <f>F17+('Evolução Ligações'!G19*'Dados de Entrada'!$F$42)</f>
        <v>1355</v>
      </c>
      <c r="G18" s="17">
        <f>(F18-F17)*'Dados de Entrada'!$D$93</f>
        <v>3</v>
      </c>
      <c r="H18" s="17">
        <f t="shared" si="5"/>
        <v>6507.4233653217434</v>
      </c>
      <c r="I18" s="17">
        <f t="shared" si="6"/>
        <v>27</v>
      </c>
      <c r="J18" s="17">
        <f t="shared" si="7"/>
        <v>27</v>
      </c>
      <c r="K18" s="321">
        <f t="shared" si="0"/>
        <v>583799</v>
      </c>
      <c r="L18" s="321">
        <f t="shared" si="1"/>
        <v>668.57663467825694</v>
      </c>
      <c r="M18" s="12">
        <f t="shared" si="11"/>
        <v>607245.29653255932</v>
      </c>
      <c r="N18" s="17">
        <f>S18*'Dados de Entrada'!$D$94</f>
        <v>514.94754336705262</v>
      </c>
      <c r="O18" s="12">
        <f t="shared" si="13"/>
        <v>6650</v>
      </c>
      <c r="P18" s="321">
        <f>ROUND(T18*'Dados de Entrada'!$D$94,0)</f>
        <v>8</v>
      </c>
      <c r="Q18" s="321">
        <f t="shared" si="14"/>
        <v>1097</v>
      </c>
      <c r="R18" s="321">
        <f>ROUND(U18*'Dados de Entrada'!$D$94,0)</f>
        <v>2</v>
      </c>
      <c r="S18" s="321">
        <f>('Evolução Atendimento'!R19-'Evolução Atendimento'!R18)*'Dados de Entrada'!$D$43*'Dados de Entrada'!$D$96</f>
        <v>5149.4754336705264</v>
      </c>
      <c r="T18" s="321">
        <f>('Evolução Atendimento'!S19-'Evolução Atendimento'!S18)*'Dados de Entrada'!$E$43*'Dados de Entrada'!$D$96</f>
        <v>78.311688311688314</v>
      </c>
      <c r="U18" s="321">
        <f>('Evolução Atendimento'!T19-'Evolução Atendimento'!T18)*'Dados de Entrada'!$F$43*'Dados de Entrada'!$D$96</f>
        <v>21.063829787234045</v>
      </c>
      <c r="V18" s="321">
        <f t="shared" si="15"/>
        <v>538572.87559425365</v>
      </c>
      <c r="W18" s="321">
        <f t="shared" si="3"/>
        <v>524.94754336705262</v>
      </c>
      <c r="AC18" s="318"/>
      <c r="AD18" s="318"/>
    </row>
    <row r="19" spans="1:30" ht="15" customHeight="1">
      <c r="A19" s="2">
        <f t="shared" si="4"/>
        <v>16</v>
      </c>
      <c r="B19" s="12">
        <f>B18+('Evolução Ligações'!C20*'Dados de Entrada'!$D$42)</f>
        <v>582479</v>
      </c>
      <c r="C19" s="17">
        <f>('Evolução Atendimento'!I19-'Evolução Atendimento'!I18)*'Dados de Entrada'!$D$40*'Dados de Entrada'!$D$93</f>
        <v>663.02644909419598</v>
      </c>
      <c r="D19" s="12">
        <f>D18+('Evolução Ligações'!E20*'Dados de Entrada'!$E$42)</f>
        <v>7165</v>
      </c>
      <c r="E19" s="17">
        <f>(D19-D18)*'Dados de Entrada'!$D$93</f>
        <v>3</v>
      </c>
      <c r="F19" s="12">
        <f>F18+('Evolução Ligações'!G20*'Dados de Entrada'!$F$42)</f>
        <v>1370</v>
      </c>
      <c r="G19" s="17">
        <f>(F19-F18)*'Dados de Entrada'!$D$93</f>
        <v>1.5</v>
      </c>
      <c r="H19" s="17">
        <f t="shared" si="5"/>
        <v>6506.9735509058037</v>
      </c>
      <c r="I19" s="17">
        <f t="shared" si="6"/>
        <v>27</v>
      </c>
      <c r="J19" s="17">
        <f t="shared" si="7"/>
        <v>13.5</v>
      </c>
      <c r="K19" s="321">
        <f t="shared" si="0"/>
        <v>591014</v>
      </c>
      <c r="L19" s="321">
        <f t="shared" si="1"/>
        <v>667.52644909419598</v>
      </c>
      <c r="M19" s="12">
        <f t="shared" si="11"/>
        <v>612909.71950959694</v>
      </c>
      <c r="N19" s="17">
        <f>S19*'Dados de Entrada'!$D$94</f>
        <v>514.94754336705262</v>
      </c>
      <c r="O19" s="12">
        <f t="shared" si="13"/>
        <v>6656</v>
      </c>
      <c r="P19" s="321">
        <f>ROUND(T19*'Dados de Entrada'!$D$94,0)</f>
        <v>6</v>
      </c>
      <c r="Q19" s="321">
        <f t="shared" si="14"/>
        <v>1097</v>
      </c>
      <c r="R19" s="321">
        <f>ROUND(U19*'Dados de Entrada'!$D$94,0)</f>
        <v>0</v>
      </c>
      <c r="S19" s="321">
        <f>('Evolução Atendimento'!R20-'Evolução Atendimento'!R19)*'Dados de Entrada'!$D$43*'Dados de Entrada'!$D$96</f>
        <v>5149.4754336705264</v>
      </c>
      <c r="T19" s="321">
        <f>('Evolução Atendimento'!S20-'Evolução Atendimento'!S19)*'Dados de Entrada'!$E$43*'Dados de Entrada'!$D$96</f>
        <v>58.733766233766232</v>
      </c>
      <c r="U19" s="321">
        <f>('Evolução Atendimento'!T20-'Evolução Atendimento'!T19)*'Dados de Entrada'!$F$43*'Dados de Entrada'!$D$96</f>
        <v>0</v>
      </c>
      <c r="V19" s="321">
        <f t="shared" si="15"/>
        <v>539093.8231376207</v>
      </c>
      <c r="W19" s="321">
        <f t="shared" si="3"/>
        <v>520.94754336705262</v>
      </c>
      <c r="AC19" s="318"/>
      <c r="AD19" s="318"/>
    </row>
    <row r="20" spans="1:30" ht="15" customHeight="1">
      <c r="A20" s="2">
        <f t="shared" si="4"/>
        <v>17</v>
      </c>
      <c r="B20" s="12">
        <f>B19+('Evolução Ligações'!C21*'Dados de Entrada'!$D$42)</f>
        <v>589649</v>
      </c>
      <c r="C20" s="17">
        <f>('Evolução Atendimento'!I20-'Evolução Atendimento'!I19)*'Dados de Entrada'!$D$40*'Dados de Entrada'!$D$93</f>
        <v>662.57663467825694</v>
      </c>
      <c r="D20" s="12">
        <f>D19+('Evolução Ligações'!E21*'Dados de Entrada'!$E$42)</f>
        <v>7180</v>
      </c>
      <c r="E20" s="17">
        <f>(D20-D19)*'Dados de Entrada'!$D$93</f>
        <v>1.5</v>
      </c>
      <c r="F20" s="12">
        <f>F19+('Evolução Ligações'!G21*'Dados de Entrada'!$F$42)</f>
        <v>1385</v>
      </c>
      <c r="G20" s="17">
        <f>(F20-F19)*'Dados de Entrada'!$D$93</f>
        <v>1.5</v>
      </c>
      <c r="H20" s="17">
        <f t="shared" si="5"/>
        <v>6507.4233653217434</v>
      </c>
      <c r="I20" s="17">
        <f t="shared" si="6"/>
        <v>13.5</v>
      </c>
      <c r="J20" s="17">
        <f t="shared" si="7"/>
        <v>13.5</v>
      </c>
      <c r="K20" s="321">
        <f t="shared" si="0"/>
        <v>598214</v>
      </c>
      <c r="L20" s="321">
        <f t="shared" si="1"/>
        <v>665.57663467825694</v>
      </c>
      <c r="M20" s="12">
        <f t="shared" si="11"/>
        <v>618574.14248663455</v>
      </c>
      <c r="N20" s="17">
        <f>S20*'Dados de Entrada'!$D$94</f>
        <v>514.94754336705262</v>
      </c>
      <c r="O20" s="12">
        <f t="shared" si="13"/>
        <v>6664</v>
      </c>
      <c r="P20" s="321">
        <f>ROUND(T20*'Dados de Entrada'!$D$94,0)</f>
        <v>8</v>
      </c>
      <c r="Q20" s="321">
        <f t="shared" si="14"/>
        <v>1099</v>
      </c>
      <c r="R20" s="321">
        <f>ROUND(U20*'Dados de Entrada'!$D$94,0)</f>
        <v>2</v>
      </c>
      <c r="S20" s="321">
        <f>('Evolução Atendimento'!R21-'Evolução Atendimento'!R20)*'Dados de Entrada'!$D$43*'Dados de Entrada'!$D$96</f>
        <v>5149.4754336705264</v>
      </c>
      <c r="T20" s="321">
        <f>('Evolução Atendimento'!S21-'Evolução Atendimento'!S20)*'Dados de Entrada'!$E$43*'Dados de Entrada'!$D$96</f>
        <v>78.311688311688314</v>
      </c>
      <c r="U20" s="321">
        <f>('Evolução Atendimento'!T21-'Evolução Atendimento'!T20)*'Dados de Entrada'!$F$43*'Dados de Entrada'!$D$96</f>
        <v>21.063829787234045</v>
      </c>
      <c r="V20" s="321">
        <f t="shared" si="15"/>
        <v>539618.77068098774</v>
      </c>
      <c r="W20" s="321">
        <f t="shared" si="3"/>
        <v>524.94754336705262</v>
      </c>
      <c r="AC20" s="318"/>
      <c r="AD20" s="318"/>
    </row>
    <row r="21" spans="1:30" ht="15" customHeight="1">
      <c r="A21" s="2">
        <f t="shared" si="4"/>
        <v>18</v>
      </c>
      <c r="B21" s="12">
        <f>B20+('Evolução Ligações'!C22*'Dados de Entrada'!$D$42)</f>
        <v>596879</v>
      </c>
      <c r="C21" s="17">
        <f>('Evolução Atendimento'!I21-'Evolução Atendimento'!I20)*'Dados de Entrada'!$D$40*'Dados de Entrada'!$D$93</f>
        <v>662.57663467825694</v>
      </c>
      <c r="D21" s="12">
        <f>D20+('Evolução Ligações'!E22*'Dados de Entrada'!$E$42)</f>
        <v>7210</v>
      </c>
      <c r="E21" s="17">
        <f>(D21-D20)*'Dados de Entrada'!$D$93</f>
        <v>3</v>
      </c>
      <c r="F21" s="12">
        <f>F20+('Evolução Ligações'!G22*'Dados de Entrada'!$F$42)</f>
        <v>1400</v>
      </c>
      <c r="G21" s="17">
        <f>(F21-F20)*'Dados de Entrada'!$D$93</f>
        <v>1.5</v>
      </c>
      <c r="H21" s="17">
        <f t="shared" si="5"/>
        <v>6567.4233653217434</v>
      </c>
      <c r="I21" s="17">
        <f t="shared" si="6"/>
        <v>27</v>
      </c>
      <c r="J21" s="17">
        <f t="shared" si="7"/>
        <v>13.5</v>
      </c>
      <c r="K21" s="321">
        <f t="shared" si="0"/>
        <v>605489</v>
      </c>
      <c r="L21" s="321">
        <f t="shared" si="1"/>
        <v>667.07663467825694</v>
      </c>
      <c r="M21" s="12">
        <f t="shared" si="11"/>
        <v>624278.64392813237</v>
      </c>
      <c r="N21" s="17">
        <f>S21*'Dados de Entrada'!$D$94</f>
        <v>518.59104013615911</v>
      </c>
      <c r="O21" s="12">
        <f t="shared" si="13"/>
        <v>6670</v>
      </c>
      <c r="P21" s="321">
        <f>ROUND(T21*'Dados de Entrada'!$D$94,0)</f>
        <v>6</v>
      </c>
      <c r="Q21" s="321">
        <f t="shared" si="14"/>
        <v>1101</v>
      </c>
      <c r="R21" s="321">
        <f>ROUND(U21*'Dados de Entrada'!$D$94,0)</f>
        <v>2</v>
      </c>
      <c r="S21" s="321">
        <f>('Evolução Atendimento'!R22-'Evolução Atendimento'!R21)*'Dados de Entrada'!$D$43*'Dados de Entrada'!$D$96</f>
        <v>5185.9104013615906</v>
      </c>
      <c r="T21" s="321">
        <f>('Evolução Atendimento'!S22-'Evolução Atendimento'!S21)*'Dados de Entrada'!$E$43*'Dados de Entrada'!$D$96</f>
        <v>58.733766233766232</v>
      </c>
      <c r="U21" s="321">
        <f>('Evolução Atendimento'!T22-'Evolução Atendimento'!T21)*'Dados de Entrada'!$F$43*'Dados de Entrada'!$D$96</f>
        <v>21.063829787234045</v>
      </c>
      <c r="V21" s="321">
        <f t="shared" si="15"/>
        <v>540145.36172112392</v>
      </c>
      <c r="W21" s="321">
        <f t="shared" si="3"/>
        <v>526.59104013615911</v>
      </c>
      <c r="AC21" s="318"/>
      <c r="AD21" s="318"/>
    </row>
    <row r="22" spans="1:30" s="18" customFormat="1" ht="15" customHeight="1">
      <c r="A22" s="2">
        <f t="shared" si="4"/>
        <v>19</v>
      </c>
      <c r="B22" s="12">
        <f>B21+('Evolução Ligações'!C23*'Dados de Entrada'!$D$42)</f>
        <v>604184</v>
      </c>
      <c r="C22" s="17">
        <f>('Evolução Atendimento'!I22-'Evolução Atendimento'!I21)*'Dados de Entrada'!$D$40*'Dados de Entrada'!$D$93</f>
        <v>667.52459325358677</v>
      </c>
      <c r="D22" s="12">
        <f>D21+('Evolução Ligações'!E23*'Dados de Entrada'!$E$42)</f>
        <v>7240</v>
      </c>
      <c r="E22" s="17">
        <f>(D22-D21)*'Dados de Entrada'!$D$93</f>
        <v>3</v>
      </c>
      <c r="F22" s="12">
        <f>F21+('Evolução Ligações'!G23*'Dados de Entrada'!$F$42)</f>
        <v>1415</v>
      </c>
      <c r="G22" s="17">
        <f>(F22-F21)*'Dados de Entrada'!$D$93</f>
        <v>1.5</v>
      </c>
      <c r="H22" s="17">
        <f t="shared" si="5"/>
        <v>6637.4754067464128</v>
      </c>
      <c r="I22" s="17">
        <f t="shared" si="6"/>
        <v>27</v>
      </c>
      <c r="J22" s="17">
        <f t="shared" si="7"/>
        <v>13.5</v>
      </c>
      <c r="K22" s="321">
        <f t="shared" si="0"/>
        <v>612839</v>
      </c>
      <c r="L22" s="321">
        <f t="shared" si="1"/>
        <v>672.02459325358677</v>
      </c>
      <c r="M22" s="12">
        <f t="shared" si="11"/>
        <v>630045.48964767926</v>
      </c>
      <c r="N22" s="17">
        <f>S22*'Dados de Entrada'!$D$94</f>
        <v>524.25870177699142</v>
      </c>
      <c r="O22" s="12">
        <f t="shared" si="13"/>
        <v>6676</v>
      </c>
      <c r="P22" s="321">
        <f>ROUND(T22*'Dados de Entrada'!$D$94,0)</f>
        <v>6</v>
      </c>
      <c r="Q22" s="321">
        <f t="shared" si="14"/>
        <v>1103</v>
      </c>
      <c r="R22" s="321">
        <f>ROUND(U22*'Dados de Entrada'!$D$94,0)</f>
        <v>2</v>
      </c>
      <c r="S22" s="321">
        <f>('Evolução Atendimento'!R23-'Evolução Atendimento'!R22)*'Dados de Entrada'!$D$43*'Dados de Entrada'!$D$96</f>
        <v>5242.5870177699144</v>
      </c>
      <c r="T22" s="321">
        <f>('Evolução Atendimento'!S23-'Evolução Atendimento'!S22)*'Dados de Entrada'!$E$43*'Dados de Entrada'!$D$96</f>
        <v>58.733766233766232</v>
      </c>
      <c r="U22" s="737">
        <f>('Evolução Atendimento'!T23-'Evolução Atendimento'!T22)*'Dados de Entrada'!$F$43*'Dados de Entrada'!$D$96</f>
        <v>21.063829787234045</v>
      </c>
      <c r="V22" s="321">
        <f t="shared" si="15"/>
        <v>540677.62042290089</v>
      </c>
      <c r="W22" s="321">
        <f t="shared" si="3"/>
        <v>532.25870177699142</v>
      </c>
      <c r="AC22" s="318"/>
      <c r="AD22" s="684"/>
    </row>
    <row r="23" spans="1:30" ht="15" customHeight="1">
      <c r="A23" s="2">
        <f t="shared" si="4"/>
        <v>20</v>
      </c>
      <c r="B23" s="12">
        <f>B22+('Evolução Ligações'!C24*'Dados de Entrada'!$D$42)</f>
        <v>611564</v>
      </c>
      <c r="C23" s="17">
        <f>('Evolução Atendimento'!I23-'Evolução Atendimento'!I22)*'Dados de Entrada'!$D$40*'Dados de Entrada'!$D$93</f>
        <v>675.17143832455099</v>
      </c>
      <c r="D23" s="12">
        <f>D22+('Evolução Ligações'!E24*'Dados de Entrada'!$E$42)</f>
        <v>7270</v>
      </c>
      <c r="E23" s="17">
        <f>(D23-D22)*'Dados de Entrada'!$D$93</f>
        <v>3</v>
      </c>
      <c r="F23" s="12">
        <f>F22+('Evolução Ligações'!G24*'Dados de Entrada'!$F$42)</f>
        <v>1430</v>
      </c>
      <c r="G23" s="17">
        <f>(F23-F22)*'Dados de Entrada'!$D$93</f>
        <v>1.5</v>
      </c>
      <c r="H23" s="17">
        <f t="shared" si="5"/>
        <v>6704.8285616754492</v>
      </c>
      <c r="I23" s="17">
        <f t="shared" si="6"/>
        <v>27</v>
      </c>
      <c r="J23" s="17">
        <f t="shared" si="7"/>
        <v>13.5</v>
      </c>
      <c r="K23" s="321">
        <f t="shared" si="0"/>
        <v>620264</v>
      </c>
      <c r="L23" s="321">
        <f t="shared" si="1"/>
        <v>679.67143832455099</v>
      </c>
      <c r="M23" s="12">
        <f t="shared" si="11"/>
        <v>635883.58597071085</v>
      </c>
      <c r="N23" s="17">
        <f>S23*'Dados de Entrada'!$D$94</f>
        <v>530.73602936651412</v>
      </c>
      <c r="O23" s="12">
        <f t="shared" si="13"/>
        <v>6684</v>
      </c>
      <c r="P23" s="321">
        <f>ROUND(T23*'Dados de Entrada'!$D$94,0)</f>
        <v>8</v>
      </c>
      <c r="Q23" s="321">
        <f t="shared" si="14"/>
        <v>1105</v>
      </c>
      <c r="R23" s="321">
        <f>ROUND(U23*'Dados de Entrada'!$D$94,0)</f>
        <v>2</v>
      </c>
      <c r="S23" s="321">
        <f>('Evolução Atendimento'!R24-'Evolução Atendimento'!R23)*'Dados de Entrada'!$D$43*'Dados de Entrada'!$D$96</f>
        <v>5307.3602936651414</v>
      </c>
      <c r="T23" s="321">
        <f>('Evolução Atendimento'!S24-'Evolução Atendimento'!S23)*'Dados de Entrada'!$E$43*'Dados de Entrada'!$D$96</f>
        <v>78.311688311688314</v>
      </c>
      <c r="U23" s="321">
        <f>('Evolução Atendimento'!T24-'Evolução Atendimento'!T23)*'Dados de Entrada'!$F$43*'Dados de Entrada'!$D$96</f>
        <v>21.063829787234045</v>
      </c>
      <c r="V23" s="321">
        <f t="shared" si="15"/>
        <v>541218.35645226738</v>
      </c>
      <c r="W23" s="321">
        <f t="shared" si="3"/>
        <v>540.73602936651412</v>
      </c>
      <c r="AC23" s="318"/>
      <c r="AD23" s="318"/>
    </row>
    <row r="24" spans="1:30" ht="15" customHeight="1">
      <c r="A24" s="2">
        <f t="shared" si="4"/>
        <v>21</v>
      </c>
      <c r="B24" s="12">
        <f>B23+('Evolução Ligações'!C25*'Dados de Entrada'!$D$42)</f>
        <v>619049</v>
      </c>
      <c r="C24" s="17">
        <f>('Evolução Atendimento'!I24-'Evolução Atendimento'!I23)*'Dados de Entrada'!$D$40*'Dados de Entrada'!$D$93</f>
        <v>682.81828339551521</v>
      </c>
      <c r="D24" s="12">
        <f>D23+('Evolução Ligações'!E25*'Dados de Entrada'!$E$42)</f>
        <v>7300</v>
      </c>
      <c r="E24" s="17">
        <f>(D24-D23)*'Dados de Entrada'!$D$93</f>
        <v>3</v>
      </c>
      <c r="F24" s="12">
        <f>F23+('Evolução Ligações'!G25*'Dados de Entrada'!$F$42)</f>
        <v>1445</v>
      </c>
      <c r="G24" s="17">
        <f>(F24-F23)*'Dados de Entrada'!$D$93</f>
        <v>1.5</v>
      </c>
      <c r="H24" s="17">
        <f t="shared" si="5"/>
        <v>6802.1817166044848</v>
      </c>
      <c r="I24" s="17">
        <f t="shared" si="6"/>
        <v>27</v>
      </c>
      <c r="J24" s="17">
        <f t="shared" si="7"/>
        <v>13.5</v>
      </c>
      <c r="K24" s="321">
        <f t="shared" si="0"/>
        <v>627794</v>
      </c>
      <c r="L24" s="321">
        <f t="shared" si="1"/>
        <v>687.31828339551521</v>
      </c>
      <c r="M24" s="12">
        <f t="shared" si="11"/>
        <v>641788.47973450948</v>
      </c>
      <c r="N24" s="17">
        <f>S24*'Dados de Entrada'!$D$94</f>
        <v>536.80852398169168</v>
      </c>
      <c r="O24" s="12">
        <f t="shared" si="13"/>
        <v>6690</v>
      </c>
      <c r="P24" s="321">
        <f>ROUND(T24*'Dados de Entrada'!$D$94,0)</f>
        <v>6</v>
      </c>
      <c r="Q24" s="321">
        <f t="shared" si="14"/>
        <v>1107</v>
      </c>
      <c r="R24" s="321">
        <f>ROUND(U24*'Dados de Entrada'!$D$94,0)</f>
        <v>2</v>
      </c>
      <c r="S24" s="321">
        <f>('Evolução Atendimento'!R25-'Evolução Atendimento'!R24)*'Dados de Entrada'!$D$43*'Dados de Entrada'!$D$96</f>
        <v>5368.0852398169163</v>
      </c>
      <c r="T24" s="321">
        <f>('Evolução Atendimento'!S25-'Evolução Atendimento'!S24)*'Dados de Entrada'!$E$43*'Dados de Entrada'!$D$96</f>
        <v>58.733766233766232</v>
      </c>
      <c r="U24" s="321">
        <f>('Evolução Atendimento'!T25-'Evolução Atendimento'!T24)*'Dados de Entrada'!$F$43*'Dados de Entrada'!$D$96</f>
        <v>21.063829787234045</v>
      </c>
      <c r="V24" s="321">
        <f t="shared" si="15"/>
        <v>541763.1649762491</v>
      </c>
      <c r="W24" s="321">
        <f t="shared" si="3"/>
        <v>544.80852398169168</v>
      </c>
      <c r="AC24" s="318"/>
      <c r="AD24" s="318"/>
    </row>
    <row r="25" spans="1:30" ht="15" customHeight="1">
      <c r="A25" s="2">
        <f t="shared" si="4"/>
        <v>22</v>
      </c>
      <c r="B25" s="12">
        <f>B24+('Evolução Ligações'!C26*'Dados de Entrada'!$D$42)</f>
        <v>626594</v>
      </c>
      <c r="C25" s="17">
        <f>('Evolução Atendimento'!I25-'Evolução Atendimento'!I24)*'Dados de Entrada'!$D$40*'Dados de Entrada'!$D$93</f>
        <v>690.91494288241859</v>
      </c>
      <c r="D25" s="12">
        <f>D24+('Evolução Ligações'!E26*'Dados de Entrada'!$E$42)</f>
        <v>7330</v>
      </c>
      <c r="E25" s="17">
        <f>(D25-D24)*'Dados de Entrada'!$D$93</f>
        <v>3</v>
      </c>
      <c r="F25" s="12">
        <f>F24+('Evolução Ligações'!G26*'Dados de Entrada'!$F$42)</f>
        <v>1460</v>
      </c>
      <c r="G25" s="17">
        <f>(F25-F24)*'Dados de Entrada'!$D$93</f>
        <v>1.5</v>
      </c>
      <c r="H25" s="17">
        <f t="shared" si="5"/>
        <v>6854.0850571175815</v>
      </c>
      <c r="I25" s="17">
        <f t="shared" si="6"/>
        <v>27</v>
      </c>
      <c r="J25" s="17">
        <f t="shared" si="7"/>
        <v>13.5</v>
      </c>
      <c r="K25" s="321">
        <f t="shared" si="0"/>
        <v>635384</v>
      </c>
      <c r="L25" s="321">
        <f t="shared" si="1"/>
        <v>695.41494288241859</v>
      </c>
      <c r="M25" s="12">
        <f t="shared" si="11"/>
        <v>647760.17093907495</v>
      </c>
      <c r="N25" s="17">
        <f>S25*'Dados de Entrada'!$D$94</f>
        <v>542.88101859686913</v>
      </c>
      <c r="O25" s="12">
        <f t="shared" si="13"/>
        <v>6700</v>
      </c>
      <c r="P25" s="321">
        <f>ROUND(T25*'Dados de Entrada'!$D$94,0)</f>
        <v>10</v>
      </c>
      <c r="Q25" s="321">
        <f t="shared" si="14"/>
        <v>1109</v>
      </c>
      <c r="R25" s="321">
        <f>ROUND(U25*'Dados de Entrada'!$D$94,0)</f>
        <v>2</v>
      </c>
      <c r="S25" s="321">
        <f>('Evolução Atendimento'!R26-'Evolução Atendimento'!R25)*'Dados de Entrada'!$D$43*'Dados de Entrada'!$D$96</f>
        <v>5428.8101859686913</v>
      </c>
      <c r="T25" s="321">
        <f>('Evolução Atendimento'!S26-'Evolução Atendimento'!S25)*'Dados de Entrada'!$E$43*'Dados de Entrada'!$D$96</f>
        <v>97.889610389610397</v>
      </c>
      <c r="U25" s="321">
        <f>('Evolução Atendimento'!T26-'Evolução Atendimento'!T25)*'Dados de Entrada'!$F$43*'Dados de Entrada'!$D$96</f>
        <v>21.063829787234045</v>
      </c>
      <c r="V25" s="321">
        <f t="shared" si="15"/>
        <v>542318.04599484592</v>
      </c>
      <c r="W25" s="321">
        <f t="shared" si="3"/>
        <v>554.88101859686913</v>
      </c>
      <c r="AC25" s="318"/>
      <c r="AD25" s="318"/>
    </row>
    <row r="26" spans="1:30" s="18" customFormat="1" ht="15" customHeight="1">
      <c r="A26" s="2">
        <f t="shared" si="4"/>
        <v>23</v>
      </c>
      <c r="B26" s="12">
        <f>B25+('Evolução Ligações'!C27*'Dados de Entrada'!$D$42)</f>
        <v>634229</v>
      </c>
      <c r="C26" s="17">
        <f>('Evolução Atendimento'!I26-'Evolução Atendimento'!I25)*'Dados de Entrada'!$D$40*'Dados de Entrada'!$D$93</f>
        <v>698.56178795338292</v>
      </c>
      <c r="D26" s="12">
        <f>D25+('Evolução Ligações'!E27*'Dados de Entrada'!$E$42)</f>
        <v>7375</v>
      </c>
      <c r="E26" s="17">
        <f>(D26-D25)*'Dados de Entrada'!$D$93</f>
        <v>4.5</v>
      </c>
      <c r="F26" s="12">
        <f>F25+('Evolução Ligações'!G27*'Dados de Entrada'!$F$42)</f>
        <v>1475</v>
      </c>
      <c r="G26" s="17">
        <f>(F26-F25)*'Dados de Entrada'!$D$93</f>
        <v>1.5</v>
      </c>
      <c r="H26" s="17">
        <f t="shared" si="5"/>
        <v>6936.4382120466171</v>
      </c>
      <c r="I26" s="17">
        <f t="shared" si="6"/>
        <v>40.5</v>
      </c>
      <c r="J26" s="17">
        <f t="shared" si="7"/>
        <v>13.5</v>
      </c>
      <c r="K26" s="321">
        <f t="shared" si="0"/>
        <v>643079</v>
      </c>
      <c r="L26" s="321">
        <f t="shared" si="1"/>
        <v>704.56178795338292</v>
      </c>
      <c r="M26" s="12">
        <f t="shared" si="11"/>
        <v>653798.65958440746</v>
      </c>
      <c r="N26" s="17">
        <f>S26*'Dados de Entrada'!$D$94</f>
        <v>548.95351321204669</v>
      </c>
      <c r="O26" s="12">
        <f t="shared" si="13"/>
        <v>6708</v>
      </c>
      <c r="P26" s="321">
        <f>ROUND(T26*'Dados de Entrada'!$D$94,0)</f>
        <v>8</v>
      </c>
      <c r="Q26" s="321">
        <f t="shared" si="14"/>
        <v>1109</v>
      </c>
      <c r="R26" s="321">
        <f>ROUND(U26*'Dados de Entrada'!$D$94,0)</f>
        <v>0</v>
      </c>
      <c r="S26" s="321">
        <f>('Evolução Atendimento'!R27-'Evolução Atendimento'!R26)*'Dados de Entrada'!$D$43*'Dados de Entrada'!$D$96</f>
        <v>5489.5351321204662</v>
      </c>
      <c r="T26" s="321">
        <f>('Evolução Atendimento'!S27-'Evolução Atendimento'!S26)*'Dados de Entrada'!$E$43*'Dados de Entrada'!$D$96</f>
        <v>78.311688311688314</v>
      </c>
      <c r="U26" s="321">
        <f>('Evolução Atendimento'!T27-'Evolução Atendimento'!T26)*'Dados de Entrada'!$F$43*'Dados de Entrada'!$D$96</f>
        <v>0</v>
      </c>
      <c r="V26" s="321">
        <f t="shared" si="15"/>
        <v>542874.99950805795</v>
      </c>
      <c r="W26" s="321">
        <f t="shared" si="3"/>
        <v>556.95351321204669</v>
      </c>
      <c r="AC26" s="318"/>
      <c r="AD26" s="684"/>
    </row>
    <row r="27" spans="1:30" s="18" customFormat="1" ht="15" customHeight="1">
      <c r="A27" s="2">
        <f t="shared" si="4"/>
        <v>24</v>
      </c>
      <c r="B27" s="12">
        <f>B26+('Evolução Ligações'!C28*'Dados de Entrada'!$D$42)</f>
        <v>641969</v>
      </c>
      <c r="C27" s="17">
        <f>('Evolução Atendimento'!I27-'Evolução Atendimento'!I26)*'Dados de Entrada'!$D$40*'Dados de Entrada'!$D$93</f>
        <v>706.65844744028618</v>
      </c>
      <c r="D27" s="12">
        <f>D26+('Evolução Ligações'!E28*'Dados de Entrada'!$E$42)</f>
        <v>7405</v>
      </c>
      <c r="E27" s="17">
        <f>(D27-D26)*'Dados de Entrada'!$D$93</f>
        <v>3</v>
      </c>
      <c r="F27" s="12">
        <f>F26+('Evolução Ligações'!G28*'Dados de Entrada'!$F$42)</f>
        <v>1505</v>
      </c>
      <c r="G27" s="17">
        <f>(F27-F26)*'Dados de Entrada'!$D$93</f>
        <v>3</v>
      </c>
      <c r="H27" s="17">
        <f t="shared" si="5"/>
        <v>7033.3415525597138</v>
      </c>
      <c r="I27" s="17">
        <f t="shared" si="6"/>
        <v>27</v>
      </c>
      <c r="J27" s="17">
        <f t="shared" si="7"/>
        <v>27</v>
      </c>
      <c r="K27" s="321">
        <f t="shared" si="0"/>
        <v>650879</v>
      </c>
      <c r="L27" s="321">
        <f t="shared" si="1"/>
        <v>712.65844744028618</v>
      </c>
      <c r="M27" s="12">
        <f t="shared" si="11"/>
        <v>659917.3051586604</v>
      </c>
      <c r="N27" s="17">
        <f>S27*'Dados de Entrada'!$D$94</f>
        <v>556.24050675025967</v>
      </c>
      <c r="O27" s="12">
        <f t="shared" si="13"/>
        <v>6716</v>
      </c>
      <c r="P27" s="321">
        <f>ROUND(T27*'Dados de Entrada'!$D$94,0)</f>
        <v>8</v>
      </c>
      <c r="Q27" s="321">
        <f t="shared" si="14"/>
        <v>1111</v>
      </c>
      <c r="R27" s="321">
        <f>ROUND(U27*'Dados de Entrada'!$D$94,0)</f>
        <v>2</v>
      </c>
      <c r="S27" s="321">
        <f>('Evolução Atendimento'!R28-'Evolução Atendimento'!R27)*'Dados de Entrada'!$D$43*'Dados de Entrada'!$D$96</f>
        <v>5562.4050675025965</v>
      </c>
      <c r="T27" s="321">
        <f>('Evolução Atendimento'!S28-'Evolução Atendimento'!S27)*'Dados de Entrada'!$E$43*'Dados de Entrada'!$D$96</f>
        <v>78.311688311688314</v>
      </c>
      <c r="U27" s="321">
        <f>('Evolução Atendimento'!T28-'Evolução Atendimento'!T27)*'Dados de Entrada'!$F$43*'Dados de Entrada'!$D$96</f>
        <v>21.063829787234045</v>
      </c>
      <c r="V27" s="321">
        <f t="shared" si="15"/>
        <v>543441.24001480825</v>
      </c>
      <c r="W27" s="321">
        <f t="shared" si="3"/>
        <v>566.24050675025967</v>
      </c>
      <c r="AC27" s="318"/>
      <c r="AD27" s="684"/>
    </row>
    <row r="28" spans="1:30" ht="15" customHeight="1">
      <c r="A28" s="2">
        <f t="shared" si="4"/>
        <v>25</v>
      </c>
      <c r="B28" s="12">
        <f>B27+('Evolução Ligações'!C29*'Dados de Entrada'!$D$42)</f>
        <v>649799</v>
      </c>
      <c r="C28" s="17">
        <f>('Evolução Atendimento'!I28-'Evolução Atendimento'!I27)*'Dados de Entrada'!$D$40*'Dados de Entrada'!$D$93</f>
        <v>715.20492134312872</v>
      </c>
      <c r="D28" s="12">
        <f>D27+('Evolução Ligações'!E29*'Dados de Entrada'!$E$42)</f>
        <v>7450</v>
      </c>
      <c r="E28" s="17">
        <f>(D28-D27)*'Dados de Entrada'!$D$93</f>
        <v>4.5</v>
      </c>
      <c r="F28" s="12">
        <f>F27+('Evolução Ligações'!G29*'Dados de Entrada'!$F$42)</f>
        <v>1520</v>
      </c>
      <c r="G28" s="17">
        <f>(F28-F27)*'Dados de Entrada'!$D$93</f>
        <v>1.5</v>
      </c>
      <c r="H28" s="17">
        <f t="shared" si="5"/>
        <v>7114.7950786568708</v>
      </c>
      <c r="I28" s="17">
        <f t="shared" si="6"/>
        <v>40.5</v>
      </c>
      <c r="J28" s="17">
        <f t="shared" si="7"/>
        <v>13.5</v>
      </c>
      <c r="K28" s="321">
        <f t="shared" si="0"/>
        <v>658769</v>
      </c>
      <c r="L28" s="321">
        <f t="shared" si="1"/>
        <v>721.20492134312872</v>
      </c>
      <c r="M28" s="12">
        <f t="shared" si="11"/>
        <v>666102.74817368016</v>
      </c>
      <c r="N28" s="17">
        <f>S28*'Dados de Entrada'!$D$94</f>
        <v>562.31300136543723</v>
      </c>
      <c r="O28" s="12">
        <f t="shared" si="13"/>
        <v>6726</v>
      </c>
      <c r="P28" s="321">
        <f>ROUND(T28*'Dados de Entrada'!$D$94,0)</f>
        <v>10</v>
      </c>
      <c r="Q28" s="321">
        <f t="shared" si="14"/>
        <v>1113</v>
      </c>
      <c r="R28" s="321">
        <f>ROUND(U28*'Dados de Entrada'!$D$94,0)</f>
        <v>2</v>
      </c>
      <c r="S28" s="321">
        <f>('Evolução Atendimento'!R29-'Evolução Atendimento'!R28)*'Dados de Entrada'!$D$43*'Dados de Entrada'!$D$96</f>
        <v>5623.1300136543723</v>
      </c>
      <c r="T28" s="321">
        <f>('Evolução Atendimento'!S29-'Evolução Atendimento'!S28)*'Dados de Entrada'!$E$43*'Dados de Entrada'!$D$96</f>
        <v>97.889610389610397</v>
      </c>
      <c r="U28" s="321">
        <f>('Evolução Atendimento'!T29-'Evolução Atendimento'!T28)*'Dados de Entrada'!$F$43*'Dados de Entrada'!$D$96</f>
        <v>21.063829787234045</v>
      </c>
      <c r="V28" s="321">
        <f t="shared" si="15"/>
        <v>544015.55301617365</v>
      </c>
      <c r="W28" s="321">
        <f t="shared" si="3"/>
        <v>574.31300136543723</v>
      </c>
      <c r="AC28" s="318"/>
      <c r="AD28" s="318"/>
    </row>
    <row r="29" spans="1:30" ht="15" customHeight="1">
      <c r="A29" s="2">
        <f t="shared" si="4"/>
        <v>26</v>
      </c>
      <c r="B29" s="12">
        <f>B28+('Evolução Ligações'!C30*'Dados de Entrada'!$D$42)</f>
        <v>657719</v>
      </c>
      <c r="C29" s="17">
        <f>('Evolução Atendimento'!I29-'Evolução Atendimento'!I28)*'Dados de Entrada'!$D$40*'Dados de Entrada'!$D$93</f>
        <v>723.75139524597103</v>
      </c>
      <c r="D29" s="12">
        <f>D28+('Evolução Ligações'!E30*'Dados de Entrada'!$E$42)</f>
        <v>7480</v>
      </c>
      <c r="E29" s="17">
        <f>(D29-D28)*'Dados de Entrada'!$D$93</f>
        <v>3</v>
      </c>
      <c r="F29" s="12">
        <f>F28+('Evolução Ligações'!G30*'Dados de Entrada'!$F$42)</f>
        <v>1535</v>
      </c>
      <c r="G29" s="17">
        <f>(F29-F28)*'Dados de Entrada'!$D$93</f>
        <v>1.5</v>
      </c>
      <c r="H29" s="17">
        <f t="shared" si="5"/>
        <v>7196.2486047540287</v>
      </c>
      <c r="I29" s="17">
        <f t="shared" si="6"/>
        <v>27</v>
      </c>
      <c r="J29" s="17">
        <f t="shared" si="7"/>
        <v>13.5</v>
      </c>
      <c r="K29" s="321">
        <f t="shared" si="0"/>
        <v>666734</v>
      </c>
      <c r="L29" s="321">
        <f t="shared" si="1"/>
        <v>728.25139524597103</v>
      </c>
      <c r="M29" s="12">
        <f t="shared" si="11"/>
        <v>672354.98862946697</v>
      </c>
      <c r="N29" s="17">
        <f>S29*'Dados de Entrada'!$D$94</f>
        <v>568.38549598061468</v>
      </c>
      <c r="O29" s="12">
        <f t="shared" si="13"/>
        <v>6734</v>
      </c>
      <c r="P29" s="321">
        <f>ROUND(T29*'Dados de Entrada'!$D$94,0)</f>
        <v>8</v>
      </c>
      <c r="Q29" s="321">
        <f t="shared" si="14"/>
        <v>1115</v>
      </c>
      <c r="R29" s="321">
        <f>ROUND(U29*'Dados de Entrada'!$D$94,0)</f>
        <v>2</v>
      </c>
      <c r="S29" s="321">
        <f>('Evolução Atendimento'!R30-'Evolução Atendimento'!R29)*'Dados de Entrada'!$D$43*'Dados de Entrada'!$D$96</f>
        <v>5683.8549598061463</v>
      </c>
      <c r="T29" s="321">
        <f>('Evolução Atendimento'!S30-'Evolução Atendimento'!S29)*'Dados de Entrada'!$E$43*'Dados de Entrada'!$D$96</f>
        <v>78.311688311688314</v>
      </c>
      <c r="U29" s="321">
        <f>('Evolução Atendimento'!T30-'Evolução Atendimento'!T29)*'Dados de Entrada'!$F$43*'Dados de Entrada'!$D$96</f>
        <v>21.063829787234045</v>
      </c>
      <c r="V29" s="321">
        <f t="shared" si="15"/>
        <v>544593.93851215427</v>
      </c>
      <c r="W29" s="321">
        <f t="shared" si="3"/>
        <v>578.38549598061468</v>
      </c>
      <c r="AC29" s="318"/>
      <c r="AD29" s="318"/>
    </row>
    <row r="30" spans="1:30" ht="15" customHeight="1">
      <c r="A30" s="2">
        <f t="shared" si="4"/>
        <v>27</v>
      </c>
      <c r="B30" s="12">
        <f>B29+('Evolução Ligações'!C31*'Dados de Entrada'!$D$42)</f>
        <v>665714</v>
      </c>
      <c r="C30" s="17">
        <f>('Evolução Atendimento'!I30-'Evolução Atendimento'!I29)*'Dados de Entrada'!$D$40*'Dados de Entrada'!$D$93</f>
        <v>731.39824031693524</v>
      </c>
      <c r="D30" s="12">
        <f>D29+('Evolução Ligações'!E31*'Dados de Entrada'!$E$42)</f>
        <v>7510</v>
      </c>
      <c r="E30" s="17">
        <f>(D30-D29)*'Dados de Entrada'!$D$93</f>
        <v>3</v>
      </c>
      <c r="F30" s="12">
        <f>F29+('Evolução Ligações'!G31*'Dados de Entrada'!$F$42)</f>
        <v>1550</v>
      </c>
      <c r="G30" s="17">
        <f>(F30-F29)*'Dados de Entrada'!$D$93</f>
        <v>1.5</v>
      </c>
      <c r="H30" s="17">
        <f t="shared" si="5"/>
        <v>7263.6017596830643</v>
      </c>
      <c r="I30" s="17">
        <f t="shared" si="6"/>
        <v>27</v>
      </c>
      <c r="J30" s="17">
        <f t="shared" si="7"/>
        <v>13.5</v>
      </c>
      <c r="K30" s="321">
        <f t="shared" si="0"/>
        <v>674774</v>
      </c>
      <c r="L30" s="321">
        <f t="shared" si="1"/>
        <v>735.89824031693524</v>
      </c>
      <c r="M30" s="12">
        <f t="shared" si="11"/>
        <v>678678.47968873847</v>
      </c>
      <c r="N30" s="17">
        <f>S30*'Dados de Entrada'!$D$94</f>
        <v>574.86282357013738</v>
      </c>
      <c r="O30" s="12">
        <f t="shared" si="13"/>
        <v>6742</v>
      </c>
      <c r="P30" s="321">
        <f>ROUND(T30*'Dados de Entrada'!$D$94,0)</f>
        <v>8</v>
      </c>
      <c r="Q30" s="321">
        <f t="shared" si="14"/>
        <v>1117</v>
      </c>
      <c r="R30" s="321">
        <f>ROUND(U30*'Dados de Entrada'!$D$94,0)</f>
        <v>2</v>
      </c>
      <c r="S30" s="321">
        <f>('Evolução Atendimento'!R31-'Evolução Atendimento'!R30)*'Dados de Entrada'!$D$43*'Dados de Entrada'!$D$96</f>
        <v>5748.6282357013733</v>
      </c>
      <c r="T30" s="321">
        <f>('Evolução Atendimento'!S31-'Evolução Atendimento'!S30)*'Dados de Entrada'!$E$43*'Dados de Entrada'!$D$96</f>
        <v>78.311688311688314</v>
      </c>
      <c r="U30" s="321">
        <f>('Evolução Atendimento'!T31-'Evolução Atendimento'!T30)*'Dados de Entrada'!$F$43*'Dados de Entrada'!$D$96</f>
        <v>21.063829787234045</v>
      </c>
      <c r="V30" s="321">
        <f t="shared" si="15"/>
        <v>545178.80133572442</v>
      </c>
      <c r="W30" s="321">
        <f t="shared" si="3"/>
        <v>584.86282357013738</v>
      </c>
      <c r="AC30" s="318"/>
      <c r="AD30" s="318"/>
    </row>
    <row r="31" spans="1:30" ht="15" customHeight="1">
      <c r="A31" s="2">
        <f t="shared" si="4"/>
        <v>28</v>
      </c>
      <c r="B31" s="12">
        <f>B30+('Evolução Ligações'!C32*'Dados de Entrada'!$D$42)</f>
        <v>673814</v>
      </c>
      <c r="C31" s="17">
        <f>('Evolução Atendimento'!I31-'Evolução Atendimento'!I30)*'Dados de Entrada'!$D$40*'Dados de Entrada'!$D$93</f>
        <v>739.94471421977778</v>
      </c>
      <c r="D31" s="12">
        <f>D30+('Evolução Ligações'!E32*'Dados de Entrada'!$E$42)</f>
        <v>7555</v>
      </c>
      <c r="E31" s="17">
        <f>(D31-D30)*'Dados de Entrada'!$D$93</f>
        <v>4.5</v>
      </c>
      <c r="F31" s="12">
        <f>F30+('Evolução Ligações'!G32*'Dados de Entrada'!$F$42)</f>
        <v>1565</v>
      </c>
      <c r="G31" s="17">
        <f>(F31-F30)*'Dados de Entrada'!$D$93</f>
        <v>1.5</v>
      </c>
      <c r="H31" s="17">
        <f t="shared" si="5"/>
        <v>7360.0552857802222</v>
      </c>
      <c r="I31" s="17">
        <f t="shared" si="6"/>
        <v>40.5</v>
      </c>
      <c r="J31" s="17">
        <f t="shared" si="7"/>
        <v>13.5</v>
      </c>
      <c r="K31" s="321">
        <f t="shared" si="0"/>
        <v>682934</v>
      </c>
      <c r="L31" s="321">
        <f t="shared" si="1"/>
        <v>745.94471421977778</v>
      </c>
      <c r="M31" s="12">
        <f t="shared" si="11"/>
        <v>685077.67451421253</v>
      </c>
      <c r="N31" s="17">
        <f>S31*'Dados de Entrada'!$D$94</f>
        <v>581.74498413400522</v>
      </c>
      <c r="O31" s="12">
        <f t="shared" si="13"/>
        <v>6752</v>
      </c>
      <c r="P31" s="321">
        <f>ROUND(T31*'Dados de Entrada'!$D$94,0)</f>
        <v>10</v>
      </c>
      <c r="Q31" s="321">
        <f t="shared" si="14"/>
        <v>1119</v>
      </c>
      <c r="R31" s="321">
        <f>ROUND(U31*'Dados de Entrada'!$D$94,0)</f>
        <v>2</v>
      </c>
      <c r="S31" s="321">
        <f>('Evolução Atendimento'!R32-'Evolução Atendimento'!R31)*'Dados de Entrada'!$D$43*'Dados de Entrada'!$D$96</f>
        <v>5817.4498413400515</v>
      </c>
      <c r="T31" s="321">
        <f>('Evolução Atendimento'!S32-'Evolução Atendimento'!S31)*'Dados de Entrada'!$E$43*'Dados de Entrada'!$D$96</f>
        <v>97.889610389610397</v>
      </c>
      <c r="U31" s="321">
        <f>('Evolução Atendimento'!T32-'Evolução Atendimento'!T31)*'Dados de Entrada'!$F$43*'Dados de Entrada'!$D$96</f>
        <v>21.063829787234045</v>
      </c>
      <c r="V31" s="321">
        <f t="shared" si="15"/>
        <v>545772.5463198584</v>
      </c>
      <c r="W31" s="321">
        <f t="shared" si="3"/>
        <v>593.74498413400522</v>
      </c>
      <c r="AC31" s="318"/>
      <c r="AD31" s="318"/>
    </row>
    <row r="32" spans="1:30" ht="15" customHeight="1">
      <c r="A32" s="2">
        <f t="shared" si="4"/>
        <v>29</v>
      </c>
      <c r="B32" s="12">
        <f>B31+('Evolução Ligações'!C33*'Dados de Entrada'!$D$42)</f>
        <v>682004</v>
      </c>
      <c r="C32" s="17">
        <f>('Evolução Atendimento'!I32-'Evolução Atendimento'!I31)*'Dados de Entrada'!$D$40*'Dados de Entrada'!$D$93</f>
        <v>748.4911881226202</v>
      </c>
      <c r="D32" s="12">
        <f>D31+('Evolução Ligações'!E33*'Dados de Entrada'!$E$42)</f>
        <v>7585</v>
      </c>
      <c r="E32" s="17">
        <f>(D32-D31)*'Dados de Entrada'!$D$93</f>
        <v>3</v>
      </c>
      <c r="F32" s="12">
        <f>F31+('Evolução Ligações'!G33*'Dados de Entrada'!$F$42)</f>
        <v>1580</v>
      </c>
      <c r="G32" s="17">
        <f>(F32-F31)*'Dados de Entrada'!$D$93</f>
        <v>1.5</v>
      </c>
      <c r="H32" s="17">
        <f t="shared" si="5"/>
        <v>7441.5088118773801</v>
      </c>
      <c r="I32" s="17">
        <f t="shared" si="6"/>
        <v>27</v>
      </c>
      <c r="J32" s="17">
        <f t="shared" si="7"/>
        <v>13.5</v>
      </c>
      <c r="K32" s="321">
        <f t="shared" si="0"/>
        <v>691169</v>
      </c>
      <c r="L32" s="321">
        <f t="shared" si="1"/>
        <v>752.9911881226202</v>
      </c>
      <c r="M32" s="12">
        <f t="shared" si="11"/>
        <v>691548.11994317127</v>
      </c>
      <c r="N32" s="17">
        <f>S32*'Dados de Entrada'!$D$94</f>
        <v>588.22231172352792</v>
      </c>
      <c r="O32" s="12">
        <f t="shared" si="13"/>
        <v>6760</v>
      </c>
      <c r="P32" s="321">
        <f>ROUND(T32*'Dados de Entrada'!$D$94,0)</f>
        <v>8</v>
      </c>
      <c r="Q32" s="321">
        <f t="shared" si="14"/>
        <v>1121</v>
      </c>
      <c r="R32" s="321">
        <f>ROUND(U32*'Dados de Entrada'!$D$94,0)</f>
        <v>2</v>
      </c>
      <c r="S32" s="321">
        <f>('Evolução Atendimento'!R33-'Evolução Atendimento'!R32)*'Dados de Entrada'!$D$43*'Dados de Entrada'!$D$96</f>
        <v>5882.2231172352786</v>
      </c>
      <c r="T32" s="321">
        <f>('Evolução Atendimento'!S33-'Evolução Atendimento'!S32)*'Dados de Entrada'!$E$43*'Dados de Entrada'!$D$96</f>
        <v>78.311688311688314</v>
      </c>
      <c r="U32" s="737">
        <f>('Evolução Atendimento'!T33-'Evolução Atendimento'!T32)*'Dados de Entrada'!$F$43*'Dados de Entrada'!$D$96</f>
        <v>21.063829787234045</v>
      </c>
      <c r="V32" s="321">
        <f t="shared" si="15"/>
        <v>546370.76863158192</v>
      </c>
      <c r="W32" s="321">
        <f t="shared" si="3"/>
        <v>598.22231172352792</v>
      </c>
      <c r="AC32" s="318"/>
      <c r="AD32" s="318"/>
    </row>
    <row r="33" spans="1:30" ht="15" customHeight="1">
      <c r="A33" s="2">
        <f t="shared" si="4"/>
        <v>30</v>
      </c>
      <c r="B33" s="12">
        <f>B32+('Evolução Ligações'!C34*'Dados de Entrada'!$D$42)</f>
        <v>690299</v>
      </c>
      <c r="C33" s="17">
        <f>('Evolução Atendimento'!I33-'Evolução Atendimento'!I32)*'Dados de Entrada'!$D$40*'Dados de Entrada'!$D$93</f>
        <v>757.03766202546251</v>
      </c>
      <c r="D33" s="12">
        <f>D32+('Evolução Ligações'!E34*'Dados de Entrada'!$E$42)</f>
        <v>7630</v>
      </c>
      <c r="E33" s="17">
        <f>(D33-D32)*'Dados de Entrada'!$D$93</f>
        <v>4.5</v>
      </c>
      <c r="F33" s="12">
        <f>F32+('Evolução Ligações'!G34*'Dados de Entrada'!$F$42)</f>
        <v>1595</v>
      </c>
      <c r="G33" s="17">
        <f>(F33-F32)*'Dados de Entrada'!$D$93</f>
        <v>1.5</v>
      </c>
      <c r="H33" s="17">
        <f t="shared" si="5"/>
        <v>7537.9623379745371</v>
      </c>
      <c r="I33" s="17">
        <f t="shared" si="6"/>
        <v>40.5</v>
      </c>
      <c r="J33" s="17">
        <f t="shared" si="7"/>
        <v>13.5</v>
      </c>
      <c r="K33" s="321">
        <f t="shared" si="0"/>
        <v>699524</v>
      </c>
      <c r="L33" s="321">
        <f t="shared" si="1"/>
        <v>763.03766202546251</v>
      </c>
      <c r="M33" s="12">
        <f t="shared" si="11"/>
        <v>698098.72230105044</v>
      </c>
      <c r="N33" s="17">
        <f>S33*'Dados de Entrada'!$D$94</f>
        <v>595.50930526174079</v>
      </c>
      <c r="O33" s="12">
        <f t="shared" si="13"/>
        <v>6768</v>
      </c>
      <c r="P33" s="321">
        <f>ROUND(T33*'Dados de Entrada'!$D$94,0)</f>
        <v>8</v>
      </c>
      <c r="Q33" s="321">
        <f t="shared" si="14"/>
        <v>1121</v>
      </c>
      <c r="R33" s="321">
        <f>ROUND(U33*'Dados de Entrada'!$D$94,0)</f>
        <v>0</v>
      </c>
      <c r="S33" s="321">
        <f>('Evolução Atendimento'!R34-'Evolução Atendimento'!R33)*'Dados de Entrada'!$D$43*'Dados de Entrada'!$D$96</f>
        <v>5955.0930526174079</v>
      </c>
      <c r="T33" s="321">
        <f>('Evolução Atendimento'!S34-'Evolução Atendimento'!S33)*'Dados de Entrada'!$E$43*'Dados de Entrada'!$D$96</f>
        <v>78.311688311688314</v>
      </c>
      <c r="U33" s="321">
        <f>('Evolução Atendimento'!T34-'Evolução Atendimento'!T33)*'Dados de Entrada'!$F$43*'Dados de Entrada'!$D$96</f>
        <v>0</v>
      </c>
      <c r="V33" s="321">
        <f t="shared" si="15"/>
        <v>546974.27793684369</v>
      </c>
      <c r="W33" s="321">
        <f t="shared" si="3"/>
        <v>603.50930526174079</v>
      </c>
      <c r="AC33" s="318"/>
      <c r="AD33" s="318"/>
    </row>
    <row r="34" spans="1:30" ht="15" customHeight="1">
      <c r="C34" s="235">
        <f>SUM(C4:C33)</f>
        <v>21007.040506365629</v>
      </c>
      <c r="D34" s="364"/>
      <c r="E34" s="364">
        <f>SUM(E4:E33)</f>
        <v>93</v>
      </c>
      <c r="F34" s="364"/>
      <c r="G34" s="364">
        <f>SUM(G4:G33)</f>
        <v>49.5</v>
      </c>
      <c r="H34" s="235">
        <f>SUM(H4:H33)</f>
        <v>201502.95949363429</v>
      </c>
      <c r="I34" s="364">
        <f>SUM(I4:I33)</f>
        <v>837</v>
      </c>
      <c r="J34" s="364">
        <f>SUM(J4:J33)</f>
        <v>445.5</v>
      </c>
      <c r="K34" s="364"/>
      <c r="L34" s="364">
        <f>SUM(L4:L33)</f>
        <v>21149.540506365629</v>
      </c>
      <c r="M34" s="235">
        <f>SUM(N4:N33)</f>
        <v>539085.27793684369</v>
      </c>
      <c r="N34" s="364"/>
      <c r="O34" s="235">
        <f>SUM(P4:P33)</f>
        <v>6768</v>
      </c>
      <c r="P34" s="364"/>
      <c r="Q34" s="235">
        <f>SUM(R4:R33)</f>
        <v>1121</v>
      </c>
      <c r="R34" s="364">
        <f>SUM(S4:S33)</f>
        <v>159013.44436420631</v>
      </c>
      <c r="S34" s="364">
        <f>SUM(T4:T33)</f>
        <v>1699.8286477676718</v>
      </c>
      <c r="T34" s="364">
        <f>SUM(U4:U33)</f>
        <v>400.74002813528853</v>
      </c>
      <c r="U34" s="364">
        <f>SUM(V4:V33)</f>
        <v>13509353.523575136</v>
      </c>
      <c r="W34" s="20">
        <f>SUM(W4:W33)</f>
        <v>546974.27793684369</v>
      </c>
    </row>
  </sheetData>
  <mergeCells count="1">
    <mergeCell ref="A1:W1"/>
  </mergeCells>
  <printOptions horizontalCentered="1"/>
  <pageMargins left="1.0629921259842521" right="1.0629921259842521" top="1.1811023622047245" bottom="0.39370078740157483" header="0.39370078740157483" footer="0.39370078740157483"/>
  <pageSetup paperSize="9" scale="80" fitToWidth="2" orientation="portrait" r:id="rId1"/>
  <headerFooter alignWithMargins="0"/>
  <ignoredErrors>
    <ignoredError sqref="D5 D6:D13 F5:F33 I5 O7:O12 Q7:Q1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FE2-26EB-B64F-B53B-191871772467}">
  <sheetPr>
    <tabColor theme="0" tint="-0.34998626667073579"/>
  </sheetPr>
  <dimension ref="A1:I40"/>
  <sheetViews>
    <sheetView topLeftCell="A11" workbookViewId="0">
      <selection activeCell="I24" sqref="I24"/>
    </sheetView>
  </sheetViews>
  <sheetFormatPr defaultColWidth="11.44140625" defaultRowHeight="13.2"/>
  <cols>
    <col min="2" max="2" width="17" customWidth="1"/>
    <col min="3" max="5" width="13" style="743" customWidth="1"/>
  </cols>
  <sheetData>
    <row r="1" spans="1:9">
      <c r="A1" s="28" t="s">
        <v>171</v>
      </c>
    </row>
    <row r="2" spans="1:9">
      <c r="A2" s="28"/>
    </row>
    <row r="3" spans="1:9" ht="40.049999999999997" customHeight="1">
      <c r="A3" s="969" t="s">
        <v>1279</v>
      </c>
      <c r="B3" s="969" t="s">
        <v>1278</v>
      </c>
      <c r="C3" s="969" t="s">
        <v>1271</v>
      </c>
      <c r="D3" s="970"/>
      <c r="E3" s="970"/>
      <c r="F3" s="969" t="s">
        <v>1272</v>
      </c>
      <c r="G3" s="969"/>
      <c r="H3" s="971" t="s">
        <v>1275</v>
      </c>
      <c r="I3" s="972"/>
    </row>
    <row r="4" spans="1:9" ht="46.05" customHeight="1">
      <c r="A4" s="969"/>
      <c r="B4" s="970"/>
      <c r="C4" s="676" t="s">
        <v>1268</v>
      </c>
      <c r="D4" s="676" t="s">
        <v>1269</v>
      </c>
      <c r="E4" s="676" t="s">
        <v>1270</v>
      </c>
      <c r="F4" s="676" t="s">
        <v>1273</v>
      </c>
      <c r="G4" s="676" t="s">
        <v>1274</v>
      </c>
      <c r="H4" s="676" t="s">
        <v>1276</v>
      </c>
      <c r="I4" s="676" t="s">
        <v>1277</v>
      </c>
    </row>
    <row r="5" spans="1:9">
      <c r="A5" s="969" t="s">
        <v>1260</v>
      </c>
      <c r="B5" s="317" t="s">
        <v>1263</v>
      </c>
      <c r="C5" s="877">
        <v>3.17</v>
      </c>
      <c r="D5" s="877">
        <v>12.54</v>
      </c>
      <c r="E5" s="877">
        <v>44.24</v>
      </c>
      <c r="F5" s="877">
        <v>1.58</v>
      </c>
      <c r="G5" s="877">
        <v>2.21</v>
      </c>
      <c r="H5" s="877">
        <v>3.16</v>
      </c>
      <c r="I5" s="877">
        <v>4.42</v>
      </c>
    </row>
    <row r="6" spans="1:9">
      <c r="A6" s="969"/>
      <c r="B6" s="317" t="s">
        <v>714</v>
      </c>
      <c r="C6" s="877">
        <v>2.65</v>
      </c>
      <c r="D6" s="877">
        <v>12.54</v>
      </c>
      <c r="E6" s="877">
        <v>39.04</v>
      </c>
      <c r="F6" s="877">
        <v>1.32</v>
      </c>
      <c r="G6" s="877">
        <v>1.85</v>
      </c>
      <c r="H6" s="877">
        <v>2.64</v>
      </c>
      <c r="I6" s="877">
        <v>3.7</v>
      </c>
    </row>
    <row r="7" spans="1:9">
      <c r="A7" s="969"/>
      <c r="B7" s="317" t="s">
        <v>1264</v>
      </c>
      <c r="C7" s="877">
        <v>6.6</v>
      </c>
      <c r="D7" s="877"/>
      <c r="E7" s="877"/>
      <c r="F7" s="877">
        <v>3.3</v>
      </c>
      <c r="G7" s="877">
        <v>4.62</v>
      </c>
      <c r="H7" s="877">
        <v>6.6</v>
      </c>
      <c r="I7" s="877">
        <v>9.24</v>
      </c>
    </row>
    <row r="8" spans="1:9">
      <c r="A8" s="318" t="s">
        <v>1261</v>
      </c>
      <c r="B8" s="317" t="s">
        <v>1265</v>
      </c>
      <c r="C8" s="877">
        <v>6.6</v>
      </c>
      <c r="D8" s="877">
        <v>31.28</v>
      </c>
      <c r="E8" s="877">
        <v>97.28</v>
      </c>
      <c r="F8" s="877">
        <v>3.3</v>
      </c>
      <c r="G8" s="877">
        <v>4.62</v>
      </c>
      <c r="H8" s="877">
        <v>6.6</v>
      </c>
      <c r="I8" s="877">
        <v>9.24</v>
      </c>
    </row>
    <row r="9" spans="1:9">
      <c r="A9" s="969" t="s">
        <v>1262</v>
      </c>
      <c r="B9" s="317" t="s">
        <v>1266</v>
      </c>
      <c r="C9" s="877">
        <v>6.6</v>
      </c>
      <c r="D9" s="877">
        <v>31.28</v>
      </c>
      <c r="E9" s="877">
        <v>97.28</v>
      </c>
      <c r="F9" s="877">
        <v>3.3</v>
      </c>
      <c r="G9" s="877">
        <v>4.62</v>
      </c>
      <c r="H9" s="877">
        <v>6.6</v>
      </c>
      <c r="I9" s="877">
        <v>9.24</v>
      </c>
    </row>
    <row r="10" spans="1:9">
      <c r="A10" s="969"/>
      <c r="B10" s="317" t="s">
        <v>1264</v>
      </c>
      <c r="C10" s="877">
        <v>7.5</v>
      </c>
      <c r="D10" s="877"/>
      <c r="E10" s="877"/>
      <c r="F10" s="877">
        <v>3.75</v>
      </c>
      <c r="G10" s="877">
        <v>5.25</v>
      </c>
      <c r="H10" s="877">
        <v>7.5</v>
      </c>
      <c r="I10" s="877">
        <v>10.5</v>
      </c>
    </row>
    <row r="11" spans="1:9">
      <c r="A11" s="969"/>
      <c r="B11" s="317" t="s">
        <v>608</v>
      </c>
      <c r="C11" s="877">
        <v>7.5</v>
      </c>
      <c r="D11" s="877">
        <v>55.81</v>
      </c>
      <c r="E11" s="877">
        <v>205.81</v>
      </c>
      <c r="F11" s="877">
        <v>3.75</v>
      </c>
      <c r="G11" s="877">
        <v>5.25</v>
      </c>
      <c r="H11" s="877">
        <v>7.5</v>
      </c>
      <c r="I11" s="877">
        <v>10.5</v>
      </c>
    </row>
    <row r="12" spans="1:9">
      <c r="A12" s="969"/>
      <c r="B12" s="317" t="s">
        <v>1267</v>
      </c>
      <c r="C12" s="877">
        <v>7.5</v>
      </c>
      <c r="D12" s="877">
        <v>111.45</v>
      </c>
      <c r="E12" s="877">
        <v>261.45</v>
      </c>
      <c r="F12" s="877">
        <v>3.75</v>
      </c>
      <c r="G12" s="877">
        <v>5.25</v>
      </c>
      <c r="H12" s="877">
        <v>7.5</v>
      </c>
      <c r="I12" s="877">
        <v>10.5</v>
      </c>
    </row>
    <row r="13" spans="1:9">
      <c r="A13" s="969"/>
      <c r="B13" s="317" t="s">
        <v>609</v>
      </c>
      <c r="C13" s="877">
        <v>8.52</v>
      </c>
      <c r="D13" s="877">
        <v>111.45</v>
      </c>
      <c r="E13" s="877">
        <v>394.5</v>
      </c>
      <c r="F13" s="877">
        <v>4.26</v>
      </c>
      <c r="G13" s="877">
        <v>5.96</v>
      </c>
      <c r="H13" s="877">
        <v>8.52</v>
      </c>
      <c r="I13" s="877">
        <v>11.92</v>
      </c>
    </row>
    <row r="15" spans="1:9">
      <c r="C15" s="318" t="s">
        <v>1281</v>
      </c>
      <c r="D15" s="318" t="s">
        <v>1282</v>
      </c>
      <c r="E15" s="318" t="s">
        <v>1283</v>
      </c>
      <c r="F15" s="318" t="s">
        <v>1284</v>
      </c>
    </row>
    <row r="16" spans="1:9">
      <c r="C16" s="318" t="s">
        <v>373</v>
      </c>
      <c r="D16" s="318" t="s">
        <v>373</v>
      </c>
      <c r="E16" s="875" t="str">
        <f>D16</f>
        <v>m3</v>
      </c>
      <c r="F16" s="634" t="s">
        <v>226</v>
      </c>
    </row>
    <row r="17" spans="1:6">
      <c r="A17" s="28" t="s">
        <v>1280</v>
      </c>
      <c r="C17" s="875">
        <v>10</v>
      </c>
      <c r="D17" s="875">
        <v>10</v>
      </c>
      <c r="E17" s="875">
        <v>10</v>
      </c>
      <c r="F17" s="634" t="s">
        <v>1272</v>
      </c>
    </row>
    <row r="18" spans="1:6">
      <c r="A18" s="969" t="s">
        <v>1260</v>
      </c>
      <c r="B18" s="317" t="s">
        <v>1263</v>
      </c>
      <c r="C18" s="876">
        <f>D5+($C$17*C5)</f>
        <v>44.239999999999995</v>
      </c>
      <c r="D18" s="876">
        <f>$D$17*G5</f>
        <v>22.1</v>
      </c>
      <c r="E18" s="876">
        <f>C18+D18</f>
        <v>66.34</v>
      </c>
      <c r="F18" s="878">
        <f>D18/C18</f>
        <v>0.49954792043399648</v>
      </c>
    </row>
    <row r="19" spans="1:6">
      <c r="A19" s="969"/>
      <c r="B19" s="317" t="s">
        <v>714</v>
      </c>
      <c r="C19" s="876">
        <f t="shared" ref="C19:C26" si="0">D6+($C$17*C6)</f>
        <v>39.04</v>
      </c>
      <c r="D19" s="876">
        <f t="shared" ref="D19:D26" si="1">$D$17*G6</f>
        <v>18.5</v>
      </c>
      <c r="E19" s="876">
        <f t="shared" ref="E19:E26" si="2">C19+D19</f>
        <v>57.54</v>
      </c>
      <c r="F19" s="878">
        <f t="shared" ref="F19:F26" si="3">D19/C19</f>
        <v>0.47387295081967212</v>
      </c>
    </row>
    <row r="20" spans="1:6">
      <c r="A20" s="969"/>
      <c r="B20" s="317" t="s">
        <v>1264</v>
      </c>
      <c r="C20" s="876"/>
      <c r="D20" s="876"/>
      <c r="E20" s="876"/>
      <c r="F20" s="878"/>
    </row>
    <row r="21" spans="1:6">
      <c r="A21" s="318" t="s">
        <v>1261</v>
      </c>
      <c r="B21" s="317" t="s">
        <v>1265</v>
      </c>
      <c r="C21" s="876">
        <f t="shared" si="0"/>
        <v>97.28</v>
      </c>
      <c r="D21" s="876">
        <f>$D$17*G8</f>
        <v>46.2</v>
      </c>
      <c r="E21" s="876">
        <f>C21+D21</f>
        <v>143.48000000000002</v>
      </c>
      <c r="F21" s="878">
        <f>D21/C21</f>
        <v>0.47491776315789475</v>
      </c>
    </row>
    <row r="22" spans="1:6">
      <c r="A22" s="969" t="s">
        <v>1262</v>
      </c>
      <c r="B22" s="317" t="s">
        <v>1266</v>
      </c>
      <c r="C22" s="876">
        <f t="shared" si="0"/>
        <v>97.28</v>
      </c>
      <c r="D22" s="876">
        <f t="shared" si="1"/>
        <v>46.2</v>
      </c>
      <c r="E22" s="876">
        <f t="shared" si="2"/>
        <v>143.48000000000002</v>
      </c>
      <c r="F22" s="878">
        <f t="shared" si="3"/>
        <v>0.47491776315789475</v>
      </c>
    </row>
    <row r="23" spans="1:6">
      <c r="A23" s="969"/>
      <c r="B23" s="317" t="s">
        <v>1264</v>
      </c>
      <c r="C23" s="876"/>
      <c r="D23" s="876"/>
      <c r="E23" s="876"/>
      <c r="F23" s="878"/>
    </row>
    <row r="24" spans="1:6">
      <c r="A24" s="969"/>
      <c r="B24" s="317" t="s">
        <v>608</v>
      </c>
      <c r="C24" s="876">
        <f t="shared" si="0"/>
        <v>130.81</v>
      </c>
      <c r="D24" s="876">
        <f t="shared" si="1"/>
        <v>52.5</v>
      </c>
      <c r="E24" s="876">
        <f t="shared" si="2"/>
        <v>183.31</v>
      </c>
      <c r="F24" s="878">
        <f t="shared" si="3"/>
        <v>0.40134546288510053</v>
      </c>
    </row>
    <row r="25" spans="1:6">
      <c r="A25" s="969"/>
      <c r="B25" s="317" t="s">
        <v>1267</v>
      </c>
      <c r="C25" s="876">
        <f t="shared" si="0"/>
        <v>186.45</v>
      </c>
      <c r="D25" s="876">
        <f t="shared" si="1"/>
        <v>52.5</v>
      </c>
      <c r="E25" s="876">
        <f t="shared" si="2"/>
        <v>238.95</v>
      </c>
      <c r="F25" s="878">
        <f t="shared" si="3"/>
        <v>0.28157683024939661</v>
      </c>
    </row>
    <row r="26" spans="1:6">
      <c r="A26" s="969"/>
      <c r="B26" s="317" t="s">
        <v>609</v>
      </c>
      <c r="C26" s="876">
        <f t="shared" si="0"/>
        <v>196.64999999999998</v>
      </c>
      <c r="D26" s="876">
        <f t="shared" si="1"/>
        <v>59.6</v>
      </c>
      <c r="E26" s="876">
        <f t="shared" si="2"/>
        <v>256.25</v>
      </c>
      <c r="F26" s="878">
        <f t="shared" si="3"/>
        <v>0.30307653190948391</v>
      </c>
    </row>
    <row r="29" spans="1:6">
      <c r="C29" s="318" t="s">
        <v>1281</v>
      </c>
      <c r="D29" s="318" t="s">
        <v>1282</v>
      </c>
      <c r="E29" s="318" t="s">
        <v>1283</v>
      </c>
      <c r="F29" s="318" t="s">
        <v>1284</v>
      </c>
    </row>
    <row r="30" spans="1:6">
      <c r="C30" s="318" t="s">
        <v>373</v>
      </c>
      <c r="D30" s="318" t="s">
        <v>373</v>
      </c>
      <c r="E30" s="875" t="str">
        <f>D30</f>
        <v>m3</v>
      </c>
      <c r="F30" s="634" t="s">
        <v>226</v>
      </c>
    </row>
    <row r="31" spans="1:6">
      <c r="A31" s="28" t="s">
        <v>1280</v>
      </c>
      <c r="C31" s="875">
        <v>20</v>
      </c>
      <c r="D31" s="875">
        <v>20</v>
      </c>
      <c r="E31" s="875">
        <v>20</v>
      </c>
      <c r="F31" s="634" t="s">
        <v>1272</v>
      </c>
    </row>
    <row r="32" spans="1:6">
      <c r="A32" s="969" t="s">
        <v>1260</v>
      </c>
      <c r="B32" s="317" t="s">
        <v>1263</v>
      </c>
      <c r="C32" s="876">
        <f>(C5*$C$31)+D5</f>
        <v>75.94</v>
      </c>
      <c r="D32" s="876">
        <f>(G5*$D$31)</f>
        <v>44.2</v>
      </c>
      <c r="E32" s="876">
        <f>C32+D32</f>
        <v>120.14</v>
      </c>
      <c r="F32" s="878">
        <f>D32/C32</f>
        <v>0.58203845140900712</v>
      </c>
    </row>
    <row r="33" spans="1:6">
      <c r="A33" s="969"/>
      <c r="B33" s="317" t="s">
        <v>714</v>
      </c>
      <c r="C33" s="876">
        <f t="shared" ref="C33:C40" si="4">(C6*$C$31)+D6</f>
        <v>65.539999999999992</v>
      </c>
      <c r="D33" s="876">
        <f t="shared" ref="D33:D40" si="5">(G6*$D$31)</f>
        <v>37</v>
      </c>
      <c r="E33" s="876">
        <f>C33+D33</f>
        <v>102.53999999999999</v>
      </c>
      <c r="F33" s="878">
        <f t="shared" ref="F33" si="6">D33/C33</f>
        <v>0.56454073848031738</v>
      </c>
    </row>
    <row r="34" spans="1:6">
      <c r="A34" s="969"/>
      <c r="B34" s="317" t="s">
        <v>1264</v>
      </c>
      <c r="C34" s="876"/>
      <c r="D34" s="876"/>
      <c r="E34" s="876"/>
      <c r="F34" s="878"/>
    </row>
    <row r="35" spans="1:6">
      <c r="A35" s="318" t="s">
        <v>1261</v>
      </c>
      <c r="B35" s="317" t="s">
        <v>1265</v>
      </c>
      <c r="C35" s="876">
        <f t="shared" si="4"/>
        <v>163.28</v>
      </c>
      <c r="D35" s="876">
        <f t="shared" si="5"/>
        <v>92.4</v>
      </c>
      <c r="E35" s="876">
        <f>C35+D35</f>
        <v>255.68</v>
      </c>
      <c r="F35" s="878">
        <f>D35/C35</f>
        <v>0.56589906908378251</v>
      </c>
    </row>
    <row r="36" spans="1:6">
      <c r="A36" s="969" t="s">
        <v>1262</v>
      </c>
      <c r="B36" s="317" t="s">
        <v>1266</v>
      </c>
      <c r="C36" s="876">
        <f t="shared" si="4"/>
        <v>163.28</v>
      </c>
      <c r="D36" s="876">
        <f t="shared" si="5"/>
        <v>92.4</v>
      </c>
      <c r="E36" s="876">
        <f t="shared" ref="E36" si="7">C36+D36</f>
        <v>255.68</v>
      </c>
      <c r="F36" s="878">
        <f t="shared" ref="F36" si="8">D36/C36</f>
        <v>0.56589906908378251</v>
      </c>
    </row>
    <row r="37" spans="1:6">
      <c r="A37" s="969"/>
      <c r="B37" s="317" t="s">
        <v>1264</v>
      </c>
      <c r="C37" s="876"/>
      <c r="D37" s="876"/>
      <c r="E37" s="876"/>
      <c r="F37" s="878"/>
    </row>
    <row r="38" spans="1:6">
      <c r="A38" s="969"/>
      <c r="B38" s="317" t="s">
        <v>608</v>
      </c>
      <c r="C38" s="876">
        <f t="shared" si="4"/>
        <v>205.81</v>
      </c>
      <c r="D38" s="876">
        <f t="shared" si="5"/>
        <v>105</v>
      </c>
      <c r="E38" s="876">
        <f>C38+D38</f>
        <v>310.81</v>
      </c>
      <c r="F38" s="878">
        <f t="shared" ref="F38:F40" si="9">D38/C38</f>
        <v>0.51017929157961228</v>
      </c>
    </row>
    <row r="39" spans="1:6">
      <c r="A39" s="969"/>
      <c r="B39" s="317" t="s">
        <v>1267</v>
      </c>
      <c r="C39" s="876">
        <f t="shared" si="4"/>
        <v>261.45</v>
      </c>
      <c r="D39" s="876">
        <f t="shared" si="5"/>
        <v>105</v>
      </c>
      <c r="E39" s="876">
        <f>C39+D39</f>
        <v>366.45</v>
      </c>
      <c r="F39" s="878">
        <f t="shared" si="9"/>
        <v>0.40160642570281124</v>
      </c>
    </row>
    <row r="40" spans="1:6">
      <c r="A40" s="969"/>
      <c r="B40" s="317" t="s">
        <v>609</v>
      </c>
      <c r="C40" s="876">
        <f t="shared" si="4"/>
        <v>281.84999999999997</v>
      </c>
      <c r="D40" s="876">
        <f t="shared" si="5"/>
        <v>119.2</v>
      </c>
      <c r="E40" s="876">
        <f>C40+D40</f>
        <v>401.04999999999995</v>
      </c>
      <c r="F40" s="878">
        <f t="shared" si="9"/>
        <v>0.42291999290402704</v>
      </c>
    </row>
  </sheetData>
  <mergeCells count="11">
    <mergeCell ref="A18:A20"/>
    <mergeCell ref="A22:A26"/>
    <mergeCell ref="A32:A34"/>
    <mergeCell ref="A36:A40"/>
    <mergeCell ref="A5:A7"/>
    <mergeCell ref="A9:A13"/>
    <mergeCell ref="C3:E3"/>
    <mergeCell ref="F3:G3"/>
    <mergeCell ref="H3:I3"/>
    <mergeCell ref="B3:B4"/>
    <mergeCell ref="A3:A4"/>
  </mergeCells>
  <phoneticPr fontId="12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C8:M27"/>
  <sheetViews>
    <sheetView showGridLines="0" zoomScale="70" zoomScaleNormal="70" workbookViewId="0">
      <selection activeCell="K48" sqref="K48"/>
    </sheetView>
  </sheetViews>
  <sheetFormatPr defaultColWidth="8.77734375" defaultRowHeight="13.2"/>
  <sheetData>
    <row r="8" spans="3:13" ht="13.8" thickBot="1"/>
    <row r="9" spans="3:13">
      <c r="C9" s="896" t="s">
        <v>842</v>
      </c>
      <c r="D9" s="897"/>
      <c r="E9" s="897"/>
      <c r="F9" s="897"/>
      <c r="G9" s="897"/>
      <c r="H9" s="897"/>
      <c r="I9" s="897"/>
      <c r="J9" s="897"/>
      <c r="K9" s="897"/>
      <c r="L9" s="897"/>
      <c r="M9" s="898"/>
    </row>
    <row r="10" spans="3:13">
      <c r="C10" s="899"/>
      <c r="D10" s="900"/>
      <c r="E10" s="900"/>
      <c r="F10" s="900"/>
      <c r="G10" s="900"/>
      <c r="H10" s="900"/>
      <c r="I10" s="900"/>
      <c r="J10" s="900"/>
      <c r="K10" s="900"/>
      <c r="L10" s="900"/>
      <c r="M10" s="901"/>
    </row>
    <row r="11" spans="3:13">
      <c r="C11" s="899"/>
      <c r="D11" s="900"/>
      <c r="E11" s="900"/>
      <c r="F11" s="900"/>
      <c r="G11" s="900"/>
      <c r="H11" s="900"/>
      <c r="I11" s="900"/>
      <c r="J11" s="900"/>
      <c r="K11" s="900"/>
      <c r="L11" s="900"/>
      <c r="M11" s="901"/>
    </row>
    <row r="12" spans="3:13">
      <c r="C12" s="899"/>
      <c r="D12" s="900"/>
      <c r="E12" s="900"/>
      <c r="F12" s="900"/>
      <c r="G12" s="900"/>
      <c r="H12" s="900"/>
      <c r="I12" s="900"/>
      <c r="J12" s="900"/>
      <c r="K12" s="900"/>
      <c r="L12" s="900"/>
      <c r="M12" s="901"/>
    </row>
    <row r="13" spans="3:13">
      <c r="C13" s="899"/>
      <c r="D13" s="900"/>
      <c r="E13" s="900"/>
      <c r="F13" s="900"/>
      <c r="G13" s="900"/>
      <c r="H13" s="900"/>
      <c r="I13" s="900"/>
      <c r="J13" s="900"/>
      <c r="K13" s="900"/>
      <c r="L13" s="900"/>
      <c r="M13" s="901"/>
    </row>
    <row r="14" spans="3:13" ht="13.8" thickBot="1">
      <c r="C14" s="902"/>
      <c r="D14" s="903"/>
      <c r="E14" s="903"/>
      <c r="F14" s="903"/>
      <c r="G14" s="903"/>
      <c r="H14" s="903"/>
      <c r="I14" s="903"/>
      <c r="J14" s="903"/>
      <c r="K14" s="903"/>
      <c r="L14" s="903"/>
      <c r="M14" s="904"/>
    </row>
    <row r="18" spans="3:13" ht="13.8" thickBot="1"/>
    <row r="19" spans="3:13">
      <c r="C19" s="905" t="s">
        <v>428</v>
      </c>
      <c r="D19" s="906"/>
      <c r="E19" s="906"/>
      <c r="F19" s="906"/>
      <c r="G19" s="906"/>
      <c r="H19" s="906"/>
      <c r="I19" s="906"/>
      <c r="J19" s="906"/>
      <c r="K19" s="906"/>
      <c r="L19" s="906"/>
      <c r="M19" s="907"/>
    </row>
    <row r="20" spans="3:13">
      <c r="C20" s="908"/>
      <c r="D20" s="909"/>
      <c r="E20" s="909"/>
      <c r="F20" s="909"/>
      <c r="G20" s="909"/>
      <c r="H20" s="909"/>
      <c r="I20" s="909"/>
      <c r="J20" s="909"/>
      <c r="K20" s="909"/>
      <c r="L20" s="909"/>
      <c r="M20" s="910"/>
    </row>
    <row r="21" spans="3:13">
      <c r="C21" s="908"/>
      <c r="D21" s="909"/>
      <c r="E21" s="909"/>
      <c r="F21" s="909"/>
      <c r="G21" s="909"/>
      <c r="H21" s="909"/>
      <c r="I21" s="909"/>
      <c r="J21" s="909"/>
      <c r="K21" s="909"/>
      <c r="L21" s="909"/>
      <c r="M21" s="910"/>
    </row>
    <row r="22" spans="3:13" ht="13.8" thickBot="1">
      <c r="C22" s="911"/>
      <c r="D22" s="912"/>
      <c r="E22" s="912"/>
      <c r="F22" s="912"/>
      <c r="G22" s="912"/>
      <c r="H22" s="912"/>
      <c r="I22" s="912"/>
      <c r="J22" s="912"/>
      <c r="K22" s="912"/>
      <c r="L22" s="912"/>
      <c r="M22" s="913"/>
    </row>
    <row r="25" spans="3:13" ht="13.8" thickBot="1"/>
    <row r="26" spans="3:13">
      <c r="C26" s="914">
        <v>45597</v>
      </c>
      <c r="D26" s="915"/>
      <c r="E26" s="915"/>
      <c r="F26" s="915"/>
      <c r="G26" s="915"/>
      <c r="H26" s="915"/>
      <c r="I26" s="915"/>
      <c r="J26" s="915"/>
      <c r="K26" s="915"/>
      <c r="L26" s="915"/>
      <c r="M26" s="916"/>
    </row>
    <row r="27" spans="3:13" ht="13.8" thickBot="1">
      <c r="C27" s="917"/>
      <c r="D27" s="918"/>
      <c r="E27" s="918"/>
      <c r="F27" s="918"/>
      <c r="G27" s="918"/>
      <c r="H27" s="918"/>
      <c r="I27" s="918"/>
      <c r="J27" s="918"/>
      <c r="K27" s="918"/>
      <c r="L27" s="918"/>
      <c r="M27" s="919"/>
    </row>
  </sheetData>
  <mergeCells count="3">
    <mergeCell ref="C9:M14"/>
    <mergeCell ref="C19:M22"/>
    <mergeCell ref="C26:M27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34998626667073579"/>
    <pageSetUpPr fitToPage="1"/>
  </sheetPr>
  <dimension ref="A1:AA38"/>
  <sheetViews>
    <sheetView showGridLines="0" zoomScale="130" zoomScaleNormal="130" zoomScalePageLayoutView="90" workbookViewId="0">
      <pane xSplit="1" topLeftCell="O1" activePane="topRight" state="frozen"/>
      <selection activeCell="L3" sqref="L3:L108"/>
      <selection pane="topRight" activeCell="U7" sqref="U7"/>
    </sheetView>
  </sheetViews>
  <sheetFormatPr defaultColWidth="11.44140625" defaultRowHeight="15" customHeight="1"/>
  <cols>
    <col min="1" max="1" width="22" style="28" customWidth="1"/>
    <col min="2" max="2" width="2.109375" style="5" customWidth="1"/>
    <col min="3" max="3" width="22.33203125" style="5" customWidth="1"/>
    <col min="4" max="4" width="20.44140625" style="5" bestFit="1" customWidth="1"/>
    <col min="5" max="5" width="21.77734375" style="28" bestFit="1" customWidth="1"/>
    <col min="6" max="6" width="30" style="28" bestFit="1" customWidth="1"/>
    <col min="7" max="7" width="1.77734375" style="28" customWidth="1"/>
    <col min="8" max="8" width="24" style="28" bestFit="1" customWidth="1"/>
    <col min="9" max="9" width="24.77734375" style="28" bestFit="1" customWidth="1"/>
    <col min="10" max="10" width="29.77734375" style="28" bestFit="1" customWidth="1"/>
    <col min="11" max="11" width="18.77734375" style="28" bestFit="1" customWidth="1"/>
    <col min="12" max="12" width="21.77734375" style="28" bestFit="1" customWidth="1"/>
    <col min="13" max="13" width="2.77734375" style="28" customWidth="1"/>
    <col min="14" max="14" width="22.109375" style="28" customWidth="1"/>
    <col min="15" max="15" width="5.33203125" style="28" customWidth="1"/>
    <col min="16" max="16" width="14.77734375" style="28" customWidth="1"/>
    <col min="17" max="17" width="19.109375" style="28" customWidth="1"/>
    <col min="18" max="18" width="36.109375" style="28" customWidth="1"/>
    <col min="19" max="19" width="23.109375" style="28" customWidth="1"/>
    <col min="20" max="20" width="1.77734375" style="28" customWidth="1"/>
    <col min="21" max="21" width="23.109375" style="28" customWidth="1"/>
    <col min="22" max="23" width="11.44140625" style="28"/>
    <col min="24" max="24" width="14.77734375" style="28" bestFit="1" customWidth="1"/>
    <col min="25" max="208" width="11.44140625" style="28"/>
    <col min="209" max="209" width="10" style="28" customWidth="1"/>
    <col min="210" max="210" width="19.44140625" style="28" customWidth="1"/>
    <col min="211" max="211" width="19" style="28" customWidth="1"/>
    <col min="212" max="213" width="19.44140625" style="28" customWidth="1"/>
    <col min="214" max="215" width="19.109375" style="28" customWidth="1"/>
    <col min="216" max="217" width="11.44140625" style="28"/>
    <col min="218" max="223" width="13.109375" style="28" customWidth="1"/>
    <col min="224" max="224" width="11.44140625" style="28"/>
    <col min="225" max="228" width="15.77734375" style="28" customWidth="1"/>
    <col min="229" max="464" width="11.44140625" style="28"/>
    <col min="465" max="465" width="10" style="28" customWidth="1"/>
    <col min="466" max="466" width="19.44140625" style="28" customWidth="1"/>
    <col min="467" max="467" width="19" style="28" customWidth="1"/>
    <col min="468" max="469" width="19.44140625" style="28" customWidth="1"/>
    <col min="470" max="471" width="19.109375" style="28" customWidth="1"/>
    <col min="472" max="473" width="11.44140625" style="28"/>
    <col min="474" max="479" width="13.109375" style="28" customWidth="1"/>
    <col min="480" max="480" width="11.44140625" style="28"/>
    <col min="481" max="484" width="15.77734375" style="28" customWidth="1"/>
    <col min="485" max="720" width="11.44140625" style="28"/>
    <col min="721" max="721" width="10" style="28" customWidth="1"/>
    <col min="722" max="722" width="19.44140625" style="28" customWidth="1"/>
    <col min="723" max="723" width="19" style="28" customWidth="1"/>
    <col min="724" max="725" width="19.44140625" style="28" customWidth="1"/>
    <col min="726" max="727" width="19.109375" style="28" customWidth="1"/>
    <col min="728" max="729" width="11.44140625" style="28"/>
    <col min="730" max="735" width="13.109375" style="28" customWidth="1"/>
    <col min="736" max="736" width="11.44140625" style="28"/>
    <col min="737" max="740" width="15.77734375" style="28" customWidth="1"/>
    <col min="741" max="976" width="11.44140625" style="28"/>
    <col min="977" max="977" width="10" style="28" customWidth="1"/>
    <col min="978" max="978" width="19.44140625" style="28" customWidth="1"/>
    <col min="979" max="979" width="19" style="28" customWidth="1"/>
    <col min="980" max="981" width="19.44140625" style="28" customWidth="1"/>
    <col min="982" max="983" width="19.109375" style="28" customWidth="1"/>
    <col min="984" max="985" width="11.44140625" style="28"/>
    <col min="986" max="991" width="13.109375" style="28" customWidth="1"/>
    <col min="992" max="992" width="11.44140625" style="28"/>
    <col min="993" max="996" width="15.77734375" style="28" customWidth="1"/>
    <col min="997" max="1232" width="11.44140625" style="28"/>
    <col min="1233" max="1233" width="10" style="28" customWidth="1"/>
    <col min="1234" max="1234" width="19.44140625" style="28" customWidth="1"/>
    <col min="1235" max="1235" width="19" style="28" customWidth="1"/>
    <col min="1236" max="1237" width="19.44140625" style="28" customWidth="1"/>
    <col min="1238" max="1239" width="19.109375" style="28" customWidth="1"/>
    <col min="1240" max="1241" width="11.44140625" style="28"/>
    <col min="1242" max="1247" width="13.109375" style="28" customWidth="1"/>
    <col min="1248" max="1248" width="11.44140625" style="28"/>
    <col min="1249" max="1252" width="15.77734375" style="28" customWidth="1"/>
    <col min="1253" max="1488" width="11.44140625" style="28"/>
    <col min="1489" max="1489" width="10" style="28" customWidth="1"/>
    <col min="1490" max="1490" width="19.44140625" style="28" customWidth="1"/>
    <col min="1491" max="1491" width="19" style="28" customWidth="1"/>
    <col min="1492" max="1493" width="19.44140625" style="28" customWidth="1"/>
    <col min="1494" max="1495" width="19.109375" style="28" customWidth="1"/>
    <col min="1496" max="1497" width="11.44140625" style="28"/>
    <col min="1498" max="1503" width="13.109375" style="28" customWidth="1"/>
    <col min="1504" max="1504" width="11.44140625" style="28"/>
    <col min="1505" max="1508" width="15.77734375" style="28" customWidth="1"/>
    <col min="1509" max="1744" width="11.44140625" style="28"/>
    <col min="1745" max="1745" width="10" style="28" customWidth="1"/>
    <col min="1746" max="1746" width="19.44140625" style="28" customWidth="1"/>
    <col min="1747" max="1747" width="19" style="28" customWidth="1"/>
    <col min="1748" max="1749" width="19.44140625" style="28" customWidth="1"/>
    <col min="1750" max="1751" width="19.109375" style="28" customWidth="1"/>
    <col min="1752" max="1753" width="11.44140625" style="28"/>
    <col min="1754" max="1759" width="13.109375" style="28" customWidth="1"/>
    <col min="1760" max="1760" width="11.44140625" style="28"/>
    <col min="1761" max="1764" width="15.77734375" style="28" customWidth="1"/>
    <col min="1765" max="2000" width="11.44140625" style="28"/>
    <col min="2001" max="2001" width="10" style="28" customWidth="1"/>
    <col min="2002" max="2002" width="19.44140625" style="28" customWidth="1"/>
    <col min="2003" max="2003" width="19" style="28" customWidth="1"/>
    <col min="2004" max="2005" width="19.44140625" style="28" customWidth="1"/>
    <col min="2006" max="2007" width="19.109375" style="28" customWidth="1"/>
    <col min="2008" max="2009" width="11.44140625" style="28"/>
    <col min="2010" max="2015" width="13.109375" style="28" customWidth="1"/>
    <col min="2016" max="2016" width="11.44140625" style="28"/>
    <col min="2017" max="2020" width="15.77734375" style="28" customWidth="1"/>
    <col min="2021" max="2256" width="11.44140625" style="28"/>
    <col min="2257" max="2257" width="10" style="28" customWidth="1"/>
    <col min="2258" max="2258" width="19.44140625" style="28" customWidth="1"/>
    <col min="2259" max="2259" width="19" style="28" customWidth="1"/>
    <col min="2260" max="2261" width="19.44140625" style="28" customWidth="1"/>
    <col min="2262" max="2263" width="19.109375" style="28" customWidth="1"/>
    <col min="2264" max="2265" width="11.44140625" style="28"/>
    <col min="2266" max="2271" width="13.109375" style="28" customWidth="1"/>
    <col min="2272" max="2272" width="11.44140625" style="28"/>
    <col min="2273" max="2276" width="15.77734375" style="28" customWidth="1"/>
    <col min="2277" max="2512" width="11.44140625" style="28"/>
    <col min="2513" max="2513" width="10" style="28" customWidth="1"/>
    <col min="2514" max="2514" width="19.44140625" style="28" customWidth="1"/>
    <col min="2515" max="2515" width="19" style="28" customWidth="1"/>
    <col min="2516" max="2517" width="19.44140625" style="28" customWidth="1"/>
    <col min="2518" max="2519" width="19.109375" style="28" customWidth="1"/>
    <col min="2520" max="2521" width="11.44140625" style="28"/>
    <col min="2522" max="2527" width="13.109375" style="28" customWidth="1"/>
    <col min="2528" max="2528" width="11.44140625" style="28"/>
    <col min="2529" max="2532" width="15.77734375" style="28" customWidth="1"/>
    <col min="2533" max="2768" width="11.44140625" style="28"/>
    <col min="2769" max="2769" width="10" style="28" customWidth="1"/>
    <col min="2770" max="2770" width="19.44140625" style="28" customWidth="1"/>
    <col min="2771" max="2771" width="19" style="28" customWidth="1"/>
    <col min="2772" max="2773" width="19.44140625" style="28" customWidth="1"/>
    <col min="2774" max="2775" width="19.109375" style="28" customWidth="1"/>
    <col min="2776" max="2777" width="11.44140625" style="28"/>
    <col min="2778" max="2783" width="13.109375" style="28" customWidth="1"/>
    <col min="2784" max="2784" width="11.44140625" style="28"/>
    <col min="2785" max="2788" width="15.77734375" style="28" customWidth="1"/>
    <col min="2789" max="3024" width="11.44140625" style="28"/>
    <col min="3025" max="3025" width="10" style="28" customWidth="1"/>
    <col min="3026" max="3026" width="19.44140625" style="28" customWidth="1"/>
    <col min="3027" max="3027" width="19" style="28" customWidth="1"/>
    <col min="3028" max="3029" width="19.44140625" style="28" customWidth="1"/>
    <col min="3030" max="3031" width="19.109375" style="28" customWidth="1"/>
    <col min="3032" max="3033" width="11.44140625" style="28"/>
    <col min="3034" max="3039" width="13.109375" style="28" customWidth="1"/>
    <col min="3040" max="3040" width="11.44140625" style="28"/>
    <col min="3041" max="3044" width="15.77734375" style="28" customWidth="1"/>
    <col min="3045" max="3280" width="11.44140625" style="28"/>
    <col min="3281" max="3281" width="10" style="28" customWidth="1"/>
    <col min="3282" max="3282" width="19.44140625" style="28" customWidth="1"/>
    <col min="3283" max="3283" width="19" style="28" customWidth="1"/>
    <col min="3284" max="3285" width="19.44140625" style="28" customWidth="1"/>
    <col min="3286" max="3287" width="19.109375" style="28" customWidth="1"/>
    <col min="3288" max="3289" width="11.44140625" style="28"/>
    <col min="3290" max="3295" width="13.109375" style="28" customWidth="1"/>
    <col min="3296" max="3296" width="11.44140625" style="28"/>
    <col min="3297" max="3300" width="15.77734375" style="28" customWidth="1"/>
    <col min="3301" max="3536" width="11.44140625" style="28"/>
    <col min="3537" max="3537" width="10" style="28" customWidth="1"/>
    <col min="3538" max="3538" width="19.44140625" style="28" customWidth="1"/>
    <col min="3539" max="3539" width="19" style="28" customWidth="1"/>
    <col min="3540" max="3541" width="19.44140625" style="28" customWidth="1"/>
    <col min="3542" max="3543" width="19.109375" style="28" customWidth="1"/>
    <col min="3544" max="3545" width="11.44140625" style="28"/>
    <col min="3546" max="3551" width="13.109375" style="28" customWidth="1"/>
    <col min="3552" max="3552" width="11.44140625" style="28"/>
    <col min="3553" max="3556" width="15.77734375" style="28" customWidth="1"/>
    <col min="3557" max="3792" width="11.44140625" style="28"/>
    <col min="3793" max="3793" width="10" style="28" customWidth="1"/>
    <col min="3794" max="3794" width="19.44140625" style="28" customWidth="1"/>
    <col min="3795" max="3795" width="19" style="28" customWidth="1"/>
    <col min="3796" max="3797" width="19.44140625" style="28" customWidth="1"/>
    <col min="3798" max="3799" width="19.109375" style="28" customWidth="1"/>
    <col min="3800" max="3801" width="11.44140625" style="28"/>
    <col min="3802" max="3807" width="13.109375" style="28" customWidth="1"/>
    <col min="3808" max="3808" width="11.44140625" style="28"/>
    <col min="3809" max="3812" width="15.77734375" style="28" customWidth="1"/>
    <col min="3813" max="4048" width="11.44140625" style="28"/>
    <col min="4049" max="4049" width="10" style="28" customWidth="1"/>
    <col min="4050" max="4050" width="19.44140625" style="28" customWidth="1"/>
    <col min="4051" max="4051" width="19" style="28" customWidth="1"/>
    <col min="4052" max="4053" width="19.44140625" style="28" customWidth="1"/>
    <col min="4054" max="4055" width="19.109375" style="28" customWidth="1"/>
    <col min="4056" max="4057" width="11.44140625" style="28"/>
    <col min="4058" max="4063" width="13.109375" style="28" customWidth="1"/>
    <col min="4064" max="4064" width="11.44140625" style="28"/>
    <col min="4065" max="4068" width="15.77734375" style="28" customWidth="1"/>
    <col min="4069" max="4304" width="11.44140625" style="28"/>
    <col min="4305" max="4305" width="10" style="28" customWidth="1"/>
    <col min="4306" max="4306" width="19.44140625" style="28" customWidth="1"/>
    <col min="4307" max="4307" width="19" style="28" customWidth="1"/>
    <col min="4308" max="4309" width="19.44140625" style="28" customWidth="1"/>
    <col min="4310" max="4311" width="19.109375" style="28" customWidth="1"/>
    <col min="4312" max="4313" width="11.44140625" style="28"/>
    <col min="4314" max="4319" width="13.109375" style="28" customWidth="1"/>
    <col min="4320" max="4320" width="11.44140625" style="28"/>
    <col min="4321" max="4324" width="15.77734375" style="28" customWidth="1"/>
    <col min="4325" max="4560" width="11.44140625" style="28"/>
    <col min="4561" max="4561" width="10" style="28" customWidth="1"/>
    <col min="4562" max="4562" width="19.44140625" style="28" customWidth="1"/>
    <col min="4563" max="4563" width="19" style="28" customWidth="1"/>
    <col min="4564" max="4565" width="19.44140625" style="28" customWidth="1"/>
    <col min="4566" max="4567" width="19.109375" style="28" customWidth="1"/>
    <col min="4568" max="4569" width="11.44140625" style="28"/>
    <col min="4570" max="4575" width="13.109375" style="28" customWidth="1"/>
    <col min="4576" max="4576" width="11.44140625" style="28"/>
    <col min="4577" max="4580" width="15.77734375" style="28" customWidth="1"/>
    <col min="4581" max="4816" width="11.44140625" style="28"/>
    <col min="4817" max="4817" width="10" style="28" customWidth="1"/>
    <col min="4818" max="4818" width="19.44140625" style="28" customWidth="1"/>
    <col min="4819" max="4819" width="19" style="28" customWidth="1"/>
    <col min="4820" max="4821" width="19.44140625" style="28" customWidth="1"/>
    <col min="4822" max="4823" width="19.109375" style="28" customWidth="1"/>
    <col min="4824" max="4825" width="11.44140625" style="28"/>
    <col min="4826" max="4831" width="13.109375" style="28" customWidth="1"/>
    <col min="4832" max="4832" width="11.44140625" style="28"/>
    <col min="4833" max="4836" width="15.77734375" style="28" customWidth="1"/>
    <col min="4837" max="5072" width="11.44140625" style="28"/>
    <col min="5073" max="5073" width="10" style="28" customWidth="1"/>
    <col min="5074" max="5074" width="19.44140625" style="28" customWidth="1"/>
    <col min="5075" max="5075" width="19" style="28" customWidth="1"/>
    <col min="5076" max="5077" width="19.44140625" style="28" customWidth="1"/>
    <col min="5078" max="5079" width="19.109375" style="28" customWidth="1"/>
    <col min="5080" max="5081" width="11.44140625" style="28"/>
    <col min="5082" max="5087" width="13.109375" style="28" customWidth="1"/>
    <col min="5088" max="5088" width="11.44140625" style="28"/>
    <col min="5089" max="5092" width="15.77734375" style="28" customWidth="1"/>
    <col min="5093" max="5328" width="11.44140625" style="28"/>
    <col min="5329" max="5329" width="10" style="28" customWidth="1"/>
    <col min="5330" max="5330" width="19.44140625" style="28" customWidth="1"/>
    <col min="5331" max="5331" width="19" style="28" customWidth="1"/>
    <col min="5332" max="5333" width="19.44140625" style="28" customWidth="1"/>
    <col min="5334" max="5335" width="19.109375" style="28" customWidth="1"/>
    <col min="5336" max="5337" width="11.44140625" style="28"/>
    <col min="5338" max="5343" width="13.109375" style="28" customWidth="1"/>
    <col min="5344" max="5344" width="11.44140625" style="28"/>
    <col min="5345" max="5348" width="15.77734375" style="28" customWidth="1"/>
    <col min="5349" max="5584" width="11.44140625" style="28"/>
    <col min="5585" max="5585" width="10" style="28" customWidth="1"/>
    <col min="5586" max="5586" width="19.44140625" style="28" customWidth="1"/>
    <col min="5587" max="5587" width="19" style="28" customWidth="1"/>
    <col min="5588" max="5589" width="19.44140625" style="28" customWidth="1"/>
    <col min="5590" max="5591" width="19.109375" style="28" customWidth="1"/>
    <col min="5592" max="5593" width="11.44140625" style="28"/>
    <col min="5594" max="5599" width="13.109375" style="28" customWidth="1"/>
    <col min="5600" max="5600" width="11.44140625" style="28"/>
    <col min="5601" max="5604" width="15.77734375" style="28" customWidth="1"/>
    <col min="5605" max="5840" width="11.44140625" style="28"/>
    <col min="5841" max="5841" width="10" style="28" customWidth="1"/>
    <col min="5842" max="5842" width="19.44140625" style="28" customWidth="1"/>
    <col min="5843" max="5843" width="19" style="28" customWidth="1"/>
    <col min="5844" max="5845" width="19.44140625" style="28" customWidth="1"/>
    <col min="5846" max="5847" width="19.109375" style="28" customWidth="1"/>
    <col min="5848" max="5849" width="11.44140625" style="28"/>
    <col min="5850" max="5855" width="13.109375" style="28" customWidth="1"/>
    <col min="5856" max="5856" width="11.44140625" style="28"/>
    <col min="5857" max="5860" width="15.77734375" style="28" customWidth="1"/>
    <col min="5861" max="6096" width="11.44140625" style="28"/>
    <col min="6097" max="6097" width="10" style="28" customWidth="1"/>
    <col min="6098" max="6098" width="19.44140625" style="28" customWidth="1"/>
    <col min="6099" max="6099" width="19" style="28" customWidth="1"/>
    <col min="6100" max="6101" width="19.44140625" style="28" customWidth="1"/>
    <col min="6102" max="6103" width="19.109375" style="28" customWidth="1"/>
    <col min="6104" max="6105" width="11.44140625" style="28"/>
    <col min="6106" max="6111" width="13.109375" style="28" customWidth="1"/>
    <col min="6112" max="6112" width="11.44140625" style="28"/>
    <col min="6113" max="6116" width="15.77734375" style="28" customWidth="1"/>
    <col min="6117" max="6352" width="11.44140625" style="28"/>
    <col min="6353" max="6353" width="10" style="28" customWidth="1"/>
    <col min="6354" max="6354" width="19.44140625" style="28" customWidth="1"/>
    <col min="6355" max="6355" width="19" style="28" customWidth="1"/>
    <col min="6356" max="6357" width="19.44140625" style="28" customWidth="1"/>
    <col min="6358" max="6359" width="19.109375" style="28" customWidth="1"/>
    <col min="6360" max="6361" width="11.44140625" style="28"/>
    <col min="6362" max="6367" width="13.109375" style="28" customWidth="1"/>
    <col min="6368" max="6368" width="11.44140625" style="28"/>
    <col min="6369" max="6372" width="15.77734375" style="28" customWidth="1"/>
    <col min="6373" max="6608" width="11.44140625" style="28"/>
    <col min="6609" max="6609" width="10" style="28" customWidth="1"/>
    <col min="6610" max="6610" width="19.44140625" style="28" customWidth="1"/>
    <col min="6611" max="6611" width="19" style="28" customWidth="1"/>
    <col min="6612" max="6613" width="19.44140625" style="28" customWidth="1"/>
    <col min="6614" max="6615" width="19.109375" style="28" customWidth="1"/>
    <col min="6616" max="6617" width="11.44140625" style="28"/>
    <col min="6618" max="6623" width="13.109375" style="28" customWidth="1"/>
    <col min="6624" max="6624" width="11.44140625" style="28"/>
    <col min="6625" max="6628" width="15.77734375" style="28" customWidth="1"/>
    <col min="6629" max="6864" width="11.44140625" style="28"/>
    <col min="6865" max="6865" width="10" style="28" customWidth="1"/>
    <col min="6866" max="6866" width="19.44140625" style="28" customWidth="1"/>
    <col min="6867" max="6867" width="19" style="28" customWidth="1"/>
    <col min="6868" max="6869" width="19.44140625" style="28" customWidth="1"/>
    <col min="6870" max="6871" width="19.109375" style="28" customWidth="1"/>
    <col min="6872" max="6873" width="11.44140625" style="28"/>
    <col min="6874" max="6879" width="13.109375" style="28" customWidth="1"/>
    <col min="6880" max="6880" width="11.44140625" style="28"/>
    <col min="6881" max="6884" width="15.77734375" style="28" customWidth="1"/>
    <col min="6885" max="7120" width="11.44140625" style="28"/>
    <col min="7121" max="7121" width="10" style="28" customWidth="1"/>
    <col min="7122" max="7122" width="19.44140625" style="28" customWidth="1"/>
    <col min="7123" max="7123" width="19" style="28" customWidth="1"/>
    <col min="7124" max="7125" width="19.44140625" style="28" customWidth="1"/>
    <col min="7126" max="7127" width="19.109375" style="28" customWidth="1"/>
    <col min="7128" max="7129" width="11.44140625" style="28"/>
    <col min="7130" max="7135" width="13.109375" style="28" customWidth="1"/>
    <col min="7136" max="7136" width="11.44140625" style="28"/>
    <col min="7137" max="7140" width="15.77734375" style="28" customWidth="1"/>
    <col min="7141" max="7376" width="11.44140625" style="28"/>
    <col min="7377" max="7377" width="10" style="28" customWidth="1"/>
    <col min="7378" max="7378" width="19.44140625" style="28" customWidth="1"/>
    <col min="7379" max="7379" width="19" style="28" customWidth="1"/>
    <col min="7380" max="7381" width="19.44140625" style="28" customWidth="1"/>
    <col min="7382" max="7383" width="19.109375" style="28" customWidth="1"/>
    <col min="7384" max="7385" width="11.44140625" style="28"/>
    <col min="7386" max="7391" width="13.109375" style="28" customWidth="1"/>
    <col min="7392" max="7392" width="11.44140625" style="28"/>
    <col min="7393" max="7396" width="15.77734375" style="28" customWidth="1"/>
    <col min="7397" max="7632" width="11.44140625" style="28"/>
    <col min="7633" max="7633" width="10" style="28" customWidth="1"/>
    <col min="7634" max="7634" width="19.44140625" style="28" customWidth="1"/>
    <col min="7635" max="7635" width="19" style="28" customWidth="1"/>
    <col min="7636" max="7637" width="19.44140625" style="28" customWidth="1"/>
    <col min="7638" max="7639" width="19.109375" style="28" customWidth="1"/>
    <col min="7640" max="7641" width="11.44140625" style="28"/>
    <col min="7642" max="7647" width="13.109375" style="28" customWidth="1"/>
    <col min="7648" max="7648" width="11.44140625" style="28"/>
    <col min="7649" max="7652" width="15.77734375" style="28" customWidth="1"/>
    <col min="7653" max="7888" width="11.44140625" style="28"/>
    <col min="7889" max="7889" width="10" style="28" customWidth="1"/>
    <col min="7890" max="7890" width="19.44140625" style="28" customWidth="1"/>
    <col min="7891" max="7891" width="19" style="28" customWidth="1"/>
    <col min="7892" max="7893" width="19.44140625" style="28" customWidth="1"/>
    <col min="7894" max="7895" width="19.109375" style="28" customWidth="1"/>
    <col min="7896" max="7897" width="11.44140625" style="28"/>
    <col min="7898" max="7903" width="13.109375" style="28" customWidth="1"/>
    <col min="7904" max="7904" width="11.44140625" style="28"/>
    <col min="7905" max="7908" width="15.77734375" style="28" customWidth="1"/>
    <col min="7909" max="8144" width="11.44140625" style="28"/>
    <col min="8145" max="8145" width="10" style="28" customWidth="1"/>
    <col min="8146" max="8146" width="19.44140625" style="28" customWidth="1"/>
    <col min="8147" max="8147" width="19" style="28" customWidth="1"/>
    <col min="8148" max="8149" width="19.44140625" style="28" customWidth="1"/>
    <col min="8150" max="8151" width="19.109375" style="28" customWidth="1"/>
    <col min="8152" max="8153" width="11.44140625" style="28"/>
    <col min="8154" max="8159" width="13.109375" style="28" customWidth="1"/>
    <col min="8160" max="8160" width="11.44140625" style="28"/>
    <col min="8161" max="8164" width="15.77734375" style="28" customWidth="1"/>
    <col min="8165" max="8400" width="11.44140625" style="28"/>
    <col min="8401" max="8401" width="10" style="28" customWidth="1"/>
    <col min="8402" max="8402" width="19.44140625" style="28" customWidth="1"/>
    <col min="8403" max="8403" width="19" style="28" customWidth="1"/>
    <col min="8404" max="8405" width="19.44140625" style="28" customWidth="1"/>
    <col min="8406" max="8407" width="19.109375" style="28" customWidth="1"/>
    <col min="8408" max="8409" width="11.44140625" style="28"/>
    <col min="8410" max="8415" width="13.109375" style="28" customWidth="1"/>
    <col min="8416" max="8416" width="11.44140625" style="28"/>
    <col min="8417" max="8420" width="15.77734375" style="28" customWidth="1"/>
    <col min="8421" max="8656" width="11.44140625" style="28"/>
    <col min="8657" max="8657" width="10" style="28" customWidth="1"/>
    <col min="8658" max="8658" width="19.44140625" style="28" customWidth="1"/>
    <col min="8659" max="8659" width="19" style="28" customWidth="1"/>
    <col min="8660" max="8661" width="19.44140625" style="28" customWidth="1"/>
    <col min="8662" max="8663" width="19.109375" style="28" customWidth="1"/>
    <col min="8664" max="8665" width="11.44140625" style="28"/>
    <col min="8666" max="8671" width="13.109375" style="28" customWidth="1"/>
    <col min="8672" max="8672" width="11.44140625" style="28"/>
    <col min="8673" max="8676" width="15.77734375" style="28" customWidth="1"/>
    <col min="8677" max="8912" width="11.44140625" style="28"/>
    <col min="8913" max="8913" width="10" style="28" customWidth="1"/>
    <col min="8914" max="8914" width="19.44140625" style="28" customWidth="1"/>
    <col min="8915" max="8915" width="19" style="28" customWidth="1"/>
    <col min="8916" max="8917" width="19.44140625" style="28" customWidth="1"/>
    <col min="8918" max="8919" width="19.109375" style="28" customWidth="1"/>
    <col min="8920" max="8921" width="11.44140625" style="28"/>
    <col min="8922" max="8927" width="13.109375" style="28" customWidth="1"/>
    <col min="8928" max="8928" width="11.44140625" style="28"/>
    <col min="8929" max="8932" width="15.77734375" style="28" customWidth="1"/>
    <col min="8933" max="9168" width="11.44140625" style="28"/>
    <col min="9169" max="9169" width="10" style="28" customWidth="1"/>
    <col min="9170" max="9170" width="19.44140625" style="28" customWidth="1"/>
    <col min="9171" max="9171" width="19" style="28" customWidth="1"/>
    <col min="9172" max="9173" width="19.44140625" style="28" customWidth="1"/>
    <col min="9174" max="9175" width="19.109375" style="28" customWidth="1"/>
    <col min="9176" max="9177" width="11.44140625" style="28"/>
    <col min="9178" max="9183" width="13.109375" style="28" customWidth="1"/>
    <col min="9184" max="9184" width="11.44140625" style="28"/>
    <col min="9185" max="9188" width="15.77734375" style="28" customWidth="1"/>
    <col min="9189" max="9424" width="11.44140625" style="28"/>
    <col min="9425" max="9425" width="10" style="28" customWidth="1"/>
    <col min="9426" max="9426" width="19.44140625" style="28" customWidth="1"/>
    <col min="9427" max="9427" width="19" style="28" customWidth="1"/>
    <col min="9428" max="9429" width="19.44140625" style="28" customWidth="1"/>
    <col min="9430" max="9431" width="19.109375" style="28" customWidth="1"/>
    <col min="9432" max="9433" width="11.44140625" style="28"/>
    <col min="9434" max="9439" width="13.109375" style="28" customWidth="1"/>
    <col min="9440" max="9440" width="11.44140625" style="28"/>
    <col min="9441" max="9444" width="15.77734375" style="28" customWidth="1"/>
    <col min="9445" max="9680" width="11.44140625" style="28"/>
    <col min="9681" max="9681" width="10" style="28" customWidth="1"/>
    <col min="9682" max="9682" width="19.44140625" style="28" customWidth="1"/>
    <col min="9683" max="9683" width="19" style="28" customWidth="1"/>
    <col min="9684" max="9685" width="19.44140625" style="28" customWidth="1"/>
    <col min="9686" max="9687" width="19.109375" style="28" customWidth="1"/>
    <col min="9688" max="9689" width="11.44140625" style="28"/>
    <col min="9690" max="9695" width="13.109375" style="28" customWidth="1"/>
    <col min="9696" max="9696" width="11.44140625" style="28"/>
    <col min="9697" max="9700" width="15.77734375" style="28" customWidth="1"/>
    <col min="9701" max="9936" width="11.44140625" style="28"/>
    <col min="9937" max="9937" width="10" style="28" customWidth="1"/>
    <col min="9938" max="9938" width="19.44140625" style="28" customWidth="1"/>
    <col min="9939" max="9939" width="19" style="28" customWidth="1"/>
    <col min="9940" max="9941" width="19.44140625" style="28" customWidth="1"/>
    <col min="9942" max="9943" width="19.109375" style="28" customWidth="1"/>
    <col min="9944" max="9945" width="11.44140625" style="28"/>
    <col min="9946" max="9951" width="13.109375" style="28" customWidth="1"/>
    <col min="9952" max="9952" width="11.44140625" style="28"/>
    <col min="9953" max="9956" width="15.77734375" style="28" customWidth="1"/>
    <col min="9957" max="10192" width="11.44140625" style="28"/>
    <col min="10193" max="10193" width="10" style="28" customWidth="1"/>
    <col min="10194" max="10194" width="19.44140625" style="28" customWidth="1"/>
    <col min="10195" max="10195" width="19" style="28" customWidth="1"/>
    <col min="10196" max="10197" width="19.44140625" style="28" customWidth="1"/>
    <col min="10198" max="10199" width="19.109375" style="28" customWidth="1"/>
    <col min="10200" max="10201" width="11.44140625" style="28"/>
    <col min="10202" max="10207" width="13.109375" style="28" customWidth="1"/>
    <col min="10208" max="10208" width="11.44140625" style="28"/>
    <col min="10209" max="10212" width="15.77734375" style="28" customWidth="1"/>
    <col min="10213" max="10448" width="11.44140625" style="28"/>
    <col min="10449" max="10449" width="10" style="28" customWidth="1"/>
    <col min="10450" max="10450" width="19.44140625" style="28" customWidth="1"/>
    <col min="10451" max="10451" width="19" style="28" customWidth="1"/>
    <col min="10452" max="10453" width="19.44140625" style="28" customWidth="1"/>
    <col min="10454" max="10455" width="19.109375" style="28" customWidth="1"/>
    <col min="10456" max="10457" width="11.44140625" style="28"/>
    <col min="10458" max="10463" width="13.109375" style="28" customWidth="1"/>
    <col min="10464" max="10464" width="11.44140625" style="28"/>
    <col min="10465" max="10468" width="15.77734375" style="28" customWidth="1"/>
    <col min="10469" max="10704" width="11.44140625" style="28"/>
    <col min="10705" max="10705" width="10" style="28" customWidth="1"/>
    <col min="10706" max="10706" width="19.44140625" style="28" customWidth="1"/>
    <col min="10707" max="10707" width="19" style="28" customWidth="1"/>
    <col min="10708" max="10709" width="19.44140625" style="28" customWidth="1"/>
    <col min="10710" max="10711" width="19.109375" style="28" customWidth="1"/>
    <col min="10712" max="10713" width="11.44140625" style="28"/>
    <col min="10714" max="10719" width="13.109375" style="28" customWidth="1"/>
    <col min="10720" max="10720" width="11.44140625" style="28"/>
    <col min="10721" max="10724" width="15.77734375" style="28" customWidth="1"/>
    <col min="10725" max="10960" width="11.44140625" style="28"/>
    <col min="10961" max="10961" width="10" style="28" customWidth="1"/>
    <col min="10962" max="10962" width="19.44140625" style="28" customWidth="1"/>
    <col min="10963" max="10963" width="19" style="28" customWidth="1"/>
    <col min="10964" max="10965" width="19.44140625" style="28" customWidth="1"/>
    <col min="10966" max="10967" width="19.109375" style="28" customWidth="1"/>
    <col min="10968" max="10969" width="11.44140625" style="28"/>
    <col min="10970" max="10975" width="13.109375" style="28" customWidth="1"/>
    <col min="10976" max="10976" width="11.44140625" style="28"/>
    <col min="10977" max="10980" width="15.77734375" style="28" customWidth="1"/>
    <col min="10981" max="11216" width="11.44140625" style="28"/>
    <col min="11217" max="11217" width="10" style="28" customWidth="1"/>
    <col min="11218" max="11218" width="19.44140625" style="28" customWidth="1"/>
    <col min="11219" max="11219" width="19" style="28" customWidth="1"/>
    <col min="11220" max="11221" width="19.44140625" style="28" customWidth="1"/>
    <col min="11222" max="11223" width="19.109375" style="28" customWidth="1"/>
    <col min="11224" max="11225" width="11.44140625" style="28"/>
    <col min="11226" max="11231" width="13.109375" style="28" customWidth="1"/>
    <col min="11232" max="11232" width="11.44140625" style="28"/>
    <col min="11233" max="11236" width="15.77734375" style="28" customWidth="1"/>
    <col min="11237" max="11472" width="11.44140625" style="28"/>
    <col min="11473" max="11473" width="10" style="28" customWidth="1"/>
    <col min="11474" max="11474" width="19.44140625" style="28" customWidth="1"/>
    <col min="11475" max="11475" width="19" style="28" customWidth="1"/>
    <col min="11476" max="11477" width="19.44140625" style="28" customWidth="1"/>
    <col min="11478" max="11479" width="19.109375" style="28" customWidth="1"/>
    <col min="11480" max="11481" width="11.44140625" style="28"/>
    <col min="11482" max="11487" width="13.109375" style="28" customWidth="1"/>
    <col min="11488" max="11488" width="11.44140625" style="28"/>
    <col min="11489" max="11492" width="15.77734375" style="28" customWidth="1"/>
    <col min="11493" max="11728" width="11.44140625" style="28"/>
    <col min="11729" max="11729" width="10" style="28" customWidth="1"/>
    <col min="11730" max="11730" width="19.44140625" style="28" customWidth="1"/>
    <col min="11731" max="11731" width="19" style="28" customWidth="1"/>
    <col min="11732" max="11733" width="19.44140625" style="28" customWidth="1"/>
    <col min="11734" max="11735" width="19.109375" style="28" customWidth="1"/>
    <col min="11736" max="11737" width="11.44140625" style="28"/>
    <col min="11738" max="11743" width="13.109375" style="28" customWidth="1"/>
    <col min="11744" max="11744" width="11.44140625" style="28"/>
    <col min="11745" max="11748" width="15.77734375" style="28" customWidth="1"/>
    <col min="11749" max="11984" width="11.44140625" style="28"/>
    <col min="11985" max="11985" width="10" style="28" customWidth="1"/>
    <col min="11986" max="11986" width="19.44140625" style="28" customWidth="1"/>
    <col min="11987" max="11987" width="19" style="28" customWidth="1"/>
    <col min="11988" max="11989" width="19.44140625" style="28" customWidth="1"/>
    <col min="11990" max="11991" width="19.109375" style="28" customWidth="1"/>
    <col min="11992" max="11993" width="11.44140625" style="28"/>
    <col min="11994" max="11999" width="13.109375" style="28" customWidth="1"/>
    <col min="12000" max="12000" width="11.44140625" style="28"/>
    <col min="12001" max="12004" width="15.77734375" style="28" customWidth="1"/>
    <col min="12005" max="12240" width="11.44140625" style="28"/>
    <col min="12241" max="12241" width="10" style="28" customWidth="1"/>
    <col min="12242" max="12242" width="19.44140625" style="28" customWidth="1"/>
    <col min="12243" max="12243" width="19" style="28" customWidth="1"/>
    <col min="12244" max="12245" width="19.44140625" style="28" customWidth="1"/>
    <col min="12246" max="12247" width="19.109375" style="28" customWidth="1"/>
    <col min="12248" max="12249" width="11.44140625" style="28"/>
    <col min="12250" max="12255" width="13.109375" style="28" customWidth="1"/>
    <col min="12256" max="12256" width="11.44140625" style="28"/>
    <col min="12257" max="12260" width="15.77734375" style="28" customWidth="1"/>
    <col min="12261" max="12496" width="11.44140625" style="28"/>
    <col min="12497" max="12497" width="10" style="28" customWidth="1"/>
    <col min="12498" max="12498" width="19.44140625" style="28" customWidth="1"/>
    <col min="12499" max="12499" width="19" style="28" customWidth="1"/>
    <col min="12500" max="12501" width="19.44140625" style="28" customWidth="1"/>
    <col min="12502" max="12503" width="19.109375" style="28" customWidth="1"/>
    <col min="12504" max="12505" width="11.44140625" style="28"/>
    <col min="12506" max="12511" width="13.109375" style="28" customWidth="1"/>
    <col min="12512" max="12512" width="11.44140625" style="28"/>
    <col min="12513" max="12516" width="15.77734375" style="28" customWidth="1"/>
    <col min="12517" max="12752" width="11.44140625" style="28"/>
    <col min="12753" max="12753" width="10" style="28" customWidth="1"/>
    <col min="12754" max="12754" width="19.44140625" style="28" customWidth="1"/>
    <col min="12755" max="12755" width="19" style="28" customWidth="1"/>
    <col min="12756" max="12757" width="19.44140625" style="28" customWidth="1"/>
    <col min="12758" max="12759" width="19.109375" style="28" customWidth="1"/>
    <col min="12760" max="12761" width="11.44140625" style="28"/>
    <col min="12762" max="12767" width="13.109375" style="28" customWidth="1"/>
    <col min="12768" max="12768" width="11.44140625" style="28"/>
    <col min="12769" max="12772" width="15.77734375" style="28" customWidth="1"/>
    <col min="12773" max="13008" width="11.44140625" style="28"/>
    <col min="13009" max="13009" width="10" style="28" customWidth="1"/>
    <col min="13010" max="13010" width="19.44140625" style="28" customWidth="1"/>
    <col min="13011" max="13011" width="19" style="28" customWidth="1"/>
    <col min="13012" max="13013" width="19.44140625" style="28" customWidth="1"/>
    <col min="13014" max="13015" width="19.109375" style="28" customWidth="1"/>
    <col min="13016" max="13017" width="11.44140625" style="28"/>
    <col min="13018" max="13023" width="13.109375" style="28" customWidth="1"/>
    <col min="13024" max="13024" width="11.44140625" style="28"/>
    <col min="13025" max="13028" width="15.77734375" style="28" customWidth="1"/>
    <col min="13029" max="13264" width="11.44140625" style="28"/>
    <col min="13265" max="13265" width="10" style="28" customWidth="1"/>
    <col min="13266" max="13266" width="19.44140625" style="28" customWidth="1"/>
    <col min="13267" max="13267" width="19" style="28" customWidth="1"/>
    <col min="13268" max="13269" width="19.44140625" style="28" customWidth="1"/>
    <col min="13270" max="13271" width="19.109375" style="28" customWidth="1"/>
    <col min="13272" max="13273" width="11.44140625" style="28"/>
    <col min="13274" max="13279" width="13.109375" style="28" customWidth="1"/>
    <col min="13280" max="13280" width="11.44140625" style="28"/>
    <col min="13281" max="13284" width="15.77734375" style="28" customWidth="1"/>
    <col min="13285" max="13520" width="11.44140625" style="28"/>
    <col min="13521" max="13521" width="10" style="28" customWidth="1"/>
    <col min="13522" max="13522" width="19.44140625" style="28" customWidth="1"/>
    <col min="13523" max="13523" width="19" style="28" customWidth="1"/>
    <col min="13524" max="13525" width="19.44140625" style="28" customWidth="1"/>
    <col min="13526" max="13527" width="19.109375" style="28" customWidth="1"/>
    <col min="13528" max="13529" width="11.44140625" style="28"/>
    <col min="13530" max="13535" width="13.109375" style="28" customWidth="1"/>
    <col min="13536" max="13536" width="11.44140625" style="28"/>
    <col min="13537" max="13540" width="15.77734375" style="28" customWidth="1"/>
    <col min="13541" max="13776" width="11.44140625" style="28"/>
    <col min="13777" max="13777" width="10" style="28" customWidth="1"/>
    <col min="13778" max="13778" width="19.44140625" style="28" customWidth="1"/>
    <col min="13779" max="13779" width="19" style="28" customWidth="1"/>
    <col min="13780" max="13781" width="19.44140625" style="28" customWidth="1"/>
    <col min="13782" max="13783" width="19.109375" style="28" customWidth="1"/>
    <col min="13784" max="13785" width="11.44140625" style="28"/>
    <col min="13786" max="13791" width="13.109375" style="28" customWidth="1"/>
    <col min="13792" max="13792" width="11.44140625" style="28"/>
    <col min="13793" max="13796" width="15.77734375" style="28" customWidth="1"/>
    <col min="13797" max="14032" width="11.44140625" style="28"/>
    <col min="14033" max="14033" width="10" style="28" customWidth="1"/>
    <col min="14034" max="14034" width="19.44140625" style="28" customWidth="1"/>
    <col min="14035" max="14035" width="19" style="28" customWidth="1"/>
    <col min="14036" max="14037" width="19.44140625" style="28" customWidth="1"/>
    <col min="14038" max="14039" width="19.109375" style="28" customWidth="1"/>
    <col min="14040" max="14041" width="11.44140625" style="28"/>
    <col min="14042" max="14047" width="13.109375" style="28" customWidth="1"/>
    <col min="14048" max="14048" width="11.44140625" style="28"/>
    <col min="14049" max="14052" width="15.77734375" style="28" customWidth="1"/>
    <col min="14053" max="14288" width="11.44140625" style="28"/>
    <col min="14289" max="14289" width="10" style="28" customWidth="1"/>
    <col min="14290" max="14290" width="19.44140625" style="28" customWidth="1"/>
    <col min="14291" max="14291" width="19" style="28" customWidth="1"/>
    <col min="14292" max="14293" width="19.44140625" style="28" customWidth="1"/>
    <col min="14294" max="14295" width="19.109375" style="28" customWidth="1"/>
    <col min="14296" max="14297" width="11.44140625" style="28"/>
    <col min="14298" max="14303" width="13.109375" style="28" customWidth="1"/>
    <col min="14304" max="14304" width="11.44140625" style="28"/>
    <col min="14305" max="14308" width="15.77734375" style="28" customWidth="1"/>
    <col min="14309" max="14544" width="11.44140625" style="28"/>
    <col min="14545" max="14545" width="10" style="28" customWidth="1"/>
    <col min="14546" max="14546" width="19.44140625" style="28" customWidth="1"/>
    <col min="14547" max="14547" width="19" style="28" customWidth="1"/>
    <col min="14548" max="14549" width="19.44140625" style="28" customWidth="1"/>
    <col min="14550" max="14551" width="19.109375" style="28" customWidth="1"/>
    <col min="14552" max="14553" width="11.44140625" style="28"/>
    <col min="14554" max="14559" width="13.109375" style="28" customWidth="1"/>
    <col min="14560" max="14560" width="11.44140625" style="28"/>
    <col min="14561" max="14564" width="15.77734375" style="28" customWidth="1"/>
    <col min="14565" max="14800" width="11.44140625" style="28"/>
    <col min="14801" max="14801" width="10" style="28" customWidth="1"/>
    <col min="14802" max="14802" width="19.44140625" style="28" customWidth="1"/>
    <col min="14803" max="14803" width="19" style="28" customWidth="1"/>
    <col min="14804" max="14805" width="19.44140625" style="28" customWidth="1"/>
    <col min="14806" max="14807" width="19.109375" style="28" customWidth="1"/>
    <col min="14808" max="14809" width="11.44140625" style="28"/>
    <col min="14810" max="14815" width="13.109375" style="28" customWidth="1"/>
    <col min="14816" max="14816" width="11.44140625" style="28"/>
    <col min="14817" max="14820" width="15.77734375" style="28" customWidth="1"/>
    <col min="14821" max="15056" width="11.44140625" style="28"/>
    <col min="15057" max="15057" width="10" style="28" customWidth="1"/>
    <col min="15058" max="15058" width="19.44140625" style="28" customWidth="1"/>
    <col min="15059" max="15059" width="19" style="28" customWidth="1"/>
    <col min="15060" max="15061" width="19.44140625" style="28" customWidth="1"/>
    <col min="15062" max="15063" width="19.109375" style="28" customWidth="1"/>
    <col min="15064" max="15065" width="11.44140625" style="28"/>
    <col min="15066" max="15071" width="13.109375" style="28" customWidth="1"/>
    <col min="15072" max="15072" width="11.44140625" style="28"/>
    <col min="15073" max="15076" width="15.77734375" style="28" customWidth="1"/>
    <col min="15077" max="15312" width="11.44140625" style="28"/>
    <col min="15313" max="15313" width="10" style="28" customWidth="1"/>
    <col min="15314" max="15314" width="19.44140625" style="28" customWidth="1"/>
    <col min="15315" max="15315" width="19" style="28" customWidth="1"/>
    <col min="15316" max="15317" width="19.44140625" style="28" customWidth="1"/>
    <col min="15318" max="15319" width="19.109375" style="28" customWidth="1"/>
    <col min="15320" max="15321" width="11.44140625" style="28"/>
    <col min="15322" max="15327" width="13.109375" style="28" customWidth="1"/>
    <col min="15328" max="15328" width="11.44140625" style="28"/>
    <col min="15329" max="15332" width="15.77734375" style="28" customWidth="1"/>
    <col min="15333" max="15568" width="11.44140625" style="28"/>
    <col min="15569" max="15569" width="10" style="28" customWidth="1"/>
    <col min="15570" max="15570" width="19.44140625" style="28" customWidth="1"/>
    <col min="15571" max="15571" width="19" style="28" customWidth="1"/>
    <col min="15572" max="15573" width="19.44140625" style="28" customWidth="1"/>
    <col min="15574" max="15575" width="19.109375" style="28" customWidth="1"/>
    <col min="15576" max="15577" width="11.44140625" style="28"/>
    <col min="15578" max="15583" width="13.109375" style="28" customWidth="1"/>
    <col min="15584" max="15584" width="11.44140625" style="28"/>
    <col min="15585" max="15588" width="15.77734375" style="28" customWidth="1"/>
    <col min="15589" max="15824" width="11.44140625" style="28"/>
    <col min="15825" max="15825" width="10" style="28" customWidth="1"/>
    <col min="15826" max="15826" width="19.44140625" style="28" customWidth="1"/>
    <col min="15827" max="15827" width="19" style="28" customWidth="1"/>
    <col min="15828" max="15829" width="19.44140625" style="28" customWidth="1"/>
    <col min="15830" max="15831" width="19.109375" style="28" customWidth="1"/>
    <col min="15832" max="15833" width="11.44140625" style="28"/>
    <col min="15834" max="15839" width="13.109375" style="28" customWidth="1"/>
    <col min="15840" max="15840" width="11.44140625" style="28"/>
    <col min="15841" max="15844" width="15.77734375" style="28" customWidth="1"/>
    <col min="15845" max="16080" width="11.44140625" style="28"/>
    <col min="16081" max="16081" width="10" style="28" customWidth="1"/>
    <col min="16082" max="16082" width="19.44140625" style="28" customWidth="1"/>
    <col min="16083" max="16083" width="19" style="28" customWidth="1"/>
    <col min="16084" max="16085" width="19.44140625" style="28" customWidth="1"/>
    <col min="16086" max="16087" width="19.109375" style="28" customWidth="1"/>
    <col min="16088" max="16089" width="11.44140625" style="28"/>
    <col min="16090" max="16095" width="13.109375" style="28" customWidth="1"/>
    <col min="16096" max="16096" width="11.44140625" style="28"/>
    <col min="16097" max="16100" width="15.77734375" style="28" customWidth="1"/>
    <col min="16101" max="16384" width="11.44140625" style="28"/>
  </cols>
  <sheetData>
    <row r="1" spans="1:22" ht="46.8">
      <c r="A1" s="177"/>
      <c r="B1" s="179"/>
      <c r="C1" s="980" t="s">
        <v>969</v>
      </c>
      <c r="D1" s="980"/>
      <c r="E1" s="980"/>
      <c r="F1" s="689" t="s">
        <v>763</v>
      </c>
      <c r="G1" s="179"/>
      <c r="H1" s="179"/>
      <c r="I1" s="973" t="s">
        <v>1233</v>
      </c>
      <c r="J1" s="980"/>
      <c r="K1" s="980"/>
      <c r="L1" s="973"/>
      <c r="M1" s="179"/>
      <c r="N1" s="974" t="s">
        <v>155</v>
      </c>
      <c r="O1" s="27"/>
      <c r="P1" s="975" t="s">
        <v>171</v>
      </c>
      <c r="Q1" s="976"/>
      <c r="R1" s="976"/>
      <c r="S1" s="977"/>
      <c r="T1" s="5"/>
      <c r="U1" s="157" t="s">
        <v>1234</v>
      </c>
    </row>
    <row r="2" spans="1:22" s="5" customFormat="1" ht="15.6">
      <c r="A2" s="973"/>
      <c r="B2" s="175"/>
      <c r="C2" s="980"/>
      <c r="D2" s="980"/>
      <c r="E2" s="980"/>
      <c r="F2" s="973"/>
      <c r="G2" s="175"/>
      <c r="H2" s="175"/>
      <c r="I2" s="981"/>
      <c r="J2" s="981"/>
      <c r="K2" s="981"/>
      <c r="L2" s="981"/>
      <c r="M2" s="175"/>
      <c r="N2" s="974"/>
      <c r="O2" s="29"/>
      <c r="P2" s="978" t="s">
        <v>230</v>
      </c>
      <c r="Q2" s="979"/>
      <c r="R2" s="817">
        <f>'Dados de Entrada'!D64</f>
        <v>10.582049893799999</v>
      </c>
      <c r="S2" s="818"/>
      <c r="U2" s="838">
        <v>46.2</v>
      </c>
      <c r="V2" s="28" t="s">
        <v>1285</v>
      </c>
    </row>
    <row r="3" spans="1:22" s="5" customFormat="1" ht="15.6">
      <c r="A3" s="973"/>
      <c r="B3" s="175"/>
      <c r="C3" s="980"/>
      <c r="D3" s="980"/>
      <c r="E3" s="980"/>
      <c r="F3" s="973"/>
      <c r="G3" s="175"/>
      <c r="H3" s="175"/>
      <c r="I3" s="982"/>
      <c r="J3" s="982"/>
      <c r="K3" s="982"/>
      <c r="L3" s="982"/>
      <c r="M3" s="175"/>
      <c r="N3" s="974"/>
      <c r="O3" s="29"/>
      <c r="P3" s="978" t="s">
        <v>312</v>
      </c>
      <c r="Q3" s="979"/>
      <c r="R3" s="819">
        <f>'Dados de Entrada'!D66</f>
        <v>10.582049893799999</v>
      </c>
      <c r="S3" s="820"/>
      <c r="U3" s="839">
        <f>U2*12</f>
        <v>554.40000000000009</v>
      </c>
    </row>
    <row r="4" spans="1:22" ht="39.6">
      <c r="A4" s="176" t="s">
        <v>1</v>
      </c>
      <c r="B4" s="168"/>
      <c r="C4" s="584" t="s">
        <v>174</v>
      </c>
      <c r="D4" s="636" t="s">
        <v>760</v>
      </c>
      <c r="E4" s="636" t="s">
        <v>761</v>
      </c>
      <c r="F4" s="176" t="s">
        <v>762</v>
      </c>
      <c r="G4" s="28" t="s">
        <v>153</v>
      </c>
      <c r="H4" s="584" t="s">
        <v>766</v>
      </c>
      <c r="I4" s="1" t="s">
        <v>764</v>
      </c>
      <c r="J4" s="584" t="s">
        <v>767</v>
      </c>
      <c r="K4" s="1" t="s">
        <v>765</v>
      </c>
      <c r="L4" s="176" t="s">
        <v>154</v>
      </c>
      <c r="M4" s="28" t="s">
        <v>153</v>
      </c>
      <c r="N4" s="974"/>
      <c r="O4" s="27"/>
      <c r="P4" s="584" t="s">
        <v>64</v>
      </c>
      <c r="Q4" s="584" t="s">
        <v>254</v>
      </c>
      <c r="R4" s="178" t="s">
        <v>173</v>
      </c>
      <c r="S4" s="151" t="s">
        <v>138</v>
      </c>
    </row>
    <row r="5" spans="1:22" ht="15" customHeight="1">
      <c r="A5" s="166">
        <v>1</v>
      </c>
      <c r="B5" s="180"/>
      <c r="C5" s="319">
        <f>'Evolução Volume'!K4+'Evolução Volume'!M4+'Evolução Volume'!O4</f>
        <v>6340452.1304377094</v>
      </c>
      <c r="D5" s="639">
        <f>ROUND('Evolução Economias'!B5+'Evolução Economias'!D5+'Evolução Economias'!F5,0)</f>
        <v>55904</v>
      </c>
      <c r="E5" s="690">
        <f t="shared" ref="E5:E34" si="0">(C5/D5/12)</f>
        <v>9.4513990209968721</v>
      </c>
      <c r="F5" s="173">
        <f t="shared" ref="F5:F34" si="1">D5*E5*P5*12</f>
        <v>67094980.793542355</v>
      </c>
      <c r="H5" s="634">
        <f>ROUND('Evolução Economias'!I5+'Evolução Economias'!K5+'Evolução Economias'!M5,0)</f>
        <v>0</v>
      </c>
      <c r="I5" s="12">
        <f>H5*E5*Q5*S5*12</f>
        <v>0</v>
      </c>
      <c r="J5" s="319">
        <f>ROUND('Evolução Economias'!O5,0)</f>
        <v>0</v>
      </c>
      <c r="K5" s="319">
        <f>J5*$U$2*12</f>
        <v>0</v>
      </c>
      <c r="L5" s="174">
        <f xml:space="preserve"> SUM(I5+K5)</f>
        <v>0</v>
      </c>
      <c r="N5" s="174">
        <f>F5+L5</f>
        <v>67094980.793542355</v>
      </c>
      <c r="O5" s="27"/>
      <c r="P5" s="585">
        <f>R2+(R2*R5)</f>
        <v>10.582049893799999</v>
      </c>
      <c r="Q5" s="585">
        <f t="shared" ref="Q5:Q34" si="2" xml:space="preserve"> ( ( $P5 ) * ( $S5 ) )</f>
        <v>7.4074349256599987</v>
      </c>
      <c r="R5" s="587">
        <f>'Dados de Entrada'!D65</f>
        <v>0</v>
      </c>
      <c r="S5" s="150">
        <v>0.7</v>
      </c>
      <c r="V5" s="498"/>
    </row>
    <row r="6" spans="1:22" ht="15" customHeight="1">
      <c r="A6" s="166">
        <f xml:space="preserve"> ( ( A5 ) + ( 1 ) )</f>
        <v>2</v>
      </c>
      <c r="B6" s="180"/>
      <c r="C6" s="319">
        <f>'Evolução Volume'!K5+'Evolução Volume'!M5+'Evolução Volume'!O5</f>
        <v>6429002.4167371821</v>
      </c>
      <c r="D6" s="639">
        <f>ROUND('Evolução Economias'!B6+'Evolução Economias'!D6+'Evolução Economias'!F6,0)</f>
        <v>56685</v>
      </c>
      <c r="E6" s="690">
        <f t="shared" si="0"/>
        <v>9.4513575265901952</v>
      </c>
      <c r="F6" s="173">
        <f t="shared" si="1"/>
        <v>68032024.341273636</v>
      </c>
      <c r="H6" s="634">
        <f>ROUND('Evolução Economias'!I6+'Evolução Economias'!K6+'Evolução Economias'!M6,0)</f>
        <v>0</v>
      </c>
      <c r="I6" s="12">
        <f t="shared" ref="I6:I34" si="3">H6*E6*Q6*S6*12</f>
        <v>0</v>
      </c>
      <c r="J6" s="319">
        <f>ROUND('Evolução Economias'!O6,0)</f>
        <v>0</v>
      </c>
      <c r="K6" s="319">
        <f t="shared" ref="K6:K34" si="4">J6*$U$2*12</f>
        <v>0</v>
      </c>
      <c r="L6" s="174">
        <f t="shared" ref="L6" si="5" xml:space="preserve"> SUM(I6+K6)</f>
        <v>0</v>
      </c>
      <c r="N6" s="174">
        <f>F6+L6</f>
        <v>68032024.341273636</v>
      </c>
      <c r="O6" s="27"/>
      <c r="P6" s="585">
        <f xml:space="preserve"> ( ( P5 ) * ( ( 1 ) + ( $R6 ) ) )</f>
        <v>10.582049893799999</v>
      </c>
      <c r="Q6" s="585">
        <f t="shared" si="2"/>
        <v>7.4074349256599987</v>
      </c>
      <c r="R6" s="588">
        <v>0</v>
      </c>
      <c r="S6" s="150">
        <f>S5</f>
        <v>0.7</v>
      </c>
      <c r="V6" s="498"/>
    </row>
    <row r="7" spans="1:22" ht="15" customHeight="1">
      <c r="A7" s="166">
        <f t="shared" ref="A7:A34" si="6" xml:space="preserve"> ( ( A6 ) + ( 1 ) )</f>
        <v>3</v>
      </c>
      <c r="B7" s="180"/>
      <c r="C7" s="319">
        <f>'Evolução Volume'!K6+'Evolução Volume'!M6+'Evolução Volume'!O6</f>
        <v>6582728.2300670203</v>
      </c>
      <c r="D7" s="639">
        <f>ROUND('Evolução Economias'!B7+'Evolução Economias'!D7+'Evolução Economias'!F7,0)</f>
        <v>57466</v>
      </c>
      <c r="E7" s="690">
        <f t="shared" si="0"/>
        <v>9.5458303316555586</v>
      </c>
      <c r="F7" s="173">
        <f t="shared" si="1"/>
        <v>69658758.567894965</v>
      </c>
      <c r="H7" s="634">
        <f>ROUND('Evolução Economias'!I7+'Evolução Economias'!K7+'Evolução Economias'!M7,0)</f>
        <v>0</v>
      </c>
      <c r="I7" s="12">
        <f>H7*E7*Q7*S7*12</f>
        <v>0</v>
      </c>
      <c r="J7" s="319">
        <f>ROUND('Evolução Economias'!O7,0)</f>
        <v>0</v>
      </c>
      <c r="K7" s="319">
        <f t="shared" si="4"/>
        <v>0</v>
      </c>
      <c r="L7" s="174">
        <f xml:space="preserve"> SUM(I7+K7)</f>
        <v>0</v>
      </c>
      <c r="N7" s="174">
        <f t="shared" ref="N7:N34" si="7">F7+L7</f>
        <v>69658758.567894965</v>
      </c>
      <c r="O7" s="27"/>
      <c r="P7" s="585">
        <f t="shared" ref="P7:P34" si="8" xml:space="preserve"> ( ( P6 ) * ( ( 1 ) + ( $R6 ) ) )</f>
        <v>10.582049893799999</v>
      </c>
      <c r="Q7" s="585">
        <f t="shared" si="2"/>
        <v>7.4074349256599987</v>
      </c>
      <c r="R7" s="588">
        <v>0</v>
      </c>
      <c r="S7" s="150">
        <f>S6</f>
        <v>0.7</v>
      </c>
      <c r="V7" s="498"/>
    </row>
    <row r="8" spans="1:22" ht="15" customHeight="1">
      <c r="A8" s="166">
        <f t="shared" si="6"/>
        <v>4</v>
      </c>
      <c r="B8" s="180"/>
      <c r="C8" s="319">
        <f>'Evolução Volume'!K7+'Evolução Volume'!M7+'Evolução Volume'!O7</f>
        <v>6738885.6594217829</v>
      </c>
      <c r="D8" s="639">
        <f>ROUND('Evolução Economias'!B8+'Evolução Economias'!D8+'Evolução Economias'!F8,0)</f>
        <v>58247</v>
      </c>
      <c r="E8" s="690">
        <f t="shared" si="0"/>
        <v>9.6412485613304586</v>
      </c>
      <c r="F8" s="173">
        <f t="shared" si="1"/>
        <v>71311224.276614606</v>
      </c>
      <c r="H8" s="634">
        <f>ROUND('Evolução Economias'!I8+'Evolução Economias'!K8+'Evolução Economias'!M8,0)</f>
        <v>11174</v>
      </c>
      <c r="I8" s="12">
        <f t="shared" si="3"/>
        <v>6703306.502185123</v>
      </c>
      <c r="J8" s="319">
        <f>ROUND('Evolução Economias'!O8,0)</f>
        <v>474</v>
      </c>
      <c r="K8" s="319">
        <f>J8*$U$2*12</f>
        <v>262785.60000000003</v>
      </c>
      <c r="L8" s="174">
        <f t="shared" ref="L8:L34" si="9" xml:space="preserve"> SUM(I8+K8)</f>
        <v>6966092.1021851227</v>
      </c>
      <c r="N8" s="174">
        <f t="shared" si="7"/>
        <v>78277316.378799736</v>
      </c>
      <c r="O8" s="27"/>
      <c r="P8" s="585">
        <f t="shared" si="8"/>
        <v>10.582049893799999</v>
      </c>
      <c r="Q8" s="585">
        <f t="shared" si="2"/>
        <v>7.4074349256599987</v>
      </c>
      <c r="R8" s="588">
        <v>0</v>
      </c>
      <c r="S8" s="150">
        <f t="shared" ref="S8:S35" si="10">S7</f>
        <v>0.7</v>
      </c>
      <c r="V8" s="498"/>
    </row>
    <row r="9" spans="1:22" ht="15" customHeight="1">
      <c r="A9" s="166">
        <f t="shared" si="6"/>
        <v>5</v>
      </c>
      <c r="B9" s="180"/>
      <c r="C9" s="319">
        <f>'Evolução Volume'!K8+'Evolução Volume'!M8+'Evolução Volume'!O8</f>
        <v>6897507.9645406352</v>
      </c>
      <c r="D9" s="639">
        <f>ROUND('Evolução Economias'!B9+'Evolução Economias'!D9+'Evolução Economias'!F9,0)</f>
        <v>59029</v>
      </c>
      <c r="E9" s="690">
        <f t="shared" si="0"/>
        <v>9.7374566802484583</v>
      </c>
      <c r="F9" s="173">
        <f t="shared" si="1"/>
        <v>72989773.423651874</v>
      </c>
      <c r="H9" s="634">
        <f>ROUND('Evolução Economias'!I9+'Evolução Economias'!K9+'Evolução Economias'!M9,0)</f>
        <v>22647</v>
      </c>
      <c r="I9" s="12">
        <f t="shared" si="3"/>
        <v>13721555.597680248</v>
      </c>
      <c r="J9" s="319">
        <f>ROUND('Evolução Economias'!O9,0)</f>
        <v>960</v>
      </c>
      <c r="K9" s="319">
        <f t="shared" si="4"/>
        <v>532224</v>
      </c>
      <c r="L9" s="174">
        <f t="shared" si="9"/>
        <v>14253779.597680248</v>
      </c>
      <c r="N9" s="174">
        <f t="shared" si="7"/>
        <v>87243553.021332115</v>
      </c>
      <c r="O9" s="27"/>
      <c r="P9" s="585">
        <f t="shared" si="8"/>
        <v>10.582049893799999</v>
      </c>
      <c r="Q9" s="585">
        <f t="shared" si="2"/>
        <v>7.4074349256599987</v>
      </c>
      <c r="R9" s="588">
        <v>0</v>
      </c>
      <c r="S9" s="150">
        <f t="shared" si="10"/>
        <v>0.7</v>
      </c>
      <c r="V9" s="498"/>
    </row>
    <row r="10" spans="1:22" ht="15" customHeight="1">
      <c r="A10" s="166">
        <f t="shared" si="6"/>
        <v>6</v>
      </c>
      <c r="B10" s="180"/>
      <c r="C10" s="319">
        <f>'Evolução Volume'!K9+'Evolução Volume'!M9+'Evolução Volume'!O9</f>
        <v>6988803.1407029703</v>
      </c>
      <c r="D10" s="639">
        <f>ROUND('Evolução Economias'!B10+'Evolução Economias'!D10+'Evolução Economias'!F10,0)</f>
        <v>59809</v>
      </c>
      <c r="E10" s="690">
        <f t="shared" si="0"/>
        <v>9.73766927594923</v>
      </c>
      <c r="F10" s="173">
        <f t="shared" si="1"/>
        <v>73955863.532864958</v>
      </c>
      <c r="H10" s="634">
        <f>ROUND('Evolução Economias'!I10+'Evolução Economias'!K10+'Evolução Economias'!M10,0)</f>
        <v>34421</v>
      </c>
      <c r="I10" s="12">
        <f t="shared" si="3"/>
        <v>20855741.469439797</v>
      </c>
      <c r="J10" s="319">
        <f>ROUND('Evolução Economias'!O10,0)</f>
        <v>1460</v>
      </c>
      <c r="K10" s="319">
        <f t="shared" si="4"/>
        <v>809424</v>
      </c>
      <c r="L10" s="174">
        <f t="shared" si="9"/>
        <v>21665165.469439797</v>
      </c>
      <c r="N10" s="174">
        <f t="shared" si="7"/>
        <v>95621029.002304763</v>
      </c>
      <c r="O10" s="27"/>
      <c r="P10" s="585">
        <f t="shared" si="8"/>
        <v>10.582049893799999</v>
      </c>
      <c r="Q10" s="585">
        <f t="shared" si="2"/>
        <v>7.4074349256599987</v>
      </c>
      <c r="R10" s="588">
        <v>0</v>
      </c>
      <c r="S10" s="150">
        <f t="shared" si="10"/>
        <v>0.7</v>
      </c>
      <c r="V10" s="498"/>
    </row>
    <row r="11" spans="1:22" ht="15" customHeight="1">
      <c r="A11" s="166">
        <f t="shared" si="6"/>
        <v>7</v>
      </c>
      <c r="B11" s="180"/>
      <c r="C11" s="319">
        <f>'Evolução Volume'!K10+'Evolução Volume'!M10+'Evolução Volume'!O10</f>
        <v>7080036.5892276056</v>
      </c>
      <c r="D11" s="639">
        <f>ROUND('Evolução Economias'!B11+'Evolução Economias'!D11+'Evolução Economias'!F11,0)</f>
        <v>60590</v>
      </c>
      <c r="E11" s="690">
        <f t="shared" si="0"/>
        <v>9.7376307823452795</v>
      </c>
      <c r="F11" s="173">
        <f t="shared" si="1"/>
        <v>74921300.437136084</v>
      </c>
      <c r="H11" s="634">
        <f>ROUND('Evolução Economias'!I11+'Evolução Economias'!K11+'Evolução Economias'!M11,0)</f>
        <v>40682</v>
      </c>
      <c r="I11" s="12">
        <f>H11*E11*Q11*S11*12</f>
        <v>24649194.400857389</v>
      </c>
      <c r="J11" s="319">
        <f>ROUND('Evolução Economias'!O11,0)</f>
        <v>1725</v>
      </c>
      <c r="K11" s="319">
        <f t="shared" si="4"/>
        <v>956340</v>
      </c>
      <c r="L11" s="174">
        <f t="shared" si="9"/>
        <v>25605534.400857389</v>
      </c>
      <c r="N11" s="174">
        <f t="shared" si="7"/>
        <v>100526834.83799347</v>
      </c>
      <c r="O11" s="27"/>
      <c r="P11" s="585">
        <f t="shared" si="8"/>
        <v>10.582049893799999</v>
      </c>
      <c r="Q11" s="585">
        <f t="shared" si="2"/>
        <v>7.4074349256599987</v>
      </c>
      <c r="R11" s="589">
        <v>0</v>
      </c>
      <c r="S11" s="150">
        <f t="shared" si="10"/>
        <v>0.7</v>
      </c>
      <c r="V11" s="498"/>
    </row>
    <row r="12" spans="1:22" ht="15" customHeight="1">
      <c r="A12" s="166">
        <f t="shared" si="6"/>
        <v>8</v>
      </c>
      <c r="B12" s="180"/>
      <c r="C12" s="319">
        <f>'Evolução Volume'!K11+'Evolução Volume'!M11+'Evolução Volume'!O11</f>
        <v>7171270.0377522381</v>
      </c>
      <c r="D12" s="639">
        <f>ROUND('Evolução Economias'!B12+'Evolução Economias'!D12+'Evolução Economias'!F12,0)</f>
        <v>61371</v>
      </c>
      <c r="E12" s="690">
        <f t="shared" si="0"/>
        <v>9.7375932684713167</v>
      </c>
      <c r="F12" s="173">
        <f t="shared" si="1"/>
        <v>75886737.34140718</v>
      </c>
      <c r="H12" s="634">
        <f>ROUND('Evolução Economias'!I12+'Evolução Economias'!K12+'Evolução Economias'!M12,0)</f>
        <v>47094</v>
      </c>
      <c r="I12" s="12">
        <f t="shared" si="3"/>
        <v>28534110.640115898</v>
      </c>
      <c r="J12" s="319">
        <f>ROUND('Evolução Economias'!O12,0)</f>
        <v>1997</v>
      </c>
      <c r="K12" s="319">
        <f t="shared" si="4"/>
        <v>1107136.8</v>
      </c>
      <c r="L12" s="174">
        <f t="shared" si="9"/>
        <v>29641247.440115899</v>
      </c>
      <c r="N12" s="174">
        <f t="shared" si="7"/>
        <v>105527984.78152308</v>
      </c>
      <c r="O12" s="27"/>
      <c r="P12" s="585">
        <f t="shared" si="8"/>
        <v>10.582049893799999</v>
      </c>
      <c r="Q12" s="585">
        <f t="shared" si="2"/>
        <v>7.4074349256599987</v>
      </c>
      <c r="R12" s="589">
        <v>0</v>
      </c>
      <c r="S12" s="150">
        <f t="shared" si="10"/>
        <v>0.7</v>
      </c>
      <c r="V12" s="498"/>
    </row>
    <row r="13" spans="1:22" ht="15" customHeight="1">
      <c r="A13" s="166">
        <f t="shared" si="6"/>
        <v>9</v>
      </c>
      <c r="B13" s="180"/>
      <c r="C13" s="319">
        <f>'Evolução Volume'!K12+'Evolução Volume'!M12+'Evolução Volume'!O12</f>
        <v>7262503.4862768706</v>
      </c>
      <c r="D13" s="639">
        <f>ROUND('Evolução Economias'!B13+'Evolução Economias'!D13+'Evolução Economias'!F13,0)</f>
        <v>62152</v>
      </c>
      <c r="E13" s="690">
        <f t="shared" si="0"/>
        <v>9.7375566973935808</v>
      </c>
      <c r="F13" s="173">
        <f t="shared" si="1"/>
        <v>76852174.245678276</v>
      </c>
      <c r="H13" s="634">
        <f>ROUND('Evolução Economias'!I13+'Evolução Economias'!K13+'Evolução Economias'!M13,0)</f>
        <v>53653</v>
      </c>
      <c r="I13" s="12">
        <f t="shared" si="3"/>
        <v>32508066.600489993</v>
      </c>
      <c r="J13" s="319">
        <f>ROUND('Evolução Economias'!O13,0)</f>
        <v>2275</v>
      </c>
      <c r="K13" s="319">
        <f t="shared" si="4"/>
        <v>1261260</v>
      </c>
      <c r="L13" s="174">
        <f t="shared" si="9"/>
        <v>33769326.600489989</v>
      </c>
      <c r="N13" s="174">
        <f t="shared" si="7"/>
        <v>110621500.84616826</v>
      </c>
      <c r="O13" s="27"/>
      <c r="P13" s="585">
        <f t="shared" si="8"/>
        <v>10.582049893799999</v>
      </c>
      <c r="Q13" s="585">
        <f t="shared" si="2"/>
        <v>7.4074349256599987</v>
      </c>
      <c r="R13" s="589">
        <v>0</v>
      </c>
      <c r="S13" s="150">
        <f t="shared" si="10"/>
        <v>0.7</v>
      </c>
      <c r="V13" s="498"/>
    </row>
    <row r="14" spans="1:22" ht="15" customHeight="1">
      <c r="A14" s="166">
        <f t="shared" si="6"/>
        <v>10</v>
      </c>
      <c r="B14" s="180"/>
      <c r="C14" s="319">
        <f>'Evolução Volume'!K13+'Evolução Volume'!M13+'Evolução Volume'!O13</f>
        <v>7353736.9348015031</v>
      </c>
      <c r="D14" s="639">
        <f>ROUND('Evolução Economias'!B14+'Evolução Economias'!D14+'Evolução Economias'!F14,0)</f>
        <v>62933</v>
      </c>
      <c r="E14" s="690">
        <f t="shared" si="0"/>
        <v>9.7375210340117047</v>
      </c>
      <c r="F14" s="173">
        <f t="shared" si="1"/>
        <v>77817611.149949372</v>
      </c>
      <c r="H14" s="634">
        <f>ROUND('Evolução Economias'!I14+'Evolução Economias'!K14+'Evolução Economias'!M14,0)</f>
        <v>54327</v>
      </c>
      <c r="I14" s="12">
        <f t="shared" si="3"/>
        <v>32916319.051407315</v>
      </c>
      <c r="J14" s="319">
        <f>ROUND('Evolução Economias'!O14,0)</f>
        <v>2304</v>
      </c>
      <c r="K14" s="319">
        <f t="shared" si="4"/>
        <v>1277337.6000000001</v>
      </c>
      <c r="L14" s="174">
        <f t="shared" si="9"/>
        <v>34193656.651407316</v>
      </c>
      <c r="N14" s="174">
        <f t="shared" si="7"/>
        <v>112011267.80135669</v>
      </c>
      <c r="O14" s="27"/>
      <c r="P14" s="585">
        <f t="shared" si="8"/>
        <v>10.582049893799999</v>
      </c>
      <c r="Q14" s="585">
        <f t="shared" si="2"/>
        <v>7.4074349256599987</v>
      </c>
      <c r="R14" s="589">
        <v>0</v>
      </c>
      <c r="S14" s="150">
        <f t="shared" si="10"/>
        <v>0.7</v>
      </c>
      <c r="V14" s="498"/>
    </row>
    <row r="15" spans="1:22" ht="15" customHeight="1">
      <c r="A15" s="166">
        <f t="shared" si="6"/>
        <v>11</v>
      </c>
      <c r="B15" s="180"/>
      <c r="C15" s="319">
        <f>'Evolução Volume'!K14+'Evolução Volume'!M14+'Evolução Volume'!O14</f>
        <v>7444970.3833261365</v>
      </c>
      <c r="D15" s="639">
        <f>ROUND('Evolução Economias'!B15+'Evolução Economias'!D15+'Evolução Economias'!F15,0)</f>
        <v>63714</v>
      </c>
      <c r="E15" s="690">
        <f t="shared" si="0"/>
        <v>9.7374862449463446</v>
      </c>
      <c r="F15" s="173">
        <f t="shared" si="1"/>
        <v>78783048.054220468</v>
      </c>
      <c r="H15" s="634">
        <f>ROUND('Evolução Economias'!I15+'Evolução Economias'!K15+'Evolução Economias'!M15,0)</f>
        <v>55001</v>
      </c>
      <c r="I15" s="12">
        <f t="shared" si="3"/>
        <v>33324571.50319849</v>
      </c>
      <c r="J15" s="319">
        <f>ROUND('Evolução Economias'!O15,0)</f>
        <v>2332</v>
      </c>
      <c r="K15" s="319">
        <f t="shared" si="4"/>
        <v>1292860.8</v>
      </c>
      <c r="L15" s="174">
        <f t="shared" si="9"/>
        <v>34617432.303198487</v>
      </c>
      <c r="N15" s="174">
        <f t="shared" si="7"/>
        <v>113400480.35741895</v>
      </c>
      <c r="O15" s="27"/>
      <c r="P15" s="585">
        <f t="shared" si="8"/>
        <v>10.582049893799999</v>
      </c>
      <c r="Q15" s="585">
        <f t="shared" si="2"/>
        <v>7.4074349256599987</v>
      </c>
      <c r="R15" s="589">
        <v>0</v>
      </c>
      <c r="S15" s="150">
        <f t="shared" si="10"/>
        <v>0.7</v>
      </c>
      <c r="V15" s="498"/>
    </row>
    <row r="16" spans="1:22" ht="15" customHeight="1">
      <c r="A16" s="166">
        <f t="shared" si="6"/>
        <v>12</v>
      </c>
      <c r="B16" s="180"/>
      <c r="C16" s="319">
        <f>'Evolução Volume'!K15+'Evolução Volume'!M15+'Evolução Volume'!O15</f>
        <v>7536203.8318507709</v>
      </c>
      <c r="D16" s="639">
        <f>ROUND('Evolução Economias'!B16+'Evolução Economias'!D16+'Evolução Economias'!F16,0)</f>
        <v>64495</v>
      </c>
      <c r="E16" s="690">
        <f t="shared" si="0"/>
        <v>9.7374522984349827</v>
      </c>
      <c r="F16" s="173">
        <f t="shared" si="1"/>
        <v>79748484.958491594</v>
      </c>
      <c r="H16" s="634">
        <f>ROUND('Evolução Economias'!I16+'Evolução Economias'!K16+'Evolução Economias'!M16,0)</f>
        <v>55676</v>
      </c>
      <c r="I16" s="12">
        <f t="shared" si="3"/>
        <v>33733429.844003394</v>
      </c>
      <c r="J16" s="319">
        <f>ROUND('Evolução Economias'!O16,0)</f>
        <v>2361</v>
      </c>
      <c r="K16" s="319">
        <f t="shared" si="4"/>
        <v>1308938.4000000001</v>
      </c>
      <c r="L16" s="174">
        <f t="shared" si="9"/>
        <v>35042368.244003393</v>
      </c>
      <c r="N16" s="174">
        <f t="shared" si="7"/>
        <v>114790853.20249498</v>
      </c>
      <c r="O16" s="27"/>
      <c r="P16" s="585">
        <f t="shared" si="8"/>
        <v>10.582049893799999</v>
      </c>
      <c r="Q16" s="585">
        <f t="shared" si="2"/>
        <v>7.4074349256599987</v>
      </c>
      <c r="R16" s="589">
        <v>0</v>
      </c>
      <c r="S16" s="150">
        <f t="shared" si="10"/>
        <v>0.7</v>
      </c>
      <c r="V16" s="498"/>
    </row>
    <row r="17" spans="1:24" ht="15" customHeight="1">
      <c r="A17" s="166">
        <f t="shared" si="6"/>
        <v>13</v>
      </c>
      <c r="B17" s="180"/>
      <c r="C17" s="319">
        <f>'Evolução Volume'!K16+'Evolução Volume'!M16+'Evolução Volume'!O16</f>
        <v>7627437.2803754034</v>
      </c>
      <c r="D17" s="639">
        <f>ROUND('Evolução Economias'!B17+'Evolução Economias'!D17+'Evolução Economias'!F17,0)</f>
        <v>65276</v>
      </c>
      <c r="E17" s="690">
        <f t="shared" si="0"/>
        <v>9.7374191642352006</v>
      </c>
      <c r="F17" s="173">
        <f t="shared" si="1"/>
        <v>80713921.86276269</v>
      </c>
      <c r="H17" s="634">
        <f>ROUND('Evolução Economias'!I17+'Evolução Economias'!K17+'Evolução Economias'!M17,0)</f>
        <v>56350</v>
      </c>
      <c r="I17" s="12">
        <f t="shared" si="3"/>
        <v>34141682.295386851</v>
      </c>
      <c r="J17" s="319">
        <f>ROUND('Evolução Economias'!O17,0)</f>
        <v>2389</v>
      </c>
      <c r="K17" s="319">
        <f t="shared" si="4"/>
        <v>1324461.6000000001</v>
      </c>
      <c r="L17" s="174">
        <f t="shared" si="9"/>
        <v>35466143.895386852</v>
      </c>
      <c r="N17" s="174">
        <f t="shared" si="7"/>
        <v>116180065.75814953</v>
      </c>
      <c r="O17" s="27"/>
      <c r="P17" s="585">
        <f t="shared" si="8"/>
        <v>10.582049893799999</v>
      </c>
      <c r="Q17" s="585">
        <f t="shared" si="2"/>
        <v>7.4074349256599987</v>
      </c>
      <c r="R17" s="589">
        <v>0</v>
      </c>
      <c r="S17" s="150">
        <f t="shared" si="10"/>
        <v>0.7</v>
      </c>
      <c r="V17" s="498"/>
    </row>
    <row r="18" spans="1:24" ht="15" customHeight="1">
      <c r="A18" s="166">
        <f t="shared" si="6"/>
        <v>14</v>
      </c>
      <c r="B18" s="180"/>
      <c r="C18" s="319">
        <f>'Evolução Volume'!K17+'Evolução Volume'!M17+'Evolução Volume'!O17</f>
        <v>7718670.7289000377</v>
      </c>
      <c r="D18" s="639">
        <f>ROUND('Evolução Economias'!B18+'Evolução Economias'!D18+'Evolução Economias'!F18,0)</f>
        <v>66057</v>
      </c>
      <c r="E18" s="690">
        <f t="shared" si="0"/>
        <v>9.7373868135348243</v>
      </c>
      <c r="F18" s="173">
        <f t="shared" si="1"/>
        <v>81679358.767033815</v>
      </c>
      <c r="H18" s="634">
        <f>ROUND('Evolução Economias'!I18+'Evolução Economias'!K18+'Evolução Economias'!M18,0)</f>
        <v>57024</v>
      </c>
      <c r="I18" s="12">
        <f t="shared" si="3"/>
        <v>34549934.747602142</v>
      </c>
      <c r="J18" s="319">
        <f>ROUND('Evolução Economias'!O18,0)</f>
        <v>2418</v>
      </c>
      <c r="K18" s="319">
        <f t="shared" si="4"/>
        <v>1340539.2000000002</v>
      </c>
      <c r="L18" s="174">
        <f t="shared" si="9"/>
        <v>35890473.947602145</v>
      </c>
      <c r="N18" s="174">
        <f t="shared" si="7"/>
        <v>117569832.71463597</v>
      </c>
      <c r="O18" s="27"/>
      <c r="P18" s="585">
        <f t="shared" si="8"/>
        <v>10.582049893799999</v>
      </c>
      <c r="Q18" s="585">
        <f t="shared" si="2"/>
        <v>7.4074349256599987</v>
      </c>
      <c r="R18" s="589">
        <v>0</v>
      </c>
      <c r="S18" s="150">
        <f t="shared" si="10"/>
        <v>0.7</v>
      </c>
      <c r="V18" s="498"/>
    </row>
    <row r="19" spans="1:24" ht="15" customHeight="1">
      <c r="A19" s="166">
        <f t="shared" si="6"/>
        <v>15</v>
      </c>
      <c r="B19" s="180"/>
      <c r="C19" s="319">
        <f>'Evolução Volume'!K18+'Evolução Volume'!M18+'Evolução Volume'!O18</f>
        <v>7809965.9050623728</v>
      </c>
      <c r="D19" s="639">
        <f>ROUND('Evolução Economias'!B19+'Evolução Economias'!D19+'Evolução Economias'!F19,0)</f>
        <v>66839</v>
      </c>
      <c r="E19" s="690">
        <f t="shared" si="0"/>
        <v>9.7372864957364875</v>
      </c>
      <c r="F19" s="173">
        <f t="shared" si="1"/>
        <v>82645448.876246899</v>
      </c>
      <c r="H19" s="634">
        <f>ROUND('Evolução Economias'!I19+'Evolução Economias'!K19+'Evolução Economias'!M19,0)</f>
        <v>57699</v>
      </c>
      <c r="I19" s="12">
        <f t="shared" si="3"/>
        <v>34958546.354795538</v>
      </c>
      <c r="J19" s="319">
        <f>ROUND('Evolução Economias'!O19,0)</f>
        <v>2446</v>
      </c>
      <c r="K19" s="319">
        <f t="shared" si="4"/>
        <v>1356062.4000000001</v>
      </c>
      <c r="L19" s="174">
        <f t="shared" si="9"/>
        <v>36314608.754795536</v>
      </c>
      <c r="N19" s="174">
        <f t="shared" si="7"/>
        <v>118960057.63104244</v>
      </c>
      <c r="O19" s="27"/>
      <c r="P19" s="585">
        <f t="shared" si="8"/>
        <v>10.582049893799999</v>
      </c>
      <c r="Q19" s="585">
        <f t="shared" si="2"/>
        <v>7.4074349256599987</v>
      </c>
      <c r="R19" s="589">
        <v>0</v>
      </c>
      <c r="S19" s="150">
        <f t="shared" si="10"/>
        <v>0.7</v>
      </c>
      <c r="V19" s="498"/>
      <c r="X19" s="640"/>
    </row>
    <row r="20" spans="1:24" ht="15" customHeight="1">
      <c r="A20" s="166">
        <f t="shared" si="6"/>
        <v>16</v>
      </c>
      <c r="B20" s="180"/>
      <c r="C20" s="319">
        <f>'Evolução Volume'!K19+'Evolução Volume'!M19+'Evolução Volume'!O19</f>
        <v>7901199.3535870081</v>
      </c>
      <c r="D20" s="639">
        <f>ROUND('Evolução Economias'!B20+'Evolução Economias'!D20+'Evolução Economias'!F20,0)</f>
        <v>67620</v>
      </c>
      <c r="E20" s="690">
        <f t="shared" si="0"/>
        <v>9.7372564251047624</v>
      </c>
      <c r="F20" s="173">
        <f t="shared" si="1"/>
        <v>83610885.780518025</v>
      </c>
      <c r="H20" s="634">
        <f>ROUND('Evolução Economias'!I20+'Evolução Economias'!K20+'Evolução Economias'!M20,0)</f>
        <v>58373</v>
      </c>
      <c r="I20" s="12">
        <f t="shared" si="3"/>
        <v>35366798.809175208</v>
      </c>
      <c r="J20" s="319">
        <f>ROUND('Evolução Economias'!O20,0)</f>
        <v>2475</v>
      </c>
      <c r="K20" s="319">
        <f t="shared" si="4"/>
        <v>1372140</v>
      </c>
      <c r="L20" s="174">
        <f t="shared" si="9"/>
        <v>36738938.809175208</v>
      </c>
      <c r="N20" s="174">
        <f t="shared" si="7"/>
        <v>120349824.58969323</v>
      </c>
      <c r="O20" s="27"/>
      <c r="P20" s="585">
        <f t="shared" si="8"/>
        <v>10.582049893799999</v>
      </c>
      <c r="Q20" s="585">
        <f t="shared" si="2"/>
        <v>7.4074349256599987</v>
      </c>
      <c r="R20" s="589">
        <v>0</v>
      </c>
      <c r="S20" s="150">
        <f t="shared" si="10"/>
        <v>0.7</v>
      </c>
      <c r="V20" s="498"/>
      <c r="X20" s="640"/>
    </row>
    <row r="21" spans="1:24" ht="15" customHeight="1">
      <c r="A21" s="166">
        <f t="shared" si="6"/>
        <v>17</v>
      </c>
      <c r="B21" s="180"/>
      <c r="C21" s="319">
        <f>'Evolução Volume'!K20+'Evolução Volume'!M20+'Evolução Volume'!O20</f>
        <v>7992432.8021116406</v>
      </c>
      <c r="D21" s="639">
        <f>ROUND('Evolução Economias'!B21+'Evolução Economias'!D21+'Evolução Economias'!F21,0)</f>
        <v>68400</v>
      </c>
      <c r="E21" s="690">
        <f t="shared" si="0"/>
        <v>9.7373693982841623</v>
      </c>
      <c r="F21" s="173">
        <f t="shared" si="1"/>
        <v>84576322.684789121</v>
      </c>
      <c r="H21" s="634">
        <f>ROUND('Evolução Economias'!I21+'Evolução Economias'!K21+'Evolução Economias'!M21,0)</f>
        <v>59048</v>
      </c>
      <c r="I21" s="12">
        <f t="shared" si="3"/>
        <v>35776180.174368411</v>
      </c>
      <c r="J21" s="319">
        <f>ROUND('Evolução Economias'!O21,0)</f>
        <v>2503</v>
      </c>
      <c r="K21" s="319">
        <f t="shared" si="4"/>
        <v>1387663.2000000002</v>
      </c>
      <c r="L21" s="174">
        <f t="shared" si="9"/>
        <v>37163843.374368414</v>
      </c>
      <c r="N21" s="174">
        <f t="shared" si="7"/>
        <v>121740166.05915754</v>
      </c>
      <c r="O21" s="27"/>
      <c r="P21" s="585">
        <f t="shared" si="8"/>
        <v>10.582049893799999</v>
      </c>
      <c r="Q21" s="585">
        <f t="shared" si="2"/>
        <v>7.4074349256599987</v>
      </c>
      <c r="R21" s="589">
        <v>0</v>
      </c>
      <c r="S21" s="150">
        <f t="shared" si="10"/>
        <v>0.7</v>
      </c>
      <c r="V21" s="498"/>
      <c r="X21" s="640"/>
    </row>
    <row r="22" spans="1:24" ht="15" customHeight="1">
      <c r="A22" s="166">
        <f t="shared" si="6"/>
        <v>18</v>
      </c>
      <c r="B22" s="180"/>
      <c r="C22" s="319">
        <f>'Evolução Volume'!K21+'Evolução Volume'!M21+'Evolução Volume'!O21</f>
        <v>8084345.2546510044</v>
      </c>
      <c r="D22" s="639">
        <f>ROUND('Evolução Economias'!B22+'Evolução Economias'!D22+'Evolução Economias'!F22,0)</f>
        <v>69187</v>
      </c>
      <c r="E22" s="690">
        <f t="shared" si="0"/>
        <v>9.737312470371366</v>
      </c>
      <c r="F22" s="173">
        <f t="shared" si="1"/>
        <v>85548944.843422189</v>
      </c>
      <c r="H22" s="634">
        <f>ROUND('Evolução Economias'!I22+'Evolução Economias'!K22+'Evolução Economias'!M22,0)</f>
        <v>59727</v>
      </c>
      <c r="I22" s="12">
        <f t="shared" si="3"/>
        <v>36187363.175812036</v>
      </c>
      <c r="J22" s="319">
        <f>ROUND('Evolução Economias'!O22,0)</f>
        <v>2532</v>
      </c>
      <c r="K22" s="319">
        <f t="shared" si="4"/>
        <v>1403740.8</v>
      </c>
      <c r="L22" s="174">
        <f t="shared" si="9"/>
        <v>37591103.975812033</v>
      </c>
      <c r="N22" s="174">
        <f t="shared" si="7"/>
        <v>123140048.81923422</v>
      </c>
      <c r="O22" s="27"/>
      <c r="P22" s="585">
        <f t="shared" si="8"/>
        <v>10.582049893799999</v>
      </c>
      <c r="Q22" s="585">
        <f t="shared" si="2"/>
        <v>7.4074349256599987</v>
      </c>
      <c r="R22" s="589">
        <v>0</v>
      </c>
      <c r="S22" s="150">
        <f t="shared" si="10"/>
        <v>0.7</v>
      </c>
      <c r="V22" s="498"/>
      <c r="X22" s="640"/>
    </row>
    <row r="23" spans="1:24" ht="15" customHeight="1">
      <c r="A23" s="166">
        <f t="shared" si="6"/>
        <v>19</v>
      </c>
      <c r="B23" s="180"/>
      <c r="C23" s="319">
        <f>'Evolução Volume'!K22+'Evolução Volume'!M22+'Evolução Volume'!O22</f>
        <v>8177307.0770313134</v>
      </c>
      <c r="D23" s="639">
        <f>ROUND('Evolução Economias'!B23+'Evolução Economias'!D23+'Evolução Economias'!F23,0)</f>
        <v>69983</v>
      </c>
      <c r="E23" s="690">
        <f t="shared" si="0"/>
        <v>9.7372541391377343</v>
      </c>
      <c r="F23" s="173">
        <f t="shared" si="1"/>
        <v>86532671.486069173</v>
      </c>
      <c r="H23" s="634">
        <f>ROUND('Evolução Economias'!I23+'Evolução Economias'!K23+'Evolução Economias'!M23,0)</f>
        <v>60413</v>
      </c>
      <c r="I23" s="12">
        <f t="shared" si="3"/>
        <v>36602777.223312363</v>
      </c>
      <c r="J23" s="319">
        <f>ROUND('Evolução Economias'!O23,0)</f>
        <v>2561</v>
      </c>
      <c r="K23" s="319">
        <f t="shared" si="4"/>
        <v>1419818.4000000001</v>
      </c>
      <c r="L23" s="174">
        <f t="shared" si="9"/>
        <v>38022595.623312362</v>
      </c>
      <c r="N23" s="174">
        <f t="shared" si="7"/>
        <v>124555267.10938153</v>
      </c>
      <c r="O23" s="27"/>
      <c r="P23" s="585">
        <f t="shared" si="8"/>
        <v>10.582049893799999</v>
      </c>
      <c r="Q23" s="585">
        <f t="shared" si="2"/>
        <v>7.4074349256599987</v>
      </c>
      <c r="R23" s="589">
        <v>0</v>
      </c>
      <c r="S23" s="150">
        <f t="shared" si="10"/>
        <v>0.7</v>
      </c>
      <c r="V23" s="498"/>
    </row>
    <row r="24" spans="1:24" ht="15" customHeight="1">
      <c r="A24" s="166">
        <f t="shared" si="6"/>
        <v>20</v>
      </c>
      <c r="B24" s="180"/>
      <c r="C24" s="319">
        <f>'Evolução Volume'!K23+'Evolução Volume'!M23+'Evolução Volume'!O23</f>
        <v>8271318.2692525703</v>
      </c>
      <c r="D24" s="639">
        <f>ROUND('Evolução Economias'!B24+'Evolução Economias'!D24+'Evolução Economias'!F24,0)</f>
        <v>70787</v>
      </c>
      <c r="E24" s="690">
        <f t="shared" si="0"/>
        <v>9.7373320304252786</v>
      </c>
      <c r="F24" s="173">
        <f t="shared" si="1"/>
        <v>87527502.612730145</v>
      </c>
      <c r="H24" s="634">
        <f>ROUND('Evolução Economias'!I24+'Evolução Economias'!K24+'Evolução Economias'!M24,0)</f>
        <v>61108</v>
      </c>
      <c r="I24" s="12">
        <f t="shared" si="3"/>
        <v>37024157.098517656</v>
      </c>
      <c r="J24" s="319">
        <f>ROUND('Evolução Economias'!O24,0)</f>
        <v>2591</v>
      </c>
      <c r="K24" s="319">
        <f t="shared" si="4"/>
        <v>1436450.4000000001</v>
      </c>
      <c r="L24" s="174">
        <f t="shared" si="9"/>
        <v>38460607.498517655</v>
      </c>
      <c r="N24" s="174">
        <f t="shared" si="7"/>
        <v>125988110.11124781</v>
      </c>
      <c r="O24" s="27"/>
      <c r="P24" s="585">
        <f t="shared" si="8"/>
        <v>10.582049893799999</v>
      </c>
      <c r="Q24" s="585">
        <f t="shared" si="2"/>
        <v>7.4074349256599987</v>
      </c>
      <c r="R24" s="589">
        <v>0</v>
      </c>
      <c r="S24" s="150">
        <f t="shared" si="10"/>
        <v>0.7</v>
      </c>
      <c r="V24" s="498"/>
    </row>
    <row r="25" spans="1:24" ht="15" customHeight="1">
      <c r="A25" s="166">
        <f t="shared" si="6"/>
        <v>21</v>
      </c>
      <c r="B25" s="180"/>
      <c r="C25" s="319">
        <f>'Evolução Volume'!K24+'Evolução Volume'!M24+'Evolução Volume'!O24</f>
        <v>8366440.5589524759</v>
      </c>
      <c r="D25" s="639">
        <f>ROUND('Evolução Economias'!B25+'Evolução Economias'!D25+'Evolução Economias'!F25,0)</f>
        <v>71602</v>
      </c>
      <c r="E25" s="690">
        <f t="shared" si="0"/>
        <v>9.7372053841052804</v>
      </c>
      <c r="F25" s="173">
        <f t="shared" si="1"/>
        <v>88534091.428347051</v>
      </c>
      <c r="H25" s="634">
        <f>ROUND('Evolução Economias'!I25+'Evolução Economias'!K25+'Evolução Economias'!M25,0)</f>
        <v>61812</v>
      </c>
      <c r="I25" s="12">
        <f t="shared" si="3"/>
        <v>37450210.009368509</v>
      </c>
      <c r="J25" s="319">
        <f>ROUND('Evolução Economias'!O25,0)</f>
        <v>2621</v>
      </c>
      <c r="K25" s="319">
        <f t="shared" si="4"/>
        <v>1453082.4000000001</v>
      </c>
      <c r="L25" s="174">
        <f t="shared" si="9"/>
        <v>38903292.409368508</v>
      </c>
      <c r="N25" s="174">
        <f t="shared" si="7"/>
        <v>127437383.83771557</v>
      </c>
      <c r="O25" s="27"/>
      <c r="P25" s="585">
        <f t="shared" si="8"/>
        <v>10.582049893799999</v>
      </c>
      <c r="Q25" s="585">
        <f t="shared" si="2"/>
        <v>7.4074349256599987</v>
      </c>
      <c r="R25" s="589">
        <v>0</v>
      </c>
      <c r="S25" s="150">
        <f t="shared" si="10"/>
        <v>0.7</v>
      </c>
      <c r="V25" s="498"/>
    </row>
    <row r="26" spans="1:24" ht="15" customHeight="1">
      <c r="A26" s="166">
        <f t="shared" si="6"/>
        <v>22</v>
      </c>
      <c r="B26" s="180"/>
      <c r="C26" s="319">
        <f>'Evolução Volume'!K25+'Evolução Volume'!M25+'Evolução Volume'!O25</f>
        <v>8462673.9461310301</v>
      </c>
      <c r="D26" s="639">
        <f>ROUND('Evolução Economias'!B26+'Evolução Economias'!D26+'Evolução Economias'!F26,0)</f>
        <v>72425</v>
      </c>
      <c r="E26" s="690">
        <f t="shared" si="0"/>
        <v>9.737284485250294</v>
      </c>
      <c r="F26" s="173">
        <f t="shared" si="1"/>
        <v>89552437.93291989</v>
      </c>
      <c r="H26" s="634">
        <f>ROUND('Evolução Economias'!I26+'Evolução Economias'!K26+'Evolução Economias'!M26,0)</f>
        <v>62523</v>
      </c>
      <c r="I26" s="12">
        <f t="shared" si="3"/>
        <v>37881293.305780813</v>
      </c>
      <c r="J26" s="319">
        <f>ROUND('Evolução Economias'!O26,0)</f>
        <v>2651</v>
      </c>
      <c r="K26" s="319">
        <f t="shared" si="4"/>
        <v>1469714.4000000001</v>
      </c>
      <c r="L26" s="174">
        <f t="shared" si="9"/>
        <v>39351007.705780812</v>
      </c>
      <c r="N26" s="174">
        <f t="shared" si="7"/>
        <v>128903445.63870069</v>
      </c>
      <c r="O26" s="27"/>
      <c r="P26" s="585">
        <f t="shared" si="8"/>
        <v>10.582049893799999</v>
      </c>
      <c r="Q26" s="585">
        <f t="shared" si="2"/>
        <v>7.4074349256599987</v>
      </c>
      <c r="R26" s="589">
        <v>0</v>
      </c>
      <c r="S26" s="150">
        <f t="shared" si="10"/>
        <v>0.7</v>
      </c>
      <c r="V26" s="498"/>
    </row>
    <row r="27" spans="1:24" ht="15" customHeight="1">
      <c r="A27" s="166">
        <f t="shared" si="6"/>
        <v>23</v>
      </c>
      <c r="B27" s="180"/>
      <c r="C27" s="319">
        <f>'Evolução Volume'!K26+'Evolução Volume'!M26+'Evolução Volume'!O26</f>
        <v>8560018.430788232</v>
      </c>
      <c r="D27" s="639">
        <f>ROUND('Evolução Economias'!B27+'Evolução Economias'!D27+'Evolução Economias'!F27,0)</f>
        <v>73258</v>
      </c>
      <c r="E27" s="690">
        <f t="shared" si="0"/>
        <v>9.7372965305134276</v>
      </c>
      <c r="F27" s="173">
        <f t="shared" si="1"/>
        <v>90582542.126448646</v>
      </c>
      <c r="H27" s="634">
        <f>ROUND('Evolução Economias'!I27+'Evolução Economias'!K27+'Evolução Economias'!M27,0)</f>
        <v>63242</v>
      </c>
      <c r="I27" s="12">
        <f t="shared" si="3"/>
        <v>38316966.79255268</v>
      </c>
      <c r="J27" s="319">
        <f>ROUND('Evolução Economias'!O27,0)</f>
        <v>2681</v>
      </c>
      <c r="K27" s="319">
        <f t="shared" si="4"/>
        <v>1486346.4000000001</v>
      </c>
      <c r="L27" s="174">
        <f t="shared" si="9"/>
        <v>39803313.192552678</v>
      </c>
      <c r="N27" s="174">
        <f t="shared" si="7"/>
        <v>130385855.31900132</v>
      </c>
      <c r="O27" s="27"/>
      <c r="P27" s="585">
        <f t="shared" si="8"/>
        <v>10.582049893799999</v>
      </c>
      <c r="Q27" s="585">
        <f t="shared" si="2"/>
        <v>7.4074349256599987</v>
      </c>
      <c r="R27" s="589">
        <v>0</v>
      </c>
      <c r="S27" s="150">
        <f t="shared" si="10"/>
        <v>0.7</v>
      </c>
      <c r="V27" s="498"/>
    </row>
    <row r="28" spans="1:24" ht="15" customHeight="1">
      <c r="A28" s="166">
        <f t="shared" si="6"/>
        <v>24</v>
      </c>
      <c r="B28" s="180"/>
      <c r="C28" s="319">
        <f>'Evolução Volume'!K27+'Evolução Volume'!M27+'Evolução Volume'!O27</f>
        <v>8658535.740561787</v>
      </c>
      <c r="D28" s="639">
        <f>ROUND('Evolução Economias'!B28+'Evolução Economias'!D28+'Evolução Economias'!F28,0)</f>
        <v>74102</v>
      </c>
      <c r="E28" s="690">
        <f t="shared" si="0"/>
        <v>9.7371817905969547</v>
      </c>
      <c r="F28" s="173">
        <f t="shared" si="1"/>
        <v>91625057.213875338</v>
      </c>
      <c r="H28" s="634">
        <f>ROUND('Evolução Economias'!I28+'Evolução Economias'!K28+'Evolução Economias'!M28,0)</f>
        <v>63971</v>
      </c>
      <c r="I28" s="12">
        <f t="shared" si="3"/>
        <v>38758195.489516087</v>
      </c>
      <c r="J28" s="319">
        <f>ROUND('Evolução Economias'!O28,0)</f>
        <v>2711</v>
      </c>
      <c r="K28" s="319">
        <f t="shared" si="4"/>
        <v>1502978.4000000001</v>
      </c>
      <c r="L28" s="174">
        <f t="shared" si="9"/>
        <v>40261173.889516085</v>
      </c>
      <c r="N28" s="174">
        <f t="shared" si="7"/>
        <v>131886231.10339142</v>
      </c>
      <c r="O28" s="27"/>
      <c r="P28" s="585">
        <f t="shared" si="8"/>
        <v>10.582049893799999</v>
      </c>
      <c r="Q28" s="585">
        <f t="shared" si="2"/>
        <v>7.4074349256599987</v>
      </c>
      <c r="R28" s="589">
        <v>0</v>
      </c>
      <c r="S28" s="150">
        <f t="shared" si="10"/>
        <v>0.7</v>
      </c>
      <c r="V28" s="498"/>
    </row>
    <row r="29" spans="1:24" ht="15" customHeight="1">
      <c r="A29" s="166">
        <f t="shared" si="6"/>
        <v>25</v>
      </c>
      <c r="B29" s="180"/>
      <c r="C29" s="319">
        <f>'Evolução Volume'!K28+'Evolução Volume'!M28+'Evolução Volume'!O28</f>
        <v>8758225.8754516952</v>
      </c>
      <c r="D29" s="639">
        <f>ROUND('Evolução Economias'!B29+'Evolução Economias'!D29+'Evolução Economias'!F29,0)</f>
        <v>74956</v>
      </c>
      <c r="E29" s="690">
        <f t="shared" si="0"/>
        <v>9.73707450087573</v>
      </c>
      <c r="F29" s="173">
        <f t="shared" si="1"/>
        <v>92679983.195200011</v>
      </c>
      <c r="H29" s="634">
        <f>ROUND('Evolução Economias'!I29+'Evolução Economias'!K29+'Evolução Economias'!M29,0)</f>
        <v>64708</v>
      </c>
      <c r="I29" s="12">
        <f t="shared" si="3"/>
        <v>39204290.687490672</v>
      </c>
      <c r="J29" s="319">
        <f>ROUND('Evolução Economias'!O29,0)</f>
        <v>2743</v>
      </c>
      <c r="K29" s="319">
        <f t="shared" si="4"/>
        <v>1520719.2000000002</v>
      </c>
      <c r="L29" s="174">
        <f t="shared" si="9"/>
        <v>40725009.887490675</v>
      </c>
      <c r="N29" s="174">
        <f t="shared" si="7"/>
        <v>133404993.08269069</v>
      </c>
      <c r="O29" s="27"/>
      <c r="P29" s="585">
        <f t="shared" si="8"/>
        <v>10.582049893799999</v>
      </c>
      <c r="Q29" s="585">
        <f t="shared" si="2"/>
        <v>7.4074349256599987</v>
      </c>
      <c r="R29" s="589">
        <v>0</v>
      </c>
      <c r="S29" s="150">
        <f t="shared" si="10"/>
        <v>0.7</v>
      </c>
      <c r="V29" s="498"/>
    </row>
    <row r="30" spans="1:24" ht="15" customHeight="1">
      <c r="A30" s="166">
        <f t="shared" si="6"/>
        <v>26</v>
      </c>
      <c r="B30" s="180"/>
      <c r="C30" s="319">
        <f>'Evolução Volume'!K29+'Evolução Volume'!M29+'Evolução Volume'!O29</f>
        <v>8858965.3801825494</v>
      </c>
      <c r="D30" s="639">
        <f>ROUND('Evolução Economias'!B30+'Evolução Economias'!D30+'Evolução Economias'!F30,0)</f>
        <v>75818</v>
      </c>
      <c r="E30" s="690">
        <f t="shared" si="0"/>
        <v>9.7370956107416777</v>
      </c>
      <c r="F30" s="173">
        <f t="shared" si="1"/>
        <v>93746013.660538629</v>
      </c>
      <c r="H30" s="634">
        <f>ROUND('Evolução Economias'!I30+'Evolução Economias'!K30+'Evolução Economias'!M30,0)</f>
        <v>65452</v>
      </c>
      <c r="I30" s="12">
        <f t="shared" si="3"/>
        <v>39655139.96931719</v>
      </c>
      <c r="J30" s="319">
        <f>ROUND('Evolução Economias'!O30,0)</f>
        <v>2774</v>
      </c>
      <c r="K30" s="319">
        <f t="shared" si="4"/>
        <v>1537905.6</v>
      </c>
      <c r="L30" s="174">
        <f t="shared" si="9"/>
        <v>41193045.569317192</v>
      </c>
      <c r="N30" s="174">
        <f t="shared" si="7"/>
        <v>134939059.22985584</v>
      </c>
      <c r="O30" s="27"/>
      <c r="P30" s="585">
        <f t="shared" si="8"/>
        <v>10.582049893799999</v>
      </c>
      <c r="Q30" s="585">
        <f t="shared" si="2"/>
        <v>7.4074349256599987</v>
      </c>
      <c r="R30" s="589">
        <v>0</v>
      </c>
      <c r="S30" s="150">
        <f t="shared" si="10"/>
        <v>0.7</v>
      </c>
      <c r="V30" s="498"/>
    </row>
    <row r="31" spans="1:24" ht="15" customHeight="1">
      <c r="A31" s="166">
        <f t="shared" si="6"/>
        <v>27</v>
      </c>
      <c r="B31" s="180"/>
      <c r="C31" s="319">
        <f>'Evolução Volume'!K30+'Evolução Volume'!M30+'Evolução Volume'!O30</f>
        <v>8960877.7100297529</v>
      </c>
      <c r="D31" s="639">
        <f>ROUND('Evolução Economias'!B31+'Evolução Economias'!D31+'Evolução Economias'!F31,0)</f>
        <v>76689</v>
      </c>
      <c r="E31" s="690">
        <f t="shared" si="0"/>
        <v>9.7372479647556514</v>
      </c>
      <c r="F31" s="173">
        <f t="shared" si="1"/>
        <v>94824455.019775122</v>
      </c>
      <c r="H31" s="634">
        <f>ROUND('Evolução Economias'!I31+'Evolução Economias'!K31+'Evolução Economias'!M31,0)</f>
        <v>66205</v>
      </c>
      <c r="I31" s="12">
        <f t="shared" si="3"/>
        <v>40111984.663331948</v>
      </c>
      <c r="J31" s="319">
        <f>ROUND('Evolução Economias'!O31,0)</f>
        <v>2805</v>
      </c>
      <c r="K31" s="319">
        <f t="shared" si="4"/>
        <v>1555092.0000000002</v>
      </c>
      <c r="L31" s="174">
        <f t="shared" si="9"/>
        <v>41667076.663331948</v>
      </c>
      <c r="N31" s="174">
        <f t="shared" si="7"/>
        <v>136491531.68310708</v>
      </c>
      <c r="O31" s="27"/>
      <c r="P31" s="585">
        <f t="shared" si="8"/>
        <v>10.582049893799999</v>
      </c>
      <c r="Q31" s="585">
        <f t="shared" si="2"/>
        <v>7.4074349256599987</v>
      </c>
      <c r="R31" s="589">
        <v>0</v>
      </c>
      <c r="S31" s="150">
        <f t="shared" si="10"/>
        <v>0.7</v>
      </c>
      <c r="V31" s="498"/>
    </row>
    <row r="32" spans="1:24" ht="15" customHeight="1">
      <c r="A32" s="166">
        <f t="shared" si="6"/>
        <v>28</v>
      </c>
      <c r="B32" s="180"/>
      <c r="C32" s="319">
        <f>'Evolução Volume'!K31+'Evolução Volume'!M31+'Evolução Volume'!O31</f>
        <v>9063962.8649933133</v>
      </c>
      <c r="D32" s="639">
        <f>ROUND('Evolução Economias'!B32+'Evolução Economias'!D32+'Evolução Economias'!F32,0)</f>
        <v>77572</v>
      </c>
      <c r="E32" s="690">
        <f t="shared" si="0"/>
        <v>9.7371505021069815</v>
      </c>
      <c r="F32" s="173">
        <f t="shared" si="1"/>
        <v>95915307.272909611</v>
      </c>
      <c r="H32" s="634">
        <f>ROUND('Evolução Economias'!I32+'Evolução Economias'!K32+'Evolução Economias'!M32,0)</f>
        <v>66967</v>
      </c>
      <c r="I32" s="12">
        <f t="shared" si="3"/>
        <v>40573255.649603203</v>
      </c>
      <c r="J32" s="319">
        <f>ROUND('Evolução Economias'!O32,0)</f>
        <v>2838</v>
      </c>
      <c r="K32" s="319">
        <f t="shared" si="4"/>
        <v>1573387.2000000002</v>
      </c>
      <c r="L32" s="174">
        <f t="shared" si="9"/>
        <v>42146642.849603206</v>
      </c>
      <c r="N32" s="174">
        <f t="shared" si="7"/>
        <v>138061950.12251282</v>
      </c>
      <c r="O32" s="27"/>
      <c r="P32" s="585">
        <f t="shared" si="8"/>
        <v>10.582049893799999</v>
      </c>
      <c r="Q32" s="585">
        <f t="shared" si="2"/>
        <v>7.4074349256599987</v>
      </c>
      <c r="R32" s="589">
        <v>0</v>
      </c>
      <c r="S32" s="150">
        <f t="shared" si="10"/>
        <v>0.7</v>
      </c>
      <c r="V32" s="498"/>
    </row>
    <row r="33" spans="1:27" ht="15" customHeight="1">
      <c r="A33" s="166">
        <f t="shared" si="6"/>
        <v>29</v>
      </c>
      <c r="B33" s="180"/>
      <c r="C33" s="319">
        <f>'Evolução Volume'!K32+'Evolução Volume'!M32+'Evolução Volume'!O32</f>
        <v>9168220.8450732194</v>
      </c>
      <c r="D33" s="639">
        <f>ROUND('Evolução Economias'!B33+'Evolução Economias'!D33+'Evolução Economias'!F33,0)</f>
        <v>78464</v>
      </c>
      <c r="E33" s="690">
        <f t="shared" si="0"/>
        <v>9.7371839793548833</v>
      </c>
      <c r="F33" s="173">
        <f t="shared" si="1"/>
        <v>97018570.419941992</v>
      </c>
      <c r="H33" s="634">
        <f>ROUND('Evolução Economias'!I33+'Evolução Economias'!K33+'Evolução Economias'!M33,0)</f>
        <v>67737</v>
      </c>
      <c r="I33" s="12">
        <f t="shared" si="3"/>
        <v>41039916.180954948</v>
      </c>
      <c r="J33" s="319">
        <f>ROUND('Evolução Economias'!O33,0)</f>
        <v>2870</v>
      </c>
      <c r="K33" s="319">
        <f t="shared" si="4"/>
        <v>1591128</v>
      </c>
      <c r="L33" s="174">
        <f t="shared" si="9"/>
        <v>42631044.180954948</v>
      </c>
      <c r="N33" s="174">
        <f t="shared" si="7"/>
        <v>139649614.60089695</v>
      </c>
      <c r="O33" s="27"/>
      <c r="P33" s="585">
        <f t="shared" si="8"/>
        <v>10.582049893799999</v>
      </c>
      <c r="Q33" s="585">
        <f t="shared" si="2"/>
        <v>7.4074349256599987</v>
      </c>
      <c r="R33" s="589">
        <v>0</v>
      </c>
      <c r="S33" s="150">
        <f t="shared" si="10"/>
        <v>0.7</v>
      </c>
      <c r="V33" s="498"/>
    </row>
    <row r="34" spans="1:27" ht="15" customHeight="1">
      <c r="A34" s="166">
        <f t="shared" si="6"/>
        <v>30</v>
      </c>
      <c r="B34" s="180"/>
      <c r="C34" s="319">
        <f>'Evolução Volume'!K33+'Evolução Volume'!M33+'Evolução Volume'!O33</f>
        <v>9273713.377907183</v>
      </c>
      <c r="D34" s="639">
        <f>ROUND('Evolução Economias'!B34+'Evolução Economias'!D34+'Evolução Economias'!F34,0)</f>
        <v>79368</v>
      </c>
      <c r="E34" s="690">
        <f t="shared" si="0"/>
        <v>9.7370407237039096</v>
      </c>
      <c r="F34" s="173">
        <f t="shared" si="1"/>
        <v>98134897.66581434</v>
      </c>
      <c r="H34" s="634">
        <f>ROUND('Evolução Economias'!I34+'Evolução Economias'!K34+'Evolução Economias'!M34,0)</f>
        <v>68517</v>
      </c>
      <c r="I34" s="12">
        <f t="shared" si="3"/>
        <v>41511885.191142701</v>
      </c>
      <c r="J34" s="319">
        <f>ROUND('Evolução Economias'!O34,0)</f>
        <v>2903</v>
      </c>
      <c r="K34" s="319">
        <f t="shared" si="4"/>
        <v>1609423.2000000002</v>
      </c>
      <c r="L34" s="174">
        <f t="shared" si="9"/>
        <v>43121308.391142704</v>
      </c>
      <c r="N34" s="174">
        <f t="shared" si="7"/>
        <v>141256206.05695704</v>
      </c>
      <c r="O34" s="27"/>
      <c r="P34" s="585">
        <f t="shared" si="8"/>
        <v>10.582049893799999</v>
      </c>
      <c r="Q34" s="585">
        <f t="shared" si="2"/>
        <v>7.4074349256599987</v>
      </c>
      <c r="R34" s="589">
        <v>0</v>
      </c>
      <c r="S34" s="150">
        <f t="shared" si="10"/>
        <v>0.7</v>
      </c>
      <c r="V34" s="498"/>
      <c r="AA34" s="635"/>
    </row>
    <row r="35" spans="1:27" s="141" customFormat="1" ht="15" customHeight="1">
      <c r="A35" s="176" t="s">
        <v>4</v>
      </c>
      <c r="B35" s="168"/>
      <c r="C35" s="305">
        <f xml:space="preserve"> ( 'Evolução Volume'!$K34 )</f>
        <v>234738713.73855171</v>
      </c>
      <c r="D35" s="636"/>
      <c r="E35" s="638"/>
      <c r="F35" s="174">
        <f>SUM(F5:F34)</f>
        <v>2492500393.9720678</v>
      </c>
      <c r="H35" s="638"/>
      <c r="I35" s="11">
        <f>SUM(I5:I34)</f>
        <v>906056873.42740667</v>
      </c>
      <c r="J35" s="319"/>
      <c r="K35" s="11">
        <f t="shared" ref="K35:L35" si="11">SUM(K5:K34)</f>
        <v>35148959.999999993</v>
      </c>
      <c r="L35" s="11">
        <f t="shared" si="11"/>
        <v>941205833.42740667</v>
      </c>
      <c r="N35" s="174">
        <f>SUM(N5:N34)</f>
        <v>3433706227.3994746</v>
      </c>
      <c r="O35" s="157"/>
      <c r="P35" s="586"/>
      <c r="Q35" s="586"/>
      <c r="R35" s="590">
        <v>0</v>
      </c>
      <c r="S35" s="150">
        <f t="shared" si="10"/>
        <v>0.7</v>
      </c>
    </row>
    <row r="38" spans="1:27" ht="15" customHeight="1">
      <c r="Q38" s="560"/>
    </row>
  </sheetData>
  <mergeCells count="10">
    <mergeCell ref="A2:A3"/>
    <mergeCell ref="N1:N4"/>
    <mergeCell ref="P1:S1"/>
    <mergeCell ref="P2:Q2"/>
    <mergeCell ref="I1:L1"/>
    <mergeCell ref="P3:Q3"/>
    <mergeCell ref="I2:L3"/>
    <mergeCell ref="F2:F3"/>
    <mergeCell ref="C1:E1"/>
    <mergeCell ref="C2:E3"/>
  </mergeCells>
  <phoneticPr fontId="12" type="noConversion"/>
  <printOptions horizontalCentered="1"/>
  <pageMargins left="1.3779527559055118" right="0.39370078740157483" top="1.1811023622047245" bottom="1.1811023622047245" header="0.31496062992125984" footer="0.31496062992125984"/>
  <pageSetup paperSize="8" scale="9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34998626667073579"/>
    <pageSetUpPr fitToPage="1"/>
  </sheetPr>
  <dimension ref="A1:S34"/>
  <sheetViews>
    <sheetView showGridLines="0" zoomScale="115" zoomScaleNormal="115" zoomScalePageLayoutView="90" workbookViewId="0">
      <pane ySplit="3" topLeftCell="A4" activePane="bottomLeft" state="frozen"/>
      <selection activeCell="L3" sqref="L3:L108"/>
      <selection pane="bottomLeft" activeCell="I3" sqref="I3"/>
    </sheetView>
  </sheetViews>
  <sheetFormatPr defaultColWidth="11.44140625" defaultRowHeight="15" customHeight="1"/>
  <cols>
    <col min="1" max="1" width="16.109375" style="25" bestFit="1" customWidth="1"/>
    <col min="2" max="2" width="20.109375" style="25" bestFit="1" customWidth="1"/>
    <col min="3" max="3" width="22.109375" style="25" bestFit="1" customWidth="1"/>
    <col min="4" max="4" width="21.44140625" style="25" bestFit="1" customWidth="1"/>
    <col min="5" max="5" width="2.77734375" style="25" customWidth="1"/>
    <col min="6" max="7" width="21.44140625" style="25" customWidth="1"/>
    <col min="8" max="8" width="2.77734375" style="25" customWidth="1"/>
    <col min="9" max="9" width="22.109375" style="25" customWidth="1"/>
    <col min="10" max="249" width="11.44140625" style="25"/>
    <col min="250" max="250" width="8.44140625" style="25" customWidth="1"/>
    <col min="251" max="255" width="17.77734375" style="25" customWidth="1"/>
    <col min="256" max="256" width="14.109375" style="25" customWidth="1"/>
    <col min="257" max="257" width="11.44140625" style="25" customWidth="1"/>
    <col min="258" max="258" width="18.109375" style="25" customWidth="1"/>
    <col min="259" max="260" width="17.44140625" style="25" customWidth="1"/>
    <col min="261" max="261" width="17.109375" style="25" customWidth="1"/>
    <col min="262" max="263" width="15.44140625" style="25" customWidth="1"/>
    <col min="264" max="505" width="11.44140625" style="25"/>
    <col min="506" max="506" width="8.44140625" style="25" customWidth="1"/>
    <col min="507" max="511" width="17.77734375" style="25" customWidth="1"/>
    <col min="512" max="512" width="14.109375" style="25" customWidth="1"/>
    <col min="513" max="513" width="11.44140625" style="25" customWidth="1"/>
    <col min="514" max="514" width="18.109375" style="25" customWidth="1"/>
    <col min="515" max="516" width="17.44140625" style="25" customWidth="1"/>
    <col min="517" max="517" width="17.109375" style="25" customWidth="1"/>
    <col min="518" max="519" width="15.44140625" style="25" customWidth="1"/>
    <col min="520" max="761" width="11.44140625" style="25"/>
    <col min="762" max="762" width="8.44140625" style="25" customWidth="1"/>
    <col min="763" max="767" width="17.77734375" style="25" customWidth="1"/>
    <col min="768" max="768" width="14.109375" style="25" customWidth="1"/>
    <col min="769" max="769" width="11.44140625" style="25" customWidth="1"/>
    <col min="770" max="770" width="18.109375" style="25" customWidth="1"/>
    <col min="771" max="772" width="17.44140625" style="25" customWidth="1"/>
    <col min="773" max="773" width="17.109375" style="25" customWidth="1"/>
    <col min="774" max="775" width="15.44140625" style="25" customWidth="1"/>
    <col min="776" max="1017" width="11.44140625" style="25"/>
    <col min="1018" max="1018" width="8.44140625" style="25" customWidth="1"/>
    <col min="1019" max="1023" width="17.77734375" style="25" customWidth="1"/>
    <col min="1024" max="1024" width="14.109375" style="25" customWidth="1"/>
    <col min="1025" max="1025" width="11.44140625" style="25" customWidth="1"/>
    <col min="1026" max="1026" width="18.109375" style="25" customWidth="1"/>
    <col min="1027" max="1028" width="17.44140625" style="25" customWidth="1"/>
    <col min="1029" max="1029" width="17.109375" style="25" customWidth="1"/>
    <col min="1030" max="1031" width="15.44140625" style="25" customWidth="1"/>
    <col min="1032" max="1273" width="11.44140625" style="25"/>
    <col min="1274" max="1274" width="8.44140625" style="25" customWidth="1"/>
    <col min="1275" max="1279" width="17.77734375" style="25" customWidth="1"/>
    <col min="1280" max="1280" width="14.109375" style="25" customWidth="1"/>
    <col min="1281" max="1281" width="11.44140625" style="25" customWidth="1"/>
    <col min="1282" max="1282" width="18.109375" style="25" customWidth="1"/>
    <col min="1283" max="1284" width="17.44140625" style="25" customWidth="1"/>
    <col min="1285" max="1285" width="17.109375" style="25" customWidth="1"/>
    <col min="1286" max="1287" width="15.44140625" style="25" customWidth="1"/>
    <col min="1288" max="1529" width="11.44140625" style="25"/>
    <col min="1530" max="1530" width="8.44140625" style="25" customWidth="1"/>
    <col min="1531" max="1535" width="17.77734375" style="25" customWidth="1"/>
    <col min="1536" max="1536" width="14.109375" style="25" customWidth="1"/>
    <col min="1537" max="1537" width="11.44140625" style="25" customWidth="1"/>
    <col min="1538" max="1538" width="18.109375" style="25" customWidth="1"/>
    <col min="1539" max="1540" width="17.44140625" style="25" customWidth="1"/>
    <col min="1541" max="1541" width="17.109375" style="25" customWidth="1"/>
    <col min="1542" max="1543" width="15.44140625" style="25" customWidth="1"/>
    <col min="1544" max="1785" width="11.44140625" style="25"/>
    <col min="1786" max="1786" width="8.44140625" style="25" customWidth="1"/>
    <col min="1787" max="1791" width="17.77734375" style="25" customWidth="1"/>
    <col min="1792" max="1792" width="14.109375" style="25" customWidth="1"/>
    <col min="1793" max="1793" width="11.44140625" style="25" customWidth="1"/>
    <col min="1794" max="1794" width="18.109375" style="25" customWidth="1"/>
    <col min="1795" max="1796" width="17.44140625" style="25" customWidth="1"/>
    <col min="1797" max="1797" width="17.109375" style="25" customWidth="1"/>
    <col min="1798" max="1799" width="15.44140625" style="25" customWidth="1"/>
    <col min="1800" max="2041" width="11.44140625" style="25"/>
    <col min="2042" max="2042" width="8.44140625" style="25" customWidth="1"/>
    <col min="2043" max="2047" width="17.77734375" style="25" customWidth="1"/>
    <col min="2048" max="2048" width="14.109375" style="25" customWidth="1"/>
    <col min="2049" max="2049" width="11.44140625" style="25" customWidth="1"/>
    <col min="2050" max="2050" width="18.109375" style="25" customWidth="1"/>
    <col min="2051" max="2052" width="17.44140625" style="25" customWidth="1"/>
    <col min="2053" max="2053" width="17.109375" style="25" customWidth="1"/>
    <col min="2054" max="2055" width="15.44140625" style="25" customWidth="1"/>
    <col min="2056" max="2297" width="11.44140625" style="25"/>
    <col min="2298" max="2298" width="8.44140625" style="25" customWidth="1"/>
    <col min="2299" max="2303" width="17.77734375" style="25" customWidth="1"/>
    <col min="2304" max="2304" width="14.109375" style="25" customWidth="1"/>
    <col min="2305" max="2305" width="11.44140625" style="25" customWidth="1"/>
    <col min="2306" max="2306" width="18.109375" style="25" customWidth="1"/>
    <col min="2307" max="2308" width="17.44140625" style="25" customWidth="1"/>
    <col min="2309" max="2309" width="17.109375" style="25" customWidth="1"/>
    <col min="2310" max="2311" width="15.44140625" style="25" customWidth="1"/>
    <col min="2312" max="2553" width="11.44140625" style="25"/>
    <col min="2554" max="2554" width="8.44140625" style="25" customWidth="1"/>
    <col min="2555" max="2559" width="17.77734375" style="25" customWidth="1"/>
    <col min="2560" max="2560" width="14.109375" style="25" customWidth="1"/>
    <col min="2561" max="2561" width="11.44140625" style="25" customWidth="1"/>
    <col min="2562" max="2562" width="18.109375" style="25" customWidth="1"/>
    <col min="2563" max="2564" width="17.44140625" style="25" customWidth="1"/>
    <col min="2565" max="2565" width="17.109375" style="25" customWidth="1"/>
    <col min="2566" max="2567" width="15.44140625" style="25" customWidth="1"/>
    <col min="2568" max="2809" width="11.44140625" style="25"/>
    <col min="2810" max="2810" width="8.44140625" style="25" customWidth="1"/>
    <col min="2811" max="2815" width="17.77734375" style="25" customWidth="1"/>
    <col min="2816" max="2816" width="14.109375" style="25" customWidth="1"/>
    <col min="2817" max="2817" width="11.44140625" style="25" customWidth="1"/>
    <col min="2818" max="2818" width="18.109375" style="25" customWidth="1"/>
    <col min="2819" max="2820" width="17.44140625" style="25" customWidth="1"/>
    <col min="2821" max="2821" width="17.109375" style="25" customWidth="1"/>
    <col min="2822" max="2823" width="15.44140625" style="25" customWidth="1"/>
    <col min="2824" max="3065" width="11.44140625" style="25"/>
    <col min="3066" max="3066" width="8.44140625" style="25" customWidth="1"/>
    <col min="3067" max="3071" width="17.77734375" style="25" customWidth="1"/>
    <col min="3072" max="3072" width="14.109375" style="25" customWidth="1"/>
    <col min="3073" max="3073" width="11.44140625" style="25" customWidth="1"/>
    <col min="3074" max="3074" width="18.109375" style="25" customWidth="1"/>
    <col min="3075" max="3076" width="17.44140625" style="25" customWidth="1"/>
    <col min="3077" max="3077" width="17.109375" style="25" customWidth="1"/>
    <col min="3078" max="3079" width="15.44140625" style="25" customWidth="1"/>
    <col min="3080" max="3321" width="11.44140625" style="25"/>
    <col min="3322" max="3322" width="8.44140625" style="25" customWidth="1"/>
    <col min="3323" max="3327" width="17.77734375" style="25" customWidth="1"/>
    <col min="3328" max="3328" width="14.109375" style="25" customWidth="1"/>
    <col min="3329" max="3329" width="11.44140625" style="25" customWidth="1"/>
    <col min="3330" max="3330" width="18.109375" style="25" customWidth="1"/>
    <col min="3331" max="3332" width="17.44140625" style="25" customWidth="1"/>
    <col min="3333" max="3333" width="17.109375" style="25" customWidth="1"/>
    <col min="3334" max="3335" width="15.44140625" style="25" customWidth="1"/>
    <col min="3336" max="3577" width="11.44140625" style="25"/>
    <col min="3578" max="3578" width="8.44140625" style="25" customWidth="1"/>
    <col min="3579" max="3583" width="17.77734375" style="25" customWidth="1"/>
    <col min="3584" max="3584" width="14.109375" style="25" customWidth="1"/>
    <col min="3585" max="3585" width="11.44140625" style="25" customWidth="1"/>
    <col min="3586" max="3586" width="18.109375" style="25" customWidth="1"/>
    <col min="3587" max="3588" width="17.44140625" style="25" customWidth="1"/>
    <col min="3589" max="3589" width="17.109375" style="25" customWidth="1"/>
    <col min="3590" max="3591" width="15.44140625" style="25" customWidth="1"/>
    <col min="3592" max="3833" width="11.44140625" style="25"/>
    <col min="3834" max="3834" width="8.44140625" style="25" customWidth="1"/>
    <col min="3835" max="3839" width="17.77734375" style="25" customWidth="1"/>
    <col min="3840" max="3840" width="14.109375" style="25" customWidth="1"/>
    <col min="3841" max="3841" width="11.44140625" style="25" customWidth="1"/>
    <col min="3842" max="3842" width="18.109375" style="25" customWidth="1"/>
    <col min="3843" max="3844" width="17.44140625" style="25" customWidth="1"/>
    <col min="3845" max="3845" width="17.109375" style="25" customWidth="1"/>
    <col min="3846" max="3847" width="15.44140625" style="25" customWidth="1"/>
    <col min="3848" max="4089" width="11.44140625" style="25"/>
    <col min="4090" max="4090" width="8.44140625" style="25" customWidth="1"/>
    <col min="4091" max="4095" width="17.77734375" style="25" customWidth="1"/>
    <col min="4096" max="4096" width="14.109375" style="25" customWidth="1"/>
    <col min="4097" max="4097" width="11.44140625" style="25" customWidth="1"/>
    <col min="4098" max="4098" width="18.109375" style="25" customWidth="1"/>
    <col min="4099" max="4100" width="17.44140625" style="25" customWidth="1"/>
    <col min="4101" max="4101" width="17.109375" style="25" customWidth="1"/>
    <col min="4102" max="4103" width="15.44140625" style="25" customWidth="1"/>
    <col min="4104" max="4345" width="11.44140625" style="25"/>
    <col min="4346" max="4346" width="8.44140625" style="25" customWidth="1"/>
    <col min="4347" max="4351" width="17.77734375" style="25" customWidth="1"/>
    <col min="4352" max="4352" width="14.109375" style="25" customWidth="1"/>
    <col min="4353" max="4353" width="11.44140625" style="25" customWidth="1"/>
    <col min="4354" max="4354" width="18.109375" style="25" customWidth="1"/>
    <col min="4355" max="4356" width="17.44140625" style="25" customWidth="1"/>
    <col min="4357" max="4357" width="17.109375" style="25" customWidth="1"/>
    <col min="4358" max="4359" width="15.44140625" style="25" customWidth="1"/>
    <col min="4360" max="4601" width="11.44140625" style="25"/>
    <col min="4602" max="4602" width="8.44140625" style="25" customWidth="1"/>
    <col min="4603" max="4607" width="17.77734375" style="25" customWidth="1"/>
    <col min="4608" max="4608" width="14.109375" style="25" customWidth="1"/>
    <col min="4609" max="4609" width="11.44140625" style="25" customWidth="1"/>
    <col min="4610" max="4610" width="18.109375" style="25" customWidth="1"/>
    <col min="4611" max="4612" width="17.44140625" style="25" customWidth="1"/>
    <col min="4613" max="4613" width="17.109375" style="25" customWidth="1"/>
    <col min="4614" max="4615" width="15.44140625" style="25" customWidth="1"/>
    <col min="4616" max="4857" width="11.44140625" style="25"/>
    <col min="4858" max="4858" width="8.44140625" style="25" customWidth="1"/>
    <col min="4859" max="4863" width="17.77734375" style="25" customWidth="1"/>
    <col min="4864" max="4864" width="14.109375" style="25" customWidth="1"/>
    <col min="4865" max="4865" width="11.44140625" style="25" customWidth="1"/>
    <col min="4866" max="4866" width="18.109375" style="25" customWidth="1"/>
    <col min="4867" max="4868" width="17.44140625" style="25" customWidth="1"/>
    <col min="4869" max="4869" width="17.109375" style="25" customWidth="1"/>
    <col min="4870" max="4871" width="15.44140625" style="25" customWidth="1"/>
    <col min="4872" max="5113" width="11.44140625" style="25"/>
    <col min="5114" max="5114" width="8.44140625" style="25" customWidth="1"/>
    <col min="5115" max="5119" width="17.77734375" style="25" customWidth="1"/>
    <col min="5120" max="5120" width="14.109375" style="25" customWidth="1"/>
    <col min="5121" max="5121" width="11.44140625" style="25" customWidth="1"/>
    <col min="5122" max="5122" width="18.109375" style="25" customWidth="1"/>
    <col min="5123" max="5124" width="17.44140625" style="25" customWidth="1"/>
    <col min="5125" max="5125" width="17.109375" style="25" customWidth="1"/>
    <col min="5126" max="5127" width="15.44140625" style="25" customWidth="1"/>
    <col min="5128" max="5369" width="11.44140625" style="25"/>
    <col min="5370" max="5370" width="8.44140625" style="25" customWidth="1"/>
    <col min="5371" max="5375" width="17.77734375" style="25" customWidth="1"/>
    <col min="5376" max="5376" width="14.109375" style="25" customWidth="1"/>
    <col min="5377" max="5377" width="11.44140625" style="25" customWidth="1"/>
    <col min="5378" max="5378" width="18.109375" style="25" customWidth="1"/>
    <col min="5379" max="5380" width="17.44140625" style="25" customWidth="1"/>
    <col min="5381" max="5381" width="17.109375" style="25" customWidth="1"/>
    <col min="5382" max="5383" width="15.44140625" style="25" customWidth="1"/>
    <col min="5384" max="5625" width="11.44140625" style="25"/>
    <col min="5626" max="5626" width="8.44140625" style="25" customWidth="1"/>
    <col min="5627" max="5631" width="17.77734375" style="25" customWidth="1"/>
    <col min="5632" max="5632" width="14.109375" style="25" customWidth="1"/>
    <col min="5633" max="5633" width="11.44140625" style="25" customWidth="1"/>
    <col min="5634" max="5634" width="18.109375" style="25" customWidth="1"/>
    <col min="5635" max="5636" width="17.44140625" style="25" customWidth="1"/>
    <col min="5637" max="5637" width="17.109375" style="25" customWidth="1"/>
    <col min="5638" max="5639" width="15.44140625" style="25" customWidth="1"/>
    <col min="5640" max="5881" width="11.44140625" style="25"/>
    <col min="5882" max="5882" width="8.44140625" style="25" customWidth="1"/>
    <col min="5883" max="5887" width="17.77734375" style="25" customWidth="1"/>
    <col min="5888" max="5888" width="14.109375" style="25" customWidth="1"/>
    <col min="5889" max="5889" width="11.44140625" style="25" customWidth="1"/>
    <col min="5890" max="5890" width="18.109375" style="25" customWidth="1"/>
    <col min="5891" max="5892" width="17.44140625" style="25" customWidth="1"/>
    <col min="5893" max="5893" width="17.109375" style="25" customWidth="1"/>
    <col min="5894" max="5895" width="15.44140625" style="25" customWidth="1"/>
    <col min="5896" max="6137" width="11.44140625" style="25"/>
    <col min="6138" max="6138" width="8.44140625" style="25" customWidth="1"/>
    <col min="6139" max="6143" width="17.77734375" style="25" customWidth="1"/>
    <col min="6144" max="6144" width="14.109375" style="25" customWidth="1"/>
    <col min="6145" max="6145" width="11.44140625" style="25" customWidth="1"/>
    <col min="6146" max="6146" width="18.109375" style="25" customWidth="1"/>
    <col min="6147" max="6148" width="17.44140625" style="25" customWidth="1"/>
    <col min="6149" max="6149" width="17.109375" style="25" customWidth="1"/>
    <col min="6150" max="6151" width="15.44140625" style="25" customWidth="1"/>
    <col min="6152" max="6393" width="11.44140625" style="25"/>
    <col min="6394" max="6394" width="8.44140625" style="25" customWidth="1"/>
    <col min="6395" max="6399" width="17.77734375" style="25" customWidth="1"/>
    <col min="6400" max="6400" width="14.109375" style="25" customWidth="1"/>
    <col min="6401" max="6401" width="11.44140625" style="25" customWidth="1"/>
    <col min="6402" max="6402" width="18.109375" style="25" customWidth="1"/>
    <col min="6403" max="6404" width="17.44140625" style="25" customWidth="1"/>
    <col min="6405" max="6405" width="17.109375" style="25" customWidth="1"/>
    <col min="6406" max="6407" width="15.44140625" style="25" customWidth="1"/>
    <col min="6408" max="6649" width="11.44140625" style="25"/>
    <col min="6650" max="6650" width="8.44140625" style="25" customWidth="1"/>
    <col min="6651" max="6655" width="17.77734375" style="25" customWidth="1"/>
    <col min="6656" max="6656" width="14.109375" style="25" customWidth="1"/>
    <col min="6657" max="6657" width="11.44140625" style="25" customWidth="1"/>
    <col min="6658" max="6658" width="18.109375" style="25" customWidth="1"/>
    <col min="6659" max="6660" width="17.44140625" style="25" customWidth="1"/>
    <col min="6661" max="6661" width="17.109375" style="25" customWidth="1"/>
    <col min="6662" max="6663" width="15.44140625" style="25" customWidth="1"/>
    <col min="6664" max="6905" width="11.44140625" style="25"/>
    <col min="6906" max="6906" width="8.44140625" style="25" customWidth="1"/>
    <col min="6907" max="6911" width="17.77734375" style="25" customWidth="1"/>
    <col min="6912" max="6912" width="14.109375" style="25" customWidth="1"/>
    <col min="6913" max="6913" width="11.44140625" style="25" customWidth="1"/>
    <col min="6914" max="6914" width="18.109375" style="25" customWidth="1"/>
    <col min="6915" max="6916" width="17.44140625" style="25" customWidth="1"/>
    <col min="6917" max="6917" width="17.109375" style="25" customWidth="1"/>
    <col min="6918" max="6919" width="15.44140625" style="25" customWidth="1"/>
    <col min="6920" max="7161" width="11.44140625" style="25"/>
    <col min="7162" max="7162" width="8.44140625" style="25" customWidth="1"/>
    <col min="7163" max="7167" width="17.77734375" style="25" customWidth="1"/>
    <col min="7168" max="7168" width="14.109375" style="25" customWidth="1"/>
    <col min="7169" max="7169" width="11.44140625" style="25" customWidth="1"/>
    <col min="7170" max="7170" width="18.109375" style="25" customWidth="1"/>
    <col min="7171" max="7172" width="17.44140625" style="25" customWidth="1"/>
    <col min="7173" max="7173" width="17.109375" style="25" customWidth="1"/>
    <col min="7174" max="7175" width="15.44140625" style="25" customWidth="1"/>
    <col min="7176" max="7417" width="11.44140625" style="25"/>
    <col min="7418" max="7418" width="8.44140625" style="25" customWidth="1"/>
    <col min="7419" max="7423" width="17.77734375" style="25" customWidth="1"/>
    <col min="7424" max="7424" width="14.109375" style="25" customWidth="1"/>
    <col min="7425" max="7425" width="11.44140625" style="25" customWidth="1"/>
    <col min="7426" max="7426" width="18.109375" style="25" customWidth="1"/>
    <col min="7427" max="7428" width="17.44140625" style="25" customWidth="1"/>
    <col min="7429" max="7429" width="17.109375" style="25" customWidth="1"/>
    <col min="7430" max="7431" width="15.44140625" style="25" customWidth="1"/>
    <col min="7432" max="7673" width="11.44140625" style="25"/>
    <col min="7674" max="7674" width="8.44140625" style="25" customWidth="1"/>
    <col min="7675" max="7679" width="17.77734375" style="25" customWidth="1"/>
    <col min="7680" max="7680" width="14.109375" style="25" customWidth="1"/>
    <col min="7681" max="7681" width="11.44140625" style="25" customWidth="1"/>
    <col min="7682" max="7682" width="18.109375" style="25" customWidth="1"/>
    <col min="7683" max="7684" width="17.44140625" style="25" customWidth="1"/>
    <col min="7685" max="7685" width="17.109375" style="25" customWidth="1"/>
    <col min="7686" max="7687" width="15.44140625" style="25" customWidth="1"/>
    <col min="7688" max="7929" width="11.44140625" style="25"/>
    <col min="7930" max="7930" width="8.44140625" style="25" customWidth="1"/>
    <col min="7931" max="7935" width="17.77734375" style="25" customWidth="1"/>
    <col min="7936" max="7936" width="14.109375" style="25" customWidth="1"/>
    <col min="7937" max="7937" width="11.44140625" style="25" customWidth="1"/>
    <col min="7938" max="7938" width="18.109375" style="25" customWidth="1"/>
    <col min="7939" max="7940" width="17.44140625" style="25" customWidth="1"/>
    <col min="7941" max="7941" width="17.109375" style="25" customWidth="1"/>
    <col min="7942" max="7943" width="15.44140625" style="25" customWidth="1"/>
    <col min="7944" max="8185" width="11.44140625" style="25"/>
    <col min="8186" max="8186" width="8.44140625" style="25" customWidth="1"/>
    <col min="8187" max="8191" width="17.77734375" style="25" customWidth="1"/>
    <col min="8192" max="8192" width="14.109375" style="25" customWidth="1"/>
    <col min="8193" max="8193" width="11.44140625" style="25" customWidth="1"/>
    <col min="8194" max="8194" width="18.109375" style="25" customWidth="1"/>
    <col min="8195" max="8196" width="17.44140625" style="25" customWidth="1"/>
    <col min="8197" max="8197" width="17.109375" style="25" customWidth="1"/>
    <col min="8198" max="8199" width="15.44140625" style="25" customWidth="1"/>
    <col min="8200" max="8441" width="11.44140625" style="25"/>
    <col min="8442" max="8442" width="8.44140625" style="25" customWidth="1"/>
    <col min="8443" max="8447" width="17.77734375" style="25" customWidth="1"/>
    <col min="8448" max="8448" width="14.109375" style="25" customWidth="1"/>
    <col min="8449" max="8449" width="11.44140625" style="25" customWidth="1"/>
    <col min="8450" max="8450" width="18.109375" style="25" customWidth="1"/>
    <col min="8451" max="8452" width="17.44140625" style="25" customWidth="1"/>
    <col min="8453" max="8453" width="17.109375" style="25" customWidth="1"/>
    <col min="8454" max="8455" width="15.44140625" style="25" customWidth="1"/>
    <col min="8456" max="8697" width="11.44140625" style="25"/>
    <col min="8698" max="8698" width="8.44140625" style="25" customWidth="1"/>
    <col min="8699" max="8703" width="17.77734375" style="25" customWidth="1"/>
    <col min="8704" max="8704" width="14.109375" style="25" customWidth="1"/>
    <col min="8705" max="8705" width="11.44140625" style="25" customWidth="1"/>
    <col min="8706" max="8706" width="18.109375" style="25" customWidth="1"/>
    <col min="8707" max="8708" width="17.44140625" style="25" customWidth="1"/>
    <col min="8709" max="8709" width="17.109375" style="25" customWidth="1"/>
    <col min="8710" max="8711" width="15.44140625" style="25" customWidth="1"/>
    <col min="8712" max="8953" width="11.44140625" style="25"/>
    <col min="8954" max="8954" width="8.44140625" style="25" customWidth="1"/>
    <col min="8955" max="8959" width="17.77734375" style="25" customWidth="1"/>
    <col min="8960" max="8960" width="14.109375" style="25" customWidth="1"/>
    <col min="8961" max="8961" width="11.44140625" style="25" customWidth="1"/>
    <col min="8962" max="8962" width="18.109375" style="25" customWidth="1"/>
    <col min="8963" max="8964" width="17.44140625" style="25" customWidth="1"/>
    <col min="8965" max="8965" width="17.109375" style="25" customWidth="1"/>
    <col min="8966" max="8967" width="15.44140625" style="25" customWidth="1"/>
    <col min="8968" max="9209" width="11.44140625" style="25"/>
    <col min="9210" max="9210" width="8.44140625" style="25" customWidth="1"/>
    <col min="9211" max="9215" width="17.77734375" style="25" customWidth="1"/>
    <col min="9216" max="9216" width="14.109375" style="25" customWidth="1"/>
    <col min="9217" max="9217" width="11.44140625" style="25" customWidth="1"/>
    <col min="9218" max="9218" width="18.109375" style="25" customWidth="1"/>
    <col min="9219" max="9220" width="17.44140625" style="25" customWidth="1"/>
    <col min="9221" max="9221" width="17.109375" style="25" customWidth="1"/>
    <col min="9222" max="9223" width="15.44140625" style="25" customWidth="1"/>
    <col min="9224" max="9465" width="11.44140625" style="25"/>
    <col min="9466" max="9466" width="8.44140625" style="25" customWidth="1"/>
    <col min="9467" max="9471" width="17.77734375" style="25" customWidth="1"/>
    <col min="9472" max="9472" width="14.109375" style="25" customWidth="1"/>
    <col min="9473" max="9473" width="11.44140625" style="25" customWidth="1"/>
    <col min="9474" max="9474" width="18.109375" style="25" customWidth="1"/>
    <col min="9475" max="9476" width="17.44140625" style="25" customWidth="1"/>
    <col min="9477" max="9477" width="17.109375" style="25" customWidth="1"/>
    <col min="9478" max="9479" width="15.44140625" style="25" customWidth="1"/>
    <col min="9480" max="9721" width="11.44140625" style="25"/>
    <col min="9722" max="9722" width="8.44140625" style="25" customWidth="1"/>
    <col min="9723" max="9727" width="17.77734375" style="25" customWidth="1"/>
    <col min="9728" max="9728" width="14.109375" style="25" customWidth="1"/>
    <col min="9729" max="9729" width="11.44140625" style="25" customWidth="1"/>
    <col min="9730" max="9730" width="18.109375" style="25" customWidth="1"/>
    <col min="9731" max="9732" width="17.44140625" style="25" customWidth="1"/>
    <col min="9733" max="9733" width="17.109375" style="25" customWidth="1"/>
    <col min="9734" max="9735" width="15.44140625" style="25" customWidth="1"/>
    <col min="9736" max="9977" width="11.44140625" style="25"/>
    <col min="9978" max="9978" width="8.44140625" style="25" customWidth="1"/>
    <col min="9979" max="9983" width="17.77734375" style="25" customWidth="1"/>
    <col min="9984" max="9984" width="14.109375" style="25" customWidth="1"/>
    <col min="9985" max="9985" width="11.44140625" style="25" customWidth="1"/>
    <col min="9986" max="9986" width="18.109375" style="25" customWidth="1"/>
    <col min="9987" max="9988" width="17.44140625" style="25" customWidth="1"/>
    <col min="9989" max="9989" width="17.109375" style="25" customWidth="1"/>
    <col min="9990" max="9991" width="15.44140625" style="25" customWidth="1"/>
    <col min="9992" max="10233" width="11.44140625" style="25"/>
    <col min="10234" max="10234" width="8.44140625" style="25" customWidth="1"/>
    <col min="10235" max="10239" width="17.77734375" style="25" customWidth="1"/>
    <col min="10240" max="10240" width="14.109375" style="25" customWidth="1"/>
    <col min="10241" max="10241" width="11.44140625" style="25" customWidth="1"/>
    <col min="10242" max="10242" width="18.109375" style="25" customWidth="1"/>
    <col min="10243" max="10244" width="17.44140625" style="25" customWidth="1"/>
    <col min="10245" max="10245" width="17.109375" style="25" customWidth="1"/>
    <col min="10246" max="10247" width="15.44140625" style="25" customWidth="1"/>
    <col min="10248" max="10489" width="11.44140625" style="25"/>
    <col min="10490" max="10490" width="8.44140625" style="25" customWidth="1"/>
    <col min="10491" max="10495" width="17.77734375" style="25" customWidth="1"/>
    <col min="10496" max="10496" width="14.109375" style="25" customWidth="1"/>
    <col min="10497" max="10497" width="11.44140625" style="25" customWidth="1"/>
    <col min="10498" max="10498" width="18.109375" style="25" customWidth="1"/>
    <col min="10499" max="10500" width="17.44140625" style="25" customWidth="1"/>
    <col min="10501" max="10501" width="17.109375" style="25" customWidth="1"/>
    <col min="10502" max="10503" width="15.44140625" style="25" customWidth="1"/>
    <col min="10504" max="10745" width="11.44140625" style="25"/>
    <col min="10746" max="10746" width="8.44140625" style="25" customWidth="1"/>
    <col min="10747" max="10751" width="17.77734375" style="25" customWidth="1"/>
    <col min="10752" max="10752" width="14.109375" style="25" customWidth="1"/>
    <col min="10753" max="10753" width="11.44140625" style="25" customWidth="1"/>
    <col min="10754" max="10754" width="18.109375" style="25" customWidth="1"/>
    <col min="10755" max="10756" width="17.44140625" style="25" customWidth="1"/>
    <col min="10757" max="10757" width="17.109375" style="25" customWidth="1"/>
    <col min="10758" max="10759" width="15.44140625" style="25" customWidth="1"/>
    <col min="10760" max="11001" width="11.44140625" style="25"/>
    <col min="11002" max="11002" width="8.44140625" style="25" customWidth="1"/>
    <col min="11003" max="11007" width="17.77734375" style="25" customWidth="1"/>
    <col min="11008" max="11008" width="14.109375" style="25" customWidth="1"/>
    <col min="11009" max="11009" width="11.44140625" style="25" customWidth="1"/>
    <col min="11010" max="11010" width="18.109375" style="25" customWidth="1"/>
    <col min="11011" max="11012" width="17.44140625" style="25" customWidth="1"/>
    <col min="11013" max="11013" width="17.109375" style="25" customWidth="1"/>
    <col min="11014" max="11015" width="15.44140625" style="25" customWidth="1"/>
    <col min="11016" max="11257" width="11.44140625" style="25"/>
    <col min="11258" max="11258" width="8.44140625" style="25" customWidth="1"/>
    <col min="11259" max="11263" width="17.77734375" style="25" customWidth="1"/>
    <col min="11264" max="11264" width="14.109375" style="25" customWidth="1"/>
    <col min="11265" max="11265" width="11.44140625" style="25" customWidth="1"/>
    <col min="11266" max="11266" width="18.109375" style="25" customWidth="1"/>
    <col min="11267" max="11268" width="17.44140625" style="25" customWidth="1"/>
    <col min="11269" max="11269" width="17.109375" style="25" customWidth="1"/>
    <col min="11270" max="11271" width="15.44140625" style="25" customWidth="1"/>
    <col min="11272" max="11513" width="11.44140625" style="25"/>
    <col min="11514" max="11514" width="8.44140625" style="25" customWidth="1"/>
    <col min="11515" max="11519" width="17.77734375" style="25" customWidth="1"/>
    <col min="11520" max="11520" width="14.109375" style="25" customWidth="1"/>
    <col min="11521" max="11521" width="11.44140625" style="25" customWidth="1"/>
    <col min="11522" max="11522" width="18.109375" style="25" customWidth="1"/>
    <col min="11523" max="11524" width="17.44140625" style="25" customWidth="1"/>
    <col min="11525" max="11525" width="17.109375" style="25" customWidth="1"/>
    <col min="11526" max="11527" width="15.44140625" style="25" customWidth="1"/>
    <col min="11528" max="11769" width="11.44140625" style="25"/>
    <col min="11770" max="11770" width="8.44140625" style="25" customWidth="1"/>
    <col min="11771" max="11775" width="17.77734375" style="25" customWidth="1"/>
    <col min="11776" max="11776" width="14.109375" style="25" customWidth="1"/>
    <col min="11777" max="11777" width="11.44140625" style="25" customWidth="1"/>
    <col min="11778" max="11778" width="18.109375" style="25" customWidth="1"/>
    <col min="11779" max="11780" width="17.44140625" style="25" customWidth="1"/>
    <col min="11781" max="11781" width="17.109375" style="25" customWidth="1"/>
    <col min="11782" max="11783" width="15.44140625" style="25" customWidth="1"/>
    <col min="11784" max="12025" width="11.44140625" style="25"/>
    <col min="12026" max="12026" width="8.44140625" style="25" customWidth="1"/>
    <col min="12027" max="12031" width="17.77734375" style="25" customWidth="1"/>
    <col min="12032" max="12032" width="14.109375" style="25" customWidth="1"/>
    <col min="12033" max="12033" width="11.44140625" style="25" customWidth="1"/>
    <col min="12034" max="12034" width="18.109375" style="25" customWidth="1"/>
    <col min="12035" max="12036" width="17.44140625" style="25" customWidth="1"/>
    <col min="12037" max="12037" width="17.109375" style="25" customWidth="1"/>
    <col min="12038" max="12039" width="15.44140625" style="25" customWidth="1"/>
    <col min="12040" max="12281" width="11.44140625" style="25"/>
    <col min="12282" max="12282" width="8.44140625" style="25" customWidth="1"/>
    <col min="12283" max="12287" width="17.77734375" style="25" customWidth="1"/>
    <col min="12288" max="12288" width="14.109375" style="25" customWidth="1"/>
    <col min="12289" max="12289" width="11.44140625" style="25" customWidth="1"/>
    <col min="12290" max="12290" width="18.109375" style="25" customWidth="1"/>
    <col min="12291" max="12292" width="17.44140625" style="25" customWidth="1"/>
    <col min="12293" max="12293" width="17.109375" style="25" customWidth="1"/>
    <col min="12294" max="12295" width="15.44140625" style="25" customWidth="1"/>
    <col min="12296" max="12537" width="11.44140625" style="25"/>
    <col min="12538" max="12538" width="8.44140625" style="25" customWidth="1"/>
    <col min="12539" max="12543" width="17.77734375" style="25" customWidth="1"/>
    <col min="12544" max="12544" width="14.109375" style="25" customWidth="1"/>
    <col min="12545" max="12545" width="11.44140625" style="25" customWidth="1"/>
    <col min="12546" max="12546" width="18.109375" style="25" customWidth="1"/>
    <col min="12547" max="12548" width="17.44140625" style="25" customWidth="1"/>
    <col min="12549" max="12549" width="17.109375" style="25" customWidth="1"/>
    <col min="12550" max="12551" width="15.44140625" style="25" customWidth="1"/>
    <col min="12552" max="12793" width="11.44140625" style="25"/>
    <col min="12794" max="12794" width="8.44140625" style="25" customWidth="1"/>
    <col min="12795" max="12799" width="17.77734375" style="25" customWidth="1"/>
    <col min="12800" max="12800" width="14.109375" style="25" customWidth="1"/>
    <col min="12801" max="12801" width="11.44140625" style="25" customWidth="1"/>
    <col min="12802" max="12802" width="18.109375" style="25" customWidth="1"/>
    <col min="12803" max="12804" width="17.44140625" style="25" customWidth="1"/>
    <col min="12805" max="12805" width="17.109375" style="25" customWidth="1"/>
    <col min="12806" max="12807" width="15.44140625" style="25" customWidth="1"/>
    <col min="12808" max="13049" width="11.44140625" style="25"/>
    <col min="13050" max="13050" width="8.44140625" style="25" customWidth="1"/>
    <col min="13051" max="13055" width="17.77734375" style="25" customWidth="1"/>
    <col min="13056" max="13056" width="14.109375" style="25" customWidth="1"/>
    <col min="13057" max="13057" width="11.44140625" style="25" customWidth="1"/>
    <col min="13058" max="13058" width="18.109375" style="25" customWidth="1"/>
    <col min="13059" max="13060" width="17.44140625" style="25" customWidth="1"/>
    <col min="13061" max="13061" width="17.109375" style="25" customWidth="1"/>
    <col min="13062" max="13063" width="15.44140625" style="25" customWidth="1"/>
    <col min="13064" max="13305" width="11.44140625" style="25"/>
    <col min="13306" max="13306" width="8.44140625" style="25" customWidth="1"/>
    <col min="13307" max="13311" width="17.77734375" style="25" customWidth="1"/>
    <col min="13312" max="13312" width="14.109375" style="25" customWidth="1"/>
    <col min="13313" max="13313" width="11.44140625" style="25" customWidth="1"/>
    <col min="13314" max="13314" width="18.109375" style="25" customWidth="1"/>
    <col min="13315" max="13316" width="17.44140625" style="25" customWidth="1"/>
    <col min="13317" max="13317" width="17.109375" style="25" customWidth="1"/>
    <col min="13318" max="13319" width="15.44140625" style="25" customWidth="1"/>
    <col min="13320" max="13561" width="11.44140625" style="25"/>
    <col min="13562" max="13562" width="8.44140625" style="25" customWidth="1"/>
    <col min="13563" max="13567" width="17.77734375" style="25" customWidth="1"/>
    <col min="13568" max="13568" width="14.109375" style="25" customWidth="1"/>
    <col min="13569" max="13569" width="11.44140625" style="25" customWidth="1"/>
    <col min="13570" max="13570" width="18.109375" style="25" customWidth="1"/>
    <col min="13571" max="13572" width="17.44140625" style="25" customWidth="1"/>
    <col min="13573" max="13573" width="17.109375" style="25" customWidth="1"/>
    <col min="13574" max="13575" width="15.44140625" style="25" customWidth="1"/>
    <col min="13576" max="13817" width="11.44140625" style="25"/>
    <col min="13818" max="13818" width="8.44140625" style="25" customWidth="1"/>
    <col min="13819" max="13823" width="17.77734375" style="25" customWidth="1"/>
    <col min="13824" max="13824" width="14.109375" style="25" customWidth="1"/>
    <col min="13825" max="13825" width="11.44140625" style="25" customWidth="1"/>
    <col min="13826" max="13826" width="18.109375" style="25" customWidth="1"/>
    <col min="13827" max="13828" width="17.44140625" style="25" customWidth="1"/>
    <col min="13829" max="13829" width="17.109375" style="25" customWidth="1"/>
    <col min="13830" max="13831" width="15.44140625" style="25" customWidth="1"/>
    <col min="13832" max="14073" width="11.44140625" style="25"/>
    <col min="14074" max="14074" width="8.44140625" style="25" customWidth="1"/>
    <col min="14075" max="14079" width="17.77734375" style="25" customWidth="1"/>
    <col min="14080" max="14080" width="14.109375" style="25" customWidth="1"/>
    <col min="14081" max="14081" width="11.44140625" style="25" customWidth="1"/>
    <col min="14082" max="14082" width="18.109375" style="25" customWidth="1"/>
    <col min="14083" max="14084" width="17.44140625" style="25" customWidth="1"/>
    <col min="14085" max="14085" width="17.109375" style="25" customWidth="1"/>
    <col min="14086" max="14087" width="15.44140625" style="25" customWidth="1"/>
    <col min="14088" max="14329" width="11.44140625" style="25"/>
    <col min="14330" max="14330" width="8.44140625" style="25" customWidth="1"/>
    <col min="14331" max="14335" width="17.77734375" style="25" customWidth="1"/>
    <col min="14336" max="14336" width="14.109375" style="25" customWidth="1"/>
    <col min="14337" max="14337" width="11.44140625" style="25" customWidth="1"/>
    <col min="14338" max="14338" width="18.109375" style="25" customWidth="1"/>
    <col min="14339" max="14340" width="17.44140625" style="25" customWidth="1"/>
    <col min="14341" max="14341" width="17.109375" style="25" customWidth="1"/>
    <col min="14342" max="14343" width="15.44140625" style="25" customWidth="1"/>
    <col min="14344" max="14585" width="11.44140625" style="25"/>
    <col min="14586" max="14586" width="8.44140625" style="25" customWidth="1"/>
    <col min="14587" max="14591" width="17.77734375" style="25" customWidth="1"/>
    <col min="14592" max="14592" width="14.109375" style="25" customWidth="1"/>
    <col min="14593" max="14593" width="11.44140625" style="25" customWidth="1"/>
    <col min="14594" max="14594" width="18.109375" style="25" customWidth="1"/>
    <col min="14595" max="14596" width="17.44140625" style="25" customWidth="1"/>
    <col min="14597" max="14597" width="17.109375" style="25" customWidth="1"/>
    <col min="14598" max="14599" width="15.44140625" style="25" customWidth="1"/>
    <col min="14600" max="14841" width="11.44140625" style="25"/>
    <col min="14842" max="14842" width="8.44140625" style="25" customWidth="1"/>
    <col min="14843" max="14847" width="17.77734375" style="25" customWidth="1"/>
    <col min="14848" max="14848" width="14.109375" style="25" customWidth="1"/>
    <col min="14849" max="14849" width="11.44140625" style="25" customWidth="1"/>
    <col min="14850" max="14850" width="18.109375" style="25" customWidth="1"/>
    <col min="14851" max="14852" width="17.44140625" style="25" customWidth="1"/>
    <col min="14853" max="14853" width="17.109375" style="25" customWidth="1"/>
    <col min="14854" max="14855" width="15.44140625" style="25" customWidth="1"/>
    <col min="14856" max="15097" width="11.44140625" style="25"/>
    <col min="15098" max="15098" width="8.44140625" style="25" customWidth="1"/>
    <col min="15099" max="15103" width="17.77734375" style="25" customWidth="1"/>
    <col min="15104" max="15104" width="14.109375" style="25" customWidth="1"/>
    <col min="15105" max="15105" width="11.44140625" style="25" customWidth="1"/>
    <col min="15106" max="15106" width="18.109375" style="25" customWidth="1"/>
    <col min="15107" max="15108" width="17.44140625" style="25" customWidth="1"/>
    <col min="15109" max="15109" width="17.109375" style="25" customWidth="1"/>
    <col min="15110" max="15111" width="15.44140625" style="25" customWidth="1"/>
    <col min="15112" max="15353" width="11.44140625" style="25"/>
    <col min="15354" max="15354" width="8.44140625" style="25" customWidth="1"/>
    <col min="15355" max="15359" width="17.77734375" style="25" customWidth="1"/>
    <col min="15360" max="15360" width="14.109375" style="25" customWidth="1"/>
    <col min="15361" max="15361" width="11.44140625" style="25" customWidth="1"/>
    <col min="15362" max="15362" width="18.109375" style="25" customWidth="1"/>
    <col min="15363" max="15364" width="17.44140625" style="25" customWidth="1"/>
    <col min="15365" max="15365" width="17.109375" style="25" customWidth="1"/>
    <col min="15366" max="15367" width="15.44140625" style="25" customWidth="1"/>
    <col min="15368" max="15609" width="11.44140625" style="25"/>
    <col min="15610" max="15610" width="8.44140625" style="25" customWidth="1"/>
    <col min="15611" max="15615" width="17.77734375" style="25" customWidth="1"/>
    <col min="15616" max="15616" width="14.109375" style="25" customWidth="1"/>
    <col min="15617" max="15617" width="11.44140625" style="25" customWidth="1"/>
    <col min="15618" max="15618" width="18.109375" style="25" customWidth="1"/>
    <col min="15619" max="15620" width="17.44140625" style="25" customWidth="1"/>
    <col min="15621" max="15621" width="17.109375" style="25" customWidth="1"/>
    <col min="15622" max="15623" width="15.44140625" style="25" customWidth="1"/>
    <col min="15624" max="15865" width="11.44140625" style="25"/>
    <col min="15866" max="15866" width="8.44140625" style="25" customWidth="1"/>
    <col min="15867" max="15871" width="17.77734375" style="25" customWidth="1"/>
    <col min="15872" max="15872" width="14.109375" style="25" customWidth="1"/>
    <col min="15873" max="15873" width="11.44140625" style="25" customWidth="1"/>
    <col min="15874" max="15874" width="18.109375" style="25" customWidth="1"/>
    <col min="15875" max="15876" width="17.44140625" style="25" customWidth="1"/>
    <col min="15877" max="15877" width="17.109375" style="25" customWidth="1"/>
    <col min="15878" max="15879" width="15.44140625" style="25" customWidth="1"/>
    <col min="15880" max="16121" width="11.44140625" style="25"/>
    <col min="16122" max="16122" width="8.44140625" style="25" customWidth="1"/>
    <col min="16123" max="16127" width="17.77734375" style="25" customWidth="1"/>
    <col min="16128" max="16128" width="14.109375" style="25" customWidth="1"/>
    <col min="16129" max="16129" width="11.44140625" style="25" customWidth="1"/>
    <col min="16130" max="16130" width="18.109375" style="25" customWidth="1"/>
    <col min="16131" max="16132" width="17.44140625" style="25" customWidth="1"/>
    <col min="16133" max="16133" width="17.109375" style="25" customWidth="1"/>
    <col min="16134" max="16135" width="15.44140625" style="25" customWidth="1"/>
    <col min="16136" max="16384" width="11.44140625" style="25"/>
  </cols>
  <sheetData>
    <row r="1" spans="1:19" s="22" customFormat="1" ht="40.049999999999997" customHeight="1">
      <c r="A1" s="983" t="s">
        <v>5</v>
      </c>
      <c r="B1" s="984"/>
      <c r="C1" s="984"/>
      <c r="D1" s="984"/>
      <c r="E1" s="984"/>
      <c r="F1" s="984"/>
      <c r="G1" s="958"/>
      <c r="H1" s="984"/>
      <c r="I1" s="985"/>
      <c r="K1" s="830"/>
      <c r="L1" s="830"/>
      <c r="M1" s="830"/>
      <c r="N1" s="830"/>
      <c r="O1" s="830"/>
      <c r="P1" s="830"/>
      <c r="Q1" s="830"/>
      <c r="R1" s="830"/>
      <c r="S1" s="830"/>
    </row>
    <row r="2" spans="1:19" s="23" customFormat="1" ht="15" customHeight="1">
      <c r="A2" s="31"/>
      <c r="B2" s="10"/>
      <c r="C2" s="10"/>
      <c r="D2" s="10"/>
      <c r="E2" s="32"/>
      <c r="F2" s="10"/>
      <c r="G2" s="718"/>
      <c r="H2" s="32"/>
      <c r="I2" s="10"/>
    </row>
    <row r="3" spans="1:19" s="24" customFormat="1" ht="57" customHeight="1">
      <c r="A3" s="1" t="s">
        <v>152</v>
      </c>
      <c r="B3" s="1" t="s">
        <v>176</v>
      </c>
      <c r="C3" s="1" t="s">
        <v>175</v>
      </c>
      <c r="D3" s="1" t="s">
        <v>177</v>
      </c>
      <c r="E3" s="30" t="s">
        <v>153</v>
      </c>
      <c r="F3" s="1" t="s">
        <v>1200</v>
      </c>
      <c r="G3" s="1" t="s">
        <v>970</v>
      </c>
      <c r="H3" s="30" t="s">
        <v>153</v>
      </c>
      <c r="I3" s="1" t="s">
        <v>1168</v>
      </c>
    </row>
    <row r="4" spans="1:19" ht="15" customHeight="1">
      <c r="A4" s="2">
        <v>1</v>
      </c>
      <c r="B4" s="12">
        <f>'Composição Faturamento 1'!F5</f>
        <v>67094980.793542355</v>
      </c>
      <c r="C4" s="12">
        <f>'Composição Faturamento 1'!L5</f>
        <v>0</v>
      </c>
      <c r="D4" s="11">
        <f xml:space="preserve"> SUM( $B4:$C4 )</f>
        <v>67094980.793542355</v>
      </c>
      <c r="E4" s="28"/>
      <c r="F4" s="9">
        <f>'Dados de Entrada'!$D$67</f>
        <v>2.8919423797342244E-2</v>
      </c>
      <c r="G4" s="11">
        <f>D4*F4</f>
        <v>1940348.1842429896</v>
      </c>
      <c r="H4" s="28"/>
      <c r="I4" s="11">
        <f>G4</f>
        <v>1940348.1842429896</v>
      </c>
      <c r="J4" s="48">
        <f>SUM(I4+D4)</f>
        <v>69035328.977785349</v>
      </c>
    </row>
    <row r="5" spans="1:19" ht="15" customHeight="1">
      <c r="A5" s="2">
        <f xml:space="preserve"> ( ( A4 ) + ( 1 ) )</f>
        <v>2</v>
      </c>
      <c r="B5" s="12">
        <f>'Composição Faturamento 1'!F6</f>
        <v>68032024.341273636</v>
      </c>
      <c r="C5" s="12">
        <f>'Composição Faturamento 1'!L6</f>
        <v>0</v>
      </c>
      <c r="D5" s="11">
        <f t="shared" ref="D5:D33" si="0" xml:space="preserve"> SUM( $B5:$C5 )</f>
        <v>68032024.341273636</v>
      </c>
      <c r="E5" s="28"/>
      <c r="F5" s="9">
        <f>'Dados de Entrada'!$D$67</f>
        <v>2.8919423797342244E-2</v>
      </c>
      <c r="G5" s="11">
        <f t="shared" ref="G5:G33" si="1">D5*F5</f>
        <v>1967446.9437163956</v>
      </c>
      <c r="H5" s="28"/>
      <c r="I5" s="11">
        <f t="shared" ref="I5:I33" si="2">G5</f>
        <v>1967446.9437163956</v>
      </c>
      <c r="J5" s="48">
        <f t="shared" ref="J5:J33" si="3">SUM(I5+D5)</f>
        <v>69999471.284990028</v>
      </c>
    </row>
    <row r="6" spans="1:19" ht="15" customHeight="1">
      <c r="A6" s="2">
        <f t="shared" ref="A6:A33" si="4" xml:space="preserve"> ( ( A5 ) + ( 1 ) )</f>
        <v>3</v>
      </c>
      <c r="B6" s="12">
        <f>'Composição Faturamento 1'!F7</f>
        <v>69658758.567894965</v>
      </c>
      <c r="C6" s="12">
        <f>'Composição Faturamento 1'!L7</f>
        <v>0</v>
      </c>
      <c r="D6" s="11">
        <f t="shared" si="0"/>
        <v>69658758.567894965</v>
      </c>
      <c r="E6" s="28"/>
      <c r="F6" s="9">
        <f>'Dados de Entrada'!$D$67</f>
        <v>2.8919423797342244E-2</v>
      </c>
      <c r="G6" s="11">
        <f t="shared" si="1"/>
        <v>2014491.1602216996</v>
      </c>
      <c r="H6" s="28"/>
      <c r="I6" s="11">
        <f t="shared" si="2"/>
        <v>2014491.1602216996</v>
      </c>
      <c r="J6" s="48">
        <f t="shared" si="3"/>
        <v>71673249.728116661</v>
      </c>
    </row>
    <row r="7" spans="1:19" ht="15" customHeight="1">
      <c r="A7" s="2">
        <f t="shared" si="4"/>
        <v>4</v>
      </c>
      <c r="B7" s="12">
        <f>'Composição Faturamento 1'!F8</f>
        <v>71311224.276614606</v>
      </c>
      <c r="C7" s="12">
        <f>'Composição Faturamento 1'!L8</f>
        <v>6966092.1021851227</v>
      </c>
      <c r="D7" s="11">
        <f t="shared" si="0"/>
        <v>78277316.378799736</v>
      </c>
      <c r="E7" s="28"/>
      <c r="F7" s="9">
        <f>'Dados de Entrada'!$D$67</f>
        <v>2.8919423797342244E-2</v>
      </c>
      <c r="G7" s="11">
        <f t="shared" si="1"/>
        <v>2263734.8860771488</v>
      </c>
      <c r="H7" s="28"/>
      <c r="I7" s="11">
        <f t="shared" si="2"/>
        <v>2263734.8860771488</v>
      </c>
      <c r="J7" s="48">
        <f t="shared" si="3"/>
        <v>80541051.264876887</v>
      </c>
    </row>
    <row r="8" spans="1:19" ht="15" customHeight="1">
      <c r="A8" s="2">
        <f t="shared" si="4"/>
        <v>5</v>
      </c>
      <c r="B8" s="12">
        <f>'Composição Faturamento 1'!F9</f>
        <v>72989773.423651874</v>
      </c>
      <c r="C8" s="12">
        <f>'Composição Faturamento 1'!L9</f>
        <v>14253779.597680248</v>
      </c>
      <c r="D8" s="11">
        <f t="shared" si="0"/>
        <v>87243553.021332115</v>
      </c>
      <c r="E8" s="28"/>
      <c r="F8" s="9">
        <f>'Dados de Entrada'!$D$67</f>
        <v>2.8919423797342244E-2</v>
      </c>
      <c r="G8" s="11">
        <f t="shared" si="1"/>
        <v>2523033.2834098018</v>
      </c>
      <c r="H8" s="28"/>
      <c r="I8" s="11">
        <f t="shared" si="2"/>
        <v>2523033.2834098018</v>
      </c>
      <c r="J8" s="48">
        <f t="shared" si="3"/>
        <v>89766586.304741919</v>
      </c>
    </row>
    <row r="9" spans="1:19" ht="15" customHeight="1">
      <c r="A9" s="2">
        <f t="shared" si="4"/>
        <v>6</v>
      </c>
      <c r="B9" s="12">
        <f>'Composição Faturamento 1'!F10</f>
        <v>73955863.532864958</v>
      </c>
      <c r="C9" s="12">
        <f>'Composição Faturamento 1'!L10</f>
        <v>21665165.469439797</v>
      </c>
      <c r="D9" s="11">
        <f t="shared" si="0"/>
        <v>95621029.002304763</v>
      </c>
      <c r="E9" s="28"/>
      <c r="F9" s="9">
        <f>'Dados de Entrada'!$D$67</f>
        <v>2.8919423797342244E-2</v>
      </c>
      <c r="G9" s="11">
        <f t="shared" si="1"/>
        <v>2765305.0616556052</v>
      </c>
      <c r="H9" s="28"/>
      <c r="I9" s="11">
        <f t="shared" si="2"/>
        <v>2765305.0616556052</v>
      </c>
      <c r="J9" s="48">
        <f t="shared" si="3"/>
        <v>98386334.063960373</v>
      </c>
    </row>
    <row r="10" spans="1:19" ht="15" customHeight="1">
      <c r="A10" s="2">
        <f t="shared" si="4"/>
        <v>7</v>
      </c>
      <c r="B10" s="12">
        <f>'Composição Faturamento 1'!F11</f>
        <v>74921300.437136084</v>
      </c>
      <c r="C10" s="12">
        <f>'Composição Faturamento 1'!L11</f>
        <v>25605534.400857389</v>
      </c>
      <c r="D10" s="11">
        <f t="shared" si="0"/>
        <v>100526834.83799347</v>
      </c>
      <c r="E10" s="28"/>
      <c r="F10" s="9">
        <f>'Dados de Entrada'!$D$67</f>
        <v>2.8919423797342244E-2</v>
      </c>
      <c r="G10" s="11">
        <f t="shared" si="1"/>
        <v>2907178.1396853616</v>
      </c>
      <c r="H10" s="28"/>
      <c r="I10" s="11">
        <f t="shared" si="2"/>
        <v>2907178.1396853616</v>
      </c>
      <c r="J10" s="48">
        <f t="shared" si="3"/>
        <v>103434012.97767884</v>
      </c>
    </row>
    <row r="11" spans="1:19" ht="15" customHeight="1">
      <c r="A11" s="2">
        <f t="shared" si="4"/>
        <v>8</v>
      </c>
      <c r="B11" s="12">
        <f>'Composição Faturamento 1'!F12</f>
        <v>75886737.34140718</v>
      </c>
      <c r="C11" s="12">
        <f>'Composição Faturamento 1'!L12</f>
        <v>29641247.440115899</v>
      </c>
      <c r="D11" s="11">
        <f t="shared" si="0"/>
        <v>105527984.78152308</v>
      </c>
      <c r="E11" s="28"/>
      <c r="F11" s="9">
        <f>'Dados de Entrada'!$D$67</f>
        <v>2.8919423797342244E-2</v>
      </c>
      <c r="G11" s="11">
        <f t="shared" si="1"/>
        <v>3051808.5143763488</v>
      </c>
      <c r="H11" s="28"/>
      <c r="I11" s="11">
        <f t="shared" si="2"/>
        <v>3051808.5143763488</v>
      </c>
      <c r="J11" s="48">
        <f t="shared" si="3"/>
        <v>108579793.29589942</v>
      </c>
    </row>
    <row r="12" spans="1:19" ht="15" customHeight="1">
      <c r="A12" s="2">
        <f t="shared" si="4"/>
        <v>9</v>
      </c>
      <c r="B12" s="12">
        <f>'Composição Faturamento 1'!F13</f>
        <v>76852174.245678276</v>
      </c>
      <c r="C12" s="12">
        <f>'Composição Faturamento 1'!L13</f>
        <v>33769326.600489989</v>
      </c>
      <c r="D12" s="11">
        <f t="shared" si="0"/>
        <v>110621500.84616826</v>
      </c>
      <c r="E12" s="28"/>
      <c r="F12" s="9">
        <f>'Dados de Entrada'!$D$67</f>
        <v>2.8919423797342244E-2</v>
      </c>
      <c r="G12" s="11">
        <f t="shared" si="1"/>
        <v>3199110.0640683938</v>
      </c>
      <c r="H12" s="28"/>
      <c r="I12" s="11">
        <f t="shared" si="2"/>
        <v>3199110.0640683938</v>
      </c>
      <c r="J12" s="48">
        <f t="shared" si="3"/>
        <v>113820610.91023666</v>
      </c>
    </row>
    <row r="13" spans="1:19" ht="15" customHeight="1">
      <c r="A13" s="2">
        <f t="shared" si="4"/>
        <v>10</v>
      </c>
      <c r="B13" s="12">
        <f>'Composição Faturamento 1'!F14</f>
        <v>77817611.149949372</v>
      </c>
      <c r="C13" s="12">
        <f>'Composição Faturamento 1'!L14</f>
        <v>34193656.651407316</v>
      </c>
      <c r="D13" s="11">
        <f t="shared" si="0"/>
        <v>112011267.80135669</v>
      </c>
      <c r="E13" s="28"/>
      <c r="F13" s="9">
        <f>'Dados de Entrada'!$D$67</f>
        <v>2.8919423797342244E-2</v>
      </c>
      <c r="G13" s="11">
        <f t="shared" si="1"/>
        <v>3239301.3236250295</v>
      </c>
      <c r="H13" s="28"/>
      <c r="I13" s="11">
        <f t="shared" si="2"/>
        <v>3239301.3236250295</v>
      </c>
      <c r="J13" s="48">
        <f t="shared" si="3"/>
        <v>115250569.12498172</v>
      </c>
    </row>
    <row r="14" spans="1:19" ht="15" customHeight="1">
      <c r="A14" s="2">
        <f t="shared" si="4"/>
        <v>11</v>
      </c>
      <c r="B14" s="12">
        <f>'Composição Faturamento 1'!F15</f>
        <v>78783048.054220468</v>
      </c>
      <c r="C14" s="12">
        <f>'Composição Faturamento 1'!L15</f>
        <v>34617432.303198487</v>
      </c>
      <c r="D14" s="11">
        <f t="shared" si="0"/>
        <v>113400480.35741895</v>
      </c>
      <c r="E14" s="28"/>
      <c r="F14" s="9">
        <f>'Dados de Entrada'!$D$67</f>
        <v>2.8919423797342244E-2</v>
      </c>
      <c r="G14" s="11">
        <f t="shared" si="1"/>
        <v>3279476.5502783833</v>
      </c>
      <c r="H14" s="28"/>
      <c r="I14" s="11">
        <f t="shared" si="2"/>
        <v>3279476.5502783833</v>
      </c>
      <c r="J14" s="48">
        <f t="shared" si="3"/>
        <v>116679956.90769733</v>
      </c>
    </row>
    <row r="15" spans="1:19" ht="15" customHeight="1">
      <c r="A15" s="2">
        <f t="shared" si="4"/>
        <v>12</v>
      </c>
      <c r="B15" s="12">
        <f>'Composição Faturamento 1'!F16</f>
        <v>79748484.958491594</v>
      </c>
      <c r="C15" s="12">
        <f>'Composição Faturamento 1'!L16</f>
        <v>35042368.244003393</v>
      </c>
      <c r="D15" s="11">
        <f t="shared" si="0"/>
        <v>114790853.20249498</v>
      </c>
      <c r="E15" s="28"/>
      <c r="F15" s="9">
        <f>'Dados de Entrada'!$D$67</f>
        <v>2.8919423797342244E-2</v>
      </c>
      <c r="G15" s="11">
        <f t="shared" si="1"/>
        <v>3319685.3318214533</v>
      </c>
      <c r="H15" s="28"/>
      <c r="I15" s="11">
        <f t="shared" si="2"/>
        <v>3319685.3318214533</v>
      </c>
      <c r="J15" s="48">
        <f t="shared" si="3"/>
        <v>118110538.53431644</v>
      </c>
    </row>
    <row r="16" spans="1:19" ht="15" customHeight="1">
      <c r="A16" s="2">
        <f t="shared" si="4"/>
        <v>13</v>
      </c>
      <c r="B16" s="12">
        <f>'Composição Faturamento 1'!F17</f>
        <v>80713921.86276269</v>
      </c>
      <c r="C16" s="12">
        <f>'Composição Faturamento 1'!L17</f>
        <v>35466143.895386852</v>
      </c>
      <c r="D16" s="11">
        <f t="shared" si="0"/>
        <v>116180065.75814953</v>
      </c>
      <c r="E16" s="28"/>
      <c r="F16" s="9">
        <f>'Dados de Entrada'!$D$67</f>
        <v>2.8919423797342244E-2</v>
      </c>
      <c r="G16" s="11">
        <f t="shared" si="1"/>
        <v>3359860.5584630165</v>
      </c>
      <c r="H16" s="28"/>
      <c r="I16" s="11">
        <f t="shared" si="2"/>
        <v>3359860.5584630165</v>
      </c>
      <c r="J16" s="48">
        <f t="shared" si="3"/>
        <v>119539926.31661256</v>
      </c>
    </row>
    <row r="17" spans="1:10" ht="15" customHeight="1">
      <c r="A17" s="2">
        <f t="shared" si="4"/>
        <v>14</v>
      </c>
      <c r="B17" s="12">
        <f>'Composição Faturamento 1'!F18</f>
        <v>81679358.767033815</v>
      </c>
      <c r="C17" s="12">
        <f>'Composição Faturamento 1'!L18</f>
        <v>35890473.947602145</v>
      </c>
      <c r="D17" s="11">
        <f t="shared" si="0"/>
        <v>117569832.71463597</v>
      </c>
      <c r="E17" s="28"/>
      <c r="F17" s="9">
        <f>'Dados de Entrada'!$D$67</f>
        <v>2.8919423797342244E-2</v>
      </c>
      <c r="G17" s="11">
        <f t="shared" si="1"/>
        <v>3400051.8180571902</v>
      </c>
      <c r="H17" s="28"/>
      <c r="I17" s="11">
        <f t="shared" si="2"/>
        <v>3400051.8180571902</v>
      </c>
      <c r="J17" s="48">
        <f t="shared" si="3"/>
        <v>120969884.53269316</v>
      </c>
    </row>
    <row r="18" spans="1:10" ht="15" customHeight="1">
      <c r="A18" s="2">
        <f t="shared" si="4"/>
        <v>15</v>
      </c>
      <c r="B18" s="12">
        <f>'Composição Faturamento 1'!F19</f>
        <v>82645448.876246899</v>
      </c>
      <c r="C18" s="12">
        <f>'Composição Faturamento 1'!L19</f>
        <v>36314608.754795536</v>
      </c>
      <c r="D18" s="11">
        <f t="shared" si="0"/>
        <v>118960057.63104244</v>
      </c>
      <c r="E18" s="28"/>
      <c r="F18" s="9">
        <f>'Dados de Entrada'!$D$67</f>
        <v>2.8919423797342244E-2</v>
      </c>
      <c r="G18" s="11">
        <f t="shared" si="1"/>
        <v>3440256.3215883733</v>
      </c>
      <c r="H18" s="28"/>
      <c r="I18" s="11">
        <f t="shared" si="2"/>
        <v>3440256.3215883733</v>
      </c>
      <c r="J18" s="48">
        <f t="shared" si="3"/>
        <v>122400313.9526308</v>
      </c>
    </row>
    <row r="19" spans="1:10" ht="15" customHeight="1">
      <c r="A19" s="2">
        <f t="shared" si="4"/>
        <v>16</v>
      </c>
      <c r="B19" s="12">
        <f>'Composição Faturamento 1'!F20</f>
        <v>83610885.780518025</v>
      </c>
      <c r="C19" s="12">
        <f>'Composição Faturamento 1'!L20</f>
        <v>36738938.809175208</v>
      </c>
      <c r="D19" s="11">
        <f t="shared" si="0"/>
        <v>120349824.58969323</v>
      </c>
      <c r="E19" s="28"/>
      <c r="F19" s="9">
        <f>'Dados de Entrada'!$D$67</f>
        <v>2.8919423797342244E-2</v>
      </c>
      <c r="G19" s="11">
        <f t="shared" si="1"/>
        <v>3480447.5812451392</v>
      </c>
      <c r="H19" s="28"/>
      <c r="I19" s="11">
        <f t="shared" si="2"/>
        <v>3480447.5812451392</v>
      </c>
      <c r="J19" s="48">
        <f t="shared" si="3"/>
        <v>123830272.17093837</v>
      </c>
    </row>
    <row r="20" spans="1:10" ht="15" customHeight="1">
      <c r="A20" s="2">
        <f t="shared" si="4"/>
        <v>17</v>
      </c>
      <c r="B20" s="12">
        <f>'Composição Faturamento 1'!F21</f>
        <v>84576322.684789121</v>
      </c>
      <c r="C20" s="12">
        <f>'Composição Faturamento 1'!L21</f>
        <v>37163843.374368414</v>
      </c>
      <c r="D20" s="11">
        <f t="shared" si="0"/>
        <v>121740166.05915754</v>
      </c>
      <c r="E20" s="28"/>
      <c r="F20" s="9">
        <f>'Dados de Entrada'!$D$67</f>
        <v>2.8919423797342244E-2</v>
      </c>
      <c r="G20" s="11">
        <f t="shared" si="1"/>
        <v>3520655.4554235968</v>
      </c>
      <c r="H20" s="28"/>
      <c r="I20" s="11">
        <f t="shared" si="2"/>
        <v>3520655.4554235968</v>
      </c>
      <c r="J20" s="48">
        <f t="shared" si="3"/>
        <v>125260821.51458113</v>
      </c>
    </row>
    <row r="21" spans="1:10" ht="15" customHeight="1">
      <c r="A21" s="2">
        <f t="shared" si="4"/>
        <v>18</v>
      </c>
      <c r="B21" s="12">
        <f>'Composição Faturamento 1'!F22</f>
        <v>85548944.843422189</v>
      </c>
      <c r="C21" s="12">
        <f>'Composição Faturamento 1'!L22</f>
        <v>37591103.975812033</v>
      </c>
      <c r="D21" s="11">
        <f t="shared" si="0"/>
        <v>123140048.81923422</v>
      </c>
      <c r="E21" s="28"/>
      <c r="F21" s="9">
        <f>'Dados de Entrada'!$D$67</f>
        <v>2.8919423797342244E-2</v>
      </c>
      <c r="G21" s="11">
        <f t="shared" si="1"/>
        <v>3561139.2582288478</v>
      </c>
      <c r="H21" s="28"/>
      <c r="I21" s="11">
        <f t="shared" si="2"/>
        <v>3561139.2582288478</v>
      </c>
      <c r="J21" s="48">
        <f t="shared" si="3"/>
        <v>126701188.07746308</v>
      </c>
    </row>
    <row r="22" spans="1:10" s="24" customFormat="1" ht="15" customHeight="1">
      <c r="A22" s="2">
        <f t="shared" si="4"/>
        <v>19</v>
      </c>
      <c r="B22" s="12">
        <f>'Composição Faturamento 1'!F23</f>
        <v>86532671.486069173</v>
      </c>
      <c r="C22" s="12">
        <f>'Composição Faturamento 1'!L23</f>
        <v>38022595.623312362</v>
      </c>
      <c r="D22" s="11">
        <f t="shared" si="0"/>
        <v>124555267.10938153</v>
      </c>
      <c r="E22" s="28"/>
      <c r="F22" s="9">
        <f>'Dados de Entrada'!$D$67</f>
        <v>2.8919423797342244E-2</v>
      </c>
      <c r="G22" s="11">
        <f t="shared" si="1"/>
        <v>3602066.5557273678</v>
      </c>
      <c r="H22" s="28"/>
      <c r="I22" s="11">
        <f t="shared" si="2"/>
        <v>3602066.5557273678</v>
      </c>
      <c r="J22" s="48">
        <f t="shared" si="3"/>
        <v>128157333.66510889</v>
      </c>
    </row>
    <row r="23" spans="1:10" ht="15" customHeight="1">
      <c r="A23" s="2">
        <f t="shared" si="4"/>
        <v>20</v>
      </c>
      <c r="B23" s="12">
        <f>'Composição Faturamento 1'!F24</f>
        <v>87527502.612730145</v>
      </c>
      <c r="C23" s="12">
        <f>'Composição Faturamento 1'!L24</f>
        <v>38460607.498517655</v>
      </c>
      <c r="D23" s="11">
        <f t="shared" si="0"/>
        <v>125988110.11124781</v>
      </c>
      <c r="E23" s="28"/>
      <c r="F23" s="9">
        <f>'Dados de Entrada'!$D$67</f>
        <v>2.8919423797342244E-2</v>
      </c>
      <c r="G23" s="11">
        <f t="shared" si="1"/>
        <v>3643503.5497333948</v>
      </c>
      <c r="H23" s="28"/>
      <c r="I23" s="11">
        <f t="shared" si="2"/>
        <v>3643503.5497333948</v>
      </c>
      <c r="J23" s="48">
        <f t="shared" si="3"/>
        <v>129631613.66098121</v>
      </c>
    </row>
    <row r="24" spans="1:10" ht="15" customHeight="1">
      <c r="A24" s="2">
        <f t="shared" si="4"/>
        <v>21</v>
      </c>
      <c r="B24" s="12">
        <f>'Composição Faturamento 1'!F25</f>
        <v>88534091.428347051</v>
      </c>
      <c r="C24" s="12">
        <f>'Composição Faturamento 1'!L25</f>
        <v>38903292.409368508</v>
      </c>
      <c r="D24" s="11">
        <f t="shared" si="0"/>
        <v>127437383.83771557</v>
      </c>
      <c r="E24" s="28"/>
      <c r="F24" s="9">
        <f>'Dados de Entrada'!$D$67</f>
        <v>2.8919423797342244E-2</v>
      </c>
      <c r="G24" s="11">
        <f t="shared" si="1"/>
        <v>3685415.7108274694</v>
      </c>
      <c r="H24" s="28"/>
      <c r="I24" s="11">
        <f t="shared" si="2"/>
        <v>3685415.7108274694</v>
      </c>
      <c r="J24" s="48">
        <f t="shared" si="3"/>
        <v>131122799.54854304</v>
      </c>
    </row>
    <row r="25" spans="1:10" ht="15" customHeight="1">
      <c r="A25" s="2">
        <f t="shared" si="4"/>
        <v>22</v>
      </c>
      <c r="B25" s="12">
        <f>'Composição Faturamento 1'!F26</f>
        <v>89552437.93291989</v>
      </c>
      <c r="C25" s="12">
        <f>'Composição Faturamento 1'!L26</f>
        <v>39351007.705780812</v>
      </c>
      <c r="D25" s="11">
        <f t="shared" si="0"/>
        <v>128903445.63870069</v>
      </c>
      <c r="E25" s="28"/>
      <c r="F25" s="9">
        <f>'Dados de Entrada'!$D$67</f>
        <v>2.8919423797342244E-2</v>
      </c>
      <c r="G25" s="11">
        <f t="shared" si="1"/>
        <v>3727813.3733632532</v>
      </c>
      <c r="H25" s="28"/>
      <c r="I25" s="11">
        <f t="shared" si="2"/>
        <v>3727813.3733632532</v>
      </c>
      <c r="J25" s="48">
        <f t="shared" si="3"/>
        <v>132631259.01206395</v>
      </c>
    </row>
    <row r="26" spans="1:10" s="24" customFormat="1" ht="15" customHeight="1">
      <c r="A26" s="2">
        <f t="shared" si="4"/>
        <v>23</v>
      </c>
      <c r="B26" s="12">
        <f>'Composição Faturamento 1'!F27</f>
        <v>90582542.126448646</v>
      </c>
      <c r="C26" s="12">
        <f>'Composição Faturamento 1'!L27</f>
        <v>39803313.192552678</v>
      </c>
      <c r="D26" s="11">
        <f t="shared" si="0"/>
        <v>130385855.31900132</v>
      </c>
      <c r="E26" s="28"/>
      <c r="F26" s="9">
        <f>'Dados de Entrada'!$D$67</f>
        <v>2.8919423797342244E-2</v>
      </c>
      <c r="G26" s="11">
        <f t="shared" si="1"/>
        <v>3770683.8071491495</v>
      </c>
      <c r="H26" s="28"/>
      <c r="I26" s="11">
        <f t="shared" si="2"/>
        <v>3770683.8071491495</v>
      </c>
      <c r="J26" s="48">
        <f t="shared" si="3"/>
        <v>134156539.12615046</v>
      </c>
    </row>
    <row r="27" spans="1:10" s="24" customFormat="1" ht="15" customHeight="1">
      <c r="A27" s="2">
        <f t="shared" si="4"/>
        <v>24</v>
      </c>
      <c r="B27" s="12">
        <f>'Composição Faturamento 1'!F28</f>
        <v>91625057.213875338</v>
      </c>
      <c r="C27" s="12">
        <f>'Composição Faturamento 1'!L28</f>
        <v>40261173.889516085</v>
      </c>
      <c r="D27" s="11">
        <f t="shared" si="0"/>
        <v>131886231.10339142</v>
      </c>
      <c r="E27" s="28"/>
      <c r="F27" s="9">
        <f>'Dados de Entrada'!$D$67</f>
        <v>2.8919423797342244E-2</v>
      </c>
      <c r="G27" s="11">
        <f t="shared" si="1"/>
        <v>3814073.8103131969</v>
      </c>
      <c r="H27" s="28"/>
      <c r="I27" s="11">
        <f t="shared" si="2"/>
        <v>3814073.8103131969</v>
      </c>
      <c r="J27" s="48">
        <f t="shared" si="3"/>
        <v>135700304.91370463</v>
      </c>
    </row>
    <row r="28" spans="1:10" ht="15" customHeight="1">
      <c r="A28" s="2">
        <f t="shared" si="4"/>
        <v>25</v>
      </c>
      <c r="B28" s="12">
        <f>'Composição Faturamento 1'!F29</f>
        <v>92679983.195200011</v>
      </c>
      <c r="C28" s="12">
        <f>'Composição Faturamento 1'!L29</f>
        <v>40725009.887490675</v>
      </c>
      <c r="D28" s="11">
        <f t="shared" si="0"/>
        <v>133404993.08269069</v>
      </c>
      <c r="E28" s="28"/>
      <c r="F28" s="9">
        <f>'Dados de Entrada'!$D$67</f>
        <v>2.8919423797342244E-2</v>
      </c>
      <c r="G28" s="11">
        <f t="shared" si="1"/>
        <v>3857995.5316398423</v>
      </c>
      <c r="H28" s="28"/>
      <c r="I28" s="11">
        <f t="shared" si="2"/>
        <v>3857995.5316398423</v>
      </c>
      <c r="J28" s="48">
        <f t="shared" si="3"/>
        <v>137262988.61433053</v>
      </c>
    </row>
    <row r="29" spans="1:10" ht="15" customHeight="1">
      <c r="A29" s="2">
        <f t="shared" si="4"/>
        <v>26</v>
      </c>
      <c r="B29" s="12">
        <f>'Composição Faturamento 1'!F30</f>
        <v>93746013.660538629</v>
      </c>
      <c r="C29" s="12">
        <f>'Composição Faturamento 1'!L30</f>
        <v>41193045.569317192</v>
      </c>
      <c r="D29" s="11">
        <f t="shared" si="0"/>
        <v>134939059.22985584</v>
      </c>
      <c r="E29" s="28"/>
      <c r="F29" s="9">
        <f>'Dados de Entrada'!$D$67</f>
        <v>2.8919423797342244E-2</v>
      </c>
      <c r="G29" s="11">
        <f t="shared" si="1"/>
        <v>3902359.8406828674</v>
      </c>
      <c r="H29" s="28"/>
      <c r="I29" s="11">
        <f t="shared" si="2"/>
        <v>3902359.8406828674</v>
      </c>
      <c r="J29" s="48">
        <f t="shared" si="3"/>
        <v>138841419.0705387</v>
      </c>
    </row>
    <row r="30" spans="1:10" ht="15" customHeight="1">
      <c r="A30" s="2">
        <f t="shared" si="4"/>
        <v>27</v>
      </c>
      <c r="B30" s="12">
        <f>'Composição Faturamento 1'!F31</f>
        <v>94824455.019775122</v>
      </c>
      <c r="C30" s="12">
        <f>'Composição Faturamento 1'!L31</f>
        <v>41667076.663331948</v>
      </c>
      <c r="D30" s="11">
        <f t="shared" si="0"/>
        <v>136491531.68310708</v>
      </c>
      <c r="E30" s="28"/>
      <c r="F30" s="9">
        <f>'Dados de Entrada'!$D$67</f>
        <v>2.8919423797342244E-2</v>
      </c>
      <c r="G30" s="11">
        <f t="shared" si="1"/>
        <v>3947256.4494921397</v>
      </c>
      <c r="H30" s="28"/>
      <c r="I30" s="11">
        <f t="shared" si="2"/>
        <v>3947256.4494921397</v>
      </c>
      <c r="J30" s="48">
        <f t="shared" si="3"/>
        <v>140438788.1325992</v>
      </c>
    </row>
    <row r="31" spans="1:10" ht="15" customHeight="1">
      <c r="A31" s="2">
        <f t="shared" si="4"/>
        <v>28</v>
      </c>
      <c r="B31" s="12">
        <f>'Composição Faturamento 1'!F32</f>
        <v>95915307.272909611</v>
      </c>
      <c r="C31" s="12">
        <f>'Composição Faturamento 1'!L32</f>
        <v>42146642.849603206</v>
      </c>
      <c r="D31" s="11">
        <f t="shared" si="0"/>
        <v>138061950.12251282</v>
      </c>
      <c r="E31" s="28"/>
      <c r="F31" s="9">
        <f>'Dados de Entrada'!$D$67</f>
        <v>2.8919423797342244E-2</v>
      </c>
      <c r="G31" s="11">
        <f t="shared" si="1"/>
        <v>3992672.0458804751</v>
      </c>
      <c r="H31" s="28"/>
      <c r="I31" s="11">
        <f t="shared" si="2"/>
        <v>3992672.0458804751</v>
      </c>
      <c r="J31" s="48">
        <f t="shared" si="3"/>
        <v>142054622.16839328</v>
      </c>
    </row>
    <row r="32" spans="1:10" ht="15" customHeight="1">
      <c r="A32" s="2">
        <f t="shared" si="4"/>
        <v>29</v>
      </c>
      <c r="B32" s="12">
        <f>'Composição Faturamento 1'!F33</f>
        <v>97018570.419941992</v>
      </c>
      <c r="C32" s="12">
        <f>'Composição Faturamento 1'!L33</f>
        <v>42631044.180954948</v>
      </c>
      <c r="D32" s="11">
        <f t="shared" si="0"/>
        <v>139649614.60089695</v>
      </c>
      <c r="E32" s="28"/>
      <c r="F32" s="9">
        <f>'Dados de Entrada'!$D$67</f>
        <v>2.8919423797342244E-2</v>
      </c>
      <c r="G32" s="11">
        <f t="shared" si="1"/>
        <v>4038586.3877788521</v>
      </c>
      <c r="H32" s="28"/>
      <c r="I32" s="11">
        <f t="shared" si="2"/>
        <v>4038586.3877788521</v>
      </c>
      <c r="J32" s="48">
        <f t="shared" si="3"/>
        <v>143688200.9886758</v>
      </c>
    </row>
    <row r="33" spans="1:10" ht="15" customHeight="1">
      <c r="A33" s="2">
        <f t="shared" si="4"/>
        <v>30</v>
      </c>
      <c r="B33" s="12">
        <f>'Composição Faturamento 1'!F34</f>
        <v>98134897.66581434</v>
      </c>
      <c r="C33" s="12">
        <f>'Composição Faturamento 1'!L34</f>
        <v>43121308.391142704</v>
      </c>
      <c r="D33" s="11">
        <f t="shared" si="0"/>
        <v>141256206.05695704</v>
      </c>
      <c r="E33" s="28"/>
      <c r="F33" s="9">
        <f>'Dados de Entrada'!$D$67</f>
        <v>2.8919423797342244E-2</v>
      </c>
      <c r="G33" s="11">
        <f t="shared" si="1"/>
        <v>4085048.0869658431</v>
      </c>
      <c r="H33" s="28"/>
      <c r="I33" s="11">
        <f t="shared" si="2"/>
        <v>4085048.0869658431</v>
      </c>
      <c r="J33" s="48">
        <f t="shared" si="3"/>
        <v>145341254.14392287</v>
      </c>
    </row>
    <row r="34" spans="1:10" ht="15" customHeight="1">
      <c r="A34" s="2" t="s">
        <v>4</v>
      </c>
      <c r="B34" s="11">
        <f>SUM(B4:B33)</f>
        <v>2492500393.9720678</v>
      </c>
      <c r="C34" s="11">
        <f>SUM(C4:C33)</f>
        <v>941205833.42740667</v>
      </c>
      <c r="D34" s="11">
        <f>SUM(D4:D33)</f>
        <v>3433706227.3994746</v>
      </c>
      <c r="E34" s="28"/>
      <c r="F34" s="33">
        <f xml:space="preserve"> AVERAGE( $F4:$F33 )</f>
        <v>2.8919423797342244E-2</v>
      </c>
      <c r="G34" s="140">
        <f xml:space="preserve"> ( ( $D34 ) * ( $F34 ) )</f>
        <v>99300805.585738629</v>
      </c>
      <c r="H34" s="28"/>
      <c r="I34" s="11">
        <f>SUM(I4:I33)</f>
        <v>99300805.585738614</v>
      </c>
      <c r="J34" s="11">
        <f>SUM(J4:J33)</f>
        <v>3533007032.9852133</v>
      </c>
    </row>
  </sheetData>
  <mergeCells count="1">
    <mergeCell ref="A1:I1"/>
  </mergeCells>
  <printOptions horizontalCentered="1"/>
  <pageMargins left="1.3779527559055118" right="0.39370078740157483" top="1.1811023622047245" bottom="0.59055118110236227" header="0.31496062992125984" footer="0.31496062992125984"/>
  <pageSetup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34998626667073579"/>
    <pageSetUpPr fitToPage="1"/>
  </sheetPr>
  <dimension ref="A1:I37"/>
  <sheetViews>
    <sheetView showGridLines="0" zoomScale="115" zoomScaleNormal="115" zoomScalePageLayoutView="90" workbookViewId="0">
      <pane xSplit="1" ySplit="3" topLeftCell="B4" activePane="bottomRight" state="frozen"/>
      <selection activeCell="L3" sqref="L3:L108"/>
      <selection pane="topRight" activeCell="L3" sqref="L3:L108"/>
      <selection pane="bottomLeft" activeCell="L3" sqref="L3:L108"/>
      <selection pane="bottomRight" activeCell="C5" sqref="C5"/>
    </sheetView>
  </sheetViews>
  <sheetFormatPr defaultColWidth="11.44140625" defaultRowHeight="15" customHeight="1"/>
  <cols>
    <col min="1" max="1" width="7.109375" style="25" bestFit="1" customWidth="1"/>
    <col min="2" max="2" width="15" style="25" bestFit="1" customWidth="1"/>
    <col min="3" max="3" width="19" style="25" bestFit="1" customWidth="1"/>
    <col min="4" max="4" width="15" style="25" bestFit="1" customWidth="1"/>
    <col min="5" max="5" width="15.33203125" style="25" bestFit="1" customWidth="1"/>
    <col min="6" max="6" width="10.88671875" style="25" bestFit="1" customWidth="1"/>
    <col min="7" max="7" width="16.6640625" style="25" bestFit="1" customWidth="1"/>
    <col min="8" max="8" width="18.5546875" style="25" bestFit="1" customWidth="1"/>
    <col min="9" max="9" width="10.88671875" style="25" bestFit="1" customWidth="1"/>
    <col min="10" max="241" width="11.44140625" style="25"/>
    <col min="242" max="242" width="8.44140625" style="25" customWidth="1"/>
    <col min="243" max="251" width="17.44140625" style="25" customWidth="1"/>
    <col min="252" max="252" width="13" style="25" customWidth="1"/>
    <col min="253" max="497" width="11.44140625" style="25"/>
    <col min="498" max="498" width="8.44140625" style="25" customWidth="1"/>
    <col min="499" max="507" width="17.44140625" style="25" customWidth="1"/>
    <col min="508" max="508" width="13" style="25" customWidth="1"/>
    <col min="509" max="753" width="11.44140625" style="25"/>
    <col min="754" max="754" width="8.44140625" style="25" customWidth="1"/>
    <col min="755" max="763" width="17.44140625" style="25" customWidth="1"/>
    <col min="764" max="764" width="13" style="25" customWidth="1"/>
    <col min="765" max="1009" width="11.44140625" style="25"/>
    <col min="1010" max="1010" width="8.44140625" style="25" customWidth="1"/>
    <col min="1011" max="1019" width="17.44140625" style="25" customWidth="1"/>
    <col min="1020" max="1020" width="13" style="25" customWidth="1"/>
    <col min="1021" max="1265" width="11.44140625" style="25"/>
    <col min="1266" max="1266" width="8.44140625" style="25" customWidth="1"/>
    <col min="1267" max="1275" width="17.44140625" style="25" customWidth="1"/>
    <col min="1276" max="1276" width="13" style="25" customWidth="1"/>
    <col min="1277" max="1521" width="11.44140625" style="25"/>
    <col min="1522" max="1522" width="8.44140625" style="25" customWidth="1"/>
    <col min="1523" max="1531" width="17.44140625" style="25" customWidth="1"/>
    <col min="1532" max="1532" width="13" style="25" customWidth="1"/>
    <col min="1533" max="1777" width="11.44140625" style="25"/>
    <col min="1778" max="1778" width="8.44140625" style="25" customWidth="1"/>
    <col min="1779" max="1787" width="17.44140625" style="25" customWidth="1"/>
    <col min="1788" max="1788" width="13" style="25" customWidth="1"/>
    <col min="1789" max="2033" width="11.44140625" style="25"/>
    <col min="2034" max="2034" width="8.44140625" style="25" customWidth="1"/>
    <col min="2035" max="2043" width="17.44140625" style="25" customWidth="1"/>
    <col min="2044" max="2044" width="13" style="25" customWidth="1"/>
    <col min="2045" max="2289" width="11.44140625" style="25"/>
    <col min="2290" max="2290" width="8.44140625" style="25" customWidth="1"/>
    <col min="2291" max="2299" width="17.44140625" style="25" customWidth="1"/>
    <col min="2300" max="2300" width="13" style="25" customWidth="1"/>
    <col min="2301" max="2545" width="11.44140625" style="25"/>
    <col min="2546" max="2546" width="8.44140625" style="25" customWidth="1"/>
    <col min="2547" max="2555" width="17.44140625" style="25" customWidth="1"/>
    <col min="2556" max="2556" width="13" style="25" customWidth="1"/>
    <col min="2557" max="2801" width="11.44140625" style="25"/>
    <col min="2802" max="2802" width="8.44140625" style="25" customWidth="1"/>
    <col min="2803" max="2811" width="17.44140625" style="25" customWidth="1"/>
    <col min="2812" max="2812" width="13" style="25" customWidth="1"/>
    <col min="2813" max="3057" width="11.44140625" style="25"/>
    <col min="3058" max="3058" width="8.44140625" style="25" customWidth="1"/>
    <col min="3059" max="3067" width="17.44140625" style="25" customWidth="1"/>
    <col min="3068" max="3068" width="13" style="25" customWidth="1"/>
    <col min="3069" max="3313" width="11.44140625" style="25"/>
    <col min="3314" max="3314" width="8.44140625" style="25" customWidth="1"/>
    <col min="3315" max="3323" width="17.44140625" style="25" customWidth="1"/>
    <col min="3324" max="3324" width="13" style="25" customWidth="1"/>
    <col min="3325" max="3569" width="11.44140625" style="25"/>
    <col min="3570" max="3570" width="8.44140625" style="25" customWidth="1"/>
    <col min="3571" max="3579" width="17.44140625" style="25" customWidth="1"/>
    <col min="3580" max="3580" width="13" style="25" customWidth="1"/>
    <col min="3581" max="3825" width="11.44140625" style="25"/>
    <col min="3826" max="3826" width="8.44140625" style="25" customWidth="1"/>
    <col min="3827" max="3835" width="17.44140625" style="25" customWidth="1"/>
    <col min="3836" max="3836" width="13" style="25" customWidth="1"/>
    <col min="3837" max="4081" width="11.44140625" style="25"/>
    <col min="4082" max="4082" width="8.44140625" style="25" customWidth="1"/>
    <col min="4083" max="4091" width="17.44140625" style="25" customWidth="1"/>
    <col min="4092" max="4092" width="13" style="25" customWidth="1"/>
    <col min="4093" max="4337" width="11.44140625" style="25"/>
    <col min="4338" max="4338" width="8.44140625" style="25" customWidth="1"/>
    <col min="4339" max="4347" width="17.44140625" style="25" customWidth="1"/>
    <col min="4348" max="4348" width="13" style="25" customWidth="1"/>
    <col min="4349" max="4593" width="11.44140625" style="25"/>
    <col min="4594" max="4594" width="8.44140625" style="25" customWidth="1"/>
    <col min="4595" max="4603" width="17.44140625" style="25" customWidth="1"/>
    <col min="4604" max="4604" width="13" style="25" customWidth="1"/>
    <col min="4605" max="4849" width="11.44140625" style="25"/>
    <col min="4850" max="4850" width="8.44140625" style="25" customWidth="1"/>
    <col min="4851" max="4859" width="17.44140625" style="25" customWidth="1"/>
    <col min="4860" max="4860" width="13" style="25" customWidth="1"/>
    <col min="4861" max="5105" width="11.44140625" style="25"/>
    <col min="5106" max="5106" width="8.44140625" style="25" customWidth="1"/>
    <col min="5107" max="5115" width="17.44140625" style="25" customWidth="1"/>
    <col min="5116" max="5116" width="13" style="25" customWidth="1"/>
    <col min="5117" max="5361" width="11.44140625" style="25"/>
    <col min="5362" max="5362" width="8.44140625" style="25" customWidth="1"/>
    <col min="5363" max="5371" width="17.44140625" style="25" customWidth="1"/>
    <col min="5372" max="5372" width="13" style="25" customWidth="1"/>
    <col min="5373" max="5617" width="11.44140625" style="25"/>
    <col min="5618" max="5618" width="8.44140625" style="25" customWidth="1"/>
    <col min="5619" max="5627" width="17.44140625" style="25" customWidth="1"/>
    <col min="5628" max="5628" width="13" style="25" customWidth="1"/>
    <col min="5629" max="5873" width="11.44140625" style="25"/>
    <col min="5874" max="5874" width="8.44140625" style="25" customWidth="1"/>
    <col min="5875" max="5883" width="17.44140625" style="25" customWidth="1"/>
    <col min="5884" max="5884" width="13" style="25" customWidth="1"/>
    <col min="5885" max="6129" width="11.44140625" style="25"/>
    <col min="6130" max="6130" width="8.44140625" style="25" customWidth="1"/>
    <col min="6131" max="6139" width="17.44140625" style="25" customWidth="1"/>
    <col min="6140" max="6140" width="13" style="25" customWidth="1"/>
    <col min="6141" max="6385" width="11.44140625" style="25"/>
    <col min="6386" max="6386" width="8.44140625" style="25" customWidth="1"/>
    <col min="6387" max="6395" width="17.44140625" style="25" customWidth="1"/>
    <col min="6396" max="6396" width="13" style="25" customWidth="1"/>
    <col min="6397" max="6641" width="11.44140625" style="25"/>
    <col min="6642" max="6642" width="8.44140625" style="25" customWidth="1"/>
    <col min="6643" max="6651" width="17.44140625" style="25" customWidth="1"/>
    <col min="6652" max="6652" width="13" style="25" customWidth="1"/>
    <col min="6653" max="6897" width="11.44140625" style="25"/>
    <col min="6898" max="6898" width="8.44140625" style="25" customWidth="1"/>
    <col min="6899" max="6907" width="17.44140625" style="25" customWidth="1"/>
    <col min="6908" max="6908" width="13" style="25" customWidth="1"/>
    <col min="6909" max="7153" width="11.44140625" style="25"/>
    <col min="7154" max="7154" width="8.44140625" style="25" customWidth="1"/>
    <col min="7155" max="7163" width="17.44140625" style="25" customWidth="1"/>
    <col min="7164" max="7164" width="13" style="25" customWidth="1"/>
    <col min="7165" max="7409" width="11.44140625" style="25"/>
    <col min="7410" max="7410" width="8.44140625" style="25" customWidth="1"/>
    <col min="7411" max="7419" width="17.44140625" style="25" customWidth="1"/>
    <col min="7420" max="7420" width="13" style="25" customWidth="1"/>
    <col min="7421" max="7665" width="11.44140625" style="25"/>
    <col min="7666" max="7666" width="8.44140625" style="25" customWidth="1"/>
    <col min="7667" max="7675" width="17.44140625" style="25" customWidth="1"/>
    <col min="7676" max="7676" width="13" style="25" customWidth="1"/>
    <col min="7677" max="7921" width="11.44140625" style="25"/>
    <col min="7922" max="7922" width="8.44140625" style="25" customWidth="1"/>
    <col min="7923" max="7931" width="17.44140625" style="25" customWidth="1"/>
    <col min="7932" max="7932" width="13" style="25" customWidth="1"/>
    <col min="7933" max="8177" width="11.44140625" style="25"/>
    <col min="8178" max="8178" width="8.44140625" style="25" customWidth="1"/>
    <col min="8179" max="8187" width="17.44140625" style="25" customWidth="1"/>
    <col min="8188" max="8188" width="13" style="25" customWidth="1"/>
    <col min="8189" max="8433" width="11.44140625" style="25"/>
    <col min="8434" max="8434" width="8.44140625" style="25" customWidth="1"/>
    <col min="8435" max="8443" width="17.44140625" style="25" customWidth="1"/>
    <col min="8444" max="8444" width="13" style="25" customWidth="1"/>
    <col min="8445" max="8689" width="11.44140625" style="25"/>
    <col min="8690" max="8690" width="8.44140625" style="25" customWidth="1"/>
    <col min="8691" max="8699" width="17.44140625" style="25" customWidth="1"/>
    <col min="8700" max="8700" width="13" style="25" customWidth="1"/>
    <col min="8701" max="8945" width="11.44140625" style="25"/>
    <col min="8946" max="8946" width="8.44140625" style="25" customWidth="1"/>
    <col min="8947" max="8955" width="17.44140625" style="25" customWidth="1"/>
    <col min="8956" max="8956" width="13" style="25" customWidth="1"/>
    <col min="8957" max="9201" width="11.44140625" style="25"/>
    <col min="9202" max="9202" width="8.44140625" style="25" customWidth="1"/>
    <col min="9203" max="9211" width="17.44140625" style="25" customWidth="1"/>
    <col min="9212" max="9212" width="13" style="25" customWidth="1"/>
    <col min="9213" max="9457" width="11.44140625" style="25"/>
    <col min="9458" max="9458" width="8.44140625" style="25" customWidth="1"/>
    <col min="9459" max="9467" width="17.44140625" style="25" customWidth="1"/>
    <col min="9468" max="9468" width="13" style="25" customWidth="1"/>
    <col min="9469" max="9713" width="11.44140625" style="25"/>
    <col min="9714" max="9714" width="8.44140625" style="25" customWidth="1"/>
    <col min="9715" max="9723" width="17.44140625" style="25" customWidth="1"/>
    <col min="9724" max="9724" width="13" style="25" customWidth="1"/>
    <col min="9725" max="9969" width="11.44140625" style="25"/>
    <col min="9970" max="9970" width="8.44140625" style="25" customWidth="1"/>
    <col min="9971" max="9979" width="17.44140625" style="25" customWidth="1"/>
    <col min="9980" max="9980" width="13" style="25" customWidth="1"/>
    <col min="9981" max="10225" width="11.44140625" style="25"/>
    <col min="10226" max="10226" width="8.44140625" style="25" customWidth="1"/>
    <col min="10227" max="10235" width="17.44140625" style="25" customWidth="1"/>
    <col min="10236" max="10236" width="13" style="25" customWidth="1"/>
    <col min="10237" max="10481" width="11.44140625" style="25"/>
    <col min="10482" max="10482" width="8.44140625" style="25" customWidth="1"/>
    <col min="10483" max="10491" width="17.44140625" style="25" customWidth="1"/>
    <col min="10492" max="10492" width="13" style="25" customWidth="1"/>
    <col min="10493" max="10737" width="11.44140625" style="25"/>
    <col min="10738" max="10738" width="8.44140625" style="25" customWidth="1"/>
    <col min="10739" max="10747" width="17.44140625" style="25" customWidth="1"/>
    <col min="10748" max="10748" width="13" style="25" customWidth="1"/>
    <col min="10749" max="10993" width="11.44140625" style="25"/>
    <col min="10994" max="10994" width="8.44140625" style="25" customWidth="1"/>
    <col min="10995" max="11003" width="17.44140625" style="25" customWidth="1"/>
    <col min="11004" max="11004" width="13" style="25" customWidth="1"/>
    <col min="11005" max="11249" width="11.44140625" style="25"/>
    <col min="11250" max="11250" width="8.44140625" style="25" customWidth="1"/>
    <col min="11251" max="11259" width="17.44140625" style="25" customWidth="1"/>
    <col min="11260" max="11260" width="13" style="25" customWidth="1"/>
    <col min="11261" max="11505" width="11.44140625" style="25"/>
    <col min="11506" max="11506" width="8.44140625" style="25" customWidth="1"/>
    <col min="11507" max="11515" width="17.44140625" style="25" customWidth="1"/>
    <col min="11516" max="11516" width="13" style="25" customWidth="1"/>
    <col min="11517" max="11761" width="11.44140625" style="25"/>
    <col min="11762" max="11762" width="8.44140625" style="25" customWidth="1"/>
    <col min="11763" max="11771" width="17.44140625" style="25" customWidth="1"/>
    <col min="11772" max="11772" width="13" style="25" customWidth="1"/>
    <col min="11773" max="12017" width="11.44140625" style="25"/>
    <col min="12018" max="12018" width="8.44140625" style="25" customWidth="1"/>
    <col min="12019" max="12027" width="17.44140625" style="25" customWidth="1"/>
    <col min="12028" max="12028" width="13" style="25" customWidth="1"/>
    <col min="12029" max="12273" width="11.44140625" style="25"/>
    <col min="12274" max="12274" width="8.44140625" style="25" customWidth="1"/>
    <col min="12275" max="12283" width="17.44140625" style="25" customWidth="1"/>
    <col min="12284" max="12284" width="13" style="25" customWidth="1"/>
    <col min="12285" max="12529" width="11.44140625" style="25"/>
    <col min="12530" max="12530" width="8.44140625" style="25" customWidth="1"/>
    <col min="12531" max="12539" width="17.44140625" style="25" customWidth="1"/>
    <col min="12540" max="12540" width="13" style="25" customWidth="1"/>
    <col min="12541" max="12785" width="11.44140625" style="25"/>
    <col min="12786" max="12786" width="8.44140625" style="25" customWidth="1"/>
    <col min="12787" max="12795" width="17.44140625" style="25" customWidth="1"/>
    <col min="12796" max="12796" width="13" style="25" customWidth="1"/>
    <col min="12797" max="13041" width="11.44140625" style="25"/>
    <col min="13042" max="13042" width="8.44140625" style="25" customWidth="1"/>
    <col min="13043" max="13051" width="17.44140625" style="25" customWidth="1"/>
    <col min="13052" max="13052" width="13" style="25" customWidth="1"/>
    <col min="13053" max="13297" width="11.44140625" style="25"/>
    <col min="13298" max="13298" width="8.44140625" style="25" customWidth="1"/>
    <col min="13299" max="13307" width="17.44140625" style="25" customWidth="1"/>
    <col min="13308" max="13308" width="13" style="25" customWidth="1"/>
    <col min="13309" max="13553" width="11.44140625" style="25"/>
    <col min="13554" max="13554" width="8.44140625" style="25" customWidth="1"/>
    <col min="13555" max="13563" width="17.44140625" style="25" customWidth="1"/>
    <col min="13564" max="13564" width="13" style="25" customWidth="1"/>
    <col min="13565" max="13809" width="11.44140625" style="25"/>
    <col min="13810" max="13810" width="8.44140625" style="25" customWidth="1"/>
    <col min="13811" max="13819" width="17.44140625" style="25" customWidth="1"/>
    <col min="13820" max="13820" width="13" style="25" customWidth="1"/>
    <col min="13821" max="14065" width="11.44140625" style="25"/>
    <col min="14066" max="14066" width="8.44140625" style="25" customWidth="1"/>
    <col min="14067" max="14075" width="17.44140625" style="25" customWidth="1"/>
    <col min="14076" max="14076" width="13" style="25" customWidth="1"/>
    <col min="14077" max="14321" width="11.44140625" style="25"/>
    <col min="14322" max="14322" width="8.44140625" style="25" customWidth="1"/>
    <col min="14323" max="14331" width="17.44140625" style="25" customWidth="1"/>
    <col min="14332" max="14332" width="13" style="25" customWidth="1"/>
    <col min="14333" max="14577" width="11.44140625" style="25"/>
    <col min="14578" max="14578" width="8.44140625" style="25" customWidth="1"/>
    <col min="14579" max="14587" width="17.44140625" style="25" customWidth="1"/>
    <col min="14588" max="14588" width="13" style="25" customWidth="1"/>
    <col min="14589" max="14833" width="11.44140625" style="25"/>
    <col min="14834" max="14834" width="8.44140625" style="25" customWidth="1"/>
    <col min="14835" max="14843" width="17.44140625" style="25" customWidth="1"/>
    <col min="14844" max="14844" width="13" style="25" customWidth="1"/>
    <col min="14845" max="15089" width="11.44140625" style="25"/>
    <col min="15090" max="15090" width="8.44140625" style="25" customWidth="1"/>
    <col min="15091" max="15099" width="17.44140625" style="25" customWidth="1"/>
    <col min="15100" max="15100" width="13" style="25" customWidth="1"/>
    <col min="15101" max="15345" width="11.44140625" style="25"/>
    <col min="15346" max="15346" width="8.44140625" style="25" customWidth="1"/>
    <col min="15347" max="15355" width="17.44140625" style="25" customWidth="1"/>
    <col min="15356" max="15356" width="13" style="25" customWidth="1"/>
    <col min="15357" max="15601" width="11.44140625" style="25"/>
    <col min="15602" max="15602" width="8.44140625" style="25" customWidth="1"/>
    <col min="15603" max="15611" width="17.44140625" style="25" customWidth="1"/>
    <col min="15612" max="15612" width="13" style="25" customWidth="1"/>
    <col min="15613" max="15857" width="11.44140625" style="25"/>
    <col min="15858" max="15858" width="8.44140625" style="25" customWidth="1"/>
    <col min="15859" max="15867" width="17.44140625" style="25" customWidth="1"/>
    <col min="15868" max="15868" width="13" style="25" customWidth="1"/>
    <col min="15869" max="16113" width="11.44140625" style="25"/>
    <col min="16114" max="16114" width="8.44140625" style="25" customWidth="1"/>
    <col min="16115" max="16123" width="17.44140625" style="25" customWidth="1"/>
    <col min="16124" max="16124" width="13" style="25" customWidth="1"/>
    <col min="16125" max="16384" width="11.44140625" style="25"/>
  </cols>
  <sheetData>
    <row r="1" spans="1:9" s="34" customFormat="1" ht="40.049999999999997" customHeight="1">
      <c r="A1" s="961" t="s">
        <v>6</v>
      </c>
      <c r="B1" s="961"/>
      <c r="C1" s="961"/>
      <c r="D1" s="961"/>
      <c r="E1" s="961"/>
      <c r="F1" s="961"/>
      <c r="G1" s="961"/>
      <c r="H1" s="961"/>
      <c r="I1" s="961"/>
    </row>
    <row r="2" spans="1:9" s="35" customFormat="1" ht="15" customHeight="1">
      <c r="A2" s="31"/>
      <c r="B2" s="10"/>
      <c r="C2" s="795"/>
      <c r="D2" s="10"/>
      <c r="E2" s="10"/>
      <c r="F2" s="10"/>
      <c r="G2" s="10"/>
      <c r="H2" s="10"/>
      <c r="I2" s="10"/>
    </row>
    <row r="3" spans="1:9" s="24" customFormat="1" ht="49.5" customHeight="1">
      <c r="A3" s="36" t="s">
        <v>1</v>
      </c>
      <c r="B3" s="1" t="s">
        <v>306</v>
      </c>
      <c r="C3" s="1" t="s">
        <v>156</v>
      </c>
      <c r="D3" s="1" t="s">
        <v>157</v>
      </c>
      <c r="E3" s="1" t="s">
        <v>158</v>
      </c>
      <c r="F3" s="1" t="s">
        <v>238</v>
      </c>
      <c r="G3" s="1" t="s">
        <v>239</v>
      </c>
      <c r="H3" s="1" t="s">
        <v>240</v>
      </c>
      <c r="I3" s="1" t="s">
        <v>241</v>
      </c>
    </row>
    <row r="4" spans="1:9" ht="15" customHeight="1">
      <c r="A4" s="36">
        <v>1</v>
      </c>
      <c r="B4" s="12">
        <f>'Composição Faturamento 2'!I4+'Composição Faturamento 2'!D4</f>
        <v>69035328.977785349</v>
      </c>
      <c r="C4" s="313">
        <v>0.01</v>
      </c>
      <c r="D4" s="12">
        <f t="shared" ref="D4:D33" si="0" xml:space="preserve"> ( ( B4 ) * ( C4 ) )</f>
        <v>690353.28977785353</v>
      </c>
      <c r="E4" s="12">
        <f t="shared" ref="E4:E33" si="1" xml:space="preserve"> ( ( B4 ) - ( ( B4 ) * ( C4 ) ) )</f>
        <v>68344975.688007489</v>
      </c>
      <c r="F4" s="12">
        <f xml:space="preserve"> ( $D4 )</f>
        <v>690353.28977785353</v>
      </c>
      <c r="G4" s="8">
        <v>0</v>
      </c>
      <c r="H4" s="12">
        <v>0</v>
      </c>
      <c r="I4" s="12">
        <f>F4-H4</f>
        <v>690353.28977785353</v>
      </c>
    </row>
    <row r="5" spans="1:9" ht="15" customHeight="1">
      <c r="A5" s="36">
        <f xml:space="preserve"> ( ( A4 ) + ( 1 ) )</f>
        <v>2</v>
      </c>
      <c r="B5" s="12">
        <f>'Composição Faturamento 2'!I5+'Composição Faturamento 2'!D5</f>
        <v>69999471.284990028</v>
      </c>
      <c r="C5" s="313">
        <v>0.01</v>
      </c>
      <c r="D5" s="12">
        <f t="shared" si="0"/>
        <v>699994.71284990024</v>
      </c>
      <c r="E5" s="12">
        <f t="shared" si="1"/>
        <v>69299476.572140127</v>
      </c>
      <c r="F5" s="12">
        <f t="shared" ref="F5:F33" si="2" xml:space="preserve"> ( $D5 )</f>
        <v>699994.71284990024</v>
      </c>
      <c r="G5" s="8">
        <v>0</v>
      </c>
      <c r="H5" s="12">
        <f>F4*G5</f>
        <v>0</v>
      </c>
      <c r="I5" s="12">
        <f>F5-H5</f>
        <v>699994.71284990024</v>
      </c>
    </row>
    <row r="6" spans="1:9" ht="15" customHeight="1">
      <c r="A6" s="36">
        <f t="shared" ref="A6:A33" si="3" xml:space="preserve"> ( ( A5 ) + ( 1 ) )</f>
        <v>3</v>
      </c>
      <c r="B6" s="12">
        <f>'Composição Faturamento 2'!I6+'Composição Faturamento 2'!D6</f>
        <v>71673249.728116661</v>
      </c>
      <c r="C6" s="313">
        <v>0.01</v>
      </c>
      <c r="D6" s="12">
        <f t="shared" si="0"/>
        <v>716732.49728116661</v>
      </c>
      <c r="E6" s="12">
        <f t="shared" si="1"/>
        <v>70956517.230835497</v>
      </c>
      <c r="F6" s="12">
        <f t="shared" si="2"/>
        <v>716732.49728116661</v>
      </c>
      <c r="G6" s="8">
        <v>0</v>
      </c>
      <c r="H6" s="12">
        <f t="shared" ref="H6:H33" si="4">F5*G6</f>
        <v>0</v>
      </c>
      <c r="I6" s="12">
        <f t="shared" ref="I6:I33" si="5">F6-H6</f>
        <v>716732.49728116661</v>
      </c>
    </row>
    <row r="7" spans="1:9" ht="15" customHeight="1">
      <c r="A7" s="36">
        <f t="shared" si="3"/>
        <v>4</v>
      </c>
      <c r="B7" s="12">
        <f>'Composição Faturamento 2'!I7+'Composição Faturamento 2'!D7</f>
        <v>80541051.264876887</v>
      </c>
      <c r="C7" s="313">
        <v>0.01</v>
      </c>
      <c r="D7" s="12">
        <f t="shared" si="0"/>
        <v>805410.51264876884</v>
      </c>
      <c r="E7" s="12">
        <f t="shared" si="1"/>
        <v>79735640.752228111</v>
      </c>
      <c r="F7" s="12">
        <f t="shared" si="2"/>
        <v>805410.51264876884</v>
      </c>
      <c r="G7" s="218">
        <v>0.3</v>
      </c>
      <c r="H7" s="12">
        <f>F6*G7</f>
        <v>215019.74918434999</v>
      </c>
      <c r="I7" s="12">
        <f t="shared" si="5"/>
        <v>590390.76346441882</v>
      </c>
    </row>
    <row r="8" spans="1:9" ht="15" customHeight="1">
      <c r="A8" s="36">
        <f t="shared" si="3"/>
        <v>5</v>
      </c>
      <c r="B8" s="12">
        <f>'Composição Faturamento 2'!I8+'Composição Faturamento 2'!D8</f>
        <v>89766586.304741919</v>
      </c>
      <c r="C8" s="313">
        <v>0.01</v>
      </c>
      <c r="D8" s="12">
        <f t="shared" si="0"/>
        <v>897665.86304741923</v>
      </c>
      <c r="E8" s="12">
        <f t="shared" si="1"/>
        <v>88868920.441694498</v>
      </c>
      <c r="F8" s="12">
        <f t="shared" si="2"/>
        <v>897665.86304741923</v>
      </c>
      <c r="G8" s="218">
        <v>0.3</v>
      </c>
      <c r="H8" s="12">
        <f t="shared" si="4"/>
        <v>241623.15379463063</v>
      </c>
      <c r="I8" s="12">
        <f t="shared" si="5"/>
        <v>656042.70925278857</v>
      </c>
    </row>
    <row r="9" spans="1:9" ht="15" customHeight="1">
      <c r="A9" s="36">
        <f t="shared" si="3"/>
        <v>6</v>
      </c>
      <c r="B9" s="12">
        <f>'Composição Faturamento 2'!I9+'Composição Faturamento 2'!D9</f>
        <v>98386334.063960373</v>
      </c>
      <c r="C9" s="313">
        <v>0.01</v>
      </c>
      <c r="D9" s="12">
        <f t="shared" si="0"/>
        <v>983863.34063960379</v>
      </c>
      <c r="E9" s="12">
        <f t="shared" si="1"/>
        <v>97402470.723320767</v>
      </c>
      <c r="F9" s="12">
        <f t="shared" si="2"/>
        <v>983863.34063960379</v>
      </c>
      <c r="G9" s="218">
        <v>0.3</v>
      </c>
      <c r="H9" s="12">
        <f t="shared" si="4"/>
        <v>269299.75891422573</v>
      </c>
      <c r="I9" s="12">
        <f t="shared" si="5"/>
        <v>714563.58172537806</v>
      </c>
    </row>
    <row r="10" spans="1:9" ht="15" customHeight="1">
      <c r="A10" s="36">
        <f t="shared" si="3"/>
        <v>7</v>
      </c>
      <c r="B10" s="12">
        <f>'Composição Faturamento 2'!I10+'Composição Faturamento 2'!D10</f>
        <v>103434012.97767884</v>
      </c>
      <c r="C10" s="313">
        <v>0.01</v>
      </c>
      <c r="D10" s="12">
        <f t="shared" si="0"/>
        <v>1034340.1297767884</v>
      </c>
      <c r="E10" s="12">
        <f t="shared" si="1"/>
        <v>102399672.84790204</v>
      </c>
      <c r="F10" s="12">
        <f t="shared" si="2"/>
        <v>1034340.1297767884</v>
      </c>
      <c r="G10" s="218">
        <v>0.3</v>
      </c>
      <c r="H10" s="12">
        <f t="shared" si="4"/>
        <v>295159.00219188113</v>
      </c>
      <c r="I10" s="12">
        <f t="shared" si="5"/>
        <v>739181.12758490723</v>
      </c>
    </row>
    <row r="11" spans="1:9" ht="15" customHeight="1">
      <c r="A11" s="36">
        <f t="shared" si="3"/>
        <v>8</v>
      </c>
      <c r="B11" s="12">
        <f>'Composição Faturamento 2'!I11+'Composição Faturamento 2'!D11</f>
        <v>108579793.29589942</v>
      </c>
      <c r="C11" s="313">
        <v>0.01</v>
      </c>
      <c r="D11" s="12">
        <f t="shared" si="0"/>
        <v>1085797.9329589943</v>
      </c>
      <c r="E11" s="12">
        <f t="shared" si="1"/>
        <v>107493995.36294043</v>
      </c>
      <c r="F11" s="12">
        <f t="shared" si="2"/>
        <v>1085797.9329589943</v>
      </c>
      <c r="G11" s="218">
        <v>0.3</v>
      </c>
      <c r="H11" s="12">
        <f t="shared" si="4"/>
        <v>310302.0389330365</v>
      </c>
      <c r="I11" s="12">
        <f t="shared" si="5"/>
        <v>775495.89402595779</v>
      </c>
    </row>
    <row r="12" spans="1:9" ht="15" customHeight="1">
      <c r="A12" s="36">
        <f t="shared" si="3"/>
        <v>9</v>
      </c>
      <c r="B12" s="12">
        <f>'Composição Faturamento 2'!I12+'Composição Faturamento 2'!D12</f>
        <v>113820610.91023666</v>
      </c>
      <c r="C12" s="313">
        <v>0.01</v>
      </c>
      <c r="D12" s="12">
        <f t="shared" si="0"/>
        <v>1138206.1091023665</v>
      </c>
      <c r="E12" s="12">
        <f t="shared" si="1"/>
        <v>112682404.80113429</v>
      </c>
      <c r="F12" s="12">
        <f t="shared" si="2"/>
        <v>1138206.1091023665</v>
      </c>
      <c r="G12" s="218">
        <v>0.3</v>
      </c>
      <c r="H12" s="12">
        <f t="shared" si="4"/>
        <v>325739.37988769828</v>
      </c>
      <c r="I12" s="12">
        <f t="shared" si="5"/>
        <v>812466.72921466827</v>
      </c>
    </row>
    <row r="13" spans="1:9" ht="15" customHeight="1">
      <c r="A13" s="36">
        <f t="shared" si="3"/>
        <v>10</v>
      </c>
      <c r="B13" s="12">
        <f>'Composição Faturamento 2'!I13+'Composição Faturamento 2'!D13</f>
        <v>115250569.12498172</v>
      </c>
      <c r="C13" s="313">
        <v>0.01</v>
      </c>
      <c r="D13" s="12">
        <f t="shared" si="0"/>
        <v>1152505.6912498171</v>
      </c>
      <c r="E13" s="12">
        <f t="shared" si="1"/>
        <v>114098063.4337319</v>
      </c>
      <c r="F13" s="12">
        <f t="shared" si="2"/>
        <v>1152505.6912498171</v>
      </c>
      <c r="G13" s="218">
        <v>0.3</v>
      </c>
      <c r="H13" s="12">
        <f t="shared" si="4"/>
        <v>341461.83273070992</v>
      </c>
      <c r="I13" s="12">
        <f t="shared" si="5"/>
        <v>811043.85851910722</v>
      </c>
    </row>
    <row r="14" spans="1:9" ht="15" customHeight="1">
      <c r="A14" s="36">
        <f t="shared" si="3"/>
        <v>11</v>
      </c>
      <c r="B14" s="12">
        <f>'Composição Faturamento 2'!I14+'Composição Faturamento 2'!D14</f>
        <v>116679956.90769733</v>
      </c>
      <c r="C14" s="313">
        <v>0.01</v>
      </c>
      <c r="D14" s="12">
        <f t="shared" si="0"/>
        <v>1166799.5690769735</v>
      </c>
      <c r="E14" s="12">
        <f t="shared" si="1"/>
        <v>115513157.33862036</v>
      </c>
      <c r="F14" s="12">
        <f t="shared" si="2"/>
        <v>1166799.5690769735</v>
      </c>
      <c r="G14" s="218">
        <v>0.3</v>
      </c>
      <c r="H14" s="12">
        <f t="shared" si="4"/>
        <v>345751.70737494511</v>
      </c>
      <c r="I14" s="12">
        <f t="shared" si="5"/>
        <v>821047.86170202843</v>
      </c>
    </row>
    <row r="15" spans="1:9" ht="15" customHeight="1">
      <c r="A15" s="36">
        <f t="shared" si="3"/>
        <v>12</v>
      </c>
      <c r="B15" s="12">
        <f>'Composição Faturamento 2'!I15+'Composição Faturamento 2'!D15</f>
        <v>118110538.53431644</v>
      </c>
      <c r="C15" s="313">
        <v>0.01</v>
      </c>
      <c r="D15" s="12">
        <f t="shared" si="0"/>
        <v>1181105.3853431644</v>
      </c>
      <c r="E15" s="12">
        <f t="shared" si="1"/>
        <v>116929433.14897327</v>
      </c>
      <c r="F15" s="12">
        <f t="shared" si="2"/>
        <v>1181105.3853431644</v>
      </c>
      <c r="G15" s="218">
        <v>0.3</v>
      </c>
      <c r="H15" s="12">
        <f t="shared" si="4"/>
        <v>350039.87072309206</v>
      </c>
      <c r="I15" s="12">
        <f t="shared" si="5"/>
        <v>831065.51462007244</v>
      </c>
    </row>
    <row r="16" spans="1:9" ht="15" customHeight="1">
      <c r="A16" s="36">
        <f t="shared" si="3"/>
        <v>13</v>
      </c>
      <c r="B16" s="12">
        <f>'Composição Faturamento 2'!I16+'Composição Faturamento 2'!D16</f>
        <v>119539926.31661256</v>
      </c>
      <c r="C16" s="313">
        <v>0.01</v>
      </c>
      <c r="D16" s="12">
        <f t="shared" si="0"/>
        <v>1195399.2631661256</v>
      </c>
      <c r="E16" s="12">
        <f t="shared" si="1"/>
        <v>118344527.05344643</v>
      </c>
      <c r="F16" s="12">
        <f t="shared" si="2"/>
        <v>1195399.2631661256</v>
      </c>
      <c r="G16" s="218">
        <v>0.3</v>
      </c>
      <c r="H16" s="12">
        <f t="shared" si="4"/>
        <v>354331.61560294934</v>
      </c>
      <c r="I16" s="12">
        <f t="shared" si="5"/>
        <v>841067.64756317623</v>
      </c>
    </row>
    <row r="17" spans="1:9" ht="15" customHeight="1">
      <c r="A17" s="36">
        <f t="shared" si="3"/>
        <v>14</v>
      </c>
      <c r="B17" s="12">
        <f>'Composição Faturamento 2'!I17+'Composição Faturamento 2'!D17</f>
        <v>120969884.53269316</v>
      </c>
      <c r="C17" s="313">
        <v>0.01</v>
      </c>
      <c r="D17" s="12">
        <f t="shared" si="0"/>
        <v>1209698.8453269317</v>
      </c>
      <c r="E17" s="12">
        <f t="shared" si="1"/>
        <v>119760185.68736623</v>
      </c>
      <c r="F17" s="12">
        <f t="shared" si="2"/>
        <v>1209698.8453269317</v>
      </c>
      <c r="G17" s="218">
        <v>0.3</v>
      </c>
      <c r="H17" s="12">
        <f t="shared" si="4"/>
        <v>358619.77894983767</v>
      </c>
      <c r="I17" s="12">
        <f t="shared" si="5"/>
        <v>851079.06637709402</v>
      </c>
    </row>
    <row r="18" spans="1:9" ht="15" customHeight="1">
      <c r="A18" s="36">
        <f t="shared" si="3"/>
        <v>15</v>
      </c>
      <c r="B18" s="12">
        <f>'Composição Faturamento 2'!I18+'Composição Faturamento 2'!D18</f>
        <v>122400313.9526308</v>
      </c>
      <c r="C18" s="313">
        <v>0.01</v>
      </c>
      <c r="D18" s="12">
        <f t="shared" si="0"/>
        <v>1224003.139526308</v>
      </c>
      <c r="E18" s="12">
        <f t="shared" si="1"/>
        <v>121176310.8131045</v>
      </c>
      <c r="F18" s="12">
        <f t="shared" si="2"/>
        <v>1224003.139526308</v>
      </c>
      <c r="G18" s="218">
        <v>0.3</v>
      </c>
      <c r="H18" s="12">
        <f t="shared" si="4"/>
        <v>362909.65359807952</v>
      </c>
      <c r="I18" s="12">
        <f t="shared" si="5"/>
        <v>861093.48592822859</v>
      </c>
    </row>
    <row r="19" spans="1:9" ht="15" customHeight="1">
      <c r="A19" s="36">
        <f t="shared" si="3"/>
        <v>16</v>
      </c>
      <c r="B19" s="12">
        <f>'Composição Faturamento 2'!I19+'Composição Faturamento 2'!D19</f>
        <v>123830272.17093837</v>
      </c>
      <c r="C19" s="313">
        <v>0.01</v>
      </c>
      <c r="D19" s="12">
        <f t="shared" si="0"/>
        <v>1238302.7217093837</v>
      </c>
      <c r="E19" s="12">
        <f t="shared" si="1"/>
        <v>122591969.44922899</v>
      </c>
      <c r="F19" s="12">
        <f t="shared" si="2"/>
        <v>1238302.7217093837</v>
      </c>
      <c r="G19" s="218">
        <v>0.3</v>
      </c>
      <c r="H19" s="12">
        <f t="shared" si="4"/>
        <v>367200.94185789238</v>
      </c>
      <c r="I19" s="12">
        <f t="shared" si="5"/>
        <v>871101.77985149133</v>
      </c>
    </row>
    <row r="20" spans="1:9" ht="15" customHeight="1">
      <c r="A20" s="36">
        <f t="shared" si="3"/>
        <v>17</v>
      </c>
      <c r="B20" s="12">
        <f>'Composição Faturamento 2'!I20+'Composição Faturamento 2'!D20</f>
        <v>125260821.51458113</v>
      </c>
      <c r="C20" s="313">
        <v>0.01</v>
      </c>
      <c r="D20" s="12">
        <f t="shared" si="0"/>
        <v>1252608.2151458112</v>
      </c>
      <c r="E20" s="12">
        <f t="shared" si="1"/>
        <v>124008213.29943532</v>
      </c>
      <c r="F20" s="12">
        <f t="shared" si="2"/>
        <v>1252608.2151458112</v>
      </c>
      <c r="G20" s="218">
        <v>0.3</v>
      </c>
      <c r="H20" s="12">
        <f t="shared" si="4"/>
        <v>371490.81651281507</v>
      </c>
      <c r="I20" s="12">
        <f t="shared" si="5"/>
        <v>881117.39863299613</v>
      </c>
    </row>
    <row r="21" spans="1:9" ht="15" customHeight="1">
      <c r="A21" s="36">
        <f t="shared" si="3"/>
        <v>18</v>
      </c>
      <c r="B21" s="12">
        <f>'Composição Faturamento 2'!I21+'Composição Faturamento 2'!D21</f>
        <v>126701188.07746308</v>
      </c>
      <c r="C21" s="313">
        <v>0.01</v>
      </c>
      <c r="D21" s="12">
        <f t="shared" si="0"/>
        <v>1267011.8807746307</v>
      </c>
      <c r="E21" s="12">
        <f t="shared" si="1"/>
        <v>125434176.19668844</v>
      </c>
      <c r="F21" s="12">
        <f t="shared" si="2"/>
        <v>1267011.8807746307</v>
      </c>
      <c r="G21" s="218">
        <v>0.3</v>
      </c>
      <c r="H21" s="12">
        <f t="shared" si="4"/>
        <v>375782.46454374335</v>
      </c>
      <c r="I21" s="12">
        <f t="shared" si="5"/>
        <v>891229.41623088741</v>
      </c>
    </row>
    <row r="22" spans="1:9" s="24" customFormat="1" ht="15" customHeight="1">
      <c r="A22" s="36">
        <f t="shared" si="3"/>
        <v>19</v>
      </c>
      <c r="B22" s="12">
        <f>'Composição Faturamento 2'!I22+'Composição Faturamento 2'!D22</f>
        <v>128157333.66510889</v>
      </c>
      <c r="C22" s="313">
        <v>0.01</v>
      </c>
      <c r="D22" s="12">
        <f t="shared" si="0"/>
        <v>1281573.3366510889</v>
      </c>
      <c r="E22" s="12">
        <f t="shared" si="1"/>
        <v>126875760.3284578</v>
      </c>
      <c r="F22" s="12">
        <f t="shared" si="2"/>
        <v>1281573.3366510889</v>
      </c>
      <c r="G22" s="218">
        <v>0.3</v>
      </c>
      <c r="H22" s="12">
        <f t="shared" si="4"/>
        <v>380103.56423238921</v>
      </c>
      <c r="I22" s="12">
        <f t="shared" si="5"/>
        <v>901469.77241869969</v>
      </c>
    </row>
    <row r="23" spans="1:9" ht="15" customHeight="1">
      <c r="A23" s="36">
        <f t="shared" si="3"/>
        <v>20</v>
      </c>
      <c r="B23" s="12">
        <f>'Composição Faturamento 2'!I23+'Composição Faturamento 2'!D23</f>
        <v>129631613.66098121</v>
      </c>
      <c r="C23" s="313">
        <v>0.01</v>
      </c>
      <c r="D23" s="12">
        <f t="shared" si="0"/>
        <v>1296316.136609812</v>
      </c>
      <c r="E23" s="12">
        <f t="shared" si="1"/>
        <v>128335297.5243714</v>
      </c>
      <c r="F23" s="12">
        <f t="shared" si="2"/>
        <v>1296316.136609812</v>
      </c>
      <c r="G23" s="218">
        <v>0.3</v>
      </c>
      <c r="H23" s="12">
        <f t="shared" si="4"/>
        <v>384472.00099532667</v>
      </c>
      <c r="I23" s="12">
        <f t="shared" si="5"/>
        <v>911844.13561448536</v>
      </c>
    </row>
    <row r="24" spans="1:9" ht="15" customHeight="1">
      <c r="A24" s="36">
        <f t="shared" si="3"/>
        <v>21</v>
      </c>
      <c r="B24" s="12">
        <f>'Composição Faturamento 2'!I24+'Composição Faturamento 2'!D24</f>
        <v>131122799.54854304</v>
      </c>
      <c r="C24" s="313">
        <v>0.01</v>
      </c>
      <c r="D24" s="12">
        <f t="shared" si="0"/>
        <v>1311227.9954854304</v>
      </c>
      <c r="E24" s="12">
        <f t="shared" si="1"/>
        <v>129811571.55305761</v>
      </c>
      <c r="F24" s="12">
        <f t="shared" si="2"/>
        <v>1311227.9954854304</v>
      </c>
      <c r="G24" s="218">
        <v>0.3</v>
      </c>
      <c r="H24" s="12">
        <f t="shared" si="4"/>
        <v>388894.8409829436</v>
      </c>
      <c r="I24" s="12">
        <f t="shared" si="5"/>
        <v>922333.15450248681</v>
      </c>
    </row>
    <row r="25" spans="1:9" ht="15" customHeight="1">
      <c r="A25" s="36">
        <f t="shared" si="3"/>
        <v>22</v>
      </c>
      <c r="B25" s="12">
        <f>'Composição Faturamento 2'!I25+'Composição Faturamento 2'!D25</f>
        <v>132631259.01206395</v>
      </c>
      <c r="C25" s="313">
        <v>0.01</v>
      </c>
      <c r="D25" s="12">
        <f t="shared" si="0"/>
        <v>1326312.5901206394</v>
      </c>
      <c r="E25" s="12">
        <f t="shared" si="1"/>
        <v>131304946.42194331</v>
      </c>
      <c r="F25" s="12">
        <f t="shared" si="2"/>
        <v>1326312.5901206394</v>
      </c>
      <c r="G25" s="218">
        <v>0.3</v>
      </c>
      <c r="H25" s="12">
        <f t="shared" si="4"/>
        <v>393368.39864562912</v>
      </c>
      <c r="I25" s="12">
        <f t="shared" si="5"/>
        <v>932944.19147501024</v>
      </c>
    </row>
    <row r="26" spans="1:9" s="24" customFormat="1" ht="15" customHeight="1">
      <c r="A26" s="36">
        <f t="shared" si="3"/>
        <v>23</v>
      </c>
      <c r="B26" s="12">
        <f>'Composição Faturamento 2'!I26+'Composição Faturamento 2'!D26</f>
        <v>134156539.12615046</v>
      </c>
      <c r="C26" s="313">
        <v>0.01</v>
      </c>
      <c r="D26" s="12">
        <f t="shared" si="0"/>
        <v>1341565.3912615047</v>
      </c>
      <c r="E26" s="12">
        <f t="shared" si="1"/>
        <v>132814973.73488896</v>
      </c>
      <c r="F26" s="12">
        <f t="shared" si="2"/>
        <v>1341565.3912615047</v>
      </c>
      <c r="G26" s="218">
        <v>0.3</v>
      </c>
      <c r="H26" s="12">
        <f t="shared" si="4"/>
        <v>397893.77703619184</v>
      </c>
      <c r="I26" s="12">
        <f t="shared" si="5"/>
        <v>943671.61422531283</v>
      </c>
    </row>
    <row r="27" spans="1:9" s="24" customFormat="1" ht="15" customHeight="1">
      <c r="A27" s="36">
        <f t="shared" si="3"/>
        <v>24</v>
      </c>
      <c r="B27" s="12">
        <f>'Composição Faturamento 2'!I27+'Composição Faturamento 2'!D27</f>
        <v>135700304.91370463</v>
      </c>
      <c r="C27" s="313">
        <v>0.01</v>
      </c>
      <c r="D27" s="12">
        <f t="shared" si="0"/>
        <v>1357003.0491370463</v>
      </c>
      <c r="E27" s="12">
        <f t="shared" si="1"/>
        <v>134343301.86456758</v>
      </c>
      <c r="F27" s="12">
        <f t="shared" si="2"/>
        <v>1357003.0491370463</v>
      </c>
      <c r="G27" s="218">
        <v>0.3</v>
      </c>
      <c r="H27" s="12">
        <f t="shared" si="4"/>
        <v>402469.6173784514</v>
      </c>
      <c r="I27" s="12">
        <f t="shared" si="5"/>
        <v>954533.43175859493</v>
      </c>
    </row>
    <row r="28" spans="1:9" ht="15" customHeight="1">
      <c r="A28" s="36">
        <f t="shared" si="3"/>
        <v>25</v>
      </c>
      <c r="B28" s="12">
        <f>'Composição Faturamento 2'!I28+'Composição Faturamento 2'!D28</f>
        <v>137262988.61433053</v>
      </c>
      <c r="C28" s="313">
        <v>0.01</v>
      </c>
      <c r="D28" s="12">
        <f t="shared" si="0"/>
        <v>1372629.8861433053</v>
      </c>
      <c r="E28" s="12">
        <f t="shared" si="1"/>
        <v>135890358.72818723</v>
      </c>
      <c r="F28" s="12">
        <f t="shared" si="2"/>
        <v>1372629.8861433053</v>
      </c>
      <c r="G28" s="218">
        <v>0.3</v>
      </c>
      <c r="H28" s="12">
        <f t="shared" si="4"/>
        <v>407100.9147411139</v>
      </c>
      <c r="I28" s="12">
        <f t="shared" si="5"/>
        <v>965528.97140219144</v>
      </c>
    </row>
    <row r="29" spans="1:9" ht="15" customHeight="1">
      <c r="A29" s="36">
        <f t="shared" si="3"/>
        <v>26</v>
      </c>
      <c r="B29" s="12">
        <f>'Composição Faturamento 2'!I29+'Composição Faturamento 2'!D29</f>
        <v>138841419.0705387</v>
      </c>
      <c r="C29" s="313">
        <v>0.01</v>
      </c>
      <c r="D29" s="12">
        <f t="shared" si="0"/>
        <v>1388414.1907053869</v>
      </c>
      <c r="E29" s="12">
        <f t="shared" si="1"/>
        <v>137453004.87983331</v>
      </c>
      <c r="F29" s="12">
        <f t="shared" si="2"/>
        <v>1388414.1907053869</v>
      </c>
      <c r="G29" s="218">
        <v>0.3</v>
      </c>
      <c r="H29" s="12">
        <f t="shared" si="4"/>
        <v>411788.9658429916</v>
      </c>
      <c r="I29" s="12">
        <f t="shared" si="5"/>
        <v>976625.22486239532</v>
      </c>
    </row>
    <row r="30" spans="1:9" ht="15" customHeight="1">
      <c r="A30" s="36">
        <f t="shared" si="3"/>
        <v>27</v>
      </c>
      <c r="B30" s="12">
        <f>'Composição Faturamento 2'!I30+'Composição Faturamento 2'!D30</f>
        <v>140438788.1325992</v>
      </c>
      <c r="C30" s="313">
        <v>0.01</v>
      </c>
      <c r="D30" s="12">
        <f t="shared" si="0"/>
        <v>1404387.8813259921</v>
      </c>
      <c r="E30" s="12">
        <f t="shared" si="1"/>
        <v>139034400.25127321</v>
      </c>
      <c r="F30" s="12">
        <f t="shared" si="2"/>
        <v>1404387.8813259921</v>
      </c>
      <c r="G30" s="218">
        <v>0.3</v>
      </c>
      <c r="H30" s="12">
        <f t="shared" si="4"/>
        <v>416524.25721161609</v>
      </c>
      <c r="I30" s="12">
        <f t="shared" si="5"/>
        <v>987863.62411437603</v>
      </c>
    </row>
    <row r="31" spans="1:9" ht="15" customHeight="1">
      <c r="A31" s="36">
        <f t="shared" si="3"/>
        <v>28</v>
      </c>
      <c r="B31" s="12">
        <f>'Composição Faturamento 2'!I31+'Composição Faturamento 2'!D31</f>
        <v>142054622.16839328</v>
      </c>
      <c r="C31" s="313">
        <v>0.01</v>
      </c>
      <c r="D31" s="12">
        <f t="shared" si="0"/>
        <v>1420546.2216839329</v>
      </c>
      <c r="E31" s="12">
        <f t="shared" si="1"/>
        <v>140634075.94670936</v>
      </c>
      <c r="F31" s="12">
        <f t="shared" si="2"/>
        <v>1420546.2216839329</v>
      </c>
      <c r="G31" s="218">
        <v>0.3</v>
      </c>
      <c r="H31" s="12">
        <f t="shared" si="4"/>
        <v>421316.36439779762</v>
      </c>
      <c r="I31" s="12">
        <f t="shared" si="5"/>
        <v>999229.85728613532</v>
      </c>
    </row>
    <row r="32" spans="1:9" ht="15" customHeight="1">
      <c r="A32" s="36">
        <f t="shared" si="3"/>
        <v>29</v>
      </c>
      <c r="B32" s="12">
        <f>'Composição Faturamento 2'!I32+'Composição Faturamento 2'!D32</f>
        <v>143688200.9886758</v>
      </c>
      <c r="C32" s="313">
        <v>0.01</v>
      </c>
      <c r="D32" s="12">
        <f t="shared" si="0"/>
        <v>1436882.0098867582</v>
      </c>
      <c r="E32" s="12">
        <f t="shared" si="1"/>
        <v>142251318.97878903</v>
      </c>
      <c r="F32" s="12">
        <f t="shared" si="2"/>
        <v>1436882.0098867582</v>
      </c>
      <c r="G32" s="218">
        <v>0.3</v>
      </c>
      <c r="H32" s="12">
        <f t="shared" si="4"/>
        <v>426163.86650517985</v>
      </c>
      <c r="I32" s="12">
        <f t="shared" si="5"/>
        <v>1010718.1433815784</v>
      </c>
    </row>
    <row r="33" spans="1:9" ht="15" customHeight="1">
      <c r="A33" s="36">
        <f t="shared" si="3"/>
        <v>30</v>
      </c>
      <c r="B33" s="12">
        <f>'Composição Faturamento 2'!I33+'Composição Faturamento 2'!D33</f>
        <v>145341254.14392287</v>
      </c>
      <c r="C33" s="313">
        <v>0.01</v>
      </c>
      <c r="D33" s="12">
        <f t="shared" si="0"/>
        <v>1453412.5414392287</v>
      </c>
      <c r="E33" s="12">
        <f t="shared" si="1"/>
        <v>143887841.60248363</v>
      </c>
      <c r="F33" s="12">
        <f t="shared" si="2"/>
        <v>1453412.5414392287</v>
      </c>
      <c r="G33" s="218">
        <v>0.3</v>
      </c>
      <c r="H33" s="12">
        <f t="shared" si="4"/>
        <v>431064.60296602745</v>
      </c>
      <c r="I33" s="12">
        <f t="shared" si="5"/>
        <v>1022347.9384732012</v>
      </c>
    </row>
    <row r="34" spans="1:9" s="24" customFormat="1" ht="15" customHeight="1">
      <c r="A34" s="2" t="s">
        <v>4</v>
      </c>
      <c r="B34" s="11">
        <f>'Composição Faturamento 2'!I34</f>
        <v>99300805.585738614</v>
      </c>
      <c r="C34" s="591"/>
      <c r="D34" s="11">
        <f xml:space="preserve"> SUM( $D4:$D33 )</f>
        <v>35330070.329852134</v>
      </c>
      <c r="E34" s="11">
        <f xml:space="preserve"> SUM( $E4:$E33 )</f>
        <v>3497676962.6553607</v>
      </c>
      <c r="F34" s="11">
        <f xml:space="preserve"> SUM( $F4:$F33 )</f>
        <v>35330070.329852134</v>
      </c>
      <c r="G34" s="11"/>
      <c r="H34" s="11">
        <f xml:space="preserve"> SUM( $H4:$H33 )</f>
        <v>9745892.9357355461</v>
      </c>
      <c r="I34" s="11">
        <f xml:space="preserve"> SUM( $I4:$I33 )</f>
        <v>25584177.394116588</v>
      </c>
    </row>
    <row r="37" spans="1:9" ht="15" customHeight="1">
      <c r="G37" s="24"/>
      <c r="H37" s="24"/>
      <c r="I37" s="311"/>
    </row>
  </sheetData>
  <mergeCells count="1">
    <mergeCell ref="A1:I1"/>
  </mergeCells>
  <printOptions horizontalCentered="1"/>
  <pageMargins left="1.3779527559055118" right="0.39370078740157483" top="1.1811023622047245" bottom="1.1811023622047245" header="0.31496062992125984" footer="0.31496062992125984"/>
  <pageSetup paperSize="8" scale="9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T97"/>
  <sheetViews>
    <sheetView showGridLines="0" topLeftCell="D1" zoomScale="70" zoomScaleNormal="70" workbookViewId="0">
      <selection activeCell="N4" sqref="N4"/>
    </sheetView>
  </sheetViews>
  <sheetFormatPr defaultColWidth="9.109375" defaultRowHeight="14.4"/>
  <cols>
    <col min="1" max="1" width="4.33203125" style="227" bestFit="1" customWidth="1"/>
    <col min="2" max="2" width="38.109375" style="227" bestFit="1" customWidth="1"/>
    <col min="3" max="3" width="15.33203125" style="227" bestFit="1" customWidth="1"/>
    <col min="4" max="4" width="13.44140625" style="227" bestFit="1" customWidth="1"/>
    <col min="5" max="5" width="4.33203125" style="245" bestFit="1" customWidth="1"/>
    <col min="6" max="6" width="40.44140625" style="245" customWidth="1"/>
    <col min="7" max="7" width="22.6640625" style="245" customWidth="1"/>
    <col min="8" max="8" width="13.77734375" style="241" customWidth="1"/>
    <col min="9" max="9" width="15.6640625" style="227" customWidth="1"/>
    <col min="10" max="10" width="9.109375" style="269"/>
    <col min="11" max="11" width="9.109375" style="227"/>
    <col min="12" max="12" width="5.6640625" style="227" bestFit="1" customWidth="1"/>
    <col min="13" max="13" width="53.33203125" style="227" bestFit="1" customWidth="1"/>
    <col min="14" max="15" width="18.77734375" style="227" customWidth="1"/>
    <col min="16" max="16" width="16.33203125" style="227" customWidth="1"/>
    <col min="17" max="17" width="14" style="227" bestFit="1" customWidth="1"/>
    <col min="18" max="18" width="9.109375" style="227"/>
    <col min="19" max="19" width="16.44140625" style="227" customWidth="1"/>
    <col min="20" max="16384" width="9.109375" style="227"/>
  </cols>
  <sheetData>
    <row r="1" spans="1:20" s="286" customFormat="1" ht="59.25" customHeight="1">
      <c r="A1" s="283" t="s">
        <v>475</v>
      </c>
      <c r="B1" s="284" t="s">
        <v>474</v>
      </c>
      <c r="C1" s="285" t="s">
        <v>473</v>
      </c>
      <c r="E1" s="287" t="s">
        <v>475</v>
      </c>
      <c r="F1" s="287" t="s">
        <v>474</v>
      </c>
      <c r="G1" s="288" t="s">
        <v>480</v>
      </c>
      <c r="H1" s="288" t="s">
        <v>477</v>
      </c>
      <c r="I1" s="288" t="s">
        <v>476</v>
      </c>
      <c r="J1" s="289"/>
      <c r="M1" s="288" t="s">
        <v>493</v>
      </c>
      <c r="N1" s="290" t="s">
        <v>480</v>
      </c>
      <c r="O1" s="290" t="s">
        <v>747</v>
      </c>
      <c r="P1" s="290" t="s">
        <v>522</v>
      </c>
      <c r="Q1" s="849"/>
      <c r="S1" s="288" t="s">
        <v>523</v>
      </c>
      <c r="T1" s="789">
        <v>0.8</v>
      </c>
    </row>
    <row r="2" spans="1:20">
      <c r="A2" s="236">
        <v>13</v>
      </c>
      <c r="B2" s="236" t="s">
        <v>461</v>
      </c>
      <c r="C2" s="237">
        <v>3361.1</v>
      </c>
      <c r="E2" s="236">
        <v>1</v>
      </c>
      <c r="F2" s="242" t="str">
        <f>VLOOKUP(E2,$A$2:$C$94,2,0)</f>
        <v>Auxiliar de serviços diversos</v>
      </c>
      <c r="G2" s="243">
        <f>(SUMIF($A$2:$A$94,E2,$C$2:$C$94))</f>
        <v>19072.32</v>
      </c>
      <c r="H2" s="240">
        <f>COUNTIF($A$2:$A$94,E2)</f>
        <v>8</v>
      </c>
      <c r="I2" s="247">
        <f>G2/H2</f>
        <v>2384.04</v>
      </c>
      <c r="J2" s="269" t="str">
        <f>F2</f>
        <v>Auxiliar de serviços diversos</v>
      </c>
      <c r="K2" s="269">
        <f>H2</f>
        <v>8</v>
      </c>
      <c r="M2" s="300" t="s">
        <v>121</v>
      </c>
      <c r="N2" s="301">
        <v>10000</v>
      </c>
      <c r="O2" s="627">
        <f>N2*(1-$Q$1)</f>
        <v>10000</v>
      </c>
      <c r="P2" s="301">
        <f>O2+(O2*$T$1)</f>
        <v>18000</v>
      </c>
      <c r="Q2" s="850"/>
    </row>
    <row r="3" spans="1:20">
      <c r="A3" s="236">
        <v>98</v>
      </c>
      <c r="B3" s="236" t="s">
        <v>472</v>
      </c>
      <c r="C3" s="237">
        <v>6878.53</v>
      </c>
      <c r="E3" s="236">
        <v>2</v>
      </c>
      <c r="F3" s="242" t="str">
        <f t="shared" ref="F3:F40" si="0">VLOOKUP(E3,$A$2:$C$94,2,0)</f>
        <v>Vigia</v>
      </c>
      <c r="G3" s="243">
        <f t="shared" ref="G3:G40" si="1">(SUMIF($A$2:$A$94,E3,$C$2:$C$94))</f>
        <v>2902.55</v>
      </c>
      <c r="H3" s="240">
        <f t="shared" ref="H3:H40" si="2">COUNTIF($A$2:$A$94,E3)</f>
        <v>1</v>
      </c>
      <c r="I3" s="247">
        <f t="shared" ref="I3:I40" si="3">G3/H3</f>
        <v>2902.55</v>
      </c>
      <c r="J3" s="269" t="str">
        <f t="shared" ref="J3:J40" si="4">F3</f>
        <v>Vigia</v>
      </c>
      <c r="K3" s="269">
        <f t="shared" ref="K3:K40" si="5">H3</f>
        <v>1</v>
      </c>
      <c r="M3" s="300" t="s">
        <v>707</v>
      </c>
      <c r="N3" s="301">
        <v>10000</v>
      </c>
      <c r="O3" s="627">
        <f t="shared" ref="O3:O15" si="6">N3*(1-$Q$1)</f>
        <v>10000</v>
      </c>
      <c r="P3" s="301">
        <f t="shared" ref="P3:P15" si="7">O3+(O3*$T$1)</f>
        <v>18000</v>
      </c>
      <c r="Q3" s="299"/>
    </row>
    <row r="4" spans="1:20">
      <c r="A4" s="236">
        <v>93</v>
      </c>
      <c r="B4" s="236" t="s">
        <v>457</v>
      </c>
      <c r="C4" s="237">
        <v>5378.79</v>
      </c>
      <c r="E4" s="236">
        <v>4</v>
      </c>
      <c r="F4" s="242" t="str">
        <f t="shared" si="0"/>
        <v>Zelador de poço</v>
      </c>
      <c r="G4" s="243">
        <f t="shared" si="1"/>
        <v>2224.2199999999998</v>
      </c>
      <c r="H4" s="240">
        <f t="shared" si="2"/>
        <v>1</v>
      </c>
      <c r="I4" s="247">
        <f t="shared" si="3"/>
        <v>2224.2199999999998</v>
      </c>
      <c r="J4" s="269" t="str">
        <f t="shared" si="4"/>
        <v>Zelador de poço</v>
      </c>
      <c r="K4" s="269">
        <f t="shared" si="5"/>
        <v>1</v>
      </c>
      <c r="M4" s="300" t="s">
        <v>132</v>
      </c>
      <c r="N4" s="301">
        <f>I6</f>
        <v>3509.96</v>
      </c>
      <c r="O4" s="627">
        <f t="shared" si="6"/>
        <v>3509.96</v>
      </c>
      <c r="P4" s="301">
        <f t="shared" si="7"/>
        <v>6317.9279999999999</v>
      </c>
    </row>
    <row r="5" spans="1:20">
      <c r="A5" s="236">
        <v>116</v>
      </c>
      <c r="B5" s="236" t="s">
        <v>471</v>
      </c>
      <c r="C5" s="237">
        <v>2123.15</v>
      </c>
      <c r="E5" s="236">
        <v>7</v>
      </c>
      <c r="F5" s="242" t="str">
        <f t="shared" si="0"/>
        <v>Aux Tratamento água</v>
      </c>
      <c r="G5" s="243">
        <f t="shared" si="1"/>
        <v>3843.12</v>
      </c>
      <c r="H5" s="240">
        <f t="shared" si="2"/>
        <v>1</v>
      </c>
      <c r="I5" s="247">
        <f t="shared" si="3"/>
        <v>3843.12</v>
      </c>
      <c r="J5" s="269" t="str">
        <f t="shared" si="4"/>
        <v>Aux Tratamento água</v>
      </c>
      <c r="K5" s="269">
        <f t="shared" si="5"/>
        <v>1</v>
      </c>
      <c r="M5" s="300" t="s">
        <v>122</v>
      </c>
      <c r="N5" s="301">
        <f>I6</f>
        <v>3509.96</v>
      </c>
      <c r="O5" s="627">
        <f t="shared" si="6"/>
        <v>3509.96</v>
      </c>
      <c r="P5" s="301">
        <f t="shared" si="7"/>
        <v>6317.9279999999999</v>
      </c>
      <c r="S5" s="299"/>
    </row>
    <row r="6" spans="1:20">
      <c r="A6" s="236">
        <v>40</v>
      </c>
      <c r="B6" s="236" t="s">
        <v>470</v>
      </c>
      <c r="C6" s="237">
        <v>3371.92</v>
      </c>
      <c r="E6" s="236">
        <v>9</v>
      </c>
      <c r="F6" s="242" t="str">
        <f t="shared" si="0"/>
        <v>Escriturário I</v>
      </c>
      <c r="G6" s="243">
        <f t="shared" si="1"/>
        <v>3509.96</v>
      </c>
      <c r="H6" s="240">
        <f t="shared" si="2"/>
        <v>1</v>
      </c>
      <c r="I6" s="247">
        <f t="shared" si="3"/>
        <v>3509.96</v>
      </c>
      <c r="J6" s="269" t="str">
        <f t="shared" si="4"/>
        <v>Escriturário I</v>
      </c>
      <c r="K6" s="269">
        <f t="shared" si="5"/>
        <v>1</v>
      </c>
      <c r="M6" s="300" t="s">
        <v>123</v>
      </c>
      <c r="N6" s="301">
        <v>4357</v>
      </c>
      <c r="O6" s="627">
        <f t="shared" si="6"/>
        <v>4357</v>
      </c>
      <c r="P6" s="301">
        <f t="shared" si="7"/>
        <v>7842.6</v>
      </c>
    </row>
    <row r="7" spans="1:20">
      <c r="A7" s="236">
        <v>102</v>
      </c>
      <c r="B7" s="236" t="s">
        <v>444</v>
      </c>
      <c r="C7" s="237">
        <v>5548.44</v>
      </c>
      <c r="E7" s="236">
        <v>13</v>
      </c>
      <c r="F7" s="242" t="str">
        <f t="shared" si="0"/>
        <v>Escriturário II</v>
      </c>
      <c r="G7" s="243">
        <f t="shared" si="1"/>
        <v>9280.99</v>
      </c>
      <c r="H7" s="240">
        <f t="shared" si="2"/>
        <v>3</v>
      </c>
      <c r="I7" s="247">
        <f t="shared" si="3"/>
        <v>3093.6633333333334</v>
      </c>
      <c r="J7" s="269" t="str">
        <f t="shared" si="4"/>
        <v>Escriturário II</v>
      </c>
      <c r="K7" s="269">
        <f t="shared" si="5"/>
        <v>3</v>
      </c>
      <c r="M7" s="300" t="s">
        <v>115</v>
      </c>
      <c r="N7" s="301">
        <v>2547</v>
      </c>
      <c r="O7" s="627">
        <f t="shared" si="6"/>
        <v>2547</v>
      </c>
      <c r="P7" s="301">
        <f t="shared" si="7"/>
        <v>4584.6000000000004</v>
      </c>
    </row>
    <row r="8" spans="1:20">
      <c r="A8" s="236">
        <v>106</v>
      </c>
      <c r="B8" s="236" t="s">
        <v>469</v>
      </c>
      <c r="C8" s="237">
        <v>5245.83</v>
      </c>
      <c r="E8" s="236">
        <v>14</v>
      </c>
      <c r="F8" s="242" t="str">
        <f t="shared" si="0"/>
        <v>Motorista</v>
      </c>
      <c r="G8" s="243">
        <f t="shared" si="1"/>
        <v>12968.02</v>
      </c>
      <c r="H8" s="240">
        <f t="shared" si="2"/>
        <v>3</v>
      </c>
      <c r="I8" s="247">
        <f t="shared" si="3"/>
        <v>4322.6733333333332</v>
      </c>
      <c r="J8" s="269" t="str">
        <f t="shared" si="4"/>
        <v>Motorista</v>
      </c>
      <c r="K8" s="269">
        <f t="shared" si="5"/>
        <v>3</v>
      </c>
      <c r="M8" s="300" t="s">
        <v>116</v>
      </c>
      <c r="N8" s="301">
        <f>N7</f>
        <v>2547</v>
      </c>
      <c r="O8" s="627">
        <f t="shared" si="6"/>
        <v>2547</v>
      </c>
      <c r="P8" s="301">
        <f t="shared" si="7"/>
        <v>4584.6000000000004</v>
      </c>
    </row>
    <row r="9" spans="1:20">
      <c r="A9" s="236">
        <v>109</v>
      </c>
      <c r="B9" s="236" t="s">
        <v>465</v>
      </c>
      <c r="C9" s="237">
        <v>4741.82</v>
      </c>
      <c r="E9" s="236">
        <v>20</v>
      </c>
      <c r="F9" s="242" t="str">
        <f t="shared" si="0"/>
        <v>Tec Tratamento de agua e esgoto</v>
      </c>
      <c r="G9" s="243">
        <f t="shared" si="1"/>
        <v>37612.229999999996</v>
      </c>
      <c r="H9" s="240">
        <f t="shared" si="2"/>
        <v>7</v>
      </c>
      <c r="I9" s="247">
        <f t="shared" si="3"/>
        <v>5373.1757142857141</v>
      </c>
      <c r="J9" s="269" t="str">
        <f t="shared" si="4"/>
        <v>Tec Tratamento de agua e esgoto</v>
      </c>
      <c r="K9" s="269">
        <f t="shared" si="5"/>
        <v>7</v>
      </c>
      <c r="M9" s="300" t="s">
        <v>117</v>
      </c>
      <c r="N9" s="301">
        <f>N7</f>
        <v>2547</v>
      </c>
      <c r="O9" s="627">
        <f t="shared" si="6"/>
        <v>2547</v>
      </c>
      <c r="P9" s="301">
        <f t="shared" si="7"/>
        <v>4584.6000000000004</v>
      </c>
    </row>
    <row r="10" spans="1:20">
      <c r="A10" s="236">
        <v>102</v>
      </c>
      <c r="B10" s="236" t="s">
        <v>444</v>
      </c>
      <c r="C10" s="237">
        <v>2843.91</v>
      </c>
      <c r="E10" s="236">
        <v>37</v>
      </c>
      <c r="F10" s="242" t="str">
        <f t="shared" si="0"/>
        <v>Contador Junior</v>
      </c>
      <c r="G10" s="243">
        <f t="shared" si="1"/>
        <v>5837.8</v>
      </c>
      <c r="H10" s="240">
        <f t="shared" si="2"/>
        <v>1</v>
      </c>
      <c r="I10" s="247">
        <f t="shared" si="3"/>
        <v>5837.8</v>
      </c>
      <c r="J10" s="269" t="str">
        <f t="shared" si="4"/>
        <v>Contador Junior</v>
      </c>
      <c r="K10" s="269">
        <f t="shared" si="5"/>
        <v>1</v>
      </c>
      <c r="M10" s="300" t="s">
        <v>141</v>
      </c>
      <c r="N10" s="301">
        <v>4500</v>
      </c>
      <c r="O10" s="627">
        <f t="shared" si="6"/>
        <v>4500</v>
      </c>
      <c r="P10" s="301">
        <f t="shared" si="7"/>
        <v>8100</v>
      </c>
    </row>
    <row r="11" spans="1:20">
      <c r="A11" s="236">
        <v>4</v>
      </c>
      <c r="B11" s="236" t="s">
        <v>468</v>
      </c>
      <c r="C11" s="237">
        <v>2224.2199999999998</v>
      </c>
      <c r="E11" s="236">
        <v>38</v>
      </c>
      <c r="F11" s="242" t="str">
        <f t="shared" si="0"/>
        <v>Químico</v>
      </c>
      <c r="G11" s="243">
        <f t="shared" si="1"/>
        <v>14214.83</v>
      </c>
      <c r="H11" s="240">
        <f t="shared" si="2"/>
        <v>2</v>
      </c>
      <c r="I11" s="247">
        <f t="shared" si="3"/>
        <v>7107.415</v>
      </c>
      <c r="J11" s="269" t="str">
        <f t="shared" si="4"/>
        <v>Químico</v>
      </c>
      <c r="K11" s="269">
        <f t="shared" si="5"/>
        <v>2</v>
      </c>
      <c r="M11" s="300" t="s">
        <v>706</v>
      </c>
      <c r="N11" s="301">
        <v>4500</v>
      </c>
      <c r="O11" s="627">
        <f t="shared" si="6"/>
        <v>4500</v>
      </c>
      <c r="P11" s="301">
        <f t="shared" si="7"/>
        <v>8100</v>
      </c>
    </row>
    <row r="12" spans="1:20">
      <c r="A12" s="236">
        <v>104</v>
      </c>
      <c r="B12" s="236" t="s">
        <v>467</v>
      </c>
      <c r="C12" s="237">
        <v>870.71</v>
      </c>
      <c r="E12" s="236">
        <v>40</v>
      </c>
      <c r="F12" s="242" t="str">
        <f t="shared" si="0"/>
        <v>Assessor superintendente</v>
      </c>
      <c r="G12" s="243">
        <f t="shared" si="1"/>
        <v>3371.92</v>
      </c>
      <c r="H12" s="240">
        <f t="shared" si="2"/>
        <v>1</v>
      </c>
      <c r="I12" s="247">
        <f t="shared" si="3"/>
        <v>3371.92</v>
      </c>
      <c r="J12" s="269" t="str">
        <f t="shared" si="4"/>
        <v>Assessor superintendente</v>
      </c>
      <c r="K12" s="269">
        <f t="shared" si="5"/>
        <v>1</v>
      </c>
      <c r="M12" s="300" t="s">
        <v>118</v>
      </c>
      <c r="N12" s="301">
        <v>3000</v>
      </c>
      <c r="O12" s="627">
        <f t="shared" si="6"/>
        <v>3000</v>
      </c>
      <c r="P12" s="301">
        <f t="shared" si="7"/>
        <v>5400</v>
      </c>
    </row>
    <row r="13" spans="1:20">
      <c r="A13" s="236">
        <v>43</v>
      </c>
      <c r="B13" s="236" t="s">
        <v>466</v>
      </c>
      <c r="C13" s="237">
        <v>7199.77</v>
      </c>
      <c r="E13" s="236">
        <v>41</v>
      </c>
      <c r="F13" s="242" t="str">
        <f t="shared" si="0"/>
        <v>Assessor operacional</v>
      </c>
      <c r="G13" s="243">
        <f t="shared" si="1"/>
        <v>7419.46</v>
      </c>
      <c r="H13" s="240">
        <f t="shared" si="2"/>
        <v>2</v>
      </c>
      <c r="I13" s="247">
        <f t="shared" si="3"/>
        <v>3709.73</v>
      </c>
      <c r="J13" s="269" t="str">
        <f t="shared" si="4"/>
        <v>Assessor operacional</v>
      </c>
      <c r="K13" s="269">
        <f t="shared" si="5"/>
        <v>2</v>
      </c>
      <c r="M13" s="300" t="s">
        <v>119</v>
      </c>
      <c r="N13" s="301">
        <v>6000</v>
      </c>
      <c r="O13" s="627">
        <f t="shared" si="6"/>
        <v>6000</v>
      </c>
      <c r="P13" s="301">
        <f t="shared" si="7"/>
        <v>10800</v>
      </c>
    </row>
    <row r="14" spans="1:20">
      <c r="A14" s="236">
        <v>109</v>
      </c>
      <c r="B14" s="236" t="s">
        <v>465</v>
      </c>
      <c r="C14" s="237">
        <v>4741.82</v>
      </c>
      <c r="E14" s="236">
        <v>43</v>
      </c>
      <c r="F14" s="242" t="str">
        <f t="shared" si="0"/>
        <v>Assessor técnico</v>
      </c>
      <c r="G14" s="243">
        <f t="shared" si="1"/>
        <v>7199.77</v>
      </c>
      <c r="H14" s="240">
        <f t="shared" si="2"/>
        <v>1</v>
      </c>
      <c r="I14" s="247">
        <f t="shared" si="3"/>
        <v>7199.77</v>
      </c>
      <c r="J14" s="269" t="str">
        <f t="shared" si="4"/>
        <v>Assessor técnico</v>
      </c>
      <c r="K14" s="269">
        <f t="shared" si="5"/>
        <v>1</v>
      </c>
      <c r="M14" s="300" t="s">
        <v>120</v>
      </c>
      <c r="N14" s="301">
        <v>4357</v>
      </c>
      <c r="O14" s="627">
        <f t="shared" si="6"/>
        <v>4357</v>
      </c>
      <c r="P14" s="301">
        <f t="shared" si="7"/>
        <v>7842.6</v>
      </c>
    </row>
    <row r="15" spans="1:20">
      <c r="A15" s="236">
        <v>14</v>
      </c>
      <c r="B15" s="236" t="s">
        <v>456</v>
      </c>
      <c r="C15" s="237">
        <v>4562.53</v>
      </c>
      <c r="E15" s="236">
        <v>44</v>
      </c>
      <c r="F15" s="242" t="str">
        <f t="shared" si="0"/>
        <v>Superintendente</v>
      </c>
      <c r="G15" s="243">
        <f t="shared" si="1"/>
        <v>8500</v>
      </c>
      <c r="H15" s="240">
        <f t="shared" si="2"/>
        <v>1</v>
      </c>
      <c r="I15" s="247">
        <f t="shared" si="3"/>
        <v>8500</v>
      </c>
      <c r="J15" s="269" t="str">
        <f t="shared" si="4"/>
        <v>Superintendente</v>
      </c>
      <c r="K15" s="269">
        <f t="shared" si="5"/>
        <v>1</v>
      </c>
      <c r="M15" s="300" t="s">
        <v>271</v>
      </c>
      <c r="N15" s="301">
        <f>I36*0.7</f>
        <v>5057.5279999999993</v>
      </c>
      <c r="O15" s="627">
        <f t="shared" si="6"/>
        <v>5057.5279999999993</v>
      </c>
      <c r="P15" s="301">
        <f t="shared" si="7"/>
        <v>9103.5504000000001</v>
      </c>
    </row>
    <row r="16" spans="1:20">
      <c r="A16" s="236">
        <v>105</v>
      </c>
      <c r="B16" s="236" t="s">
        <v>435</v>
      </c>
      <c r="C16" s="237">
        <v>6419.77</v>
      </c>
      <c r="E16" s="236">
        <v>86</v>
      </c>
      <c r="F16" s="242" t="str">
        <f t="shared" si="0"/>
        <v>Estagiário do Jurídico</v>
      </c>
      <c r="G16" s="243">
        <f t="shared" si="1"/>
        <v>6588.37</v>
      </c>
      <c r="H16" s="240">
        <f t="shared" si="2"/>
        <v>8</v>
      </c>
      <c r="I16" s="247">
        <f t="shared" si="3"/>
        <v>823.54624999999999</v>
      </c>
      <c r="J16" s="269" t="str">
        <f t="shared" si="4"/>
        <v>Estagiário do Jurídico</v>
      </c>
      <c r="K16" s="269">
        <f t="shared" si="5"/>
        <v>8</v>
      </c>
      <c r="M16" s="46"/>
    </row>
    <row r="17" spans="1:16">
      <c r="A17" s="236">
        <v>86</v>
      </c>
      <c r="B17" s="236" t="s">
        <v>433</v>
      </c>
      <c r="C17" s="237">
        <v>870.71</v>
      </c>
      <c r="E17" s="236">
        <v>88</v>
      </c>
      <c r="F17" s="242" t="str">
        <f t="shared" si="0"/>
        <v>Escriturário III</v>
      </c>
      <c r="G17" s="243">
        <f t="shared" si="1"/>
        <v>16516.400000000001</v>
      </c>
      <c r="H17" s="240">
        <f t="shared" si="2"/>
        <v>5</v>
      </c>
      <c r="I17" s="247">
        <f t="shared" si="3"/>
        <v>3303.28</v>
      </c>
      <c r="J17" s="269" t="str">
        <f t="shared" si="4"/>
        <v>Escriturário III</v>
      </c>
      <c r="K17" s="269">
        <f t="shared" si="5"/>
        <v>5</v>
      </c>
      <c r="M17" s="273" t="s">
        <v>124</v>
      </c>
      <c r="N17" s="274"/>
      <c r="O17" s="628"/>
      <c r="P17" s="274"/>
    </row>
    <row r="18" spans="1:16">
      <c r="A18" s="236">
        <v>1</v>
      </c>
      <c r="B18" s="236" t="s">
        <v>464</v>
      </c>
      <c r="C18" s="237">
        <v>1743.97</v>
      </c>
      <c r="E18" s="236">
        <v>90</v>
      </c>
      <c r="F18" s="242" t="str">
        <f t="shared" si="0"/>
        <v>Estagiário da adminstração</v>
      </c>
      <c r="G18" s="243">
        <f t="shared" si="1"/>
        <v>2612.13</v>
      </c>
      <c r="H18" s="240">
        <f t="shared" si="2"/>
        <v>3</v>
      </c>
      <c r="I18" s="247">
        <f t="shared" si="3"/>
        <v>870.71</v>
      </c>
      <c r="J18" s="269" t="str">
        <f t="shared" si="4"/>
        <v>Estagiário da adminstração</v>
      </c>
      <c r="K18" s="269">
        <f t="shared" si="5"/>
        <v>3</v>
      </c>
      <c r="M18" s="300" t="s">
        <v>272</v>
      </c>
      <c r="N18" s="301">
        <v>10000</v>
      </c>
      <c r="O18" s="627">
        <f t="shared" ref="O18:O20" si="8">N18*(1-$Q$1)</f>
        <v>10000</v>
      </c>
      <c r="P18" s="301">
        <f t="shared" ref="P18:P20" si="9">O18+(O18*$T$1)</f>
        <v>18000</v>
      </c>
    </row>
    <row r="19" spans="1:16">
      <c r="A19" s="236">
        <v>99</v>
      </c>
      <c r="B19" s="236" t="s">
        <v>463</v>
      </c>
      <c r="C19" s="237">
        <v>3084.09</v>
      </c>
      <c r="E19" s="236">
        <v>93</v>
      </c>
      <c r="F19" s="242" t="str">
        <f t="shared" si="0"/>
        <v>Oficial de redes de água e esgoto I</v>
      </c>
      <c r="G19" s="243">
        <f t="shared" si="1"/>
        <v>22832.95</v>
      </c>
      <c r="H19" s="240">
        <f>COUNTIF($A$2:$A$94,E19)</f>
        <v>6</v>
      </c>
      <c r="I19" s="247">
        <f t="shared" si="3"/>
        <v>3805.4916666666668</v>
      </c>
      <c r="J19" s="269" t="str">
        <f t="shared" si="4"/>
        <v>Oficial de redes de água e esgoto I</v>
      </c>
      <c r="K19" s="269">
        <f t="shared" si="5"/>
        <v>6</v>
      </c>
      <c r="M19" s="300" t="s">
        <v>125</v>
      </c>
      <c r="N19" s="301">
        <f>N14</f>
        <v>4357</v>
      </c>
      <c r="O19" s="627">
        <f t="shared" si="8"/>
        <v>4357</v>
      </c>
      <c r="P19" s="301">
        <f t="shared" si="9"/>
        <v>7842.6</v>
      </c>
    </row>
    <row r="20" spans="1:16">
      <c r="A20" s="236">
        <v>20</v>
      </c>
      <c r="B20" s="236" t="s">
        <v>443</v>
      </c>
      <c r="C20" s="237">
        <v>6669.4</v>
      </c>
      <c r="E20" s="236">
        <v>94</v>
      </c>
      <c r="F20" s="242" t="str">
        <f t="shared" si="0"/>
        <v>Aux de administração e comercialização I</v>
      </c>
      <c r="G20" s="243">
        <f t="shared" si="1"/>
        <v>12820.980000000001</v>
      </c>
      <c r="H20" s="240">
        <f t="shared" si="2"/>
        <v>5</v>
      </c>
      <c r="I20" s="247">
        <f t="shared" si="3"/>
        <v>2564.1960000000004</v>
      </c>
      <c r="J20" s="269" t="str">
        <f t="shared" si="4"/>
        <v>Aux de administração e comercialização I</v>
      </c>
      <c r="K20" s="269">
        <f t="shared" si="5"/>
        <v>5</v>
      </c>
      <c r="M20" s="300" t="s">
        <v>126</v>
      </c>
      <c r="N20" s="301">
        <v>7000</v>
      </c>
      <c r="O20" s="627">
        <f t="shared" si="8"/>
        <v>7000</v>
      </c>
      <c r="P20" s="301">
        <f t="shared" si="9"/>
        <v>12600</v>
      </c>
    </row>
    <row r="21" spans="1:16">
      <c r="A21" s="236">
        <v>101</v>
      </c>
      <c r="B21" s="236" t="s">
        <v>440</v>
      </c>
      <c r="C21" s="237">
        <v>6769.77</v>
      </c>
      <c r="E21" s="236">
        <v>97</v>
      </c>
      <c r="F21" s="242" t="str">
        <f t="shared" si="0"/>
        <v xml:space="preserve">Técnico de eletrecidade I </v>
      </c>
      <c r="G21" s="243">
        <f t="shared" si="1"/>
        <v>3618.18</v>
      </c>
      <c r="H21" s="240">
        <f t="shared" si="2"/>
        <v>1</v>
      </c>
      <c r="I21" s="247">
        <f t="shared" si="3"/>
        <v>3618.18</v>
      </c>
      <c r="J21" s="269" t="str">
        <f t="shared" si="4"/>
        <v xml:space="preserve">Técnico de eletrecidade I </v>
      </c>
      <c r="K21" s="269">
        <f t="shared" si="5"/>
        <v>1</v>
      </c>
      <c r="M21" s="46"/>
    </row>
    <row r="22" spans="1:16">
      <c r="A22" s="236">
        <v>93</v>
      </c>
      <c r="B22" s="236" t="s">
        <v>438</v>
      </c>
      <c r="C22" s="237">
        <v>2397.1799999999998</v>
      </c>
      <c r="E22" s="236">
        <v>98</v>
      </c>
      <c r="F22" s="242" t="str">
        <f t="shared" si="0"/>
        <v>Técnico de eletrecidade II</v>
      </c>
      <c r="G22" s="243">
        <f t="shared" si="1"/>
        <v>6878.53</v>
      </c>
      <c r="H22" s="240">
        <f t="shared" si="2"/>
        <v>1</v>
      </c>
      <c r="I22" s="247">
        <f t="shared" si="3"/>
        <v>6878.53</v>
      </c>
      <c r="J22" s="269" t="str">
        <f t="shared" si="4"/>
        <v>Técnico de eletrecidade II</v>
      </c>
      <c r="K22" s="269">
        <f t="shared" si="5"/>
        <v>1</v>
      </c>
      <c r="M22" s="42" t="s">
        <v>72</v>
      </c>
    </row>
    <row r="23" spans="1:16">
      <c r="A23" s="236">
        <v>86</v>
      </c>
      <c r="B23" s="236" t="s">
        <v>433</v>
      </c>
      <c r="C23" s="237">
        <v>870.71</v>
      </c>
      <c r="E23" s="236">
        <v>99</v>
      </c>
      <c r="F23" s="242" t="str">
        <f t="shared" si="0"/>
        <v>Ax de Adm e comercialização</v>
      </c>
      <c r="G23" s="243">
        <f t="shared" si="1"/>
        <v>3084.09</v>
      </c>
      <c r="H23" s="240">
        <f t="shared" si="2"/>
        <v>1</v>
      </c>
      <c r="I23" s="247">
        <f t="shared" si="3"/>
        <v>3084.09</v>
      </c>
      <c r="J23" s="269" t="str">
        <f t="shared" si="4"/>
        <v>Ax de Adm e comercialização</v>
      </c>
      <c r="K23" s="269">
        <f t="shared" si="5"/>
        <v>1</v>
      </c>
      <c r="M23" s="300" t="s">
        <v>127</v>
      </c>
      <c r="N23" s="301">
        <v>5000</v>
      </c>
      <c r="O23" s="627">
        <f t="shared" ref="O23:O28" si="10">N23*(1-$Q$1)</f>
        <v>5000</v>
      </c>
      <c r="P23" s="301">
        <f t="shared" ref="P23:P28" si="11">O23+(O23*$T$1)</f>
        <v>9000</v>
      </c>
    </row>
    <row r="24" spans="1:16">
      <c r="A24" s="236">
        <v>102</v>
      </c>
      <c r="B24" s="236" t="s">
        <v>439</v>
      </c>
      <c r="C24" s="237">
        <v>4343.47</v>
      </c>
      <c r="E24" s="236">
        <v>100</v>
      </c>
      <c r="F24" s="242" t="str">
        <f t="shared" si="0"/>
        <v>Tec de administração e comercialização I</v>
      </c>
      <c r="G24" s="243">
        <f t="shared" si="1"/>
        <v>6537.36</v>
      </c>
      <c r="H24" s="240">
        <f t="shared" si="2"/>
        <v>1</v>
      </c>
      <c r="I24" s="247">
        <f t="shared" si="3"/>
        <v>6537.36</v>
      </c>
      <c r="J24" s="269" t="str">
        <f t="shared" si="4"/>
        <v>Tec de administração e comercialização I</v>
      </c>
      <c r="K24" s="269">
        <f t="shared" si="5"/>
        <v>1</v>
      </c>
      <c r="M24" s="300" t="s">
        <v>128</v>
      </c>
      <c r="N24" s="301">
        <v>4500</v>
      </c>
      <c r="O24" s="627">
        <f t="shared" si="10"/>
        <v>4500</v>
      </c>
      <c r="P24" s="301">
        <f t="shared" si="11"/>
        <v>8100</v>
      </c>
    </row>
    <row r="25" spans="1:16">
      <c r="A25" s="236">
        <v>20</v>
      </c>
      <c r="B25" s="236" t="s">
        <v>443</v>
      </c>
      <c r="C25" s="237">
        <v>5929.24</v>
      </c>
      <c r="E25" s="236">
        <v>101</v>
      </c>
      <c r="F25" s="242" t="str">
        <f t="shared" si="0"/>
        <v>Oficial de redes de agua e esgoto III</v>
      </c>
      <c r="G25" s="243">
        <f t="shared" si="1"/>
        <v>11117.3</v>
      </c>
      <c r="H25" s="240">
        <f t="shared" si="2"/>
        <v>2</v>
      </c>
      <c r="I25" s="247">
        <f t="shared" si="3"/>
        <v>5558.65</v>
      </c>
      <c r="J25" s="269" t="str">
        <f t="shared" si="4"/>
        <v>Oficial de redes de agua e esgoto III</v>
      </c>
      <c r="K25" s="269">
        <f t="shared" si="5"/>
        <v>2</v>
      </c>
      <c r="M25" s="302" t="s">
        <v>258</v>
      </c>
      <c r="N25" s="301">
        <f>I6</f>
        <v>3509.96</v>
      </c>
      <c r="O25" s="627">
        <f t="shared" si="10"/>
        <v>3509.96</v>
      </c>
      <c r="P25" s="301">
        <f t="shared" si="11"/>
        <v>6317.9279999999999</v>
      </c>
    </row>
    <row r="26" spans="1:16">
      <c r="A26" s="236">
        <v>88</v>
      </c>
      <c r="B26" s="236" t="s">
        <v>432</v>
      </c>
      <c r="C26" s="237">
        <v>2591.31</v>
      </c>
      <c r="E26" s="236">
        <v>102</v>
      </c>
      <c r="F26" s="242" t="str">
        <f t="shared" si="0"/>
        <v>Oficial de redes de água e esgoto II</v>
      </c>
      <c r="G26" s="243">
        <f t="shared" si="1"/>
        <v>41298.089999999997</v>
      </c>
      <c r="H26" s="240">
        <f t="shared" si="2"/>
        <v>9</v>
      </c>
      <c r="I26" s="247">
        <f t="shared" si="3"/>
        <v>4588.6766666666663</v>
      </c>
      <c r="J26" s="269" t="str">
        <f t="shared" si="4"/>
        <v>Oficial de redes de água e esgoto II</v>
      </c>
      <c r="K26" s="269">
        <f t="shared" si="5"/>
        <v>9</v>
      </c>
      <c r="M26" s="300" t="s">
        <v>129</v>
      </c>
      <c r="N26" s="301">
        <f>I17</f>
        <v>3303.28</v>
      </c>
      <c r="O26" s="627">
        <f t="shared" si="10"/>
        <v>3303.28</v>
      </c>
      <c r="P26" s="301">
        <f t="shared" si="11"/>
        <v>5945.9040000000005</v>
      </c>
    </row>
    <row r="27" spans="1:16">
      <c r="A27" s="236">
        <v>38</v>
      </c>
      <c r="B27" s="236" t="s">
        <v>390</v>
      </c>
      <c r="C27" s="237">
        <v>7408.6</v>
      </c>
      <c r="E27" s="236">
        <v>103</v>
      </c>
      <c r="F27" s="242" t="str">
        <f t="shared" si="0"/>
        <v>Biológo</v>
      </c>
      <c r="G27" s="243">
        <f t="shared" si="1"/>
        <v>7380.35</v>
      </c>
      <c r="H27" s="240">
        <f t="shared" si="2"/>
        <v>1</v>
      </c>
      <c r="I27" s="247">
        <f t="shared" si="3"/>
        <v>7380.35</v>
      </c>
      <c r="J27" s="269" t="str">
        <f t="shared" si="4"/>
        <v>Biológo</v>
      </c>
      <c r="K27" s="269">
        <f t="shared" si="5"/>
        <v>1</v>
      </c>
      <c r="M27" s="300" t="s">
        <v>130</v>
      </c>
      <c r="N27" s="301">
        <v>3000</v>
      </c>
      <c r="O27" s="627">
        <f t="shared" si="10"/>
        <v>3000</v>
      </c>
      <c r="P27" s="301">
        <f>O27+(O27*$T$1)</f>
        <v>5400</v>
      </c>
    </row>
    <row r="28" spans="1:16">
      <c r="A28" s="236">
        <v>41</v>
      </c>
      <c r="B28" s="236" t="s">
        <v>445</v>
      </c>
      <c r="C28" s="237">
        <v>3709.73</v>
      </c>
      <c r="E28" s="236">
        <v>104</v>
      </c>
      <c r="F28" s="242" t="str">
        <f t="shared" si="0"/>
        <v>Estagiário de Meio Ambiente</v>
      </c>
      <c r="G28" s="243">
        <f t="shared" si="1"/>
        <v>870.71</v>
      </c>
      <c r="H28" s="240">
        <f t="shared" si="2"/>
        <v>1</v>
      </c>
      <c r="I28" s="247">
        <f t="shared" si="3"/>
        <v>870.71</v>
      </c>
      <c r="J28" s="269" t="str">
        <f t="shared" si="4"/>
        <v>Estagiário de Meio Ambiente</v>
      </c>
      <c r="K28" s="269">
        <f t="shared" si="5"/>
        <v>1</v>
      </c>
      <c r="M28" s="300" t="s">
        <v>131</v>
      </c>
      <c r="N28" s="301">
        <f>N7</f>
        <v>2547</v>
      </c>
      <c r="O28" s="627">
        <f t="shared" si="10"/>
        <v>2547</v>
      </c>
      <c r="P28" s="301">
        <f t="shared" si="11"/>
        <v>4584.6000000000004</v>
      </c>
    </row>
    <row r="29" spans="1:16">
      <c r="A29" s="236">
        <v>1</v>
      </c>
      <c r="B29" s="236" t="s">
        <v>446</v>
      </c>
      <c r="C29" s="237">
        <v>2593.61</v>
      </c>
      <c r="E29" s="236">
        <v>105</v>
      </c>
      <c r="F29" s="242" t="str">
        <f t="shared" si="0"/>
        <v>Tec de administração e comercialização II</v>
      </c>
      <c r="G29" s="243">
        <f t="shared" si="1"/>
        <v>13712.880000000001</v>
      </c>
      <c r="H29" s="240">
        <f t="shared" si="2"/>
        <v>2</v>
      </c>
      <c r="I29" s="247">
        <f t="shared" si="3"/>
        <v>6856.4400000000005</v>
      </c>
      <c r="J29" s="269" t="str">
        <f t="shared" si="4"/>
        <v>Tec de administração e comercialização II</v>
      </c>
      <c r="K29" s="269">
        <f t="shared" si="5"/>
        <v>2</v>
      </c>
      <c r="M29" s="46"/>
    </row>
    <row r="30" spans="1:16">
      <c r="A30" s="236">
        <v>90</v>
      </c>
      <c r="B30" s="236" t="s">
        <v>450</v>
      </c>
      <c r="C30" s="237">
        <v>870.71</v>
      </c>
      <c r="E30" s="236">
        <v>106</v>
      </c>
      <c r="F30" s="242" t="str">
        <f t="shared" si="0"/>
        <v>Auxiliar de adm e comercialização III</v>
      </c>
      <c r="G30" s="243">
        <f t="shared" si="1"/>
        <v>5245.83</v>
      </c>
      <c r="H30" s="240">
        <f t="shared" si="2"/>
        <v>1</v>
      </c>
      <c r="I30" s="247">
        <f t="shared" si="3"/>
        <v>5245.83</v>
      </c>
      <c r="J30" s="269" t="str">
        <f t="shared" si="4"/>
        <v>Auxiliar de adm e comercialização III</v>
      </c>
      <c r="K30" s="269">
        <f t="shared" si="5"/>
        <v>1</v>
      </c>
      <c r="M30" s="42" t="s">
        <v>243</v>
      </c>
    </row>
    <row r="31" spans="1:16">
      <c r="A31" s="236">
        <v>14</v>
      </c>
      <c r="B31" s="236" t="s">
        <v>456</v>
      </c>
      <c r="C31" s="237">
        <v>2593.27</v>
      </c>
      <c r="E31" s="236">
        <v>108</v>
      </c>
      <c r="F31" s="242" t="str">
        <f t="shared" si="0"/>
        <v>Assessor do meio ambiente</v>
      </c>
      <c r="G31" s="243">
        <f t="shared" si="1"/>
        <v>3325.01</v>
      </c>
      <c r="H31" s="240">
        <f t="shared" si="2"/>
        <v>1</v>
      </c>
      <c r="I31" s="247">
        <f t="shared" si="3"/>
        <v>3325.01</v>
      </c>
      <c r="J31" s="269" t="str">
        <f t="shared" si="4"/>
        <v>Assessor do meio ambiente</v>
      </c>
      <c r="K31" s="269">
        <f t="shared" si="5"/>
        <v>1</v>
      </c>
      <c r="M31" s="300" t="s">
        <v>273</v>
      </c>
      <c r="N31" s="301">
        <v>5500</v>
      </c>
      <c r="O31" s="627">
        <f t="shared" ref="O31:O41" si="12">N31*(1-$Q$1)</f>
        <v>5500</v>
      </c>
      <c r="P31" s="301">
        <f t="shared" ref="P31:P41" si="13">O31+(O31*$T$1)</f>
        <v>9900</v>
      </c>
    </row>
    <row r="32" spans="1:16">
      <c r="A32" s="236">
        <v>20</v>
      </c>
      <c r="B32" s="236" t="s">
        <v>443</v>
      </c>
      <c r="C32" s="237">
        <v>3139.77</v>
      </c>
      <c r="E32" s="236">
        <v>109</v>
      </c>
      <c r="F32" s="242" t="str">
        <f t="shared" si="0"/>
        <v>Assessor setorial</v>
      </c>
      <c r="G32" s="243">
        <f t="shared" si="1"/>
        <v>9483.64</v>
      </c>
      <c r="H32" s="240">
        <f t="shared" si="2"/>
        <v>2</v>
      </c>
      <c r="I32" s="247">
        <f t="shared" si="3"/>
        <v>4741.82</v>
      </c>
      <c r="J32" s="269" t="str">
        <f t="shared" si="4"/>
        <v>Assessor setorial</v>
      </c>
      <c r="K32" s="269">
        <f t="shared" si="5"/>
        <v>2</v>
      </c>
      <c r="M32" s="300" t="s">
        <v>275</v>
      </c>
      <c r="N32" s="301">
        <v>4500</v>
      </c>
      <c r="O32" s="627">
        <f t="shared" si="12"/>
        <v>4500</v>
      </c>
      <c r="P32" s="301">
        <f t="shared" si="13"/>
        <v>8100</v>
      </c>
    </row>
    <row r="33" spans="1:16">
      <c r="A33" s="236">
        <v>86</v>
      </c>
      <c r="B33" s="236" t="s">
        <v>433</v>
      </c>
      <c r="C33" s="237">
        <v>870.71</v>
      </c>
      <c r="E33" s="236">
        <v>110</v>
      </c>
      <c r="F33" s="242" t="str">
        <f t="shared" si="0"/>
        <v>Assessor divisional</v>
      </c>
      <c r="G33" s="243">
        <f t="shared" si="1"/>
        <v>13302.06</v>
      </c>
      <c r="H33" s="240">
        <f t="shared" si="2"/>
        <v>2</v>
      </c>
      <c r="I33" s="247">
        <f t="shared" si="3"/>
        <v>6651.03</v>
      </c>
      <c r="J33" s="269" t="str">
        <f t="shared" si="4"/>
        <v>Assessor divisional</v>
      </c>
      <c r="K33" s="269">
        <f t="shared" si="5"/>
        <v>2</v>
      </c>
      <c r="M33" s="300" t="s">
        <v>274</v>
      </c>
      <c r="N33" s="301">
        <v>4500</v>
      </c>
      <c r="O33" s="627">
        <f t="shared" si="12"/>
        <v>4500</v>
      </c>
      <c r="P33" s="301">
        <f t="shared" si="13"/>
        <v>8100</v>
      </c>
    </row>
    <row r="34" spans="1:16">
      <c r="A34" s="236">
        <v>9</v>
      </c>
      <c r="B34" s="236" t="s">
        <v>462</v>
      </c>
      <c r="C34" s="237">
        <v>3509.96</v>
      </c>
      <c r="E34" s="236">
        <v>111</v>
      </c>
      <c r="F34" s="242" t="str">
        <f t="shared" si="0"/>
        <v>Assessor administrativo</v>
      </c>
      <c r="G34" s="243">
        <f t="shared" si="1"/>
        <v>3325.01</v>
      </c>
      <c r="H34" s="240">
        <f t="shared" si="2"/>
        <v>1</v>
      </c>
      <c r="I34" s="247">
        <f t="shared" si="3"/>
        <v>3325.01</v>
      </c>
      <c r="J34" s="269" t="str">
        <f t="shared" si="4"/>
        <v>Assessor administrativo</v>
      </c>
      <c r="K34" s="269">
        <f t="shared" si="5"/>
        <v>1</v>
      </c>
      <c r="M34" s="300" t="s">
        <v>133</v>
      </c>
      <c r="N34" s="301">
        <f>I5</f>
        <v>3843.12</v>
      </c>
      <c r="O34" s="627">
        <f t="shared" si="12"/>
        <v>3843.12</v>
      </c>
      <c r="P34" s="301">
        <f t="shared" si="13"/>
        <v>6917.616</v>
      </c>
    </row>
    <row r="35" spans="1:16">
      <c r="A35" s="236">
        <v>13</v>
      </c>
      <c r="B35" s="236" t="s">
        <v>461</v>
      </c>
      <c r="C35" s="237">
        <v>3777.04</v>
      </c>
      <c r="E35" s="236">
        <v>113</v>
      </c>
      <c r="F35" s="242" t="str">
        <f t="shared" si="0"/>
        <v>Pedreiro</v>
      </c>
      <c r="G35" s="243">
        <f t="shared" si="1"/>
        <v>3094.92</v>
      </c>
      <c r="H35" s="240">
        <f t="shared" si="2"/>
        <v>1</v>
      </c>
      <c r="I35" s="247">
        <f t="shared" si="3"/>
        <v>3094.92</v>
      </c>
      <c r="J35" s="269" t="str">
        <f t="shared" si="4"/>
        <v>Pedreiro</v>
      </c>
      <c r="K35" s="269">
        <f t="shared" si="5"/>
        <v>1</v>
      </c>
      <c r="M35" s="300" t="s">
        <v>590</v>
      </c>
      <c r="N35" s="301">
        <v>5000</v>
      </c>
      <c r="O35" s="627">
        <f t="shared" si="12"/>
        <v>5000</v>
      </c>
      <c r="P35" s="301">
        <f t="shared" si="13"/>
        <v>9000</v>
      </c>
    </row>
    <row r="36" spans="1:16">
      <c r="A36" s="236">
        <v>122</v>
      </c>
      <c r="B36" s="236" t="s">
        <v>460</v>
      </c>
      <c r="C36" s="237">
        <v>5511.55</v>
      </c>
      <c r="E36" s="236">
        <v>114</v>
      </c>
      <c r="F36" s="242" t="str">
        <f t="shared" si="0"/>
        <v>Fiscal Ambiental</v>
      </c>
      <c r="G36" s="243">
        <f t="shared" si="1"/>
        <v>14450.08</v>
      </c>
      <c r="H36" s="240">
        <f t="shared" si="2"/>
        <v>2</v>
      </c>
      <c r="I36" s="247">
        <f t="shared" si="3"/>
        <v>7225.04</v>
      </c>
      <c r="J36" s="269" t="str">
        <f t="shared" si="4"/>
        <v>Fiscal Ambiental</v>
      </c>
      <c r="K36" s="269">
        <f t="shared" si="5"/>
        <v>2</v>
      </c>
      <c r="M36" s="300" t="s">
        <v>574</v>
      </c>
      <c r="N36" s="301">
        <f>I5</f>
        <v>3843.12</v>
      </c>
      <c r="O36" s="627">
        <f t="shared" si="12"/>
        <v>3843.12</v>
      </c>
      <c r="P36" s="301">
        <f t="shared" si="13"/>
        <v>6917.616</v>
      </c>
    </row>
    <row r="37" spans="1:16">
      <c r="A37" s="236">
        <v>86</v>
      </c>
      <c r="B37" s="236" t="s">
        <v>433</v>
      </c>
      <c r="C37" s="237">
        <v>870.71</v>
      </c>
      <c r="E37" s="236">
        <v>115</v>
      </c>
      <c r="F37" s="242" t="str">
        <f t="shared" si="0"/>
        <v>Serralheiro</v>
      </c>
      <c r="G37" s="243">
        <f t="shared" si="1"/>
        <v>7120.67</v>
      </c>
      <c r="H37" s="240">
        <f t="shared" si="2"/>
        <v>1</v>
      </c>
      <c r="I37" s="247">
        <f t="shared" si="3"/>
        <v>7120.67</v>
      </c>
      <c r="J37" s="269" t="str">
        <f t="shared" si="4"/>
        <v>Serralheiro</v>
      </c>
      <c r="K37" s="269">
        <f t="shared" si="5"/>
        <v>1</v>
      </c>
      <c r="M37" s="300" t="s">
        <v>575</v>
      </c>
      <c r="N37" s="301">
        <f>I17</f>
        <v>3303.28</v>
      </c>
      <c r="O37" s="627">
        <f t="shared" si="12"/>
        <v>3303.28</v>
      </c>
      <c r="P37" s="301">
        <f t="shared" si="13"/>
        <v>5945.9040000000005</v>
      </c>
    </row>
    <row r="38" spans="1:16">
      <c r="A38" s="236">
        <v>1</v>
      </c>
      <c r="B38" s="236" t="s">
        <v>446</v>
      </c>
      <c r="C38" s="237">
        <v>2372.36</v>
      </c>
      <c r="E38" s="236">
        <v>116</v>
      </c>
      <c r="F38" s="242" t="str">
        <f t="shared" si="0"/>
        <v>Telefonista</v>
      </c>
      <c r="G38" s="243">
        <f t="shared" si="1"/>
        <v>2123.15</v>
      </c>
      <c r="H38" s="240">
        <f t="shared" si="2"/>
        <v>1</v>
      </c>
      <c r="I38" s="247">
        <f t="shared" si="3"/>
        <v>2123.15</v>
      </c>
      <c r="J38" s="269" t="str">
        <f t="shared" si="4"/>
        <v>Telefonista</v>
      </c>
      <c r="K38" s="269">
        <f t="shared" si="5"/>
        <v>1</v>
      </c>
      <c r="M38" s="300" t="s">
        <v>276</v>
      </c>
      <c r="N38" s="301">
        <f>I33*0.9</f>
        <v>5985.9269999999997</v>
      </c>
      <c r="O38" s="627">
        <f t="shared" si="12"/>
        <v>5985.9269999999997</v>
      </c>
      <c r="P38" s="301">
        <f t="shared" si="13"/>
        <v>10774.668600000001</v>
      </c>
    </row>
    <row r="39" spans="1:16">
      <c r="A39" s="236">
        <v>102</v>
      </c>
      <c r="B39" s="236" t="s">
        <v>444</v>
      </c>
      <c r="C39" s="237">
        <v>4311.97</v>
      </c>
      <c r="E39" s="236">
        <v>122</v>
      </c>
      <c r="F39" s="242" t="str">
        <f t="shared" si="0"/>
        <v>Procurador Juridico</v>
      </c>
      <c r="G39" s="243">
        <f t="shared" si="1"/>
        <v>5511.55</v>
      </c>
      <c r="H39" s="240">
        <f t="shared" si="2"/>
        <v>1</v>
      </c>
      <c r="I39" s="247">
        <f t="shared" si="3"/>
        <v>5511.55</v>
      </c>
      <c r="J39" s="269" t="str">
        <f t="shared" si="4"/>
        <v>Procurador Juridico</v>
      </c>
      <c r="K39" s="269">
        <f t="shared" si="5"/>
        <v>1</v>
      </c>
      <c r="M39" s="300" t="s">
        <v>277</v>
      </c>
      <c r="N39" s="301">
        <f>N27</f>
        <v>3000</v>
      </c>
      <c r="O39" s="627">
        <f t="shared" si="12"/>
        <v>3000</v>
      </c>
      <c r="P39" s="301">
        <f t="shared" si="13"/>
        <v>5400</v>
      </c>
    </row>
    <row r="40" spans="1:16">
      <c r="A40" s="236">
        <v>20</v>
      </c>
      <c r="B40" s="236" t="s">
        <v>443</v>
      </c>
      <c r="C40" s="237">
        <v>5056.1899999999996</v>
      </c>
      <c r="E40" s="236">
        <v>130</v>
      </c>
      <c r="F40" s="242" t="str">
        <f t="shared" si="0"/>
        <v>Motorista (cedido)</v>
      </c>
      <c r="G40" s="243">
        <f t="shared" si="1"/>
        <v>8451.69</v>
      </c>
      <c r="H40" s="240">
        <f t="shared" si="2"/>
        <v>1</v>
      </c>
      <c r="I40" s="247">
        <f t="shared" si="3"/>
        <v>8451.69</v>
      </c>
      <c r="J40" s="269" t="str">
        <f t="shared" si="4"/>
        <v>Motorista (cedido)</v>
      </c>
      <c r="K40" s="269">
        <f t="shared" si="5"/>
        <v>1</v>
      </c>
      <c r="M40" s="300" t="s">
        <v>492</v>
      </c>
      <c r="N40" s="301">
        <f>N27</f>
        <v>3000</v>
      </c>
      <c r="O40" s="627">
        <f t="shared" si="12"/>
        <v>3000</v>
      </c>
      <c r="P40" s="301">
        <f t="shared" si="13"/>
        <v>5400</v>
      </c>
    </row>
    <row r="41" spans="1:16">
      <c r="A41" s="236">
        <v>7</v>
      </c>
      <c r="B41" s="236" t="s">
        <v>459</v>
      </c>
      <c r="C41" s="237">
        <v>3843.12</v>
      </c>
      <c r="E41" s="244"/>
      <c r="G41" s="246"/>
      <c r="M41" s="300" t="s">
        <v>710</v>
      </c>
      <c r="N41" s="301">
        <f>N27</f>
        <v>3000</v>
      </c>
      <c r="O41" s="627">
        <f t="shared" si="12"/>
        <v>3000</v>
      </c>
      <c r="P41" s="301">
        <f t="shared" si="13"/>
        <v>5400</v>
      </c>
    </row>
    <row r="42" spans="1:16">
      <c r="A42" s="236">
        <v>103</v>
      </c>
      <c r="B42" s="236" t="s">
        <v>458</v>
      </c>
      <c r="C42" s="237">
        <v>7380.35</v>
      </c>
      <c r="E42" s="244"/>
      <c r="G42" s="246"/>
    </row>
    <row r="43" spans="1:16">
      <c r="A43" s="236">
        <v>93</v>
      </c>
      <c r="B43" s="236" t="s">
        <v>457</v>
      </c>
      <c r="C43" s="237">
        <v>4737.21</v>
      </c>
      <c r="E43" s="244"/>
      <c r="G43" s="246"/>
    </row>
    <row r="44" spans="1:16">
      <c r="A44" s="236">
        <v>94</v>
      </c>
      <c r="B44" s="236" t="s">
        <v>431</v>
      </c>
      <c r="C44" s="237">
        <v>2697.69</v>
      </c>
      <c r="E44" s="244"/>
      <c r="G44" s="246"/>
    </row>
    <row r="45" spans="1:16">
      <c r="A45" s="236">
        <v>14</v>
      </c>
      <c r="B45" s="236" t="s">
        <v>456</v>
      </c>
      <c r="C45" s="237">
        <v>5812.22</v>
      </c>
      <c r="E45" s="244"/>
      <c r="G45" s="246"/>
    </row>
    <row r="46" spans="1:16">
      <c r="A46" s="236">
        <v>20</v>
      </c>
      <c r="B46" s="236" t="s">
        <v>443</v>
      </c>
      <c r="C46" s="237">
        <v>5732.12</v>
      </c>
      <c r="E46" s="244"/>
      <c r="G46" s="246"/>
    </row>
    <row r="47" spans="1:16">
      <c r="A47" s="236">
        <v>2</v>
      </c>
      <c r="B47" s="236" t="s">
        <v>455</v>
      </c>
      <c r="C47" s="237">
        <v>2902.55</v>
      </c>
      <c r="E47" s="244"/>
      <c r="G47" s="246"/>
    </row>
    <row r="48" spans="1:16">
      <c r="A48" s="236">
        <v>102</v>
      </c>
      <c r="B48" s="236" t="s">
        <v>444</v>
      </c>
      <c r="C48" s="237">
        <v>2808.86</v>
      </c>
      <c r="E48" s="244"/>
      <c r="G48" s="246"/>
    </row>
    <row r="49" spans="1:7">
      <c r="A49" s="236">
        <v>20</v>
      </c>
      <c r="B49" s="236" t="s">
        <v>443</v>
      </c>
      <c r="C49" s="237">
        <v>4904.24</v>
      </c>
      <c r="E49" s="244"/>
      <c r="G49" s="246"/>
    </row>
    <row r="50" spans="1:7">
      <c r="A50" s="236">
        <v>93</v>
      </c>
      <c r="B50" s="236" t="s">
        <v>438</v>
      </c>
      <c r="C50" s="237">
        <v>3799.42</v>
      </c>
      <c r="E50" s="244"/>
      <c r="G50" s="246"/>
    </row>
    <row r="51" spans="1:7">
      <c r="A51" s="236">
        <v>97</v>
      </c>
      <c r="B51" s="236" t="s">
        <v>454</v>
      </c>
      <c r="C51" s="237">
        <v>3618.18</v>
      </c>
      <c r="E51" s="244"/>
      <c r="G51" s="246"/>
    </row>
    <row r="52" spans="1:7">
      <c r="A52" s="236">
        <v>86</v>
      </c>
      <c r="B52" s="236" t="s">
        <v>433</v>
      </c>
      <c r="C52" s="237">
        <v>870.71</v>
      </c>
      <c r="E52" s="244"/>
      <c r="G52" s="246"/>
    </row>
    <row r="53" spans="1:7">
      <c r="A53" s="236">
        <v>111</v>
      </c>
      <c r="B53" s="236" t="s">
        <v>453</v>
      </c>
      <c r="C53" s="237">
        <v>3325.01</v>
      </c>
      <c r="E53" s="244"/>
      <c r="G53" s="246"/>
    </row>
    <row r="54" spans="1:7">
      <c r="A54" s="236">
        <v>114</v>
      </c>
      <c r="B54" s="236" t="s">
        <v>447</v>
      </c>
      <c r="C54" s="237">
        <v>5656.41</v>
      </c>
      <c r="E54" s="244"/>
      <c r="G54" s="246"/>
    </row>
    <row r="55" spans="1:7">
      <c r="A55" s="236">
        <v>90</v>
      </c>
      <c r="B55" s="236" t="s">
        <v>450</v>
      </c>
      <c r="C55" s="237">
        <v>870.71</v>
      </c>
      <c r="E55" s="244"/>
      <c r="G55" s="246"/>
    </row>
    <row r="56" spans="1:7">
      <c r="A56" s="236">
        <v>38</v>
      </c>
      <c r="B56" s="236" t="s">
        <v>390</v>
      </c>
      <c r="C56" s="237">
        <v>6806.23</v>
      </c>
      <c r="E56" s="244"/>
      <c r="G56" s="246"/>
    </row>
    <row r="57" spans="1:7">
      <c r="A57" s="236">
        <v>13</v>
      </c>
      <c r="B57" s="236" t="s">
        <v>452</v>
      </c>
      <c r="C57" s="237">
        <v>2142.85</v>
      </c>
      <c r="E57" s="244"/>
      <c r="G57" s="246"/>
    </row>
    <row r="58" spans="1:7">
      <c r="A58" s="236">
        <v>94</v>
      </c>
      <c r="B58" s="236" t="s">
        <v>431</v>
      </c>
      <c r="C58" s="237">
        <v>2023.58</v>
      </c>
      <c r="E58" s="244"/>
      <c r="G58" s="246"/>
    </row>
    <row r="59" spans="1:7">
      <c r="A59" s="236">
        <v>93</v>
      </c>
      <c r="B59" s="236" t="s">
        <v>438</v>
      </c>
      <c r="C59" s="237">
        <v>2567.71</v>
      </c>
      <c r="E59" s="244"/>
      <c r="G59" s="246"/>
    </row>
    <row r="60" spans="1:7">
      <c r="A60" s="236">
        <v>102</v>
      </c>
      <c r="B60" s="236" t="s">
        <v>439</v>
      </c>
      <c r="C60" s="237">
        <v>4414.4799999999996</v>
      </c>
      <c r="E60" s="244"/>
      <c r="G60" s="246"/>
    </row>
    <row r="61" spans="1:7">
      <c r="A61" s="236">
        <v>113</v>
      </c>
      <c r="B61" s="236" t="s">
        <v>451</v>
      </c>
      <c r="C61" s="237">
        <v>3094.92</v>
      </c>
      <c r="E61" s="244"/>
      <c r="G61" s="246"/>
    </row>
    <row r="62" spans="1:7">
      <c r="A62" s="236">
        <v>1</v>
      </c>
      <c r="B62" s="236" t="s">
        <v>446</v>
      </c>
      <c r="C62" s="237">
        <v>1848.01</v>
      </c>
      <c r="E62" s="244"/>
      <c r="G62" s="246"/>
    </row>
    <row r="63" spans="1:7">
      <c r="A63" s="236">
        <v>1</v>
      </c>
      <c r="B63" s="236" t="s">
        <v>446</v>
      </c>
      <c r="C63" s="237">
        <v>3204.32</v>
      </c>
      <c r="E63" s="244"/>
      <c r="G63" s="246"/>
    </row>
    <row r="64" spans="1:7">
      <c r="A64" s="236">
        <v>1</v>
      </c>
      <c r="B64" s="236" t="s">
        <v>446</v>
      </c>
      <c r="C64" s="237">
        <v>2489.84</v>
      </c>
      <c r="E64" s="244"/>
      <c r="G64" s="246"/>
    </row>
    <row r="65" spans="1:7">
      <c r="A65" s="236">
        <v>90</v>
      </c>
      <c r="B65" s="236" t="s">
        <v>450</v>
      </c>
      <c r="C65" s="237">
        <v>870.71</v>
      </c>
      <c r="E65" s="244"/>
      <c r="G65" s="246"/>
    </row>
    <row r="66" spans="1:7">
      <c r="A66" s="236">
        <v>1</v>
      </c>
      <c r="B66" s="236" t="s">
        <v>446</v>
      </c>
      <c r="C66" s="237">
        <v>2557.29</v>
      </c>
      <c r="E66" s="244"/>
      <c r="G66" s="246"/>
    </row>
    <row r="67" spans="1:7">
      <c r="A67" s="236">
        <v>100</v>
      </c>
      <c r="B67" s="236" t="s">
        <v>449</v>
      </c>
      <c r="C67" s="237">
        <v>6537.36</v>
      </c>
      <c r="E67" s="244"/>
      <c r="G67" s="246"/>
    </row>
    <row r="68" spans="1:7">
      <c r="A68" s="236">
        <v>94</v>
      </c>
      <c r="B68" s="236" t="s">
        <v>431</v>
      </c>
      <c r="C68" s="237">
        <v>2514.69</v>
      </c>
      <c r="E68" s="244"/>
      <c r="G68" s="246"/>
    </row>
    <row r="69" spans="1:7">
      <c r="A69" s="236">
        <v>37</v>
      </c>
      <c r="B69" s="236" t="s">
        <v>448</v>
      </c>
      <c r="C69" s="237">
        <v>5837.8</v>
      </c>
      <c r="E69" s="244"/>
      <c r="G69" s="246"/>
    </row>
    <row r="70" spans="1:7">
      <c r="A70" s="236">
        <v>114</v>
      </c>
      <c r="B70" s="236" t="s">
        <v>447</v>
      </c>
      <c r="C70" s="237">
        <v>8793.67</v>
      </c>
      <c r="E70" s="244"/>
      <c r="G70" s="246"/>
    </row>
    <row r="71" spans="1:7">
      <c r="A71" s="236">
        <v>1</v>
      </c>
      <c r="B71" s="236" t="s">
        <v>446</v>
      </c>
      <c r="C71" s="237">
        <v>2262.92</v>
      </c>
      <c r="E71" s="244"/>
      <c r="G71" s="246"/>
    </row>
    <row r="72" spans="1:7">
      <c r="A72" s="236">
        <v>86</v>
      </c>
      <c r="B72" s="236" t="s">
        <v>433</v>
      </c>
      <c r="C72" s="237">
        <v>870.71</v>
      </c>
      <c r="E72" s="244"/>
      <c r="G72" s="246"/>
    </row>
    <row r="73" spans="1:7">
      <c r="A73" s="236">
        <v>102</v>
      </c>
      <c r="B73" s="236" t="s">
        <v>444</v>
      </c>
      <c r="C73" s="237">
        <v>8435.2099999999991</v>
      </c>
      <c r="E73" s="244"/>
      <c r="G73" s="246"/>
    </row>
    <row r="74" spans="1:7">
      <c r="A74" s="236">
        <v>41</v>
      </c>
      <c r="B74" s="236" t="s">
        <v>445</v>
      </c>
      <c r="C74" s="237">
        <v>3709.73</v>
      </c>
      <c r="E74" s="244"/>
      <c r="G74" s="246"/>
    </row>
    <row r="75" spans="1:7">
      <c r="A75" s="236">
        <v>88</v>
      </c>
      <c r="B75" s="236" t="s">
        <v>432</v>
      </c>
      <c r="C75" s="237">
        <v>3481.63</v>
      </c>
      <c r="E75" s="244"/>
      <c r="G75" s="246"/>
    </row>
    <row r="76" spans="1:7">
      <c r="A76" s="236">
        <v>88</v>
      </c>
      <c r="B76" s="236" t="s">
        <v>432</v>
      </c>
      <c r="C76" s="237">
        <v>2841.06</v>
      </c>
      <c r="E76" s="244"/>
      <c r="G76" s="246"/>
    </row>
    <row r="77" spans="1:7">
      <c r="A77" s="236">
        <v>94</v>
      </c>
      <c r="B77" s="236" t="s">
        <v>431</v>
      </c>
      <c r="C77" s="237">
        <v>2781.52</v>
      </c>
      <c r="E77" s="244"/>
      <c r="G77" s="246"/>
    </row>
    <row r="78" spans="1:7">
      <c r="A78" s="236">
        <v>102</v>
      </c>
      <c r="B78" s="236" t="s">
        <v>444</v>
      </c>
      <c r="C78" s="237">
        <v>3408.62</v>
      </c>
      <c r="E78" s="244"/>
      <c r="G78" s="246"/>
    </row>
    <row r="79" spans="1:7">
      <c r="A79" s="236">
        <v>110</v>
      </c>
      <c r="B79" s="236" t="s">
        <v>434</v>
      </c>
      <c r="C79" s="237">
        <v>7717.87</v>
      </c>
      <c r="E79" s="244"/>
      <c r="G79" s="246"/>
    </row>
    <row r="80" spans="1:7">
      <c r="A80" s="236">
        <v>20</v>
      </c>
      <c r="B80" s="236" t="s">
        <v>443</v>
      </c>
      <c r="C80" s="237">
        <v>6181.27</v>
      </c>
      <c r="E80" s="244"/>
      <c r="G80" s="246"/>
    </row>
    <row r="81" spans="1:7">
      <c r="A81" s="236">
        <v>130</v>
      </c>
      <c r="B81" s="236" t="s">
        <v>442</v>
      </c>
      <c r="C81" s="237">
        <v>8451.69</v>
      </c>
      <c r="E81" s="244"/>
      <c r="G81" s="246"/>
    </row>
    <row r="82" spans="1:7">
      <c r="A82" s="236">
        <v>115</v>
      </c>
      <c r="B82" s="236" t="s">
        <v>441</v>
      </c>
      <c r="C82" s="237">
        <v>7120.67</v>
      </c>
      <c r="E82" s="244"/>
      <c r="G82" s="246"/>
    </row>
    <row r="83" spans="1:7">
      <c r="A83" s="236">
        <v>101</v>
      </c>
      <c r="B83" s="236" t="s">
        <v>440</v>
      </c>
      <c r="C83" s="237">
        <v>4347.53</v>
      </c>
      <c r="E83" s="244"/>
      <c r="G83" s="246"/>
    </row>
    <row r="84" spans="1:7">
      <c r="A84" s="236">
        <v>102</v>
      </c>
      <c r="B84" s="236" t="s">
        <v>439</v>
      </c>
      <c r="C84" s="237">
        <v>5183.13</v>
      </c>
      <c r="E84" s="244"/>
      <c r="G84" s="246"/>
    </row>
    <row r="85" spans="1:7">
      <c r="A85" s="236">
        <v>93</v>
      </c>
      <c r="B85" s="236" t="s">
        <v>438</v>
      </c>
      <c r="C85" s="237">
        <v>3952.64</v>
      </c>
      <c r="E85" s="244"/>
      <c r="G85" s="246"/>
    </row>
    <row r="86" spans="1:7">
      <c r="A86" s="236">
        <v>88</v>
      </c>
      <c r="B86" s="236" t="s">
        <v>432</v>
      </c>
      <c r="C86" s="237">
        <v>2639.36</v>
      </c>
      <c r="E86" s="244"/>
      <c r="G86" s="246"/>
    </row>
    <row r="87" spans="1:7">
      <c r="A87" s="236">
        <v>86</v>
      </c>
      <c r="B87" s="236" t="s">
        <v>433</v>
      </c>
      <c r="C87" s="237">
        <v>870.71</v>
      </c>
      <c r="E87" s="244"/>
      <c r="G87" s="246"/>
    </row>
    <row r="88" spans="1:7">
      <c r="A88" s="236">
        <v>44</v>
      </c>
      <c r="B88" s="236" t="s">
        <v>437</v>
      </c>
      <c r="C88" s="237">
        <v>8500</v>
      </c>
      <c r="E88" s="244"/>
      <c r="G88" s="246"/>
    </row>
    <row r="89" spans="1:7">
      <c r="A89" s="236">
        <v>108</v>
      </c>
      <c r="B89" s="236" t="s">
        <v>436</v>
      </c>
      <c r="C89" s="237">
        <v>3325.01</v>
      </c>
      <c r="E89" s="244"/>
      <c r="G89" s="246"/>
    </row>
    <row r="90" spans="1:7">
      <c r="A90" s="236">
        <v>105</v>
      </c>
      <c r="B90" s="236" t="s">
        <v>435</v>
      </c>
      <c r="C90" s="237">
        <v>7293.11</v>
      </c>
      <c r="E90" s="244"/>
      <c r="G90" s="246"/>
    </row>
    <row r="91" spans="1:7">
      <c r="A91" s="236">
        <v>110</v>
      </c>
      <c r="B91" s="236" t="s">
        <v>434</v>
      </c>
      <c r="C91" s="237">
        <v>5584.19</v>
      </c>
      <c r="E91" s="244"/>
      <c r="G91" s="246"/>
    </row>
    <row r="92" spans="1:7">
      <c r="A92" s="236">
        <v>86</v>
      </c>
      <c r="B92" s="236" t="s">
        <v>433</v>
      </c>
      <c r="C92" s="237">
        <v>493.4</v>
      </c>
      <c r="E92" s="244"/>
      <c r="G92" s="246"/>
    </row>
    <row r="93" spans="1:7">
      <c r="A93" s="236">
        <v>88</v>
      </c>
      <c r="B93" s="236" t="s">
        <v>432</v>
      </c>
      <c r="C93" s="237">
        <v>4963.04</v>
      </c>
      <c r="E93" s="244"/>
      <c r="G93" s="246"/>
    </row>
    <row r="94" spans="1:7" ht="15" thickBot="1">
      <c r="A94" s="238">
        <v>94</v>
      </c>
      <c r="B94" s="238" t="s">
        <v>431</v>
      </c>
      <c r="C94" s="239">
        <v>2803.5</v>
      </c>
      <c r="E94" s="244"/>
      <c r="G94" s="246"/>
    </row>
    <row r="95" spans="1:7">
      <c r="B95" s="296" t="s">
        <v>521</v>
      </c>
      <c r="C95" s="297">
        <f>SUM(C2:C94)</f>
        <v>369259.12000000005</v>
      </c>
    </row>
    <row r="96" spans="1:7">
      <c r="B96" s="296" t="s">
        <v>384</v>
      </c>
      <c r="C96" s="297">
        <f>C95/93</f>
        <v>3970.5281720430112</v>
      </c>
    </row>
    <row r="97" spans="2:3">
      <c r="B97" s="298"/>
      <c r="C97" s="298"/>
    </row>
  </sheetData>
  <sortState xmlns:xlrd2="http://schemas.microsoft.com/office/spreadsheetml/2017/richdata2" ref="E2:E40">
    <sortCondition ref="E2:E40"/>
  </sortState>
  <pageMargins left="0.511811024" right="0.511811024" top="0.78740157499999996" bottom="0.78740157499999996" header="0.31496062000000002" footer="0.31496062000000002"/>
  <pageSetup paperSize="9" orientation="portrait" horizontalDpi="360" verticalDpi="360" r:id="rId1"/>
  <ignoredErrors>
    <ignoredError sqref="N34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A2:AO63"/>
  <sheetViews>
    <sheetView showGridLines="0" zoomScale="55" zoomScaleNormal="55" workbookViewId="0">
      <selection activeCell="Y20" sqref="Y20"/>
    </sheetView>
  </sheetViews>
  <sheetFormatPr defaultColWidth="9.109375" defaultRowHeight="13.2"/>
  <cols>
    <col min="1" max="1" width="33.77734375" style="339" customWidth="1"/>
    <col min="2" max="2" width="9.109375" style="340"/>
    <col min="3" max="3" width="9.109375" style="339"/>
    <col min="4" max="4" width="56.6640625" style="339" customWidth="1"/>
    <col min="5" max="5" width="12.44140625" style="341" bestFit="1" customWidth="1"/>
    <col min="6" max="34" width="12.44140625" style="341" customWidth="1"/>
    <col min="35" max="39" width="12.44140625" style="341" hidden="1" customWidth="1"/>
    <col min="40" max="16384" width="9.109375" style="339"/>
  </cols>
  <sheetData>
    <row r="2" spans="1:39" ht="14.4">
      <c r="A2" s="342" t="s">
        <v>558</v>
      </c>
      <c r="E2" s="343" t="s">
        <v>578</v>
      </c>
      <c r="F2" s="343" t="s">
        <v>579</v>
      </c>
      <c r="G2" s="343" t="s">
        <v>580</v>
      </c>
      <c r="H2" s="343" t="s">
        <v>581</v>
      </c>
      <c r="I2" s="343" t="s">
        <v>582</v>
      </c>
      <c r="J2" s="343" t="s">
        <v>583</v>
      </c>
      <c r="K2" s="343" t="s">
        <v>584</v>
      </c>
      <c r="L2" s="343" t="s">
        <v>585</v>
      </c>
      <c r="M2" s="343" t="s">
        <v>586</v>
      </c>
      <c r="N2" s="343" t="s">
        <v>82</v>
      </c>
      <c r="O2" s="343" t="s">
        <v>83</v>
      </c>
      <c r="P2" s="343" t="s">
        <v>84</v>
      </c>
      <c r="Q2" s="343" t="s">
        <v>85</v>
      </c>
      <c r="R2" s="343" t="s">
        <v>86</v>
      </c>
      <c r="S2" s="343" t="s">
        <v>87</v>
      </c>
      <c r="T2" s="343" t="s">
        <v>88</v>
      </c>
      <c r="U2" s="343" t="s">
        <v>89</v>
      </c>
      <c r="V2" s="343" t="s">
        <v>90</v>
      </c>
      <c r="W2" s="343" t="s">
        <v>91</v>
      </c>
      <c r="X2" s="343" t="s">
        <v>92</v>
      </c>
      <c r="Y2" s="343" t="s">
        <v>93</v>
      </c>
      <c r="Z2" s="343" t="s">
        <v>94</v>
      </c>
      <c r="AA2" s="343" t="s">
        <v>95</v>
      </c>
      <c r="AB2" s="343" t="s">
        <v>96</v>
      </c>
      <c r="AC2" s="343" t="s">
        <v>97</v>
      </c>
      <c r="AD2" s="343" t="s">
        <v>98</v>
      </c>
      <c r="AE2" s="343" t="s">
        <v>99</v>
      </c>
      <c r="AF2" s="343" t="s">
        <v>100</v>
      </c>
      <c r="AG2" s="343" t="s">
        <v>101</v>
      </c>
      <c r="AH2" s="343" t="s">
        <v>102</v>
      </c>
      <c r="AI2" s="343" t="s">
        <v>421</v>
      </c>
      <c r="AJ2" s="343" t="s">
        <v>422</v>
      </c>
      <c r="AK2" s="343" t="s">
        <v>423</v>
      </c>
      <c r="AL2" s="343" t="s">
        <v>424</v>
      </c>
      <c r="AM2" s="343" t="s">
        <v>425</v>
      </c>
    </row>
    <row r="3" spans="1:39" ht="14.4">
      <c r="A3" s="344" t="s">
        <v>563</v>
      </c>
      <c r="B3" s="345">
        <v>3000</v>
      </c>
      <c r="C3" s="346"/>
      <c r="D3" s="347" t="s">
        <v>559</v>
      </c>
      <c r="E3" s="348">
        <f t="array" ref="E3:AM3">ROUND((TRANSPOSE('Evolução Ligações'!$B$5:$B$34)/B3),0)</f>
        <v>11</v>
      </c>
      <c r="F3" s="349">
        <v>12</v>
      </c>
      <c r="G3" s="348">
        <v>12</v>
      </c>
      <c r="H3" s="349">
        <v>12</v>
      </c>
      <c r="I3" s="349">
        <v>12</v>
      </c>
      <c r="J3" s="349">
        <v>12</v>
      </c>
      <c r="K3" s="349">
        <v>12</v>
      </c>
      <c r="L3" s="349">
        <v>13</v>
      </c>
      <c r="M3" s="349">
        <v>13</v>
      </c>
      <c r="N3" s="349">
        <v>13</v>
      </c>
      <c r="O3" s="349">
        <v>13</v>
      </c>
      <c r="P3" s="349">
        <v>13</v>
      </c>
      <c r="Q3" s="349">
        <v>13</v>
      </c>
      <c r="R3" s="349">
        <v>13</v>
      </c>
      <c r="S3" s="349">
        <v>14</v>
      </c>
      <c r="T3" s="349">
        <v>14</v>
      </c>
      <c r="U3" s="349">
        <v>14</v>
      </c>
      <c r="V3" s="349">
        <v>14</v>
      </c>
      <c r="W3" s="349">
        <v>14</v>
      </c>
      <c r="X3" s="349">
        <v>14</v>
      </c>
      <c r="Y3" s="349">
        <v>15</v>
      </c>
      <c r="Z3" s="349">
        <v>15</v>
      </c>
      <c r="AA3" s="349">
        <v>15</v>
      </c>
      <c r="AB3" s="349">
        <v>15</v>
      </c>
      <c r="AC3" s="349">
        <v>15</v>
      </c>
      <c r="AD3" s="349">
        <v>15</v>
      </c>
      <c r="AE3" s="349">
        <v>16</v>
      </c>
      <c r="AF3" s="349">
        <v>16</v>
      </c>
      <c r="AG3" s="349">
        <v>16</v>
      </c>
      <c r="AH3" s="349">
        <v>16</v>
      </c>
      <c r="AI3" s="349" t="e">
        <v>#N/A</v>
      </c>
      <c r="AJ3" s="349" t="e">
        <v>#N/A</v>
      </c>
      <c r="AK3" s="349" t="e">
        <v>#N/A</v>
      </c>
      <c r="AL3" s="349" t="e">
        <v>#N/A</v>
      </c>
      <c r="AM3" s="349" t="e">
        <v>#N/A</v>
      </c>
    </row>
    <row r="4" spans="1:39" ht="14.4">
      <c r="A4" s="344" t="s">
        <v>564</v>
      </c>
      <c r="B4" s="345">
        <v>15000</v>
      </c>
      <c r="C4" s="346"/>
      <c r="D4" s="347" t="s">
        <v>124</v>
      </c>
      <c r="E4" s="350">
        <f t="array" ref="E4:AM4">ROUND((TRANSPOSE('Evolução Ligações'!$B$5:$B$34)/B4),0)</f>
        <v>2</v>
      </c>
      <c r="F4" s="350">
        <v>2</v>
      </c>
      <c r="G4" s="350">
        <v>2</v>
      </c>
      <c r="H4" s="351">
        <v>2</v>
      </c>
      <c r="I4" s="351">
        <v>2</v>
      </c>
      <c r="J4" s="351">
        <v>2</v>
      </c>
      <c r="K4" s="351">
        <v>2</v>
      </c>
      <c r="L4" s="351">
        <v>3</v>
      </c>
      <c r="M4" s="351">
        <v>3</v>
      </c>
      <c r="N4" s="351">
        <v>3</v>
      </c>
      <c r="O4" s="351">
        <v>3</v>
      </c>
      <c r="P4" s="351">
        <v>3</v>
      </c>
      <c r="Q4" s="351">
        <v>3</v>
      </c>
      <c r="R4" s="351">
        <v>3</v>
      </c>
      <c r="S4" s="351">
        <v>3</v>
      </c>
      <c r="T4" s="351">
        <v>3</v>
      </c>
      <c r="U4" s="351">
        <v>3</v>
      </c>
      <c r="V4" s="351">
        <v>3</v>
      </c>
      <c r="W4" s="351">
        <v>3</v>
      </c>
      <c r="X4" s="351">
        <v>3</v>
      </c>
      <c r="Y4" s="351">
        <v>3</v>
      </c>
      <c r="Z4" s="351">
        <v>3</v>
      </c>
      <c r="AA4" s="351">
        <v>3</v>
      </c>
      <c r="AB4" s="351">
        <v>3</v>
      </c>
      <c r="AC4" s="351">
        <v>3</v>
      </c>
      <c r="AD4" s="351">
        <v>3</v>
      </c>
      <c r="AE4" s="351">
        <v>3</v>
      </c>
      <c r="AF4" s="351">
        <v>3</v>
      </c>
      <c r="AG4" s="351">
        <v>3</v>
      </c>
      <c r="AH4" s="351">
        <v>3</v>
      </c>
      <c r="AI4" s="351" t="e">
        <v>#N/A</v>
      </c>
      <c r="AJ4" s="351" t="e">
        <v>#N/A</v>
      </c>
      <c r="AK4" s="351" t="e">
        <v>#N/A</v>
      </c>
      <c r="AL4" s="351" t="e">
        <v>#N/A</v>
      </c>
      <c r="AM4" s="351" t="e">
        <v>#N/A</v>
      </c>
    </row>
    <row r="5" spans="1:39" ht="14.4">
      <c r="A5" s="344" t="s">
        <v>566</v>
      </c>
      <c r="B5" s="345">
        <v>10000</v>
      </c>
      <c r="C5" s="346"/>
      <c r="D5" s="347" t="s">
        <v>560</v>
      </c>
      <c r="E5" s="350">
        <f t="array" ref="E5:AM5">ROUND((TRANSPOSE('Evolução Ligações'!$B$5:$B$34)/B5),0)</f>
        <v>3</v>
      </c>
      <c r="F5" s="350">
        <v>3</v>
      </c>
      <c r="G5" s="350">
        <v>4</v>
      </c>
      <c r="H5" s="351">
        <v>4</v>
      </c>
      <c r="I5" s="351">
        <v>4</v>
      </c>
      <c r="J5" s="351">
        <v>4</v>
      </c>
      <c r="K5" s="351">
        <v>4</v>
      </c>
      <c r="L5" s="351">
        <v>4</v>
      </c>
      <c r="M5" s="351">
        <v>4</v>
      </c>
      <c r="N5" s="351">
        <v>4</v>
      </c>
      <c r="O5" s="351">
        <v>4</v>
      </c>
      <c r="P5" s="351">
        <v>4</v>
      </c>
      <c r="Q5" s="351">
        <v>4</v>
      </c>
      <c r="R5" s="351">
        <v>4</v>
      </c>
      <c r="S5" s="351">
        <v>4</v>
      </c>
      <c r="T5" s="351">
        <v>4</v>
      </c>
      <c r="U5" s="351">
        <v>4</v>
      </c>
      <c r="V5" s="351">
        <v>4</v>
      </c>
      <c r="W5" s="351">
        <v>4</v>
      </c>
      <c r="X5" s="351">
        <v>4</v>
      </c>
      <c r="Y5" s="351">
        <v>4</v>
      </c>
      <c r="Z5" s="351">
        <v>4</v>
      </c>
      <c r="AA5" s="351">
        <v>4</v>
      </c>
      <c r="AB5" s="351">
        <v>5</v>
      </c>
      <c r="AC5" s="351">
        <v>5</v>
      </c>
      <c r="AD5" s="351">
        <v>5</v>
      </c>
      <c r="AE5" s="351">
        <v>5</v>
      </c>
      <c r="AF5" s="351">
        <v>5</v>
      </c>
      <c r="AG5" s="351">
        <v>5</v>
      </c>
      <c r="AH5" s="351">
        <v>5</v>
      </c>
      <c r="AI5" s="351" t="e">
        <v>#N/A</v>
      </c>
      <c r="AJ5" s="351" t="e">
        <v>#N/A</v>
      </c>
      <c r="AK5" s="351" t="e">
        <v>#N/A</v>
      </c>
      <c r="AL5" s="351" t="e">
        <v>#N/A</v>
      </c>
      <c r="AM5" s="351" t="e">
        <v>#N/A</v>
      </c>
    </row>
    <row r="6" spans="1:39" ht="14.4">
      <c r="C6" s="346"/>
      <c r="E6" s="374">
        <f>SUM(E3:E5)</f>
        <v>16</v>
      </c>
      <c r="F6" s="374">
        <f t="shared" ref="F6:AM6" si="0">SUM(F3:F5)</f>
        <v>17</v>
      </c>
      <c r="G6" s="374">
        <f t="shared" si="0"/>
        <v>18</v>
      </c>
      <c r="H6" s="374">
        <f t="shared" si="0"/>
        <v>18</v>
      </c>
      <c r="I6" s="374">
        <f t="shared" si="0"/>
        <v>18</v>
      </c>
      <c r="J6" s="374">
        <f t="shared" si="0"/>
        <v>18</v>
      </c>
      <c r="K6" s="374">
        <f t="shared" si="0"/>
        <v>18</v>
      </c>
      <c r="L6" s="374">
        <f t="shared" si="0"/>
        <v>20</v>
      </c>
      <c r="M6" s="374">
        <f t="shared" si="0"/>
        <v>20</v>
      </c>
      <c r="N6" s="374">
        <f t="shared" si="0"/>
        <v>20</v>
      </c>
      <c r="O6" s="374">
        <f t="shared" si="0"/>
        <v>20</v>
      </c>
      <c r="P6" s="374">
        <f t="shared" si="0"/>
        <v>20</v>
      </c>
      <c r="Q6" s="374">
        <f t="shared" si="0"/>
        <v>20</v>
      </c>
      <c r="R6" s="374">
        <f t="shared" si="0"/>
        <v>20</v>
      </c>
      <c r="S6" s="374">
        <f t="shared" si="0"/>
        <v>21</v>
      </c>
      <c r="T6" s="374">
        <f t="shared" si="0"/>
        <v>21</v>
      </c>
      <c r="U6" s="374">
        <f t="shared" si="0"/>
        <v>21</v>
      </c>
      <c r="V6" s="374">
        <f t="shared" si="0"/>
        <v>21</v>
      </c>
      <c r="W6" s="374">
        <f t="shared" si="0"/>
        <v>21</v>
      </c>
      <c r="X6" s="374">
        <f t="shared" si="0"/>
        <v>21</v>
      </c>
      <c r="Y6" s="374">
        <f t="shared" si="0"/>
        <v>22</v>
      </c>
      <c r="Z6" s="374">
        <f t="shared" si="0"/>
        <v>22</v>
      </c>
      <c r="AA6" s="374">
        <f t="shared" si="0"/>
        <v>22</v>
      </c>
      <c r="AB6" s="374">
        <f t="shared" si="0"/>
        <v>23</v>
      </c>
      <c r="AC6" s="374">
        <f t="shared" si="0"/>
        <v>23</v>
      </c>
      <c r="AD6" s="374">
        <f t="shared" si="0"/>
        <v>23</v>
      </c>
      <c r="AE6" s="374">
        <f t="shared" si="0"/>
        <v>24</v>
      </c>
      <c r="AF6" s="374">
        <f t="shared" si="0"/>
        <v>24</v>
      </c>
      <c r="AG6" s="374">
        <f t="shared" si="0"/>
        <v>24</v>
      </c>
      <c r="AH6" s="374">
        <f t="shared" si="0"/>
        <v>24</v>
      </c>
      <c r="AI6" s="374" t="e">
        <f t="shared" si="0"/>
        <v>#N/A</v>
      </c>
      <c r="AJ6" s="374" t="e">
        <f t="shared" si="0"/>
        <v>#N/A</v>
      </c>
      <c r="AK6" s="374" t="e">
        <f t="shared" si="0"/>
        <v>#N/A</v>
      </c>
      <c r="AL6" s="374" t="e">
        <f t="shared" si="0"/>
        <v>#N/A</v>
      </c>
      <c r="AM6" s="374" t="e">
        <f t="shared" si="0"/>
        <v>#N/A</v>
      </c>
    </row>
    <row r="7" spans="1:39" ht="14.4">
      <c r="A7" s="344" t="s">
        <v>561</v>
      </c>
      <c r="B7" s="345">
        <v>6000</v>
      </c>
      <c r="C7" s="346"/>
      <c r="D7" s="346" t="s">
        <v>562</v>
      </c>
      <c r="E7" s="343" t="str">
        <f>E2</f>
        <v>Ano 1</v>
      </c>
      <c r="F7" s="343" t="str">
        <f t="shared" ref="F7:AM7" si="1">F2</f>
        <v>Ano 2</v>
      </c>
      <c r="G7" s="343" t="str">
        <f t="shared" si="1"/>
        <v>Ano 3</v>
      </c>
      <c r="H7" s="343" t="str">
        <f t="shared" si="1"/>
        <v>Ano 4</v>
      </c>
      <c r="I7" s="343" t="str">
        <f t="shared" si="1"/>
        <v>Ano 5</v>
      </c>
      <c r="J7" s="343" t="str">
        <f t="shared" si="1"/>
        <v>Ano 6</v>
      </c>
      <c r="K7" s="343" t="str">
        <f t="shared" si="1"/>
        <v>Ano 7</v>
      </c>
      <c r="L7" s="343" t="str">
        <f t="shared" si="1"/>
        <v>Ano 8</v>
      </c>
      <c r="M7" s="343" t="str">
        <f t="shared" si="1"/>
        <v>Ano 9</v>
      </c>
      <c r="N7" s="343" t="str">
        <f t="shared" si="1"/>
        <v>Ano 10</v>
      </c>
      <c r="O7" s="343" t="str">
        <f t="shared" si="1"/>
        <v>Ano 11</v>
      </c>
      <c r="P7" s="343" t="str">
        <f t="shared" si="1"/>
        <v>Ano 12</v>
      </c>
      <c r="Q7" s="343" t="str">
        <f t="shared" si="1"/>
        <v>Ano 13</v>
      </c>
      <c r="R7" s="343" t="str">
        <f t="shared" si="1"/>
        <v>Ano 14</v>
      </c>
      <c r="S7" s="343" t="str">
        <f t="shared" si="1"/>
        <v>Ano 15</v>
      </c>
      <c r="T7" s="343" t="str">
        <f t="shared" si="1"/>
        <v>Ano 16</v>
      </c>
      <c r="U7" s="343" t="str">
        <f t="shared" si="1"/>
        <v>Ano 17</v>
      </c>
      <c r="V7" s="343" t="str">
        <f t="shared" si="1"/>
        <v>Ano 18</v>
      </c>
      <c r="W7" s="343" t="str">
        <f t="shared" si="1"/>
        <v>Ano 19</v>
      </c>
      <c r="X7" s="343" t="str">
        <f t="shared" si="1"/>
        <v>Ano 20</v>
      </c>
      <c r="Y7" s="343" t="str">
        <f t="shared" si="1"/>
        <v>Ano 21</v>
      </c>
      <c r="Z7" s="343" t="str">
        <f t="shared" si="1"/>
        <v>Ano 22</v>
      </c>
      <c r="AA7" s="343" t="str">
        <f t="shared" si="1"/>
        <v>Ano 23</v>
      </c>
      <c r="AB7" s="343" t="str">
        <f t="shared" si="1"/>
        <v>Ano 24</v>
      </c>
      <c r="AC7" s="343" t="str">
        <f t="shared" si="1"/>
        <v>Ano 25</v>
      </c>
      <c r="AD7" s="343" t="str">
        <f t="shared" si="1"/>
        <v>Ano 26</v>
      </c>
      <c r="AE7" s="343" t="str">
        <f t="shared" si="1"/>
        <v>Ano 27</v>
      </c>
      <c r="AF7" s="343" t="str">
        <f t="shared" si="1"/>
        <v>Ano 28</v>
      </c>
      <c r="AG7" s="343" t="str">
        <f t="shared" si="1"/>
        <v>Ano 29</v>
      </c>
      <c r="AH7" s="343" t="str">
        <f t="shared" si="1"/>
        <v>Ano 30</v>
      </c>
      <c r="AI7" s="343" t="str">
        <f t="shared" si="1"/>
        <v>Ano 31</v>
      </c>
      <c r="AJ7" s="343" t="str">
        <f t="shared" si="1"/>
        <v>Ano 32</v>
      </c>
      <c r="AK7" s="343" t="str">
        <f t="shared" si="1"/>
        <v>Ano 33</v>
      </c>
      <c r="AL7" s="343" t="str">
        <f t="shared" si="1"/>
        <v>Ano 34</v>
      </c>
      <c r="AM7" s="343" t="str">
        <f t="shared" si="1"/>
        <v>Ano 35</v>
      </c>
    </row>
    <row r="8" spans="1:39" ht="14.4">
      <c r="D8" s="347" t="s">
        <v>559</v>
      </c>
      <c r="E8" s="348">
        <f t="array" ref="E8:AM8">ROUNDUP((TRANSPOSE('Evolução Ligações'!$J$5:$J$34)/B10),0)</f>
        <v>0</v>
      </c>
      <c r="F8" s="349">
        <v>0</v>
      </c>
      <c r="G8" s="348">
        <v>0</v>
      </c>
      <c r="H8" s="349">
        <v>4</v>
      </c>
      <c r="I8" s="349">
        <v>7</v>
      </c>
      <c r="J8" s="349">
        <v>11</v>
      </c>
      <c r="K8" s="349">
        <v>12</v>
      </c>
      <c r="L8" s="349">
        <v>14</v>
      </c>
      <c r="M8" s="349">
        <v>16</v>
      </c>
      <c r="N8" s="349">
        <v>16</v>
      </c>
      <c r="O8" s="349">
        <v>17</v>
      </c>
      <c r="P8" s="349">
        <v>17</v>
      </c>
      <c r="Q8" s="349">
        <v>17</v>
      </c>
      <c r="R8" s="349">
        <v>17</v>
      </c>
      <c r="S8" s="349">
        <v>17</v>
      </c>
      <c r="T8" s="349">
        <v>18</v>
      </c>
      <c r="U8" s="349">
        <v>18</v>
      </c>
      <c r="V8" s="349">
        <v>18</v>
      </c>
      <c r="W8" s="349">
        <v>18</v>
      </c>
      <c r="X8" s="349">
        <v>18</v>
      </c>
      <c r="Y8" s="349">
        <v>19</v>
      </c>
      <c r="Z8" s="349">
        <v>19</v>
      </c>
      <c r="AA8" s="349">
        <v>19</v>
      </c>
      <c r="AB8" s="349">
        <v>19</v>
      </c>
      <c r="AC8" s="349">
        <v>19</v>
      </c>
      <c r="AD8" s="349">
        <v>20</v>
      </c>
      <c r="AE8" s="349">
        <v>20</v>
      </c>
      <c r="AF8" s="349">
        <v>20</v>
      </c>
      <c r="AG8" s="349">
        <v>20</v>
      </c>
      <c r="AH8" s="349">
        <v>20</v>
      </c>
      <c r="AI8" s="349" t="e">
        <v>#N/A</v>
      </c>
      <c r="AJ8" s="349" t="e">
        <v>#N/A</v>
      </c>
      <c r="AK8" s="349" t="e">
        <v>#N/A</v>
      </c>
      <c r="AL8" s="349" t="e">
        <v>#N/A</v>
      </c>
      <c r="AM8" s="349" t="e">
        <v>#N/A</v>
      </c>
    </row>
    <row r="9" spans="1:39" ht="14.4">
      <c r="A9" s="352" t="s">
        <v>562</v>
      </c>
      <c r="C9" s="346"/>
      <c r="D9" s="347" t="s">
        <v>124</v>
      </c>
      <c r="E9" s="348">
        <f t="array" ref="E9:AM9">ROUND((TRANSPOSE('Evolução Ligações'!$J$5:$J$34)/B11),0)</f>
        <v>0</v>
      </c>
      <c r="F9" s="349">
        <v>0</v>
      </c>
      <c r="G9" s="348">
        <v>0</v>
      </c>
      <c r="H9" s="349">
        <v>1</v>
      </c>
      <c r="I9" s="349">
        <v>2</v>
      </c>
      <c r="J9" s="349">
        <v>4</v>
      </c>
      <c r="K9" s="349">
        <v>4</v>
      </c>
      <c r="L9" s="349">
        <v>5</v>
      </c>
      <c r="M9" s="349">
        <v>5</v>
      </c>
      <c r="N9" s="349">
        <v>6</v>
      </c>
      <c r="O9" s="349">
        <v>6</v>
      </c>
      <c r="P9" s="349">
        <v>6</v>
      </c>
      <c r="Q9" s="349">
        <v>6</v>
      </c>
      <c r="R9" s="349">
        <v>6</v>
      </c>
      <c r="S9" s="349">
        <v>6</v>
      </c>
      <c r="T9" s="349">
        <v>6</v>
      </c>
      <c r="U9" s="349">
        <v>6</v>
      </c>
      <c r="V9" s="349">
        <v>6</v>
      </c>
      <c r="W9" s="349">
        <v>6</v>
      </c>
      <c r="X9" s="349">
        <v>6</v>
      </c>
      <c r="Y9" s="349">
        <v>6</v>
      </c>
      <c r="Z9" s="349">
        <v>6</v>
      </c>
      <c r="AA9" s="349">
        <v>6</v>
      </c>
      <c r="AB9" s="349">
        <v>7</v>
      </c>
      <c r="AC9" s="349">
        <v>7</v>
      </c>
      <c r="AD9" s="349">
        <v>7</v>
      </c>
      <c r="AE9" s="349">
        <v>7</v>
      </c>
      <c r="AF9" s="349">
        <v>7</v>
      </c>
      <c r="AG9" s="349">
        <v>7</v>
      </c>
      <c r="AH9" s="349">
        <v>7</v>
      </c>
      <c r="AI9" s="349" t="e">
        <v>#N/A</v>
      </c>
      <c r="AJ9" s="349" t="e">
        <v>#N/A</v>
      </c>
      <c r="AK9" s="349" t="e">
        <v>#N/A</v>
      </c>
      <c r="AL9" s="349" t="e">
        <v>#N/A</v>
      </c>
      <c r="AM9" s="349" t="e">
        <v>#N/A</v>
      </c>
    </row>
    <row r="10" spans="1:39" ht="14.4">
      <c r="A10" s="344" t="s">
        <v>563</v>
      </c>
      <c r="B10" s="345">
        <v>2100</v>
      </c>
      <c r="D10" s="347" t="s">
        <v>560</v>
      </c>
      <c r="E10" s="348">
        <f t="array" ref="E10:AM10">ROUND((TRANSPOSE('Evolução Ligações'!$J$5:$J$34)/B12),0)</f>
        <v>0</v>
      </c>
      <c r="F10" s="349">
        <v>0</v>
      </c>
      <c r="G10" s="348">
        <v>0</v>
      </c>
      <c r="H10" s="349">
        <v>1</v>
      </c>
      <c r="I10" s="349">
        <v>2</v>
      </c>
      <c r="J10" s="349">
        <v>4</v>
      </c>
      <c r="K10" s="349">
        <v>4</v>
      </c>
      <c r="L10" s="349">
        <v>5</v>
      </c>
      <c r="M10" s="349">
        <v>5</v>
      </c>
      <c r="N10" s="349">
        <v>6</v>
      </c>
      <c r="O10" s="349">
        <v>6</v>
      </c>
      <c r="P10" s="349">
        <v>6</v>
      </c>
      <c r="Q10" s="349">
        <v>6</v>
      </c>
      <c r="R10" s="349">
        <v>6</v>
      </c>
      <c r="S10" s="349">
        <v>6</v>
      </c>
      <c r="T10" s="349">
        <v>6</v>
      </c>
      <c r="U10" s="349">
        <v>6</v>
      </c>
      <c r="V10" s="349">
        <v>6</v>
      </c>
      <c r="W10" s="349">
        <v>6</v>
      </c>
      <c r="X10" s="349">
        <v>6</v>
      </c>
      <c r="Y10" s="349">
        <v>6</v>
      </c>
      <c r="Z10" s="349">
        <v>6</v>
      </c>
      <c r="AA10" s="349">
        <v>6</v>
      </c>
      <c r="AB10" s="349">
        <v>7</v>
      </c>
      <c r="AC10" s="349">
        <v>7</v>
      </c>
      <c r="AD10" s="349">
        <v>7</v>
      </c>
      <c r="AE10" s="349">
        <v>7</v>
      </c>
      <c r="AF10" s="349">
        <v>7</v>
      </c>
      <c r="AG10" s="349">
        <v>7</v>
      </c>
      <c r="AH10" s="349">
        <v>7</v>
      </c>
      <c r="AI10" s="349" t="e">
        <v>#N/A</v>
      </c>
      <c r="AJ10" s="349" t="e">
        <v>#N/A</v>
      </c>
      <c r="AK10" s="349" t="e">
        <v>#N/A</v>
      </c>
      <c r="AL10" s="349" t="e">
        <v>#N/A</v>
      </c>
      <c r="AM10" s="349" t="e">
        <v>#N/A</v>
      </c>
    </row>
    <row r="11" spans="1:39" ht="14.4">
      <c r="A11" s="344" t="s">
        <v>564</v>
      </c>
      <c r="B11" s="345">
        <v>6000</v>
      </c>
      <c r="D11" s="347" t="s">
        <v>565</v>
      </c>
      <c r="E11" s="375">
        <f>ROUNDDOWN((E8+E3)*0.1,0)</f>
        <v>1</v>
      </c>
      <c r="F11" s="375">
        <f t="shared" ref="F11:AM11" si="2">ROUNDDOWN((F8+F3)*0.1,0)</f>
        <v>1</v>
      </c>
      <c r="G11" s="375">
        <f t="shared" si="2"/>
        <v>1</v>
      </c>
      <c r="H11" s="375">
        <f t="shared" si="2"/>
        <v>1</v>
      </c>
      <c r="I11" s="375">
        <f t="shared" si="2"/>
        <v>1</v>
      </c>
      <c r="J11" s="375">
        <f t="shared" si="2"/>
        <v>2</v>
      </c>
      <c r="K11" s="375">
        <f t="shared" si="2"/>
        <v>2</v>
      </c>
      <c r="L11" s="375">
        <f t="shared" si="2"/>
        <v>2</v>
      </c>
      <c r="M11" s="375">
        <f t="shared" si="2"/>
        <v>2</v>
      </c>
      <c r="N11" s="375">
        <f t="shared" si="2"/>
        <v>2</v>
      </c>
      <c r="O11" s="375">
        <f t="shared" si="2"/>
        <v>3</v>
      </c>
      <c r="P11" s="375">
        <f t="shared" si="2"/>
        <v>3</v>
      </c>
      <c r="Q11" s="375">
        <f t="shared" si="2"/>
        <v>3</v>
      </c>
      <c r="R11" s="375">
        <f t="shared" si="2"/>
        <v>3</v>
      </c>
      <c r="S11" s="375">
        <f t="shared" si="2"/>
        <v>3</v>
      </c>
      <c r="T11" s="375">
        <f t="shared" si="2"/>
        <v>3</v>
      </c>
      <c r="U11" s="375">
        <f t="shared" si="2"/>
        <v>3</v>
      </c>
      <c r="V11" s="375">
        <f t="shared" si="2"/>
        <v>3</v>
      </c>
      <c r="W11" s="375">
        <f t="shared" si="2"/>
        <v>3</v>
      </c>
      <c r="X11" s="375">
        <f t="shared" si="2"/>
        <v>3</v>
      </c>
      <c r="Y11" s="375">
        <f t="shared" si="2"/>
        <v>3</v>
      </c>
      <c r="Z11" s="375">
        <f t="shared" si="2"/>
        <v>3</v>
      </c>
      <c r="AA11" s="375">
        <f t="shared" si="2"/>
        <v>3</v>
      </c>
      <c r="AB11" s="375">
        <f t="shared" si="2"/>
        <v>3</v>
      </c>
      <c r="AC11" s="375">
        <f t="shared" si="2"/>
        <v>3</v>
      </c>
      <c r="AD11" s="375">
        <f t="shared" si="2"/>
        <v>3</v>
      </c>
      <c r="AE11" s="375">
        <f t="shared" si="2"/>
        <v>3</v>
      </c>
      <c r="AF11" s="375">
        <f t="shared" si="2"/>
        <v>3</v>
      </c>
      <c r="AG11" s="375">
        <f t="shared" si="2"/>
        <v>3</v>
      </c>
      <c r="AH11" s="375">
        <f t="shared" si="2"/>
        <v>3</v>
      </c>
      <c r="AI11" s="375" t="e">
        <f t="shared" si="2"/>
        <v>#N/A</v>
      </c>
      <c r="AJ11" s="375" t="e">
        <f t="shared" si="2"/>
        <v>#N/A</v>
      </c>
      <c r="AK11" s="375" t="e">
        <f t="shared" si="2"/>
        <v>#N/A</v>
      </c>
      <c r="AL11" s="375" t="e">
        <f t="shared" si="2"/>
        <v>#N/A</v>
      </c>
      <c r="AM11" s="375" t="e">
        <f t="shared" si="2"/>
        <v>#N/A</v>
      </c>
    </row>
    <row r="12" spans="1:39">
      <c r="A12" s="344" t="s">
        <v>566</v>
      </c>
      <c r="B12" s="345">
        <v>6000</v>
      </c>
      <c r="E12" s="345">
        <f>SUM(E8:E11)</f>
        <v>1</v>
      </c>
      <c r="F12" s="345">
        <f t="shared" ref="F12:AM12" si="3">SUM(F8:F11)</f>
        <v>1</v>
      </c>
      <c r="G12" s="345">
        <f t="shared" si="3"/>
        <v>1</v>
      </c>
      <c r="H12" s="345">
        <f t="shared" si="3"/>
        <v>7</v>
      </c>
      <c r="I12" s="345">
        <f t="shared" si="3"/>
        <v>12</v>
      </c>
      <c r="J12" s="345">
        <f t="shared" si="3"/>
        <v>21</v>
      </c>
      <c r="K12" s="345">
        <f t="shared" si="3"/>
        <v>22</v>
      </c>
      <c r="L12" s="345">
        <f t="shared" si="3"/>
        <v>26</v>
      </c>
      <c r="M12" s="345">
        <f t="shared" si="3"/>
        <v>28</v>
      </c>
      <c r="N12" s="345">
        <f t="shared" si="3"/>
        <v>30</v>
      </c>
      <c r="O12" s="345">
        <f t="shared" si="3"/>
        <v>32</v>
      </c>
      <c r="P12" s="345">
        <f t="shared" si="3"/>
        <v>32</v>
      </c>
      <c r="Q12" s="345">
        <f t="shared" si="3"/>
        <v>32</v>
      </c>
      <c r="R12" s="345">
        <f t="shared" si="3"/>
        <v>32</v>
      </c>
      <c r="S12" s="345">
        <f t="shared" si="3"/>
        <v>32</v>
      </c>
      <c r="T12" s="345">
        <f t="shared" si="3"/>
        <v>33</v>
      </c>
      <c r="U12" s="345">
        <f t="shared" si="3"/>
        <v>33</v>
      </c>
      <c r="V12" s="345">
        <f t="shared" si="3"/>
        <v>33</v>
      </c>
      <c r="W12" s="345">
        <f t="shared" si="3"/>
        <v>33</v>
      </c>
      <c r="X12" s="345">
        <f t="shared" si="3"/>
        <v>33</v>
      </c>
      <c r="Y12" s="345">
        <f t="shared" si="3"/>
        <v>34</v>
      </c>
      <c r="Z12" s="345">
        <f t="shared" si="3"/>
        <v>34</v>
      </c>
      <c r="AA12" s="345">
        <f t="shared" si="3"/>
        <v>34</v>
      </c>
      <c r="AB12" s="345">
        <f t="shared" si="3"/>
        <v>36</v>
      </c>
      <c r="AC12" s="345">
        <f t="shared" si="3"/>
        <v>36</v>
      </c>
      <c r="AD12" s="345">
        <f t="shared" si="3"/>
        <v>37</v>
      </c>
      <c r="AE12" s="345">
        <f t="shared" si="3"/>
        <v>37</v>
      </c>
      <c r="AF12" s="345">
        <f t="shared" si="3"/>
        <v>37</v>
      </c>
      <c r="AG12" s="345">
        <f t="shared" si="3"/>
        <v>37</v>
      </c>
      <c r="AH12" s="345">
        <f t="shared" si="3"/>
        <v>37</v>
      </c>
      <c r="AI12" s="345" t="e">
        <f t="shared" si="3"/>
        <v>#N/A</v>
      </c>
      <c r="AJ12" s="345" t="e">
        <f t="shared" si="3"/>
        <v>#N/A</v>
      </c>
      <c r="AK12" s="345" t="e">
        <f t="shared" si="3"/>
        <v>#N/A</v>
      </c>
      <c r="AL12" s="345" t="e">
        <f t="shared" si="3"/>
        <v>#N/A</v>
      </c>
      <c r="AM12" s="345" t="e">
        <f t="shared" si="3"/>
        <v>#N/A</v>
      </c>
    </row>
    <row r="15" spans="1:39" ht="15.6">
      <c r="A15" s="353" t="s">
        <v>567</v>
      </c>
      <c r="B15" s="354"/>
      <c r="D15" s="37" t="s">
        <v>403</v>
      </c>
    </row>
    <row r="16" spans="1:39">
      <c r="A16" s="344" t="s">
        <v>568</v>
      </c>
      <c r="B16" s="345">
        <v>1</v>
      </c>
    </row>
    <row r="17" spans="1:39" ht="14.4">
      <c r="A17" s="344" t="s">
        <v>569</v>
      </c>
      <c r="B17" s="345">
        <v>0</v>
      </c>
      <c r="D17" s="355" t="s">
        <v>135</v>
      </c>
      <c r="E17" s="355" t="str">
        <f>E2</f>
        <v>Ano 1</v>
      </c>
      <c r="F17" s="355" t="str">
        <f t="shared" ref="F17:AM17" si="4">F2</f>
        <v>Ano 2</v>
      </c>
      <c r="G17" s="355" t="str">
        <f t="shared" si="4"/>
        <v>Ano 3</v>
      </c>
      <c r="H17" s="355" t="str">
        <f t="shared" si="4"/>
        <v>Ano 4</v>
      </c>
      <c r="I17" s="355" t="str">
        <f t="shared" si="4"/>
        <v>Ano 5</v>
      </c>
      <c r="J17" s="355" t="str">
        <f t="shared" si="4"/>
        <v>Ano 6</v>
      </c>
      <c r="K17" s="355" t="str">
        <f t="shared" si="4"/>
        <v>Ano 7</v>
      </c>
      <c r="L17" s="355" t="str">
        <f t="shared" si="4"/>
        <v>Ano 8</v>
      </c>
      <c r="M17" s="355" t="str">
        <f t="shared" si="4"/>
        <v>Ano 9</v>
      </c>
      <c r="N17" s="355" t="str">
        <f t="shared" si="4"/>
        <v>Ano 10</v>
      </c>
      <c r="O17" s="355" t="str">
        <f t="shared" si="4"/>
        <v>Ano 11</v>
      </c>
      <c r="P17" s="355" t="str">
        <f t="shared" si="4"/>
        <v>Ano 12</v>
      </c>
      <c r="Q17" s="355" t="str">
        <f t="shared" si="4"/>
        <v>Ano 13</v>
      </c>
      <c r="R17" s="355" t="str">
        <f t="shared" si="4"/>
        <v>Ano 14</v>
      </c>
      <c r="S17" s="355" t="str">
        <f t="shared" si="4"/>
        <v>Ano 15</v>
      </c>
      <c r="T17" s="355" t="str">
        <f t="shared" si="4"/>
        <v>Ano 16</v>
      </c>
      <c r="U17" s="355" t="str">
        <f t="shared" si="4"/>
        <v>Ano 17</v>
      </c>
      <c r="V17" s="355" t="str">
        <f t="shared" si="4"/>
        <v>Ano 18</v>
      </c>
      <c r="W17" s="355" t="str">
        <f t="shared" si="4"/>
        <v>Ano 19</v>
      </c>
      <c r="X17" s="355" t="str">
        <f t="shared" si="4"/>
        <v>Ano 20</v>
      </c>
      <c r="Y17" s="355" t="str">
        <f t="shared" si="4"/>
        <v>Ano 21</v>
      </c>
      <c r="Z17" s="355" t="str">
        <f t="shared" si="4"/>
        <v>Ano 22</v>
      </c>
      <c r="AA17" s="355" t="str">
        <f t="shared" si="4"/>
        <v>Ano 23</v>
      </c>
      <c r="AB17" s="355" t="str">
        <f t="shared" si="4"/>
        <v>Ano 24</v>
      </c>
      <c r="AC17" s="355" t="str">
        <f t="shared" si="4"/>
        <v>Ano 25</v>
      </c>
      <c r="AD17" s="355" t="str">
        <f t="shared" si="4"/>
        <v>Ano 26</v>
      </c>
      <c r="AE17" s="355" t="str">
        <f t="shared" si="4"/>
        <v>Ano 27</v>
      </c>
      <c r="AF17" s="355" t="str">
        <f t="shared" si="4"/>
        <v>Ano 28</v>
      </c>
      <c r="AG17" s="355" t="str">
        <f t="shared" si="4"/>
        <v>Ano 29</v>
      </c>
      <c r="AH17" s="355" t="str">
        <f t="shared" si="4"/>
        <v>Ano 30</v>
      </c>
      <c r="AI17" s="355" t="str">
        <f t="shared" si="4"/>
        <v>Ano 31</v>
      </c>
      <c r="AJ17" s="355" t="str">
        <f t="shared" si="4"/>
        <v>Ano 32</v>
      </c>
      <c r="AK17" s="355" t="str">
        <f t="shared" si="4"/>
        <v>Ano 33</v>
      </c>
      <c r="AL17" s="355" t="str">
        <f t="shared" si="4"/>
        <v>Ano 34</v>
      </c>
      <c r="AM17" s="355" t="str">
        <f t="shared" si="4"/>
        <v>Ano 35</v>
      </c>
    </row>
    <row r="18" spans="1:39">
      <c r="A18" s="344" t="s">
        <v>570</v>
      </c>
      <c r="B18" s="345">
        <v>4</v>
      </c>
      <c r="D18" s="344" t="s">
        <v>394</v>
      </c>
      <c r="E18" s="351">
        <f>E24</f>
        <v>20</v>
      </c>
      <c r="F18" s="351">
        <f t="shared" ref="F18:AM18" si="5">F24</f>
        <v>20</v>
      </c>
      <c r="G18" s="351">
        <f t="shared" si="5"/>
        <v>20</v>
      </c>
      <c r="H18" s="351">
        <f t="shared" si="5"/>
        <v>21</v>
      </c>
      <c r="I18" s="351">
        <f t="shared" si="5"/>
        <v>23</v>
      </c>
      <c r="J18" s="351">
        <f t="shared" si="5"/>
        <v>23</v>
      </c>
      <c r="K18" s="351">
        <f t="shared" si="5"/>
        <v>24</v>
      </c>
      <c r="L18" s="351">
        <f t="shared" si="5"/>
        <v>24</v>
      </c>
      <c r="M18" s="351">
        <f t="shared" si="5"/>
        <v>24</v>
      </c>
      <c r="N18" s="351">
        <f t="shared" si="5"/>
        <v>24</v>
      </c>
      <c r="O18" s="351">
        <f t="shared" si="5"/>
        <v>27</v>
      </c>
      <c r="P18" s="351">
        <f t="shared" si="5"/>
        <v>27</v>
      </c>
      <c r="Q18" s="351">
        <f t="shared" si="5"/>
        <v>27</v>
      </c>
      <c r="R18" s="351">
        <f t="shared" si="5"/>
        <v>27</v>
      </c>
      <c r="S18" s="351">
        <f t="shared" si="5"/>
        <v>27</v>
      </c>
      <c r="T18" s="351">
        <f t="shared" si="5"/>
        <v>27</v>
      </c>
      <c r="U18" s="351">
        <f t="shared" si="5"/>
        <v>27</v>
      </c>
      <c r="V18" s="351">
        <f t="shared" si="5"/>
        <v>27</v>
      </c>
      <c r="W18" s="351">
        <f t="shared" si="5"/>
        <v>27</v>
      </c>
      <c r="X18" s="351">
        <f t="shared" si="5"/>
        <v>27</v>
      </c>
      <c r="Y18" s="351">
        <f t="shared" si="5"/>
        <v>27</v>
      </c>
      <c r="Z18" s="351">
        <f t="shared" si="5"/>
        <v>27</v>
      </c>
      <c r="AA18" s="351">
        <f t="shared" si="5"/>
        <v>27</v>
      </c>
      <c r="AB18" s="351">
        <f t="shared" si="5"/>
        <v>28</v>
      </c>
      <c r="AC18" s="351">
        <f t="shared" si="5"/>
        <v>28</v>
      </c>
      <c r="AD18" s="351">
        <f t="shared" si="5"/>
        <v>28</v>
      </c>
      <c r="AE18" s="351">
        <f t="shared" si="5"/>
        <v>28</v>
      </c>
      <c r="AF18" s="351">
        <f t="shared" si="5"/>
        <v>28</v>
      </c>
      <c r="AG18" s="351">
        <f t="shared" si="5"/>
        <v>28</v>
      </c>
      <c r="AH18" s="351">
        <f t="shared" si="5"/>
        <v>28</v>
      </c>
      <c r="AI18" s="351" t="e">
        <f t="shared" si="5"/>
        <v>#N/A</v>
      </c>
      <c r="AJ18" s="351" t="e">
        <f t="shared" si="5"/>
        <v>#N/A</v>
      </c>
      <c r="AK18" s="351" t="e">
        <f t="shared" si="5"/>
        <v>#N/A</v>
      </c>
      <c r="AL18" s="351" t="e">
        <f t="shared" si="5"/>
        <v>#N/A</v>
      </c>
      <c r="AM18" s="351" t="e">
        <f t="shared" si="5"/>
        <v>#N/A</v>
      </c>
    </row>
    <row r="19" spans="1:39">
      <c r="D19" s="344" t="s">
        <v>124</v>
      </c>
      <c r="E19" s="345">
        <f>E38</f>
        <v>5</v>
      </c>
      <c r="F19" s="345">
        <f t="shared" ref="F19:AM19" si="6">F38</f>
        <v>5</v>
      </c>
      <c r="G19" s="345">
        <f t="shared" si="6"/>
        <v>5</v>
      </c>
      <c r="H19" s="345">
        <f t="shared" si="6"/>
        <v>10</v>
      </c>
      <c r="I19" s="345">
        <f t="shared" si="6"/>
        <v>10</v>
      </c>
      <c r="J19" s="345">
        <f t="shared" si="6"/>
        <v>10</v>
      </c>
      <c r="K19" s="345">
        <f t="shared" si="6"/>
        <v>10</v>
      </c>
      <c r="L19" s="345">
        <f t="shared" si="6"/>
        <v>10</v>
      </c>
      <c r="M19" s="345">
        <f t="shared" si="6"/>
        <v>10</v>
      </c>
      <c r="N19" s="345">
        <f t="shared" si="6"/>
        <v>10</v>
      </c>
      <c r="O19" s="345">
        <f t="shared" si="6"/>
        <v>10</v>
      </c>
      <c r="P19" s="345">
        <f t="shared" si="6"/>
        <v>10</v>
      </c>
      <c r="Q19" s="345">
        <f t="shared" si="6"/>
        <v>10</v>
      </c>
      <c r="R19" s="345">
        <f t="shared" si="6"/>
        <v>10</v>
      </c>
      <c r="S19" s="345">
        <f t="shared" si="6"/>
        <v>10</v>
      </c>
      <c r="T19" s="345">
        <f t="shared" si="6"/>
        <v>10</v>
      </c>
      <c r="U19" s="345">
        <f t="shared" si="6"/>
        <v>10</v>
      </c>
      <c r="V19" s="345">
        <f t="shared" si="6"/>
        <v>10</v>
      </c>
      <c r="W19" s="345">
        <f t="shared" si="6"/>
        <v>10</v>
      </c>
      <c r="X19" s="345">
        <f t="shared" si="6"/>
        <v>10</v>
      </c>
      <c r="Y19" s="345">
        <f t="shared" si="6"/>
        <v>10</v>
      </c>
      <c r="Z19" s="345">
        <f t="shared" si="6"/>
        <v>10</v>
      </c>
      <c r="AA19" s="345">
        <f t="shared" si="6"/>
        <v>10</v>
      </c>
      <c r="AB19" s="345">
        <f t="shared" si="6"/>
        <v>10</v>
      </c>
      <c r="AC19" s="345">
        <f t="shared" si="6"/>
        <v>10</v>
      </c>
      <c r="AD19" s="345">
        <f t="shared" si="6"/>
        <v>10</v>
      </c>
      <c r="AE19" s="345">
        <f t="shared" si="6"/>
        <v>10</v>
      </c>
      <c r="AF19" s="345">
        <f t="shared" si="6"/>
        <v>10</v>
      </c>
      <c r="AG19" s="345">
        <f t="shared" si="6"/>
        <v>10</v>
      </c>
      <c r="AH19" s="345">
        <f t="shared" si="6"/>
        <v>10</v>
      </c>
      <c r="AI19" s="345" t="e">
        <f t="shared" si="6"/>
        <v>#N/A</v>
      </c>
      <c r="AJ19" s="345" t="e">
        <f t="shared" si="6"/>
        <v>#N/A</v>
      </c>
      <c r="AK19" s="345" t="e">
        <f t="shared" si="6"/>
        <v>#N/A</v>
      </c>
      <c r="AL19" s="345" t="e">
        <f t="shared" si="6"/>
        <v>#N/A</v>
      </c>
      <c r="AM19" s="345" t="e">
        <f t="shared" si="6"/>
        <v>#N/A</v>
      </c>
    </row>
    <row r="20" spans="1:39">
      <c r="D20" s="344" t="s">
        <v>72</v>
      </c>
      <c r="E20" s="345">
        <f>E43</f>
        <v>18</v>
      </c>
      <c r="F20" s="345">
        <f t="shared" ref="F20:AM20" si="7">F43</f>
        <v>18</v>
      </c>
      <c r="G20" s="345">
        <f t="shared" si="7"/>
        <v>18</v>
      </c>
      <c r="H20" s="345">
        <f t="shared" si="7"/>
        <v>18</v>
      </c>
      <c r="I20" s="345">
        <f t="shared" si="7"/>
        <v>18</v>
      </c>
      <c r="J20" s="345">
        <f t="shared" si="7"/>
        <v>18</v>
      </c>
      <c r="K20" s="345">
        <f t="shared" si="7"/>
        <v>18</v>
      </c>
      <c r="L20" s="345">
        <f t="shared" si="7"/>
        <v>18</v>
      </c>
      <c r="M20" s="345">
        <f t="shared" si="7"/>
        <v>18</v>
      </c>
      <c r="N20" s="345">
        <f t="shared" si="7"/>
        <v>18</v>
      </c>
      <c r="O20" s="345">
        <f t="shared" si="7"/>
        <v>19</v>
      </c>
      <c r="P20" s="345">
        <f t="shared" si="7"/>
        <v>19</v>
      </c>
      <c r="Q20" s="345">
        <f t="shared" si="7"/>
        <v>19</v>
      </c>
      <c r="R20" s="345">
        <f t="shared" si="7"/>
        <v>20</v>
      </c>
      <c r="S20" s="345">
        <f t="shared" si="7"/>
        <v>20</v>
      </c>
      <c r="T20" s="345">
        <f t="shared" si="7"/>
        <v>20</v>
      </c>
      <c r="U20" s="345">
        <f t="shared" si="7"/>
        <v>20</v>
      </c>
      <c r="V20" s="345">
        <f t="shared" si="7"/>
        <v>20</v>
      </c>
      <c r="W20" s="345">
        <f t="shared" si="7"/>
        <v>20</v>
      </c>
      <c r="X20" s="345">
        <f t="shared" si="7"/>
        <v>20</v>
      </c>
      <c r="Y20" s="345">
        <f t="shared" si="7"/>
        <v>20</v>
      </c>
      <c r="Z20" s="345">
        <f t="shared" si="7"/>
        <v>20</v>
      </c>
      <c r="AA20" s="345">
        <f t="shared" si="7"/>
        <v>20</v>
      </c>
      <c r="AB20" s="345">
        <f t="shared" si="7"/>
        <v>20</v>
      </c>
      <c r="AC20" s="345">
        <f t="shared" si="7"/>
        <v>20</v>
      </c>
      <c r="AD20" s="345">
        <f t="shared" si="7"/>
        <v>20</v>
      </c>
      <c r="AE20" s="345">
        <f t="shared" si="7"/>
        <v>20</v>
      </c>
      <c r="AF20" s="345">
        <f t="shared" si="7"/>
        <v>22</v>
      </c>
      <c r="AG20" s="345">
        <f t="shared" si="7"/>
        <v>22</v>
      </c>
      <c r="AH20" s="345">
        <f t="shared" si="7"/>
        <v>22</v>
      </c>
      <c r="AI20" s="345">
        <f t="shared" si="7"/>
        <v>17</v>
      </c>
      <c r="AJ20" s="345">
        <f t="shared" si="7"/>
        <v>17</v>
      </c>
      <c r="AK20" s="345">
        <f t="shared" si="7"/>
        <v>17</v>
      </c>
      <c r="AL20" s="345">
        <f t="shared" si="7"/>
        <v>17</v>
      </c>
      <c r="AM20" s="345">
        <f t="shared" si="7"/>
        <v>17</v>
      </c>
    </row>
    <row r="21" spans="1:39">
      <c r="D21" s="344" t="s">
        <v>278</v>
      </c>
      <c r="E21" s="345">
        <f>E50</f>
        <v>21</v>
      </c>
      <c r="F21" s="345">
        <f t="shared" ref="F21:AM21" si="8">F50</f>
        <v>21</v>
      </c>
      <c r="G21" s="345">
        <f t="shared" si="8"/>
        <v>32</v>
      </c>
      <c r="H21" s="345">
        <f t="shared" si="8"/>
        <v>32</v>
      </c>
      <c r="I21" s="345">
        <f t="shared" si="8"/>
        <v>33</v>
      </c>
      <c r="J21" s="345">
        <f t="shared" si="8"/>
        <v>33</v>
      </c>
      <c r="K21" s="345">
        <f t="shared" si="8"/>
        <v>33</v>
      </c>
      <c r="L21" s="345">
        <f t="shared" si="8"/>
        <v>33</v>
      </c>
      <c r="M21" s="345">
        <f t="shared" si="8"/>
        <v>33</v>
      </c>
      <c r="N21" s="345">
        <f t="shared" si="8"/>
        <v>33</v>
      </c>
      <c r="O21" s="345">
        <f t="shared" si="8"/>
        <v>34</v>
      </c>
      <c r="P21" s="345">
        <f t="shared" si="8"/>
        <v>34</v>
      </c>
      <c r="Q21" s="345">
        <f t="shared" si="8"/>
        <v>34</v>
      </c>
      <c r="R21" s="345">
        <f t="shared" si="8"/>
        <v>34</v>
      </c>
      <c r="S21" s="345">
        <f t="shared" si="8"/>
        <v>34</v>
      </c>
      <c r="T21" s="345">
        <f t="shared" si="8"/>
        <v>34</v>
      </c>
      <c r="U21" s="345">
        <f t="shared" si="8"/>
        <v>34</v>
      </c>
      <c r="V21" s="345">
        <f t="shared" si="8"/>
        <v>34</v>
      </c>
      <c r="W21" s="345">
        <f t="shared" si="8"/>
        <v>34</v>
      </c>
      <c r="X21" s="345">
        <f t="shared" si="8"/>
        <v>34</v>
      </c>
      <c r="Y21" s="345">
        <f t="shared" si="8"/>
        <v>34</v>
      </c>
      <c r="Z21" s="345">
        <f t="shared" si="8"/>
        <v>34</v>
      </c>
      <c r="AA21" s="345">
        <f t="shared" si="8"/>
        <v>34</v>
      </c>
      <c r="AB21" s="345">
        <f t="shared" si="8"/>
        <v>34</v>
      </c>
      <c r="AC21" s="345">
        <f t="shared" si="8"/>
        <v>34</v>
      </c>
      <c r="AD21" s="345">
        <f t="shared" si="8"/>
        <v>34</v>
      </c>
      <c r="AE21" s="345">
        <f t="shared" si="8"/>
        <v>34</v>
      </c>
      <c r="AF21" s="345">
        <f t="shared" si="8"/>
        <v>34</v>
      </c>
      <c r="AG21" s="345">
        <f t="shared" si="8"/>
        <v>34</v>
      </c>
      <c r="AH21" s="345">
        <f t="shared" si="8"/>
        <v>34</v>
      </c>
      <c r="AI21" s="345" t="e">
        <f t="shared" si="8"/>
        <v>#N/A</v>
      </c>
      <c r="AJ21" s="345" t="e">
        <f t="shared" si="8"/>
        <v>#N/A</v>
      </c>
      <c r="AK21" s="345" t="e">
        <f t="shared" si="8"/>
        <v>#N/A</v>
      </c>
      <c r="AL21" s="345" t="e">
        <f t="shared" si="8"/>
        <v>#N/A</v>
      </c>
      <c r="AM21" s="345" t="e">
        <f t="shared" si="8"/>
        <v>#N/A</v>
      </c>
    </row>
    <row r="22" spans="1:39" ht="14.4">
      <c r="D22" s="356" t="s">
        <v>134</v>
      </c>
      <c r="E22" s="355">
        <f>SUM(E18:E21)</f>
        <v>64</v>
      </c>
      <c r="F22" s="355">
        <f t="shared" ref="F22:AM22" si="9">SUM(F18:F21)</f>
        <v>64</v>
      </c>
      <c r="G22" s="355">
        <f t="shared" si="9"/>
        <v>75</v>
      </c>
      <c r="H22" s="355">
        <f t="shared" si="9"/>
        <v>81</v>
      </c>
      <c r="I22" s="355">
        <f t="shared" si="9"/>
        <v>84</v>
      </c>
      <c r="J22" s="355">
        <f t="shared" si="9"/>
        <v>84</v>
      </c>
      <c r="K22" s="355">
        <f t="shared" si="9"/>
        <v>85</v>
      </c>
      <c r="L22" s="355">
        <f t="shared" si="9"/>
        <v>85</v>
      </c>
      <c r="M22" s="355">
        <f t="shared" si="9"/>
        <v>85</v>
      </c>
      <c r="N22" s="355">
        <f t="shared" si="9"/>
        <v>85</v>
      </c>
      <c r="O22" s="355">
        <f t="shared" si="9"/>
        <v>90</v>
      </c>
      <c r="P22" s="355">
        <f t="shared" si="9"/>
        <v>90</v>
      </c>
      <c r="Q22" s="355">
        <f t="shared" si="9"/>
        <v>90</v>
      </c>
      <c r="R22" s="355">
        <f t="shared" si="9"/>
        <v>91</v>
      </c>
      <c r="S22" s="355">
        <f t="shared" si="9"/>
        <v>91</v>
      </c>
      <c r="T22" s="355">
        <f t="shared" si="9"/>
        <v>91</v>
      </c>
      <c r="U22" s="355">
        <f t="shared" si="9"/>
        <v>91</v>
      </c>
      <c r="V22" s="355">
        <f t="shared" si="9"/>
        <v>91</v>
      </c>
      <c r="W22" s="355">
        <f t="shared" si="9"/>
        <v>91</v>
      </c>
      <c r="X22" s="355">
        <f t="shared" si="9"/>
        <v>91</v>
      </c>
      <c r="Y22" s="355">
        <f t="shared" si="9"/>
        <v>91</v>
      </c>
      <c r="Z22" s="355">
        <f t="shared" si="9"/>
        <v>91</v>
      </c>
      <c r="AA22" s="355">
        <f t="shared" si="9"/>
        <v>91</v>
      </c>
      <c r="AB22" s="355">
        <f t="shared" si="9"/>
        <v>92</v>
      </c>
      <c r="AC22" s="355">
        <f t="shared" si="9"/>
        <v>92</v>
      </c>
      <c r="AD22" s="355">
        <f t="shared" si="9"/>
        <v>92</v>
      </c>
      <c r="AE22" s="355">
        <f t="shared" si="9"/>
        <v>92</v>
      </c>
      <c r="AF22" s="355">
        <f t="shared" si="9"/>
        <v>94</v>
      </c>
      <c r="AG22" s="355">
        <f t="shared" si="9"/>
        <v>94</v>
      </c>
      <c r="AH22" s="355">
        <f t="shared" si="9"/>
        <v>94</v>
      </c>
      <c r="AI22" s="355" t="e">
        <f t="shared" si="9"/>
        <v>#N/A</v>
      </c>
      <c r="AJ22" s="355" t="e">
        <f t="shared" si="9"/>
        <v>#N/A</v>
      </c>
      <c r="AK22" s="355" t="e">
        <f t="shared" si="9"/>
        <v>#N/A</v>
      </c>
      <c r="AL22" s="355" t="e">
        <f t="shared" si="9"/>
        <v>#N/A</v>
      </c>
      <c r="AM22" s="355" t="e">
        <f t="shared" si="9"/>
        <v>#N/A</v>
      </c>
    </row>
    <row r="24" spans="1:39">
      <c r="D24" s="356" t="s">
        <v>571</v>
      </c>
      <c r="E24" s="357">
        <f t="shared" ref="E24:AM24" si="10">SUM(E25:E36)</f>
        <v>20</v>
      </c>
      <c r="F24" s="357">
        <f t="shared" si="10"/>
        <v>20</v>
      </c>
      <c r="G24" s="357">
        <f t="shared" si="10"/>
        <v>20</v>
      </c>
      <c r="H24" s="357">
        <f t="shared" si="10"/>
        <v>21</v>
      </c>
      <c r="I24" s="357">
        <f t="shared" si="10"/>
        <v>23</v>
      </c>
      <c r="J24" s="357">
        <f t="shared" si="10"/>
        <v>23</v>
      </c>
      <c r="K24" s="357">
        <f t="shared" si="10"/>
        <v>24</v>
      </c>
      <c r="L24" s="357">
        <f t="shared" si="10"/>
        <v>24</v>
      </c>
      <c r="M24" s="357">
        <f t="shared" si="10"/>
        <v>24</v>
      </c>
      <c r="N24" s="357">
        <f t="shared" si="10"/>
        <v>24</v>
      </c>
      <c r="O24" s="357">
        <f t="shared" si="10"/>
        <v>27</v>
      </c>
      <c r="P24" s="357">
        <f t="shared" si="10"/>
        <v>27</v>
      </c>
      <c r="Q24" s="357">
        <f t="shared" si="10"/>
        <v>27</v>
      </c>
      <c r="R24" s="357">
        <f t="shared" si="10"/>
        <v>27</v>
      </c>
      <c r="S24" s="357">
        <f t="shared" si="10"/>
        <v>27</v>
      </c>
      <c r="T24" s="357">
        <f t="shared" si="10"/>
        <v>27</v>
      </c>
      <c r="U24" s="357">
        <f t="shared" si="10"/>
        <v>27</v>
      </c>
      <c r="V24" s="357">
        <f t="shared" si="10"/>
        <v>27</v>
      </c>
      <c r="W24" s="357">
        <f t="shared" si="10"/>
        <v>27</v>
      </c>
      <c r="X24" s="357">
        <f t="shared" si="10"/>
        <v>27</v>
      </c>
      <c r="Y24" s="357">
        <f t="shared" si="10"/>
        <v>27</v>
      </c>
      <c r="Z24" s="357">
        <f t="shared" si="10"/>
        <v>27</v>
      </c>
      <c r="AA24" s="357">
        <f t="shared" si="10"/>
        <v>27</v>
      </c>
      <c r="AB24" s="357">
        <f t="shared" si="10"/>
        <v>28</v>
      </c>
      <c r="AC24" s="357">
        <f t="shared" si="10"/>
        <v>28</v>
      </c>
      <c r="AD24" s="357">
        <f t="shared" si="10"/>
        <v>28</v>
      </c>
      <c r="AE24" s="357">
        <f t="shared" si="10"/>
        <v>28</v>
      </c>
      <c r="AF24" s="357">
        <f t="shared" si="10"/>
        <v>28</v>
      </c>
      <c r="AG24" s="357">
        <f t="shared" si="10"/>
        <v>28</v>
      </c>
      <c r="AH24" s="357">
        <f t="shared" si="10"/>
        <v>28</v>
      </c>
      <c r="AI24" s="357" t="e">
        <f t="shared" si="10"/>
        <v>#N/A</v>
      </c>
      <c r="AJ24" s="357" t="e">
        <f t="shared" si="10"/>
        <v>#N/A</v>
      </c>
      <c r="AK24" s="357" t="e">
        <f t="shared" si="10"/>
        <v>#N/A</v>
      </c>
      <c r="AL24" s="357" t="e">
        <f t="shared" si="10"/>
        <v>#N/A</v>
      </c>
      <c r="AM24" s="357" t="e">
        <f t="shared" si="10"/>
        <v>#N/A</v>
      </c>
    </row>
    <row r="25" spans="1:39">
      <c r="D25" s="358" t="s">
        <v>437</v>
      </c>
      <c r="E25" s="375">
        <v>1</v>
      </c>
      <c r="F25" s="375">
        <f>E25</f>
        <v>1</v>
      </c>
      <c r="G25" s="375">
        <f t="shared" ref="G25:AH25" si="11">F25</f>
        <v>1</v>
      </c>
      <c r="H25" s="375">
        <f t="shared" si="11"/>
        <v>1</v>
      </c>
      <c r="I25" s="375">
        <f t="shared" si="11"/>
        <v>1</v>
      </c>
      <c r="J25" s="375">
        <f t="shared" si="11"/>
        <v>1</v>
      </c>
      <c r="K25" s="375">
        <f t="shared" si="11"/>
        <v>1</v>
      </c>
      <c r="L25" s="375">
        <f t="shared" si="11"/>
        <v>1</v>
      </c>
      <c r="M25" s="375">
        <f t="shared" si="11"/>
        <v>1</v>
      </c>
      <c r="N25" s="375">
        <f t="shared" si="11"/>
        <v>1</v>
      </c>
      <c r="O25" s="375">
        <f t="shared" si="11"/>
        <v>1</v>
      </c>
      <c r="P25" s="375">
        <f t="shared" si="11"/>
        <v>1</v>
      </c>
      <c r="Q25" s="375">
        <f t="shared" si="11"/>
        <v>1</v>
      </c>
      <c r="R25" s="375">
        <f t="shared" si="11"/>
        <v>1</v>
      </c>
      <c r="S25" s="375">
        <f t="shared" si="11"/>
        <v>1</v>
      </c>
      <c r="T25" s="375">
        <f t="shared" si="11"/>
        <v>1</v>
      </c>
      <c r="U25" s="375">
        <f t="shared" si="11"/>
        <v>1</v>
      </c>
      <c r="V25" s="375">
        <f t="shared" si="11"/>
        <v>1</v>
      </c>
      <c r="W25" s="375">
        <f t="shared" si="11"/>
        <v>1</v>
      </c>
      <c r="X25" s="375">
        <f t="shared" si="11"/>
        <v>1</v>
      </c>
      <c r="Y25" s="375">
        <f t="shared" si="11"/>
        <v>1</v>
      </c>
      <c r="Z25" s="375">
        <f t="shared" si="11"/>
        <v>1</v>
      </c>
      <c r="AA25" s="375">
        <f t="shared" si="11"/>
        <v>1</v>
      </c>
      <c r="AB25" s="375">
        <f t="shared" si="11"/>
        <v>1</v>
      </c>
      <c r="AC25" s="375">
        <f t="shared" si="11"/>
        <v>1</v>
      </c>
      <c r="AD25" s="375">
        <f t="shared" si="11"/>
        <v>1</v>
      </c>
      <c r="AE25" s="375">
        <f t="shared" si="11"/>
        <v>1</v>
      </c>
      <c r="AF25" s="375">
        <f t="shared" si="11"/>
        <v>1</v>
      </c>
      <c r="AG25" s="375">
        <f t="shared" si="11"/>
        <v>1</v>
      </c>
      <c r="AH25" s="375">
        <f t="shared" si="11"/>
        <v>1</v>
      </c>
      <c r="AI25" s="351">
        <v>1</v>
      </c>
      <c r="AJ25" s="351">
        <v>1</v>
      </c>
      <c r="AK25" s="351">
        <v>1</v>
      </c>
      <c r="AL25" s="351">
        <v>1</v>
      </c>
      <c r="AM25" s="351">
        <v>1</v>
      </c>
    </row>
    <row r="26" spans="1:39">
      <c r="D26" s="358" t="s">
        <v>121</v>
      </c>
      <c r="E26" s="375">
        <v>1</v>
      </c>
      <c r="F26" s="375">
        <v>1</v>
      </c>
      <c r="G26" s="375">
        <v>1</v>
      </c>
      <c r="H26" s="375">
        <v>1</v>
      </c>
      <c r="I26" s="375">
        <v>1</v>
      </c>
      <c r="J26" s="375">
        <v>1</v>
      </c>
      <c r="K26" s="375">
        <v>1</v>
      </c>
      <c r="L26" s="375">
        <v>1</v>
      </c>
      <c r="M26" s="375">
        <v>1</v>
      </c>
      <c r="N26" s="375">
        <v>1</v>
      </c>
      <c r="O26" s="375">
        <v>1</v>
      </c>
      <c r="P26" s="375">
        <v>1</v>
      </c>
      <c r="Q26" s="375">
        <v>1</v>
      </c>
      <c r="R26" s="375">
        <v>1</v>
      </c>
      <c r="S26" s="375">
        <v>1</v>
      </c>
      <c r="T26" s="375">
        <v>1</v>
      </c>
      <c r="U26" s="375">
        <v>1</v>
      </c>
      <c r="V26" s="375">
        <v>1</v>
      </c>
      <c r="W26" s="375">
        <v>1</v>
      </c>
      <c r="X26" s="375">
        <v>1</v>
      </c>
      <c r="Y26" s="375">
        <v>1</v>
      </c>
      <c r="Z26" s="375">
        <v>1</v>
      </c>
      <c r="AA26" s="375">
        <v>1</v>
      </c>
      <c r="AB26" s="375">
        <v>1</v>
      </c>
      <c r="AC26" s="375">
        <v>1</v>
      </c>
      <c r="AD26" s="375">
        <v>1</v>
      </c>
      <c r="AE26" s="375">
        <v>1</v>
      </c>
      <c r="AF26" s="375">
        <v>1</v>
      </c>
      <c r="AG26" s="375">
        <v>1</v>
      </c>
      <c r="AH26" s="375">
        <v>1</v>
      </c>
      <c r="AI26" s="351">
        <f t="shared" ref="F26:AM27" si="12">AI25</f>
        <v>1</v>
      </c>
      <c r="AJ26" s="351">
        <f t="shared" si="12"/>
        <v>1</v>
      </c>
      <c r="AK26" s="351">
        <f t="shared" si="12"/>
        <v>1</v>
      </c>
      <c r="AL26" s="351">
        <f t="shared" si="12"/>
        <v>1</v>
      </c>
      <c r="AM26" s="351">
        <f t="shared" si="12"/>
        <v>1</v>
      </c>
    </row>
    <row r="27" spans="1:39">
      <c r="D27" s="358" t="s">
        <v>707</v>
      </c>
      <c r="E27" s="375">
        <f>E26</f>
        <v>1</v>
      </c>
      <c r="F27" s="351">
        <f t="shared" si="12"/>
        <v>1</v>
      </c>
      <c r="G27" s="351">
        <f t="shared" si="12"/>
        <v>1</v>
      </c>
      <c r="H27" s="351">
        <f t="shared" si="12"/>
        <v>1</v>
      </c>
      <c r="I27" s="351">
        <f t="shared" si="12"/>
        <v>1</v>
      </c>
      <c r="J27" s="351">
        <f t="shared" si="12"/>
        <v>1</v>
      </c>
      <c r="K27" s="351">
        <f t="shared" si="12"/>
        <v>1</v>
      </c>
      <c r="L27" s="351">
        <f t="shared" si="12"/>
        <v>1</v>
      </c>
      <c r="M27" s="351">
        <f t="shared" si="12"/>
        <v>1</v>
      </c>
      <c r="N27" s="351">
        <f t="shared" si="12"/>
        <v>1</v>
      </c>
      <c r="O27" s="351">
        <f t="shared" si="12"/>
        <v>1</v>
      </c>
      <c r="P27" s="351">
        <f t="shared" si="12"/>
        <v>1</v>
      </c>
      <c r="Q27" s="351">
        <f t="shared" si="12"/>
        <v>1</v>
      </c>
      <c r="R27" s="351">
        <f t="shared" si="12"/>
        <v>1</v>
      </c>
      <c r="S27" s="351">
        <f t="shared" si="12"/>
        <v>1</v>
      </c>
      <c r="T27" s="351">
        <f t="shared" si="12"/>
        <v>1</v>
      </c>
      <c r="U27" s="351">
        <f t="shared" si="12"/>
        <v>1</v>
      </c>
      <c r="V27" s="351">
        <f t="shared" si="12"/>
        <v>1</v>
      </c>
      <c r="W27" s="351">
        <f t="shared" si="12"/>
        <v>1</v>
      </c>
      <c r="X27" s="351">
        <f t="shared" si="12"/>
        <v>1</v>
      </c>
      <c r="Y27" s="351">
        <f t="shared" si="12"/>
        <v>1</v>
      </c>
      <c r="Z27" s="351">
        <f t="shared" si="12"/>
        <v>1</v>
      </c>
      <c r="AA27" s="351">
        <f t="shared" si="12"/>
        <v>1</v>
      </c>
      <c r="AB27" s="351">
        <f t="shared" si="12"/>
        <v>1</v>
      </c>
      <c r="AC27" s="351">
        <f t="shared" si="12"/>
        <v>1</v>
      </c>
      <c r="AD27" s="351">
        <f t="shared" si="12"/>
        <v>1</v>
      </c>
      <c r="AE27" s="351">
        <f t="shared" si="12"/>
        <v>1</v>
      </c>
      <c r="AF27" s="351">
        <f t="shared" si="12"/>
        <v>1</v>
      </c>
      <c r="AG27" s="351">
        <f t="shared" si="12"/>
        <v>1</v>
      </c>
      <c r="AH27" s="351">
        <f t="shared" si="12"/>
        <v>1</v>
      </c>
      <c r="AI27" s="351">
        <f t="shared" si="12"/>
        <v>1</v>
      </c>
      <c r="AJ27" s="351">
        <f t="shared" si="12"/>
        <v>1</v>
      </c>
      <c r="AK27" s="351">
        <f t="shared" si="12"/>
        <v>1</v>
      </c>
      <c r="AL27" s="351">
        <f t="shared" si="12"/>
        <v>1</v>
      </c>
      <c r="AM27" s="351">
        <f t="shared" si="12"/>
        <v>1</v>
      </c>
    </row>
    <row r="28" spans="1:39">
      <c r="D28" s="358" t="s">
        <v>132</v>
      </c>
      <c r="E28" s="375">
        <v>5</v>
      </c>
      <c r="F28" s="375">
        <v>5</v>
      </c>
      <c r="G28" s="375">
        <v>5</v>
      </c>
      <c r="H28" s="375">
        <v>5</v>
      </c>
      <c r="I28" s="375">
        <v>5</v>
      </c>
      <c r="J28" s="375">
        <v>5</v>
      </c>
      <c r="K28" s="375">
        <v>5</v>
      </c>
      <c r="L28" s="375">
        <v>5</v>
      </c>
      <c r="M28" s="375">
        <v>5</v>
      </c>
      <c r="N28" s="375">
        <v>5</v>
      </c>
      <c r="O28" s="375">
        <v>5</v>
      </c>
      <c r="P28" s="375">
        <v>5</v>
      </c>
      <c r="Q28" s="375">
        <v>5</v>
      </c>
      <c r="R28" s="375">
        <v>5</v>
      </c>
      <c r="S28" s="375">
        <v>5</v>
      </c>
      <c r="T28" s="375">
        <v>5</v>
      </c>
      <c r="U28" s="375">
        <v>5</v>
      </c>
      <c r="V28" s="375">
        <v>5</v>
      </c>
      <c r="W28" s="375">
        <v>5</v>
      </c>
      <c r="X28" s="375">
        <v>5</v>
      </c>
      <c r="Y28" s="375">
        <v>5</v>
      </c>
      <c r="Z28" s="375">
        <v>5</v>
      </c>
      <c r="AA28" s="375">
        <v>5</v>
      </c>
      <c r="AB28" s="375">
        <v>5</v>
      </c>
      <c r="AC28" s="375">
        <v>5</v>
      </c>
      <c r="AD28" s="375">
        <v>5</v>
      </c>
      <c r="AE28" s="375">
        <v>5</v>
      </c>
      <c r="AF28" s="375">
        <v>5</v>
      </c>
      <c r="AG28" s="375">
        <v>5</v>
      </c>
      <c r="AH28" s="375">
        <v>5</v>
      </c>
      <c r="AI28" s="375">
        <v>5</v>
      </c>
      <c r="AJ28" s="375">
        <v>5</v>
      </c>
      <c r="AK28" s="375">
        <v>5</v>
      </c>
      <c r="AL28" s="375">
        <v>5</v>
      </c>
      <c r="AM28" s="375">
        <v>5</v>
      </c>
    </row>
    <row r="29" spans="1:39">
      <c r="D29" s="358" t="s">
        <v>123</v>
      </c>
      <c r="E29" s="375">
        <f t="array" ref="E29:AM29">IF(ROUND((TRANSPOSE('Evolução Ligações'!$B$5:$B$34)+TRANSPOSE('Evolução Ligações'!$J$5:$J$34))/'Recursos Humanos 1'!$B$7/4,0)&lt;1,1,ROUND((TRANSPOSE('Evolução Ligações'!$B$5:$B$34)+TRANSPOSE('Evolução Ligações'!$J$5:$J$34))/'Recursos Humanos 1'!$B$7/4,0))</f>
        <v>1</v>
      </c>
      <c r="F29" s="351">
        <v>1</v>
      </c>
      <c r="G29" s="351">
        <v>1</v>
      </c>
      <c r="H29" s="351">
        <v>2</v>
      </c>
      <c r="I29" s="351">
        <v>2</v>
      </c>
      <c r="J29" s="351">
        <v>2</v>
      </c>
      <c r="K29" s="351">
        <v>3</v>
      </c>
      <c r="L29" s="351">
        <v>3</v>
      </c>
      <c r="M29" s="351">
        <v>3</v>
      </c>
      <c r="N29" s="351">
        <v>3</v>
      </c>
      <c r="O29" s="351">
        <v>3</v>
      </c>
      <c r="P29" s="351">
        <v>3</v>
      </c>
      <c r="Q29" s="351">
        <v>3</v>
      </c>
      <c r="R29" s="351">
        <v>3</v>
      </c>
      <c r="S29" s="351">
        <v>3</v>
      </c>
      <c r="T29" s="351">
        <v>3</v>
      </c>
      <c r="U29" s="351">
        <v>3</v>
      </c>
      <c r="V29" s="351">
        <v>3</v>
      </c>
      <c r="W29" s="351">
        <v>3</v>
      </c>
      <c r="X29" s="351">
        <v>3</v>
      </c>
      <c r="Y29" s="351">
        <v>3</v>
      </c>
      <c r="Z29" s="351">
        <v>3</v>
      </c>
      <c r="AA29" s="351">
        <v>3</v>
      </c>
      <c r="AB29" s="351">
        <v>4</v>
      </c>
      <c r="AC29" s="351">
        <v>4</v>
      </c>
      <c r="AD29" s="351">
        <v>4</v>
      </c>
      <c r="AE29" s="351">
        <v>4</v>
      </c>
      <c r="AF29" s="351">
        <v>4</v>
      </c>
      <c r="AG29" s="351">
        <v>4</v>
      </c>
      <c r="AH29" s="351">
        <v>4</v>
      </c>
      <c r="AI29" s="351" t="e">
        <v>#N/A</v>
      </c>
      <c r="AJ29" s="351" t="e">
        <v>#N/A</v>
      </c>
      <c r="AK29" s="351" t="e">
        <v>#N/A</v>
      </c>
      <c r="AL29" s="351" t="e">
        <v>#N/A</v>
      </c>
      <c r="AM29" s="351" t="e">
        <v>#N/A</v>
      </c>
    </row>
    <row r="30" spans="1:39">
      <c r="D30" s="358" t="s">
        <v>115</v>
      </c>
      <c r="E30" s="375">
        <v>3</v>
      </c>
      <c r="F30" s="375">
        <v>3</v>
      </c>
      <c r="G30" s="375">
        <v>3</v>
      </c>
      <c r="H30" s="375">
        <v>3</v>
      </c>
      <c r="I30" s="375">
        <v>3</v>
      </c>
      <c r="J30" s="375">
        <v>3</v>
      </c>
      <c r="K30" s="375">
        <v>3</v>
      </c>
      <c r="L30" s="375">
        <v>3</v>
      </c>
      <c r="M30" s="375">
        <v>3</v>
      </c>
      <c r="N30" s="375">
        <v>3</v>
      </c>
      <c r="O30" s="375">
        <v>3</v>
      </c>
      <c r="P30" s="375">
        <v>3</v>
      </c>
      <c r="Q30" s="375">
        <v>3</v>
      </c>
      <c r="R30" s="375">
        <v>3</v>
      </c>
      <c r="S30" s="375">
        <v>3</v>
      </c>
      <c r="T30" s="375">
        <v>3</v>
      </c>
      <c r="U30" s="375">
        <v>3</v>
      </c>
      <c r="V30" s="375">
        <v>3</v>
      </c>
      <c r="W30" s="375">
        <v>3</v>
      </c>
      <c r="X30" s="375">
        <v>3</v>
      </c>
      <c r="Y30" s="375">
        <v>3</v>
      </c>
      <c r="Z30" s="375">
        <v>3</v>
      </c>
      <c r="AA30" s="375">
        <v>3</v>
      </c>
      <c r="AB30" s="375">
        <v>3</v>
      </c>
      <c r="AC30" s="375">
        <v>3</v>
      </c>
      <c r="AD30" s="375">
        <v>3</v>
      </c>
      <c r="AE30" s="375">
        <v>3</v>
      </c>
      <c r="AF30" s="375">
        <v>3</v>
      </c>
      <c r="AG30" s="375">
        <v>3</v>
      </c>
      <c r="AH30" s="375">
        <v>3</v>
      </c>
      <c r="AI30" s="351"/>
      <c r="AJ30" s="351"/>
      <c r="AK30" s="351"/>
      <c r="AL30" s="351"/>
      <c r="AM30" s="351"/>
    </row>
    <row r="31" spans="1:39">
      <c r="D31" s="358" t="s">
        <v>117</v>
      </c>
      <c r="E31" s="375">
        <v>1</v>
      </c>
      <c r="F31" s="375">
        <v>1</v>
      </c>
      <c r="G31" s="375">
        <v>1</v>
      </c>
      <c r="H31" s="375">
        <v>1</v>
      </c>
      <c r="I31" s="375">
        <v>1</v>
      </c>
      <c r="J31" s="375">
        <v>1</v>
      </c>
      <c r="K31" s="375">
        <v>1</v>
      </c>
      <c r="L31" s="375">
        <v>1</v>
      </c>
      <c r="M31" s="375">
        <v>1</v>
      </c>
      <c r="N31" s="375">
        <v>1</v>
      </c>
      <c r="O31" s="375">
        <v>1</v>
      </c>
      <c r="P31" s="375">
        <v>1</v>
      </c>
      <c r="Q31" s="375">
        <v>1</v>
      </c>
      <c r="R31" s="375">
        <v>1</v>
      </c>
      <c r="S31" s="375">
        <v>1</v>
      </c>
      <c r="T31" s="375">
        <v>1</v>
      </c>
      <c r="U31" s="375">
        <v>1</v>
      </c>
      <c r="V31" s="375">
        <v>1</v>
      </c>
      <c r="W31" s="375">
        <v>1</v>
      </c>
      <c r="X31" s="375">
        <v>1</v>
      </c>
      <c r="Y31" s="375">
        <v>1</v>
      </c>
      <c r="Z31" s="375">
        <v>1</v>
      </c>
      <c r="AA31" s="375">
        <v>1</v>
      </c>
      <c r="AB31" s="375">
        <v>1</v>
      </c>
      <c r="AC31" s="375">
        <v>1</v>
      </c>
      <c r="AD31" s="375">
        <v>1</v>
      </c>
      <c r="AE31" s="375">
        <v>1</v>
      </c>
      <c r="AF31" s="375">
        <v>1</v>
      </c>
      <c r="AG31" s="375">
        <v>1</v>
      </c>
      <c r="AH31" s="375">
        <v>1</v>
      </c>
      <c r="AI31" s="351"/>
      <c r="AJ31" s="351"/>
      <c r="AK31" s="351"/>
      <c r="AL31" s="351"/>
      <c r="AM31" s="351"/>
    </row>
    <row r="32" spans="1:39">
      <c r="D32" s="358" t="s">
        <v>141</v>
      </c>
      <c r="E32" s="375">
        <v>1</v>
      </c>
      <c r="F32" s="351">
        <v>1</v>
      </c>
      <c r="G32" s="351">
        <f t="shared" ref="G32:AM32" si="13">ROUNDUP(G12/30,0)</f>
        <v>1</v>
      </c>
      <c r="H32" s="351">
        <f t="shared" si="13"/>
        <v>1</v>
      </c>
      <c r="I32" s="351">
        <f t="shared" si="13"/>
        <v>1</v>
      </c>
      <c r="J32" s="351">
        <f t="shared" si="13"/>
        <v>1</v>
      </c>
      <c r="K32" s="351">
        <f t="shared" si="13"/>
        <v>1</v>
      </c>
      <c r="L32" s="351">
        <f t="shared" si="13"/>
        <v>1</v>
      </c>
      <c r="M32" s="351">
        <f t="shared" si="13"/>
        <v>1</v>
      </c>
      <c r="N32" s="351">
        <f t="shared" si="13"/>
        <v>1</v>
      </c>
      <c r="O32" s="351">
        <f t="shared" si="13"/>
        <v>2</v>
      </c>
      <c r="P32" s="351">
        <f t="shared" si="13"/>
        <v>2</v>
      </c>
      <c r="Q32" s="351">
        <f t="shared" si="13"/>
        <v>2</v>
      </c>
      <c r="R32" s="351">
        <f t="shared" si="13"/>
        <v>2</v>
      </c>
      <c r="S32" s="351">
        <f t="shared" si="13"/>
        <v>2</v>
      </c>
      <c r="T32" s="351">
        <f t="shared" si="13"/>
        <v>2</v>
      </c>
      <c r="U32" s="351">
        <f t="shared" si="13"/>
        <v>2</v>
      </c>
      <c r="V32" s="351">
        <f t="shared" si="13"/>
        <v>2</v>
      </c>
      <c r="W32" s="351">
        <f t="shared" si="13"/>
        <v>2</v>
      </c>
      <c r="X32" s="351">
        <f t="shared" si="13"/>
        <v>2</v>
      </c>
      <c r="Y32" s="351">
        <f t="shared" si="13"/>
        <v>2</v>
      </c>
      <c r="Z32" s="351">
        <f t="shared" si="13"/>
        <v>2</v>
      </c>
      <c r="AA32" s="351">
        <f t="shared" si="13"/>
        <v>2</v>
      </c>
      <c r="AB32" s="351">
        <f t="shared" si="13"/>
        <v>2</v>
      </c>
      <c r="AC32" s="351">
        <f t="shared" si="13"/>
        <v>2</v>
      </c>
      <c r="AD32" s="351">
        <f t="shared" si="13"/>
        <v>2</v>
      </c>
      <c r="AE32" s="351">
        <f t="shared" si="13"/>
        <v>2</v>
      </c>
      <c r="AF32" s="351">
        <f t="shared" si="13"/>
        <v>2</v>
      </c>
      <c r="AG32" s="351">
        <f t="shared" si="13"/>
        <v>2</v>
      </c>
      <c r="AH32" s="351">
        <f t="shared" si="13"/>
        <v>2</v>
      </c>
      <c r="AI32" s="351" t="e">
        <f t="shared" si="13"/>
        <v>#N/A</v>
      </c>
      <c r="AJ32" s="351" t="e">
        <f t="shared" si="13"/>
        <v>#N/A</v>
      </c>
      <c r="AK32" s="351" t="e">
        <f t="shared" si="13"/>
        <v>#N/A</v>
      </c>
      <c r="AL32" s="351" t="e">
        <f t="shared" si="13"/>
        <v>#N/A</v>
      </c>
      <c r="AM32" s="351" t="e">
        <f t="shared" si="13"/>
        <v>#N/A</v>
      </c>
    </row>
    <row r="33" spans="4:41">
      <c r="D33" s="358" t="s">
        <v>705</v>
      </c>
      <c r="E33" s="375">
        <v>1</v>
      </c>
      <c r="F33" s="375">
        <v>1</v>
      </c>
      <c r="G33" s="375">
        <v>1</v>
      </c>
      <c r="H33" s="375">
        <v>1</v>
      </c>
      <c r="I33" s="375">
        <v>1</v>
      </c>
      <c r="J33" s="375">
        <v>1</v>
      </c>
      <c r="K33" s="375">
        <v>1</v>
      </c>
      <c r="L33" s="375">
        <v>1</v>
      </c>
      <c r="M33" s="375">
        <v>1</v>
      </c>
      <c r="N33" s="375">
        <v>1</v>
      </c>
      <c r="O33" s="375">
        <v>1</v>
      </c>
      <c r="P33" s="375">
        <v>1</v>
      </c>
      <c r="Q33" s="375">
        <v>1</v>
      </c>
      <c r="R33" s="375">
        <v>1</v>
      </c>
      <c r="S33" s="375">
        <v>1</v>
      </c>
      <c r="T33" s="375">
        <v>1</v>
      </c>
      <c r="U33" s="375">
        <v>1</v>
      </c>
      <c r="V33" s="375">
        <v>1</v>
      </c>
      <c r="W33" s="375">
        <v>1</v>
      </c>
      <c r="X33" s="375">
        <v>1</v>
      </c>
      <c r="Y33" s="375">
        <v>1</v>
      </c>
      <c r="Z33" s="375">
        <v>1</v>
      </c>
      <c r="AA33" s="375">
        <v>1</v>
      </c>
      <c r="AB33" s="375">
        <v>1</v>
      </c>
      <c r="AC33" s="375">
        <v>1</v>
      </c>
      <c r="AD33" s="375">
        <v>1</v>
      </c>
      <c r="AE33" s="375">
        <v>1</v>
      </c>
      <c r="AF33" s="375">
        <v>1</v>
      </c>
      <c r="AG33" s="375">
        <v>1</v>
      </c>
      <c r="AH33" s="375">
        <v>1</v>
      </c>
      <c r="AI33" s="375">
        <v>0</v>
      </c>
      <c r="AJ33" s="375">
        <v>0</v>
      </c>
      <c r="AK33" s="375">
        <v>0</v>
      </c>
      <c r="AL33" s="375">
        <v>0</v>
      </c>
      <c r="AM33" s="375">
        <v>0</v>
      </c>
    </row>
    <row r="34" spans="4:41">
      <c r="D34" s="358" t="s">
        <v>118</v>
      </c>
      <c r="E34" s="375">
        <f t="array" ref="E34:AM34">ROUNDUP((TRANSPOSE('Evolução Ligações'!$B$5:$B$34)+TRANSPOSE('Evolução Ligações'!$J$5:$J$34))/'Recursos Humanos 1'!$B$7/4,0)</f>
        <v>2</v>
      </c>
      <c r="F34" s="351">
        <v>2</v>
      </c>
      <c r="G34" s="351">
        <v>2</v>
      </c>
      <c r="H34" s="351">
        <v>2</v>
      </c>
      <c r="I34" s="351">
        <v>3</v>
      </c>
      <c r="J34" s="351">
        <v>3</v>
      </c>
      <c r="K34" s="351">
        <v>3</v>
      </c>
      <c r="L34" s="351">
        <v>3</v>
      </c>
      <c r="M34" s="351">
        <v>3</v>
      </c>
      <c r="N34" s="351">
        <v>3</v>
      </c>
      <c r="O34" s="351">
        <v>4</v>
      </c>
      <c r="P34" s="351">
        <v>4</v>
      </c>
      <c r="Q34" s="351">
        <v>4</v>
      </c>
      <c r="R34" s="351">
        <v>4</v>
      </c>
      <c r="S34" s="351">
        <v>4</v>
      </c>
      <c r="T34" s="351">
        <v>4</v>
      </c>
      <c r="U34" s="351">
        <v>4</v>
      </c>
      <c r="V34" s="351">
        <v>4</v>
      </c>
      <c r="W34" s="351">
        <v>4</v>
      </c>
      <c r="X34" s="351">
        <v>4</v>
      </c>
      <c r="Y34" s="351">
        <v>4</v>
      </c>
      <c r="Z34" s="351">
        <v>4</v>
      </c>
      <c r="AA34" s="351">
        <v>4</v>
      </c>
      <c r="AB34" s="351">
        <v>4</v>
      </c>
      <c r="AC34" s="351">
        <v>4</v>
      </c>
      <c r="AD34" s="351">
        <v>4</v>
      </c>
      <c r="AE34" s="351">
        <v>4</v>
      </c>
      <c r="AF34" s="351">
        <v>4</v>
      </c>
      <c r="AG34" s="351">
        <v>4</v>
      </c>
      <c r="AH34" s="351">
        <v>4</v>
      </c>
      <c r="AI34" s="351" t="e">
        <v>#N/A</v>
      </c>
      <c r="AJ34" s="351" t="e">
        <v>#N/A</v>
      </c>
      <c r="AK34" s="351" t="e">
        <v>#N/A</v>
      </c>
      <c r="AL34" s="351" t="e">
        <v>#N/A</v>
      </c>
      <c r="AM34" s="351" t="e">
        <v>#N/A</v>
      </c>
    </row>
    <row r="35" spans="4:41">
      <c r="D35" s="358" t="s">
        <v>119</v>
      </c>
      <c r="E35" s="375">
        <f t="array" ref="E35:AM35">ROUNDUP((TRANSPOSE('Evolução Ligações'!$B$5:$B$34)+TRANSPOSE('Evolução Ligações'!$J$5:$J$34))/'Recursos Humanos 1'!$B$7/4,0)</f>
        <v>2</v>
      </c>
      <c r="F35" s="351">
        <v>2</v>
      </c>
      <c r="G35" s="351">
        <v>2</v>
      </c>
      <c r="H35" s="351">
        <v>2</v>
      </c>
      <c r="I35" s="351">
        <v>3</v>
      </c>
      <c r="J35" s="351">
        <v>3</v>
      </c>
      <c r="K35" s="351">
        <v>3</v>
      </c>
      <c r="L35" s="351">
        <v>3</v>
      </c>
      <c r="M35" s="351">
        <v>3</v>
      </c>
      <c r="N35" s="351">
        <v>3</v>
      </c>
      <c r="O35" s="351">
        <v>4</v>
      </c>
      <c r="P35" s="351">
        <v>4</v>
      </c>
      <c r="Q35" s="351">
        <v>4</v>
      </c>
      <c r="R35" s="351">
        <v>4</v>
      </c>
      <c r="S35" s="351">
        <v>4</v>
      </c>
      <c r="T35" s="351">
        <v>4</v>
      </c>
      <c r="U35" s="351">
        <v>4</v>
      </c>
      <c r="V35" s="351">
        <v>4</v>
      </c>
      <c r="W35" s="351">
        <v>4</v>
      </c>
      <c r="X35" s="351">
        <v>4</v>
      </c>
      <c r="Y35" s="351">
        <v>4</v>
      </c>
      <c r="Z35" s="351">
        <v>4</v>
      </c>
      <c r="AA35" s="351">
        <v>4</v>
      </c>
      <c r="AB35" s="351">
        <v>4</v>
      </c>
      <c r="AC35" s="351">
        <v>4</v>
      </c>
      <c r="AD35" s="351">
        <v>4</v>
      </c>
      <c r="AE35" s="351">
        <v>4</v>
      </c>
      <c r="AF35" s="351">
        <v>4</v>
      </c>
      <c r="AG35" s="351">
        <v>4</v>
      </c>
      <c r="AH35" s="351">
        <v>4</v>
      </c>
      <c r="AI35" s="351" t="e">
        <v>#N/A</v>
      </c>
      <c r="AJ35" s="351" t="e">
        <v>#N/A</v>
      </c>
      <c r="AK35" s="351" t="e">
        <v>#N/A</v>
      </c>
      <c r="AL35" s="351" t="e">
        <v>#N/A</v>
      </c>
      <c r="AM35" s="351" t="e">
        <v>#N/A</v>
      </c>
    </row>
    <row r="36" spans="4:41">
      <c r="D36" s="358" t="s">
        <v>271</v>
      </c>
      <c r="E36" s="375">
        <v>1</v>
      </c>
      <c r="F36" s="375">
        <v>1</v>
      </c>
      <c r="G36" s="375">
        <v>1</v>
      </c>
      <c r="H36" s="375">
        <v>1</v>
      </c>
      <c r="I36" s="375">
        <v>1</v>
      </c>
      <c r="J36" s="375">
        <v>1</v>
      </c>
      <c r="K36" s="375">
        <v>1</v>
      </c>
      <c r="L36" s="375">
        <v>1</v>
      </c>
      <c r="M36" s="375">
        <v>1</v>
      </c>
      <c r="N36" s="375">
        <v>1</v>
      </c>
      <c r="O36" s="375">
        <v>1</v>
      </c>
      <c r="P36" s="375">
        <v>1</v>
      </c>
      <c r="Q36" s="375">
        <v>1</v>
      </c>
      <c r="R36" s="375">
        <v>1</v>
      </c>
      <c r="S36" s="375">
        <v>1</v>
      </c>
      <c r="T36" s="375">
        <v>1</v>
      </c>
      <c r="U36" s="375">
        <v>1</v>
      </c>
      <c r="V36" s="375">
        <v>1</v>
      </c>
      <c r="W36" s="375">
        <v>1</v>
      </c>
      <c r="X36" s="375">
        <v>1</v>
      </c>
      <c r="Y36" s="375">
        <v>1</v>
      </c>
      <c r="Z36" s="375">
        <v>1</v>
      </c>
      <c r="AA36" s="375">
        <v>1</v>
      </c>
      <c r="AB36" s="375">
        <v>1</v>
      </c>
      <c r="AC36" s="375">
        <v>1</v>
      </c>
      <c r="AD36" s="375">
        <v>1</v>
      </c>
      <c r="AE36" s="375">
        <v>1</v>
      </c>
      <c r="AF36" s="375">
        <v>1</v>
      </c>
      <c r="AG36" s="375">
        <v>1</v>
      </c>
      <c r="AH36" s="375">
        <v>1</v>
      </c>
      <c r="AI36" s="351"/>
      <c r="AJ36" s="351"/>
      <c r="AK36" s="351"/>
      <c r="AL36" s="351"/>
      <c r="AM36" s="351"/>
    </row>
    <row r="37" spans="4:41">
      <c r="D37" s="359"/>
    </row>
    <row r="38" spans="4:41">
      <c r="D38" s="356" t="s">
        <v>124</v>
      </c>
      <c r="E38" s="360">
        <f>SUM(E39:E41)</f>
        <v>5</v>
      </c>
      <c r="F38" s="360">
        <f t="shared" ref="F38:AM38" si="14">SUM(F39:F41)</f>
        <v>5</v>
      </c>
      <c r="G38" s="360">
        <f t="shared" si="14"/>
        <v>5</v>
      </c>
      <c r="H38" s="360">
        <f t="shared" si="14"/>
        <v>10</v>
      </c>
      <c r="I38" s="360">
        <f t="shared" si="14"/>
        <v>10</v>
      </c>
      <c r="J38" s="360">
        <f t="shared" si="14"/>
        <v>10</v>
      </c>
      <c r="K38" s="360">
        <f t="shared" si="14"/>
        <v>10</v>
      </c>
      <c r="L38" s="360">
        <f t="shared" si="14"/>
        <v>10</v>
      </c>
      <c r="M38" s="360">
        <f t="shared" si="14"/>
        <v>10</v>
      </c>
      <c r="N38" s="360">
        <f t="shared" si="14"/>
        <v>10</v>
      </c>
      <c r="O38" s="360">
        <f t="shared" si="14"/>
        <v>10</v>
      </c>
      <c r="P38" s="360">
        <f t="shared" si="14"/>
        <v>10</v>
      </c>
      <c r="Q38" s="360">
        <f t="shared" si="14"/>
        <v>10</v>
      </c>
      <c r="R38" s="360">
        <f t="shared" si="14"/>
        <v>10</v>
      </c>
      <c r="S38" s="360">
        <f t="shared" si="14"/>
        <v>10</v>
      </c>
      <c r="T38" s="360">
        <f t="shared" si="14"/>
        <v>10</v>
      </c>
      <c r="U38" s="360">
        <f t="shared" si="14"/>
        <v>10</v>
      </c>
      <c r="V38" s="360">
        <f t="shared" si="14"/>
        <v>10</v>
      </c>
      <c r="W38" s="360">
        <f t="shared" si="14"/>
        <v>10</v>
      </c>
      <c r="X38" s="360">
        <f t="shared" si="14"/>
        <v>10</v>
      </c>
      <c r="Y38" s="360">
        <f t="shared" si="14"/>
        <v>10</v>
      </c>
      <c r="Z38" s="360">
        <f t="shared" si="14"/>
        <v>10</v>
      </c>
      <c r="AA38" s="360">
        <f t="shared" si="14"/>
        <v>10</v>
      </c>
      <c r="AB38" s="360">
        <f t="shared" si="14"/>
        <v>10</v>
      </c>
      <c r="AC38" s="360">
        <f t="shared" si="14"/>
        <v>10</v>
      </c>
      <c r="AD38" s="360">
        <f t="shared" si="14"/>
        <v>10</v>
      </c>
      <c r="AE38" s="360">
        <f t="shared" si="14"/>
        <v>10</v>
      </c>
      <c r="AF38" s="360">
        <f t="shared" si="14"/>
        <v>10</v>
      </c>
      <c r="AG38" s="360">
        <f t="shared" si="14"/>
        <v>10</v>
      </c>
      <c r="AH38" s="360">
        <f t="shared" si="14"/>
        <v>10</v>
      </c>
      <c r="AI38" s="360" t="e">
        <f t="shared" si="14"/>
        <v>#N/A</v>
      </c>
      <c r="AJ38" s="360" t="e">
        <f t="shared" si="14"/>
        <v>#N/A</v>
      </c>
      <c r="AK38" s="360" t="e">
        <f t="shared" si="14"/>
        <v>#N/A</v>
      </c>
      <c r="AL38" s="360" t="e">
        <f t="shared" si="14"/>
        <v>#N/A</v>
      </c>
      <c r="AM38" s="360" t="e">
        <f t="shared" si="14"/>
        <v>#N/A</v>
      </c>
    </row>
    <row r="39" spans="4:41">
      <c r="D39" s="358" t="s">
        <v>272</v>
      </c>
      <c r="E39" s="345">
        <f t="shared" ref="E39:F39" si="15">IF(E4+E9&lt;=1,1,E4+E9)</f>
        <v>2</v>
      </c>
      <c r="F39" s="345">
        <f t="shared" si="15"/>
        <v>2</v>
      </c>
      <c r="G39" s="345">
        <v>2</v>
      </c>
      <c r="H39" s="345">
        <v>4</v>
      </c>
      <c r="I39" s="345">
        <v>4</v>
      </c>
      <c r="J39" s="345">
        <v>4</v>
      </c>
      <c r="K39" s="345">
        <v>4</v>
      </c>
      <c r="L39" s="345">
        <v>4</v>
      </c>
      <c r="M39" s="345">
        <v>4</v>
      </c>
      <c r="N39" s="345">
        <v>4</v>
      </c>
      <c r="O39" s="345">
        <v>4</v>
      </c>
      <c r="P39" s="345">
        <v>4</v>
      </c>
      <c r="Q39" s="345">
        <v>4</v>
      </c>
      <c r="R39" s="345">
        <v>4</v>
      </c>
      <c r="S39" s="345">
        <v>4</v>
      </c>
      <c r="T39" s="345">
        <v>4</v>
      </c>
      <c r="U39" s="345">
        <v>4</v>
      </c>
      <c r="V39" s="345">
        <v>4</v>
      </c>
      <c r="W39" s="345">
        <v>4</v>
      </c>
      <c r="X39" s="345">
        <v>4</v>
      </c>
      <c r="Y39" s="345">
        <v>4</v>
      </c>
      <c r="Z39" s="345">
        <v>4</v>
      </c>
      <c r="AA39" s="345">
        <v>4</v>
      </c>
      <c r="AB39" s="345">
        <v>4</v>
      </c>
      <c r="AC39" s="345">
        <v>4</v>
      </c>
      <c r="AD39" s="345">
        <v>4</v>
      </c>
      <c r="AE39" s="345">
        <v>4</v>
      </c>
      <c r="AF39" s="345">
        <v>4</v>
      </c>
      <c r="AG39" s="345">
        <v>4</v>
      </c>
      <c r="AH39" s="345">
        <v>4</v>
      </c>
      <c r="AI39" s="345" t="e">
        <f>AI4+AI9</f>
        <v>#N/A</v>
      </c>
      <c r="AJ39" s="345" t="e">
        <f>AJ4+AJ9</f>
        <v>#N/A</v>
      </c>
      <c r="AK39" s="345" t="e">
        <f>AK4+AK9</f>
        <v>#N/A</v>
      </c>
      <c r="AL39" s="345" t="e">
        <f>AL4+AL9</f>
        <v>#N/A</v>
      </c>
      <c r="AM39" s="345" t="e">
        <f>AM4+AM9</f>
        <v>#N/A</v>
      </c>
    </row>
    <row r="40" spans="4:41">
      <c r="D40" s="358" t="s">
        <v>125</v>
      </c>
      <c r="E40" s="345">
        <f>E39</f>
        <v>2</v>
      </c>
      <c r="F40" s="345">
        <f t="shared" ref="F40:AH40" si="16">F39</f>
        <v>2</v>
      </c>
      <c r="G40" s="345">
        <f t="shared" si="16"/>
        <v>2</v>
      </c>
      <c r="H40" s="345">
        <f t="shared" si="16"/>
        <v>4</v>
      </c>
      <c r="I40" s="345">
        <f t="shared" si="16"/>
        <v>4</v>
      </c>
      <c r="J40" s="345">
        <f t="shared" si="16"/>
        <v>4</v>
      </c>
      <c r="K40" s="345">
        <f t="shared" si="16"/>
        <v>4</v>
      </c>
      <c r="L40" s="345">
        <f t="shared" si="16"/>
        <v>4</v>
      </c>
      <c r="M40" s="345">
        <f t="shared" si="16"/>
        <v>4</v>
      </c>
      <c r="N40" s="345">
        <f t="shared" si="16"/>
        <v>4</v>
      </c>
      <c r="O40" s="345">
        <f t="shared" si="16"/>
        <v>4</v>
      </c>
      <c r="P40" s="345">
        <f t="shared" si="16"/>
        <v>4</v>
      </c>
      <c r="Q40" s="345">
        <f t="shared" si="16"/>
        <v>4</v>
      </c>
      <c r="R40" s="345">
        <f t="shared" si="16"/>
        <v>4</v>
      </c>
      <c r="S40" s="345">
        <f t="shared" si="16"/>
        <v>4</v>
      </c>
      <c r="T40" s="345">
        <f t="shared" si="16"/>
        <v>4</v>
      </c>
      <c r="U40" s="345">
        <f t="shared" si="16"/>
        <v>4</v>
      </c>
      <c r="V40" s="345">
        <f t="shared" si="16"/>
        <v>4</v>
      </c>
      <c r="W40" s="345">
        <f t="shared" si="16"/>
        <v>4</v>
      </c>
      <c r="X40" s="345">
        <f t="shared" si="16"/>
        <v>4</v>
      </c>
      <c r="Y40" s="345">
        <f t="shared" si="16"/>
        <v>4</v>
      </c>
      <c r="Z40" s="345">
        <f t="shared" si="16"/>
        <v>4</v>
      </c>
      <c r="AA40" s="345">
        <f t="shared" si="16"/>
        <v>4</v>
      </c>
      <c r="AB40" s="345">
        <f t="shared" si="16"/>
        <v>4</v>
      </c>
      <c r="AC40" s="345">
        <f t="shared" si="16"/>
        <v>4</v>
      </c>
      <c r="AD40" s="345">
        <f t="shared" si="16"/>
        <v>4</v>
      </c>
      <c r="AE40" s="345">
        <f t="shared" si="16"/>
        <v>4</v>
      </c>
      <c r="AF40" s="345">
        <f t="shared" si="16"/>
        <v>4</v>
      </c>
      <c r="AG40" s="345">
        <f t="shared" si="16"/>
        <v>4</v>
      </c>
      <c r="AH40" s="345">
        <f t="shared" si="16"/>
        <v>4</v>
      </c>
      <c r="AI40" s="351" t="e">
        <f t="shared" ref="AI40:AM40" si="17">IF(ROUNDDOWN(AI39/2,0)&lt;1,1,ROUNDDOWN(AI39/2,0))</f>
        <v>#N/A</v>
      </c>
      <c r="AJ40" s="351" t="e">
        <f t="shared" si="17"/>
        <v>#N/A</v>
      </c>
      <c r="AK40" s="351" t="e">
        <f t="shared" si="17"/>
        <v>#N/A</v>
      </c>
      <c r="AL40" s="351" t="e">
        <f t="shared" si="17"/>
        <v>#N/A</v>
      </c>
      <c r="AM40" s="351" t="e">
        <f t="shared" si="17"/>
        <v>#N/A</v>
      </c>
    </row>
    <row r="41" spans="4:41">
      <c r="D41" s="358" t="s">
        <v>126</v>
      </c>
      <c r="E41" s="351">
        <f>IF(ROUNDDOWN(E39/2,0)&lt;1,1,ROUNDDOWN(E39/2,0))</f>
        <v>1</v>
      </c>
      <c r="F41" s="351">
        <f t="shared" ref="F41:AM41" si="18">IF(ROUNDDOWN(F39/2,0)&lt;1,1,ROUNDDOWN(F39/2,0))</f>
        <v>1</v>
      </c>
      <c r="G41" s="351">
        <f t="shared" si="18"/>
        <v>1</v>
      </c>
      <c r="H41" s="351">
        <f t="shared" si="18"/>
        <v>2</v>
      </c>
      <c r="I41" s="351">
        <f t="shared" si="18"/>
        <v>2</v>
      </c>
      <c r="J41" s="351">
        <f t="shared" si="18"/>
        <v>2</v>
      </c>
      <c r="K41" s="351">
        <f t="shared" si="18"/>
        <v>2</v>
      </c>
      <c r="L41" s="351">
        <f t="shared" si="18"/>
        <v>2</v>
      </c>
      <c r="M41" s="351">
        <f t="shared" si="18"/>
        <v>2</v>
      </c>
      <c r="N41" s="351">
        <f t="shared" si="18"/>
        <v>2</v>
      </c>
      <c r="O41" s="351">
        <f t="shared" si="18"/>
        <v>2</v>
      </c>
      <c r="P41" s="351">
        <v>2</v>
      </c>
      <c r="Q41" s="351">
        <v>2</v>
      </c>
      <c r="R41" s="351">
        <v>2</v>
      </c>
      <c r="S41" s="351">
        <v>2</v>
      </c>
      <c r="T41" s="351">
        <v>2</v>
      </c>
      <c r="U41" s="351">
        <v>2</v>
      </c>
      <c r="V41" s="351">
        <v>2</v>
      </c>
      <c r="W41" s="351">
        <v>2</v>
      </c>
      <c r="X41" s="351">
        <v>2</v>
      </c>
      <c r="Y41" s="351">
        <v>2</v>
      </c>
      <c r="Z41" s="351">
        <v>2</v>
      </c>
      <c r="AA41" s="351">
        <v>2</v>
      </c>
      <c r="AB41" s="351">
        <v>2</v>
      </c>
      <c r="AC41" s="351">
        <v>2</v>
      </c>
      <c r="AD41" s="351">
        <v>2</v>
      </c>
      <c r="AE41" s="351">
        <v>2</v>
      </c>
      <c r="AF41" s="351">
        <v>2</v>
      </c>
      <c r="AG41" s="351">
        <v>2</v>
      </c>
      <c r="AH41" s="351">
        <v>2</v>
      </c>
      <c r="AI41" s="351" t="e">
        <f t="shared" si="18"/>
        <v>#N/A</v>
      </c>
      <c r="AJ41" s="351" t="e">
        <f t="shared" si="18"/>
        <v>#N/A</v>
      </c>
      <c r="AK41" s="351" t="e">
        <f t="shared" si="18"/>
        <v>#N/A</v>
      </c>
      <c r="AL41" s="351" t="e">
        <f t="shared" si="18"/>
        <v>#N/A</v>
      </c>
      <c r="AM41" s="351" t="e">
        <f t="shared" si="18"/>
        <v>#N/A</v>
      </c>
      <c r="AN41" s="340"/>
      <c r="AO41" s="340"/>
    </row>
    <row r="42" spans="4:41">
      <c r="D42" s="359"/>
    </row>
    <row r="43" spans="4:41">
      <c r="D43" s="361" t="s">
        <v>72</v>
      </c>
      <c r="E43" s="360">
        <f t="shared" ref="E43:AM43" si="19">SUM(E44:E48)</f>
        <v>18</v>
      </c>
      <c r="F43" s="360">
        <f t="shared" si="19"/>
        <v>18</v>
      </c>
      <c r="G43" s="360">
        <f t="shared" si="19"/>
        <v>18</v>
      </c>
      <c r="H43" s="360">
        <f t="shared" si="19"/>
        <v>18</v>
      </c>
      <c r="I43" s="360">
        <f t="shared" si="19"/>
        <v>18</v>
      </c>
      <c r="J43" s="360">
        <f t="shared" si="19"/>
        <v>18</v>
      </c>
      <c r="K43" s="360">
        <f t="shared" si="19"/>
        <v>18</v>
      </c>
      <c r="L43" s="360">
        <f t="shared" si="19"/>
        <v>18</v>
      </c>
      <c r="M43" s="360">
        <f t="shared" si="19"/>
        <v>18</v>
      </c>
      <c r="N43" s="360">
        <f t="shared" si="19"/>
        <v>18</v>
      </c>
      <c r="O43" s="360">
        <f t="shared" si="19"/>
        <v>19</v>
      </c>
      <c r="P43" s="360">
        <f t="shared" si="19"/>
        <v>19</v>
      </c>
      <c r="Q43" s="360">
        <f t="shared" si="19"/>
        <v>19</v>
      </c>
      <c r="R43" s="360">
        <f t="shared" si="19"/>
        <v>20</v>
      </c>
      <c r="S43" s="360">
        <f t="shared" si="19"/>
        <v>20</v>
      </c>
      <c r="T43" s="360">
        <f t="shared" si="19"/>
        <v>20</v>
      </c>
      <c r="U43" s="360">
        <f t="shared" si="19"/>
        <v>20</v>
      </c>
      <c r="V43" s="360">
        <f t="shared" si="19"/>
        <v>20</v>
      </c>
      <c r="W43" s="360">
        <f t="shared" si="19"/>
        <v>20</v>
      </c>
      <c r="X43" s="360">
        <f t="shared" si="19"/>
        <v>20</v>
      </c>
      <c r="Y43" s="360">
        <f t="shared" si="19"/>
        <v>20</v>
      </c>
      <c r="Z43" s="360">
        <f t="shared" si="19"/>
        <v>20</v>
      </c>
      <c r="AA43" s="360">
        <f t="shared" si="19"/>
        <v>20</v>
      </c>
      <c r="AB43" s="360">
        <f t="shared" si="19"/>
        <v>20</v>
      </c>
      <c r="AC43" s="360">
        <f t="shared" si="19"/>
        <v>20</v>
      </c>
      <c r="AD43" s="360">
        <f t="shared" si="19"/>
        <v>20</v>
      </c>
      <c r="AE43" s="360">
        <f t="shared" si="19"/>
        <v>20</v>
      </c>
      <c r="AF43" s="360">
        <f t="shared" si="19"/>
        <v>22</v>
      </c>
      <c r="AG43" s="360">
        <f t="shared" si="19"/>
        <v>22</v>
      </c>
      <c r="AH43" s="360">
        <f t="shared" si="19"/>
        <v>22</v>
      </c>
      <c r="AI43" s="360">
        <f t="shared" si="19"/>
        <v>17</v>
      </c>
      <c r="AJ43" s="360">
        <f t="shared" si="19"/>
        <v>17</v>
      </c>
      <c r="AK43" s="360">
        <f t="shared" si="19"/>
        <v>17</v>
      </c>
      <c r="AL43" s="360">
        <f t="shared" si="19"/>
        <v>17</v>
      </c>
      <c r="AM43" s="360">
        <f t="shared" si="19"/>
        <v>17</v>
      </c>
    </row>
    <row r="44" spans="4:41">
      <c r="D44" s="358" t="s">
        <v>127</v>
      </c>
      <c r="E44" s="351">
        <f t="shared" ref="E44:AM44" si="20">E25</f>
        <v>1</v>
      </c>
      <c r="F44" s="351">
        <f t="shared" si="20"/>
        <v>1</v>
      </c>
      <c r="G44" s="351">
        <f t="shared" si="20"/>
        <v>1</v>
      </c>
      <c r="H44" s="351">
        <f t="shared" si="20"/>
        <v>1</v>
      </c>
      <c r="I44" s="351">
        <f t="shared" si="20"/>
        <v>1</v>
      </c>
      <c r="J44" s="351">
        <f t="shared" si="20"/>
        <v>1</v>
      </c>
      <c r="K44" s="351">
        <f t="shared" si="20"/>
        <v>1</v>
      </c>
      <c r="L44" s="351">
        <f t="shared" si="20"/>
        <v>1</v>
      </c>
      <c r="M44" s="351">
        <f t="shared" si="20"/>
        <v>1</v>
      </c>
      <c r="N44" s="351">
        <f t="shared" si="20"/>
        <v>1</v>
      </c>
      <c r="O44" s="351">
        <f t="shared" si="20"/>
        <v>1</v>
      </c>
      <c r="P44" s="351">
        <f t="shared" si="20"/>
        <v>1</v>
      </c>
      <c r="Q44" s="351">
        <f t="shared" si="20"/>
        <v>1</v>
      </c>
      <c r="R44" s="351">
        <f t="shared" si="20"/>
        <v>1</v>
      </c>
      <c r="S44" s="351">
        <f t="shared" si="20"/>
        <v>1</v>
      </c>
      <c r="T44" s="351">
        <f t="shared" si="20"/>
        <v>1</v>
      </c>
      <c r="U44" s="351">
        <f t="shared" si="20"/>
        <v>1</v>
      </c>
      <c r="V44" s="351">
        <f t="shared" si="20"/>
        <v>1</v>
      </c>
      <c r="W44" s="351">
        <f t="shared" si="20"/>
        <v>1</v>
      </c>
      <c r="X44" s="351">
        <f t="shared" si="20"/>
        <v>1</v>
      </c>
      <c r="Y44" s="351">
        <f t="shared" si="20"/>
        <v>1</v>
      </c>
      <c r="Z44" s="351">
        <f t="shared" si="20"/>
        <v>1</v>
      </c>
      <c r="AA44" s="351">
        <f t="shared" si="20"/>
        <v>1</v>
      </c>
      <c r="AB44" s="351">
        <f t="shared" si="20"/>
        <v>1</v>
      </c>
      <c r="AC44" s="351">
        <f t="shared" si="20"/>
        <v>1</v>
      </c>
      <c r="AD44" s="351">
        <f t="shared" si="20"/>
        <v>1</v>
      </c>
      <c r="AE44" s="351">
        <f t="shared" si="20"/>
        <v>1</v>
      </c>
      <c r="AF44" s="351">
        <f t="shared" si="20"/>
        <v>1</v>
      </c>
      <c r="AG44" s="351">
        <f t="shared" si="20"/>
        <v>1</v>
      </c>
      <c r="AH44" s="351">
        <f t="shared" si="20"/>
        <v>1</v>
      </c>
      <c r="AI44" s="351">
        <f t="shared" si="20"/>
        <v>1</v>
      </c>
      <c r="AJ44" s="351">
        <f t="shared" si="20"/>
        <v>1</v>
      </c>
      <c r="AK44" s="351">
        <f t="shared" si="20"/>
        <v>1</v>
      </c>
      <c r="AL44" s="351">
        <f t="shared" si="20"/>
        <v>1</v>
      </c>
      <c r="AM44" s="351">
        <f t="shared" si="20"/>
        <v>1</v>
      </c>
    </row>
    <row r="45" spans="4:41" ht="12.45" customHeight="1">
      <c r="D45" s="362" t="s">
        <v>258</v>
      </c>
      <c r="E45" s="350">
        <f>ROUNDUP('Evolução Ligações'!H5/6750,0)</f>
        <v>6</v>
      </c>
      <c r="F45" s="350">
        <f>ROUNDUP('Evolução Ligações'!H6/6750,0)</f>
        <v>6</v>
      </c>
      <c r="G45" s="350">
        <f>ROUNDUP('Evolução Ligações'!H7/6750,0)</f>
        <v>6</v>
      </c>
      <c r="H45" s="350">
        <f>ROUNDUP('Evolução Ligações'!H8/6750,0)</f>
        <v>6</v>
      </c>
      <c r="I45" s="350">
        <f>ROUNDUP('Evolução Ligações'!H9/6750,0)</f>
        <v>6</v>
      </c>
      <c r="J45" s="350">
        <f>ROUNDUP('Evolução Ligações'!H10/6750,0)</f>
        <v>6</v>
      </c>
      <c r="K45" s="350">
        <f>ROUNDUP('Evolução Ligações'!H11/6750,0)</f>
        <v>6</v>
      </c>
      <c r="L45" s="350">
        <f>ROUNDUP('Evolução Ligações'!H12/6750,0)</f>
        <v>6</v>
      </c>
      <c r="M45" s="350">
        <f>ROUNDUP('Evolução Ligações'!H13/6750,0)</f>
        <v>6</v>
      </c>
      <c r="N45" s="350">
        <f>ROUNDUP('Evolução Ligações'!H14/6750,0)</f>
        <v>6</v>
      </c>
      <c r="O45" s="350">
        <f>ROUNDUP('Evolução Ligações'!H15/6750,0)</f>
        <v>6</v>
      </c>
      <c r="P45" s="350">
        <f>ROUNDUP('Evolução Ligações'!H16/6750,0)</f>
        <v>6</v>
      </c>
      <c r="Q45" s="350">
        <f>ROUNDUP('Evolução Ligações'!H17/6750,0)</f>
        <v>6</v>
      </c>
      <c r="R45" s="350">
        <f>ROUNDUP('Evolução Ligações'!H18/6750,0)</f>
        <v>7</v>
      </c>
      <c r="S45" s="350">
        <f>ROUNDUP('Evolução Ligações'!H19/6750,0)</f>
        <v>7</v>
      </c>
      <c r="T45" s="350">
        <f>ROUNDUP('Evolução Ligações'!H20/6750,0)</f>
        <v>7</v>
      </c>
      <c r="U45" s="350">
        <f>ROUNDUP('Evolução Ligações'!H21/6750,0)</f>
        <v>7</v>
      </c>
      <c r="V45" s="350">
        <f>ROUNDUP('Evolução Ligações'!H22/6750,0)</f>
        <v>7</v>
      </c>
      <c r="W45" s="350">
        <f>ROUNDUP('Evolução Ligações'!H23/6750,0)</f>
        <v>7</v>
      </c>
      <c r="X45" s="350">
        <f>ROUNDUP('Evolução Ligações'!H24/6750,0)</f>
        <v>7</v>
      </c>
      <c r="Y45" s="350">
        <f>ROUNDUP('Evolução Ligações'!H25/6750,0)</f>
        <v>7</v>
      </c>
      <c r="Z45" s="350">
        <f>ROUNDUP('Evolução Ligações'!H26/6750,0)</f>
        <v>7</v>
      </c>
      <c r="AA45" s="350">
        <f>ROUNDUP('Evolução Ligações'!H27/6750,0)</f>
        <v>7</v>
      </c>
      <c r="AB45" s="350">
        <f>ROUNDUP('Evolução Ligações'!H28/6750,0)</f>
        <v>7</v>
      </c>
      <c r="AC45" s="350">
        <f>ROUNDUP('Evolução Ligações'!H29/6750,0)</f>
        <v>7</v>
      </c>
      <c r="AD45" s="350">
        <f>ROUNDUP('Evolução Ligações'!H30/6750,0)</f>
        <v>7</v>
      </c>
      <c r="AE45" s="350">
        <f>ROUNDUP('Evolução Ligações'!H31/6750,0)</f>
        <v>7</v>
      </c>
      <c r="AF45" s="350">
        <f>ROUNDUP('Evolução Ligações'!H32/6750,0)</f>
        <v>8</v>
      </c>
      <c r="AG45" s="350">
        <f>ROUNDUP('Evolução Ligações'!H33/6750,0)</f>
        <v>8</v>
      </c>
      <c r="AH45" s="350">
        <f>ROUNDUP('Evolução Ligações'!H34/6750,0)</f>
        <v>8</v>
      </c>
      <c r="AI45" s="350">
        <f>ROUNDUP('Evolução Ligações'!$H5/6750,0)</f>
        <v>6</v>
      </c>
      <c r="AJ45" s="350">
        <f>ROUNDUP('Evolução Ligações'!$H5/6750,0)</f>
        <v>6</v>
      </c>
      <c r="AK45" s="350">
        <f>ROUNDUP('Evolução Ligações'!$H5/6750,0)</f>
        <v>6</v>
      </c>
      <c r="AL45" s="350">
        <f>ROUNDUP('Evolução Ligações'!$H5/6750,0)</f>
        <v>6</v>
      </c>
      <c r="AM45" s="350">
        <f>ROUNDUP('Evolução Ligações'!$H5/6750,0)</f>
        <v>6</v>
      </c>
    </row>
    <row r="46" spans="4:41">
      <c r="D46" s="358" t="s">
        <v>129</v>
      </c>
      <c r="E46" s="351">
        <v>1</v>
      </c>
      <c r="F46" s="351">
        <v>1</v>
      </c>
      <c r="G46" s="351">
        <v>1</v>
      </c>
      <c r="H46" s="351">
        <v>1</v>
      </c>
      <c r="I46" s="351">
        <v>1</v>
      </c>
      <c r="J46" s="351">
        <v>1</v>
      </c>
      <c r="K46" s="351">
        <v>1</v>
      </c>
      <c r="L46" s="351">
        <v>1</v>
      </c>
      <c r="M46" s="351">
        <v>1</v>
      </c>
      <c r="N46" s="351">
        <v>1</v>
      </c>
      <c r="O46" s="351">
        <v>1</v>
      </c>
      <c r="P46" s="351">
        <v>1</v>
      </c>
      <c r="Q46" s="351">
        <v>1</v>
      </c>
      <c r="R46" s="351">
        <v>1</v>
      </c>
      <c r="S46" s="351">
        <v>1</v>
      </c>
      <c r="T46" s="351">
        <v>1</v>
      </c>
      <c r="U46" s="351">
        <v>1</v>
      </c>
      <c r="V46" s="351">
        <v>1</v>
      </c>
      <c r="W46" s="351">
        <v>1</v>
      </c>
      <c r="X46" s="351">
        <v>1</v>
      </c>
      <c r="Y46" s="351">
        <v>1</v>
      </c>
      <c r="Z46" s="351">
        <v>1</v>
      </c>
      <c r="AA46" s="351">
        <v>1</v>
      </c>
      <c r="AB46" s="351">
        <v>1</v>
      </c>
      <c r="AC46" s="351">
        <v>1</v>
      </c>
      <c r="AD46" s="351">
        <v>1</v>
      </c>
      <c r="AE46" s="351">
        <v>1</v>
      </c>
      <c r="AF46" s="351">
        <v>1</v>
      </c>
      <c r="AG46" s="351">
        <v>1</v>
      </c>
      <c r="AH46" s="351">
        <v>1</v>
      </c>
      <c r="AI46" s="351">
        <v>0</v>
      </c>
      <c r="AJ46" s="351">
        <v>0</v>
      </c>
      <c r="AK46" s="351">
        <v>0</v>
      </c>
      <c r="AL46" s="351">
        <v>0</v>
      </c>
      <c r="AM46" s="351">
        <v>0</v>
      </c>
    </row>
    <row r="47" spans="4:41">
      <c r="D47" s="358" t="s">
        <v>130</v>
      </c>
      <c r="E47" s="351">
        <v>2</v>
      </c>
      <c r="F47" s="351">
        <v>2</v>
      </c>
      <c r="G47" s="351">
        <v>2</v>
      </c>
      <c r="H47" s="351">
        <v>2</v>
      </c>
      <c r="I47" s="351">
        <v>2</v>
      </c>
      <c r="J47" s="351">
        <v>2</v>
      </c>
      <c r="K47" s="351">
        <v>2</v>
      </c>
      <c r="L47" s="351">
        <v>2</v>
      </c>
      <c r="M47" s="351">
        <v>2</v>
      </c>
      <c r="N47" s="351">
        <v>2</v>
      </c>
      <c r="O47" s="351">
        <v>2</v>
      </c>
      <c r="P47" s="351">
        <v>2</v>
      </c>
      <c r="Q47" s="351">
        <v>2</v>
      </c>
      <c r="R47" s="351">
        <v>2</v>
      </c>
      <c r="S47" s="351">
        <v>2</v>
      </c>
      <c r="T47" s="351">
        <v>2</v>
      </c>
      <c r="U47" s="351">
        <v>2</v>
      </c>
      <c r="V47" s="351">
        <v>2</v>
      </c>
      <c r="W47" s="351">
        <v>2</v>
      </c>
      <c r="X47" s="351">
        <v>2</v>
      </c>
      <c r="Y47" s="351">
        <v>2</v>
      </c>
      <c r="Z47" s="351">
        <v>2</v>
      </c>
      <c r="AA47" s="351">
        <v>2</v>
      </c>
      <c r="AB47" s="351">
        <v>2</v>
      </c>
      <c r="AC47" s="351">
        <v>2</v>
      </c>
      <c r="AD47" s="351">
        <v>2</v>
      </c>
      <c r="AE47" s="351">
        <v>2</v>
      </c>
      <c r="AF47" s="351">
        <v>2</v>
      </c>
      <c r="AG47" s="351">
        <v>2</v>
      </c>
      <c r="AH47" s="351">
        <v>2</v>
      </c>
      <c r="AI47" s="351">
        <v>0</v>
      </c>
      <c r="AJ47" s="351">
        <v>0</v>
      </c>
      <c r="AK47" s="351">
        <v>0</v>
      </c>
      <c r="AL47" s="351">
        <v>0</v>
      </c>
      <c r="AM47" s="351">
        <v>0</v>
      </c>
    </row>
    <row r="48" spans="4:41" ht="14.4">
      <c r="D48" s="358" t="s">
        <v>131</v>
      </c>
      <c r="E48" s="350">
        <f>ROUNDUP('Evolução Ligações'!H8/5000,0)</f>
        <v>8</v>
      </c>
      <c r="F48" s="350">
        <f>ROUNDUP('Evolução Ligações'!H9/5000,0)</f>
        <v>8</v>
      </c>
      <c r="G48" s="350">
        <f>ROUNDUP('Evolução Ligações'!H10/5000,0)</f>
        <v>8</v>
      </c>
      <c r="H48" s="350">
        <f>ROUNDUP('Evolução Ligações'!H11/5000,0)</f>
        <v>8</v>
      </c>
      <c r="I48" s="350">
        <v>8</v>
      </c>
      <c r="J48" s="350">
        <v>8</v>
      </c>
      <c r="K48" s="350">
        <v>8</v>
      </c>
      <c r="L48" s="350">
        <v>8</v>
      </c>
      <c r="M48" s="350">
        <v>8</v>
      </c>
      <c r="N48" s="350">
        <v>8</v>
      </c>
      <c r="O48" s="350">
        <f>ROUNDUP('Evolução Ligações'!H18/5000,0)</f>
        <v>9</v>
      </c>
      <c r="P48" s="350">
        <v>9</v>
      </c>
      <c r="Q48" s="350">
        <v>9</v>
      </c>
      <c r="R48" s="350">
        <v>9</v>
      </c>
      <c r="S48" s="350">
        <v>9</v>
      </c>
      <c r="T48" s="350">
        <v>9</v>
      </c>
      <c r="U48" s="350">
        <v>9</v>
      </c>
      <c r="V48" s="350">
        <v>9</v>
      </c>
      <c r="W48" s="350">
        <v>9</v>
      </c>
      <c r="X48" s="350">
        <v>9</v>
      </c>
      <c r="Y48" s="350">
        <v>9</v>
      </c>
      <c r="Z48" s="350">
        <v>9</v>
      </c>
      <c r="AA48" s="350">
        <v>9</v>
      </c>
      <c r="AB48" s="350">
        <v>9</v>
      </c>
      <c r="AC48" s="350">
        <v>9</v>
      </c>
      <c r="AD48" s="350">
        <v>9</v>
      </c>
      <c r="AE48" s="350">
        <v>9</v>
      </c>
      <c r="AF48" s="350">
        <v>10</v>
      </c>
      <c r="AG48" s="350">
        <v>10</v>
      </c>
      <c r="AH48" s="350">
        <v>10</v>
      </c>
      <c r="AI48" s="351">
        <f t="shared" ref="AI48:AM48" si="21">AH48</f>
        <v>10</v>
      </c>
      <c r="AJ48" s="351">
        <f t="shared" si="21"/>
        <v>10</v>
      </c>
      <c r="AK48" s="351">
        <f t="shared" si="21"/>
        <v>10</v>
      </c>
      <c r="AL48" s="351">
        <f t="shared" si="21"/>
        <v>10</v>
      </c>
      <c r="AM48" s="351">
        <f t="shared" si="21"/>
        <v>10</v>
      </c>
    </row>
    <row r="49" spans="4:40">
      <c r="D49" s="359"/>
    </row>
    <row r="50" spans="4:40">
      <c r="D50" s="361" t="s">
        <v>552</v>
      </c>
      <c r="E50" s="360">
        <f t="shared" ref="E50:AM50" si="22">SUM(E51:E62)</f>
        <v>21</v>
      </c>
      <c r="F50" s="360">
        <f t="shared" si="22"/>
        <v>21</v>
      </c>
      <c r="G50" s="360">
        <f t="shared" si="22"/>
        <v>32</v>
      </c>
      <c r="H50" s="360">
        <f t="shared" si="22"/>
        <v>32</v>
      </c>
      <c r="I50" s="360">
        <f t="shared" si="22"/>
        <v>33</v>
      </c>
      <c r="J50" s="360">
        <f t="shared" si="22"/>
        <v>33</v>
      </c>
      <c r="K50" s="360">
        <f t="shared" si="22"/>
        <v>33</v>
      </c>
      <c r="L50" s="360">
        <f t="shared" si="22"/>
        <v>33</v>
      </c>
      <c r="M50" s="360">
        <f t="shared" si="22"/>
        <v>33</v>
      </c>
      <c r="N50" s="360">
        <f t="shared" si="22"/>
        <v>33</v>
      </c>
      <c r="O50" s="360">
        <f t="shared" si="22"/>
        <v>34</v>
      </c>
      <c r="P50" s="360">
        <f t="shared" si="22"/>
        <v>34</v>
      </c>
      <c r="Q50" s="360">
        <f t="shared" si="22"/>
        <v>34</v>
      </c>
      <c r="R50" s="360">
        <f t="shared" si="22"/>
        <v>34</v>
      </c>
      <c r="S50" s="360">
        <f t="shared" si="22"/>
        <v>34</v>
      </c>
      <c r="T50" s="360">
        <f t="shared" si="22"/>
        <v>34</v>
      </c>
      <c r="U50" s="360">
        <f t="shared" si="22"/>
        <v>34</v>
      </c>
      <c r="V50" s="360">
        <f t="shared" si="22"/>
        <v>34</v>
      </c>
      <c r="W50" s="360">
        <f t="shared" si="22"/>
        <v>34</v>
      </c>
      <c r="X50" s="360">
        <f t="shared" si="22"/>
        <v>34</v>
      </c>
      <c r="Y50" s="360">
        <f t="shared" si="22"/>
        <v>34</v>
      </c>
      <c r="Z50" s="360">
        <f t="shared" si="22"/>
        <v>34</v>
      </c>
      <c r="AA50" s="360">
        <f t="shared" si="22"/>
        <v>34</v>
      </c>
      <c r="AB50" s="360">
        <f t="shared" si="22"/>
        <v>34</v>
      </c>
      <c r="AC50" s="360">
        <f t="shared" si="22"/>
        <v>34</v>
      </c>
      <c r="AD50" s="360">
        <f t="shared" si="22"/>
        <v>34</v>
      </c>
      <c r="AE50" s="360">
        <f t="shared" si="22"/>
        <v>34</v>
      </c>
      <c r="AF50" s="360">
        <f t="shared" si="22"/>
        <v>34</v>
      </c>
      <c r="AG50" s="360">
        <f t="shared" si="22"/>
        <v>34</v>
      </c>
      <c r="AH50" s="360">
        <f t="shared" si="22"/>
        <v>34</v>
      </c>
      <c r="AI50" s="360" t="e">
        <f t="shared" si="22"/>
        <v>#N/A</v>
      </c>
      <c r="AJ50" s="360" t="e">
        <f t="shared" si="22"/>
        <v>#N/A</v>
      </c>
      <c r="AK50" s="360" t="e">
        <f t="shared" si="22"/>
        <v>#N/A</v>
      </c>
      <c r="AL50" s="360" t="e">
        <f t="shared" si="22"/>
        <v>#N/A</v>
      </c>
      <c r="AM50" s="360" t="e">
        <f t="shared" si="22"/>
        <v>#N/A</v>
      </c>
    </row>
    <row r="51" spans="4:40">
      <c r="D51" s="358" t="s">
        <v>1169</v>
      </c>
      <c r="E51" s="351">
        <v>2</v>
      </c>
      <c r="F51" s="351">
        <v>2</v>
      </c>
      <c r="G51" s="351">
        <v>2</v>
      </c>
      <c r="H51" s="351">
        <v>2</v>
      </c>
      <c r="I51" s="351">
        <v>2</v>
      </c>
      <c r="J51" s="351">
        <v>2</v>
      </c>
      <c r="K51" s="351">
        <v>2</v>
      </c>
      <c r="L51" s="351">
        <v>2</v>
      </c>
      <c r="M51" s="351">
        <v>2</v>
      </c>
      <c r="N51" s="351">
        <v>2</v>
      </c>
      <c r="O51" s="351">
        <v>2</v>
      </c>
      <c r="P51" s="351">
        <v>2</v>
      </c>
      <c r="Q51" s="351">
        <v>2</v>
      </c>
      <c r="R51" s="351">
        <v>2</v>
      </c>
      <c r="S51" s="351">
        <v>2</v>
      </c>
      <c r="T51" s="351">
        <v>2</v>
      </c>
      <c r="U51" s="351">
        <v>2</v>
      </c>
      <c r="V51" s="351">
        <v>2</v>
      </c>
      <c r="W51" s="351">
        <v>2</v>
      </c>
      <c r="X51" s="351">
        <v>2</v>
      </c>
      <c r="Y51" s="351">
        <v>2</v>
      </c>
      <c r="Z51" s="351">
        <v>2</v>
      </c>
      <c r="AA51" s="351">
        <v>2</v>
      </c>
      <c r="AB51" s="351">
        <v>2</v>
      </c>
      <c r="AC51" s="351">
        <v>2</v>
      </c>
      <c r="AD51" s="351">
        <v>2</v>
      </c>
      <c r="AE51" s="351">
        <v>2</v>
      </c>
      <c r="AF51" s="351">
        <v>2</v>
      </c>
      <c r="AG51" s="351">
        <v>2</v>
      </c>
      <c r="AH51" s="351">
        <v>2</v>
      </c>
      <c r="AI51" s="351">
        <v>2</v>
      </c>
      <c r="AJ51" s="351">
        <v>2</v>
      </c>
      <c r="AK51" s="351">
        <v>2</v>
      </c>
      <c r="AL51" s="351">
        <v>2</v>
      </c>
      <c r="AM51" s="351">
        <v>2</v>
      </c>
    </row>
    <row r="52" spans="4:40">
      <c r="D52" s="358" t="s">
        <v>572</v>
      </c>
      <c r="E52" s="351">
        <v>0</v>
      </c>
      <c r="F52" s="351">
        <v>0</v>
      </c>
      <c r="G52" s="351">
        <v>1</v>
      </c>
      <c r="H52" s="351">
        <v>1</v>
      </c>
      <c r="I52" s="351">
        <v>1</v>
      </c>
      <c r="J52" s="351">
        <v>1</v>
      </c>
      <c r="K52" s="351">
        <v>1</v>
      </c>
      <c r="L52" s="351">
        <v>1</v>
      </c>
      <c r="M52" s="351">
        <v>1</v>
      </c>
      <c r="N52" s="351">
        <v>1</v>
      </c>
      <c r="O52" s="351">
        <v>1</v>
      </c>
      <c r="P52" s="351">
        <v>1</v>
      </c>
      <c r="Q52" s="351">
        <v>1</v>
      </c>
      <c r="R52" s="351">
        <v>1</v>
      </c>
      <c r="S52" s="351">
        <v>1</v>
      </c>
      <c r="T52" s="351">
        <v>1</v>
      </c>
      <c r="U52" s="351">
        <v>1</v>
      </c>
      <c r="V52" s="351">
        <v>1</v>
      </c>
      <c r="W52" s="351">
        <v>1</v>
      </c>
      <c r="X52" s="351">
        <v>1</v>
      </c>
      <c r="Y52" s="351">
        <v>1</v>
      </c>
      <c r="Z52" s="351">
        <v>1</v>
      </c>
      <c r="AA52" s="351">
        <v>1</v>
      </c>
      <c r="AB52" s="351">
        <v>1</v>
      </c>
      <c r="AC52" s="351">
        <v>1</v>
      </c>
      <c r="AD52" s="351">
        <v>1</v>
      </c>
      <c r="AE52" s="351">
        <v>1</v>
      </c>
      <c r="AF52" s="351">
        <v>1</v>
      </c>
      <c r="AG52" s="351">
        <v>1</v>
      </c>
      <c r="AH52" s="351">
        <v>1</v>
      </c>
      <c r="AI52" s="351">
        <v>1</v>
      </c>
      <c r="AJ52" s="351">
        <v>1</v>
      </c>
      <c r="AK52" s="351">
        <v>1</v>
      </c>
      <c r="AL52" s="351">
        <v>1</v>
      </c>
      <c r="AM52" s="351">
        <v>1</v>
      </c>
    </row>
    <row r="53" spans="4:40">
      <c r="D53" s="358" t="s">
        <v>275</v>
      </c>
      <c r="E53" s="351">
        <v>10</v>
      </c>
      <c r="F53" s="351">
        <v>10</v>
      </c>
      <c r="G53" s="351">
        <v>10</v>
      </c>
      <c r="H53" s="351">
        <v>10</v>
      </c>
      <c r="I53" s="351">
        <v>10</v>
      </c>
      <c r="J53" s="351">
        <v>10</v>
      </c>
      <c r="K53" s="351">
        <v>10</v>
      </c>
      <c r="L53" s="351">
        <v>10</v>
      </c>
      <c r="M53" s="351">
        <v>10</v>
      </c>
      <c r="N53" s="351">
        <v>10</v>
      </c>
      <c r="O53" s="351">
        <v>10</v>
      </c>
      <c r="P53" s="351">
        <v>10</v>
      </c>
      <c r="Q53" s="351">
        <v>10</v>
      </c>
      <c r="R53" s="351">
        <v>10</v>
      </c>
      <c r="S53" s="351">
        <v>10</v>
      </c>
      <c r="T53" s="351">
        <v>10</v>
      </c>
      <c r="U53" s="351">
        <v>10</v>
      </c>
      <c r="V53" s="351">
        <v>10</v>
      </c>
      <c r="W53" s="351">
        <v>10</v>
      </c>
      <c r="X53" s="351">
        <v>10</v>
      </c>
      <c r="Y53" s="351">
        <v>10</v>
      </c>
      <c r="Z53" s="351">
        <v>10</v>
      </c>
      <c r="AA53" s="351">
        <v>10</v>
      </c>
      <c r="AB53" s="351">
        <v>10</v>
      </c>
      <c r="AC53" s="351">
        <v>10</v>
      </c>
      <c r="AD53" s="351">
        <v>10</v>
      </c>
      <c r="AE53" s="351">
        <v>10</v>
      </c>
      <c r="AF53" s="351">
        <v>10</v>
      </c>
      <c r="AG53" s="351">
        <v>10</v>
      </c>
      <c r="AH53" s="351">
        <v>10</v>
      </c>
      <c r="AI53" s="351"/>
      <c r="AJ53" s="351"/>
      <c r="AK53" s="351"/>
      <c r="AL53" s="351"/>
      <c r="AM53" s="351"/>
    </row>
    <row r="54" spans="4:40">
      <c r="D54" s="358" t="s">
        <v>274</v>
      </c>
      <c r="E54" s="351">
        <v>0</v>
      </c>
      <c r="F54" s="351">
        <v>0</v>
      </c>
      <c r="G54" s="351">
        <v>6</v>
      </c>
      <c r="H54" s="351">
        <v>6</v>
      </c>
      <c r="I54" s="351">
        <v>6</v>
      </c>
      <c r="J54" s="351">
        <v>6</v>
      </c>
      <c r="K54" s="351">
        <v>6</v>
      </c>
      <c r="L54" s="351">
        <v>6</v>
      </c>
      <c r="M54" s="351">
        <v>6</v>
      </c>
      <c r="N54" s="351">
        <v>6</v>
      </c>
      <c r="O54" s="351">
        <v>6</v>
      </c>
      <c r="P54" s="351">
        <v>6</v>
      </c>
      <c r="Q54" s="351">
        <v>6</v>
      </c>
      <c r="R54" s="351">
        <v>6</v>
      </c>
      <c r="S54" s="351">
        <v>6</v>
      </c>
      <c r="T54" s="351">
        <v>6</v>
      </c>
      <c r="U54" s="351">
        <v>6</v>
      </c>
      <c r="V54" s="351">
        <v>6</v>
      </c>
      <c r="W54" s="351">
        <v>6</v>
      </c>
      <c r="X54" s="351">
        <v>6</v>
      </c>
      <c r="Y54" s="351">
        <v>6</v>
      </c>
      <c r="Z54" s="351">
        <v>6</v>
      </c>
      <c r="AA54" s="351">
        <v>6</v>
      </c>
      <c r="AB54" s="351">
        <v>6</v>
      </c>
      <c r="AC54" s="351">
        <v>6</v>
      </c>
      <c r="AD54" s="351">
        <v>6</v>
      </c>
      <c r="AE54" s="351">
        <v>6</v>
      </c>
      <c r="AF54" s="351">
        <v>6</v>
      </c>
      <c r="AG54" s="351">
        <v>6</v>
      </c>
      <c r="AH54" s="351">
        <v>6</v>
      </c>
      <c r="AI54" s="351">
        <v>6</v>
      </c>
      <c r="AJ54" s="351">
        <v>6</v>
      </c>
      <c r="AK54" s="351">
        <v>6</v>
      </c>
      <c r="AL54" s="351">
        <v>6</v>
      </c>
      <c r="AM54" s="351">
        <v>6</v>
      </c>
    </row>
    <row r="55" spans="4:40">
      <c r="D55" s="358" t="s">
        <v>573</v>
      </c>
      <c r="E55" s="351">
        <v>2</v>
      </c>
      <c r="F55" s="351">
        <v>2</v>
      </c>
      <c r="G55" s="351">
        <v>2</v>
      </c>
      <c r="H55" s="351">
        <v>2</v>
      </c>
      <c r="I55" s="351">
        <v>2</v>
      </c>
      <c r="J55" s="351">
        <v>2</v>
      </c>
      <c r="K55" s="351">
        <v>2</v>
      </c>
      <c r="L55" s="351">
        <v>2</v>
      </c>
      <c r="M55" s="351">
        <v>2</v>
      </c>
      <c r="N55" s="351">
        <v>2</v>
      </c>
      <c r="O55" s="351">
        <v>2</v>
      </c>
      <c r="P55" s="351">
        <v>2</v>
      </c>
      <c r="Q55" s="351">
        <v>2</v>
      </c>
      <c r="R55" s="351">
        <v>2</v>
      </c>
      <c r="S55" s="351">
        <v>2</v>
      </c>
      <c r="T55" s="351">
        <v>2</v>
      </c>
      <c r="U55" s="351">
        <v>2</v>
      </c>
      <c r="V55" s="351">
        <v>2</v>
      </c>
      <c r="W55" s="351">
        <v>2</v>
      </c>
      <c r="X55" s="351">
        <v>2</v>
      </c>
      <c r="Y55" s="351">
        <v>2</v>
      </c>
      <c r="Z55" s="351">
        <v>2</v>
      </c>
      <c r="AA55" s="351">
        <v>2</v>
      </c>
      <c r="AB55" s="351">
        <v>2</v>
      </c>
      <c r="AC55" s="351">
        <v>2</v>
      </c>
      <c r="AD55" s="351">
        <v>2</v>
      </c>
      <c r="AE55" s="351">
        <v>2</v>
      </c>
      <c r="AF55" s="351">
        <v>2</v>
      </c>
      <c r="AG55" s="351">
        <v>2</v>
      </c>
      <c r="AH55" s="351">
        <v>2</v>
      </c>
      <c r="AI55" s="351">
        <f t="shared" ref="AI55:AM55" si="23">ROUNDUP(AI53/4,0)</f>
        <v>0</v>
      </c>
      <c r="AJ55" s="351">
        <f t="shared" si="23"/>
        <v>0</v>
      </c>
      <c r="AK55" s="351">
        <f t="shared" si="23"/>
        <v>0</v>
      </c>
      <c r="AL55" s="351">
        <f t="shared" si="23"/>
        <v>0</v>
      </c>
      <c r="AM55" s="351">
        <f t="shared" si="23"/>
        <v>0</v>
      </c>
    </row>
    <row r="56" spans="4:40">
      <c r="D56" s="358" t="s">
        <v>133</v>
      </c>
      <c r="E56" s="351">
        <v>0</v>
      </c>
      <c r="F56" s="351">
        <v>0</v>
      </c>
      <c r="G56" s="351">
        <v>1</v>
      </c>
      <c r="H56" s="351">
        <v>1</v>
      </c>
      <c r="I56" s="351">
        <v>1</v>
      </c>
      <c r="J56" s="351">
        <v>1</v>
      </c>
      <c r="K56" s="351">
        <v>1</v>
      </c>
      <c r="L56" s="351">
        <v>1</v>
      </c>
      <c r="M56" s="351">
        <v>1</v>
      </c>
      <c r="N56" s="351">
        <v>1</v>
      </c>
      <c r="O56" s="351">
        <v>1</v>
      </c>
      <c r="P56" s="351">
        <v>1</v>
      </c>
      <c r="Q56" s="351">
        <v>1</v>
      </c>
      <c r="R56" s="351">
        <v>1</v>
      </c>
      <c r="S56" s="351">
        <v>1</v>
      </c>
      <c r="T56" s="351">
        <v>1</v>
      </c>
      <c r="U56" s="351">
        <v>1</v>
      </c>
      <c r="V56" s="351">
        <v>1</v>
      </c>
      <c r="W56" s="351">
        <v>1</v>
      </c>
      <c r="X56" s="351">
        <v>1</v>
      </c>
      <c r="Y56" s="351">
        <v>1</v>
      </c>
      <c r="Z56" s="351">
        <v>1</v>
      </c>
      <c r="AA56" s="351">
        <v>1</v>
      </c>
      <c r="AB56" s="351">
        <v>1</v>
      </c>
      <c r="AC56" s="351">
        <v>1</v>
      </c>
      <c r="AD56" s="351">
        <v>1</v>
      </c>
      <c r="AE56" s="351">
        <v>1</v>
      </c>
      <c r="AF56" s="351">
        <v>1</v>
      </c>
      <c r="AG56" s="351">
        <v>1</v>
      </c>
      <c r="AH56" s="351">
        <v>1</v>
      </c>
      <c r="AI56" s="351">
        <f t="shared" ref="AI56:AM56" si="24">ROUNDUP(AI54/4,0)</f>
        <v>2</v>
      </c>
      <c r="AJ56" s="351">
        <f t="shared" si="24"/>
        <v>2</v>
      </c>
      <c r="AK56" s="351">
        <f t="shared" si="24"/>
        <v>2</v>
      </c>
      <c r="AL56" s="351">
        <f t="shared" si="24"/>
        <v>2</v>
      </c>
      <c r="AM56" s="351">
        <f t="shared" si="24"/>
        <v>2</v>
      </c>
    </row>
    <row r="57" spans="4:40">
      <c r="D57" s="358" t="s">
        <v>590</v>
      </c>
      <c r="E57" s="351">
        <f t="array" ref="E57:AM57">IF(ROUNDUP(TRANSPOSE('Tratamento de Esgoto'!$G$4:$G$33)/2,0)&lt;1,1,ROUNDUP(TRANSPOSE('Tratamento de Esgoto'!$G$4:$G$33)/2,0))</f>
        <v>1</v>
      </c>
      <c r="F57" s="351">
        <v>1</v>
      </c>
      <c r="G57" s="351">
        <v>1</v>
      </c>
      <c r="H57" s="351">
        <v>1</v>
      </c>
      <c r="I57" s="351">
        <v>1</v>
      </c>
      <c r="J57" s="351">
        <v>1</v>
      </c>
      <c r="K57" s="351">
        <v>1</v>
      </c>
      <c r="L57" s="351">
        <v>1</v>
      </c>
      <c r="M57" s="351">
        <v>1</v>
      </c>
      <c r="N57" s="351">
        <v>1</v>
      </c>
      <c r="O57" s="351">
        <v>1</v>
      </c>
      <c r="P57" s="351">
        <v>1</v>
      </c>
      <c r="Q57" s="351">
        <v>1</v>
      </c>
      <c r="R57" s="351">
        <v>1</v>
      </c>
      <c r="S57" s="351">
        <v>1</v>
      </c>
      <c r="T57" s="351">
        <v>1</v>
      </c>
      <c r="U57" s="351">
        <v>1</v>
      </c>
      <c r="V57" s="351">
        <v>1</v>
      </c>
      <c r="W57" s="351">
        <v>1</v>
      </c>
      <c r="X57" s="351">
        <v>1</v>
      </c>
      <c r="Y57" s="351">
        <v>1</v>
      </c>
      <c r="Z57" s="351">
        <v>1</v>
      </c>
      <c r="AA57" s="351">
        <v>1</v>
      </c>
      <c r="AB57" s="351">
        <v>1</v>
      </c>
      <c r="AC57" s="351">
        <v>1</v>
      </c>
      <c r="AD57" s="351">
        <v>1</v>
      </c>
      <c r="AE57" s="351">
        <v>1</v>
      </c>
      <c r="AF57" s="351">
        <v>1</v>
      </c>
      <c r="AG57" s="351">
        <v>1</v>
      </c>
      <c r="AH57" s="351">
        <v>1</v>
      </c>
      <c r="AI57" s="351" t="e">
        <v>#N/A</v>
      </c>
      <c r="AJ57" s="351" t="e">
        <v>#N/A</v>
      </c>
      <c r="AK57" s="351" t="e">
        <v>#N/A</v>
      </c>
      <c r="AL57" s="351" t="e">
        <v>#N/A</v>
      </c>
      <c r="AM57" s="351" t="e">
        <v>#N/A</v>
      </c>
    </row>
    <row r="58" spans="4:40">
      <c r="D58" s="358" t="s">
        <v>574</v>
      </c>
      <c r="E58" s="351">
        <v>2</v>
      </c>
      <c r="F58" s="351">
        <v>2</v>
      </c>
      <c r="G58" s="351">
        <v>3</v>
      </c>
      <c r="H58" s="351">
        <v>3</v>
      </c>
      <c r="I58" s="351">
        <v>3</v>
      </c>
      <c r="J58" s="351">
        <v>3</v>
      </c>
      <c r="K58" s="351">
        <v>3</v>
      </c>
      <c r="L58" s="351">
        <v>3</v>
      </c>
      <c r="M58" s="351">
        <v>3</v>
      </c>
      <c r="N58" s="351">
        <v>3</v>
      </c>
      <c r="O58" s="351">
        <v>3</v>
      </c>
      <c r="P58" s="351">
        <v>3</v>
      </c>
      <c r="Q58" s="351">
        <v>3</v>
      </c>
      <c r="R58" s="351">
        <v>3</v>
      </c>
      <c r="S58" s="351">
        <v>3</v>
      </c>
      <c r="T58" s="351">
        <v>3</v>
      </c>
      <c r="U58" s="351">
        <v>3</v>
      </c>
      <c r="V58" s="351">
        <v>3</v>
      </c>
      <c r="W58" s="351">
        <v>3</v>
      </c>
      <c r="X58" s="351">
        <v>3</v>
      </c>
      <c r="Y58" s="351">
        <v>3</v>
      </c>
      <c r="Z58" s="351">
        <v>3</v>
      </c>
      <c r="AA58" s="351">
        <v>3</v>
      </c>
      <c r="AB58" s="351">
        <v>3</v>
      </c>
      <c r="AC58" s="351">
        <v>3</v>
      </c>
      <c r="AD58" s="351">
        <v>3</v>
      </c>
      <c r="AE58" s="351">
        <v>3</v>
      </c>
      <c r="AF58" s="351">
        <v>3</v>
      </c>
      <c r="AG58" s="351">
        <v>3</v>
      </c>
      <c r="AH58" s="351">
        <v>3</v>
      </c>
      <c r="AI58" s="351"/>
      <c r="AJ58" s="351"/>
      <c r="AK58" s="351"/>
      <c r="AL58" s="351"/>
      <c r="AM58" s="351"/>
    </row>
    <row r="59" spans="4:40">
      <c r="D59" s="358" t="s">
        <v>575</v>
      </c>
      <c r="E59" s="351">
        <v>1</v>
      </c>
      <c r="F59" s="351">
        <v>1</v>
      </c>
      <c r="G59" s="351">
        <v>2</v>
      </c>
      <c r="H59" s="351">
        <v>2</v>
      </c>
      <c r="I59" s="351">
        <v>2</v>
      </c>
      <c r="J59" s="351">
        <v>2</v>
      </c>
      <c r="K59" s="351">
        <v>2</v>
      </c>
      <c r="L59" s="351">
        <v>2</v>
      </c>
      <c r="M59" s="351">
        <v>2</v>
      </c>
      <c r="N59" s="351">
        <v>2</v>
      </c>
      <c r="O59" s="351">
        <v>2</v>
      </c>
      <c r="P59" s="351">
        <v>2</v>
      </c>
      <c r="Q59" s="351">
        <v>2</v>
      </c>
      <c r="R59" s="351">
        <v>2</v>
      </c>
      <c r="S59" s="351">
        <v>2</v>
      </c>
      <c r="T59" s="351">
        <v>2</v>
      </c>
      <c r="U59" s="351">
        <v>2</v>
      </c>
      <c r="V59" s="351">
        <v>2</v>
      </c>
      <c r="W59" s="351">
        <v>2</v>
      </c>
      <c r="X59" s="351">
        <v>2</v>
      </c>
      <c r="Y59" s="351">
        <v>2</v>
      </c>
      <c r="Z59" s="351">
        <v>2</v>
      </c>
      <c r="AA59" s="351">
        <v>2</v>
      </c>
      <c r="AB59" s="351">
        <v>2</v>
      </c>
      <c r="AC59" s="351">
        <v>2</v>
      </c>
      <c r="AD59" s="351">
        <v>2</v>
      </c>
      <c r="AE59" s="351">
        <v>2</v>
      </c>
      <c r="AF59" s="351">
        <v>2</v>
      </c>
      <c r="AG59" s="351">
        <v>2</v>
      </c>
      <c r="AH59" s="351">
        <v>2</v>
      </c>
      <c r="AI59" s="351">
        <v>2</v>
      </c>
      <c r="AJ59" s="351">
        <v>2</v>
      </c>
      <c r="AK59" s="351">
        <v>2</v>
      </c>
      <c r="AL59" s="351">
        <v>2</v>
      </c>
      <c r="AM59" s="351">
        <v>2</v>
      </c>
    </row>
    <row r="60" spans="4:40">
      <c r="D60" s="358" t="s">
        <v>276</v>
      </c>
      <c r="E60" s="351">
        <v>1</v>
      </c>
      <c r="F60" s="351">
        <v>1</v>
      </c>
      <c r="G60" s="351">
        <v>2</v>
      </c>
      <c r="H60" s="351">
        <v>2</v>
      </c>
      <c r="I60" s="351">
        <v>2</v>
      </c>
      <c r="J60" s="351">
        <v>2</v>
      </c>
      <c r="K60" s="351">
        <v>2</v>
      </c>
      <c r="L60" s="351">
        <v>2</v>
      </c>
      <c r="M60" s="351">
        <v>2</v>
      </c>
      <c r="N60" s="351">
        <v>2</v>
      </c>
      <c r="O60" s="351">
        <v>2</v>
      </c>
      <c r="P60" s="351">
        <v>2</v>
      </c>
      <c r="Q60" s="351">
        <v>2</v>
      </c>
      <c r="R60" s="351">
        <v>2</v>
      </c>
      <c r="S60" s="351">
        <v>2</v>
      </c>
      <c r="T60" s="351">
        <v>2</v>
      </c>
      <c r="U60" s="351">
        <v>2</v>
      </c>
      <c r="V60" s="351">
        <v>2</v>
      </c>
      <c r="W60" s="351">
        <v>2</v>
      </c>
      <c r="X60" s="351">
        <v>2</v>
      </c>
      <c r="Y60" s="351">
        <v>2</v>
      </c>
      <c r="Z60" s="351">
        <v>2</v>
      </c>
      <c r="AA60" s="351">
        <v>2</v>
      </c>
      <c r="AB60" s="351">
        <v>2</v>
      </c>
      <c r="AC60" s="351">
        <v>2</v>
      </c>
      <c r="AD60" s="351">
        <v>2</v>
      </c>
      <c r="AE60" s="351">
        <v>2</v>
      </c>
      <c r="AF60" s="351">
        <v>2</v>
      </c>
      <c r="AG60" s="351">
        <v>2</v>
      </c>
      <c r="AH60" s="351">
        <v>2</v>
      </c>
      <c r="AI60" s="351" t="e">
        <f t="shared" ref="AI60:AM60" si="25">ROUNDUP((AI5+AI10)/2,0)</f>
        <v>#N/A</v>
      </c>
      <c r="AJ60" s="351" t="e">
        <f t="shared" si="25"/>
        <v>#N/A</v>
      </c>
      <c r="AK60" s="351" t="e">
        <f t="shared" si="25"/>
        <v>#N/A</v>
      </c>
      <c r="AL60" s="351" t="e">
        <f t="shared" si="25"/>
        <v>#N/A</v>
      </c>
      <c r="AM60" s="351" t="e">
        <f t="shared" si="25"/>
        <v>#N/A</v>
      </c>
    </row>
    <row r="61" spans="4:40">
      <c r="D61" s="358" t="s">
        <v>277</v>
      </c>
      <c r="E61" s="345">
        <f>ROUNDUP(('Evolução Ligações'!A45+'Evolução Ligações'!A49+'Evolução Ligações'!A53+'Evolução Ligações'!A58+'Evolução Ligações'!A62+'Evolução Ligações'!A66)/3250,0)</f>
        <v>0</v>
      </c>
      <c r="F61" s="345">
        <f>ROUNDUP(('Evolução Ligações'!B45+'Evolução Ligações'!B49+'Evolução Ligações'!B53+'Evolução Ligações'!B58+'Evolução Ligações'!B62+'Evolução Ligações'!B66)/3250,0)</f>
        <v>0</v>
      </c>
      <c r="G61" s="345">
        <f>ROUNDUP(('Evolução Ligações'!C45+'Evolução Ligações'!C49+'Evolução Ligações'!C53+'Evolução Ligações'!C58+'Evolução Ligações'!C62+'Evolução Ligações'!C66)/3250,0)</f>
        <v>0</v>
      </c>
      <c r="H61" s="345">
        <f>ROUNDUP(('Evolução Ligações'!D45+'Evolução Ligações'!D49+'Evolução Ligações'!D53+'Evolução Ligações'!D58+'Evolução Ligações'!D62+'Evolução Ligações'!D66)/3250,0)</f>
        <v>0</v>
      </c>
      <c r="I61" s="345">
        <f>ROUNDUP(('Evolução Ligações'!E45+'Evolução Ligações'!E49+'Evolução Ligações'!E53+'Evolução Ligações'!E58+'Evolução Ligações'!E62+'Evolução Ligações'!E66)/3250,0)</f>
        <v>0</v>
      </c>
      <c r="J61" s="345">
        <f>ROUNDUP(('Evolução Ligações'!F45+'Evolução Ligações'!F49+'Evolução Ligações'!F53+'Evolução Ligações'!F58+'Evolução Ligações'!F62+'Evolução Ligações'!F66)/3250,0)</f>
        <v>0</v>
      </c>
      <c r="K61" s="345">
        <f>ROUNDUP(('Evolução Ligações'!G45+'Evolução Ligações'!G49+'Evolução Ligações'!G53+'Evolução Ligações'!G58+'Evolução Ligações'!G62+'Evolução Ligações'!G66)/3250,0)</f>
        <v>0</v>
      </c>
      <c r="L61" s="345">
        <f>ROUNDUP(('Evolução Ligações'!H45+'Evolução Ligações'!H49+'Evolução Ligações'!H53+'Evolução Ligações'!H58+'Evolução Ligações'!H62+'Evolução Ligações'!H66)/3250,0)</f>
        <v>0</v>
      </c>
      <c r="M61" s="345">
        <f>ROUNDUP(('Evolução Ligações'!I45+'Evolução Ligações'!I49+'Evolução Ligações'!I53+'Evolução Ligações'!I58+'Evolução Ligações'!I62+'Evolução Ligações'!I66)/3250,0)</f>
        <v>0</v>
      </c>
      <c r="N61" s="345">
        <f>ROUNDUP(('Evolução Ligações'!J45+'Evolução Ligações'!J49+'Evolução Ligações'!J53+'Evolução Ligações'!J58+'Evolução Ligações'!J62+'Evolução Ligações'!J66)/3250,0)</f>
        <v>0</v>
      </c>
      <c r="O61" s="345">
        <f>ROUNDUP(('Evolução Ligações'!K45+'Evolução Ligações'!K49+'Evolução Ligações'!K53+'Evolução Ligações'!K58+'Evolução Ligações'!K62+'Evolução Ligações'!K66)/3250,0)</f>
        <v>0</v>
      </c>
      <c r="P61" s="345">
        <f>ROUNDUP(('Evolução Ligações'!L45+'Evolução Ligações'!L49+'Evolução Ligações'!L53+'Evolução Ligações'!L58+'Evolução Ligações'!L62+'Evolução Ligações'!L66)/3250,0)</f>
        <v>0</v>
      </c>
      <c r="Q61" s="345">
        <f>ROUNDUP(('Evolução Ligações'!M45+'Evolução Ligações'!M49+'Evolução Ligações'!M53+'Evolução Ligações'!M58+'Evolução Ligações'!M62+'Evolução Ligações'!M66)/3250,0)</f>
        <v>0</v>
      </c>
      <c r="R61" s="345">
        <f>ROUNDUP(('Evolução Ligações'!N45+'Evolução Ligações'!N49+'Evolução Ligações'!N53+'Evolução Ligações'!N58+'Evolução Ligações'!N62+'Evolução Ligações'!N66)/3250,0)</f>
        <v>0</v>
      </c>
      <c r="S61" s="345">
        <f>ROUNDUP(('Evolução Ligações'!O45+'Evolução Ligações'!O49+'Evolução Ligações'!O53+'Evolução Ligações'!O58+'Evolução Ligações'!O62+'Evolução Ligações'!O66)/3250,0)</f>
        <v>0</v>
      </c>
      <c r="T61" s="345">
        <f>ROUNDUP(('Evolução Ligações'!P45+'Evolução Ligações'!P49+'Evolução Ligações'!P53+'Evolução Ligações'!P58+'Evolução Ligações'!P62+'Evolução Ligações'!P66)/3250,0)</f>
        <v>0</v>
      </c>
      <c r="U61" s="345">
        <f>ROUNDUP(('Evolução Ligações'!Q45+'Evolução Ligações'!Q49+'Evolução Ligações'!Q53+'Evolução Ligações'!Q58+'Evolução Ligações'!Q62+'Evolução Ligações'!Q66)/3250,0)</f>
        <v>0</v>
      </c>
      <c r="V61" s="345">
        <f>ROUNDUP(('Evolução Ligações'!R45+'Evolução Ligações'!R49+'Evolução Ligações'!R53+'Evolução Ligações'!R58+'Evolução Ligações'!R62+'Evolução Ligações'!R66)/3250,0)</f>
        <v>0</v>
      </c>
      <c r="W61" s="345">
        <f>ROUNDUP(('Evolução Ligações'!S45+'Evolução Ligações'!S49+'Evolução Ligações'!S53+'Evolução Ligações'!S58+'Evolução Ligações'!S62+'Evolução Ligações'!S66)/3250,0)</f>
        <v>0</v>
      </c>
      <c r="X61" s="345">
        <f>ROUNDUP(('Evolução Ligações'!T45+'Evolução Ligações'!T49+'Evolução Ligações'!T53+'Evolução Ligações'!T58+'Evolução Ligações'!T62+'Evolução Ligações'!T66)/3250,0)</f>
        <v>0</v>
      </c>
      <c r="Y61" s="345">
        <f>ROUNDUP(('Evolução Ligações'!U45+'Evolução Ligações'!U49+'Evolução Ligações'!U53+'Evolução Ligações'!U58+'Evolução Ligações'!U62+'Evolução Ligações'!U66)/3250,0)</f>
        <v>0</v>
      </c>
      <c r="Z61" s="345">
        <f>ROUNDUP(('Evolução Ligações'!V45+'Evolução Ligações'!V49+'Evolução Ligações'!V53+'Evolução Ligações'!V58+'Evolução Ligações'!V62+'Evolução Ligações'!V66)/3250,0)</f>
        <v>0</v>
      </c>
      <c r="AA61" s="345">
        <f>ROUNDUP(('Evolução Ligações'!W45+'Evolução Ligações'!W49+'Evolução Ligações'!W53+'Evolução Ligações'!W58+'Evolução Ligações'!W62+'Evolução Ligações'!W66)/3250,0)</f>
        <v>0</v>
      </c>
      <c r="AB61" s="345">
        <f>ROUNDUP(('Evolução Ligações'!X45+'Evolução Ligações'!X49+'Evolução Ligações'!X53+'Evolução Ligações'!X58+'Evolução Ligações'!X62+'Evolução Ligações'!X66)/3250,0)</f>
        <v>0</v>
      </c>
      <c r="AC61" s="345">
        <f>ROUNDUP(('Evolução Ligações'!Y45+'Evolução Ligações'!Y49+'Evolução Ligações'!Y53+'Evolução Ligações'!Y58+'Evolução Ligações'!Y62+'Evolução Ligações'!Y66)/3250,0)</f>
        <v>0</v>
      </c>
      <c r="AD61" s="345">
        <f>ROUNDUP(('Evolução Ligações'!Z45+'Evolução Ligações'!Z49+'Evolução Ligações'!Z53+'Evolução Ligações'!Z58+'Evolução Ligações'!Z62+'Evolução Ligações'!Z66)/3250,0)</f>
        <v>0</v>
      </c>
      <c r="AE61" s="345">
        <f>ROUNDUP(('Evolução Ligações'!AA45+'Evolução Ligações'!AA49+'Evolução Ligações'!AA53+'Evolução Ligações'!AA58+'Evolução Ligações'!AA62+'Evolução Ligações'!AA66)/3250,0)</f>
        <v>0</v>
      </c>
      <c r="AF61" s="345">
        <f>ROUNDUP(('Evolução Ligações'!AB45+'Evolução Ligações'!AB49+'Evolução Ligações'!AB53+'Evolução Ligações'!AB58+'Evolução Ligações'!AB62+'Evolução Ligações'!AB66)/3250,0)</f>
        <v>0</v>
      </c>
      <c r="AG61" s="345">
        <f>ROUNDUP(('Evolução Ligações'!AC45+'Evolução Ligações'!AC49+'Evolução Ligações'!AC53+'Evolução Ligações'!AC58+'Evolução Ligações'!AC62+'Evolução Ligações'!AC66)/3250,0)</f>
        <v>0</v>
      </c>
      <c r="AH61" s="345">
        <f>ROUNDUP(('Evolução Ligações'!AD45+'Evolução Ligações'!AD49+'Evolução Ligações'!AD53+'Evolução Ligações'!AD58+'Evolução Ligações'!AD62+'Evolução Ligações'!AD66)/3250,0)</f>
        <v>0</v>
      </c>
      <c r="AI61" s="345">
        <f>ROUNDUP(('Evolução Ligações'!AE45+'Evolução Ligações'!AE49+'Evolução Ligações'!AE53+'Evolução Ligações'!AE58+'Evolução Ligações'!AE62+'Evolução Ligações'!AE66)/3250,0)</f>
        <v>0</v>
      </c>
      <c r="AJ61" s="345">
        <f>ROUNDUP(('Evolução Ligações'!AF45+'Evolução Ligações'!AF49+'Evolução Ligações'!AF53+'Evolução Ligações'!AF58+'Evolução Ligações'!AF62+'Evolução Ligações'!AF66)/3250,0)</f>
        <v>0</v>
      </c>
      <c r="AK61" s="345">
        <f>ROUNDUP(('Evolução Ligações'!AG45+'Evolução Ligações'!AG49+'Evolução Ligações'!AG53+'Evolução Ligações'!AG58+'Evolução Ligações'!AG62+'Evolução Ligações'!AG66)/3250,0)</f>
        <v>0</v>
      </c>
      <c r="AL61" s="345">
        <f>ROUNDUP(('Evolução Ligações'!AH45+'Evolução Ligações'!AH49+'Evolução Ligações'!AH53+'Evolução Ligações'!AH58+'Evolução Ligações'!AH62+'Evolução Ligações'!AH66)/3250,0)</f>
        <v>0</v>
      </c>
      <c r="AM61" s="345">
        <f>ROUNDUP(('Evolução Ligações'!AI45+'Evolução Ligações'!AI49+'Evolução Ligações'!AI53+'Evolução Ligações'!AI58+'Evolução Ligações'!AI62+'Evolução Ligações'!AI66)/3250,0)</f>
        <v>0</v>
      </c>
      <c r="AN61" s="341"/>
    </row>
    <row r="62" spans="4:40">
      <c r="D62" s="358" t="s">
        <v>492</v>
      </c>
      <c r="E62" s="345">
        <f t="array" ref="E62:AM62">ROUNDUP((TRANSPOSE('Evolução Ligações'!$B$5:$B$34)+TRANSPOSE('Evolução Ligações'!$J$5:$J$34))/'Recursos Humanos 1'!$B$7/4,0)</f>
        <v>2</v>
      </c>
      <c r="F62" s="345">
        <v>2</v>
      </c>
      <c r="G62" s="345">
        <v>2</v>
      </c>
      <c r="H62" s="345">
        <v>2</v>
      </c>
      <c r="I62" s="345">
        <v>3</v>
      </c>
      <c r="J62" s="345">
        <v>3</v>
      </c>
      <c r="K62" s="345">
        <v>3</v>
      </c>
      <c r="L62" s="345">
        <v>3</v>
      </c>
      <c r="M62" s="345">
        <v>3</v>
      </c>
      <c r="N62" s="345">
        <v>3</v>
      </c>
      <c r="O62" s="345">
        <v>4</v>
      </c>
      <c r="P62" s="345">
        <v>4</v>
      </c>
      <c r="Q62" s="345">
        <v>4</v>
      </c>
      <c r="R62" s="345">
        <v>4</v>
      </c>
      <c r="S62" s="345">
        <v>4</v>
      </c>
      <c r="T62" s="345">
        <v>4</v>
      </c>
      <c r="U62" s="345">
        <v>4</v>
      </c>
      <c r="V62" s="345">
        <v>4</v>
      </c>
      <c r="W62" s="345">
        <v>4</v>
      </c>
      <c r="X62" s="345">
        <v>4</v>
      </c>
      <c r="Y62" s="345">
        <v>4</v>
      </c>
      <c r="Z62" s="345">
        <v>4</v>
      </c>
      <c r="AA62" s="345">
        <v>4</v>
      </c>
      <c r="AB62" s="345">
        <v>4</v>
      </c>
      <c r="AC62" s="345">
        <v>4</v>
      </c>
      <c r="AD62" s="345">
        <v>4</v>
      </c>
      <c r="AE62" s="345">
        <v>4</v>
      </c>
      <c r="AF62" s="345">
        <v>4</v>
      </c>
      <c r="AG62" s="345">
        <v>4</v>
      </c>
      <c r="AH62" s="345">
        <v>4</v>
      </c>
      <c r="AI62" s="345" t="e">
        <v>#N/A</v>
      </c>
      <c r="AJ62" s="345" t="e">
        <v>#N/A</v>
      </c>
      <c r="AK62" s="345" t="e">
        <v>#N/A</v>
      </c>
      <c r="AL62" s="345" t="e">
        <v>#N/A</v>
      </c>
      <c r="AM62" s="345" t="e">
        <v>#N/A</v>
      </c>
    </row>
    <row r="63" spans="4:40">
      <c r="D63" s="358" t="s">
        <v>771</v>
      </c>
      <c r="E63" s="351">
        <f t="array" ref="E63:AH63">IF(TRANSPOSE('Composição Faturamento 1'!J5:J34)&gt;=1,2,0)</f>
        <v>0</v>
      </c>
      <c r="F63" s="351">
        <v>0</v>
      </c>
      <c r="G63" s="351">
        <v>0</v>
      </c>
      <c r="H63" s="351">
        <v>2</v>
      </c>
      <c r="I63" s="351">
        <v>2</v>
      </c>
      <c r="J63" s="351">
        <v>2</v>
      </c>
      <c r="K63" s="351">
        <v>2</v>
      </c>
      <c r="L63" s="351">
        <v>2</v>
      </c>
      <c r="M63" s="351">
        <v>2</v>
      </c>
      <c r="N63" s="351">
        <v>2</v>
      </c>
      <c r="O63" s="351">
        <v>2</v>
      </c>
      <c r="P63" s="351">
        <v>2</v>
      </c>
      <c r="Q63" s="351">
        <v>2</v>
      </c>
      <c r="R63" s="351">
        <v>2</v>
      </c>
      <c r="S63" s="351">
        <v>2</v>
      </c>
      <c r="T63" s="351">
        <v>2</v>
      </c>
      <c r="U63" s="351">
        <v>2</v>
      </c>
      <c r="V63" s="351">
        <v>2</v>
      </c>
      <c r="W63" s="351">
        <v>2</v>
      </c>
      <c r="X63" s="351">
        <v>2</v>
      </c>
      <c r="Y63" s="351">
        <v>2</v>
      </c>
      <c r="Z63" s="351">
        <v>2</v>
      </c>
      <c r="AA63" s="351">
        <v>2</v>
      </c>
      <c r="AB63" s="351">
        <v>2</v>
      </c>
      <c r="AC63" s="351">
        <v>2</v>
      </c>
      <c r="AD63" s="351">
        <v>2</v>
      </c>
      <c r="AE63" s="351">
        <v>2</v>
      </c>
      <c r="AF63" s="351">
        <v>2</v>
      </c>
      <c r="AG63" s="351">
        <v>2</v>
      </c>
      <c r="AH63" s="351">
        <v>2</v>
      </c>
    </row>
  </sheetData>
  <phoneticPr fontId="12" type="noConversion"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A1:AG49"/>
  <sheetViews>
    <sheetView zoomScale="70" zoomScaleNormal="70" workbookViewId="0">
      <pane xSplit="3" ySplit="3" topLeftCell="S4" activePane="bottomRight" state="frozen"/>
      <selection activeCell="L3" sqref="L3:L108"/>
      <selection pane="topRight" activeCell="L3" sqref="L3:L108"/>
      <selection pane="bottomLeft" activeCell="L3" sqref="L3:L108"/>
      <selection pane="bottomRight" activeCell="Z26" sqref="Z26"/>
    </sheetView>
  </sheetViews>
  <sheetFormatPr defaultColWidth="8.77734375" defaultRowHeight="13.2" outlineLevelRow="1"/>
  <cols>
    <col min="1" max="1" width="56.77734375" style="43" bestFit="1" customWidth="1"/>
    <col min="2" max="2" width="16.44140625" style="159" bestFit="1" customWidth="1"/>
    <col min="3" max="3" width="8.109375" style="159" bestFit="1" customWidth="1"/>
    <col min="4" max="4" width="63" style="40" bestFit="1" customWidth="1"/>
    <col min="5" max="33" width="13.44140625" style="40" bestFit="1" customWidth="1"/>
    <col min="34" max="16384" width="8.77734375" style="40"/>
  </cols>
  <sheetData>
    <row r="1" spans="1:33" s="39" customFormat="1" ht="40.049999999999997" customHeight="1">
      <c r="A1" s="37" t="s">
        <v>296</v>
      </c>
      <c r="B1" s="38"/>
      <c r="C1" s="38"/>
      <c r="D1" s="38"/>
      <c r="E1" s="38"/>
    </row>
    <row r="3" spans="1:33" ht="15" customHeight="1">
      <c r="A3" s="3" t="s">
        <v>295</v>
      </c>
      <c r="B3" s="990" t="s">
        <v>280</v>
      </c>
      <c r="C3" s="991"/>
      <c r="D3" s="2" t="s">
        <v>74</v>
      </c>
      <c r="E3" s="2" t="s">
        <v>73</v>
      </c>
      <c r="F3" s="2" t="s">
        <v>75</v>
      </c>
      <c r="G3" s="2" t="s">
        <v>76</v>
      </c>
      <c r="H3" s="2" t="s">
        <v>77</v>
      </c>
      <c r="I3" s="2" t="s">
        <v>78</v>
      </c>
      <c r="J3" s="2" t="s">
        <v>79</v>
      </c>
      <c r="K3" s="2" t="s">
        <v>80</v>
      </c>
      <c r="L3" s="2" t="s">
        <v>81</v>
      </c>
      <c r="M3" s="2" t="s">
        <v>82</v>
      </c>
      <c r="N3" s="2" t="s">
        <v>83</v>
      </c>
      <c r="O3" s="2" t="s">
        <v>84</v>
      </c>
      <c r="P3" s="2" t="s">
        <v>85</v>
      </c>
      <c r="Q3" s="2" t="s">
        <v>86</v>
      </c>
      <c r="R3" s="2" t="s">
        <v>87</v>
      </c>
      <c r="S3" s="2" t="s">
        <v>88</v>
      </c>
      <c r="T3" s="2" t="s">
        <v>89</v>
      </c>
      <c r="U3" s="2" t="s">
        <v>90</v>
      </c>
      <c r="V3" s="2" t="s">
        <v>91</v>
      </c>
      <c r="W3" s="2" t="s">
        <v>92</v>
      </c>
      <c r="X3" s="2" t="s">
        <v>93</v>
      </c>
      <c r="Y3" s="2" t="s">
        <v>94</v>
      </c>
      <c r="Z3" s="2" t="s">
        <v>95</v>
      </c>
      <c r="AA3" s="2" t="s">
        <v>96</v>
      </c>
      <c r="AB3" s="2" t="s">
        <v>97</v>
      </c>
      <c r="AC3" s="2" t="s">
        <v>98</v>
      </c>
      <c r="AD3" s="2" t="s">
        <v>99</v>
      </c>
      <c r="AE3" s="2" t="s">
        <v>100</v>
      </c>
      <c r="AF3" s="2" t="s">
        <v>101</v>
      </c>
      <c r="AG3" s="2" t="s">
        <v>102</v>
      </c>
    </row>
    <row r="4" spans="1:33" ht="15" customHeight="1">
      <c r="A4" s="41" t="s">
        <v>395</v>
      </c>
      <c r="B4" s="988">
        <f t="shared" ref="B4:B9" si="0">SUM(D4:AG4)</f>
        <v>81676848</v>
      </c>
      <c r="C4" s="989"/>
      <c r="D4" s="12">
        <f xml:space="preserve"> ( D$11 )</f>
        <v>2177724</v>
      </c>
      <c r="E4" s="12">
        <f t="shared" ref="E4:AG4" si="1" xml:space="preserve"> ( E$11 )</f>
        <v>2177724</v>
      </c>
      <c r="F4" s="12">
        <f t="shared" si="1"/>
        <v>2177724</v>
      </c>
      <c r="G4" s="12">
        <f t="shared" si="1"/>
        <v>2271840</v>
      </c>
      <c r="H4" s="12">
        <f t="shared" si="1"/>
        <v>2466240</v>
      </c>
      <c r="I4" s="12">
        <f t="shared" si="1"/>
        <v>2466240</v>
      </c>
      <c r="J4" s="12">
        <f t="shared" si="1"/>
        <v>2560356</v>
      </c>
      <c r="K4" s="12">
        <f t="shared" si="1"/>
        <v>2560356</v>
      </c>
      <c r="L4" s="12">
        <f t="shared" si="1"/>
        <v>2560356</v>
      </c>
      <c r="M4" s="12">
        <f t="shared" si="1"/>
        <v>2560356</v>
      </c>
      <c r="N4" s="12">
        <f t="shared" si="1"/>
        <v>2851956</v>
      </c>
      <c r="O4" s="12">
        <f t="shared" si="1"/>
        <v>2851956</v>
      </c>
      <c r="P4" s="12">
        <f t="shared" si="1"/>
        <v>2851956</v>
      </c>
      <c r="Q4" s="12">
        <f t="shared" si="1"/>
        <v>2851956</v>
      </c>
      <c r="R4" s="12">
        <f t="shared" si="1"/>
        <v>2851956</v>
      </c>
      <c r="S4" s="12">
        <f t="shared" si="1"/>
        <v>2851956</v>
      </c>
      <c r="T4" s="12">
        <f t="shared" si="1"/>
        <v>2851956</v>
      </c>
      <c r="U4" s="12">
        <f t="shared" si="1"/>
        <v>2851956</v>
      </c>
      <c r="V4" s="12">
        <f t="shared" si="1"/>
        <v>2851956</v>
      </c>
      <c r="W4" s="12">
        <f t="shared" si="1"/>
        <v>2851956</v>
      </c>
      <c r="X4" s="12">
        <f t="shared" si="1"/>
        <v>2851956</v>
      </c>
      <c r="Y4" s="12">
        <f t="shared" si="1"/>
        <v>2851956</v>
      </c>
      <c r="Z4" s="12">
        <f t="shared" si="1"/>
        <v>2851956</v>
      </c>
      <c r="AA4" s="12">
        <f t="shared" si="1"/>
        <v>2946072</v>
      </c>
      <c r="AB4" s="12">
        <f t="shared" si="1"/>
        <v>2946072</v>
      </c>
      <c r="AC4" s="12">
        <f t="shared" si="1"/>
        <v>2946072</v>
      </c>
      <c r="AD4" s="12">
        <f t="shared" si="1"/>
        <v>2946072</v>
      </c>
      <c r="AE4" s="12">
        <f t="shared" si="1"/>
        <v>2946072</v>
      </c>
      <c r="AF4" s="12">
        <f t="shared" si="1"/>
        <v>2946072</v>
      </c>
      <c r="AG4" s="12">
        <f t="shared" si="1"/>
        <v>2946072</v>
      </c>
    </row>
    <row r="5" spans="1:33" ht="15" customHeight="1">
      <c r="A5" s="41" t="s">
        <v>297</v>
      </c>
      <c r="B5" s="988">
        <f t="shared" si="0"/>
        <v>43971624</v>
      </c>
      <c r="C5" s="989"/>
      <c r="D5" s="12">
        <f xml:space="preserve"> ( D$25 )</f>
        <v>771432</v>
      </c>
      <c r="E5" s="12">
        <f t="shared" ref="E5:AG5" si="2" xml:space="preserve"> ( E$25 )</f>
        <v>771432</v>
      </c>
      <c r="F5" s="12">
        <f t="shared" si="2"/>
        <v>771432</v>
      </c>
      <c r="G5" s="12">
        <f t="shared" si="2"/>
        <v>1542864</v>
      </c>
      <c r="H5" s="12">
        <f t="shared" si="2"/>
        <v>1542864</v>
      </c>
      <c r="I5" s="12">
        <f t="shared" si="2"/>
        <v>1542864</v>
      </c>
      <c r="J5" s="12">
        <f t="shared" si="2"/>
        <v>1542864</v>
      </c>
      <c r="K5" s="12">
        <f t="shared" si="2"/>
        <v>1542864</v>
      </c>
      <c r="L5" s="12">
        <f t="shared" si="2"/>
        <v>1542864</v>
      </c>
      <c r="M5" s="12">
        <f t="shared" si="2"/>
        <v>1542864</v>
      </c>
      <c r="N5" s="12">
        <f t="shared" si="2"/>
        <v>1542864</v>
      </c>
      <c r="O5" s="12">
        <f t="shared" si="2"/>
        <v>1542864</v>
      </c>
      <c r="P5" s="12">
        <f t="shared" si="2"/>
        <v>1542864</v>
      </c>
      <c r="Q5" s="12">
        <f t="shared" si="2"/>
        <v>1542864</v>
      </c>
      <c r="R5" s="12">
        <f t="shared" si="2"/>
        <v>1542864</v>
      </c>
      <c r="S5" s="12">
        <f t="shared" si="2"/>
        <v>1542864</v>
      </c>
      <c r="T5" s="12">
        <f t="shared" si="2"/>
        <v>1542864</v>
      </c>
      <c r="U5" s="12">
        <f t="shared" si="2"/>
        <v>1542864</v>
      </c>
      <c r="V5" s="12">
        <f t="shared" si="2"/>
        <v>1542864</v>
      </c>
      <c r="W5" s="12">
        <f t="shared" si="2"/>
        <v>1542864</v>
      </c>
      <c r="X5" s="12">
        <f t="shared" si="2"/>
        <v>1542864</v>
      </c>
      <c r="Y5" s="12">
        <f t="shared" si="2"/>
        <v>1542864</v>
      </c>
      <c r="Z5" s="12">
        <f t="shared" si="2"/>
        <v>1542864</v>
      </c>
      <c r="AA5" s="12">
        <f t="shared" si="2"/>
        <v>1542864</v>
      </c>
      <c r="AB5" s="12">
        <f t="shared" si="2"/>
        <v>1542864</v>
      </c>
      <c r="AC5" s="12">
        <f t="shared" si="2"/>
        <v>1542864</v>
      </c>
      <c r="AD5" s="12">
        <f t="shared" si="2"/>
        <v>1542864</v>
      </c>
      <c r="AE5" s="12">
        <f t="shared" si="2"/>
        <v>1542864</v>
      </c>
      <c r="AF5" s="12">
        <f t="shared" si="2"/>
        <v>1542864</v>
      </c>
      <c r="AG5" s="12">
        <f t="shared" si="2"/>
        <v>1542864</v>
      </c>
    </row>
    <row r="6" spans="1:33" ht="15" customHeight="1">
      <c r="A6" s="41" t="s">
        <v>298</v>
      </c>
      <c r="B6" s="988">
        <f t="shared" si="0"/>
        <v>38509512</v>
      </c>
      <c r="C6" s="989"/>
      <c r="D6" s="12">
        <f xml:space="preserve"> ( D$30 )</f>
        <v>1204008</v>
      </c>
      <c r="E6" s="12">
        <f t="shared" ref="E6:AG6" si="3" xml:space="preserve"> ( E$30 )</f>
        <v>1204008</v>
      </c>
      <c r="F6" s="12">
        <f t="shared" si="3"/>
        <v>1204008</v>
      </c>
      <c r="G6" s="12">
        <f t="shared" si="3"/>
        <v>1204008</v>
      </c>
      <c r="H6" s="12">
        <f t="shared" si="3"/>
        <v>1204008</v>
      </c>
      <c r="I6" s="12">
        <f t="shared" si="3"/>
        <v>1204008</v>
      </c>
      <c r="J6" s="12">
        <f t="shared" si="3"/>
        <v>1204008</v>
      </c>
      <c r="K6" s="12">
        <f t="shared" si="3"/>
        <v>1204008</v>
      </c>
      <c r="L6" s="12">
        <f t="shared" si="3"/>
        <v>1204008</v>
      </c>
      <c r="M6" s="12">
        <f t="shared" si="3"/>
        <v>1204008</v>
      </c>
      <c r="N6" s="12">
        <f t="shared" si="3"/>
        <v>1259028</v>
      </c>
      <c r="O6" s="12">
        <f t="shared" si="3"/>
        <v>1259028</v>
      </c>
      <c r="P6" s="12">
        <f t="shared" si="3"/>
        <v>1259028</v>
      </c>
      <c r="Q6" s="12">
        <f t="shared" si="3"/>
        <v>1334844</v>
      </c>
      <c r="R6" s="12">
        <f t="shared" si="3"/>
        <v>1334844</v>
      </c>
      <c r="S6" s="12">
        <f t="shared" si="3"/>
        <v>1334844</v>
      </c>
      <c r="T6" s="12">
        <f t="shared" si="3"/>
        <v>1334844</v>
      </c>
      <c r="U6" s="12">
        <f t="shared" si="3"/>
        <v>1334844</v>
      </c>
      <c r="V6" s="12">
        <f t="shared" si="3"/>
        <v>1334844</v>
      </c>
      <c r="W6" s="12">
        <f t="shared" si="3"/>
        <v>1334844</v>
      </c>
      <c r="X6" s="12">
        <f t="shared" si="3"/>
        <v>1334844</v>
      </c>
      <c r="Y6" s="12">
        <f t="shared" si="3"/>
        <v>1334844</v>
      </c>
      <c r="Z6" s="12">
        <f t="shared" si="3"/>
        <v>1334844</v>
      </c>
      <c r="AA6" s="12">
        <f t="shared" si="3"/>
        <v>1334844</v>
      </c>
      <c r="AB6" s="12">
        <f t="shared" si="3"/>
        <v>1334844</v>
      </c>
      <c r="AC6" s="12">
        <f t="shared" si="3"/>
        <v>1334844</v>
      </c>
      <c r="AD6" s="12">
        <f t="shared" si="3"/>
        <v>1334844</v>
      </c>
      <c r="AE6" s="12">
        <f t="shared" si="3"/>
        <v>1334844</v>
      </c>
      <c r="AF6" s="12">
        <f t="shared" si="3"/>
        <v>1334844</v>
      </c>
      <c r="AG6" s="12">
        <f t="shared" si="3"/>
        <v>1334844</v>
      </c>
    </row>
    <row r="7" spans="1:33" ht="15" customHeight="1">
      <c r="A7" s="41" t="s">
        <v>299</v>
      </c>
      <c r="B7" s="988">
        <f t="shared" si="0"/>
        <v>89837784</v>
      </c>
      <c r="C7" s="989"/>
      <c r="D7" s="12">
        <f xml:space="preserve"> ( D$37 )</f>
        <v>1923924</v>
      </c>
      <c r="E7" s="12">
        <f t="shared" ref="E7:AG7" si="4" xml:space="preserve"> ( E$37 )</f>
        <v>1923924</v>
      </c>
      <c r="F7" s="12">
        <f t="shared" si="4"/>
        <v>2964612</v>
      </c>
      <c r="G7" s="12">
        <f t="shared" si="4"/>
        <v>2964612</v>
      </c>
      <c r="H7" s="12">
        <f t="shared" si="4"/>
        <v>3029412</v>
      </c>
      <c r="I7" s="12">
        <f t="shared" si="4"/>
        <v>3029412</v>
      </c>
      <c r="J7" s="12">
        <f t="shared" si="4"/>
        <v>3029412</v>
      </c>
      <c r="K7" s="12">
        <f t="shared" si="4"/>
        <v>3029412</v>
      </c>
      <c r="L7" s="12">
        <f t="shared" si="4"/>
        <v>3029412</v>
      </c>
      <c r="M7" s="12">
        <f t="shared" si="4"/>
        <v>3029412</v>
      </c>
      <c r="N7" s="12">
        <f t="shared" si="4"/>
        <v>3094212</v>
      </c>
      <c r="O7" s="12">
        <f t="shared" si="4"/>
        <v>3094212</v>
      </c>
      <c r="P7" s="12">
        <f t="shared" si="4"/>
        <v>3094212</v>
      </c>
      <c r="Q7" s="12">
        <f t="shared" si="4"/>
        <v>3094212</v>
      </c>
      <c r="R7" s="12">
        <f t="shared" si="4"/>
        <v>3094212</v>
      </c>
      <c r="S7" s="12">
        <f t="shared" si="4"/>
        <v>3094212</v>
      </c>
      <c r="T7" s="12">
        <f t="shared" si="4"/>
        <v>3094212</v>
      </c>
      <c r="U7" s="12">
        <f t="shared" si="4"/>
        <v>3094212</v>
      </c>
      <c r="V7" s="12">
        <f t="shared" si="4"/>
        <v>3094212</v>
      </c>
      <c r="W7" s="12">
        <f t="shared" si="4"/>
        <v>3094212</v>
      </c>
      <c r="X7" s="12">
        <f t="shared" si="4"/>
        <v>3094212</v>
      </c>
      <c r="Y7" s="12">
        <f t="shared" si="4"/>
        <v>3094212</v>
      </c>
      <c r="Z7" s="12">
        <f t="shared" si="4"/>
        <v>3094212</v>
      </c>
      <c r="AA7" s="12">
        <f t="shared" si="4"/>
        <v>3094212</v>
      </c>
      <c r="AB7" s="12">
        <f t="shared" si="4"/>
        <v>3094212</v>
      </c>
      <c r="AC7" s="12">
        <f t="shared" si="4"/>
        <v>3094212</v>
      </c>
      <c r="AD7" s="12">
        <f t="shared" si="4"/>
        <v>3094212</v>
      </c>
      <c r="AE7" s="12">
        <f t="shared" si="4"/>
        <v>3094212</v>
      </c>
      <c r="AF7" s="12">
        <f t="shared" si="4"/>
        <v>3094212</v>
      </c>
      <c r="AG7" s="12">
        <f t="shared" si="4"/>
        <v>3094212</v>
      </c>
    </row>
    <row r="8" spans="1:33" ht="15" customHeight="1">
      <c r="A8" s="172" t="s">
        <v>300</v>
      </c>
      <c r="B8" s="988">
        <f t="shared" si="0"/>
        <v>172318920</v>
      </c>
      <c r="C8" s="989"/>
      <c r="D8" s="173">
        <f>SUM(D5:D7)</f>
        <v>3899364</v>
      </c>
      <c r="E8" s="173">
        <f>SUM(E5:E7)</f>
        <v>3899364</v>
      </c>
      <c r="F8" s="173">
        <f t="shared" ref="F8:AG8" si="5">SUM(F5:F7)</f>
        <v>4940052</v>
      </c>
      <c r="G8" s="173">
        <f t="shared" si="5"/>
        <v>5711484</v>
      </c>
      <c r="H8" s="173">
        <f t="shared" si="5"/>
        <v>5776284</v>
      </c>
      <c r="I8" s="173">
        <f t="shared" si="5"/>
        <v>5776284</v>
      </c>
      <c r="J8" s="173">
        <f t="shared" si="5"/>
        <v>5776284</v>
      </c>
      <c r="K8" s="173">
        <f t="shared" si="5"/>
        <v>5776284</v>
      </c>
      <c r="L8" s="173">
        <f t="shared" si="5"/>
        <v>5776284</v>
      </c>
      <c r="M8" s="173">
        <f t="shared" si="5"/>
        <v>5776284</v>
      </c>
      <c r="N8" s="173">
        <f t="shared" si="5"/>
        <v>5896104</v>
      </c>
      <c r="O8" s="173">
        <f t="shared" si="5"/>
        <v>5896104</v>
      </c>
      <c r="P8" s="173">
        <f t="shared" si="5"/>
        <v>5896104</v>
      </c>
      <c r="Q8" s="173">
        <f t="shared" si="5"/>
        <v>5971920</v>
      </c>
      <c r="R8" s="173">
        <f t="shared" si="5"/>
        <v>5971920</v>
      </c>
      <c r="S8" s="173">
        <f t="shared" si="5"/>
        <v>5971920</v>
      </c>
      <c r="T8" s="173">
        <f t="shared" si="5"/>
        <v>5971920</v>
      </c>
      <c r="U8" s="173">
        <f t="shared" si="5"/>
        <v>5971920</v>
      </c>
      <c r="V8" s="173">
        <f t="shared" si="5"/>
        <v>5971920</v>
      </c>
      <c r="W8" s="173">
        <f t="shared" si="5"/>
        <v>5971920</v>
      </c>
      <c r="X8" s="173">
        <f t="shared" si="5"/>
        <v>5971920</v>
      </c>
      <c r="Y8" s="173">
        <f t="shared" si="5"/>
        <v>5971920</v>
      </c>
      <c r="Z8" s="173">
        <f t="shared" si="5"/>
        <v>5971920</v>
      </c>
      <c r="AA8" s="173">
        <f t="shared" si="5"/>
        <v>5971920</v>
      </c>
      <c r="AB8" s="173">
        <f t="shared" si="5"/>
        <v>5971920</v>
      </c>
      <c r="AC8" s="173">
        <f t="shared" si="5"/>
        <v>5971920</v>
      </c>
      <c r="AD8" s="173">
        <f t="shared" si="5"/>
        <v>5971920</v>
      </c>
      <c r="AE8" s="173">
        <f t="shared" si="5"/>
        <v>5971920</v>
      </c>
      <c r="AF8" s="173">
        <f t="shared" si="5"/>
        <v>5971920</v>
      </c>
      <c r="AG8" s="173">
        <f t="shared" si="5"/>
        <v>5971920</v>
      </c>
    </row>
    <row r="9" spans="1:33" ht="15" customHeight="1">
      <c r="A9" s="42" t="s">
        <v>301</v>
      </c>
      <c r="B9" s="986">
        <f t="shared" si="0"/>
        <v>253995768</v>
      </c>
      <c r="C9" s="987"/>
      <c r="D9" s="11">
        <f>D4+D8</f>
        <v>6077088</v>
      </c>
      <c r="E9" s="11">
        <f>E4+E8</f>
        <v>6077088</v>
      </c>
      <c r="F9" s="11">
        <f t="shared" ref="F9:AG9" si="6">F4+F8</f>
        <v>7117776</v>
      </c>
      <c r="G9" s="11">
        <f t="shared" si="6"/>
        <v>7983324</v>
      </c>
      <c r="H9" s="11">
        <f t="shared" si="6"/>
        <v>8242524</v>
      </c>
      <c r="I9" s="11">
        <f t="shared" si="6"/>
        <v>8242524</v>
      </c>
      <c r="J9" s="11">
        <f t="shared" si="6"/>
        <v>8336640</v>
      </c>
      <c r="K9" s="11">
        <f t="shared" si="6"/>
        <v>8336640</v>
      </c>
      <c r="L9" s="11">
        <f t="shared" si="6"/>
        <v>8336640</v>
      </c>
      <c r="M9" s="11">
        <f t="shared" si="6"/>
        <v>8336640</v>
      </c>
      <c r="N9" s="11">
        <f t="shared" si="6"/>
        <v>8748060</v>
      </c>
      <c r="O9" s="11">
        <f t="shared" si="6"/>
        <v>8748060</v>
      </c>
      <c r="P9" s="11">
        <f t="shared" si="6"/>
        <v>8748060</v>
      </c>
      <c r="Q9" s="11">
        <f t="shared" si="6"/>
        <v>8823876</v>
      </c>
      <c r="R9" s="11">
        <f t="shared" si="6"/>
        <v>8823876</v>
      </c>
      <c r="S9" s="11">
        <f t="shared" si="6"/>
        <v>8823876</v>
      </c>
      <c r="T9" s="11">
        <f t="shared" si="6"/>
        <v>8823876</v>
      </c>
      <c r="U9" s="11">
        <f t="shared" si="6"/>
        <v>8823876</v>
      </c>
      <c r="V9" s="11">
        <f t="shared" si="6"/>
        <v>8823876</v>
      </c>
      <c r="W9" s="11">
        <f t="shared" si="6"/>
        <v>8823876</v>
      </c>
      <c r="X9" s="11">
        <f t="shared" si="6"/>
        <v>8823876</v>
      </c>
      <c r="Y9" s="11">
        <f t="shared" si="6"/>
        <v>8823876</v>
      </c>
      <c r="Z9" s="11">
        <f t="shared" si="6"/>
        <v>8823876</v>
      </c>
      <c r="AA9" s="11">
        <f t="shared" si="6"/>
        <v>8917992</v>
      </c>
      <c r="AB9" s="11">
        <f t="shared" si="6"/>
        <v>8917992</v>
      </c>
      <c r="AC9" s="11">
        <f t="shared" si="6"/>
        <v>8917992</v>
      </c>
      <c r="AD9" s="11">
        <f t="shared" si="6"/>
        <v>8917992</v>
      </c>
      <c r="AE9" s="11">
        <f t="shared" si="6"/>
        <v>8917992</v>
      </c>
      <c r="AF9" s="11">
        <f t="shared" si="6"/>
        <v>8917992</v>
      </c>
      <c r="AG9" s="11">
        <f t="shared" si="6"/>
        <v>8917992</v>
      </c>
    </row>
    <row r="10" spans="1:33" ht="15" customHeight="1" outlineLevel="1"/>
    <row r="11" spans="1:33" s="45" customFormat="1" ht="15" customHeight="1" outlineLevel="1">
      <c r="A11" s="44" t="s">
        <v>394</v>
      </c>
      <c r="B11" s="790" t="s">
        <v>279</v>
      </c>
      <c r="C11" s="160"/>
      <c r="D11" s="11">
        <f t="shared" ref="D11:AG11" si="7" xml:space="preserve"> SUM( D$12:D$23 )</f>
        <v>2177724</v>
      </c>
      <c r="E11" s="11">
        <f t="shared" si="7"/>
        <v>2177724</v>
      </c>
      <c r="F11" s="11">
        <f t="shared" si="7"/>
        <v>2177724</v>
      </c>
      <c r="G11" s="11">
        <f t="shared" si="7"/>
        <v>2271840</v>
      </c>
      <c r="H11" s="11">
        <f t="shared" si="7"/>
        <v>2466240</v>
      </c>
      <c r="I11" s="11">
        <f t="shared" si="7"/>
        <v>2466240</v>
      </c>
      <c r="J11" s="11">
        <f t="shared" si="7"/>
        <v>2560356</v>
      </c>
      <c r="K11" s="11">
        <f t="shared" si="7"/>
        <v>2560356</v>
      </c>
      <c r="L11" s="11">
        <f t="shared" si="7"/>
        <v>2560356</v>
      </c>
      <c r="M11" s="11">
        <f t="shared" si="7"/>
        <v>2560356</v>
      </c>
      <c r="N11" s="11">
        <f t="shared" si="7"/>
        <v>2851956</v>
      </c>
      <c r="O11" s="11">
        <f t="shared" si="7"/>
        <v>2851956</v>
      </c>
      <c r="P11" s="11">
        <f t="shared" si="7"/>
        <v>2851956</v>
      </c>
      <c r="Q11" s="11">
        <f t="shared" si="7"/>
        <v>2851956</v>
      </c>
      <c r="R11" s="11">
        <f t="shared" si="7"/>
        <v>2851956</v>
      </c>
      <c r="S11" s="11">
        <f t="shared" si="7"/>
        <v>2851956</v>
      </c>
      <c r="T11" s="11">
        <f t="shared" si="7"/>
        <v>2851956</v>
      </c>
      <c r="U11" s="11">
        <f t="shared" si="7"/>
        <v>2851956</v>
      </c>
      <c r="V11" s="11">
        <f t="shared" si="7"/>
        <v>2851956</v>
      </c>
      <c r="W11" s="11">
        <f t="shared" si="7"/>
        <v>2851956</v>
      </c>
      <c r="X11" s="11">
        <f t="shared" si="7"/>
        <v>2851956</v>
      </c>
      <c r="Y11" s="11">
        <f t="shared" si="7"/>
        <v>2851956</v>
      </c>
      <c r="Z11" s="11">
        <f t="shared" si="7"/>
        <v>2851956</v>
      </c>
      <c r="AA11" s="11">
        <f t="shared" si="7"/>
        <v>2946072</v>
      </c>
      <c r="AB11" s="11">
        <f t="shared" si="7"/>
        <v>2946072</v>
      </c>
      <c r="AC11" s="11">
        <f t="shared" si="7"/>
        <v>2946072</v>
      </c>
      <c r="AD11" s="11">
        <f t="shared" si="7"/>
        <v>2946072</v>
      </c>
      <c r="AE11" s="11">
        <f t="shared" si="7"/>
        <v>2946072</v>
      </c>
      <c r="AF11" s="11">
        <f t="shared" si="7"/>
        <v>2946072</v>
      </c>
      <c r="AG11" s="11">
        <f t="shared" si="7"/>
        <v>2946072</v>
      </c>
    </row>
    <row r="12" spans="1:33" ht="15" customHeight="1" outlineLevel="1">
      <c r="A12" s="41" t="str">
        <f>'Recursos Humanos 1'!D25:D25</f>
        <v>Superintendente</v>
      </c>
      <c r="B12" s="366">
        <v>30000</v>
      </c>
      <c r="C12" s="367">
        <f>B12*12</f>
        <v>360000</v>
      </c>
      <c r="D12" s="12">
        <f>$C12*'Recursos Humanos 1'!E25</f>
        <v>360000</v>
      </c>
      <c r="E12" s="12">
        <f>$C12*'Recursos Humanos 1'!F25</f>
        <v>360000</v>
      </c>
      <c r="F12" s="12">
        <f>$C12*'Recursos Humanos 1'!G25</f>
        <v>360000</v>
      </c>
      <c r="G12" s="12">
        <f>$C12*'Recursos Humanos 1'!H25</f>
        <v>360000</v>
      </c>
      <c r="H12" s="12">
        <f>$C12*'Recursos Humanos 1'!I25</f>
        <v>360000</v>
      </c>
      <c r="I12" s="12">
        <f>$C12*'Recursos Humanos 1'!J25</f>
        <v>360000</v>
      </c>
      <c r="J12" s="12">
        <f>$C12*'Recursos Humanos 1'!K25</f>
        <v>360000</v>
      </c>
      <c r="K12" s="12">
        <f>$C12*'Recursos Humanos 1'!L25</f>
        <v>360000</v>
      </c>
      <c r="L12" s="12">
        <f>$C12*'Recursos Humanos 1'!M25</f>
        <v>360000</v>
      </c>
      <c r="M12" s="12">
        <f>$C12*'Recursos Humanos 1'!N25</f>
        <v>360000</v>
      </c>
      <c r="N12" s="12">
        <f>$C12*'Recursos Humanos 1'!O25</f>
        <v>360000</v>
      </c>
      <c r="O12" s="12">
        <f>$C12*'Recursos Humanos 1'!P25</f>
        <v>360000</v>
      </c>
      <c r="P12" s="12">
        <f>$C12*'Recursos Humanos 1'!Q25</f>
        <v>360000</v>
      </c>
      <c r="Q12" s="12">
        <f>$C12*'Recursos Humanos 1'!R25</f>
        <v>360000</v>
      </c>
      <c r="R12" s="12">
        <f>$C12*'Recursos Humanos 1'!S25</f>
        <v>360000</v>
      </c>
      <c r="S12" s="12">
        <f>$C12*'Recursos Humanos 1'!T25</f>
        <v>360000</v>
      </c>
      <c r="T12" s="12">
        <f>$C12*'Recursos Humanos 1'!U25</f>
        <v>360000</v>
      </c>
      <c r="U12" s="12">
        <f>$C12*'Recursos Humanos 1'!V25</f>
        <v>360000</v>
      </c>
      <c r="V12" s="12">
        <f>$C12*'Recursos Humanos 1'!W25</f>
        <v>360000</v>
      </c>
      <c r="W12" s="12">
        <f>$C12*'Recursos Humanos 1'!X25</f>
        <v>360000</v>
      </c>
      <c r="X12" s="12">
        <f>$C12*'Recursos Humanos 1'!Y25</f>
        <v>360000</v>
      </c>
      <c r="Y12" s="12">
        <f>$C12*'Recursos Humanos 1'!Z25</f>
        <v>360000</v>
      </c>
      <c r="Z12" s="12">
        <f>$C12*'Recursos Humanos 1'!AA25</f>
        <v>360000</v>
      </c>
      <c r="AA12" s="12">
        <f>$C12*'Recursos Humanos 1'!AB25</f>
        <v>360000</v>
      </c>
      <c r="AB12" s="12">
        <f>$C12*'Recursos Humanos 1'!AC25</f>
        <v>360000</v>
      </c>
      <c r="AC12" s="12">
        <f>$C12*'Recursos Humanos 1'!AD25</f>
        <v>360000</v>
      </c>
      <c r="AD12" s="12">
        <f>$C12*'Recursos Humanos 1'!AE25</f>
        <v>360000</v>
      </c>
      <c r="AE12" s="12">
        <f>$C12*'Recursos Humanos 1'!AF25</f>
        <v>360000</v>
      </c>
      <c r="AF12" s="12">
        <f>$C12*'Recursos Humanos 1'!AG25</f>
        <v>360000</v>
      </c>
      <c r="AG12" s="12">
        <f>$C12*'Recursos Humanos 1'!AH25</f>
        <v>360000</v>
      </c>
    </row>
    <row r="13" spans="1:33" ht="15" customHeight="1" outlineLevel="1">
      <c r="A13" s="41" t="s">
        <v>121</v>
      </c>
      <c r="B13" s="366">
        <f>ROUND(VLOOKUP(A13,'Cargos e Salários'!$M$2:$P$44,4,0),0)</f>
        <v>18000</v>
      </c>
      <c r="C13" s="367">
        <f>B13*12</f>
        <v>216000</v>
      </c>
      <c r="D13" s="12">
        <f>$C13*'Recursos Humanos 1'!E26</f>
        <v>216000</v>
      </c>
      <c r="E13" s="12">
        <f>$C13*'Recursos Humanos 1'!F26</f>
        <v>216000</v>
      </c>
      <c r="F13" s="12">
        <f>$C13*'Recursos Humanos 1'!G26</f>
        <v>216000</v>
      </c>
      <c r="G13" s="12">
        <f>$C13*'Recursos Humanos 1'!H26</f>
        <v>216000</v>
      </c>
      <c r="H13" s="12">
        <f>$C13*'Recursos Humanos 1'!I26</f>
        <v>216000</v>
      </c>
      <c r="I13" s="12">
        <f>$C13*'Recursos Humanos 1'!J26</f>
        <v>216000</v>
      </c>
      <c r="J13" s="12">
        <f>$C13*'Recursos Humanos 1'!K26</f>
        <v>216000</v>
      </c>
      <c r="K13" s="12">
        <f>$C13*'Recursos Humanos 1'!L26</f>
        <v>216000</v>
      </c>
      <c r="L13" s="12">
        <f>$C13*'Recursos Humanos 1'!M26</f>
        <v>216000</v>
      </c>
      <c r="M13" s="12">
        <f>$C13*'Recursos Humanos 1'!N26</f>
        <v>216000</v>
      </c>
      <c r="N13" s="12">
        <f>$C13*'Recursos Humanos 1'!O26</f>
        <v>216000</v>
      </c>
      <c r="O13" s="12">
        <f>$C13*'Recursos Humanos 1'!P26</f>
        <v>216000</v>
      </c>
      <c r="P13" s="12">
        <f>$C13*'Recursos Humanos 1'!Q26</f>
        <v>216000</v>
      </c>
      <c r="Q13" s="12">
        <f>$C13*'Recursos Humanos 1'!R26</f>
        <v>216000</v>
      </c>
      <c r="R13" s="12">
        <f>$C13*'Recursos Humanos 1'!S26</f>
        <v>216000</v>
      </c>
      <c r="S13" s="12">
        <f>$C13*'Recursos Humanos 1'!T26</f>
        <v>216000</v>
      </c>
      <c r="T13" s="12">
        <f>$C13*'Recursos Humanos 1'!U26</f>
        <v>216000</v>
      </c>
      <c r="U13" s="12">
        <f>$C13*'Recursos Humanos 1'!V26</f>
        <v>216000</v>
      </c>
      <c r="V13" s="12">
        <f>$C13*'Recursos Humanos 1'!W26</f>
        <v>216000</v>
      </c>
      <c r="W13" s="12">
        <f>$C13*'Recursos Humanos 1'!X26</f>
        <v>216000</v>
      </c>
      <c r="X13" s="12">
        <f>$C13*'Recursos Humanos 1'!Y26</f>
        <v>216000</v>
      </c>
      <c r="Y13" s="12">
        <f>$C13*'Recursos Humanos 1'!Z26</f>
        <v>216000</v>
      </c>
      <c r="Z13" s="12">
        <f>$C13*'Recursos Humanos 1'!AA26</f>
        <v>216000</v>
      </c>
      <c r="AA13" s="12">
        <f>$C13*'Recursos Humanos 1'!AB26</f>
        <v>216000</v>
      </c>
      <c r="AB13" s="12">
        <f>$C13*'Recursos Humanos 1'!AC26</f>
        <v>216000</v>
      </c>
      <c r="AC13" s="12">
        <f>$C13*'Recursos Humanos 1'!AD26</f>
        <v>216000</v>
      </c>
      <c r="AD13" s="12">
        <f>$C13*'Recursos Humanos 1'!AE26</f>
        <v>216000</v>
      </c>
      <c r="AE13" s="12">
        <f>$C13*'Recursos Humanos 1'!AF26</f>
        <v>216000</v>
      </c>
      <c r="AF13" s="12">
        <f>$C13*'Recursos Humanos 1'!AG26</f>
        <v>216000</v>
      </c>
      <c r="AG13" s="12">
        <f>$C13*'Recursos Humanos 1'!AH26</f>
        <v>216000</v>
      </c>
    </row>
    <row r="14" spans="1:33" ht="15" customHeight="1" outlineLevel="1">
      <c r="A14" s="41" t="s">
        <v>707</v>
      </c>
      <c r="B14" s="366">
        <f>ROUND(VLOOKUP(A14,'Cargos e Salários'!$M$2:$P$44,4,0),0)</f>
        <v>18000</v>
      </c>
      <c r="C14" s="367">
        <f t="shared" ref="C14:C23" si="8">B14*12</f>
        <v>216000</v>
      </c>
      <c r="D14" s="12">
        <f>$C14*'Recursos Humanos 1'!E27</f>
        <v>216000</v>
      </c>
      <c r="E14" s="12">
        <f>$C14*'Recursos Humanos 1'!F27</f>
        <v>216000</v>
      </c>
      <c r="F14" s="12">
        <f>$C14*'Recursos Humanos 1'!G27</f>
        <v>216000</v>
      </c>
      <c r="G14" s="12">
        <f>$C14*'Recursos Humanos 1'!H27</f>
        <v>216000</v>
      </c>
      <c r="H14" s="12">
        <f>$C14*'Recursos Humanos 1'!I27</f>
        <v>216000</v>
      </c>
      <c r="I14" s="12">
        <f>$C14*'Recursos Humanos 1'!J27</f>
        <v>216000</v>
      </c>
      <c r="J14" s="12">
        <f>$C14*'Recursos Humanos 1'!K27</f>
        <v>216000</v>
      </c>
      <c r="K14" s="12">
        <f>$C14*'Recursos Humanos 1'!L27</f>
        <v>216000</v>
      </c>
      <c r="L14" s="12">
        <f>$C14*'Recursos Humanos 1'!M27</f>
        <v>216000</v>
      </c>
      <c r="M14" s="12">
        <f>$C14*'Recursos Humanos 1'!N27</f>
        <v>216000</v>
      </c>
      <c r="N14" s="12">
        <f>$C14*'Recursos Humanos 1'!O27</f>
        <v>216000</v>
      </c>
      <c r="O14" s="12">
        <f>$C14*'Recursos Humanos 1'!P27</f>
        <v>216000</v>
      </c>
      <c r="P14" s="12">
        <f>$C14*'Recursos Humanos 1'!Q27</f>
        <v>216000</v>
      </c>
      <c r="Q14" s="12">
        <f>$C14*'Recursos Humanos 1'!R27</f>
        <v>216000</v>
      </c>
      <c r="R14" s="12">
        <f>$C14*'Recursos Humanos 1'!S27</f>
        <v>216000</v>
      </c>
      <c r="S14" s="12">
        <f>$C14*'Recursos Humanos 1'!T27</f>
        <v>216000</v>
      </c>
      <c r="T14" s="12">
        <f>$C14*'Recursos Humanos 1'!U27</f>
        <v>216000</v>
      </c>
      <c r="U14" s="12">
        <f>$C14*'Recursos Humanos 1'!V27</f>
        <v>216000</v>
      </c>
      <c r="V14" s="12">
        <f>$C14*'Recursos Humanos 1'!W27</f>
        <v>216000</v>
      </c>
      <c r="W14" s="12">
        <f>$C14*'Recursos Humanos 1'!X27</f>
        <v>216000</v>
      </c>
      <c r="X14" s="12">
        <f>$C14*'Recursos Humanos 1'!Y27</f>
        <v>216000</v>
      </c>
      <c r="Y14" s="12">
        <f>$C14*'Recursos Humanos 1'!Z27</f>
        <v>216000</v>
      </c>
      <c r="Z14" s="12">
        <f>$C14*'Recursos Humanos 1'!AA27</f>
        <v>216000</v>
      </c>
      <c r="AA14" s="12">
        <f>$C14*'Recursos Humanos 1'!AB27</f>
        <v>216000</v>
      </c>
      <c r="AB14" s="12">
        <f>$C14*'Recursos Humanos 1'!AC27</f>
        <v>216000</v>
      </c>
      <c r="AC14" s="12">
        <f>$C14*'Recursos Humanos 1'!AD27</f>
        <v>216000</v>
      </c>
      <c r="AD14" s="12">
        <f>$C14*'Recursos Humanos 1'!AE27</f>
        <v>216000</v>
      </c>
      <c r="AE14" s="12">
        <f>$C14*'Recursos Humanos 1'!AF27</f>
        <v>216000</v>
      </c>
      <c r="AF14" s="12">
        <f>$C14*'Recursos Humanos 1'!AG27</f>
        <v>216000</v>
      </c>
      <c r="AG14" s="12">
        <f>$C14*'Recursos Humanos 1'!AH27</f>
        <v>216000</v>
      </c>
    </row>
    <row r="15" spans="1:33" ht="15" customHeight="1" outlineLevel="1">
      <c r="A15" s="41" t="s">
        <v>132</v>
      </c>
      <c r="B15" s="366">
        <f>ROUND(VLOOKUP(A15,'Cargos e Salários'!$M$2:$P$44,4,0),0)</f>
        <v>6318</v>
      </c>
      <c r="C15" s="367">
        <f>B15*12</f>
        <v>75816</v>
      </c>
      <c r="D15" s="12">
        <f>$C15*'Recursos Humanos 1'!E28</f>
        <v>379080</v>
      </c>
      <c r="E15" s="12">
        <f>$C15*'Recursos Humanos 1'!F28</f>
        <v>379080</v>
      </c>
      <c r="F15" s="12">
        <f>$C15*'Recursos Humanos 1'!G28</f>
        <v>379080</v>
      </c>
      <c r="G15" s="12">
        <f>$C15*'Recursos Humanos 1'!H28</f>
        <v>379080</v>
      </c>
      <c r="H15" s="12">
        <f>$C15*'Recursos Humanos 1'!I28</f>
        <v>379080</v>
      </c>
      <c r="I15" s="12">
        <f>$C15*'Recursos Humanos 1'!J28</f>
        <v>379080</v>
      </c>
      <c r="J15" s="12">
        <f>$C15*'Recursos Humanos 1'!K28</f>
        <v>379080</v>
      </c>
      <c r="K15" s="12">
        <f>$C15*'Recursos Humanos 1'!L28</f>
        <v>379080</v>
      </c>
      <c r="L15" s="12">
        <f>$C15*'Recursos Humanos 1'!M28</f>
        <v>379080</v>
      </c>
      <c r="M15" s="12">
        <f>$C15*'Recursos Humanos 1'!N28</f>
        <v>379080</v>
      </c>
      <c r="N15" s="12">
        <f>$C15*'Recursos Humanos 1'!O28</f>
        <v>379080</v>
      </c>
      <c r="O15" s="12">
        <f>$C15*'Recursos Humanos 1'!P28</f>
        <v>379080</v>
      </c>
      <c r="P15" s="12">
        <f>$C15*'Recursos Humanos 1'!Q28</f>
        <v>379080</v>
      </c>
      <c r="Q15" s="12">
        <f>$C15*'Recursos Humanos 1'!R28</f>
        <v>379080</v>
      </c>
      <c r="R15" s="12">
        <f>$C15*'Recursos Humanos 1'!S28</f>
        <v>379080</v>
      </c>
      <c r="S15" s="12">
        <f>$C15*'Recursos Humanos 1'!T28</f>
        <v>379080</v>
      </c>
      <c r="T15" s="12">
        <f>$C15*'Recursos Humanos 1'!U28</f>
        <v>379080</v>
      </c>
      <c r="U15" s="12">
        <f>$C15*'Recursos Humanos 1'!V28</f>
        <v>379080</v>
      </c>
      <c r="V15" s="12">
        <f>$C15*'Recursos Humanos 1'!W28</f>
        <v>379080</v>
      </c>
      <c r="W15" s="12">
        <f>$C15*'Recursos Humanos 1'!X28</f>
        <v>379080</v>
      </c>
      <c r="X15" s="12">
        <f>$C15*'Recursos Humanos 1'!Y28</f>
        <v>379080</v>
      </c>
      <c r="Y15" s="12">
        <f>$C15*'Recursos Humanos 1'!Z28</f>
        <v>379080</v>
      </c>
      <c r="Z15" s="12">
        <f>$C15*'Recursos Humanos 1'!AA28</f>
        <v>379080</v>
      </c>
      <c r="AA15" s="12">
        <f>$C15*'Recursos Humanos 1'!AB28</f>
        <v>379080</v>
      </c>
      <c r="AB15" s="12">
        <f>$C15*'Recursos Humanos 1'!AC28</f>
        <v>379080</v>
      </c>
      <c r="AC15" s="12">
        <f>$C15*'Recursos Humanos 1'!AD28</f>
        <v>379080</v>
      </c>
      <c r="AD15" s="12">
        <f>$C15*'Recursos Humanos 1'!AE28</f>
        <v>379080</v>
      </c>
      <c r="AE15" s="12">
        <f>$C15*'Recursos Humanos 1'!AF28</f>
        <v>379080</v>
      </c>
      <c r="AF15" s="12">
        <f>$C15*'Recursos Humanos 1'!AG28</f>
        <v>379080</v>
      </c>
      <c r="AG15" s="12">
        <f>$C15*'Recursos Humanos 1'!AH28</f>
        <v>379080</v>
      </c>
    </row>
    <row r="16" spans="1:33" ht="15" customHeight="1" outlineLevel="1">
      <c r="A16" s="41" t="s">
        <v>123</v>
      </c>
      <c r="B16" s="366">
        <f>ROUND(VLOOKUP(A16,'Cargos e Salários'!$M$2:$P$44,4,0),0)</f>
        <v>7843</v>
      </c>
      <c r="C16" s="367">
        <f t="shared" si="8"/>
        <v>94116</v>
      </c>
      <c r="D16" s="12">
        <f>$C16*'Recursos Humanos 1'!E29</f>
        <v>94116</v>
      </c>
      <c r="E16" s="12">
        <f>$C16*'Recursos Humanos 1'!F29</f>
        <v>94116</v>
      </c>
      <c r="F16" s="12">
        <f>$C16*'Recursos Humanos 1'!G29</f>
        <v>94116</v>
      </c>
      <c r="G16" s="12">
        <f>$C16*'Recursos Humanos 1'!H29</f>
        <v>188232</v>
      </c>
      <c r="H16" s="12">
        <f>$C16*'Recursos Humanos 1'!I29</f>
        <v>188232</v>
      </c>
      <c r="I16" s="12">
        <f>$C16*'Recursos Humanos 1'!J29</f>
        <v>188232</v>
      </c>
      <c r="J16" s="12">
        <f>$C16*'Recursos Humanos 1'!K29</f>
        <v>282348</v>
      </c>
      <c r="K16" s="12">
        <f>$C16*'Recursos Humanos 1'!L29</f>
        <v>282348</v>
      </c>
      <c r="L16" s="12">
        <f>$C16*'Recursos Humanos 1'!M29</f>
        <v>282348</v>
      </c>
      <c r="M16" s="12">
        <f>$C16*'Recursos Humanos 1'!N29</f>
        <v>282348</v>
      </c>
      <c r="N16" s="12">
        <f>$C16*'Recursos Humanos 1'!O29</f>
        <v>282348</v>
      </c>
      <c r="O16" s="12">
        <f>$C16*'Recursos Humanos 1'!P29</f>
        <v>282348</v>
      </c>
      <c r="P16" s="12">
        <f>$C16*'Recursos Humanos 1'!Q29</f>
        <v>282348</v>
      </c>
      <c r="Q16" s="12">
        <f>$C16*'Recursos Humanos 1'!R29</f>
        <v>282348</v>
      </c>
      <c r="R16" s="12">
        <f>$C16*'Recursos Humanos 1'!S29</f>
        <v>282348</v>
      </c>
      <c r="S16" s="12">
        <f>$C16*'Recursos Humanos 1'!T29</f>
        <v>282348</v>
      </c>
      <c r="T16" s="12">
        <f>$C16*'Recursos Humanos 1'!U29</f>
        <v>282348</v>
      </c>
      <c r="U16" s="12">
        <f>$C16*'Recursos Humanos 1'!V29</f>
        <v>282348</v>
      </c>
      <c r="V16" s="12">
        <f>$C16*'Recursos Humanos 1'!W29</f>
        <v>282348</v>
      </c>
      <c r="W16" s="12">
        <f>$C16*'Recursos Humanos 1'!X29</f>
        <v>282348</v>
      </c>
      <c r="X16" s="12">
        <f>$C16*'Recursos Humanos 1'!Y29</f>
        <v>282348</v>
      </c>
      <c r="Y16" s="12">
        <f>$C16*'Recursos Humanos 1'!Z29</f>
        <v>282348</v>
      </c>
      <c r="Z16" s="12">
        <f>$C16*'Recursos Humanos 1'!AA29</f>
        <v>282348</v>
      </c>
      <c r="AA16" s="12">
        <f>$C16*'Recursos Humanos 1'!AB29</f>
        <v>376464</v>
      </c>
      <c r="AB16" s="12">
        <f>$C16*'Recursos Humanos 1'!AC29</f>
        <v>376464</v>
      </c>
      <c r="AC16" s="12">
        <f>$C16*'Recursos Humanos 1'!AD29</f>
        <v>376464</v>
      </c>
      <c r="AD16" s="12">
        <f>$C16*'Recursos Humanos 1'!AE29</f>
        <v>376464</v>
      </c>
      <c r="AE16" s="12">
        <f>$C16*'Recursos Humanos 1'!AF29</f>
        <v>376464</v>
      </c>
      <c r="AF16" s="12">
        <f>$C16*'Recursos Humanos 1'!AG29</f>
        <v>376464</v>
      </c>
      <c r="AG16" s="12">
        <f>$C16*'Recursos Humanos 1'!AH29</f>
        <v>376464</v>
      </c>
    </row>
    <row r="17" spans="1:33" ht="15" customHeight="1" outlineLevel="1">
      <c r="A17" s="41" t="s">
        <v>115</v>
      </c>
      <c r="B17" s="366">
        <f>ROUND(VLOOKUP(A17,'Cargos e Salários'!$M$2:$P$44,4,0),0)</f>
        <v>4585</v>
      </c>
      <c r="C17" s="367">
        <f t="shared" si="8"/>
        <v>55020</v>
      </c>
      <c r="D17" s="12">
        <f>$C17*'Recursos Humanos 1'!E30</f>
        <v>165060</v>
      </c>
      <c r="E17" s="12">
        <f>$C17*'Recursos Humanos 1'!F30</f>
        <v>165060</v>
      </c>
      <c r="F17" s="12">
        <f>$C17*'Recursos Humanos 1'!G30</f>
        <v>165060</v>
      </c>
      <c r="G17" s="12">
        <f>$C17*'Recursos Humanos 1'!H30</f>
        <v>165060</v>
      </c>
      <c r="H17" s="12">
        <f>$C17*'Recursos Humanos 1'!I30</f>
        <v>165060</v>
      </c>
      <c r="I17" s="12">
        <f>$C17*'Recursos Humanos 1'!J30</f>
        <v>165060</v>
      </c>
      <c r="J17" s="12">
        <f>$C17*'Recursos Humanos 1'!K30</f>
        <v>165060</v>
      </c>
      <c r="K17" s="12">
        <f>$C17*'Recursos Humanos 1'!L30</f>
        <v>165060</v>
      </c>
      <c r="L17" s="12">
        <f>$C17*'Recursos Humanos 1'!M30</f>
        <v>165060</v>
      </c>
      <c r="M17" s="12">
        <f>$C17*'Recursos Humanos 1'!N30</f>
        <v>165060</v>
      </c>
      <c r="N17" s="12">
        <f>$C17*'Recursos Humanos 1'!O30</f>
        <v>165060</v>
      </c>
      <c r="O17" s="12">
        <f>$C17*'Recursos Humanos 1'!P30</f>
        <v>165060</v>
      </c>
      <c r="P17" s="12">
        <f>$C17*'Recursos Humanos 1'!Q30</f>
        <v>165060</v>
      </c>
      <c r="Q17" s="12">
        <f>$C17*'Recursos Humanos 1'!R30</f>
        <v>165060</v>
      </c>
      <c r="R17" s="12">
        <f>$C17*'Recursos Humanos 1'!S30</f>
        <v>165060</v>
      </c>
      <c r="S17" s="12">
        <f>$C17*'Recursos Humanos 1'!T30</f>
        <v>165060</v>
      </c>
      <c r="T17" s="12">
        <f>$C17*'Recursos Humanos 1'!U30</f>
        <v>165060</v>
      </c>
      <c r="U17" s="12">
        <f>$C17*'Recursos Humanos 1'!V30</f>
        <v>165060</v>
      </c>
      <c r="V17" s="12">
        <f>$C17*'Recursos Humanos 1'!W30</f>
        <v>165060</v>
      </c>
      <c r="W17" s="12">
        <f>$C17*'Recursos Humanos 1'!X30</f>
        <v>165060</v>
      </c>
      <c r="X17" s="12">
        <f>$C17*'Recursos Humanos 1'!Y30</f>
        <v>165060</v>
      </c>
      <c r="Y17" s="12">
        <f>$C17*'Recursos Humanos 1'!Z30</f>
        <v>165060</v>
      </c>
      <c r="Z17" s="12">
        <f>$C17*'Recursos Humanos 1'!AA30</f>
        <v>165060</v>
      </c>
      <c r="AA17" s="12">
        <f>$C17*'Recursos Humanos 1'!AB30</f>
        <v>165060</v>
      </c>
      <c r="AB17" s="12">
        <f>$C17*'Recursos Humanos 1'!AC30</f>
        <v>165060</v>
      </c>
      <c r="AC17" s="12">
        <f>$C17*'Recursos Humanos 1'!AD30</f>
        <v>165060</v>
      </c>
      <c r="AD17" s="12">
        <f>$C17*'Recursos Humanos 1'!AE30</f>
        <v>165060</v>
      </c>
      <c r="AE17" s="12">
        <f>$C17*'Recursos Humanos 1'!AF30</f>
        <v>165060</v>
      </c>
      <c r="AF17" s="12">
        <f>$C17*'Recursos Humanos 1'!AG30</f>
        <v>165060</v>
      </c>
      <c r="AG17" s="12">
        <f>$C17*'Recursos Humanos 1'!AH30</f>
        <v>165060</v>
      </c>
    </row>
    <row r="18" spans="1:33" ht="15" customHeight="1" outlineLevel="1">
      <c r="A18" s="41" t="s">
        <v>117</v>
      </c>
      <c r="B18" s="366">
        <f>ROUND(VLOOKUP(A18,'Cargos e Salários'!$M$2:$P$44,4,0),0)</f>
        <v>4585</v>
      </c>
      <c r="C18" s="367">
        <f t="shared" si="8"/>
        <v>55020</v>
      </c>
      <c r="D18" s="12">
        <f>$C18*'Recursos Humanos 1'!E31</f>
        <v>55020</v>
      </c>
      <c r="E18" s="12">
        <f>$C18*'Recursos Humanos 1'!F31</f>
        <v>55020</v>
      </c>
      <c r="F18" s="12">
        <f>$C18*'Recursos Humanos 1'!G31</f>
        <v>55020</v>
      </c>
      <c r="G18" s="12">
        <f>$C18*'Recursos Humanos 1'!H31</f>
        <v>55020</v>
      </c>
      <c r="H18" s="12">
        <f>$C18*'Recursos Humanos 1'!I31</f>
        <v>55020</v>
      </c>
      <c r="I18" s="12">
        <f>$C18*'Recursos Humanos 1'!J31</f>
        <v>55020</v>
      </c>
      <c r="J18" s="12">
        <f>$C18*'Recursos Humanos 1'!K31</f>
        <v>55020</v>
      </c>
      <c r="K18" s="12">
        <f>$C18*'Recursos Humanos 1'!L31</f>
        <v>55020</v>
      </c>
      <c r="L18" s="12">
        <f>$C18*'Recursos Humanos 1'!M31</f>
        <v>55020</v>
      </c>
      <c r="M18" s="12">
        <f>$C18*'Recursos Humanos 1'!N31</f>
        <v>55020</v>
      </c>
      <c r="N18" s="12">
        <f>$C18*'Recursos Humanos 1'!O31</f>
        <v>55020</v>
      </c>
      <c r="O18" s="12">
        <f>$C18*'Recursos Humanos 1'!P31</f>
        <v>55020</v>
      </c>
      <c r="P18" s="12">
        <f>$C18*'Recursos Humanos 1'!Q31</f>
        <v>55020</v>
      </c>
      <c r="Q18" s="12">
        <f>$C18*'Recursos Humanos 1'!R31</f>
        <v>55020</v>
      </c>
      <c r="R18" s="12">
        <f>$C18*'Recursos Humanos 1'!S31</f>
        <v>55020</v>
      </c>
      <c r="S18" s="12">
        <f>$C18*'Recursos Humanos 1'!T31</f>
        <v>55020</v>
      </c>
      <c r="T18" s="12">
        <f>$C18*'Recursos Humanos 1'!U31</f>
        <v>55020</v>
      </c>
      <c r="U18" s="12">
        <f>$C18*'Recursos Humanos 1'!V31</f>
        <v>55020</v>
      </c>
      <c r="V18" s="12">
        <f>$C18*'Recursos Humanos 1'!W31</f>
        <v>55020</v>
      </c>
      <c r="W18" s="12">
        <f>$C18*'Recursos Humanos 1'!X31</f>
        <v>55020</v>
      </c>
      <c r="X18" s="12">
        <f>$C18*'Recursos Humanos 1'!Y31</f>
        <v>55020</v>
      </c>
      <c r="Y18" s="12">
        <f>$C18*'Recursos Humanos 1'!Z31</f>
        <v>55020</v>
      </c>
      <c r="Z18" s="12">
        <f>$C18*'Recursos Humanos 1'!AA31</f>
        <v>55020</v>
      </c>
      <c r="AA18" s="12">
        <f>$C18*'Recursos Humanos 1'!AB31</f>
        <v>55020</v>
      </c>
      <c r="AB18" s="12">
        <f>$C18*'Recursos Humanos 1'!AC31</f>
        <v>55020</v>
      </c>
      <c r="AC18" s="12">
        <f>$C18*'Recursos Humanos 1'!AD31</f>
        <v>55020</v>
      </c>
      <c r="AD18" s="12">
        <f>$C18*'Recursos Humanos 1'!AE31</f>
        <v>55020</v>
      </c>
      <c r="AE18" s="12">
        <f>$C18*'Recursos Humanos 1'!AF31</f>
        <v>55020</v>
      </c>
      <c r="AF18" s="12">
        <f>$C18*'Recursos Humanos 1'!AG31</f>
        <v>55020</v>
      </c>
      <c r="AG18" s="12">
        <f>$C18*'Recursos Humanos 1'!AH31</f>
        <v>55020</v>
      </c>
    </row>
    <row r="19" spans="1:33" ht="15" customHeight="1" outlineLevel="1">
      <c r="A19" s="41" t="s">
        <v>141</v>
      </c>
      <c r="B19" s="366">
        <f>ROUND(VLOOKUP(A19,'Cargos e Salários'!$M$2:$P$44,4,0),0)</f>
        <v>8100</v>
      </c>
      <c r="C19" s="367">
        <f t="shared" si="8"/>
        <v>97200</v>
      </c>
      <c r="D19" s="12">
        <f>$C19*'Recursos Humanos 1'!E32</f>
        <v>97200</v>
      </c>
      <c r="E19" s="12">
        <f>$C19*'Recursos Humanos 1'!F32</f>
        <v>97200</v>
      </c>
      <c r="F19" s="12">
        <f>$C19*'Recursos Humanos 1'!G32</f>
        <v>97200</v>
      </c>
      <c r="G19" s="12">
        <f>$C19*'Recursos Humanos 1'!H32</f>
        <v>97200</v>
      </c>
      <c r="H19" s="12">
        <f>$C19*'Recursos Humanos 1'!I32</f>
        <v>97200</v>
      </c>
      <c r="I19" s="12">
        <f>$C19*'Recursos Humanos 1'!J32</f>
        <v>97200</v>
      </c>
      <c r="J19" s="12">
        <f>$C19*'Recursos Humanos 1'!K32</f>
        <v>97200</v>
      </c>
      <c r="K19" s="12">
        <f>$C19*'Recursos Humanos 1'!L32</f>
        <v>97200</v>
      </c>
      <c r="L19" s="12">
        <f>$C19*'Recursos Humanos 1'!M32</f>
        <v>97200</v>
      </c>
      <c r="M19" s="12">
        <f>$C19*'Recursos Humanos 1'!N32</f>
        <v>97200</v>
      </c>
      <c r="N19" s="12">
        <f>$C19*'Recursos Humanos 1'!O32</f>
        <v>194400</v>
      </c>
      <c r="O19" s="12">
        <f>$C19*'Recursos Humanos 1'!P32</f>
        <v>194400</v>
      </c>
      <c r="P19" s="12">
        <f>$C19*'Recursos Humanos 1'!Q32</f>
        <v>194400</v>
      </c>
      <c r="Q19" s="12">
        <f>$C19*'Recursos Humanos 1'!R32</f>
        <v>194400</v>
      </c>
      <c r="R19" s="12">
        <f>$C19*'Recursos Humanos 1'!S32</f>
        <v>194400</v>
      </c>
      <c r="S19" s="12">
        <f>$C19*'Recursos Humanos 1'!T32</f>
        <v>194400</v>
      </c>
      <c r="T19" s="12">
        <f>$C19*'Recursos Humanos 1'!U32</f>
        <v>194400</v>
      </c>
      <c r="U19" s="12">
        <f>$C19*'Recursos Humanos 1'!V32</f>
        <v>194400</v>
      </c>
      <c r="V19" s="12">
        <f>$C19*'Recursos Humanos 1'!W32</f>
        <v>194400</v>
      </c>
      <c r="W19" s="12">
        <f>$C19*'Recursos Humanos 1'!X32</f>
        <v>194400</v>
      </c>
      <c r="X19" s="12">
        <f>$C19*'Recursos Humanos 1'!Y32</f>
        <v>194400</v>
      </c>
      <c r="Y19" s="12">
        <f>$C19*'Recursos Humanos 1'!Z32</f>
        <v>194400</v>
      </c>
      <c r="Z19" s="12">
        <f>$C19*'Recursos Humanos 1'!AA32</f>
        <v>194400</v>
      </c>
      <c r="AA19" s="12">
        <f>$C19*'Recursos Humanos 1'!AB32</f>
        <v>194400</v>
      </c>
      <c r="AB19" s="12">
        <f>$C19*'Recursos Humanos 1'!AC32</f>
        <v>194400</v>
      </c>
      <c r="AC19" s="12">
        <f>$C19*'Recursos Humanos 1'!AD32</f>
        <v>194400</v>
      </c>
      <c r="AD19" s="12">
        <f>$C19*'Recursos Humanos 1'!AE32</f>
        <v>194400</v>
      </c>
      <c r="AE19" s="12">
        <f>$C19*'Recursos Humanos 1'!AF32</f>
        <v>194400</v>
      </c>
      <c r="AF19" s="12">
        <f>$C19*'Recursos Humanos 1'!AG32</f>
        <v>194400</v>
      </c>
      <c r="AG19" s="12">
        <f>$C19*'Recursos Humanos 1'!AH32</f>
        <v>194400</v>
      </c>
    </row>
    <row r="20" spans="1:33" ht="15" customHeight="1" outlineLevel="1">
      <c r="A20" s="41" t="s">
        <v>706</v>
      </c>
      <c r="B20" s="366">
        <f>ROUND(VLOOKUP(A20,'Cargos e Salários'!$M$2:$P$44,4,0),0)</f>
        <v>8100</v>
      </c>
      <c r="C20" s="367">
        <f t="shared" si="8"/>
        <v>97200</v>
      </c>
      <c r="D20" s="12">
        <f>$C20*'Recursos Humanos 1'!E33</f>
        <v>97200</v>
      </c>
      <c r="E20" s="12">
        <f>$C20*'Recursos Humanos 1'!F33</f>
        <v>97200</v>
      </c>
      <c r="F20" s="12">
        <f>$C20*'Recursos Humanos 1'!G33</f>
        <v>97200</v>
      </c>
      <c r="G20" s="12">
        <f>$C20*'Recursos Humanos 1'!H33</f>
        <v>97200</v>
      </c>
      <c r="H20" s="12">
        <f>$C20*'Recursos Humanos 1'!I33</f>
        <v>97200</v>
      </c>
      <c r="I20" s="12">
        <f>$C20*'Recursos Humanos 1'!J33</f>
        <v>97200</v>
      </c>
      <c r="J20" s="12">
        <f>$C20*'Recursos Humanos 1'!K33</f>
        <v>97200</v>
      </c>
      <c r="K20" s="12">
        <f>$C20*'Recursos Humanos 1'!L33</f>
        <v>97200</v>
      </c>
      <c r="L20" s="12">
        <f>$C20*'Recursos Humanos 1'!M33</f>
        <v>97200</v>
      </c>
      <c r="M20" s="12">
        <f>$C20*'Recursos Humanos 1'!N33</f>
        <v>97200</v>
      </c>
      <c r="N20" s="12">
        <f>$C20*'Recursos Humanos 1'!O33</f>
        <v>97200</v>
      </c>
      <c r="O20" s="12">
        <f>$C20*'Recursos Humanos 1'!P33</f>
        <v>97200</v>
      </c>
      <c r="P20" s="12">
        <f>$C20*'Recursos Humanos 1'!Q33</f>
        <v>97200</v>
      </c>
      <c r="Q20" s="12">
        <f>$C20*'Recursos Humanos 1'!R33</f>
        <v>97200</v>
      </c>
      <c r="R20" s="12">
        <f>$C20*'Recursos Humanos 1'!S33</f>
        <v>97200</v>
      </c>
      <c r="S20" s="12">
        <f>$C20*'Recursos Humanos 1'!T33</f>
        <v>97200</v>
      </c>
      <c r="T20" s="12">
        <f>$C20*'Recursos Humanos 1'!U33</f>
        <v>97200</v>
      </c>
      <c r="U20" s="12">
        <f>$C20*'Recursos Humanos 1'!V33</f>
        <v>97200</v>
      </c>
      <c r="V20" s="12">
        <f>$C20*'Recursos Humanos 1'!W33</f>
        <v>97200</v>
      </c>
      <c r="W20" s="12">
        <f>$C20*'Recursos Humanos 1'!X33</f>
        <v>97200</v>
      </c>
      <c r="X20" s="12">
        <f>$C20*'Recursos Humanos 1'!Y33</f>
        <v>97200</v>
      </c>
      <c r="Y20" s="12">
        <f>$C20*'Recursos Humanos 1'!Z33</f>
        <v>97200</v>
      </c>
      <c r="Z20" s="12">
        <f>$C20*'Recursos Humanos 1'!AA33</f>
        <v>97200</v>
      </c>
      <c r="AA20" s="12">
        <f>$C20*'Recursos Humanos 1'!AB33</f>
        <v>97200</v>
      </c>
      <c r="AB20" s="12">
        <f>$C20*'Recursos Humanos 1'!AC33</f>
        <v>97200</v>
      </c>
      <c r="AC20" s="12">
        <f>$C20*'Recursos Humanos 1'!AD33</f>
        <v>97200</v>
      </c>
      <c r="AD20" s="12">
        <f>$C20*'Recursos Humanos 1'!AE33</f>
        <v>97200</v>
      </c>
      <c r="AE20" s="12">
        <f>$C20*'Recursos Humanos 1'!AF33</f>
        <v>97200</v>
      </c>
      <c r="AF20" s="12">
        <f>$C20*'Recursos Humanos 1'!AG33</f>
        <v>97200</v>
      </c>
      <c r="AG20" s="12">
        <f>$C20*'Recursos Humanos 1'!AH33</f>
        <v>97200</v>
      </c>
    </row>
    <row r="21" spans="1:33" ht="15" customHeight="1" outlineLevel="1">
      <c r="A21" s="41" t="s">
        <v>118</v>
      </c>
      <c r="B21" s="366">
        <f>ROUND(VLOOKUP(A21,'Cargos e Salários'!$M$2:$P$44,4,0),0)</f>
        <v>5400</v>
      </c>
      <c r="C21" s="367">
        <f t="shared" si="8"/>
        <v>64800</v>
      </c>
      <c r="D21" s="12">
        <f>$C21*'Recursos Humanos 1'!E34</f>
        <v>129600</v>
      </c>
      <c r="E21" s="12">
        <f>$C21*'Recursos Humanos 1'!F34</f>
        <v>129600</v>
      </c>
      <c r="F21" s="12">
        <f>$C21*'Recursos Humanos 1'!G34</f>
        <v>129600</v>
      </c>
      <c r="G21" s="12">
        <f>$C21*'Recursos Humanos 1'!H34</f>
        <v>129600</v>
      </c>
      <c r="H21" s="12">
        <f>$C21*'Recursos Humanos 1'!I34</f>
        <v>194400</v>
      </c>
      <c r="I21" s="12">
        <f>$C21*'Recursos Humanos 1'!J34</f>
        <v>194400</v>
      </c>
      <c r="J21" s="12">
        <f>$C21*'Recursos Humanos 1'!K34</f>
        <v>194400</v>
      </c>
      <c r="K21" s="12">
        <f>$C21*'Recursos Humanos 1'!L34</f>
        <v>194400</v>
      </c>
      <c r="L21" s="12">
        <f>$C21*'Recursos Humanos 1'!M34</f>
        <v>194400</v>
      </c>
      <c r="M21" s="12">
        <f>$C21*'Recursos Humanos 1'!N34</f>
        <v>194400</v>
      </c>
      <c r="N21" s="12">
        <f>$C21*'Recursos Humanos 1'!O34</f>
        <v>259200</v>
      </c>
      <c r="O21" s="12">
        <f>$C21*'Recursos Humanos 1'!P34</f>
        <v>259200</v>
      </c>
      <c r="P21" s="12">
        <f>$C21*'Recursos Humanos 1'!Q34</f>
        <v>259200</v>
      </c>
      <c r="Q21" s="12">
        <f>$C21*'Recursos Humanos 1'!R34</f>
        <v>259200</v>
      </c>
      <c r="R21" s="12">
        <f>$C21*'Recursos Humanos 1'!S34</f>
        <v>259200</v>
      </c>
      <c r="S21" s="12">
        <f>$C21*'Recursos Humanos 1'!T34</f>
        <v>259200</v>
      </c>
      <c r="T21" s="12">
        <f>$C21*'Recursos Humanos 1'!U34</f>
        <v>259200</v>
      </c>
      <c r="U21" s="12">
        <f>$C21*'Recursos Humanos 1'!V34</f>
        <v>259200</v>
      </c>
      <c r="V21" s="12">
        <f>$C21*'Recursos Humanos 1'!W34</f>
        <v>259200</v>
      </c>
      <c r="W21" s="12">
        <f>$C21*'Recursos Humanos 1'!X34</f>
        <v>259200</v>
      </c>
      <c r="X21" s="12">
        <f>$C21*'Recursos Humanos 1'!Y34</f>
        <v>259200</v>
      </c>
      <c r="Y21" s="12">
        <f>$C21*'Recursos Humanos 1'!Z34</f>
        <v>259200</v>
      </c>
      <c r="Z21" s="12">
        <f>$C21*'Recursos Humanos 1'!AA34</f>
        <v>259200</v>
      </c>
      <c r="AA21" s="12">
        <f>$C21*'Recursos Humanos 1'!AB34</f>
        <v>259200</v>
      </c>
      <c r="AB21" s="12">
        <f>$C21*'Recursos Humanos 1'!AC34</f>
        <v>259200</v>
      </c>
      <c r="AC21" s="12">
        <f>$C21*'Recursos Humanos 1'!AD34</f>
        <v>259200</v>
      </c>
      <c r="AD21" s="12">
        <f>$C21*'Recursos Humanos 1'!AE34</f>
        <v>259200</v>
      </c>
      <c r="AE21" s="12">
        <f>$C21*'Recursos Humanos 1'!AF34</f>
        <v>259200</v>
      </c>
      <c r="AF21" s="12">
        <f>$C21*'Recursos Humanos 1'!AG34</f>
        <v>259200</v>
      </c>
      <c r="AG21" s="12">
        <f>$C21*'Recursos Humanos 1'!AH34</f>
        <v>259200</v>
      </c>
    </row>
    <row r="22" spans="1:33" ht="15" customHeight="1" outlineLevel="1">
      <c r="A22" s="41" t="s">
        <v>119</v>
      </c>
      <c r="B22" s="366">
        <f>ROUND(VLOOKUP(A22,'Cargos e Salários'!$M$2:$P$44,4,0),0)</f>
        <v>10800</v>
      </c>
      <c r="C22" s="367">
        <f t="shared" si="8"/>
        <v>129600</v>
      </c>
      <c r="D22" s="12">
        <f>$C22*'Recursos Humanos 1'!E35</f>
        <v>259200</v>
      </c>
      <c r="E22" s="12">
        <f>$C22*'Recursos Humanos 1'!F35</f>
        <v>259200</v>
      </c>
      <c r="F22" s="12">
        <f>$C22*'Recursos Humanos 1'!G35</f>
        <v>259200</v>
      </c>
      <c r="G22" s="12">
        <f>$C22*'Recursos Humanos 1'!H35</f>
        <v>259200</v>
      </c>
      <c r="H22" s="12">
        <f>$C22*'Recursos Humanos 1'!I35</f>
        <v>388800</v>
      </c>
      <c r="I22" s="12">
        <f>$C22*'Recursos Humanos 1'!J35</f>
        <v>388800</v>
      </c>
      <c r="J22" s="12">
        <f>$C22*'Recursos Humanos 1'!K35</f>
        <v>388800</v>
      </c>
      <c r="K22" s="12">
        <f>$C22*'Recursos Humanos 1'!L35</f>
        <v>388800</v>
      </c>
      <c r="L22" s="12">
        <f>$C22*'Recursos Humanos 1'!M35</f>
        <v>388800</v>
      </c>
      <c r="M22" s="12">
        <f>$C22*'Recursos Humanos 1'!N35</f>
        <v>388800</v>
      </c>
      <c r="N22" s="12">
        <f>$C22*'Recursos Humanos 1'!O35</f>
        <v>518400</v>
      </c>
      <c r="O22" s="12">
        <f>$C22*'Recursos Humanos 1'!P35</f>
        <v>518400</v>
      </c>
      <c r="P22" s="12">
        <f>$C22*'Recursos Humanos 1'!Q35</f>
        <v>518400</v>
      </c>
      <c r="Q22" s="12">
        <f>$C22*'Recursos Humanos 1'!R35</f>
        <v>518400</v>
      </c>
      <c r="R22" s="12">
        <f>$C22*'Recursos Humanos 1'!S35</f>
        <v>518400</v>
      </c>
      <c r="S22" s="12">
        <f>$C22*'Recursos Humanos 1'!T35</f>
        <v>518400</v>
      </c>
      <c r="T22" s="12">
        <f>$C22*'Recursos Humanos 1'!U35</f>
        <v>518400</v>
      </c>
      <c r="U22" s="12">
        <f>$C22*'Recursos Humanos 1'!V35</f>
        <v>518400</v>
      </c>
      <c r="V22" s="12">
        <f>$C22*'Recursos Humanos 1'!W35</f>
        <v>518400</v>
      </c>
      <c r="W22" s="12">
        <f>$C22*'Recursos Humanos 1'!X35</f>
        <v>518400</v>
      </c>
      <c r="X22" s="12">
        <f>$C22*'Recursos Humanos 1'!Y35</f>
        <v>518400</v>
      </c>
      <c r="Y22" s="12">
        <f>$C22*'Recursos Humanos 1'!Z35</f>
        <v>518400</v>
      </c>
      <c r="Z22" s="12">
        <f>$C22*'Recursos Humanos 1'!AA35</f>
        <v>518400</v>
      </c>
      <c r="AA22" s="12">
        <f>$C22*'Recursos Humanos 1'!AB35</f>
        <v>518400</v>
      </c>
      <c r="AB22" s="12">
        <f>$C22*'Recursos Humanos 1'!AC35</f>
        <v>518400</v>
      </c>
      <c r="AC22" s="12">
        <f>$C22*'Recursos Humanos 1'!AD35</f>
        <v>518400</v>
      </c>
      <c r="AD22" s="12">
        <f>$C22*'Recursos Humanos 1'!AE35</f>
        <v>518400</v>
      </c>
      <c r="AE22" s="12">
        <f>$C22*'Recursos Humanos 1'!AF35</f>
        <v>518400</v>
      </c>
      <c r="AF22" s="12">
        <f>$C22*'Recursos Humanos 1'!AG35</f>
        <v>518400</v>
      </c>
      <c r="AG22" s="12">
        <f>$C22*'Recursos Humanos 1'!AH35</f>
        <v>518400</v>
      </c>
    </row>
    <row r="23" spans="1:33" ht="15" customHeight="1" outlineLevel="1">
      <c r="A23" s="41" t="s">
        <v>271</v>
      </c>
      <c r="B23" s="366">
        <f>ROUND(VLOOKUP(A23,'Cargos e Salários'!$M$2:$P$44,4,0),0)</f>
        <v>9104</v>
      </c>
      <c r="C23" s="367">
        <f t="shared" si="8"/>
        <v>109248</v>
      </c>
      <c r="D23" s="12">
        <f>$C23*'Recursos Humanos 1'!E36</f>
        <v>109248</v>
      </c>
      <c r="E23" s="12">
        <f>$C23*'Recursos Humanos 1'!F36</f>
        <v>109248</v>
      </c>
      <c r="F23" s="12">
        <f>$C23*'Recursos Humanos 1'!G36</f>
        <v>109248</v>
      </c>
      <c r="G23" s="12">
        <f>$C23*'Recursos Humanos 1'!H36</f>
        <v>109248</v>
      </c>
      <c r="H23" s="12">
        <f>$C23*'Recursos Humanos 1'!I36</f>
        <v>109248</v>
      </c>
      <c r="I23" s="12">
        <f>$C23*'Recursos Humanos 1'!J36</f>
        <v>109248</v>
      </c>
      <c r="J23" s="12">
        <f>$C23*'Recursos Humanos 1'!K36</f>
        <v>109248</v>
      </c>
      <c r="K23" s="12">
        <f>$C23*'Recursos Humanos 1'!L36</f>
        <v>109248</v>
      </c>
      <c r="L23" s="12">
        <f>$C23*'Recursos Humanos 1'!M36</f>
        <v>109248</v>
      </c>
      <c r="M23" s="12">
        <f>$C23*'Recursos Humanos 1'!N36</f>
        <v>109248</v>
      </c>
      <c r="N23" s="12">
        <f>$C23*'Recursos Humanos 1'!O36</f>
        <v>109248</v>
      </c>
      <c r="O23" s="12">
        <f>$C23*'Recursos Humanos 1'!P36</f>
        <v>109248</v>
      </c>
      <c r="P23" s="12">
        <f>$C23*'Recursos Humanos 1'!Q36</f>
        <v>109248</v>
      </c>
      <c r="Q23" s="12">
        <f>$C23*'Recursos Humanos 1'!R36</f>
        <v>109248</v>
      </c>
      <c r="R23" s="12">
        <f>$C23*'Recursos Humanos 1'!S36</f>
        <v>109248</v>
      </c>
      <c r="S23" s="12">
        <f>$C23*'Recursos Humanos 1'!T36</f>
        <v>109248</v>
      </c>
      <c r="T23" s="12">
        <f>$C23*'Recursos Humanos 1'!U36</f>
        <v>109248</v>
      </c>
      <c r="U23" s="12">
        <f>$C23*'Recursos Humanos 1'!V36</f>
        <v>109248</v>
      </c>
      <c r="V23" s="12">
        <f>$C23*'Recursos Humanos 1'!W36</f>
        <v>109248</v>
      </c>
      <c r="W23" s="12">
        <f>$C23*'Recursos Humanos 1'!X36</f>
        <v>109248</v>
      </c>
      <c r="X23" s="12">
        <f>$C23*'Recursos Humanos 1'!Y36</f>
        <v>109248</v>
      </c>
      <c r="Y23" s="12">
        <f>$C23*'Recursos Humanos 1'!Z36</f>
        <v>109248</v>
      </c>
      <c r="Z23" s="12">
        <f>$C23*'Recursos Humanos 1'!AA36</f>
        <v>109248</v>
      </c>
      <c r="AA23" s="12">
        <f>$C23*'Recursos Humanos 1'!AB36</f>
        <v>109248</v>
      </c>
      <c r="AB23" s="12">
        <f>$C23*'Recursos Humanos 1'!AC36</f>
        <v>109248</v>
      </c>
      <c r="AC23" s="12">
        <f>$C23*'Recursos Humanos 1'!AD36</f>
        <v>109248</v>
      </c>
      <c r="AD23" s="12">
        <f>$C23*'Recursos Humanos 1'!AE36</f>
        <v>109248</v>
      </c>
      <c r="AE23" s="12">
        <f>$C23*'Recursos Humanos 1'!AF36</f>
        <v>109248</v>
      </c>
      <c r="AF23" s="12">
        <f>$C23*'Recursos Humanos 1'!AG36</f>
        <v>109248</v>
      </c>
      <c r="AG23" s="12">
        <f>$C23*'Recursos Humanos 1'!AH36</f>
        <v>109248</v>
      </c>
    </row>
    <row r="24" spans="1:33" ht="15" customHeight="1" outlineLevel="1">
      <c r="A24" s="46"/>
      <c r="B24" s="368"/>
      <c r="C24" s="369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s="45" customFormat="1" ht="15" customHeight="1" outlineLevel="1">
      <c r="A25" s="44" t="s">
        <v>124</v>
      </c>
      <c r="B25" s="791" t="s">
        <v>279</v>
      </c>
      <c r="C25" s="370"/>
      <c r="D25" s="11">
        <f t="shared" ref="D25:AG25" si="9" xml:space="preserve"> SUM( D$26:D$28 )</f>
        <v>771432</v>
      </c>
      <c r="E25" s="11">
        <f t="shared" si="9"/>
        <v>771432</v>
      </c>
      <c r="F25" s="11">
        <f t="shared" si="9"/>
        <v>771432</v>
      </c>
      <c r="G25" s="11">
        <f t="shared" si="9"/>
        <v>1542864</v>
      </c>
      <c r="H25" s="11">
        <f t="shared" si="9"/>
        <v>1542864</v>
      </c>
      <c r="I25" s="11">
        <f t="shared" si="9"/>
        <v>1542864</v>
      </c>
      <c r="J25" s="11">
        <f t="shared" si="9"/>
        <v>1542864</v>
      </c>
      <c r="K25" s="11">
        <f t="shared" si="9"/>
        <v>1542864</v>
      </c>
      <c r="L25" s="11">
        <f t="shared" si="9"/>
        <v>1542864</v>
      </c>
      <c r="M25" s="11">
        <f t="shared" si="9"/>
        <v>1542864</v>
      </c>
      <c r="N25" s="11">
        <f t="shared" si="9"/>
        <v>1542864</v>
      </c>
      <c r="O25" s="11">
        <f t="shared" si="9"/>
        <v>1542864</v>
      </c>
      <c r="P25" s="11">
        <f t="shared" si="9"/>
        <v>1542864</v>
      </c>
      <c r="Q25" s="11">
        <f t="shared" si="9"/>
        <v>1542864</v>
      </c>
      <c r="R25" s="11">
        <f t="shared" si="9"/>
        <v>1542864</v>
      </c>
      <c r="S25" s="11">
        <f t="shared" si="9"/>
        <v>1542864</v>
      </c>
      <c r="T25" s="11">
        <f t="shared" si="9"/>
        <v>1542864</v>
      </c>
      <c r="U25" s="11">
        <f t="shared" si="9"/>
        <v>1542864</v>
      </c>
      <c r="V25" s="11">
        <f t="shared" si="9"/>
        <v>1542864</v>
      </c>
      <c r="W25" s="11">
        <f t="shared" si="9"/>
        <v>1542864</v>
      </c>
      <c r="X25" s="11">
        <f t="shared" si="9"/>
        <v>1542864</v>
      </c>
      <c r="Y25" s="11">
        <f t="shared" si="9"/>
        <v>1542864</v>
      </c>
      <c r="Z25" s="11">
        <f t="shared" si="9"/>
        <v>1542864</v>
      </c>
      <c r="AA25" s="11">
        <f t="shared" si="9"/>
        <v>1542864</v>
      </c>
      <c r="AB25" s="11">
        <f t="shared" si="9"/>
        <v>1542864</v>
      </c>
      <c r="AC25" s="11">
        <f t="shared" si="9"/>
        <v>1542864</v>
      </c>
      <c r="AD25" s="11">
        <f t="shared" si="9"/>
        <v>1542864</v>
      </c>
      <c r="AE25" s="11">
        <f t="shared" si="9"/>
        <v>1542864</v>
      </c>
      <c r="AF25" s="11">
        <f t="shared" si="9"/>
        <v>1542864</v>
      </c>
      <c r="AG25" s="11">
        <f t="shared" si="9"/>
        <v>1542864</v>
      </c>
    </row>
    <row r="26" spans="1:33" ht="15" customHeight="1" outlineLevel="1">
      <c r="A26" s="41" t="s">
        <v>272</v>
      </c>
      <c r="B26" s="366">
        <f>ROUND(VLOOKUP(A26,'Cargos e Salários'!$M$2:$P$44,4,0),0)</f>
        <v>18000</v>
      </c>
      <c r="C26" s="371">
        <f>B26*12</f>
        <v>216000</v>
      </c>
      <c r="D26" s="12">
        <f>$C$26*'Recursos Humanos 1'!E39</f>
        <v>432000</v>
      </c>
      <c r="E26" s="12">
        <f>$C$26*'Recursos Humanos 1'!F39</f>
        <v>432000</v>
      </c>
      <c r="F26" s="12">
        <f>$C$26*'Recursos Humanos 1'!G39</f>
        <v>432000</v>
      </c>
      <c r="G26" s="12">
        <f>$C$26*'Recursos Humanos 1'!H39</f>
        <v>864000</v>
      </c>
      <c r="H26" s="12">
        <f>$C$26*'Recursos Humanos 1'!I39</f>
        <v>864000</v>
      </c>
      <c r="I26" s="12">
        <f>$C$26*'Recursos Humanos 1'!J39</f>
        <v>864000</v>
      </c>
      <c r="J26" s="12">
        <f>$C$26*'Recursos Humanos 1'!K39</f>
        <v>864000</v>
      </c>
      <c r="K26" s="12">
        <f>$C$26*'Recursos Humanos 1'!L39</f>
        <v>864000</v>
      </c>
      <c r="L26" s="12">
        <f>$C$26*'Recursos Humanos 1'!M39</f>
        <v>864000</v>
      </c>
      <c r="M26" s="12">
        <f>$C$26*'Recursos Humanos 1'!N39</f>
        <v>864000</v>
      </c>
      <c r="N26" s="12">
        <f>$C$26*'Recursos Humanos 1'!O39</f>
        <v>864000</v>
      </c>
      <c r="O26" s="12">
        <f>$C$26*'Recursos Humanos 1'!P39</f>
        <v>864000</v>
      </c>
      <c r="P26" s="12">
        <f>$C$26*'Recursos Humanos 1'!Q39</f>
        <v>864000</v>
      </c>
      <c r="Q26" s="12">
        <f>$C$26*'Recursos Humanos 1'!R39</f>
        <v>864000</v>
      </c>
      <c r="R26" s="12">
        <f>$C$26*'Recursos Humanos 1'!S39</f>
        <v>864000</v>
      </c>
      <c r="S26" s="12">
        <f>$C$26*'Recursos Humanos 1'!T39</f>
        <v>864000</v>
      </c>
      <c r="T26" s="12">
        <f>$C$26*'Recursos Humanos 1'!U39</f>
        <v>864000</v>
      </c>
      <c r="U26" s="12">
        <f>$C$26*'Recursos Humanos 1'!V39</f>
        <v>864000</v>
      </c>
      <c r="V26" s="12">
        <f>$C$26*'Recursos Humanos 1'!W39</f>
        <v>864000</v>
      </c>
      <c r="W26" s="12">
        <f>$C$26*'Recursos Humanos 1'!X39</f>
        <v>864000</v>
      </c>
      <c r="X26" s="12">
        <f>$C$26*'Recursos Humanos 1'!Y39</f>
        <v>864000</v>
      </c>
      <c r="Y26" s="12">
        <f>$C$26*'Recursos Humanos 1'!Z39</f>
        <v>864000</v>
      </c>
      <c r="Z26" s="12">
        <f>$C$26*'Recursos Humanos 1'!AA39</f>
        <v>864000</v>
      </c>
      <c r="AA26" s="12">
        <f>$C$26*'Recursos Humanos 1'!AB39</f>
        <v>864000</v>
      </c>
      <c r="AB26" s="12">
        <f>$C$26*'Recursos Humanos 1'!AC39</f>
        <v>864000</v>
      </c>
      <c r="AC26" s="12">
        <f>$C$26*'Recursos Humanos 1'!AD39</f>
        <v>864000</v>
      </c>
      <c r="AD26" s="12">
        <f>$C$26*'Recursos Humanos 1'!AE39</f>
        <v>864000</v>
      </c>
      <c r="AE26" s="12">
        <f>$C$26*'Recursos Humanos 1'!AF39</f>
        <v>864000</v>
      </c>
      <c r="AF26" s="12">
        <f>$C$26*'Recursos Humanos 1'!AG39</f>
        <v>864000</v>
      </c>
      <c r="AG26" s="12">
        <f>$C$26*'Recursos Humanos 1'!AH39</f>
        <v>864000</v>
      </c>
    </row>
    <row r="27" spans="1:33" ht="15" customHeight="1" outlineLevel="1">
      <c r="A27" s="41" t="s">
        <v>125</v>
      </c>
      <c r="B27" s="366">
        <f>ROUND(VLOOKUP(A27,'Cargos e Salários'!$M$2:$P$44,4,0),0)</f>
        <v>7843</v>
      </c>
      <c r="C27" s="371">
        <f>B27*12</f>
        <v>94116</v>
      </c>
      <c r="D27" s="12">
        <f>$C27*'Recursos Humanos 1'!E40</f>
        <v>188232</v>
      </c>
      <c r="E27" s="12">
        <f>$C27*'Recursos Humanos 1'!F40</f>
        <v>188232</v>
      </c>
      <c r="F27" s="12">
        <f>$C27*'Recursos Humanos 1'!G40</f>
        <v>188232</v>
      </c>
      <c r="G27" s="12">
        <f>$C27*'Recursos Humanos 1'!H40</f>
        <v>376464</v>
      </c>
      <c r="H27" s="12">
        <f>$C27*'Recursos Humanos 1'!I40</f>
        <v>376464</v>
      </c>
      <c r="I27" s="12">
        <f>$C27*'Recursos Humanos 1'!J40</f>
        <v>376464</v>
      </c>
      <c r="J27" s="12">
        <f>$C27*'Recursos Humanos 1'!K40</f>
        <v>376464</v>
      </c>
      <c r="K27" s="12">
        <f>$C27*'Recursos Humanos 1'!L40</f>
        <v>376464</v>
      </c>
      <c r="L27" s="12">
        <f>$C27*'Recursos Humanos 1'!M40</f>
        <v>376464</v>
      </c>
      <c r="M27" s="12">
        <f>$C27*'Recursos Humanos 1'!N40</f>
        <v>376464</v>
      </c>
      <c r="N27" s="12">
        <f>$C27*'Recursos Humanos 1'!O40</f>
        <v>376464</v>
      </c>
      <c r="O27" s="12">
        <f>$C27*'Recursos Humanos 1'!P40</f>
        <v>376464</v>
      </c>
      <c r="P27" s="12">
        <f>$C27*'Recursos Humanos 1'!Q40</f>
        <v>376464</v>
      </c>
      <c r="Q27" s="12">
        <f>$C27*'Recursos Humanos 1'!R40</f>
        <v>376464</v>
      </c>
      <c r="R27" s="12">
        <f>$C27*'Recursos Humanos 1'!S40</f>
        <v>376464</v>
      </c>
      <c r="S27" s="12">
        <f>$C27*'Recursos Humanos 1'!T40</f>
        <v>376464</v>
      </c>
      <c r="T27" s="12">
        <f>$C27*'Recursos Humanos 1'!U40</f>
        <v>376464</v>
      </c>
      <c r="U27" s="12">
        <f>$C27*'Recursos Humanos 1'!V40</f>
        <v>376464</v>
      </c>
      <c r="V27" s="12">
        <f>$C27*'Recursos Humanos 1'!W40</f>
        <v>376464</v>
      </c>
      <c r="W27" s="12">
        <f>$C27*'Recursos Humanos 1'!X40</f>
        <v>376464</v>
      </c>
      <c r="X27" s="12">
        <f>$C27*'Recursos Humanos 1'!Y40</f>
        <v>376464</v>
      </c>
      <c r="Y27" s="12">
        <f>$C27*'Recursos Humanos 1'!Z40</f>
        <v>376464</v>
      </c>
      <c r="Z27" s="12">
        <f>$C27*'Recursos Humanos 1'!AA40</f>
        <v>376464</v>
      </c>
      <c r="AA27" s="12">
        <f>$C27*'Recursos Humanos 1'!AB40</f>
        <v>376464</v>
      </c>
      <c r="AB27" s="12">
        <f>$C27*'Recursos Humanos 1'!AC40</f>
        <v>376464</v>
      </c>
      <c r="AC27" s="12">
        <f>$C27*'Recursos Humanos 1'!AD40</f>
        <v>376464</v>
      </c>
      <c r="AD27" s="12">
        <f>$C27*'Recursos Humanos 1'!AE40</f>
        <v>376464</v>
      </c>
      <c r="AE27" s="12">
        <f>$C27*'Recursos Humanos 1'!AF40</f>
        <v>376464</v>
      </c>
      <c r="AF27" s="12">
        <f>$C27*'Recursos Humanos 1'!AG40</f>
        <v>376464</v>
      </c>
      <c r="AG27" s="12">
        <f>$C27*'Recursos Humanos 1'!AH40</f>
        <v>376464</v>
      </c>
    </row>
    <row r="28" spans="1:33" ht="15" customHeight="1" outlineLevel="1">
      <c r="A28" s="41" t="s">
        <v>126</v>
      </c>
      <c r="B28" s="366">
        <f>ROUND(VLOOKUP(A28,'Cargos e Salários'!$M$2:$P$44,4,0),0)</f>
        <v>12600</v>
      </c>
      <c r="C28" s="371">
        <f>B28*12</f>
        <v>151200</v>
      </c>
      <c r="D28" s="12">
        <f>$C28*'Recursos Humanos 1'!E41</f>
        <v>151200</v>
      </c>
      <c r="E28" s="12">
        <f>$C28*'Recursos Humanos 1'!F41</f>
        <v>151200</v>
      </c>
      <c r="F28" s="12">
        <f>$C28*'Recursos Humanos 1'!G41</f>
        <v>151200</v>
      </c>
      <c r="G28" s="12">
        <f>$C28*'Recursos Humanos 1'!H41</f>
        <v>302400</v>
      </c>
      <c r="H28" s="12">
        <f>$C28*'Recursos Humanos 1'!I41</f>
        <v>302400</v>
      </c>
      <c r="I28" s="12">
        <f>$C28*'Recursos Humanos 1'!J41</f>
        <v>302400</v>
      </c>
      <c r="J28" s="12">
        <f>$C28*'Recursos Humanos 1'!K41</f>
        <v>302400</v>
      </c>
      <c r="K28" s="12">
        <f>$C28*'Recursos Humanos 1'!L41</f>
        <v>302400</v>
      </c>
      <c r="L28" s="12">
        <f>$C28*'Recursos Humanos 1'!M41</f>
        <v>302400</v>
      </c>
      <c r="M28" s="12">
        <f>$C28*'Recursos Humanos 1'!N41</f>
        <v>302400</v>
      </c>
      <c r="N28" s="12">
        <f>$C28*'Recursos Humanos 1'!O41</f>
        <v>302400</v>
      </c>
      <c r="O28" s="12">
        <f>$C28*'Recursos Humanos 1'!P41</f>
        <v>302400</v>
      </c>
      <c r="P28" s="12">
        <f>$C28*'Recursos Humanos 1'!Q41</f>
        <v>302400</v>
      </c>
      <c r="Q28" s="12">
        <f>$C28*'Recursos Humanos 1'!R41</f>
        <v>302400</v>
      </c>
      <c r="R28" s="12">
        <f>$C28*'Recursos Humanos 1'!S41</f>
        <v>302400</v>
      </c>
      <c r="S28" s="12">
        <f>$C28*'Recursos Humanos 1'!T41</f>
        <v>302400</v>
      </c>
      <c r="T28" s="12">
        <f>$C28*'Recursos Humanos 1'!U41</f>
        <v>302400</v>
      </c>
      <c r="U28" s="12">
        <f>$C28*'Recursos Humanos 1'!V41</f>
        <v>302400</v>
      </c>
      <c r="V28" s="12">
        <f>$C28*'Recursos Humanos 1'!W41</f>
        <v>302400</v>
      </c>
      <c r="W28" s="12">
        <f>$C28*'Recursos Humanos 1'!X41</f>
        <v>302400</v>
      </c>
      <c r="X28" s="12">
        <f>$C28*'Recursos Humanos 1'!Y41</f>
        <v>302400</v>
      </c>
      <c r="Y28" s="12">
        <f>$C28*'Recursos Humanos 1'!Z41</f>
        <v>302400</v>
      </c>
      <c r="Z28" s="12">
        <f>$C28*'Recursos Humanos 1'!AA41</f>
        <v>302400</v>
      </c>
      <c r="AA28" s="12">
        <f>$C28*'Recursos Humanos 1'!AB41</f>
        <v>302400</v>
      </c>
      <c r="AB28" s="12">
        <f>$C28*'Recursos Humanos 1'!AC41</f>
        <v>302400</v>
      </c>
      <c r="AC28" s="12">
        <f>$C28*'Recursos Humanos 1'!AD41</f>
        <v>302400</v>
      </c>
      <c r="AD28" s="12">
        <f>$C28*'Recursos Humanos 1'!AE41</f>
        <v>302400</v>
      </c>
      <c r="AE28" s="12">
        <f>$C28*'Recursos Humanos 1'!AF41</f>
        <v>302400</v>
      </c>
      <c r="AF28" s="12">
        <f>$C28*'Recursos Humanos 1'!AG41</f>
        <v>302400</v>
      </c>
      <c r="AG28" s="12">
        <f>$C28*'Recursos Humanos 1'!AH41</f>
        <v>302400</v>
      </c>
    </row>
    <row r="29" spans="1:33" ht="15" customHeight="1" outlineLevel="1">
      <c r="A29" s="46"/>
      <c r="B29" s="368"/>
      <c r="C29" s="369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s="45" customFormat="1" ht="15" customHeight="1" outlineLevel="1">
      <c r="A30" s="42" t="s">
        <v>72</v>
      </c>
      <c r="B30" s="791" t="s">
        <v>279</v>
      </c>
      <c r="C30" s="372"/>
      <c r="D30" s="11">
        <f t="shared" ref="D30:AG30" si="10" xml:space="preserve"> SUM( D$31:D$35 )</f>
        <v>1204008</v>
      </c>
      <c r="E30" s="11">
        <f t="shared" si="10"/>
        <v>1204008</v>
      </c>
      <c r="F30" s="11">
        <f t="shared" si="10"/>
        <v>1204008</v>
      </c>
      <c r="G30" s="11">
        <f t="shared" si="10"/>
        <v>1204008</v>
      </c>
      <c r="H30" s="11">
        <f t="shared" si="10"/>
        <v>1204008</v>
      </c>
      <c r="I30" s="11">
        <f t="shared" si="10"/>
        <v>1204008</v>
      </c>
      <c r="J30" s="11">
        <f t="shared" si="10"/>
        <v>1204008</v>
      </c>
      <c r="K30" s="11">
        <f t="shared" si="10"/>
        <v>1204008</v>
      </c>
      <c r="L30" s="11">
        <f t="shared" si="10"/>
        <v>1204008</v>
      </c>
      <c r="M30" s="11">
        <f t="shared" si="10"/>
        <v>1204008</v>
      </c>
      <c r="N30" s="11">
        <f t="shared" si="10"/>
        <v>1259028</v>
      </c>
      <c r="O30" s="11">
        <f t="shared" si="10"/>
        <v>1259028</v>
      </c>
      <c r="P30" s="11">
        <f t="shared" si="10"/>
        <v>1259028</v>
      </c>
      <c r="Q30" s="11">
        <f t="shared" si="10"/>
        <v>1334844</v>
      </c>
      <c r="R30" s="11">
        <f t="shared" si="10"/>
        <v>1334844</v>
      </c>
      <c r="S30" s="11">
        <f t="shared" si="10"/>
        <v>1334844</v>
      </c>
      <c r="T30" s="11">
        <f t="shared" si="10"/>
        <v>1334844</v>
      </c>
      <c r="U30" s="11">
        <f t="shared" si="10"/>
        <v>1334844</v>
      </c>
      <c r="V30" s="11">
        <f t="shared" si="10"/>
        <v>1334844</v>
      </c>
      <c r="W30" s="11">
        <f t="shared" si="10"/>
        <v>1334844</v>
      </c>
      <c r="X30" s="11">
        <f t="shared" si="10"/>
        <v>1334844</v>
      </c>
      <c r="Y30" s="11">
        <f t="shared" si="10"/>
        <v>1334844</v>
      </c>
      <c r="Z30" s="11">
        <f t="shared" si="10"/>
        <v>1334844</v>
      </c>
      <c r="AA30" s="11">
        <f t="shared" si="10"/>
        <v>1334844</v>
      </c>
      <c r="AB30" s="11">
        <f t="shared" si="10"/>
        <v>1334844</v>
      </c>
      <c r="AC30" s="11">
        <f t="shared" si="10"/>
        <v>1334844</v>
      </c>
      <c r="AD30" s="11">
        <f t="shared" si="10"/>
        <v>1334844</v>
      </c>
      <c r="AE30" s="11">
        <f t="shared" si="10"/>
        <v>1334844</v>
      </c>
      <c r="AF30" s="11">
        <f t="shared" si="10"/>
        <v>1334844</v>
      </c>
      <c r="AG30" s="11">
        <f t="shared" si="10"/>
        <v>1334844</v>
      </c>
    </row>
    <row r="31" spans="1:33" ht="15" customHeight="1" outlineLevel="1">
      <c r="A31" s="41" t="str">
        <f>'Recursos Humanos 1'!D44</f>
        <v>Coordenador de faturamento, cobrança e arrecadação</v>
      </c>
      <c r="B31" s="366">
        <f>ROUND(VLOOKUP(A31,'Cargos e Salários'!$M$2:$P$44,4,0),0)</f>
        <v>9000</v>
      </c>
      <c r="C31" s="371">
        <f t="shared" ref="C31:C35" si="11">B31*12</f>
        <v>108000</v>
      </c>
      <c r="D31" s="12">
        <f>$C31*'Recursos Humanos 1'!E44</f>
        <v>108000</v>
      </c>
      <c r="E31" s="12">
        <f>$C31*'Recursos Humanos 1'!F44</f>
        <v>108000</v>
      </c>
      <c r="F31" s="12">
        <f>$C31*'Recursos Humanos 1'!G44</f>
        <v>108000</v>
      </c>
      <c r="G31" s="12">
        <f>$C31*'Recursos Humanos 1'!H44</f>
        <v>108000</v>
      </c>
      <c r="H31" s="12">
        <f>$C31*'Recursos Humanos 1'!I44</f>
        <v>108000</v>
      </c>
      <c r="I31" s="12">
        <f>$C31*'Recursos Humanos 1'!J44</f>
        <v>108000</v>
      </c>
      <c r="J31" s="12">
        <f>$C31*'Recursos Humanos 1'!K44</f>
        <v>108000</v>
      </c>
      <c r="K31" s="12">
        <f>$C31*'Recursos Humanos 1'!L44</f>
        <v>108000</v>
      </c>
      <c r="L31" s="12">
        <f>$C31*'Recursos Humanos 1'!M44</f>
        <v>108000</v>
      </c>
      <c r="M31" s="12">
        <f>$C31*'Recursos Humanos 1'!N44</f>
        <v>108000</v>
      </c>
      <c r="N31" s="12">
        <f>$C31*'Recursos Humanos 1'!O44</f>
        <v>108000</v>
      </c>
      <c r="O31" s="12">
        <f>$C31*'Recursos Humanos 1'!P44</f>
        <v>108000</v>
      </c>
      <c r="P31" s="12">
        <f>$C31*'Recursos Humanos 1'!Q44</f>
        <v>108000</v>
      </c>
      <c r="Q31" s="12">
        <f>$C31*'Recursos Humanos 1'!R44</f>
        <v>108000</v>
      </c>
      <c r="R31" s="12">
        <f>$C31*'Recursos Humanos 1'!S44</f>
        <v>108000</v>
      </c>
      <c r="S31" s="12">
        <f>$C31*'Recursos Humanos 1'!T44</f>
        <v>108000</v>
      </c>
      <c r="T31" s="12">
        <f>$C31*'Recursos Humanos 1'!U44</f>
        <v>108000</v>
      </c>
      <c r="U31" s="12">
        <f>$C31*'Recursos Humanos 1'!V44</f>
        <v>108000</v>
      </c>
      <c r="V31" s="12">
        <f>$C31*'Recursos Humanos 1'!W44</f>
        <v>108000</v>
      </c>
      <c r="W31" s="12">
        <f>$C31*'Recursos Humanos 1'!X44</f>
        <v>108000</v>
      </c>
      <c r="X31" s="12">
        <f>$C31*'Recursos Humanos 1'!Y44</f>
        <v>108000</v>
      </c>
      <c r="Y31" s="12">
        <f>$C31*'Recursos Humanos 1'!R44</f>
        <v>108000</v>
      </c>
      <c r="Z31" s="12">
        <f>$C31*'Recursos Humanos 1'!S44</f>
        <v>108000</v>
      </c>
      <c r="AA31" s="12">
        <f>$C31*'Recursos Humanos 1'!T44</f>
        <v>108000</v>
      </c>
      <c r="AB31" s="12">
        <f>$C31*'Recursos Humanos 1'!U44</f>
        <v>108000</v>
      </c>
      <c r="AC31" s="12">
        <f>$C31*'Recursos Humanos 1'!V44</f>
        <v>108000</v>
      </c>
      <c r="AD31" s="12">
        <f>$C31*'Recursos Humanos 1'!W44</f>
        <v>108000</v>
      </c>
      <c r="AE31" s="12">
        <f>$C31*'Recursos Humanos 1'!X44</f>
        <v>108000</v>
      </c>
      <c r="AF31" s="12">
        <f>$C31*'Recursos Humanos 1'!Y44</f>
        <v>108000</v>
      </c>
      <c r="AG31" s="12">
        <f>$C31*'Recursos Humanos 1'!Z44</f>
        <v>108000</v>
      </c>
    </row>
    <row r="32" spans="1:33" ht="15" customHeight="1" outlineLevel="1">
      <c r="A32" s="41" t="str">
        <f>'Recursos Humanos 1'!D45</f>
        <v>Leituristas</v>
      </c>
      <c r="B32" s="366">
        <f>ROUND(VLOOKUP(A32,'Cargos e Salários'!$M$2:$P$44,4,0),0)</f>
        <v>6318</v>
      </c>
      <c r="C32" s="371">
        <f t="shared" si="11"/>
        <v>75816</v>
      </c>
      <c r="D32" s="12">
        <f>$C32*'Recursos Humanos 1'!E45</f>
        <v>454896</v>
      </c>
      <c r="E32" s="12">
        <f>$C32*'Recursos Humanos 1'!F45</f>
        <v>454896</v>
      </c>
      <c r="F32" s="12">
        <f>$C32*'Recursos Humanos 1'!G45</f>
        <v>454896</v>
      </c>
      <c r="G32" s="12">
        <f>$C32*'Recursos Humanos 1'!H45</f>
        <v>454896</v>
      </c>
      <c r="H32" s="12">
        <f>$C32*'Recursos Humanos 1'!I45</f>
        <v>454896</v>
      </c>
      <c r="I32" s="12">
        <f>$C32*'Recursos Humanos 1'!J45</f>
        <v>454896</v>
      </c>
      <c r="J32" s="12">
        <f>$C32*'Recursos Humanos 1'!K45</f>
        <v>454896</v>
      </c>
      <c r="K32" s="12">
        <f>$C32*'Recursos Humanos 1'!L45</f>
        <v>454896</v>
      </c>
      <c r="L32" s="12">
        <f>$C32*'Recursos Humanos 1'!M45</f>
        <v>454896</v>
      </c>
      <c r="M32" s="12">
        <f>$C32*'Recursos Humanos 1'!N45</f>
        <v>454896</v>
      </c>
      <c r="N32" s="12">
        <f>$C32*'Recursos Humanos 1'!O45</f>
        <v>454896</v>
      </c>
      <c r="O32" s="12">
        <f>$C32*'Recursos Humanos 1'!P45</f>
        <v>454896</v>
      </c>
      <c r="P32" s="12">
        <f>$C32*'Recursos Humanos 1'!Q45</f>
        <v>454896</v>
      </c>
      <c r="Q32" s="12">
        <f>$C32*'Recursos Humanos 1'!R45</f>
        <v>530712</v>
      </c>
      <c r="R32" s="12">
        <f>$C32*'Recursos Humanos 1'!S45</f>
        <v>530712</v>
      </c>
      <c r="S32" s="12">
        <f>$C32*'Recursos Humanos 1'!T45</f>
        <v>530712</v>
      </c>
      <c r="T32" s="12">
        <f>$C32*'Recursos Humanos 1'!U45</f>
        <v>530712</v>
      </c>
      <c r="U32" s="12">
        <f>$C32*'Recursos Humanos 1'!V45</f>
        <v>530712</v>
      </c>
      <c r="V32" s="12">
        <f>$C32*'Recursos Humanos 1'!W45</f>
        <v>530712</v>
      </c>
      <c r="W32" s="12">
        <f>$C32*'Recursos Humanos 1'!X45</f>
        <v>530712</v>
      </c>
      <c r="X32" s="12">
        <f>$C32*'Recursos Humanos 1'!Y45</f>
        <v>530712</v>
      </c>
      <c r="Y32" s="12">
        <f>$C32*'Recursos Humanos 1'!R45</f>
        <v>530712</v>
      </c>
      <c r="Z32" s="12">
        <f>$C32*'Recursos Humanos 1'!S45</f>
        <v>530712</v>
      </c>
      <c r="AA32" s="12">
        <f>$C32*'Recursos Humanos 1'!T45</f>
        <v>530712</v>
      </c>
      <c r="AB32" s="12">
        <f>$C32*'Recursos Humanos 1'!U45</f>
        <v>530712</v>
      </c>
      <c r="AC32" s="12">
        <f>$C32*'Recursos Humanos 1'!V45</f>
        <v>530712</v>
      </c>
      <c r="AD32" s="12">
        <f>$C32*'Recursos Humanos 1'!W45</f>
        <v>530712</v>
      </c>
      <c r="AE32" s="12">
        <f>$C32*'Recursos Humanos 1'!X45</f>
        <v>530712</v>
      </c>
      <c r="AF32" s="12">
        <f>$C32*'Recursos Humanos 1'!Y45</f>
        <v>530712</v>
      </c>
      <c r="AG32" s="12">
        <f>$C32*'Recursos Humanos 1'!Z45</f>
        <v>530712</v>
      </c>
    </row>
    <row r="33" spans="1:33" ht="15" customHeight="1" outlineLevel="1">
      <c r="A33" s="41" t="str">
        <f>'Recursos Humanos 1'!D46</f>
        <v>Fiscal de cobrança e arrecadação</v>
      </c>
      <c r="B33" s="366">
        <f>ROUND(VLOOKUP(A33,'Cargos e Salários'!$M$2:$P$44,4,0),0)</f>
        <v>5946</v>
      </c>
      <c r="C33" s="371">
        <f t="shared" si="11"/>
        <v>71352</v>
      </c>
      <c r="D33" s="12">
        <f>$C33*'Recursos Humanos 1'!E46</f>
        <v>71352</v>
      </c>
      <c r="E33" s="12">
        <f>$C33*'Recursos Humanos 1'!F46</f>
        <v>71352</v>
      </c>
      <c r="F33" s="12">
        <f>$C33*'Recursos Humanos 1'!G46</f>
        <v>71352</v>
      </c>
      <c r="G33" s="12">
        <f>$C33*'Recursos Humanos 1'!H46</f>
        <v>71352</v>
      </c>
      <c r="H33" s="12">
        <f>$C33*'Recursos Humanos 1'!I46</f>
        <v>71352</v>
      </c>
      <c r="I33" s="12">
        <f>$C33*'Recursos Humanos 1'!J46</f>
        <v>71352</v>
      </c>
      <c r="J33" s="12">
        <f>$C33*'Recursos Humanos 1'!K46</f>
        <v>71352</v>
      </c>
      <c r="K33" s="12">
        <f>$C33*'Recursos Humanos 1'!L46</f>
        <v>71352</v>
      </c>
      <c r="L33" s="12">
        <f>$C33*'Recursos Humanos 1'!M46</f>
        <v>71352</v>
      </c>
      <c r="M33" s="12">
        <f>$C33*'Recursos Humanos 1'!N46</f>
        <v>71352</v>
      </c>
      <c r="N33" s="12">
        <f>$C33*'Recursos Humanos 1'!O46</f>
        <v>71352</v>
      </c>
      <c r="O33" s="12">
        <f>$C33*'Recursos Humanos 1'!P46</f>
        <v>71352</v>
      </c>
      <c r="P33" s="12">
        <f>$C33*'Recursos Humanos 1'!Q46</f>
        <v>71352</v>
      </c>
      <c r="Q33" s="12">
        <f>$C33*'Recursos Humanos 1'!R46</f>
        <v>71352</v>
      </c>
      <c r="R33" s="12">
        <f>$C33*'Recursos Humanos 1'!S46</f>
        <v>71352</v>
      </c>
      <c r="S33" s="12">
        <f>$C33*'Recursos Humanos 1'!T46</f>
        <v>71352</v>
      </c>
      <c r="T33" s="12">
        <f>$C33*'Recursos Humanos 1'!U46</f>
        <v>71352</v>
      </c>
      <c r="U33" s="12">
        <f>$C33*'Recursos Humanos 1'!V46</f>
        <v>71352</v>
      </c>
      <c r="V33" s="12">
        <f>$C33*'Recursos Humanos 1'!W46</f>
        <v>71352</v>
      </c>
      <c r="W33" s="12">
        <f>$C33*'Recursos Humanos 1'!X46</f>
        <v>71352</v>
      </c>
      <c r="X33" s="12">
        <f>$C33*'Recursos Humanos 1'!Y46</f>
        <v>71352</v>
      </c>
      <c r="Y33" s="12">
        <f>$C33*'Recursos Humanos 1'!R46</f>
        <v>71352</v>
      </c>
      <c r="Z33" s="12">
        <f>$C33*'Recursos Humanos 1'!S46</f>
        <v>71352</v>
      </c>
      <c r="AA33" s="12">
        <f>$C33*'Recursos Humanos 1'!T46</f>
        <v>71352</v>
      </c>
      <c r="AB33" s="12">
        <f>$C33*'Recursos Humanos 1'!U46</f>
        <v>71352</v>
      </c>
      <c r="AC33" s="12">
        <f>$C33*'Recursos Humanos 1'!V46</f>
        <v>71352</v>
      </c>
      <c r="AD33" s="12">
        <f>$C33*'Recursos Humanos 1'!W46</f>
        <v>71352</v>
      </c>
      <c r="AE33" s="12">
        <f>$C33*'Recursos Humanos 1'!X46</f>
        <v>71352</v>
      </c>
      <c r="AF33" s="12">
        <f>$C33*'Recursos Humanos 1'!Y46</f>
        <v>71352</v>
      </c>
      <c r="AG33" s="12">
        <f>$C33*'Recursos Humanos 1'!Z46</f>
        <v>71352</v>
      </c>
    </row>
    <row r="34" spans="1:33" ht="15" customHeight="1" outlineLevel="1">
      <c r="A34" s="41" t="str">
        <f>'Recursos Humanos 1'!D47</f>
        <v>Encanador de corte e religação</v>
      </c>
      <c r="B34" s="366">
        <f>ROUND(VLOOKUP(A34,'Cargos e Salários'!$M$2:$P$44,4,0),0)</f>
        <v>5400</v>
      </c>
      <c r="C34" s="371">
        <f t="shared" si="11"/>
        <v>64800</v>
      </c>
      <c r="D34" s="12">
        <f>$C34*'Recursos Humanos 1'!E47</f>
        <v>129600</v>
      </c>
      <c r="E34" s="12">
        <f>$C34*'Recursos Humanos 1'!F47</f>
        <v>129600</v>
      </c>
      <c r="F34" s="12">
        <f>$C34*'Recursos Humanos 1'!G47</f>
        <v>129600</v>
      </c>
      <c r="G34" s="12">
        <f>$C34*'Recursos Humanos 1'!H47</f>
        <v>129600</v>
      </c>
      <c r="H34" s="12">
        <f>$C34*'Recursos Humanos 1'!I47</f>
        <v>129600</v>
      </c>
      <c r="I34" s="12">
        <f>$C34*'Recursos Humanos 1'!J47</f>
        <v>129600</v>
      </c>
      <c r="J34" s="12">
        <f>$C34*'Recursos Humanos 1'!K47</f>
        <v>129600</v>
      </c>
      <c r="K34" s="12">
        <f>$C34*'Recursos Humanos 1'!L47</f>
        <v>129600</v>
      </c>
      <c r="L34" s="12">
        <f>$C34*'Recursos Humanos 1'!M47</f>
        <v>129600</v>
      </c>
      <c r="M34" s="12">
        <f>$C34*'Recursos Humanos 1'!N47</f>
        <v>129600</v>
      </c>
      <c r="N34" s="12">
        <f>$C34*'Recursos Humanos 1'!O47</f>
        <v>129600</v>
      </c>
      <c r="O34" s="12">
        <f>$C34*'Recursos Humanos 1'!P47</f>
        <v>129600</v>
      </c>
      <c r="P34" s="12">
        <f>$C34*'Recursos Humanos 1'!Q47</f>
        <v>129600</v>
      </c>
      <c r="Q34" s="12">
        <f>$C34*'Recursos Humanos 1'!R47</f>
        <v>129600</v>
      </c>
      <c r="R34" s="12">
        <f>$C34*'Recursos Humanos 1'!S47</f>
        <v>129600</v>
      </c>
      <c r="S34" s="12">
        <f>$C34*'Recursos Humanos 1'!T47</f>
        <v>129600</v>
      </c>
      <c r="T34" s="12">
        <f>$C34*'Recursos Humanos 1'!U47</f>
        <v>129600</v>
      </c>
      <c r="U34" s="12">
        <f>$C34*'Recursos Humanos 1'!V47</f>
        <v>129600</v>
      </c>
      <c r="V34" s="12">
        <f>$C34*'Recursos Humanos 1'!W47</f>
        <v>129600</v>
      </c>
      <c r="W34" s="12">
        <f>$C34*'Recursos Humanos 1'!X47</f>
        <v>129600</v>
      </c>
      <c r="X34" s="12">
        <f>$C34*'Recursos Humanos 1'!Y47</f>
        <v>129600</v>
      </c>
      <c r="Y34" s="12">
        <f>$C34*'Recursos Humanos 1'!R47</f>
        <v>129600</v>
      </c>
      <c r="Z34" s="12">
        <f>$C34*'Recursos Humanos 1'!S47</f>
        <v>129600</v>
      </c>
      <c r="AA34" s="12">
        <f>$C34*'Recursos Humanos 1'!T47</f>
        <v>129600</v>
      </c>
      <c r="AB34" s="12">
        <f>$C34*'Recursos Humanos 1'!U47</f>
        <v>129600</v>
      </c>
      <c r="AC34" s="12">
        <f>$C34*'Recursos Humanos 1'!V47</f>
        <v>129600</v>
      </c>
      <c r="AD34" s="12">
        <f>$C34*'Recursos Humanos 1'!W47</f>
        <v>129600</v>
      </c>
      <c r="AE34" s="12">
        <f>$C34*'Recursos Humanos 1'!X47</f>
        <v>129600</v>
      </c>
      <c r="AF34" s="12">
        <f>$C34*'Recursos Humanos 1'!Y47</f>
        <v>129600</v>
      </c>
      <c r="AG34" s="12">
        <f>$C34*'Recursos Humanos 1'!Z47</f>
        <v>129600</v>
      </c>
    </row>
    <row r="35" spans="1:33" ht="15" customHeight="1" outlineLevel="1">
      <c r="A35" s="41" t="str">
        <f>'Recursos Humanos 1'!D48</f>
        <v>Atendimento presencial e telefônico</v>
      </c>
      <c r="B35" s="366">
        <f>ROUND(VLOOKUP(A35,'Cargos e Salários'!$M$2:$P$44,4,0),0)</f>
        <v>4585</v>
      </c>
      <c r="C35" s="371">
        <f t="shared" si="11"/>
        <v>55020</v>
      </c>
      <c r="D35" s="12">
        <f>$C35*'Recursos Humanos 1'!E48</f>
        <v>440160</v>
      </c>
      <c r="E35" s="12">
        <f>$C35*'Recursos Humanos 1'!F48</f>
        <v>440160</v>
      </c>
      <c r="F35" s="12">
        <f>$C35*'Recursos Humanos 1'!G48</f>
        <v>440160</v>
      </c>
      <c r="G35" s="12">
        <f>$C35*'Recursos Humanos 1'!H48</f>
        <v>440160</v>
      </c>
      <c r="H35" s="12">
        <f>$C35*'Recursos Humanos 1'!I48</f>
        <v>440160</v>
      </c>
      <c r="I35" s="12">
        <f>$C35*'Recursos Humanos 1'!J48</f>
        <v>440160</v>
      </c>
      <c r="J35" s="12">
        <f>$C35*'Recursos Humanos 1'!K48</f>
        <v>440160</v>
      </c>
      <c r="K35" s="12">
        <f>$C35*'Recursos Humanos 1'!L48</f>
        <v>440160</v>
      </c>
      <c r="L35" s="12">
        <f>$C35*'Recursos Humanos 1'!M48</f>
        <v>440160</v>
      </c>
      <c r="M35" s="12">
        <f>$C35*'Recursos Humanos 1'!N48</f>
        <v>440160</v>
      </c>
      <c r="N35" s="12">
        <f>$C35*'Recursos Humanos 1'!O48</f>
        <v>495180</v>
      </c>
      <c r="O35" s="12">
        <f>$C35*'Recursos Humanos 1'!P48</f>
        <v>495180</v>
      </c>
      <c r="P35" s="12">
        <f>$C35*'Recursos Humanos 1'!Q48</f>
        <v>495180</v>
      </c>
      <c r="Q35" s="12">
        <f>$C35*'Recursos Humanos 1'!R48</f>
        <v>495180</v>
      </c>
      <c r="R35" s="12">
        <f>$C35*'Recursos Humanos 1'!S48</f>
        <v>495180</v>
      </c>
      <c r="S35" s="12">
        <f>$C35*'Recursos Humanos 1'!T48</f>
        <v>495180</v>
      </c>
      <c r="T35" s="12">
        <f>$C35*'Recursos Humanos 1'!U48</f>
        <v>495180</v>
      </c>
      <c r="U35" s="12">
        <f>$C35*'Recursos Humanos 1'!V48</f>
        <v>495180</v>
      </c>
      <c r="V35" s="12">
        <f>$C35*'Recursos Humanos 1'!W48</f>
        <v>495180</v>
      </c>
      <c r="W35" s="12">
        <f>$C35*'Recursos Humanos 1'!X48</f>
        <v>495180</v>
      </c>
      <c r="X35" s="12">
        <f>$C35*'Recursos Humanos 1'!Y48</f>
        <v>495180</v>
      </c>
      <c r="Y35" s="12">
        <f>$C35*'Recursos Humanos 1'!R48</f>
        <v>495180</v>
      </c>
      <c r="Z35" s="12">
        <f>$C35*'Recursos Humanos 1'!S48</f>
        <v>495180</v>
      </c>
      <c r="AA35" s="12">
        <f>$C35*'Recursos Humanos 1'!T48</f>
        <v>495180</v>
      </c>
      <c r="AB35" s="12">
        <f>$C35*'Recursos Humanos 1'!U48</f>
        <v>495180</v>
      </c>
      <c r="AC35" s="12">
        <f>$C35*'Recursos Humanos 1'!V48</f>
        <v>495180</v>
      </c>
      <c r="AD35" s="12">
        <f>$C35*'Recursos Humanos 1'!W48</f>
        <v>495180</v>
      </c>
      <c r="AE35" s="12">
        <f>$C35*'Recursos Humanos 1'!X48</f>
        <v>495180</v>
      </c>
      <c r="AF35" s="12">
        <f>$C35*'Recursos Humanos 1'!Y48</f>
        <v>495180</v>
      </c>
      <c r="AG35" s="12">
        <f>$C35*'Recursos Humanos 1'!Z48</f>
        <v>495180</v>
      </c>
    </row>
    <row r="36" spans="1:33" ht="15" customHeight="1" outlineLevel="1">
      <c r="A36" s="46"/>
      <c r="B36" s="368"/>
      <c r="C36" s="369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3" ht="15" customHeight="1" outlineLevel="1">
      <c r="A37" s="42" t="s">
        <v>243</v>
      </c>
      <c r="B37" s="791" t="s">
        <v>279</v>
      </c>
      <c r="C37" s="373"/>
      <c r="D37" s="11">
        <f t="shared" ref="D37:AG37" si="12" xml:space="preserve"> SUM( D$38:D$49 )</f>
        <v>1923924</v>
      </c>
      <c r="E37" s="11">
        <f t="shared" si="12"/>
        <v>1923924</v>
      </c>
      <c r="F37" s="11">
        <f t="shared" si="12"/>
        <v>2964612</v>
      </c>
      <c r="G37" s="11">
        <f t="shared" si="12"/>
        <v>2964612</v>
      </c>
      <c r="H37" s="11">
        <f t="shared" si="12"/>
        <v>3029412</v>
      </c>
      <c r="I37" s="11">
        <f t="shared" si="12"/>
        <v>3029412</v>
      </c>
      <c r="J37" s="11">
        <f t="shared" si="12"/>
        <v>3029412</v>
      </c>
      <c r="K37" s="11">
        <f t="shared" si="12"/>
        <v>3029412</v>
      </c>
      <c r="L37" s="11">
        <f t="shared" si="12"/>
        <v>3029412</v>
      </c>
      <c r="M37" s="11">
        <f t="shared" si="12"/>
        <v>3029412</v>
      </c>
      <c r="N37" s="11">
        <f t="shared" si="12"/>
        <v>3094212</v>
      </c>
      <c r="O37" s="11">
        <f t="shared" si="12"/>
        <v>3094212</v>
      </c>
      <c r="P37" s="11">
        <f t="shared" si="12"/>
        <v>3094212</v>
      </c>
      <c r="Q37" s="11">
        <f t="shared" si="12"/>
        <v>3094212</v>
      </c>
      <c r="R37" s="11">
        <f t="shared" si="12"/>
        <v>3094212</v>
      </c>
      <c r="S37" s="11">
        <f t="shared" si="12"/>
        <v>3094212</v>
      </c>
      <c r="T37" s="11">
        <f t="shared" si="12"/>
        <v>3094212</v>
      </c>
      <c r="U37" s="11">
        <f t="shared" si="12"/>
        <v>3094212</v>
      </c>
      <c r="V37" s="11">
        <f t="shared" si="12"/>
        <v>3094212</v>
      </c>
      <c r="W37" s="11">
        <f t="shared" si="12"/>
        <v>3094212</v>
      </c>
      <c r="X37" s="11">
        <f t="shared" si="12"/>
        <v>3094212</v>
      </c>
      <c r="Y37" s="11">
        <f t="shared" si="12"/>
        <v>3094212</v>
      </c>
      <c r="Z37" s="11">
        <f t="shared" si="12"/>
        <v>3094212</v>
      </c>
      <c r="AA37" s="11">
        <f t="shared" si="12"/>
        <v>3094212</v>
      </c>
      <c r="AB37" s="11">
        <f t="shared" si="12"/>
        <v>3094212</v>
      </c>
      <c r="AC37" s="11">
        <f t="shared" si="12"/>
        <v>3094212</v>
      </c>
      <c r="AD37" s="11">
        <f t="shared" si="12"/>
        <v>3094212</v>
      </c>
      <c r="AE37" s="11">
        <f t="shared" si="12"/>
        <v>3094212</v>
      </c>
      <c r="AF37" s="11">
        <f t="shared" si="12"/>
        <v>3094212</v>
      </c>
      <c r="AG37" s="11">
        <f t="shared" si="12"/>
        <v>3094212</v>
      </c>
    </row>
    <row r="38" spans="1:33" ht="15" customHeight="1" outlineLevel="1">
      <c r="A38" s="41" t="str">
        <f>'Recursos Humanos 1'!D51</f>
        <v>Supervisor de operação de ETA</v>
      </c>
      <c r="B38" s="366">
        <f>ROUND(VLOOKUP("Supervisor"&amp;"*",'Cargos e Salários'!$M$2:$P$44,4,0),0)</f>
        <v>9900</v>
      </c>
      <c r="C38" s="371">
        <f>B38*12</f>
        <v>118800</v>
      </c>
      <c r="D38" s="12">
        <f>$C38*'Recursos Humanos 1'!E51</f>
        <v>237600</v>
      </c>
      <c r="E38" s="12">
        <f>$C38*'Recursos Humanos 1'!F51</f>
        <v>237600</v>
      </c>
      <c r="F38" s="12">
        <f>$C38*'Recursos Humanos 1'!G51</f>
        <v>237600</v>
      </c>
      <c r="G38" s="12">
        <f>$C38*'Recursos Humanos 1'!H51</f>
        <v>237600</v>
      </c>
      <c r="H38" s="12">
        <f>$C38*'Recursos Humanos 1'!I51</f>
        <v>237600</v>
      </c>
      <c r="I38" s="12">
        <f>$C38*'Recursos Humanos 1'!J51</f>
        <v>237600</v>
      </c>
      <c r="J38" s="12">
        <f>$C38*'Recursos Humanos 1'!K51</f>
        <v>237600</v>
      </c>
      <c r="K38" s="12">
        <f>$C38*'Recursos Humanos 1'!L51</f>
        <v>237600</v>
      </c>
      <c r="L38" s="12">
        <f>$C38*'Recursos Humanos 1'!M51</f>
        <v>237600</v>
      </c>
      <c r="M38" s="12">
        <f>$C38*'Recursos Humanos 1'!N51</f>
        <v>237600</v>
      </c>
      <c r="N38" s="12">
        <f>$C38*'Recursos Humanos 1'!O51</f>
        <v>237600</v>
      </c>
      <c r="O38" s="12">
        <f>$C38*'Recursos Humanos 1'!P51</f>
        <v>237600</v>
      </c>
      <c r="P38" s="12">
        <f>$C38*'Recursos Humanos 1'!Q51</f>
        <v>237600</v>
      </c>
      <c r="Q38" s="12">
        <f>$C38*'Recursos Humanos 1'!R51</f>
        <v>237600</v>
      </c>
      <c r="R38" s="12">
        <f>$C38*'Recursos Humanos 1'!S51</f>
        <v>237600</v>
      </c>
      <c r="S38" s="12">
        <f>$C38*'Recursos Humanos 1'!T51</f>
        <v>237600</v>
      </c>
      <c r="T38" s="12">
        <f>$C38*'Recursos Humanos 1'!U51</f>
        <v>237600</v>
      </c>
      <c r="U38" s="12">
        <f>$C38*'Recursos Humanos 1'!V51</f>
        <v>237600</v>
      </c>
      <c r="V38" s="12">
        <f>$C38*'Recursos Humanos 1'!W51</f>
        <v>237600</v>
      </c>
      <c r="W38" s="12">
        <f>$C38*'Recursos Humanos 1'!X51</f>
        <v>237600</v>
      </c>
      <c r="X38" s="12">
        <f>$C38*'Recursos Humanos 1'!Y51</f>
        <v>237600</v>
      </c>
      <c r="Y38" s="12">
        <f>$C38*'Recursos Humanos 1'!Z51</f>
        <v>237600</v>
      </c>
      <c r="Z38" s="12">
        <f>$C38*'Recursos Humanos 1'!AA51</f>
        <v>237600</v>
      </c>
      <c r="AA38" s="12">
        <f>$C38*'Recursos Humanos 1'!AB51</f>
        <v>237600</v>
      </c>
      <c r="AB38" s="12">
        <f>$C38*'Recursos Humanos 1'!AC51</f>
        <v>237600</v>
      </c>
      <c r="AC38" s="12">
        <f>$C38*'Recursos Humanos 1'!AD51</f>
        <v>237600</v>
      </c>
      <c r="AD38" s="12">
        <f>$C38*'Recursos Humanos 1'!AE51</f>
        <v>237600</v>
      </c>
      <c r="AE38" s="12">
        <f>$C38*'Recursos Humanos 1'!AF51</f>
        <v>237600</v>
      </c>
      <c r="AF38" s="12">
        <f>$C38*'Recursos Humanos 1'!AG51</f>
        <v>237600</v>
      </c>
      <c r="AG38" s="12">
        <f>$C38*'Recursos Humanos 1'!AH51</f>
        <v>237600</v>
      </c>
    </row>
    <row r="39" spans="1:33" ht="15" customHeight="1" outlineLevel="1">
      <c r="A39" s="41" t="str">
        <f>'Recursos Humanos 1'!D52</f>
        <v>Supervisor de operação de ETE</v>
      </c>
      <c r="B39" s="366">
        <f>ROUND(VLOOKUP("Supervisor"&amp;"*",'Cargos e Salários'!$M$2:$P$44,4,0),0)</f>
        <v>9900</v>
      </c>
      <c r="C39" s="371">
        <f>B39*12</f>
        <v>118800</v>
      </c>
      <c r="D39" s="12">
        <f>$C39*'Recursos Humanos 1'!E52</f>
        <v>0</v>
      </c>
      <c r="E39" s="12">
        <f>$C39*'Recursos Humanos 1'!F52</f>
        <v>0</v>
      </c>
      <c r="F39" s="12">
        <f>$C39*'Recursos Humanos 1'!G52</f>
        <v>118800</v>
      </c>
      <c r="G39" s="12">
        <f>$C39*'Recursos Humanos 1'!H52</f>
        <v>118800</v>
      </c>
      <c r="H39" s="12">
        <f>$C39*'Recursos Humanos 1'!I52</f>
        <v>118800</v>
      </c>
      <c r="I39" s="12">
        <f>$C39*'Recursos Humanos 1'!J52</f>
        <v>118800</v>
      </c>
      <c r="J39" s="12">
        <f>$C39*'Recursos Humanos 1'!K52</f>
        <v>118800</v>
      </c>
      <c r="K39" s="12">
        <f>$C39*'Recursos Humanos 1'!L52</f>
        <v>118800</v>
      </c>
      <c r="L39" s="12">
        <f>$C39*'Recursos Humanos 1'!M52</f>
        <v>118800</v>
      </c>
      <c r="M39" s="12">
        <f>$C39*'Recursos Humanos 1'!N52</f>
        <v>118800</v>
      </c>
      <c r="N39" s="12">
        <f>$C39*'Recursos Humanos 1'!O52</f>
        <v>118800</v>
      </c>
      <c r="O39" s="12">
        <f>$C39*'Recursos Humanos 1'!P52</f>
        <v>118800</v>
      </c>
      <c r="P39" s="12">
        <f>$C39*'Recursos Humanos 1'!Q52</f>
        <v>118800</v>
      </c>
      <c r="Q39" s="12">
        <f>$C39*'Recursos Humanos 1'!R52</f>
        <v>118800</v>
      </c>
      <c r="R39" s="12">
        <f>$C39*'Recursos Humanos 1'!S52</f>
        <v>118800</v>
      </c>
      <c r="S39" s="12">
        <f>$C39*'Recursos Humanos 1'!T52</f>
        <v>118800</v>
      </c>
      <c r="T39" s="12">
        <f>$C39*'Recursos Humanos 1'!U52</f>
        <v>118800</v>
      </c>
      <c r="U39" s="12">
        <f>$C39*'Recursos Humanos 1'!V52</f>
        <v>118800</v>
      </c>
      <c r="V39" s="12">
        <f>$C39*'Recursos Humanos 1'!W52</f>
        <v>118800</v>
      </c>
      <c r="W39" s="12">
        <f>$C39*'Recursos Humanos 1'!X52</f>
        <v>118800</v>
      </c>
      <c r="X39" s="12">
        <f>$C39*'Recursos Humanos 1'!Y52</f>
        <v>118800</v>
      </c>
      <c r="Y39" s="12">
        <f>$C39*'Recursos Humanos 1'!Z52</f>
        <v>118800</v>
      </c>
      <c r="Z39" s="12">
        <f>$C39*'Recursos Humanos 1'!AA52</f>
        <v>118800</v>
      </c>
      <c r="AA39" s="12">
        <f>$C39*'Recursos Humanos 1'!AB52</f>
        <v>118800</v>
      </c>
      <c r="AB39" s="12">
        <f>$C39*'Recursos Humanos 1'!AC52</f>
        <v>118800</v>
      </c>
      <c r="AC39" s="12">
        <f>$C39*'Recursos Humanos 1'!AD52</f>
        <v>118800</v>
      </c>
      <c r="AD39" s="12">
        <f>$C39*'Recursos Humanos 1'!AE52</f>
        <v>118800</v>
      </c>
      <c r="AE39" s="12">
        <f>$C39*'Recursos Humanos 1'!AF52</f>
        <v>118800</v>
      </c>
      <c r="AF39" s="12">
        <f>$C39*'Recursos Humanos 1'!AG52</f>
        <v>118800</v>
      </c>
      <c r="AG39" s="12">
        <f>$C39*'Recursos Humanos 1'!AH52</f>
        <v>118800</v>
      </c>
    </row>
    <row r="40" spans="1:33" ht="15" customHeight="1" outlineLevel="1">
      <c r="A40" s="41" t="str">
        <f>'Recursos Humanos 1'!D53</f>
        <v>Operador ETA - fase líquida e sólida</v>
      </c>
      <c r="B40" s="366">
        <f>ROUND(VLOOKUP(A40,'Cargos e Salários'!$M$2:$P$44,4,0),0)</f>
        <v>8100</v>
      </c>
      <c r="C40" s="371">
        <f t="shared" ref="C40:C49" si="13">B40*12</f>
        <v>97200</v>
      </c>
      <c r="D40" s="12">
        <f>$C40*'Recursos Humanos 1'!E53</f>
        <v>972000</v>
      </c>
      <c r="E40" s="12">
        <f>$C40*'Recursos Humanos 1'!F53</f>
        <v>972000</v>
      </c>
      <c r="F40" s="12">
        <f>$C40*'Recursos Humanos 1'!G53</f>
        <v>972000</v>
      </c>
      <c r="G40" s="12">
        <f>$C40*'Recursos Humanos 1'!H53</f>
        <v>972000</v>
      </c>
      <c r="H40" s="12">
        <f>$C40*'Recursos Humanos 1'!I53</f>
        <v>972000</v>
      </c>
      <c r="I40" s="12">
        <f>$C40*'Recursos Humanos 1'!J53</f>
        <v>972000</v>
      </c>
      <c r="J40" s="12">
        <f>$C40*'Recursos Humanos 1'!K53</f>
        <v>972000</v>
      </c>
      <c r="K40" s="12">
        <f>$C40*'Recursos Humanos 1'!L53</f>
        <v>972000</v>
      </c>
      <c r="L40" s="12">
        <f>$C40*'Recursos Humanos 1'!M53</f>
        <v>972000</v>
      </c>
      <c r="M40" s="12">
        <f>$C40*'Recursos Humanos 1'!N53</f>
        <v>972000</v>
      </c>
      <c r="N40" s="12">
        <f>$C40*'Recursos Humanos 1'!O53</f>
        <v>972000</v>
      </c>
      <c r="O40" s="12">
        <f>$C40*'Recursos Humanos 1'!P53</f>
        <v>972000</v>
      </c>
      <c r="P40" s="12">
        <f>$C40*'Recursos Humanos 1'!Q53</f>
        <v>972000</v>
      </c>
      <c r="Q40" s="12">
        <f>$C40*'Recursos Humanos 1'!R53</f>
        <v>972000</v>
      </c>
      <c r="R40" s="12">
        <f>$C40*'Recursos Humanos 1'!S53</f>
        <v>972000</v>
      </c>
      <c r="S40" s="12">
        <f>$C40*'Recursos Humanos 1'!T53</f>
        <v>972000</v>
      </c>
      <c r="T40" s="12">
        <f>$C40*'Recursos Humanos 1'!U53</f>
        <v>972000</v>
      </c>
      <c r="U40" s="12">
        <f>$C40*'Recursos Humanos 1'!V53</f>
        <v>972000</v>
      </c>
      <c r="V40" s="12">
        <f>$C40*'Recursos Humanos 1'!W53</f>
        <v>972000</v>
      </c>
      <c r="W40" s="12">
        <f>$C40*'Recursos Humanos 1'!X53</f>
        <v>972000</v>
      </c>
      <c r="X40" s="12">
        <f>$C40*'Recursos Humanos 1'!Y53</f>
        <v>972000</v>
      </c>
      <c r="Y40" s="12">
        <f>$C40*'Recursos Humanos 1'!Z53</f>
        <v>972000</v>
      </c>
      <c r="Z40" s="12">
        <f>$C40*'Recursos Humanos 1'!AA53</f>
        <v>972000</v>
      </c>
      <c r="AA40" s="12">
        <f>$C40*'Recursos Humanos 1'!AB53</f>
        <v>972000</v>
      </c>
      <c r="AB40" s="12">
        <f>$C40*'Recursos Humanos 1'!AC53</f>
        <v>972000</v>
      </c>
      <c r="AC40" s="12">
        <f>$C40*'Recursos Humanos 1'!AD53</f>
        <v>972000</v>
      </c>
      <c r="AD40" s="12">
        <f>$C40*'Recursos Humanos 1'!AE53</f>
        <v>972000</v>
      </c>
      <c r="AE40" s="12">
        <f>$C40*'Recursos Humanos 1'!AF53</f>
        <v>972000</v>
      </c>
      <c r="AF40" s="12">
        <f>$C40*'Recursos Humanos 1'!AG53</f>
        <v>972000</v>
      </c>
      <c r="AG40" s="12">
        <f>$C40*'Recursos Humanos 1'!AH53</f>
        <v>972000</v>
      </c>
    </row>
    <row r="41" spans="1:33" ht="15" customHeight="1" outlineLevel="1">
      <c r="A41" s="41" t="str">
        <f>'Recursos Humanos 1'!D54</f>
        <v>Operador ETE - fase líquida e sólida</v>
      </c>
      <c r="B41" s="366">
        <f>ROUND(VLOOKUP(A41,'Cargos e Salários'!$M$2:$P$44,4,0),0)</f>
        <v>8100</v>
      </c>
      <c r="C41" s="371">
        <f t="shared" si="13"/>
        <v>97200</v>
      </c>
      <c r="D41" s="12">
        <f>$C41*'Recursos Humanos 1'!E54</f>
        <v>0</v>
      </c>
      <c r="E41" s="12">
        <f>$C41*'Recursos Humanos 1'!F54</f>
        <v>0</v>
      </c>
      <c r="F41" s="12">
        <f>$C41*'Recursos Humanos 1'!G54</f>
        <v>583200</v>
      </c>
      <c r="G41" s="12">
        <f>$C41*'Recursos Humanos 1'!H54</f>
        <v>583200</v>
      </c>
      <c r="H41" s="12">
        <f>$C41*'Recursos Humanos 1'!I54</f>
        <v>583200</v>
      </c>
      <c r="I41" s="12">
        <f>$C41*'Recursos Humanos 1'!J54</f>
        <v>583200</v>
      </c>
      <c r="J41" s="12">
        <f>$C41*'Recursos Humanos 1'!K54</f>
        <v>583200</v>
      </c>
      <c r="K41" s="12">
        <f>$C41*'Recursos Humanos 1'!L54</f>
        <v>583200</v>
      </c>
      <c r="L41" s="12">
        <f>$C41*'Recursos Humanos 1'!M54</f>
        <v>583200</v>
      </c>
      <c r="M41" s="12">
        <f>$C41*'Recursos Humanos 1'!N54</f>
        <v>583200</v>
      </c>
      <c r="N41" s="12">
        <f>$C41*'Recursos Humanos 1'!O54</f>
        <v>583200</v>
      </c>
      <c r="O41" s="12">
        <f>$C41*'Recursos Humanos 1'!P54</f>
        <v>583200</v>
      </c>
      <c r="P41" s="12">
        <f>$C41*'Recursos Humanos 1'!Q54</f>
        <v>583200</v>
      </c>
      <c r="Q41" s="12">
        <f>$C41*'Recursos Humanos 1'!R54</f>
        <v>583200</v>
      </c>
      <c r="R41" s="12">
        <f>$C41*'Recursos Humanos 1'!S54</f>
        <v>583200</v>
      </c>
      <c r="S41" s="12">
        <f>$C41*'Recursos Humanos 1'!T54</f>
        <v>583200</v>
      </c>
      <c r="T41" s="12">
        <f>$C41*'Recursos Humanos 1'!U54</f>
        <v>583200</v>
      </c>
      <c r="U41" s="12">
        <f>$C41*'Recursos Humanos 1'!V54</f>
        <v>583200</v>
      </c>
      <c r="V41" s="12">
        <f>$C41*'Recursos Humanos 1'!W54</f>
        <v>583200</v>
      </c>
      <c r="W41" s="12">
        <f>$C41*'Recursos Humanos 1'!X54</f>
        <v>583200</v>
      </c>
      <c r="X41" s="12">
        <f>$C41*'Recursos Humanos 1'!Y54</f>
        <v>583200</v>
      </c>
      <c r="Y41" s="12">
        <f>$C41*'Recursos Humanos 1'!Z54</f>
        <v>583200</v>
      </c>
      <c r="Z41" s="12">
        <f>$C41*'Recursos Humanos 1'!AA54</f>
        <v>583200</v>
      </c>
      <c r="AA41" s="12">
        <f>$C41*'Recursos Humanos 1'!AB54</f>
        <v>583200</v>
      </c>
      <c r="AB41" s="12">
        <f>$C41*'Recursos Humanos 1'!AC54</f>
        <v>583200</v>
      </c>
      <c r="AC41" s="12">
        <f>$C41*'Recursos Humanos 1'!AD54</f>
        <v>583200</v>
      </c>
      <c r="AD41" s="12">
        <f>$C41*'Recursos Humanos 1'!AE54</f>
        <v>583200</v>
      </c>
      <c r="AE41" s="12">
        <f>$C41*'Recursos Humanos 1'!AF54</f>
        <v>583200</v>
      </c>
      <c r="AF41" s="12">
        <f>$C41*'Recursos Humanos 1'!AG54</f>
        <v>583200</v>
      </c>
      <c r="AG41" s="12">
        <f>$C41*'Recursos Humanos 1'!AH54</f>
        <v>583200</v>
      </c>
    </row>
    <row r="42" spans="1:33" ht="15" customHeight="1" outlineLevel="1">
      <c r="A42" s="41" t="str">
        <f>'Recursos Humanos 1'!D55</f>
        <v>Auxiliar de operação da ETA</v>
      </c>
      <c r="B42" s="366">
        <f>ROUND(VLOOKUP("Auxiliar de"&amp;"*",'Cargos e Salários'!$M$2:$P$44,4,0),0)</f>
        <v>4585</v>
      </c>
      <c r="C42" s="371">
        <f>B42*12</f>
        <v>55020</v>
      </c>
      <c r="D42" s="12">
        <f>$C42*'Recursos Humanos 1'!E55</f>
        <v>110040</v>
      </c>
      <c r="E42" s="12">
        <f>$C42*'Recursos Humanos 1'!F55</f>
        <v>110040</v>
      </c>
      <c r="F42" s="12">
        <f>$C42*'Recursos Humanos 1'!G55</f>
        <v>110040</v>
      </c>
      <c r="G42" s="12">
        <f>$C42*'Recursos Humanos 1'!H55</f>
        <v>110040</v>
      </c>
      <c r="H42" s="12">
        <f>$C42*'Recursos Humanos 1'!I55</f>
        <v>110040</v>
      </c>
      <c r="I42" s="12">
        <f>$C42*'Recursos Humanos 1'!J55</f>
        <v>110040</v>
      </c>
      <c r="J42" s="12">
        <f>$C42*'Recursos Humanos 1'!K55</f>
        <v>110040</v>
      </c>
      <c r="K42" s="12">
        <f>$C42*'Recursos Humanos 1'!L55</f>
        <v>110040</v>
      </c>
      <c r="L42" s="12">
        <f>$C42*'Recursos Humanos 1'!M55</f>
        <v>110040</v>
      </c>
      <c r="M42" s="12">
        <f>$C42*'Recursos Humanos 1'!N55</f>
        <v>110040</v>
      </c>
      <c r="N42" s="12">
        <f>$C42*'Recursos Humanos 1'!O55</f>
        <v>110040</v>
      </c>
      <c r="O42" s="12">
        <f>$C42*'Recursos Humanos 1'!P55</f>
        <v>110040</v>
      </c>
      <c r="P42" s="12">
        <f>$C42*'Recursos Humanos 1'!Q55</f>
        <v>110040</v>
      </c>
      <c r="Q42" s="12">
        <f>$C42*'Recursos Humanos 1'!R55</f>
        <v>110040</v>
      </c>
      <c r="R42" s="12">
        <f>$C42*'Recursos Humanos 1'!S55</f>
        <v>110040</v>
      </c>
      <c r="S42" s="12">
        <f>$C42*'Recursos Humanos 1'!T55</f>
        <v>110040</v>
      </c>
      <c r="T42" s="12">
        <f>$C42*'Recursos Humanos 1'!U55</f>
        <v>110040</v>
      </c>
      <c r="U42" s="12">
        <f>$C42*'Recursos Humanos 1'!V55</f>
        <v>110040</v>
      </c>
      <c r="V42" s="12">
        <f>$C42*'Recursos Humanos 1'!W55</f>
        <v>110040</v>
      </c>
      <c r="W42" s="12">
        <f>$C42*'Recursos Humanos 1'!X55</f>
        <v>110040</v>
      </c>
      <c r="X42" s="12">
        <f>$C42*'Recursos Humanos 1'!Y55</f>
        <v>110040</v>
      </c>
      <c r="Y42" s="12">
        <f>$C42*'Recursos Humanos 1'!Z55</f>
        <v>110040</v>
      </c>
      <c r="Z42" s="12">
        <f>$C42*'Recursos Humanos 1'!AA55</f>
        <v>110040</v>
      </c>
      <c r="AA42" s="12">
        <f>$C42*'Recursos Humanos 1'!AB55</f>
        <v>110040</v>
      </c>
      <c r="AB42" s="12">
        <f>$C42*'Recursos Humanos 1'!AC55</f>
        <v>110040</v>
      </c>
      <c r="AC42" s="12">
        <f>$C42*'Recursos Humanos 1'!AD55</f>
        <v>110040</v>
      </c>
      <c r="AD42" s="12">
        <f>$C42*'Recursos Humanos 1'!AE55</f>
        <v>110040</v>
      </c>
      <c r="AE42" s="12">
        <f>$C42*'Recursos Humanos 1'!AF55</f>
        <v>110040</v>
      </c>
      <c r="AF42" s="12">
        <f>$C42*'Recursos Humanos 1'!AG55</f>
        <v>110040</v>
      </c>
      <c r="AG42" s="12">
        <f>$C42*'Recursos Humanos 1'!AH55</f>
        <v>110040</v>
      </c>
    </row>
    <row r="43" spans="1:33" ht="15" customHeight="1" outlineLevel="1">
      <c r="A43" s="41" t="str">
        <f>'Recursos Humanos 1'!D56</f>
        <v>Auxiliar de operação da ETE</v>
      </c>
      <c r="B43" s="366">
        <f>ROUND(VLOOKUP("Auxiliar de"&amp;"*",'Cargos e Salários'!$M$2:$P$44,4,0),0)</f>
        <v>4585</v>
      </c>
      <c r="C43" s="371">
        <f>B43*12</f>
        <v>55020</v>
      </c>
      <c r="D43" s="12">
        <f>$C43*'Recursos Humanos 1'!E56</f>
        <v>0</v>
      </c>
      <c r="E43" s="12">
        <f>$C43*'Recursos Humanos 1'!F56</f>
        <v>0</v>
      </c>
      <c r="F43" s="12">
        <f>$C43*'Recursos Humanos 1'!G56</f>
        <v>55020</v>
      </c>
      <c r="G43" s="12">
        <f>$C43*'Recursos Humanos 1'!H56</f>
        <v>55020</v>
      </c>
      <c r="H43" s="12">
        <f>$C43*'Recursos Humanos 1'!I56</f>
        <v>55020</v>
      </c>
      <c r="I43" s="12">
        <f>$C43*'Recursos Humanos 1'!J56</f>
        <v>55020</v>
      </c>
      <c r="J43" s="12">
        <f>$C43*'Recursos Humanos 1'!K56</f>
        <v>55020</v>
      </c>
      <c r="K43" s="12">
        <f>$C43*'Recursos Humanos 1'!L56</f>
        <v>55020</v>
      </c>
      <c r="L43" s="12">
        <f>$C43*'Recursos Humanos 1'!M56</f>
        <v>55020</v>
      </c>
      <c r="M43" s="12">
        <f>$C43*'Recursos Humanos 1'!N56</f>
        <v>55020</v>
      </c>
      <c r="N43" s="12">
        <f>$C43*'Recursos Humanos 1'!O56</f>
        <v>55020</v>
      </c>
      <c r="O43" s="12">
        <f>$C43*'Recursos Humanos 1'!P56</f>
        <v>55020</v>
      </c>
      <c r="P43" s="12">
        <f>$C43*'Recursos Humanos 1'!Q56</f>
        <v>55020</v>
      </c>
      <c r="Q43" s="12">
        <f>$C43*'Recursos Humanos 1'!R56</f>
        <v>55020</v>
      </c>
      <c r="R43" s="12">
        <f>$C43*'Recursos Humanos 1'!S56</f>
        <v>55020</v>
      </c>
      <c r="S43" s="12">
        <f>$C43*'Recursos Humanos 1'!T56</f>
        <v>55020</v>
      </c>
      <c r="T43" s="12">
        <f>$C43*'Recursos Humanos 1'!U56</f>
        <v>55020</v>
      </c>
      <c r="U43" s="12">
        <f>$C43*'Recursos Humanos 1'!V56</f>
        <v>55020</v>
      </c>
      <c r="V43" s="12">
        <f>$C43*'Recursos Humanos 1'!W56</f>
        <v>55020</v>
      </c>
      <c r="W43" s="12">
        <f>$C43*'Recursos Humanos 1'!X56</f>
        <v>55020</v>
      </c>
      <c r="X43" s="12">
        <f>$C43*'Recursos Humanos 1'!Y56</f>
        <v>55020</v>
      </c>
      <c r="Y43" s="12">
        <f>$C43*'Recursos Humanos 1'!Z56</f>
        <v>55020</v>
      </c>
      <c r="Z43" s="12">
        <f>$C43*'Recursos Humanos 1'!AA56</f>
        <v>55020</v>
      </c>
      <c r="AA43" s="12">
        <f>$C43*'Recursos Humanos 1'!AB56</f>
        <v>55020</v>
      </c>
      <c r="AB43" s="12">
        <f>$C43*'Recursos Humanos 1'!AC56</f>
        <v>55020</v>
      </c>
      <c r="AC43" s="12">
        <f>$C43*'Recursos Humanos 1'!AD56</f>
        <v>55020</v>
      </c>
      <c r="AD43" s="12">
        <f>$C43*'Recursos Humanos 1'!AE56</f>
        <v>55020</v>
      </c>
      <c r="AE43" s="12">
        <f>$C43*'Recursos Humanos 1'!AF56</f>
        <v>55020</v>
      </c>
      <c r="AF43" s="12">
        <f>$C43*'Recursos Humanos 1'!AG56</f>
        <v>55020</v>
      </c>
      <c r="AG43" s="12">
        <f>$C43*'Recursos Humanos 1'!AH56</f>
        <v>55020</v>
      </c>
    </row>
    <row r="44" spans="1:33" ht="15" customHeight="1" outlineLevel="1">
      <c r="A44" s="41" t="str">
        <f>'Recursos Humanos 1'!D57</f>
        <v>Técnico químico - laboratório</v>
      </c>
      <c r="B44" s="366">
        <f>ROUND(VLOOKUP(A44,'Cargos e Salários'!$M$2:$P$44,4,0),0)</f>
        <v>9000</v>
      </c>
      <c r="C44" s="371">
        <f t="shared" si="13"/>
        <v>108000</v>
      </c>
      <c r="D44" s="12">
        <f>$C44*'Recursos Humanos 1'!E57</f>
        <v>108000</v>
      </c>
      <c r="E44" s="12">
        <f>$C44*'Recursos Humanos 1'!F57</f>
        <v>108000</v>
      </c>
      <c r="F44" s="12">
        <f>$C44*'Recursos Humanos 1'!G57</f>
        <v>108000</v>
      </c>
      <c r="G44" s="12">
        <f>$C44*'Recursos Humanos 1'!H57</f>
        <v>108000</v>
      </c>
      <c r="H44" s="12">
        <f>$C44*'Recursos Humanos 1'!I57</f>
        <v>108000</v>
      </c>
      <c r="I44" s="12">
        <f>$C44*'Recursos Humanos 1'!J57</f>
        <v>108000</v>
      </c>
      <c r="J44" s="12">
        <f>$C44*'Recursos Humanos 1'!K57</f>
        <v>108000</v>
      </c>
      <c r="K44" s="12">
        <f>$C44*'Recursos Humanos 1'!L57</f>
        <v>108000</v>
      </c>
      <c r="L44" s="12">
        <f>$C44*'Recursos Humanos 1'!M57</f>
        <v>108000</v>
      </c>
      <c r="M44" s="12">
        <f>$C44*'Recursos Humanos 1'!N57</f>
        <v>108000</v>
      </c>
      <c r="N44" s="12">
        <f>$C44*'Recursos Humanos 1'!O57</f>
        <v>108000</v>
      </c>
      <c r="O44" s="12">
        <f>$C44*'Recursos Humanos 1'!P57</f>
        <v>108000</v>
      </c>
      <c r="P44" s="12">
        <f>$C44*'Recursos Humanos 1'!Q57</f>
        <v>108000</v>
      </c>
      <c r="Q44" s="12">
        <f>$C44*'Recursos Humanos 1'!R57</f>
        <v>108000</v>
      </c>
      <c r="R44" s="12">
        <f>$C44*'Recursos Humanos 1'!S57</f>
        <v>108000</v>
      </c>
      <c r="S44" s="12">
        <f>$C44*'Recursos Humanos 1'!T57</f>
        <v>108000</v>
      </c>
      <c r="T44" s="12">
        <f>$C44*'Recursos Humanos 1'!U57</f>
        <v>108000</v>
      </c>
      <c r="U44" s="12">
        <f>$C44*'Recursos Humanos 1'!V57</f>
        <v>108000</v>
      </c>
      <c r="V44" s="12">
        <f>$C44*'Recursos Humanos 1'!W57</f>
        <v>108000</v>
      </c>
      <c r="W44" s="12">
        <f>$C44*'Recursos Humanos 1'!X57</f>
        <v>108000</v>
      </c>
      <c r="X44" s="12">
        <f>$C44*'Recursos Humanos 1'!Y57</f>
        <v>108000</v>
      </c>
      <c r="Y44" s="12">
        <f>$C44*'Recursos Humanos 1'!Z57</f>
        <v>108000</v>
      </c>
      <c r="Z44" s="12">
        <f>$C44*'Recursos Humanos 1'!AA57</f>
        <v>108000</v>
      </c>
      <c r="AA44" s="12">
        <f>$C44*'Recursos Humanos 1'!AB57</f>
        <v>108000</v>
      </c>
      <c r="AB44" s="12">
        <f>$C44*'Recursos Humanos 1'!AC57</f>
        <v>108000</v>
      </c>
      <c r="AC44" s="12">
        <f>$C44*'Recursos Humanos 1'!AD57</f>
        <v>108000</v>
      </c>
      <c r="AD44" s="12">
        <f>$C44*'Recursos Humanos 1'!AE57</f>
        <v>108000</v>
      </c>
      <c r="AE44" s="12">
        <f>$C44*'Recursos Humanos 1'!AF57</f>
        <v>108000</v>
      </c>
      <c r="AF44" s="12">
        <f>$C44*'Recursos Humanos 1'!AG57</f>
        <v>108000</v>
      </c>
      <c r="AG44" s="12">
        <f>$C44*'Recursos Humanos 1'!AH57</f>
        <v>108000</v>
      </c>
    </row>
    <row r="45" spans="1:33" ht="15" customHeight="1" outlineLevel="1">
      <c r="A45" s="41" t="str">
        <f>'Recursos Humanos 1'!D58</f>
        <v>Auxiliar de laboratório</v>
      </c>
      <c r="B45" s="366">
        <f>ROUND(VLOOKUP(A45,'Cargos e Salários'!$M$2:$P$44,4,0),0)</f>
        <v>6918</v>
      </c>
      <c r="C45" s="371">
        <f t="shared" si="13"/>
        <v>83016</v>
      </c>
      <c r="D45" s="12">
        <f>$C45*'Recursos Humanos 1'!E58</f>
        <v>166032</v>
      </c>
      <c r="E45" s="12">
        <f>$C45*'Recursos Humanos 1'!F58</f>
        <v>166032</v>
      </c>
      <c r="F45" s="12">
        <f>$C45*'Recursos Humanos 1'!G58</f>
        <v>249048</v>
      </c>
      <c r="G45" s="12">
        <f>$C45*'Recursos Humanos 1'!H58</f>
        <v>249048</v>
      </c>
      <c r="H45" s="12">
        <f>$C45*'Recursos Humanos 1'!I58</f>
        <v>249048</v>
      </c>
      <c r="I45" s="12">
        <f>$C45*'Recursos Humanos 1'!J58</f>
        <v>249048</v>
      </c>
      <c r="J45" s="12">
        <f>$C45*'Recursos Humanos 1'!K58</f>
        <v>249048</v>
      </c>
      <c r="K45" s="12">
        <f>$C45*'Recursos Humanos 1'!L58</f>
        <v>249048</v>
      </c>
      <c r="L45" s="12">
        <f>$C45*'Recursos Humanos 1'!M58</f>
        <v>249048</v>
      </c>
      <c r="M45" s="12">
        <f>$C45*'Recursos Humanos 1'!N58</f>
        <v>249048</v>
      </c>
      <c r="N45" s="12">
        <f>$C45*'Recursos Humanos 1'!O58</f>
        <v>249048</v>
      </c>
      <c r="O45" s="12">
        <f>$C45*'Recursos Humanos 1'!P58</f>
        <v>249048</v>
      </c>
      <c r="P45" s="12">
        <f>$C45*'Recursos Humanos 1'!Q58</f>
        <v>249048</v>
      </c>
      <c r="Q45" s="12">
        <f>$C45*'Recursos Humanos 1'!R58</f>
        <v>249048</v>
      </c>
      <c r="R45" s="12">
        <f>$C45*'Recursos Humanos 1'!S58</f>
        <v>249048</v>
      </c>
      <c r="S45" s="12">
        <f>$C45*'Recursos Humanos 1'!T58</f>
        <v>249048</v>
      </c>
      <c r="T45" s="12">
        <f>$C45*'Recursos Humanos 1'!U58</f>
        <v>249048</v>
      </c>
      <c r="U45" s="12">
        <f>$C45*'Recursos Humanos 1'!V58</f>
        <v>249048</v>
      </c>
      <c r="V45" s="12">
        <f>$C45*'Recursos Humanos 1'!W58</f>
        <v>249048</v>
      </c>
      <c r="W45" s="12">
        <f>$C45*'Recursos Humanos 1'!X58</f>
        <v>249048</v>
      </c>
      <c r="X45" s="12">
        <f>$C45*'Recursos Humanos 1'!Y58</f>
        <v>249048</v>
      </c>
      <c r="Y45" s="12">
        <f>$C45*'Recursos Humanos 1'!Z58</f>
        <v>249048</v>
      </c>
      <c r="Z45" s="12">
        <f>$C45*'Recursos Humanos 1'!AA58</f>
        <v>249048</v>
      </c>
      <c r="AA45" s="12">
        <f>$C45*'Recursos Humanos 1'!AB58</f>
        <v>249048</v>
      </c>
      <c r="AB45" s="12">
        <f>$C45*'Recursos Humanos 1'!AC58</f>
        <v>249048</v>
      </c>
      <c r="AC45" s="12">
        <f>$C45*'Recursos Humanos 1'!AD58</f>
        <v>249048</v>
      </c>
      <c r="AD45" s="12">
        <f>$C45*'Recursos Humanos 1'!AE58</f>
        <v>249048</v>
      </c>
      <c r="AE45" s="12">
        <f>$C45*'Recursos Humanos 1'!AF58</f>
        <v>249048</v>
      </c>
      <c r="AF45" s="12">
        <f>$C45*'Recursos Humanos 1'!AG58</f>
        <v>249048</v>
      </c>
      <c r="AG45" s="12">
        <f>$C45*'Recursos Humanos 1'!AH58</f>
        <v>249048</v>
      </c>
    </row>
    <row r="46" spans="1:33" ht="15" customHeight="1" outlineLevel="1">
      <c r="A46" s="41" t="str">
        <f>'Recursos Humanos 1'!D59</f>
        <v>Programador de ordens de serviço água e esgoto</v>
      </c>
      <c r="B46" s="366">
        <f>ROUND(VLOOKUP(A46,'Cargos e Salários'!$M$2:$P$44,4,0),0)</f>
        <v>5946</v>
      </c>
      <c r="C46" s="371">
        <f t="shared" si="13"/>
        <v>71352</v>
      </c>
      <c r="D46" s="12">
        <f>$C46*'Recursos Humanos 1'!E59</f>
        <v>71352</v>
      </c>
      <c r="E46" s="12">
        <f>$C46*'Recursos Humanos 1'!F59</f>
        <v>71352</v>
      </c>
      <c r="F46" s="12">
        <f>$C46*'Recursos Humanos 1'!G59</f>
        <v>142704</v>
      </c>
      <c r="G46" s="12">
        <f>$C46*'Recursos Humanos 1'!H59</f>
        <v>142704</v>
      </c>
      <c r="H46" s="12">
        <f>$C46*'Recursos Humanos 1'!I59</f>
        <v>142704</v>
      </c>
      <c r="I46" s="12">
        <f>$C46*'Recursos Humanos 1'!J59</f>
        <v>142704</v>
      </c>
      <c r="J46" s="12">
        <f>$C46*'Recursos Humanos 1'!K59</f>
        <v>142704</v>
      </c>
      <c r="K46" s="12">
        <f>$C46*'Recursos Humanos 1'!L59</f>
        <v>142704</v>
      </c>
      <c r="L46" s="12">
        <f>$C46*'Recursos Humanos 1'!M59</f>
        <v>142704</v>
      </c>
      <c r="M46" s="12">
        <f>$C46*'Recursos Humanos 1'!N59</f>
        <v>142704</v>
      </c>
      <c r="N46" s="12">
        <f>$C46*'Recursos Humanos 1'!O59</f>
        <v>142704</v>
      </c>
      <c r="O46" s="12">
        <f>$C46*'Recursos Humanos 1'!P59</f>
        <v>142704</v>
      </c>
      <c r="P46" s="12">
        <f>$C46*'Recursos Humanos 1'!Q59</f>
        <v>142704</v>
      </c>
      <c r="Q46" s="12">
        <f>$C46*'Recursos Humanos 1'!R59</f>
        <v>142704</v>
      </c>
      <c r="R46" s="12">
        <f>$C46*'Recursos Humanos 1'!S59</f>
        <v>142704</v>
      </c>
      <c r="S46" s="12">
        <f>$C46*'Recursos Humanos 1'!T59</f>
        <v>142704</v>
      </c>
      <c r="T46" s="12">
        <f>$C46*'Recursos Humanos 1'!U59</f>
        <v>142704</v>
      </c>
      <c r="U46" s="12">
        <f>$C46*'Recursos Humanos 1'!V59</f>
        <v>142704</v>
      </c>
      <c r="V46" s="12">
        <f>$C46*'Recursos Humanos 1'!W59</f>
        <v>142704</v>
      </c>
      <c r="W46" s="12">
        <f>$C46*'Recursos Humanos 1'!X59</f>
        <v>142704</v>
      </c>
      <c r="X46" s="12">
        <f>$C46*'Recursos Humanos 1'!Y59</f>
        <v>142704</v>
      </c>
      <c r="Y46" s="12">
        <f>$C46*'Recursos Humanos 1'!Z59</f>
        <v>142704</v>
      </c>
      <c r="Z46" s="12">
        <f>$C46*'Recursos Humanos 1'!AA59</f>
        <v>142704</v>
      </c>
      <c r="AA46" s="12">
        <f>$C46*'Recursos Humanos 1'!AB59</f>
        <v>142704</v>
      </c>
      <c r="AB46" s="12">
        <f>$C46*'Recursos Humanos 1'!AC59</f>
        <v>142704</v>
      </c>
      <c r="AC46" s="12">
        <f>$C46*'Recursos Humanos 1'!AD59</f>
        <v>142704</v>
      </c>
      <c r="AD46" s="12">
        <f>$C46*'Recursos Humanos 1'!AE59</f>
        <v>142704</v>
      </c>
      <c r="AE46" s="12">
        <f>$C46*'Recursos Humanos 1'!AF59</f>
        <v>142704</v>
      </c>
      <c r="AF46" s="12">
        <f>$C46*'Recursos Humanos 1'!AG59</f>
        <v>142704</v>
      </c>
      <c r="AG46" s="12">
        <f>$C46*'Recursos Humanos 1'!AH59</f>
        <v>142704</v>
      </c>
    </row>
    <row r="47" spans="1:33" ht="15" customHeight="1" outlineLevel="1">
      <c r="A47" s="41" t="str">
        <f>'Recursos Humanos 1'!D60</f>
        <v>Encanador líder - água e esgoto</v>
      </c>
      <c r="B47" s="366">
        <f>ROUND(VLOOKUP(A47,'Cargos e Salários'!$M$2:$P$44,4,0),0)</f>
        <v>10775</v>
      </c>
      <c r="C47" s="371">
        <f t="shared" si="13"/>
        <v>129300</v>
      </c>
      <c r="D47" s="12">
        <f>$C47*'Recursos Humanos 1'!E60</f>
        <v>129300</v>
      </c>
      <c r="E47" s="12">
        <f>$C47*'Recursos Humanos 1'!F60</f>
        <v>129300</v>
      </c>
      <c r="F47" s="12">
        <f>$C47*'Recursos Humanos 1'!G60</f>
        <v>258600</v>
      </c>
      <c r="G47" s="12">
        <f>$C47*'Recursos Humanos 1'!H60</f>
        <v>258600</v>
      </c>
      <c r="H47" s="12">
        <f>$C47*'Recursos Humanos 1'!I60</f>
        <v>258600</v>
      </c>
      <c r="I47" s="12">
        <f>$C47*'Recursos Humanos 1'!J60</f>
        <v>258600</v>
      </c>
      <c r="J47" s="12">
        <f>$C47*'Recursos Humanos 1'!K60</f>
        <v>258600</v>
      </c>
      <c r="K47" s="12">
        <f>$C47*'Recursos Humanos 1'!L60</f>
        <v>258600</v>
      </c>
      <c r="L47" s="12">
        <f>$C47*'Recursos Humanos 1'!M60</f>
        <v>258600</v>
      </c>
      <c r="M47" s="12">
        <f>$C47*'Recursos Humanos 1'!N60</f>
        <v>258600</v>
      </c>
      <c r="N47" s="12">
        <f>$C47*'Recursos Humanos 1'!O60</f>
        <v>258600</v>
      </c>
      <c r="O47" s="12">
        <f>$C47*'Recursos Humanos 1'!P60</f>
        <v>258600</v>
      </c>
      <c r="P47" s="12">
        <f>$C47*'Recursos Humanos 1'!Q60</f>
        <v>258600</v>
      </c>
      <c r="Q47" s="12">
        <f>$C47*'Recursos Humanos 1'!R60</f>
        <v>258600</v>
      </c>
      <c r="R47" s="12">
        <f>$C47*'Recursos Humanos 1'!S60</f>
        <v>258600</v>
      </c>
      <c r="S47" s="12">
        <f>$C47*'Recursos Humanos 1'!T60</f>
        <v>258600</v>
      </c>
      <c r="T47" s="12">
        <f>$C47*'Recursos Humanos 1'!U60</f>
        <v>258600</v>
      </c>
      <c r="U47" s="12">
        <f>$C47*'Recursos Humanos 1'!V60</f>
        <v>258600</v>
      </c>
      <c r="V47" s="12">
        <f>$C47*'Recursos Humanos 1'!W60</f>
        <v>258600</v>
      </c>
      <c r="W47" s="12">
        <f>$C47*'Recursos Humanos 1'!X60</f>
        <v>258600</v>
      </c>
      <c r="X47" s="12">
        <f>$C47*'Recursos Humanos 1'!Y60</f>
        <v>258600</v>
      </c>
      <c r="Y47" s="12">
        <f>$C47*'Recursos Humanos 1'!Z60</f>
        <v>258600</v>
      </c>
      <c r="Z47" s="12">
        <f>$C47*'Recursos Humanos 1'!AA60</f>
        <v>258600</v>
      </c>
      <c r="AA47" s="12">
        <f>$C47*'Recursos Humanos 1'!AB60</f>
        <v>258600</v>
      </c>
      <c r="AB47" s="12">
        <f>$C47*'Recursos Humanos 1'!AC60</f>
        <v>258600</v>
      </c>
      <c r="AC47" s="12">
        <f>$C47*'Recursos Humanos 1'!AD60</f>
        <v>258600</v>
      </c>
      <c r="AD47" s="12">
        <f>$C47*'Recursos Humanos 1'!AE60</f>
        <v>258600</v>
      </c>
      <c r="AE47" s="12">
        <f>$C47*'Recursos Humanos 1'!AF60</f>
        <v>258600</v>
      </c>
      <c r="AF47" s="12">
        <f>$C47*'Recursos Humanos 1'!AG60</f>
        <v>258600</v>
      </c>
      <c r="AG47" s="12">
        <f>$C47*'Recursos Humanos 1'!AH60</f>
        <v>258600</v>
      </c>
    </row>
    <row r="48" spans="1:33" ht="15" customHeight="1" outlineLevel="1">
      <c r="A48" s="41" t="str">
        <f>'Recursos Humanos 1'!D61</f>
        <v>Encanador - água e esgoto</v>
      </c>
      <c r="B48" s="366">
        <f>ROUND(VLOOKUP(A48,'Cargos e Salários'!$M$2:$P$44,4,0),0)</f>
        <v>5400</v>
      </c>
      <c r="C48" s="371">
        <f t="shared" si="13"/>
        <v>64800</v>
      </c>
      <c r="D48" s="12">
        <f>$C48*'Recursos Humanos 1'!E61</f>
        <v>0</v>
      </c>
      <c r="E48" s="12">
        <f>$C48*'Recursos Humanos 1'!F61</f>
        <v>0</v>
      </c>
      <c r="F48" s="12">
        <f>$C48*'Recursos Humanos 1'!G61</f>
        <v>0</v>
      </c>
      <c r="G48" s="12">
        <f>$C48*'Recursos Humanos 1'!H61</f>
        <v>0</v>
      </c>
      <c r="H48" s="12">
        <f>$C48*'Recursos Humanos 1'!I61</f>
        <v>0</v>
      </c>
      <c r="I48" s="12">
        <f>$C48*'Recursos Humanos 1'!J61</f>
        <v>0</v>
      </c>
      <c r="J48" s="12">
        <f>$C48*'Recursos Humanos 1'!K61</f>
        <v>0</v>
      </c>
      <c r="K48" s="12">
        <f>$C48*'Recursos Humanos 1'!L61</f>
        <v>0</v>
      </c>
      <c r="L48" s="12">
        <f>$C48*'Recursos Humanos 1'!M61</f>
        <v>0</v>
      </c>
      <c r="M48" s="12">
        <f>$C48*'Recursos Humanos 1'!N61</f>
        <v>0</v>
      </c>
      <c r="N48" s="12">
        <f>$C48*'Recursos Humanos 1'!O61</f>
        <v>0</v>
      </c>
      <c r="O48" s="12">
        <f>$C48*'Recursos Humanos 1'!P61</f>
        <v>0</v>
      </c>
      <c r="P48" s="12">
        <f>$C48*'Recursos Humanos 1'!Q61</f>
        <v>0</v>
      </c>
      <c r="Q48" s="12">
        <f>$C48*'Recursos Humanos 1'!R61</f>
        <v>0</v>
      </c>
      <c r="R48" s="12">
        <f>$C48*'Recursos Humanos 1'!S61</f>
        <v>0</v>
      </c>
      <c r="S48" s="12">
        <f>$C48*'Recursos Humanos 1'!T61</f>
        <v>0</v>
      </c>
      <c r="T48" s="12">
        <f>$C48*'Recursos Humanos 1'!U61</f>
        <v>0</v>
      </c>
      <c r="U48" s="12">
        <f>$C48*'Recursos Humanos 1'!V61</f>
        <v>0</v>
      </c>
      <c r="V48" s="12">
        <f>$C48*'Recursos Humanos 1'!W61</f>
        <v>0</v>
      </c>
      <c r="W48" s="12">
        <f>$C48*'Recursos Humanos 1'!X61</f>
        <v>0</v>
      </c>
      <c r="X48" s="12">
        <f>$C48*'Recursos Humanos 1'!Y61</f>
        <v>0</v>
      </c>
      <c r="Y48" s="12">
        <f>$C48*'Recursos Humanos 1'!Z61</f>
        <v>0</v>
      </c>
      <c r="Z48" s="12">
        <f>$C48*'Recursos Humanos 1'!AA61</f>
        <v>0</v>
      </c>
      <c r="AA48" s="12">
        <f>$C48*'Recursos Humanos 1'!AB61</f>
        <v>0</v>
      </c>
      <c r="AB48" s="12">
        <f>$C48*'Recursos Humanos 1'!AC61</f>
        <v>0</v>
      </c>
      <c r="AC48" s="12">
        <f>$C48*'Recursos Humanos 1'!AD61</f>
        <v>0</v>
      </c>
      <c r="AD48" s="12">
        <f>$C48*'Recursos Humanos 1'!AE61</f>
        <v>0</v>
      </c>
      <c r="AE48" s="12">
        <f>$C48*'Recursos Humanos 1'!AF61</f>
        <v>0</v>
      </c>
      <c r="AF48" s="12">
        <f>$C48*'Recursos Humanos 1'!AG61</f>
        <v>0</v>
      </c>
      <c r="AG48" s="12">
        <f>$C48*'Recursos Humanos 1'!AH61</f>
        <v>0</v>
      </c>
    </row>
    <row r="49" spans="1:33" ht="15" customHeight="1" outlineLevel="1">
      <c r="A49" s="41" t="str">
        <f>'Recursos Humanos 1'!D62</f>
        <v>Encanador - caça fraudes água e esgoto</v>
      </c>
      <c r="B49" s="366">
        <f>ROUND(VLOOKUP(A49,'Cargos e Salários'!$M$2:$P$44,4,0),0)</f>
        <v>5400</v>
      </c>
      <c r="C49" s="371">
        <f t="shared" si="13"/>
        <v>64800</v>
      </c>
      <c r="D49" s="12">
        <f>$C49*'Recursos Humanos 1'!E62</f>
        <v>129600</v>
      </c>
      <c r="E49" s="12">
        <f>$C49*'Recursos Humanos 1'!F62</f>
        <v>129600</v>
      </c>
      <c r="F49" s="12">
        <f>$C49*'Recursos Humanos 1'!G62</f>
        <v>129600</v>
      </c>
      <c r="G49" s="12">
        <f>$C49*'Recursos Humanos 1'!H62</f>
        <v>129600</v>
      </c>
      <c r="H49" s="12">
        <f>$C49*'Recursos Humanos 1'!I62</f>
        <v>194400</v>
      </c>
      <c r="I49" s="12">
        <f>$C49*'Recursos Humanos 1'!J62</f>
        <v>194400</v>
      </c>
      <c r="J49" s="12">
        <f>$C49*'Recursos Humanos 1'!K62</f>
        <v>194400</v>
      </c>
      <c r="K49" s="12">
        <f>$C49*'Recursos Humanos 1'!L62</f>
        <v>194400</v>
      </c>
      <c r="L49" s="12">
        <f>$C49*'Recursos Humanos 1'!M62</f>
        <v>194400</v>
      </c>
      <c r="M49" s="12">
        <f>$C49*'Recursos Humanos 1'!N62</f>
        <v>194400</v>
      </c>
      <c r="N49" s="12">
        <f>$C49*'Recursos Humanos 1'!O62</f>
        <v>259200</v>
      </c>
      <c r="O49" s="12">
        <f>$C49*'Recursos Humanos 1'!P62</f>
        <v>259200</v>
      </c>
      <c r="P49" s="12">
        <f>$C49*'Recursos Humanos 1'!Q62</f>
        <v>259200</v>
      </c>
      <c r="Q49" s="12">
        <f>$C49*'Recursos Humanos 1'!R62</f>
        <v>259200</v>
      </c>
      <c r="R49" s="12">
        <f>$C49*'Recursos Humanos 1'!S62</f>
        <v>259200</v>
      </c>
      <c r="S49" s="12">
        <f>$C49*'Recursos Humanos 1'!T62</f>
        <v>259200</v>
      </c>
      <c r="T49" s="12">
        <f>$C49*'Recursos Humanos 1'!U62</f>
        <v>259200</v>
      </c>
      <c r="U49" s="12">
        <f>$C49*'Recursos Humanos 1'!V62</f>
        <v>259200</v>
      </c>
      <c r="V49" s="12">
        <f>$C49*'Recursos Humanos 1'!W62</f>
        <v>259200</v>
      </c>
      <c r="W49" s="12">
        <f>$C49*'Recursos Humanos 1'!X62</f>
        <v>259200</v>
      </c>
      <c r="X49" s="12">
        <f>$C49*'Recursos Humanos 1'!Y62</f>
        <v>259200</v>
      </c>
      <c r="Y49" s="12">
        <f>$C49*'Recursos Humanos 1'!Z62</f>
        <v>259200</v>
      </c>
      <c r="Z49" s="12">
        <f>$C49*'Recursos Humanos 1'!AA62</f>
        <v>259200</v>
      </c>
      <c r="AA49" s="12">
        <f>$C49*'Recursos Humanos 1'!AB62</f>
        <v>259200</v>
      </c>
      <c r="AB49" s="12">
        <f>$C49*'Recursos Humanos 1'!AC62</f>
        <v>259200</v>
      </c>
      <c r="AC49" s="12">
        <f>$C49*'Recursos Humanos 1'!AD62</f>
        <v>259200</v>
      </c>
      <c r="AD49" s="12">
        <f>$C49*'Recursos Humanos 1'!AE62</f>
        <v>259200</v>
      </c>
      <c r="AE49" s="12">
        <f>$C49*'Recursos Humanos 1'!AF62</f>
        <v>259200</v>
      </c>
      <c r="AF49" s="12">
        <f>$C49*'Recursos Humanos 1'!AG62</f>
        <v>259200</v>
      </c>
      <c r="AG49" s="12">
        <f>$C49*'Recursos Humanos 1'!AH62</f>
        <v>259200</v>
      </c>
    </row>
  </sheetData>
  <mergeCells count="7">
    <mergeCell ref="B9:C9"/>
    <mergeCell ref="B8:C8"/>
    <mergeCell ref="B3:C3"/>
    <mergeCell ref="B4:C4"/>
    <mergeCell ref="B5:C5"/>
    <mergeCell ref="B6:C6"/>
    <mergeCell ref="B7:C7"/>
  </mergeCells>
  <phoneticPr fontId="12" type="noConversion"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</sheetPr>
  <dimension ref="A1:AV38"/>
  <sheetViews>
    <sheetView showGridLines="0" showZeros="0" zoomScale="70" zoomScaleNormal="70" zoomScalePageLayoutView="90" workbookViewId="0">
      <pane xSplit="1" ySplit="3" topLeftCell="B4" activePane="bottomRight" state="frozen"/>
      <selection activeCell="L3" sqref="L3:L108"/>
      <selection pane="topRight" activeCell="L3" sqref="L3:L108"/>
      <selection pane="bottomLeft" activeCell="L3" sqref="L3:L108"/>
      <selection pane="bottomRight" activeCell="H14" sqref="H14"/>
    </sheetView>
  </sheetViews>
  <sheetFormatPr defaultColWidth="11.44140625" defaultRowHeight="15" customHeight="1"/>
  <cols>
    <col min="1" max="1" width="10.77734375" style="56" customWidth="1"/>
    <col min="2" max="2" width="27.6640625" style="56" customWidth="1"/>
    <col min="3" max="3" width="30.77734375" style="56" customWidth="1"/>
    <col min="4" max="4" width="32.33203125" style="56" customWidth="1"/>
    <col min="5" max="5" width="32.44140625" style="56" customWidth="1"/>
    <col min="6" max="6" width="34.44140625" style="56" customWidth="1"/>
    <col min="7" max="7" width="31.109375" style="56" customWidth="1"/>
    <col min="8" max="13" width="27.77734375" style="56" customWidth="1"/>
    <col min="14" max="16" width="27.6640625" style="56" customWidth="1"/>
    <col min="17" max="17" width="28" style="56" customWidth="1"/>
    <col min="18" max="18" width="3.44140625" style="56" customWidth="1"/>
    <col min="19" max="19" width="38.6640625" style="56" customWidth="1"/>
    <col min="20" max="20" width="45" style="56" customWidth="1"/>
    <col min="21" max="21" width="50.109375" style="56" customWidth="1"/>
    <col min="22" max="25" width="12.44140625" style="56" bestFit="1" customWidth="1"/>
    <col min="26" max="27" width="10.77734375" style="56" bestFit="1" customWidth="1"/>
    <col min="28" max="48" width="12.44140625" style="56" bestFit="1" customWidth="1"/>
    <col min="49" max="16384" width="11.44140625" style="56"/>
  </cols>
  <sheetData>
    <row r="1" spans="1:48" s="49" customFormat="1" ht="40.049999999999997" customHeight="1">
      <c r="A1" s="992" t="s">
        <v>309</v>
      </c>
      <c r="B1" s="993"/>
      <c r="C1" s="993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3"/>
      <c r="O1" s="994"/>
      <c r="P1" s="994"/>
      <c r="Q1" s="995"/>
      <c r="S1" s="996" t="s">
        <v>531</v>
      </c>
      <c r="T1" s="996"/>
    </row>
    <row r="2" spans="1:48" s="51" customFormat="1" ht="15" customHeight="1">
      <c r="A2" s="50"/>
      <c r="B2" s="997" t="s">
        <v>313</v>
      </c>
      <c r="C2" s="998"/>
      <c r="D2" s="998"/>
      <c r="E2" s="998"/>
      <c r="F2" s="998"/>
      <c r="G2" s="998"/>
      <c r="H2" s="998"/>
      <c r="I2" s="999"/>
      <c r="J2" s="997" t="s">
        <v>314</v>
      </c>
      <c r="K2" s="998"/>
      <c r="L2" s="998"/>
      <c r="M2" s="998"/>
      <c r="N2" s="998"/>
      <c r="O2" s="998"/>
      <c r="P2" s="998"/>
      <c r="Q2" s="999"/>
      <c r="S2" s="161"/>
      <c r="T2" s="162"/>
    </row>
    <row r="3" spans="1:48" s="53" customFormat="1" ht="42.45" customHeight="1">
      <c r="A3" s="2" t="s">
        <v>1</v>
      </c>
      <c r="B3" s="163" t="s">
        <v>971</v>
      </c>
      <c r="C3" s="567" t="s">
        <v>972</v>
      </c>
      <c r="D3" s="163" t="s">
        <v>973</v>
      </c>
      <c r="E3" s="567" t="s">
        <v>974</v>
      </c>
      <c r="F3" s="163" t="s">
        <v>975</v>
      </c>
      <c r="G3" s="567" t="s">
        <v>976</v>
      </c>
      <c r="H3" s="727" t="s">
        <v>977</v>
      </c>
      <c r="I3" s="727" t="s">
        <v>978</v>
      </c>
      <c r="J3" s="163" t="s">
        <v>979</v>
      </c>
      <c r="K3" s="567" t="s">
        <v>980</v>
      </c>
      <c r="L3" s="163" t="s">
        <v>981</v>
      </c>
      <c r="M3" s="567" t="s">
        <v>982</v>
      </c>
      <c r="N3" s="163" t="s">
        <v>983</v>
      </c>
      <c r="O3" s="567" t="s">
        <v>984</v>
      </c>
      <c r="P3" s="727" t="s">
        <v>985</v>
      </c>
      <c r="Q3" s="727" t="s">
        <v>986</v>
      </c>
      <c r="R3" s="58"/>
      <c r="S3" s="163" t="s">
        <v>307</v>
      </c>
      <c r="T3" s="164" t="s">
        <v>308</v>
      </c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</row>
    <row r="4" spans="1:48" ht="15" customHeight="1">
      <c r="A4" s="54">
        <v>1</v>
      </c>
      <c r="B4" s="139">
        <f>('Evolução Volume'!L4*'Dados de Entrada'!$D$53)</f>
        <v>13303505.270529635</v>
      </c>
      <c r="C4" s="139">
        <f>B4*'Dados de Entrada'!$D$51</f>
        <v>9334190.8547330648</v>
      </c>
      <c r="D4" s="139">
        <f>('Evolução Volume'!N4*'Dados de Entrada'!$E$53)</f>
        <v>39354.631639678453</v>
      </c>
      <c r="E4" s="139">
        <f>D4*'Dados de Entrada'!$E$51</f>
        <v>27612.545360975422</v>
      </c>
      <c r="F4" s="139">
        <f>('Evolução Volume'!P4*'Dados de Entrada'!$F$53)</f>
        <v>6054.5587137966841</v>
      </c>
      <c r="G4" s="139">
        <f>F4*'Dados de Entrada'!$F$51</f>
        <v>4248.0839016885257</v>
      </c>
      <c r="H4" s="637">
        <f>B4+D4+F4</f>
        <v>13348914.460883111</v>
      </c>
      <c r="I4" s="637">
        <f>C4+E4+G4</f>
        <v>9366051.4839957282</v>
      </c>
      <c r="J4" s="139">
        <f>('Evolução Volume'!R4*'Dados de Entrada'!$D$57)</f>
        <v>0</v>
      </c>
      <c r="K4" s="139">
        <f>J4*'Dados de Entrada'!$D$52</f>
        <v>0</v>
      </c>
      <c r="L4" s="139">
        <f>('Evolução Volume'!S4*'Dados de Entrada'!$E$57)</f>
        <v>0</v>
      </c>
      <c r="M4" s="139">
        <f>L4*'Dados de Entrada'!$E$52</f>
        <v>0</v>
      </c>
      <c r="N4" s="139">
        <f>('Evolução Volume'!T4*'Dados de Entrada'!$F$57)</f>
        <v>0</v>
      </c>
      <c r="O4" s="139">
        <f>M4*'Dados de Entrada'!$F$52</f>
        <v>0</v>
      </c>
      <c r="P4" s="637">
        <f>SUM(J4,L4,N4)</f>
        <v>0</v>
      </c>
      <c r="Q4" s="637">
        <f>SUM(K4,M4,O4)</f>
        <v>0</v>
      </c>
      <c r="R4" s="55"/>
      <c r="S4" s="139">
        <f>P4+H4</f>
        <v>13348914.460883111</v>
      </c>
      <c r="T4" s="139">
        <f>Q4+I4</f>
        <v>9366051.4839957282</v>
      </c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</row>
    <row r="5" spans="1:48" ht="15" customHeight="1">
      <c r="A5" s="54">
        <f xml:space="preserve"> ( ( A4 ) + ( 1 ) )</f>
        <v>2</v>
      </c>
      <c r="B5" s="139">
        <f>('Evolução Volume'!L5*'Dados de Entrada'!$D$53)</f>
        <v>13091906.576792559</v>
      </c>
      <c r="C5" s="139">
        <f>B5*'Dados de Entrada'!$D$51</f>
        <v>9185726.0289754961</v>
      </c>
      <c r="D5" s="139">
        <f>('Evolução Volume'!N5*'Dados de Entrada'!$E$53)</f>
        <v>38684.917789703286</v>
      </c>
      <c r="E5" s="139">
        <f>D5*'Dados de Entrada'!$E$51</f>
        <v>27142.651391934476</v>
      </c>
      <c r="F5" s="139">
        <f>('Evolução Volume'!P5*'Dados de Entrada'!$F$53)</f>
        <v>5998.6106699223456</v>
      </c>
      <c r="G5" s="139">
        <f>F5*'Dados de Entrada'!$F$51</f>
        <v>4208.8288550784482</v>
      </c>
      <c r="H5" s="637">
        <f t="shared" ref="H5:H33" si="0">B5+D5+F5</f>
        <v>13136590.105252184</v>
      </c>
      <c r="I5" s="637">
        <f t="shared" ref="I5:I33" si="1">C5+E5+G5</f>
        <v>9217077.5092225093</v>
      </c>
      <c r="J5" s="139">
        <f>('Evolução Volume'!R5*'Dados de Entrada'!$D$57)</f>
        <v>0</v>
      </c>
      <c r="K5" s="139">
        <f>J5*'Dados de Entrada'!$D$52</f>
        <v>0</v>
      </c>
      <c r="L5" s="139">
        <f>('Evolução Volume'!S5*'Dados de Entrada'!$E$57)</f>
        <v>0</v>
      </c>
      <c r="M5" s="139">
        <f>L5*'Dados de Entrada'!$E$52</f>
        <v>0</v>
      </c>
      <c r="N5" s="139">
        <f>('Evolução Volume'!T5*'Dados de Entrada'!$F$57)</f>
        <v>0</v>
      </c>
      <c r="O5" s="139">
        <f>M5*'Dados de Entrada'!$F$52</f>
        <v>0</v>
      </c>
      <c r="P5" s="637">
        <f t="shared" ref="P5:P33" si="2">SUM(J5,L5,N5)</f>
        <v>0</v>
      </c>
      <c r="Q5" s="637">
        <f t="shared" ref="Q5:Q33" si="3">SUM(K5,M5,O5)</f>
        <v>0</v>
      </c>
      <c r="R5" s="55"/>
      <c r="S5" s="139">
        <f t="shared" ref="S5:S33" si="4">P5+H5</f>
        <v>13136590.105252184</v>
      </c>
      <c r="T5" s="139">
        <f t="shared" ref="T5:T33" si="5">Q5+I5</f>
        <v>9217077.5092225093</v>
      </c>
      <c r="U5" s="57"/>
      <c r="V5" s="55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</row>
    <row r="6" spans="1:48" ht="15" customHeight="1">
      <c r="A6" s="54">
        <f t="shared" ref="A6:A33" si="6" xml:space="preserve"> ( ( A5 ) + ( 1 ) )</f>
        <v>3</v>
      </c>
      <c r="B6" s="139">
        <f>('Evolução Volume'!L6*'Dados de Entrada'!$D$53)</f>
        <v>12934605.200343177</v>
      </c>
      <c r="C6" s="139">
        <f>B6*'Dados de Entrada'!$D$51</f>
        <v>9075358.0440246928</v>
      </c>
      <c r="D6" s="139">
        <f>('Evolução Volume'!N6*'Dados de Entrada'!$E$53)</f>
        <v>38178.053443802222</v>
      </c>
      <c r="E6" s="139">
        <f>D6*'Dados de Entrada'!$E$51</f>
        <v>26787.01816250429</v>
      </c>
      <c r="F6" s="139">
        <f>('Evolução Volume'!P6*'Dados de Entrada'!$F$53)</f>
        <v>5965.3208505940966</v>
      </c>
      <c r="G6" s="139">
        <f>F6*'Dados de Entrada'!$F$51</f>
        <v>4185.4715878912948</v>
      </c>
      <c r="H6" s="637">
        <f t="shared" si="0"/>
        <v>12978748.574637573</v>
      </c>
      <c r="I6" s="637">
        <f t="shared" si="1"/>
        <v>9106330.5337750874</v>
      </c>
      <c r="J6" s="139">
        <f>('Evolução Volume'!R6*'Dados de Entrada'!$D$57)</f>
        <v>0</v>
      </c>
      <c r="K6" s="139">
        <f>J6*'Dados de Entrada'!$D$52</f>
        <v>0</v>
      </c>
      <c r="L6" s="139">
        <f>('Evolução Volume'!S6*'Dados de Entrada'!$E$57)</f>
        <v>0</v>
      </c>
      <c r="M6" s="139">
        <f>L6*'Dados de Entrada'!$E$52</f>
        <v>0</v>
      </c>
      <c r="N6" s="139">
        <f>('Evolução Volume'!T6*'Dados de Entrada'!$F$57)</f>
        <v>0</v>
      </c>
      <c r="O6" s="139">
        <f>M6*'Dados de Entrada'!$F$52</f>
        <v>0</v>
      </c>
      <c r="P6" s="637">
        <f t="shared" si="2"/>
        <v>0</v>
      </c>
      <c r="Q6" s="637">
        <f t="shared" si="3"/>
        <v>0</v>
      </c>
      <c r="R6" s="55"/>
      <c r="S6" s="139">
        <f t="shared" si="4"/>
        <v>12978748.574637573</v>
      </c>
      <c r="T6" s="139">
        <f t="shared" si="5"/>
        <v>9106330.5337750874</v>
      </c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</row>
    <row r="7" spans="1:48" ht="15" customHeight="1">
      <c r="A7" s="54">
        <f t="shared" si="6"/>
        <v>4</v>
      </c>
      <c r="B7" s="139">
        <f>('Evolução Volume'!L7*'Dados de Entrada'!$D$53)</f>
        <v>12579374.638721311</v>
      </c>
      <c r="C7" s="139">
        <f>B7*'Dados de Entrada'!$D$56</f>
        <v>14137115.330442587</v>
      </c>
      <c r="D7" s="139">
        <f>('Evolução Volume'!N7*'Dados de Entrada'!$E$53)</f>
        <v>37089.740307819833</v>
      </c>
      <c r="E7" s="139">
        <f>D7*'Dados de Entrada'!$E$51</f>
        <v>26023.420726009401</v>
      </c>
      <c r="F7" s="139">
        <f>('Evolução Volume'!P7*'Dados de Entrada'!$F$53)</f>
        <v>5838.1998632679361</v>
      </c>
      <c r="G7" s="139">
        <f>F7*'Dados de Entrada'!$F$51</f>
        <v>4096.2791883533309</v>
      </c>
      <c r="H7" s="637">
        <f t="shared" si="0"/>
        <v>12622302.578892399</v>
      </c>
      <c r="I7" s="637">
        <f t="shared" si="1"/>
        <v>14167235.030356949</v>
      </c>
      <c r="J7" s="139">
        <f>('Evolução Volume'!R7*'Dados de Entrada'!$D$57)</f>
        <v>721480.56300632656</v>
      </c>
      <c r="K7" s="139">
        <f>J7*'Dados de Entrada'!$D$52</f>
        <v>506215.25200577505</v>
      </c>
      <c r="L7" s="139">
        <f>('Evolução Volume'!S7*'Dados de Entrada'!$E$57)</f>
        <v>2127.2541352472504</v>
      </c>
      <c r="M7" s="139">
        <f>L7*'Dados de Entrada'!$E$52</f>
        <v>1492.5537060449835</v>
      </c>
      <c r="N7" s="139">
        <f>('Evolução Volume'!T7*'Dados de Entrada'!$F$57)</f>
        <v>334.84555832595606</v>
      </c>
      <c r="O7" s="139">
        <f>M7*'Dados de Entrada'!$F$52</f>
        <v>1047.2263414684528</v>
      </c>
      <c r="P7" s="637">
        <f t="shared" si="2"/>
        <v>723942.66269989975</v>
      </c>
      <c r="Q7" s="637">
        <f t="shared" si="3"/>
        <v>508755.03205328848</v>
      </c>
      <c r="S7" s="139">
        <f t="shared" si="4"/>
        <v>13346245.241592299</v>
      </c>
      <c r="T7" s="139">
        <f t="shared" si="5"/>
        <v>14675990.062410237</v>
      </c>
      <c r="U7" s="57"/>
      <c r="V7" s="55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</row>
    <row r="8" spans="1:48" ht="15" customHeight="1">
      <c r="A8" s="54">
        <f t="shared" si="6"/>
        <v>5</v>
      </c>
      <c r="B8" s="139">
        <f>('Evolução Volume'!L8*'Dados de Entrada'!$D$53)</f>
        <v>12460137.622829495</v>
      </c>
      <c r="C8" s="139">
        <f>B8*'Dados de Entrada'!$D$56</f>
        <v>14003112.84671564</v>
      </c>
      <c r="D8" s="139">
        <f>('Evolução Volume'!N8*'Dados de Entrada'!$E$53)</f>
        <v>36699.788438394724</v>
      </c>
      <c r="E8" s="139">
        <f>D8*'Dados de Entrada'!$E$51</f>
        <v>25749.81725840022</v>
      </c>
      <c r="F8" s="139">
        <f>('Evolução Volume'!P8*'Dados de Entrada'!$F$53)</f>
        <v>5818.2591426723338</v>
      </c>
      <c r="G8" s="139">
        <f>F8*'Dados de Entrada'!$F$51</f>
        <v>4082.2881019414981</v>
      </c>
      <c r="H8" s="637">
        <f t="shared" si="0"/>
        <v>12502655.670410562</v>
      </c>
      <c r="I8" s="637">
        <f t="shared" si="1"/>
        <v>14032944.952075982</v>
      </c>
      <c r="J8" s="139">
        <f>('Evolução Volume'!R8*'Dados de Entrada'!$D$57)</f>
        <v>1476927.2679645144</v>
      </c>
      <c r="K8" s="139">
        <f>J8*'Dados de Entrada'!$D$52</f>
        <v>1036262.3021076475</v>
      </c>
      <c r="L8" s="139">
        <f>('Evolução Volume'!S8*'Dados de Entrada'!$E$57)</f>
        <v>4350.1059068467484</v>
      </c>
      <c r="M8" s="139">
        <f>L8*'Dados de Entrada'!$E$52</f>
        <v>3052.181958596891</v>
      </c>
      <c r="N8" s="139">
        <f>('Evolução Volume'!T8*'Dados de Entrada'!$F$57)</f>
        <v>689.65093645131378</v>
      </c>
      <c r="O8" s="139">
        <f>M8*'Dados de Entrada'!$F$52</f>
        <v>2141.5144614575806</v>
      </c>
      <c r="P8" s="637">
        <f t="shared" si="2"/>
        <v>1481967.0248078124</v>
      </c>
      <c r="Q8" s="637">
        <f t="shared" si="3"/>
        <v>1041455.9985277021</v>
      </c>
      <c r="S8" s="139">
        <f t="shared" si="4"/>
        <v>13984622.695218375</v>
      </c>
      <c r="T8" s="139">
        <f t="shared" si="5"/>
        <v>15074400.950603684</v>
      </c>
      <c r="V8" s="55"/>
    </row>
    <row r="9" spans="1:48" ht="15" customHeight="1">
      <c r="A9" s="54">
        <f t="shared" si="6"/>
        <v>6</v>
      </c>
      <c r="B9" s="139">
        <f>('Evolução Volume'!L9*'Dados de Entrada'!$D$53)</f>
        <v>12042367.681222731</v>
      </c>
      <c r="C9" s="139">
        <f>B9*'Dados de Entrada'!$D$56</f>
        <v>13533609.233403474</v>
      </c>
      <c r="D9" s="139">
        <f>('Evolução Volume'!N9*'Dados de Entrada'!$E$53)</f>
        <v>35432.853903185598</v>
      </c>
      <c r="E9" s="139">
        <f>D9*'Dados de Entrada'!$E$51</f>
        <v>24860.892985314735</v>
      </c>
      <c r="F9" s="139">
        <f>('Evolução Volume'!P9*'Dados de Entrada'!$F$53)</f>
        <v>5656.4495688820371</v>
      </c>
      <c r="G9" s="139">
        <f>F9*'Dados de Entrada'!$F$51</f>
        <v>3968.7570127159056</v>
      </c>
      <c r="H9" s="637">
        <f t="shared" si="0"/>
        <v>12083456.984694799</v>
      </c>
      <c r="I9" s="637">
        <f t="shared" si="1"/>
        <v>13562438.883401504</v>
      </c>
      <c r="J9" s="139">
        <f>('Evolução Volume'!R9*'Dados de Entrada'!$D$57)</f>
        <v>2244716.8017850956</v>
      </c>
      <c r="K9" s="139">
        <f>J9*'Dados de Entrada'!$D$52</f>
        <v>1574969.4998883505</v>
      </c>
      <c r="L9" s="139">
        <f>('Evolução Volume'!S9*'Dados de Entrada'!$E$57)</f>
        <v>6604.7412433433929</v>
      </c>
      <c r="M9" s="139">
        <f>L9*'Dados de Entrada'!$E$52</f>
        <v>4634.1106391007434</v>
      </c>
      <c r="N9" s="139">
        <f>('Evolução Volume'!T9*'Dados de Entrada'!$F$57)</f>
        <v>1054.3713430638547</v>
      </c>
      <c r="O9" s="139">
        <f>M9*'Dados de Entrada'!$F$52</f>
        <v>3251.4493186345971</v>
      </c>
      <c r="P9" s="637">
        <f t="shared" si="2"/>
        <v>2252375.9143715026</v>
      </c>
      <c r="Q9" s="637">
        <f t="shared" si="3"/>
        <v>1582855.0598460857</v>
      </c>
      <c r="S9" s="139">
        <f t="shared" si="4"/>
        <v>14335832.899066303</v>
      </c>
      <c r="T9" s="139">
        <f t="shared" si="5"/>
        <v>15145293.94324759</v>
      </c>
      <c r="V9" s="55"/>
    </row>
    <row r="10" spans="1:48" ht="15" customHeight="1">
      <c r="A10" s="54">
        <f t="shared" si="6"/>
        <v>7</v>
      </c>
      <c r="B10" s="139">
        <f>('Evolução Volume'!L10*'Dados de Entrada'!$D$53)</f>
        <v>11661357.776299926</v>
      </c>
      <c r="C10" s="139">
        <f>B10*'Dados de Entrada'!$D$56</f>
        <v>13105417.759452572</v>
      </c>
      <c r="D10" s="139">
        <f>('Evolução Volume'!N10*'Dados de Entrada'!$E$53)</f>
        <v>34277.707709318463</v>
      </c>
      <c r="E10" s="139">
        <f>D10*'Dados de Entrada'!$E$51</f>
        <v>24050.403206913266</v>
      </c>
      <c r="F10" s="139">
        <f>('Evolução Volume'!P10*'Dados de Entrada'!$F$53)</f>
        <v>5508.917310426179</v>
      </c>
      <c r="G10" s="139">
        <f>F10*'Dados de Entrada'!$F$51</f>
        <v>3865.2433725396304</v>
      </c>
      <c r="H10" s="637">
        <f t="shared" si="0"/>
        <v>11701144.40131967</v>
      </c>
      <c r="I10" s="637">
        <f t="shared" si="1"/>
        <v>13133333.406032024</v>
      </c>
      <c r="J10" s="139">
        <f>('Evolução Volume'!R10*'Dados de Entrada'!$D$57)</f>
        <v>2653025.1974663702</v>
      </c>
      <c r="K10" s="139">
        <f>J10*'Dados de Entrada'!$D$52</f>
        <v>1861452.529388977</v>
      </c>
      <c r="L10" s="139">
        <f>('Evolução Volume'!S10*'Dados de Entrada'!$E$57)</f>
        <v>7798.37339773857</v>
      </c>
      <c r="M10" s="139">
        <f>L10*'Dados de Entrada'!$E$52</f>
        <v>5471.6034737262162</v>
      </c>
      <c r="N10" s="139">
        <f>('Evolução Volume'!T10*'Dados de Entrada'!$F$57)</f>
        <v>1253.3100103508416</v>
      </c>
      <c r="O10" s="139">
        <f>M10*'Dados de Entrada'!$F$52</f>
        <v>3839.0627181784562</v>
      </c>
      <c r="P10" s="637">
        <f t="shared" si="2"/>
        <v>2662076.8808744596</v>
      </c>
      <c r="Q10" s="637">
        <f t="shared" si="3"/>
        <v>1870763.1955808816</v>
      </c>
      <c r="S10" s="139">
        <f t="shared" si="4"/>
        <v>14363221.28219413</v>
      </c>
      <c r="T10" s="139">
        <f t="shared" si="5"/>
        <v>15004096.601612905</v>
      </c>
      <c r="V10" s="55"/>
    </row>
    <row r="11" spans="1:48" ht="15" customHeight="1">
      <c r="A11" s="54">
        <f t="shared" si="6"/>
        <v>8</v>
      </c>
      <c r="B11" s="139">
        <f>('Evolução Volume'!L11*'Dados de Entrada'!$D$53)</f>
        <v>11155427.198573777</v>
      </c>
      <c r="C11" s="139">
        <f>B11*'Dados de Entrada'!$D$56</f>
        <v>12536836.321032273</v>
      </c>
      <c r="D11" s="139">
        <f>('Evolução Volume'!N11*'Dados de Entrada'!$E$53)</f>
        <v>32758.788121670092</v>
      </c>
      <c r="E11" s="139">
        <f>D11*'Dados de Entrada'!$E$51</f>
        <v>22984.677667982585</v>
      </c>
      <c r="F11" s="139">
        <f>('Evolução Volume'!P11*'Dados de Entrada'!$F$53)</f>
        <v>5299.2157255642778</v>
      </c>
      <c r="G11" s="139">
        <f>F11*'Dados de Entrada'!$F$51</f>
        <v>3718.1096227618877</v>
      </c>
      <c r="H11" s="637">
        <f t="shared" si="0"/>
        <v>11193485.202421011</v>
      </c>
      <c r="I11" s="637">
        <f t="shared" si="1"/>
        <v>12563539.108323017</v>
      </c>
      <c r="J11" s="139">
        <f>('Evolução Volume'!R11*'Dados de Entrada'!$D$57)</f>
        <v>3071101.8584978399</v>
      </c>
      <c r="K11" s="139">
        <f>J11*'Dados de Entrada'!$D$52</f>
        <v>2154789.3054206311</v>
      </c>
      <c r="L11" s="139">
        <f>('Evolução Volume'!S11*'Dados de Entrada'!$E$57)</f>
        <v>9018.531813417274</v>
      </c>
      <c r="M11" s="139">
        <f>L11*'Dados de Entrada'!$E$52</f>
        <v>6327.7080336412228</v>
      </c>
      <c r="N11" s="139">
        <f>('Evolução Volume'!T11*'Dados de Entrada'!$F$57)</f>
        <v>1458.8801462880886</v>
      </c>
      <c r="O11" s="139">
        <f>M11*'Dados de Entrada'!$F$52</f>
        <v>4439.7347359177174</v>
      </c>
      <c r="P11" s="637">
        <f t="shared" si="2"/>
        <v>3081579.2704575453</v>
      </c>
      <c r="Q11" s="637">
        <f t="shared" si="3"/>
        <v>2165556.7481901902</v>
      </c>
      <c r="S11" s="139">
        <f t="shared" si="4"/>
        <v>14275064.472878557</v>
      </c>
      <c r="T11" s="139">
        <f t="shared" si="5"/>
        <v>14729095.856513208</v>
      </c>
      <c r="V11" s="55"/>
    </row>
    <row r="12" spans="1:48" ht="15" customHeight="1">
      <c r="A12" s="54">
        <f t="shared" si="6"/>
        <v>9</v>
      </c>
      <c r="B12" s="139">
        <f>('Evolução Volume'!L12*'Dados de Entrada'!$D$53)</f>
        <v>10992016.051435528</v>
      </c>
      <c r="C12" s="139">
        <f>B12*'Dados de Entrada'!$D$56</f>
        <v>12353189.494403681</v>
      </c>
      <c r="D12" s="139">
        <f>('Evolução Volume'!N12*'Dados de Entrada'!$E$53)</f>
        <v>32248.396828200515</v>
      </c>
      <c r="E12" s="139">
        <f>D12*'Dados de Entrada'!$E$51</f>
        <v>22626.569812424197</v>
      </c>
      <c r="F12" s="139">
        <f>('Evolução Volume'!P12*'Dados de Entrada'!$F$53)</f>
        <v>5249.7390185442682</v>
      </c>
      <c r="G12" s="139">
        <f>F12*'Dados de Entrada'!$F$51</f>
        <v>3683.3950857434725</v>
      </c>
      <c r="H12" s="637">
        <f t="shared" si="0"/>
        <v>11029514.187282274</v>
      </c>
      <c r="I12" s="637">
        <f t="shared" si="1"/>
        <v>12379499.459301848</v>
      </c>
      <c r="J12" s="139">
        <f>('Evolução Volume'!R12*'Dados de Entrada'!$D$57)</f>
        <v>3498946.7848803177</v>
      </c>
      <c r="K12" s="139">
        <f>J12*'Dados de Entrada'!$D$52</f>
        <v>2454979.8279838827</v>
      </c>
      <c r="L12" s="139">
        <f>('Evolução Volume'!S12*'Dados de Entrada'!$E$57)</f>
        <v>10265.216487274032</v>
      </c>
      <c r="M12" s="139">
        <f>L12*'Dados de Entrada'!$E$52</f>
        <v>7202.4243166668575</v>
      </c>
      <c r="N12" s="139">
        <f>('Evolução Volume'!T12*'Dados de Entrada'!$F$57)</f>
        <v>1671.0817537422845</v>
      </c>
      <c r="O12" s="139">
        <f>M12*'Dados de Entrada'!$F$52</f>
        <v>5053.4653703235863</v>
      </c>
      <c r="P12" s="637">
        <f t="shared" si="2"/>
        <v>3510883.0831213342</v>
      </c>
      <c r="Q12" s="637">
        <f t="shared" si="3"/>
        <v>2467235.7176708733</v>
      </c>
      <c r="S12" s="139">
        <f t="shared" si="4"/>
        <v>14540397.270403609</v>
      </c>
      <c r="T12" s="139">
        <f t="shared" si="5"/>
        <v>14846735.176972721</v>
      </c>
      <c r="V12" s="55"/>
    </row>
    <row r="13" spans="1:48" ht="15" customHeight="1">
      <c r="A13" s="54">
        <f t="shared" si="6"/>
        <v>10</v>
      </c>
      <c r="B13" s="139">
        <f>('Evolução Volume'!L13*'Dados de Entrada'!$D$53)</f>
        <v>10981701.564201949</v>
      </c>
      <c r="C13" s="139">
        <f>B13*'Dados de Entrada'!$D$56</f>
        <v>12341597.734098949</v>
      </c>
      <c r="D13" s="139">
        <f>('Evolução Volume'!N13*'Dados de Entrada'!$E$53)</f>
        <v>32188.399810845716</v>
      </c>
      <c r="E13" s="139">
        <f>D13*'Dados de Entrada'!$E$51</f>
        <v>22584.473868587123</v>
      </c>
      <c r="F13" s="139">
        <f>('Evolução Volume'!P13*'Dados de Entrada'!$F$53)</f>
        <v>5272.2379000523142</v>
      </c>
      <c r="G13" s="139">
        <f>F13*'Dados de Entrada'!$F$51</f>
        <v>3699.1810646823724</v>
      </c>
      <c r="H13" s="637">
        <f t="shared" si="0"/>
        <v>11019162.201912846</v>
      </c>
      <c r="I13" s="637">
        <f t="shared" si="1"/>
        <v>12367881.389032219</v>
      </c>
      <c r="J13" s="139">
        <f>('Evolução Volume'!R13*'Dados de Entrada'!$D$57)</f>
        <v>3542903.9789531254</v>
      </c>
      <c r="K13" s="139">
        <f>J13*'Dados de Entrada'!$D$52</f>
        <v>2485821.6873713518</v>
      </c>
      <c r="L13" s="139">
        <f>('Evolução Volume'!S13*'Dados de Entrada'!$E$57)</f>
        <v>10384.584674721735</v>
      </c>
      <c r="M13" s="139">
        <f>L13*'Dados de Entrada'!$E$52</f>
        <v>7286.1770886591112</v>
      </c>
      <c r="N13" s="139">
        <f>('Evolução Volume'!T13*'Dados de Entrada'!$F$57)</f>
        <v>1700.9233518940773</v>
      </c>
      <c r="O13" s="139">
        <f>M13*'Dados de Entrada'!$F$52</f>
        <v>5112.2291579488246</v>
      </c>
      <c r="P13" s="637">
        <f t="shared" si="2"/>
        <v>3554989.4869797411</v>
      </c>
      <c r="Q13" s="637">
        <f t="shared" si="3"/>
        <v>2498220.0936179599</v>
      </c>
      <c r="S13" s="139">
        <f t="shared" si="4"/>
        <v>14574151.688892588</v>
      </c>
      <c r="T13" s="139">
        <f t="shared" si="5"/>
        <v>14866101.482650179</v>
      </c>
      <c r="V13" s="55"/>
    </row>
    <row r="14" spans="1:48" ht="15" customHeight="1">
      <c r="A14" s="54">
        <f t="shared" si="6"/>
        <v>11</v>
      </c>
      <c r="B14" s="139">
        <f>('Evolução Volume'!L14*'Dados de Entrada'!$D$53)</f>
        <v>11117947.290987512</v>
      </c>
      <c r="C14" s="139">
        <f>B14*'Dados de Entrada'!$D$56</f>
        <v>12494715.167052934</v>
      </c>
      <c r="D14" s="139">
        <f>('Evolução Volume'!N14*'Dados de Entrada'!$E$53)</f>
        <v>32558.381417866931</v>
      </c>
      <c r="E14" s="139">
        <f>D14*'Dados de Entrada'!$E$51</f>
        <v>22844.065522249042</v>
      </c>
      <c r="F14" s="139">
        <f>('Evolução Volume'!P14*'Dados de Entrada'!$F$53)</f>
        <v>5364.7333018076188</v>
      </c>
      <c r="G14" s="139">
        <f>F14*'Dados de Entrada'!$F$51</f>
        <v>3764.0789780978535</v>
      </c>
      <c r="H14" s="637">
        <f t="shared" si="0"/>
        <v>11155870.405707186</v>
      </c>
      <c r="I14" s="637">
        <f t="shared" si="1"/>
        <v>12521323.311553281</v>
      </c>
      <c r="J14" s="139">
        <f>('Evolução Volume'!R14*'Dados de Entrada'!$D$57)</f>
        <v>3586861.1730283936</v>
      </c>
      <c r="K14" s="139">
        <f>J14*'Dados de Entrada'!$D$52</f>
        <v>2516663.5467605474</v>
      </c>
      <c r="L14" s="139">
        <f>('Evolução Volume'!S14*'Dados de Entrada'!$E$57)</f>
        <v>10503.952852795297</v>
      </c>
      <c r="M14" s="139">
        <f>L14*'Dados de Entrada'!$E$52</f>
        <v>7369.9298540741493</v>
      </c>
      <c r="N14" s="139">
        <f>('Evolução Volume'!T14*'Dados de Entrada'!$F$57)</f>
        <v>1730.7649586992252</v>
      </c>
      <c r="O14" s="139">
        <f>M14*'Dados de Entrada'!$F$52</f>
        <v>5170.9929409592651</v>
      </c>
      <c r="P14" s="637">
        <f t="shared" si="2"/>
        <v>3599095.8908398882</v>
      </c>
      <c r="Q14" s="637">
        <f t="shared" si="3"/>
        <v>2529204.4695555805</v>
      </c>
      <c r="S14" s="139">
        <f t="shared" si="4"/>
        <v>14754966.296547074</v>
      </c>
      <c r="T14" s="139">
        <f t="shared" si="5"/>
        <v>15050527.781108862</v>
      </c>
      <c r="V14" s="55"/>
    </row>
    <row r="15" spans="1:48" ht="15" customHeight="1">
      <c r="A15" s="54">
        <f t="shared" si="6"/>
        <v>12</v>
      </c>
      <c r="B15" s="139">
        <f>('Evolução Volume'!L15*'Dados de Entrada'!$D$53)</f>
        <v>11254193.017773075</v>
      </c>
      <c r="C15" s="139">
        <f>B15*'Dados de Entrada'!$D$56</f>
        <v>12647832.600006919</v>
      </c>
      <c r="D15" s="139">
        <f>('Evolução Volume'!N15*'Dados de Entrada'!$E$53)</f>
        <v>32928.363024888145</v>
      </c>
      <c r="E15" s="139">
        <f>D15*'Dados de Entrada'!$E$51</f>
        <v>23103.657175910965</v>
      </c>
      <c r="F15" s="139">
        <f>('Evolução Volume'!P15*'Dados de Entrada'!$F$53)</f>
        <v>5457.2287035629215</v>
      </c>
      <c r="G15" s="139">
        <f>F15*'Dados de Entrada'!$F$51</f>
        <v>3828.9768915133327</v>
      </c>
      <c r="H15" s="637">
        <f t="shared" si="0"/>
        <v>11292578.609501526</v>
      </c>
      <c r="I15" s="637">
        <f t="shared" si="1"/>
        <v>12674765.234074345</v>
      </c>
      <c r="J15" s="139">
        <f>('Evolução Volume'!R15*'Dados de Entrada'!$D$57)</f>
        <v>3630818.3671060381</v>
      </c>
      <c r="K15" s="139">
        <f>J15*'Dados de Entrada'!$D$52</f>
        <v>2547505.4061514097</v>
      </c>
      <c r="L15" s="139">
        <f>('Evolução Volume'!S15*'Dados de Entrada'!$E$57)</f>
        <v>10623.321021835158</v>
      </c>
      <c r="M15" s="139">
        <f>L15*'Dados de Entrada'!$E$52</f>
        <v>7453.682613150836</v>
      </c>
      <c r="N15" s="139">
        <f>('Evolução Volume'!T15*'Dados de Entrada'!$F$57)</f>
        <v>1760.6065738434675</v>
      </c>
      <c r="O15" s="139">
        <f>M15*'Dados de Entrada'!$F$52</f>
        <v>5229.7567195225029</v>
      </c>
      <c r="P15" s="637">
        <f t="shared" si="2"/>
        <v>3643202.2947017169</v>
      </c>
      <c r="Q15" s="637">
        <f t="shared" si="3"/>
        <v>2560188.8454840831</v>
      </c>
      <c r="S15" s="139">
        <f t="shared" si="4"/>
        <v>14935780.904203244</v>
      </c>
      <c r="T15" s="139">
        <f t="shared" si="5"/>
        <v>15234954.079558428</v>
      </c>
      <c r="V15" s="55"/>
    </row>
    <row r="16" spans="1:48" ht="15" customHeight="1">
      <c r="A16" s="54">
        <f t="shared" si="6"/>
        <v>13</v>
      </c>
      <c r="B16" s="139">
        <f>('Evolução Volume'!L16*'Dados de Entrada'!$D$53)</f>
        <v>11390438.744558638</v>
      </c>
      <c r="C16" s="139">
        <f>B16*'Dados de Entrada'!$D$56</f>
        <v>12800950.032960905</v>
      </c>
      <c r="D16" s="139">
        <f>('Evolução Volume'!N16*'Dados de Entrada'!$E$53)</f>
        <v>33298.344631909356</v>
      </c>
      <c r="E16" s="139">
        <f>D16*'Dados de Entrada'!$E$51</f>
        <v>23363.24882957288</v>
      </c>
      <c r="F16" s="139">
        <f>('Evolução Volume'!P16*'Dados de Entrada'!$F$53)</f>
        <v>5549.7241053182261</v>
      </c>
      <c r="G16" s="139">
        <f>F16*'Dados de Entrada'!$F$51</f>
        <v>3893.8748049288138</v>
      </c>
      <c r="H16" s="637">
        <f t="shared" si="0"/>
        <v>11429286.813295865</v>
      </c>
      <c r="I16" s="637">
        <f t="shared" si="1"/>
        <v>12828207.156595407</v>
      </c>
      <c r="J16" s="139">
        <f>('Evolução Volume'!R16*'Dados de Entrada'!$D$57)</f>
        <v>3674775.561185969</v>
      </c>
      <c r="K16" s="139">
        <f>J16*'Dados de Entrada'!$D$52</f>
        <v>2578347.2655438767</v>
      </c>
      <c r="L16" s="139">
        <f>('Evolução Volume'!S16*'Dados de Entrada'!$E$57)</f>
        <v>10742.689182165468</v>
      </c>
      <c r="M16" s="139">
        <f>L16*'Dados de Entrada'!$E$52</f>
        <v>7537.435366116606</v>
      </c>
      <c r="N16" s="139">
        <f>('Evolução Volume'!T16*'Dados de Entrada'!$F$57)</f>
        <v>1790.4481970275781</v>
      </c>
      <c r="O16" s="139">
        <f>M16*'Dados de Entrada'!$F$52</f>
        <v>5288.5204937981134</v>
      </c>
      <c r="P16" s="637">
        <f t="shared" si="2"/>
        <v>3687308.6985651623</v>
      </c>
      <c r="Q16" s="637">
        <f t="shared" si="3"/>
        <v>2591173.2214037911</v>
      </c>
      <c r="S16" s="139">
        <f t="shared" si="4"/>
        <v>15116595.511861028</v>
      </c>
      <c r="T16" s="139">
        <f t="shared" si="5"/>
        <v>15419380.377999198</v>
      </c>
      <c r="V16" s="55"/>
    </row>
    <row r="17" spans="1:48" ht="15" customHeight="1">
      <c r="A17" s="54">
        <f t="shared" si="6"/>
        <v>14</v>
      </c>
      <c r="B17" s="139">
        <f>('Evolução Volume'!L17*'Dados de Entrada'!$D$53)</f>
        <v>11526684.471344201</v>
      </c>
      <c r="C17" s="139">
        <f>B17*'Dados de Entrada'!$D$56</f>
        <v>12954067.46591489</v>
      </c>
      <c r="D17" s="139">
        <f>('Evolução Volume'!N17*'Dados de Entrada'!$E$53)</f>
        <v>33668.326238930575</v>
      </c>
      <c r="E17" s="139">
        <f>D17*'Dados de Entrada'!$E$51</f>
        <v>23622.840483234806</v>
      </c>
      <c r="F17" s="139">
        <f>('Evolução Volume'!P17*'Dados de Entrada'!$F$53)</f>
        <v>5642.2195070735288</v>
      </c>
      <c r="G17" s="139">
        <f>F17*'Dados de Entrada'!$F$51</f>
        <v>3958.772718344293</v>
      </c>
      <c r="H17" s="637">
        <f t="shared" si="0"/>
        <v>11565995.017090205</v>
      </c>
      <c r="I17" s="637">
        <f t="shared" si="1"/>
        <v>12981649.079116469</v>
      </c>
      <c r="J17" s="139">
        <f>('Evolução Volume'!R17*'Dados de Entrada'!$D$57)</f>
        <v>3718732.7552681081</v>
      </c>
      <c r="K17" s="139">
        <f>J17*'Dados de Entrada'!$D$52</f>
        <v>2609189.1249378929</v>
      </c>
      <c r="L17" s="139">
        <f>('Evolução Volume'!S17*'Dados de Entrada'!$E$57)</f>
        <v>10862.057334095052</v>
      </c>
      <c r="M17" s="139">
        <f>L17*'Dados de Entrada'!$E$52</f>
        <v>7621.1881131881419</v>
      </c>
      <c r="N17" s="139">
        <f>('Evolução Volume'!T17*'Dados de Entrada'!$F$57)</f>
        <v>1820.2898279664789</v>
      </c>
      <c r="O17" s="139">
        <f>M17*'Dados de Entrada'!$F$52</f>
        <v>5347.2842639381306</v>
      </c>
      <c r="P17" s="637">
        <f t="shared" si="2"/>
        <v>3731415.1024301699</v>
      </c>
      <c r="Q17" s="637">
        <f t="shared" si="3"/>
        <v>2622157.5973150195</v>
      </c>
      <c r="S17" s="139">
        <f t="shared" si="4"/>
        <v>15297410.119520376</v>
      </c>
      <c r="T17" s="139">
        <f t="shared" si="5"/>
        <v>15603806.676431488</v>
      </c>
      <c r="V17" s="55"/>
    </row>
    <row r="18" spans="1:48" ht="15" customHeight="1">
      <c r="A18" s="54">
        <f t="shared" si="6"/>
        <v>15</v>
      </c>
      <c r="B18" s="139">
        <f>('Evolução Volume'!L18*'Dados de Entrada'!$D$53)</f>
        <v>11663022.693531517</v>
      </c>
      <c r="C18" s="139">
        <f>B18*'Dados de Entrada'!$D$56</f>
        <v>13107288.848246302</v>
      </c>
      <c r="D18" s="139">
        <f>('Evolução Volume'!N18*'Dados de Entrada'!$E$53)</f>
        <v>34038.3078459518</v>
      </c>
      <c r="E18" s="139">
        <f>D18*'Dados de Entrada'!$E$51</f>
        <v>23882.432136896732</v>
      </c>
      <c r="F18" s="139">
        <f>('Evolução Volume'!P18*'Dados de Entrada'!$F$53)</f>
        <v>5734.7149088288343</v>
      </c>
      <c r="G18" s="139">
        <f>F18*'Dados de Entrada'!$F$51</f>
        <v>4023.6706317597746</v>
      </c>
      <c r="H18" s="637">
        <f t="shared" si="0"/>
        <v>11702795.716286298</v>
      </c>
      <c r="I18" s="637">
        <f t="shared" si="1"/>
        <v>13135194.951014958</v>
      </c>
      <c r="J18" s="139">
        <f>('Evolução Volume'!R18*'Dados de Entrada'!$D$57)</f>
        <v>3762721.6050721873</v>
      </c>
      <c r="K18" s="139">
        <f>J18*'Dados de Entrada'!$D$52</f>
        <v>2640053.1950609032</v>
      </c>
      <c r="L18" s="139">
        <f>('Evolução Volume'!S18*'Dados de Entrada'!$E$57)</f>
        <v>10981.430774639079</v>
      </c>
      <c r="M18" s="139">
        <f>L18*'Dados de Entrada'!$E$52</f>
        <v>7704.9445709310803</v>
      </c>
      <c r="N18" s="139">
        <f>('Evolução Volume'!T18*'Dados de Entrada'!$F$57)</f>
        <v>1850.1323587707141</v>
      </c>
      <c r="O18" s="139">
        <f>M18*'Dados de Entrada'!$F$52</f>
        <v>5406.0506376111525</v>
      </c>
      <c r="P18" s="637">
        <f t="shared" si="2"/>
        <v>3775553.168205597</v>
      </c>
      <c r="Q18" s="637">
        <f t="shared" si="3"/>
        <v>2653164.1902694455</v>
      </c>
      <c r="S18" s="139">
        <f t="shared" si="4"/>
        <v>15478348.884491894</v>
      </c>
      <c r="T18" s="139">
        <f t="shared" si="5"/>
        <v>15788359.141284404</v>
      </c>
      <c r="V18" s="55"/>
    </row>
    <row r="19" spans="1:48" ht="15" customHeight="1">
      <c r="A19" s="54">
        <f t="shared" si="6"/>
        <v>16</v>
      </c>
      <c r="B19" s="139">
        <f>('Evolução Volume'!L19*'Dados de Entrada'!$D$53)</f>
        <v>11799268.420317082</v>
      </c>
      <c r="C19" s="139">
        <f>B19*'Dados de Entrada'!$D$56</f>
        <v>13260406.28120029</v>
      </c>
      <c r="D19" s="139">
        <f>('Evolução Volume'!N19*'Dados de Entrada'!$E$53)</f>
        <v>34408.289452973004</v>
      </c>
      <c r="E19" s="139">
        <f>D19*'Dados de Entrada'!$E$51</f>
        <v>24142.023790558647</v>
      </c>
      <c r="F19" s="139">
        <f>('Evolução Volume'!P19*'Dados de Entrada'!$F$53)</f>
        <v>5827.2103105841361</v>
      </c>
      <c r="G19" s="139">
        <f>F19*'Dados de Entrada'!$F$51</f>
        <v>4088.5685451752533</v>
      </c>
      <c r="H19" s="637">
        <f t="shared" si="0"/>
        <v>11839503.920080639</v>
      </c>
      <c r="I19" s="637">
        <f t="shared" si="1"/>
        <v>13288636.873536024</v>
      </c>
      <c r="J19" s="139">
        <f>('Evolução Volume'!R19*'Dados de Entrada'!$D$57)</f>
        <v>3806678.7991604507</v>
      </c>
      <c r="K19" s="139">
        <f>J19*'Dados de Entrada'!$D$52</f>
        <v>2670895.0544592165</v>
      </c>
      <c r="L19" s="139">
        <f>('Evolução Volume'!S19*'Dados de Entrada'!$E$57)</f>
        <v>11100.798906351909</v>
      </c>
      <c r="M19" s="139">
        <f>L19*'Dados de Entrada'!$E$52</f>
        <v>7788.6973038178548</v>
      </c>
      <c r="N19" s="139">
        <f>('Evolução Volume'!T19*'Dados de Entrada'!$F$57)</f>
        <v>1879.9740083337911</v>
      </c>
      <c r="O19" s="139">
        <f>M19*'Dados de Entrada'!$F$52</f>
        <v>5464.8143977986592</v>
      </c>
      <c r="P19" s="637">
        <f t="shared" si="2"/>
        <v>3819659.5720751365</v>
      </c>
      <c r="Q19" s="637">
        <f t="shared" si="3"/>
        <v>2684148.5661608335</v>
      </c>
      <c r="S19" s="139">
        <f t="shared" si="4"/>
        <v>15659163.492155775</v>
      </c>
      <c r="T19" s="139">
        <f t="shared" si="5"/>
        <v>15972785.439696858</v>
      </c>
      <c r="V19" s="55"/>
    </row>
    <row r="20" spans="1:48" ht="15" customHeight="1">
      <c r="A20" s="54">
        <f t="shared" si="6"/>
        <v>17</v>
      </c>
      <c r="B20" s="139">
        <f>('Evolução Volume'!L20*'Dados de Entrada'!$D$53)</f>
        <v>11935514.147102643</v>
      </c>
      <c r="C20" s="139">
        <f>B20*'Dados de Entrada'!$D$56</f>
        <v>13413523.714154273</v>
      </c>
      <c r="D20" s="139">
        <f>('Evolução Volume'!N20*'Dados de Entrada'!$E$53)</f>
        <v>34778.271059994222</v>
      </c>
      <c r="E20" s="139">
        <f>D20*'Dados de Entrada'!$E$51</f>
        <v>24401.61544422057</v>
      </c>
      <c r="F20" s="139">
        <f>('Evolução Volume'!P20*'Dados de Entrada'!$F$53)</f>
        <v>5919.7057123394407</v>
      </c>
      <c r="G20" s="139">
        <f>F20*'Dados de Entrada'!$F$51</f>
        <v>4153.466458590734</v>
      </c>
      <c r="H20" s="637">
        <f t="shared" si="0"/>
        <v>11976212.123874975</v>
      </c>
      <c r="I20" s="637">
        <f t="shared" si="1"/>
        <v>13442078.796057085</v>
      </c>
      <c r="J20" s="139">
        <f>('Evolução Volume'!R20*'Dados de Entrada'!$D$57)</f>
        <v>3850635.9932506545</v>
      </c>
      <c r="K20" s="139">
        <f>J20*'Dados de Entrada'!$D$52</f>
        <v>2701736.9138588915</v>
      </c>
      <c r="L20" s="139">
        <f>('Evolução Volume'!S20*'Dados de Entrada'!$E$57)</f>
        <v>11220.167030605058</v>
      </c>
      <c r="M20" s="139">
        <f>L20*'Dados de Entrada'!$E$52</f>
        <v>7872.4500314706647</v>
      </c>
      <c r="N20" s="139">
        <f>('Evolução Volume'!T20*'Dados de Entrada'!$F$57)</f>
        <v>1909.8156647838398</v>
      </c>
      <c r="O20" s="139">
        <f>M20*'Dados de Entrada'!$F$52</f>
        <v>5523.5781543138382</v>
      </c>
      <c r="P20" s="637">
        <f t="shared" si="2"/>
        <v>3863765.9759460436</v>
      </c>
      <c r="Q20" s="637">
        <f t="shared" si="3"/>
        <v>2715132.9420446758</v>
      </c>
      <c r="S20" s="139">
        <f t="shared" si="4"/>
        <v>15839978.09982102</v>
      </c>
      <c r="T20" s="139">
        <f t="shared" si="5"/>
        <v>16157211.73810176</v>
      </c>
      <c r="V20" s="55"/>
    </row>
    <row r="21" spans="1:48" ht="15" customHeight="1">
      <c r="A21" s="54">
        <f t="shared" si="6"/>
        <v>18</v>
      </c>
      <c r="B21" s="139">
        <f>('Evolução Volume'!L21*'Dados de Entrada'!$D$53)</f>
        <v>12072777.323307514</v>
      </c>
      <c r="C21" s="139">
        <f>B21*'Dados de Entrada'!$D$56</f>
        <v>13567784.590259986</v>
      </c>
      <c r="D21" s="139">
        <f>('Evolução Volume'!N21*'Dados de Entrada'!$E$53)</f>
        <v>35148.252667015433</v>
      </c>
      <c r="E21" s="139">
        <f>D21*'Dados de Entrada'!$E$51</f>
        <v>24661.207097882489</v>
      </c>
      <c r="F21" s="139">
        <f>('Evolução Volume'!P21*'Dados de Entrada'!$F$53)</f>
        <v>6012.2011140947452</v>
      </c>
      <c r="G21" s="139">
        <f>F21*'Dados de Entrada'!$F$51</f>
        <v>4218.3643720062146</v>
      </c>
      <c r="H21" s="637">
        <f t="shared" si="0"/>
        <v>12113937.777088623</v>
      </c>
      <c r="I21" s="637">
        <f t="shared" si="1"/>
        <v>13596664.161729874</v>
      </c>
      <c r="J21" s="139">
        <f>('Evolução Volume'!R21*'Dados de Entrada'!$D$57)</f>
        <v>3894913.4757105694</v>
      </c>
      <c r="K21" s="139">
        <f>J21*'Dados de Entrada'!$D$52</f>
        <v>2732803.4984502085</v>
      </c>
      <c r="L21" s="139">
        <f>('Evolução Volume'!S21*'Dados de Entrada'!$E$57)</f>
        <v>11339.511969308218</v>
      </c>
      <c r="M21" s="139">
        <f>L21*'Dados de Entrada'!$E$52</f>
        <v>7956.1864913546215</v>
      </c>
      <c r="N21" s="139">
        <f>('Evolução Volume'!T21*'Dados de Entrada'!$F$57)</f>
        <v>1939.6533631711425</v>
      </c>
      <c r="O21" s="139">
        <f>M21*'Dados de Entrada'!$F$52</f>
        <v>5582.3304968102184</v>
      </c>
      <c r="P21" s="637">
        <f t="shared" si="2"/>
        <v>3908192.6410430488</v>
      </c>
      <c r="Q21" s="637">
        <f t="shared" si="3"/>
        <v>2746342.0154383737</v>
      </c>
      <c r="S21" s="139">
        <f t="shared" si="4"/>
        <v>16022130.418131672</v>
      </c>
      <c r="T21" s="139">
        <f t="shared" si="5"/>
        <v>16343006.177168248</v>
      </c>
      <c r="V21" s="55"/>
    </row>
    <row r="22" spans="1:48" s="53" customFormat="1" ht="15" customHeight="1">
      <c r="A22" s="54">
        <f t="shared" si="6"/>
        <v>19</v>
      </c>
      <c r="B22" s="139">
        <f>('Evolução Volume'!L22*'Dados de Entrada'!$D$53)</f>
        <v>12211612.921342224</v>
      </c>
      <c r="C22" s="139">
        <f>B22*'Dados de Entrada'!$D$56</f>
        <v>13723812.605782</v>
      </c>
      <c r="D22" s="139">
        <f>('Evolução Volume'!N22*'Dados de Entrada'!$E$53)</f>
        <v>35518.234274036651</v>
      </c>
      <c r="E22" s="139">
        <f>D22*'Dados de Entrada'!$E$51</f>
        <v>24920.798751544411</v>
      </c>
      <c r="F22" s="139">
        <f>('Evolução Volume'!P22*'Dados de Entrada'!$F$53)</f>
        <v>6104.6965158500479</v>
      </c>
      <c r="G22" s="139">
        <f>F22*'Dados de Entrada'!$F$51</f>
        <v>4283.2622854216943</v>
      </c>
      <c r="H22" s="637">
        <f t="shared" si="0"/>
        <v>12253235.852132112</v>
      </c>
      <c r="I22" s="637">
        <f t="shared" si="1"/>
        <v>13753016.666818967</v>
      </c>
      <c r="J22" s="139">
        <f>('Evolução Volume'!R22*'Dados de Entrada'!$D$57)</f>
        <v>3939701.1808752678</v>
      </c>
      <c r="K22" s="139">
        <f>J22*'Dados de Entrada'!$D$52</f>
        <v>2764228.0726095391</v>
      </c>
      <c r="L22" s="139">
        <f>('Evolução Volume'!S22*'Dados de Entrada'!$E$57)</f>
        <v>11458.865459735371</v>
      </c>
      <c r="M22" s="139">
        <f>L22*'Dados de Entrada'!$E$52</f>
        <v>8039.9289514184002</v>
      </c>
      <c r="N22" s="139">
        <f>('Evolução Volume'!T22*'Dados de Entrada'!$F$57)</f>
        <v>1969.492500892017</v>
      </c>
      <c r="O22" s="139">
        <f>M22*'Dados de Entrada'!$F$52</f>
        <v>5641.0870492364238</v>
      </c>
      <c r="P22" s="637">
        <f t="shared" si="2"/>
        <v>3953129.5388358952</v>
      </c>
      <c r="Q22" s="637">
        <f t="shared" si="3"/>
        <v>2777909.0886101942</v>
      </c>
      <c r="R22" s="56"/>
      <c r="S22" s="139">
        <f t="shared" si="4"/>
        <v>16206365.390968006</v>
      </c>
      <c r="T22" s="139">
        <f t="shared" si="5"/>
        <v>16530925.755429162</v>
      </c>
      <c r="U22" s="56"/>
      <c r="V22" s="55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</row>
    <row r="23" spans="1:48" ht="15" customHeight="1">
      <c r="A23" s="54">
        <f t="shared" si="6"/>
        <v>20</v>
      </c>
      <c r="B23" s="139">
        <f>('Evolução Volume'!L23*'Dados de Entrada'!$D$53)</f>
        <v>12352020.941206777</v>
      </c>
      <c r="C23" s="139">
        <f>B23*'Dados de Entrada'!$D$56</f>
        <v>13881607.760720326</v>
      </c>
      <c r="D23" s="139">
        <f>('Evolução Volume'!N23*'Dados de Entrada'!$E$53)</f>
        <v>35888.215881057862</v>
      </c>
      <c r="E23" s="139">
        <f>D23*'Dados de Entrada'!$E$51</f>
        <v>25180.390405206326</v>
      </c>
      <c r="F23" s="139">
        <f>('Evolução Volume'!P23*'Dados de Entrada'!$F$53)</f>
        <v>6197.1919176053525</v>
      </c>
      <c r="G23" s="139">
        <f>F23*'Dados de Entrada'!$F$51</f>
        <v>4348.1601988371749</v>
      </c>
      <c r="H23" s="637">
        <f t="shared" si="0"/>
        <v>12394106.34900544</v>
      </c>
      <c r="I23" s="637">
        <f t="shared" si="1"/>
        <v>13911136.311324369</v>
      </c>
      <c r="J23" s="139">
        <f>('Evolução Volume'!R23*'Dados de Entrada'!$D$57)</f>
        <v>3984999.1087329886</v>
      </c>
      <c r="K23" s="139">
        <f>J23*'Dados de Entrada'!$D$52</f>
        <v>2796010.636328632</v>
      </c>
      <c r="L23" s="139">
        <f>('Evolução Volume'!S23*'Dados de Entrada'!$E$57)</f>
        <v>11578.227480406162</v>
      </c>
      <c r="M23" s="139">
        <f>L23*'Dados de Entrada'!$E$52</f>
        <v>8123.6773965906559</v>
      </c>
      <c r="N23" s="139">
        <f>('Evolução Volume'!T23*'Dados de Entrada'!$F$57)</f>
        <v>1999.3330958433326</v>
      </c>
      <c r="O23" s="139">
        <f>M23*'Dados de Entrada'!$F$52</f>
        <v>5699.8478010178869</v>
      </c>
      <c r="P23" s="637">
        <f t="shared" si="2"/>
        <v>3998576.669309238</v>
      </c>
      <c r="Q23" s="637">
        <f t="shared" si="3"/>
        <v>2809834.1615262409</v>
      </c>
      <c r="S23" s="139">
        <f t="shared" si="4"/>
        <v>16392683.018314678</v>
      </c>
      <c r="T23" s="139">
        <f t="shared" si="5"/>
        <v>16720970.47285061</v>
      </c>
      <c r="V23" s="55"/>
    </row>
    <row r="24" spans="1:48" ht="15" customHeight="1">
      <c r="A24" s="54">
        <f t="shared" si="6"/>
        <v>21</v>
      </c>
      <c r="B24" s="139">
        <f>('Evolução Volume'!L24*'Dados de Entrada'!$D$53)</f>
        <v>12494093.878302924</v>
      </c>
      <c r="C24" s="139">
        <f>B24*'Dados de Entrada'!$D$56</f>
        <v>14041274.004452383</v>
      </c>
      <c r="D24" s="139">
        <f>('Evolução Volume'!N24*'Dados de Entrada'!$E$53)</f>
        <v>36258.19748807908</v>
      </c>
      <c r="E24" s="139">
        <f>D24*'Dados de Entrada'!$E$51</f>
        <v>25439.982058868252</v>
      </c>
      <c r="F24" s="139">
        <f>('Evolução Volume'!P24*'Dados de Entrada'!$F$53)</f>
        <v>6289.6873193606552</v>
      </c>
      <c r="G24" s="139">
        <f>F24*'Dados de Entrada'!$F$51</f>
        <v>4413.0581122526546</v>
      </c>
      <c r="H24" s="637">
        <f t="shared" si="0"/>
        <v>12536641.763110364</v>
      </c>
      <c r="I24" s="637">
        <f t="shared" si="1"/>
        <v>14071127.044623503</v>
      </c>
      <c r="J24" s="139">
        <f>('Evolução Volume'!R24*'Dados de Entrada'!$D$57)</f>
        <v>4030838.9150187518</v>
      </c>
      <c r="K24" s="139">
        <f>J24*'Dados de Entrada'!$D$52</f>
        <v>2828173.400345658</v>
      </c>
      <c r="L24" s="139">
        <f>('Evolução Volume'!S24*'Dados de Entrada'!$E$57)</f>
        <v>11697.603271349522</v>
      </c>
      <c r="M24" s="139">
        <f>L24*'Dados de Entrada'!$E$52</f>
        <v>8207.4355034535456</v>
      </c>
      <c r="N24" s="139">
        <f>('Evolução Volume'!T24*'Dados de Entrada'!$F$57)</f>
        <v>2029.1760776830797</v>
      </c>
      <c r="O24" s="139">
        <f>M24*'Dados de Entrada'!$F$52</f>
        <v>5758.6153317694434</v>
      </c>
      <c r="P24" s="637">
        <f t="shared" si="2"/>
        <v>4044565.6943677841</v>
      </c>
      <c r="Q24" s="637">
        <f t="shared" si="3"/>
        <v>2842139.4511808809</v>
      </c>
      <c r="R24" s="53"/>
      <c r="S24" s="139">
        <f t="shared" si="4"/>
        <v>16581207.457478147</v>
      </c>
      <c r="T24" s="139">
        <f t="shared" si="5"/>
        <v>16913266.495804384</v>
      </c>
      <c r="U24" s="53"/>
      <c r="V24" s="55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</row>
    <row r="25" spans="1:48" ht="15" customHeight="1">
      <c r="A25" s="54">
        <f t="shared" si="6"/>
        <v>22</v>
      </c>
      <c r="B25" s="139">
        <f>('Evolução Volume'!L25*'Dados de Entrada'!$D$53)</f>
        <v>12637739.237228908</v>
      </c>
      <c r="C25" s="139">
        <f>B25*'Dados de Entrada'!$D$56</f>
        <v>14202707.387600742</v>
      </c>
      <c r="D25" s="139">
        <f>('Evolução Volume'!N25*'Dados de Entrada'!$E$53)</f>
        <v>36720.674496855601</v>
      </c>
      <c r="E25" s="139">
        <f>D25*'Dados de Entrada'!$E$51</f>
        <v>25764.471625945655</v>
      </c>
      <c r="F25" s="139">
        <f>('Evolução Volume'!P25*'Dados de Entrada'!$F$53)</f>
        <v>6382.1827211159607</v>
      </c>
      <c r="G25" s="139">
        <f>F25*'Dados de Entrada'!$F$51</f>
        <v>4477.9560256681361</v>
      </c>
      <c r="H25" s="637">
        <f t="shared" si="0"/>
        <v>12680842.094446879</v>
      </c>
      <c r="I25" s="637">
        <f t="shared" si="1"/>
        <v>14232949.815252356</v>
      </c>
      <c r="J25" s="139">
        <f>('Evolução Volume'!R25*'Dados de Entrada'!$D$57)</f>
        <v>4077190.7589017255</v>
      </c>
      <c r="K25" s="139">
        <f>J25*'Dados de Entrada'!$D$52</f>
        <v>2860695.4273208273</v>
      </c>
      <c r="L25" s="139">
        <f>('Evolução Volume'!S25*'Dados de Entrada'!$E$57)</f>
        <v>11846.833670865215</v>
      </c>
      <c r="M25" s="139">
        <f>L25*'Dados de Entrada'!$E$52</f>
        <v>8312.1406170368991</v>
      </c>
      <c r="N25" s="139">
        <f>('Evolução Volume'!T25*'Dados de Entrada'!$F$57)</f>
        <v>2059.0214692435766</v>
      </c>
      <c r="O25" s="139">
        <f>M25*'Dados de Entrada'!$F$52</f>
        <v>5832.0799934341067</v>
      </c>
      <c r="P25" s="637">
        <f t="shared" si="2"/>
        <v>4091096.6140418346</v>
      </c>
      <c r="Q25" s="637">
        <f t="shared" si="3"/>
        <v>2874839.6479312982</v>
      </c>
      <c r="S25" s="139">
        <f t="shared" si="4"/>
        <v>16771938.708488714</v>
      </c>
      <c r="T25" s="139">
        <f t="shared" si="5"/>
        <v>17107789.463183656</v>
      </c>
      <c r="V25" s="55"/>
    </row>
    <row r="26" spans="1:48" s="53" customFormat="1" ht="15" customHeight="1">
      <c r="A26" s="54">
        <f t="shared" si="6"/>
        <v>23</v>
      </c>
      <c r="B26" s="139">
        <f>('Evolução Volume'!L26*'Dados de Entrada'!$D$53)</f>
        <v>12783049.513386488</v>
      </c>
      <c r="C26" s="139">
        <f>B26*'Dados de Entrada'!$D$56</f>
        <v>14366011.859542839</v>
      </c>
      <c r="D26" s="139">
        <f>('Evolução Volume'!N26*'Dados de Entrada'!$E$53)</f>
        <v>37183.151505632122</v>
      </c>
      <c r="E26" s="139">
        <f>D26*'Dados de Entrada'!$E$51</f>
        <v>26088.961193023057</v>
      </c>
      <c r="F26" s="139">
        <f>('Evolução Volume'!P26*'Dados de Entrada'!$F$53)</f>
        <v>6474.6781228712634</v>
      </c>
      <c r="G26" s="139">
        <f>F26*'Dados de Entrada'!$F$51</f>
        <v>4542.8539390836158</v>
      </c>
      <c r="H26" s="637">
        <f t="shared" si="0"/>
        <v>12826707.343014991</v>
      </c>
      <c r="I26" s="637">
        <f t="shared" si="1"/>
        <v>14396643.674674947</v>
      </c>
      <c r="J26" s="139">
        <f>('Evolução Volume'!R26*'Dados de Entrada'!$D$57)</f>
        <v>4124084.4811773878</v>
      </c>
      <c r="K26" s="139">
        <f>J26*'Dados de Entrada'!$D$52</f>
        <v>2893597.6545691239</v>
      </c>
      <c r="L26" s="139">
        <f>('Evolução Volume'!S26*'Dados de Entrada'!$E$57)</f>
        <v>11996.077925307231</v>
      </c>
      <c r="M26" s="139">
        <f>L26*'Dados de Entrada'!$E$52</f>
        <v>8416.8554517068333</v>
      </c>
      <c r="N26" s="139">
        <f>('Evolução Volume'!T26*'Dados de Entrada'!$F$57)</f>
        <v>2088.8692904763834</v>
      </c>
      <c r="O26" s="139">
        <f>M26*'Dados de Entrada'!$F$52</f>
        <v>5905.5514757430747</v>
      </c>
      <c r="P26" s="637">
        <f t="shared" si="2"/>
        <v>4138169.4283931712</v>
      </c>
      <c r="Q26" s="637">
        <f t="shared" si="3"/>
        <v>2907920.061496574</v>
      </c>
      <c r="R26" s="56"/>
      <c r="S26" s="139">
        <f t="shared" si="4"/>
        <v>16964876.771408163</v>
      </c>
      <c r="T26" s="139">
        <f t="shared" si="5"/>
        <v>17304563.736171521</v>
      </c>
      <c r="U26" s="56"/>
      <c r="V26" s="55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</row>
    <row r="27" spans="1:48" s="53" customFormat="1" ht="15" customHeight="1">
      <c r="A27" s="54">
        <f t="shared" si="6"/>
        <v>24</v>
      </c>
      <c r="B27" s="139">
        <f>('Evolução Volume'!L27*'Dados de Entrada'!$D$53)</f>
        <v>12930117.202177422</v>
      </c>
      <c r="C27" s="139">
        <f>B27*'Dados de Entrada'!$D$56</f>
        <v>14531291.369656103</v>
      </c>
      <c r="D27" s="139">
        <f>('Evolução Volume'!N27*'Dados de Entrada'!$E$53)</f>
        <v>37645.628514408636</v>
      </c>
      <c r="E27" s="139">
        <f>D27*'Dados de Entrada'!$E$51</f>
        <v>26413.450760100455</v>
      </c>
      <c r="F27" s="139">
        <f>('Evolução Volume'!P27*'Dados de Entrada'!$F$53)</f>
        <v>6567.1735246265662</v>
      </c>
      <c r="G27" s="139">
        <f>F27*'Dados de Entrada'!$F$51</f>
        <v>4607.7518524990955</v>
      </c>
      <c r="H27" s="637">
        <f t="shared" si="0"/>
        <v>12974330.004216459</v>
      </c>
      <c r="I27" s="637">
        <f t="shared" si="1"/>
        <v>14562312.572268702</v>
      </c>
      <c r="J27" s="139">
        <f>('Evolução Volume'!R27*'Dados de Entrada'!$D$57)</f>
        <v>4171551.7376328646</v>
      </c>
      <c r="K27" s="139">
        <f>J27*'Dados de Entrada'!$D$52</f>
        <v>2926902.2928652787</v>
      </c>
      <c r="L27" s="139">
        <f>('Evolução Volume'!S27*'Dados de Entrada'!$E$57)</f>
        <v>12145.341344401511</v>
      </c>
      <c r="M27" s="139">
        <f>L27*'Dados de Entrada'!$E$52</f>
        <v>8521.5837329472979</v>
      </c>
      <c r="N27" s="139">
        <f>('Evolução Volume'!T27*'Dados de Entrada'!$F$57)</f>
        <v>2118.7204802272909</v>
      </c>
      <c r="O27" s="139">
        <f>M27*'Dados de Entrada'!$F$52</f>
        <v>5979.03239262234</v>
      </c>
      <c r="P27" s="637">
        <f t="shared" si="2"/>
        <v>4185815.7994574937</v>
      </c>
      <c r="Q27" s="637">
        <f t="shared" si="3"/>
        <v>2941402.9089908483</v>
      </c>
      <c r="R27" s="56"/>
      <c r="S27" s="139">
        <f t="shared" si="4"/>
        <v>17160145.803673953</v>
      </c>
      <c r="T27" s="139">
        <f t="shared" si="5"/>
        <v>17503715.481259551</v>
      </c>
      <c r="U27" s="56"/>
      <c r="V27" s="55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</row>
    <row r="28" spans="1:48" ht="15" customHeight="1">
      <c r="A28" s="54">
        <f t="shared" si="6"/>
        <v>25</v>
      </c>
      <c r="B28" s="139">
        <f>('Evolução Volume'!L28*'Dados de Entrada'!$D$53)</f>
        <v>13078942.303601706</v>
      </c>
      <c r="C28" s="139">
        <f>B28*'Dados de Entrada'!$D$56</f>
        <v>14698545.917940531</v>
      </c>
      <c r="D28" s="139">
        <f>('Evolução Volume'!N28*'Dados de Entrada'!$E$53)</f>
        <v>38108.105523185157</v>
      </c>
      <c r="E28" s="139">
        <f>D28*'Dados de Entrada'!$E$51</f>
        <v>26737.940327177857</v>
      </c>
      <c r="F28" s="139">
        <f>('Evolução Volume'!P28*'Dados de Entrada'!$F$53)</f>
        <v>6659.6689263818698</v>
      </c>
      <c r="G28" s="139">
        <f>F28*'Dados de Entrada'!$F$51</f>
        <v>4672.6497659145753</v>
      </c>
      <c r="H28" s="637">
        <f t="shared" si="0"/>
        <v>13123710.078051275</v>
      </c>
      <c r="I28" s="637">
        <f t="shared" si="1"/>
        <v>14729956.508033624</v>
      </c>
      <c r="J28" s="139">
        <f>('Evolução Volume'!R28*'Dados de Entrada'!$D$57)</f>
        <v>4219592.52840403</v>
      </c>
      <c r="K28" s="139">
        <f>J28*'Dados de Entrada'!$D$52</f>
        <v>2960609.342304626</v>
      </c>
      <c r="L28" s="139">
        <f>('Evolução Volume'!S28*'Dados de Entrada'!$E$57)</f>
        <v>12294.623953879112</v>
      </c>
      <c r="M28" s="139">
        <f>L28*'Dados de Entrada'!$E$52</f>
        <v>8626.3254788120721</v>
      </c>
      <c r="N28" s="139">
        <f>('Evolução Volume'!T28*'Dados de Entrada'!$F$57)</f>
        <v>2148.575059901204</v>
      </c>
      <c r="O28" s="139">
        <f>M28*'Dados de Entrada'!$F$52</f>
        <v>6052.5227567390475</v>
      </c>
      <c r="P28" s="637">
        <f t="shared" si="2"/>
        <v>4234035.7274178099</v>
      </c>
      <c r="Q28" s="637">
        <f t="shared" si="3"/>
        <v>2975288.1905401773</v>
      </c>
      <c r="R28" s="53"/>
      <c r="S28" s="139">
        <f t="shared" si="4"/>
        <v>17357745.805469085</v>
      </c>
      <c r="T28" s="139">
        <f t="shared" si="5"/>
        <v>17705244.698573802</v>
      </c>
      <c r="U28" s="53"/>
      <c r="V28" s="55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</row>
    <row r="29" spans="1:48" ht="15" customHeight="1">
      <c r="A29" s="54">
        <f t="shared" si="6"/>
        <v>26</v>
      </c>
      <c r="B29" s="139">
        <f>('Evolução Volume'!L29*'Dados de Entrada'!$D$53)</f>
        <v>13229339.826855833</v>
      </c>
      <c r="C29" s="139">
        <f>B29*'Dados de Entrada'!$D$56</f>
        <v>14867567.605641266</v>
      </c>
      <c r="D29" s="139">
        <f>('Evolução Volume'!N29*'Dados de Entrada'!$E$53)</f>
        <v>38570.582531961678</v>
      </c>
      <c r="E29" s="139">
        <f>D29*'Dados de Entrada'!$E$51</f>
        <v>27062.42989425526</v>
      </c>
      <c r="F29" s="139">
        <f>('Evolução Volume'!P29*'Dados de Entrada'!$F$53)</f>
        <v>6752.1643281371744</v>
      </c>
      <c r="G29" s="139">
        <f>F29*'Dados de Entrada'!$F$51</f>
        <v>4737.5476793300559</v>
      </c>
      <c r="H29" s="637">
        <f t="shared" si="0"/>
        <v>13274662.573715933</v>
      </c>
      <c r="I29" s="637">
        <f t="shared" si="1"/>
        <v>14899367.583214851</v>
      </c>
      <c r="J29" s="139">
        <f>('Evolução Volume'!R29*'Dados de Entrada'!$D$57)</f>
        <v>4268115.6169404667</v>
      </c>
      <c r="K29" s="139">
        <f>J29*'Dados de Entrada'!$D$52</f>
        <v>2994654.788226577</v>
      </c>
      <c r="L29" s="139">
        <f>('Evolução Volume'!S29*'Dados de Entrada'!$E$57)</f>
        <v>12443.833767499666</v>
      </c>
      <c r="M29" s="139">
        <f>L29*'Dados de Entrada'!$E$52</f>
        <v>8731.0161486326542</v>
      </c>
      <c r="N29" s="139">
        <f>('Evolução Volume'!T29*'Dados de Entrada'!$F$57)</f>
        <v>2178.4169425119312</v>
      </c>
      <c r="O29" s="139">
        <f>M29*'Dados de Entrada'!$F$52</f>
        <v>6125.9772841694894</v>
      </c>
      <c r="P29" s="637">
        <f t="shared" si="2"/>
        <v>4282737.8676504781</v>
      </c>
      <c r="Q29" s="637">
        <f t="shared" si="3"/>
        <v>3009511.7816593791</v>
      </c>
      <c r="R29" s="53"/>
      <c r="S29" s="139">
        <f t="shared" si="4"/>
        <v>17557400.441366412</v>
      </c>
      <c r="T29" s="139">
        <f t="shared" si="5"/>
        <v>17908879.364874229</v>
      </c>
      <c r="U29" s="53"/>
      <c r="V29" s="55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</row>
    <row r="30" spans="1:48" ht="15" customHeight="1">
      <c r="A30" s="54">
        <f t="shared" si="6"/>
        <v>27</v>
      </c>
      <c r="B30" s="139">
        <f>('Evolução Volume'!L30*'Dados de Entrada'!$D$53)</f>
        <v>13381494.762743305</v>
      </c>
      <c r="C30" s="139">
        <f>B30*'Dados de Entrada'!$D$56</f>
        <v>15038564.331513161</v>
      </c>
      <c r="D30" s="139">
        <f>('Evolução Volume'!N30*'Dados de Entrada'!$E$53)</f>
        <v>39033.059540738199</v>
      </c>
      <c r="E30" s="139">
        <f>D30*'Dados de Entrada'!$E$51</f>
        <v>27386.919461332662</v>
      </c>
      <c r="F30" s="139">
        <f>('Evolução Volume'!P30*'Dados de Entrada'!$F$53)</f>
        <v>6844.6597298924771</v>
      </c>
      <c r="G30" s="139">
        <f>F30*'Dados de Entrada'!$F$51</f>
        <v>4802.4455927455356</v>
      </c>
      <c r="H30" s="637">
        <f t="shared" si="0"/>
        <v>13427372.482013935</v>
      </c>
      <c r="I30" s="637">
        <f t="shared" si="1"/>
        <v>15070753.696567239</v>
      </c>
      <c r="J30" s="139">
        <f>('Evolução Volume'!R30*'Dados de Entrada'!$D$57)</f>
        <v>4317212.2397515895</v>
      </c>
      <c r="K30" s="139">
        <f>J30*'Dados de Entrada'!$D$52</f>
        <v>3029102.645262952</v>
      </c>
      <c r="L30" s="139">
        <f>('Evolução Volume'!S30*'Dados de Entrada'!$E$57)</f>
        <v>12593.062687839874</v>
      </c>
      <c r="M30" s="139">
        <f>L30*'Dados de Entrada'!$E$52</f>
        <v>8835.7202243762804</v>
      </c>
      <c r="N30" s="139">
        <f>('Evolução Volume'!T30*'Dados de Entrada'!$F$57)</f>
        <v>2208.2621774885092</v>
      </c>
      <c r="O30" s="139">
        <f>M30*'Dados de Entrada'!$F$52</f>
        <v>6199.441217650573</v>
      </c>
      <c r="P30" s="637">
        <f t="shared" si="2"/>
        <v>4332013.5646169186</v>
      </c>
      <c r="Q30" s="637">
        <f t="shared" si="3"/>
        <v>3044137.8067049789</v>
      </c>
      <c r="S30" s="139">
        <f t="shared" si="4"/>
        <v>17759386.046630852</v>
      </c>
      <c r="T30" s="139">
        <f t="shared" si="5"/>
        <v>18114891.503272217</v>
      </c>
      <c r="V30" s="55"/>
    </row>
    <row r="31" spans="1:48" ht="15" customHeight="1">
      <c r="A31" s="54">
        <f t="shared" si="6"/>
        <v>28</v>
      </c>
      <c r="B31" s="139">
        <f>('Evolução Volume'!L31*'Dados de Entrada'!$D$53)</f>
        <v>13535407.111264134</v>
      </c>
      <c r="C31" s="139">
        <f>B31*'Dados de Entrada'!$D$56</f>
        <v>15211536.095556226</v>
      </c>
      <c r="D31" s="139">
        <f>('Evolução Volume'!N31*'Dados de Entrada'!$E$53)</f>
        <v>39495.536549514713</v>
      </c>
      <c r="E31" s="139">
        <f>D31*'Dados de Entrada'!$E$51</f>
        <v>27711.40902841006</v>
      </c>
      <c r="F31" s="139">
        <f>('Evolução Volume'!P31*'Dados de Entrada'!$F$53)</f>
        <v>6937.1551316477826</v>
      </c>
      <c r="G31" s="139">
        <f>F31*'Dados de Entrada'!$F$51</f>
        <v>4867.3435061610171</v>
      </c>
      <c r="H31" s="637">
        <f t="shared" si="0"/>
        <v>13581839.802945295</v>
      </c>
      <c r="I31" s="637">
        <f t="shared" si="1"/>
        <v>15244114.848090798</v>
      </c>
      <c r="J31" s="139">
        <f>('Evolução Volume'!R31*'Dados de Entrada'!$D$57)</f>
        <v>4366882.3968678294</v>
      </c>
      <c r="K31" s="139">
        <f>J31*'Dados de Entrada'!$D$52</f>
        <v>3063952.913435101</v>
      </c>
      <c r="L31" s="139">
        <f>('Evolução Volume'!S31*'Dados de Entrada'!$E$57)</f>
        <v>12742.310733261556</v>
      </c>
      <c r="M31" s="139">
        <f>L31*'Dados de Entrada'!$E$52</f>
        <v>8940.437718926225</v>
      </c>
      <c r="N31" s="139">
        <f>('Evolução Volume'!T31*'Dados de Entrada'!$F$57)</f>
        <v>2238.1107845307183</v>
      </c>
      <c r="O31" s="139">
        <f>M31*'Dados de Entrada'!$F$52</f>
        <v>6272.9145662216406</v>
      </c>
      <c r="P31" s="637">
        <f t="shared" si="2"/>
        <v>4381862.8183856215</v>
      </c>
      <c r="Q31" s="637">
        <f t="shared" si="3"/>
        <v>3079166.2657202487</v>
      </c>
      <c r="S31" s="139">
        <f t="shared" si="4"/>
        <v>17963702.621330917</v>
      </c>
      <c r="T31" s="139">
        <f t="shared" si="5"/>
        <v>18323281.113811046</v>
      </c>
      <c r="V31" s="55"/>
    </row>
    <row r="32" spans="1:48" ht="15" customHeight="1">
      <c r="A32" s="54">
        <f t="shared" si="6"/>
        <v>29</v>
      </c>
      <c r="B32" s="139">
        <f>('Evolução Volume'!L32*'Dados de Entrada'!$D$53)</f>
        <v>13691076.872418307</v>
      </c>
      <c r="C32" s="139">
        <f>B32*'Dados de Entrada'!$D$56</f>
        <v>15386482.89777045</v>
      </c>
      <c r="D32" s="139">
        <f>('Evolução Volume'!N32*'Dados de Entrada'!$E$53)</f>
        <v>39958.013558291233</v>
      </c>
      <c r="E32" s="139">
        <f>D32*'Dados de Entrada'!$E$51</f>
        <v>28035.898595487462</v>
      </c>
      <c r="F32" s="139">
        <f>('Evolução Volume'!P32*'Dados de Entrada'!$F$53)</f>
        <v>7029.6505334030862</v>
      </c>
      <c r="G32" s="139">
        <f>F32*'Dados de Entrada'!$F$51</f>
        <v>4932.2414195764968</v>
      </c>
      <c r="H32" s="637">
        <f t="shared" si="0"/>
        <v>13738064.53651</v>
      </c>
      <c r="I32" s="637">
        <f t="shared" si="1"/>
        <v>15419451.037785513</v>
      </c>
      <c r="J32" s="139">
        <f>('Evolução Volume'!R32*'Dados de Entrada'!$D$57)</f>
        <v>4417098.1631828025</v>
      </c>
      <c r="K32" s="139">
        <f>J32*'Dados de Entrada'!$D$52</f>
        <v>3099185.9995405329</v>
      </c>
      <c r="L32" s="139">
        <f>('Evolução Volume'!S32*'Dados de Entrada'!$E$57)</f>
        <v>12891.496405832839</v>
      </c>
      <c r="M32" s="139">
        <f>L32*'Dados de Entrada'!$E$52</f>
        <v>9045.1114505672267</v>
      </c>
      <c r="N32" s="139">
        <f>('Evolução Volume'!T32*'Dados de Entrada'!$F$57)</f>
        <v>2267.9484417668882</v>
      </c>
      <c r="O32" s="139">
        <f>M32*'Dados de Entrada'!$F$52</f>
        <v>6346.3572092503618</v>
      </c>
      <c r="P32" s="637">
        <f t="shared" si="2"/>
        <v>4432257.6080304021</v>
      </c>
      <c r="Q32" s="637">
        <f t="shared" si="3"/>
        <v>3114577.4682003506</v>
      </c>
      <c r="S32" s="139">
        <f t="shared" si="4"/>
        <v>18170322.144540403</v>
      </c>
      <c r="T32" s="139">
        <f t="shared" si="5"/>
        <v>18534028.505985864</v>
      </c>
      <c r="V32" s="55"/>
    </row>
    <row r="33" spans="1:22" ht="15" customHeight="1">
      <c r="A33" s="54">
        <f t="shared" si="6"/>
        <v>30</v>
      </c>
      <c r="B33" s="139">
        <f>('Evolução Volume'!L33*'Dados de Entrada'!$D$53)</f>
        <v>13848596.54160759</v>
      </c>
      <c r="C33" s="139">
        <f>B33*'Dados de Entrada'!$D$56</f>
        <v>15563508.687533272</v>
      </c>
      <c r="D33" s="139">
        <f>('Evolução Volume'!N33*'Dados de Entrada'!$E$53)</f>
        <v>40420.490567067747</v>
      </c>
      <c r="E33" s="139">
        <f>D33*'Dados de Entrada'!$E$51</f>
        <v>28360.388162564861</v>
      </c>
      <c r="F33" s="139">
        <f>('Evolução Volume'!P33*'Dados de Entrada'!$F$53)</f>
        <v>7122.145935158389</v>
      </c>
      <c r="G33" s="139">
        <f>F33*'Dados de Entrada'!$F$51</f>
        <v>4997.1393329919765</v>
      </c>
      <c r="H33" s="637">
        <f t="shared" si="0"/>
        <v>13896139.178109817</v>
      </c>
      <c r="I33" s="637">
        <f t="shared" si="1"/>
        <v>15596866.215028828</v>
      </c>
      <c r="J33" s="139">
        <f>('Evolução Volume'!R33*'Dados de Entrada'!$D$57)</f>
        <v>4467946.0534105813</v>
      </c>
      <c r="K33" s="139">
        <f>J33*'Dados de Entrada'!$D$52</f>
        <v>3134862.6052391832</v>
      </c>
      <c r="L33" s="139">
        <f>('Evolução Volume'!S33*'Dados de Entrada'!$E$57)</f>
        <v>13040.785090637475</v>
      </c>
      <c r="M33" s="139">
        <f>L33*'Dados de Entrada'!$E$52</f>
        <v>9149.8574590876633</v>
      </c>
      <c r="N33" s="139">
        <f>('Evolução Volume'!T33*'Dados de Entrada'!$F$57)</f>
        <v>2297.804237938411</v>
      </c>
      <c r="O33" s="139">
        <f>M33*'Dados de Entrada'!$F$52</f>
        <v>6419.8505641909669</v>
      </c>
      <c r="P33" s="637">
        <f t="shared" si="2"/>
        <v>4483284.6427391572</v>
      </c>
      <c r="Q33" s="637">
        <f t="shared" si="3"/>
        <v>3150432.3132624622</v>
      </c>
      <c r="S33" s="139">
        <f t="shared" si="4"/>
        <v>18379423.820848975</v>
      </c>
      <c r="T33" s="139">
        <f t="shared" si="5"/>
        <v>18747298.528291289</v>
      </c>
      <c r="V33" s="55"/>
    </row>
    <row r="34" spans="1:22" s="53" customFormat="1" ht="15" customHeight="1">
      <c r="A34" s="54" t="s">
        <v>4</v>
      </c>
      <c r="B34" s="140">
        <f t="shared" ref="B34:I34" si="7">SUM(B4:B33)</f>
        <v>370135736.80200785</v>
      </c>
      <c r="C34" s="140">
        <f t="shared" si="7"/>
        <v>399365632.87078822</v>
      </c>
      <c r="D34" s="140">
        <f t="shared" si="7"/>
        <v>1082539.7047629771</v>
      </c>
      <c r="E34" s="140">
        <f t="shared" si="7"/>
        <v>759546.60118548805</v>
      </c>
      <c r="F34" s="140">
        <f t="shared" si="7"/>
        <v>181530.30113338254</v>
      </c>
      <c r="G34" s="140">
        <f t="shared" si="7"/>
        <v>127367.82090429463</v>
      </c>
      <c r="H34" s="711">
        <f t="shared" si="7"/>
        <v>371399806.80790418</v>
      </c>
      <c r="I34" s="711">
        <f t="shared" si="7"/>
        <v>400252547.29287797</v>
      </c>
      <c r="J34" s="140">
        <f t="shared" ref="J34:N34" si="8">SUM(J4:J33)</f>
        <v>97520453.36323224</v>
      </c>
      <c r="K34" s="140">
        <f t="shared" si="8"/>
        <v>68423660.187437594</v>
      </c>
      <c r="L34" s="140">
        <f t="shared" si="8"/>
        <v>284651.79852139973</v>
      </c>
      <c r="M34" s="140">
        <f t="shared" si="8"/>
        <v>199721.36369409572</v>
      </c>
      <c r="N34" s="140">
        <f t="shared" si="8"/>
        <v>48448.478611216</v>
      </c>
      <c r="O34" s="140">
        <f>SUM(O4:O33)</f>
        <v>140131.28785072645</v>
      </c>
      <c r="P34" s="140">
        <f>SUM(P4:P33)</f>
        <v>97853553.64036487</v>
      </c>
      <c r="Q34" s="140">
        <f>SUM(Q4:Q33)</f>
        <v>68763512.838982403</v>
      </c>
      <c r="S34" s="140">
        <f>SUM(S4:S33)</f>
        <v>469253360.44826919</v>
      </c>
      <c r="T34" s="140">
        <f>SUM(T4:T33)</f>
        <v>469016060.13186044</v>
      </c>
      <c r="V34" s="57"/>
    </row>
    <row r="38" spans="1:22" ht="15" customHeight="1">
      <c r="I38" s="796"/>
    </row>
  </sheetData>
  <mergeCells count="4">
    <mergeCell ref="A1:Q1"/>
    <mergeCell ref="S1:T1"/>
    <mergeCell ref="B2:I2"/>
    <mergeCell ref="J2:Q2"/>
  </mergeCells>
  <printOptions horizontalCentered="1"/>
  <pageMargins left="1.3779527559055118" right="0.39370078740157483" top="1.1811023622047245" bottom="0.59055118110236227" header="0.39370078740157483" footer="0.39370078740157483"/>
  <pageSetup paperSize="9" scale="75" orientation="portrait" r:id="rId1"/>
  <headerFooter alignWithMargins="0"/>
  <ignoredErrors>
    <ignoredError sqref="D4:D33 L4:L33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38"/>
  <sheetViews>
    <sheetView showGridLines="0" showZeros="0" zoomScale="70" zoomScaleNormal="70" zoomScalePageLayoutView="90" workbookViewId="0">
      <selection activeCell="I17" sqref="I17"/>
    </sheetView>
  </sheetViews>
  <sheetFormatPr defaultColWidth="15.77734375" defaultRowHeight="15" customHeight="1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0.049999999999997" customHeight="1">
      <c r="A1" s="59" t="s">
        <v>283</v>
      </c>
      <c r="B1" s="60"/>
      <c r="C1" s="60"/>
      <c r="D1" s="60"/>
      <c r="E1" s="60"/>
    </row>
    <row r="2" spans="1:8" ht="15" customHeight="1">
      <c r="A2" s="24" t="s">
        <v>161</v>
      </c>
      <c r="E2" s="61"/>
    </row>
    <row r="3" spans="1:8" ht="15" customHeight="1" thickBot="1">
      <c r="A3" s="24"/>
      <c r="E3" s="61"/>
    </row>
    <row r="4" spans="1:8" ht="40.5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831">
        <v>0.95</v>
      </c>
    </row>
    <row r="5" spans="1:8" s="24" customFormat="1" ht="15" customHeight="1">
      <c r="A5" s="2">
        <v>1</v>
      </c>
      <c r="B5" s="64">
        <f>ROUND(H6,3)/1000</f>
        <v>3.2000000000000001E-2</v>
      </c>
      <c r="C5" s="62">
        <f>H4</f>
        <v>0.95</v>
      </c>
      <c r="D5" s="63">
        <f xml:space="preserve"> ( ( Vazões!$C4+Vazões!F4+Vazões!I4 ) * ( 86.4 ) * ( 365 ) * ($B5 ) )</f>
        <v>456116.12387602596</v>
      </c>
      <c r="E5" s="17">
        <f xml:space="preserve"> ( ( C5 ) * ( D5 ) )</f>
        <v>433310.31768222462</v>
      </c>
    </row>
    <row r="6" spans="1:8" ht="15" customHeight="1">
      <c r="A6" s="2">
        <f xml:space="preserve"> ( ( A5 ) + ( 1 ) )</f>
        <v>2</v>
      </c>
      <c r="B6" s="64">
        <f>B5</f>
        <v>3.2000000000000001E-2</v>
      </c>
      <c r="C6" s="62">
        <f>C5</f>
        <v>0.95</v>
      </c>
      <c r="D6" s="63">
        <f xml:space="preserve"> ( ( Vazões!$C5+Vazões!F5+Vazões!I5 ) * ( 86.4 ) * ( 365 ) * ($B6 ) )</f>
        <v>448861.25964128686</v>
      </c>
      <c r="E6" s="17">
        <f t="shared" ref="E6:E34" si="0" xml:space="preserve"> ( ( C6 ) * ( D6 ) )</f>
        <v>426418.19665922248</v>
      </c>
      <c r="G6" s="25" t="s">
        <v>831</v>
      </c>
      <c r="H6" s="167">
        <v>32</v>
      </c>
    </row>
    <row r="7" spans="1:8" ht="15" customHeight="1">
      <c r="A7" s="2">
        <f t="shared" ref="A7:A34" si="1" xml:space="preserve"> ( ( A6 ) + ( 1 ) )</f>
        <v>3</v>
      </c>
      <c r="B7" s="64">
        <f t="shared" ref="B7:B34" si="2">B6</f>
        <v>3.2000000000000001E-2</v>
      </c>
      <c r="C7" s="62">
        <f t="shared" ref="C7:C34" si="3">C6</f>
        <v>0.95</v>
      </c>
      <c r="D7" s="63">
        <f xml:space="preserve"> ( ( Vazões!$C6+Vazões!F6+Vazões!I6 ) * ( 86.4 ) * ( 365 ) * ($B7 ) )</f>
        <v>443468.00707819924</v>
      </c>
      <c r="E7" s="17">
        <f t="shared" si="0"/>
        <v>421294.60672428925</v>
      </c>
    </row>
    <row r="8" spans="1:8" ht="15" customHeight="1">
      <c r="A8" s="2">
        <f t="shared" si="1"/>
        <v>4</v>
      </c>
      <c r="B8" s="64">
        <f t="shared" si="2"/>
        <v>3.2000000000000001E-2</v>
      </c>
      <c r="C8" s="62">
        <f t="shared" si="3"/>
        <v>0.95</v>
      </c>
      <c r="D8" s="63">
        <f xml:space="preserve"> ( ( Vazões!$C7+Vazões!F7+Vazões!I7 ) * ( 86.4 ) * ( 365 ) * ($B8 ) )</f>
        <v>431288.68220299412</v>
      </c>
      <c r="E8" s="17">
        <f t="shared" si="0"/>
        <v>409724.24809284438</v>
      </c>
    </row>
    <row r="9" spans="1:8" s="24" customFormat="1" ht="15" customHeight="1">
      <c r="A9" s="2">
        <f t="shared" si="1"/>
        <v>5</v>
      </c>
      <c r="B9" s="64">
        <f t="shared" si="2"/>
        <v>3.2000000000000001E-2</v>
      </c>
      <c r="C9" s="62">
        <f t="shared" si="3"/>
        <v>0.95</v>
      </c>
      <c r="D9" s="63">
        <f xml:space="preserve"> ( ( Vazões!$C8+Vazões!F8+Vazões!I8 ) * ( 86.4 ) * ( 365 ) * ($B9 ) )</f>
        <v>427200.49328767811</v>
      </c>
      <c r="E9" s="17">
        <f t="shared" si="0"/>
        <v>405840.4686232942</v>
      </c>
    </row>
    <row r="10" spans="1:8" ht="15" customHeight="1">
      <c r="A10" s="2">
        <f t="shared" si="1"/>
        <v>6</v>
      </c>
      <c r="B10" s="64">
        <f t="shared" si="2"/>
        <v>3.2000000000000001E-2</v>
      </c>
      <c r="C10" s="62">
        <f t="shared" si="3"/>
        <v>0.95</v>
      </c>
      <c r="D10" s="63">
        <f xml:space="preserve"> ( ( Vazões!$C9+Vazões!F9+Vazões!I9 ) * ( 86.4 ) * ( 365 ) * ($B10 ) )</f>
        <v>412876.98554306774</v>
      </c>
      <c r="E10" s="17">
        <f t="shared" si="0"/>
        <v>392233.13626591436</v>
      </c>
    </row>
    <row r="11" spans="1:8" ht="15" customHeight="1">
      <c r="A11" s="2">
        <f t="shared" si="1"/>
        <v>7</v>
      </c>
      <c r="B11" s="64">
        <f t="shared" si="2"/>
        <v>3.2000000000000001E-2</v>
      </c>
      <c r="C11" s="62">
        <f t="shared" si="3"/>
        <v>0.95</v>
      </c>
      <c r="D11" s="63">
        <f xml:space="preserve"> ( ( Vazões!$C10+Vazões!F10+Vazões!I10 ) * ( 86.4 ) * ( 365 ) * ($B11 ) )</f>
        <v>399813.83092108835</v>
      </c>
      <c r="E11" s="17">
        <f t="shared" si="0"/>
        <v>379823.1393750339</v>
      </c>
    </row>
    <row r="12" spans="1:8" ht="15" customHeight="1">
      <c r="A12" s="2">
        <f t="shared" si="1"/>
        <v>8</v>
      </c>
      <c r="B12" s="64">
        <f t="shared" si="2"/>
        <v>3.2000000000000001E-2</v>
      </c>
      <c r="C12" s="62">
        <f t="shared" si="3"/>
        <v>0.95</v>
      </c>
      <c r="D12" s="63">
        <f xml:space="preserve"> ( ( Vazões!$C11+Vazões!F11+Vazões!I11 ) * ( 86.4 ) * ( 365 ) * ($B12 ) )</f>
        <v>382467.7353467861</v>
      </c>
      <c r="E12" s="17">
        <f t="shared" si="0"/>
        <v>363344.34857944679</v>
      </c>
    </row>
    <row r="13" spans="1:8" s="24" customFormat="1" ht="15" customHeight="1">
      <c r="A13" s="2">
        <f t="shared" si="1"/>
        <v>9</v>
      </c>
      <c r="B13" s="64">
        <f t="shared" si="2"/>
        <v>3.2000000000000001E-2</v>
      </c>
      <c r="C13" s="62">
        <f t="shared" si="3"/>
        <v>0.95</v>
      </c>
      <c r="D13" s="63">
        <f xml:space="preserve"> ( ( Vazões!$C12+Vazões!F12+Vazões!I12 ) * ( 86.4 ) * ( 365 ) * ($B13 ) )</f>
        <v>376865.04577436741</v>
      </c>
      <c r="E13" s="17">
        <f t="shared" si="0"/>
        <v>358021.79348564905</v>
      </c>
    </row>
    <row r="14" spans="1:8" s="24" customFormat="1" ht="15" customHeight="1">
      <c r="A14" s="2">
        <f t="shared" si="1"/>
        <v>10</v>
      </c>
      <c r="B14" s="64">
        <f t="shared" si="2"/>
        <v>3.2000000000000001E-2</v>
      </c>
      <c r="C14" s="62">
        <f t="shared" si="3"/>
        <v>0.95</v>
      </c>
      <c r="D14" s="63">
        <f xml:space="preserve"> ( ( Vazões!$C13+Vazões!F13+Vazões!I13 ) * ( 86.4 ) * ( 365 ) * ($B14 ) )</f>
        <v>376511.33106183691</v>
      </c>
      <c r="E14" s="17">
        <f t="shared" si="0"/>
        <v>357685.76450874505</v>
      </c>
    </row>
    <row r="15" spans="1:8" ht="15" customHeight="1">
      <c r="A15" s="2">
        <f t="shared" si="1"/>
        <v>11</v>
      </c>
      <c r="B15" s="64">
        <f t="shared" si="2"/>
        <v>3.2000000000000001E-2</v>
      </c>
      <c r="C15" s="62">
        <f t="shared" si="3"/>
        <v>0.95</v>
      </c>
      <c r="D15" s="63">
        <f xml:space="preserve"> ( ( Vazões!$C14+Vazões!F14+Vazões!I14 ) * ( 86.4 ) * ( 365 ) * ($B15 ) )</f>
        <v>381182.48362629826</v>
      </c>
      <c r="E15" s="17">
        <f t="shared" si="0"/>
        <v>362123.3594449833</v>
      </c>
    </row>
    <row r="16" spans="1:8" ht="15" customHeight="1">
      <c r="A16" s="2">
        <f t="shared" si="1"/>
        <v>12</v>
      </c>
      <c r="B16" s="64">
        <f t="shared" si="2"/>
        <v>3.2000000000000001E-2</v>
      </c>
      <c r="C16" s="62">
        <f t="shared" si="3"/>
        <v>0.95</v>
      </c>
      <c r="D16" s="63">
        <f xml:space="preserve"> ( ( Vazões!$C15+Vazões!F15+Vazões!I15 ) * ( 86.4 ) * ( 365 ) * ($B16 ) )</f>
        <v>385853.63619075948</v>
      </c>
      <c r="E16" s="17">
        <f t="shared" si="0"/>
        <v>366560.9543812215</v>
      </c>
    </row>
    <row r="17" spans="1:5" ht="15" customHeight="1">
      <c r="A17" s="2">
        <f t="shared" si="1"/>
        <v>13</v>
      </c>
      <c r="B17" s="64">
        <f t="shared" si="2"/>
        <v>3.2000000000000001E-2</v>
      </c>
      <c r="C17" s="62">
        <f t="shared" si="3"/>
        <v>0.95</v>
      </c>
      <c r="D17" s="63">
        <f xml:space="preserve"> ( ( Vazões!$C16+Vazões!F16+Vazões!I16 ) * ( 86.4 ) * ( 365 ) * ($B17 ) )</f>
        <v>390524.78875522065</v>
      </c>
      <c r="E17" s="17">
        <f t="shared" si="0"/>
        <v>370998.54931745958</v>
      </c>
    </row>
    <row r="18" spans="1:5" ht="15" customHeight="1">
      <c r="A18" s="2">
        <f t="shared" si="1"/>
        <v>14</v>
      </c>
      <c r="B18" s="64">
        <f t="shared" si="2"/>
        <v>3.2000000000000001E-2</v>
      </c>
      <c r="C18" s="62">
        <f t="shared" si="3"/>
        <v>0.95</v>
      </c>
      <c r="D18" s="63">
        <f xml:space="preserve"> ( ( Vazões!$C17+Vazões!F17+Vazões!I17 ) * ( 86.4 ) * ( 365 ) * ($B18 ) )</f>
        <v>395195.94131968194</v>
      </c>
      <c r="E18" s="17">
        <f t="shared" si="0"/>
        <v>375436.14425369783</v>
      </c>
    </row>
    <row r="19" spans="1:5" ht="15" customHeight="1">
      <c r="A19" s="2">
        <f t="shared" si="1"/>
        <v>15</v>
      </c>
      <c r="B19" s="64">
        <f t="shared" si="2"/>
        <v>3.2000000000000001E-2</v>
      </c>
      <c r="C19" s="62">
        <f t="shared" si="3"/>
        <v>0.95</v>
      </c>
      <c r="D19" s="63">
        <f xml:space="preserve"> ( ( Vazões!$C18+Vazões!F18+Vazões!I18 ) * ( 86.4 ) * ( 365 ) * ($B19 ) )</f>
        <v>399870.2543391934</v>
      </c>
      <c r="E19" s="17">
        <f t="shared" si="0"/>
        <v>379876.74162223371</v>
      </c>
    </row>
    <row r="20" spans="1:5" ht="15" customHeight="1">
      <c r="A20" s="2">
        <f t="shared" si="1"/>
        <v>16</v>
      </c>
      <c r="B20" s="64">
        <f t="shared" si="2"/>
        <v>3.2000000000000001E-2</v>
      </c>
      <c r="C20" s="62">
        <f t="shared" si="3"/>
        <v>0.95</v>
      </c>
      <c r="D20" s="63">
        <f xml:space="preserve"> ( ( Vazões!$C19+Vazões!F19+Vazões!I19 ) * ( 86.4 ) * ( 365 ) * ($B20 ) )</f>
        <v>404541.4069036548</v>
      </c>
      <c r="E20" s="17">
        <f t="shared" si="0"/>
        <v>384314.33655847202</v>
      </c>
    </row>
    <row r="21" spans="1:5" ht="15" customHeight="1">
      <c r="A21" s="2">
        <f t="shared" si="1"/>
        <v>17</v>
      </c>
      <c r="B21" s="64">
        <f t="shared" si="2"/>
        <v>3.2000000000000001E-2</v>
      </c>
      <c r="C21" s="62">
        <f t="shared" si="3"/>
        <v>0.95</v>
      </c>
      <c r="D21" s="63">
        <f xml:space="preserve"> ( ( Vazões!$C20+Vazões!F20+Vazões!I20 ) * ( 86.4 ) * ( 365 ) * ($B21 ) )</f>
        <v>409212.55946811591</v>
      </c>
      <c r="E21" s="17">
        <f t="shared" si="0"/>
        <v>388751.93149471009</v>
      </c>
    </row>
    <row r="22" spans="1:5" ht="15" customHeight="1">
      <c r="A22" s="2">
        <f t="shared" si="1"/>
        <v>18</v>
      </c>
      <c r="B22" s="64">
        <f t="shared" si="2"/>
        <v>3.2000000000000001E-2</v>
      </c>
      <c r="C22" s="62">
        <f t="shared" si="3"/>
        <v>0.95</v>
      </c>
      <c r="D22" s="63">
        <f xml:space="preserve"> ( ( Vazões!$C21+Vazões!F21+Vazões!I21 ) * ( 86.4 ) * ( 365 ) * ($B22 ) )</f>
        <v>413918.47703813144</v>
      </c>
      <c r="E22" s="17">
        <f t="shared" si="0"/>
        <v>393222.55318622483</v>
      </c>
    </row>
    <row r="23" spans="1:5" ht="15" customHeight="1">
      <c r="A23" s="2">
        <f t="shared" si="1"/>
        <v>19</v>
      </c>
      <c r="B23" s="64">
        <f t="shared" si="2"/>
        <v>3.2000000000000001E-2</v>
      </c>
      <c r="C23" s="62">
        <f t="shared" si="3"/>
        <v>0.95</v>
      </c>
      <c r="D23" s="63">
        <f xml:space="preserve"> ( ( Vazões!$C22+Vazões!F22+Vazões!I22 ) * ( 86.4 ) * ( 365 ) * ($B23 ) )</f>
        <v>418678.12234400329</v>
      </c>
      <c r="E23" s="17">
        <f t="shared" si="0"/>
        <v>397744.21622680308</v>
      </c>
    </row>
    <row r="24" spans="1:5" ht="15" customHeight="1">
      <c r="A24" s="2">
        <f t="shared" si="1"/>
        <v>20</v>
      </c>
      <c r="B24" s="64">
        <f t="shared" si="2"/>
        <v>3.2000000000000001E-2</v>
      </c>
      <c r="C24" s="62">
        <f t="shared" si="3"/>
        <v>0.95</v>
      </c>
      <c r="D24" s="63">
        <f xml:space="preserve"> ( ( Vazões!$C23+Vazões!F23+Vazões!I23 ) * ( 86.4 ) * ( 365 ) * ($B24 ) )</f>
        <v>423491.49538573163</v>
      </c>
      <c r="E24" s="17">
        <f t="shared" si="0"/>
        <v>402316.92061644502</v>
      </c>
    </row>
    <row r="25" spans="1:5" ht="15" customHeight="1">
      <c r="A25" s="2">
        <f t="shared" si="1"/>
        <v>21</v>
      </c>
      <c r="B25" s="64">
        <f t="shared" si="2"/>
        <v>3.2000000000000001E-2</v>
      </c>
      <c r="C25" s="62">
        <f t="shared" si="3"/>
        <v>0.95</v>
      </c>
      <c r="D25" s="63">
        <f xml:space="preserve"> ( ( Vazões!$C24+Vazões!F24+Vazões!I24 ) * ( 86.4 ) * ( 365 ) * ($B25 ) )</f>
        <v>428361.75661836687</v>
      </c>
      <c r="E25" s="17">
        <f t="shared" si="0"/>
        <v>406943.66878744849</v>
      </c>
    </row>
    <row r="26" spans="1:5" ht="15" customHeight="1">
      <c r="A26" s="2">
        <f t="shared" si="1"/>
        <v>22</v>
      </c>
      <c r="B26" s="64">
        <f t="shared" si="2"/>
        <v>3.2000000000000001E-2</v>
      </c>
      <c r="C26" s="62">
        <f t="shared" si="3"/>
        <v>0.95</v>
      </c>
      <c r="D26" s="63">
        <f xml:space="preserve"> ( ( Vazões!$C25+Vazões!F25+Vazões!I25 ) * ( 86.4 ) * ( 365 ) * ($B26 ) )</f>
        <v>433288.90604190872</v>
      </c>
      <c r="E26" s="17">
        <f t="shared" si="0"/>
        <v>411624.46073981328</v>
      </c>
    </row>
    <row r="27" spans="1:5" ht="15" customHeight="1">
      <c r="A27" s="2">
        <f t="shared" si="1"/>
        <v>23</v>
      </c>
      <c r="B27" s="64">
        <f t="shared" si="2"/>
        <v>3.2000000000000001E-2</v>
      </c>
      <c r="C27" s="62">
        <f t="shared" si="3"/>
        <v>0.95</v>
      </c>
      <c r="D27" s="63">
        <f xml:space="preserve"> ( ( Vazões!$C26+Vazões!F26+Vazões!I26 ) * ( 86.4 ) * ( 365 ) * ($B27 ) )</f>
        <v>438272.94365635741</v>
      </c>
      <c r="E27" s="17">
        <f t="shared" si="0"/>
        <v>416359.29647353955</v>
      </c>
    </row>
    <row r="28" spans="1:5" s="24" customFormat="1" ht="15" customHeight="1">
      <c r="A28" s="2">
        <f t="shared" si="1"/>
        <v>24</v>
      </c>
      <c r="B28" s="64">
        <f t="shared" si="2"/>
        <v>3.2000000000000001E-2</v>
      </c>
      <c r="C28" s="62">
        <f t="shared" si="3"/>
        <v>0.95</v>
      </c>
      <c r="D28" s="63">
        <f xml:space="preserve"> ( ( Vazões!$C27+Vazões!F27+Vazões!I27 ) * ( 86.4 ) * ( 365 ) * ($B28 ) )</f>
        <v>443317.02991676348</v>
      </c>
      <c r="E28" s="17">
        <f t="shared" si="0"/>
        <v>421151.17842092528</v>
      </c>
    </row>
    <row r="29" spans="1:5" s="24" customFormat="1" ht="15" customHeight="1">
      <c r="A29" s="2">
        <f t="shared" si="1"/>
        <v>25</v>
      </c>
      <c r="B29" s="64">
        <f t="shared" si="2"/>
        <v>3.2000000000000001E-2</v>
      </c>
      <c r="C29" s="62">
        <f t="shared" si="3"/>
        <v>0.95</v>
      </c>
      <c r="D29" s="63">
        <f xml:space="preserve"> ( ( Vazões!$C28+Vazões!F28+Vazões!I28 ) * ( 86.4 ) * ( 365 ) * ($B29 ) )</f>
        <v>448421.16482312669</v>
      </c>
      <c r="E29" s="17">
        <f t="shared" si="0"/>
        <v>426000.10658197035</v>
      </c>
    </row>
    <row r="30" spans="1:5" ht="15" customHeight="1">
      <c r="A30" s="2">
        <f t="shared" si="1"/>
        <v>26</v>
      </c>
      <c r="B30" s="64">
        <f t="shared" si="2"/>
        <v>3.2000000000000001E-2</v>
      </c>
      <c r="C30" s="62">
        <f t="shared" si="3"/>
        <v>0.95</v>
      </c>
      <c r="D30" s="63">
        <f xml:space="preserve"> ( ( Vazões!$C29+Vazões!F29+Vazões!I29 ) * ( 86.4 ) * ( 365 ) * ($B30 ) )</f>
        <v>453579.02746534662</v>
      </c>
      <c r="E30" s="17">
        <f t="shared" si="0"/>
        <v>430900.07609207928</v>
      </c>
    </row>
    <row r="31" spans="1:5" s="24" customFormat="1" ht="15" customHeight="1">
      <c r="A31" s="2">
        <f t="shared" si="1"/>
        <v>27</v>
      </c>
      <c r="B31" s="64">
        <f t="shared" si="2"/>
        <v>3.2000000000000001E-2</v>
      </c>
      <c r="C31" s="62">
        <f t="shared" si="3"/>
        <v>0.95</v>
      </c>
      <c r="D31" s="63">
        <f xml:space="preserve"> ( ( Vazões!$C30+Vazões!F30+Vazões!I30 ) * ( 86.4 ) * ( 365 ) * ($B31 ) )</f>
        <v>458796.9387535234</v>
      </c>
      <c r="E31" s="17">
        <f t="shared" si="0"/>
        <v>435857.0918158472</v>
      </c>
    </row>
    <row r="32" spans="1:5" s="24" customFormat="1" ht="15" customHeight="1">
      <c r="A32" s="2">
        <f t="shared" si="1"/>
        <v>28</v>
      </c>
      <c r="B32" s="64">
        <f t="shared" si="2"/>
        <v>3.2000000000000001E-2</v>
      </c>
      <c r="C32" s="62">
        <f t="shared" si="3"/>
        <v>0.95</v>
      </c>
      <c r="D32" s="63">
        <f xml:space="preserve"> ( ( Vazões!$C31+Vazões!F31+Vazões!I31 ) * ( 86.4 ) * ( 365 ) * ($B32 ) )</f>
        <v>464074.89868765767</v>
      </c>
      <c r="E32" s="17">
        <f t="shared" si="0"/>
        <v>440871.15375327476</v>
      </c>
    </row>
    <row r="33" spans="1:5" s="24" customFormat="1" ht="15" customHeight="1">
      <c r="A33" s="2">
        <f t="shared" si="1"/>
        <v>29</v>
      </c>
      <c r="B33" s="64">
        <f t="shared" si="2"/>
        <v>3.2000000000000001E-2</v>
      </c>
      <c r="C33" s="62">
        <f t="shared" si="3"/>
        <v>0.95</v>
      </c>
      <c r="D33" s="63">
        <f xml:space="preserve"> ( ( Vazões!$C32+Vazões!F32+Vazões!I32 ) * ( 86.4 ) * ( 365 ) * ($B33 ) )</f>
        <v>469412.90726774884</v>
      </c>
      <c r="E33" s="17">
        <f t="shared" si="0"/>
        <v>445942.26190436137</v>
      </c>
    </row>
    <row r="34" spans="1:5" s="24" customFormat="1" ht="14.25" customHeight="1">
      <c r="A34" s="2">
        <f t="shared" si="1"/>
        <v>30</v>
      </c>
      <c r="B34" s="64">
        <f t="shared" si="2"/>
        <v>3.2000000000000001E-2</v>
      </c>
      <c r="C34" s="62">
        <f t="shared" si="3"/>
        <v>0.95</v>
      </c>
      <c r="D34" s="63">
        <f xml:space="preserve"> ( ( Vazões!$C33+Vazões!F33+Vazões!I33 ) * ( 86.4 ) * ( 365 ) * ($B34 ) )</f>
        <v>474814.12494884792</v>
      </c>
      <c r="E34" s="17">
        <f t="shared" si="0"/>
        <v>451073.41870140552</v>
      </c>
    </row>
    <row r="35" spans="1:5" s="24" customFormat="1" ht="15" customHeight="1">
      <c r="A35" s="1000" t="s">
        <v>0</v>
      </c>
      <c r="B35" s="1001"/>
      <c r="C35" s="1001"/>
      <c r="D35" s="11">
        <f xml:space="preserve"> SUM( D5:D34)</f>
        <v>12690278.358283766</v>
      </c>
      <c r="E35" s="65">
        <f xml:space="preserve"> SUM( E5:E34)</f>
        <v>12055764.440369582</v>
      </c>
    </row>
    <row r="38" spans="1:5" ht="15" customHeight="1">
      <c r="C38" s="82"/>
    </row>
  </sheetData>
  <mergeCells count="1">
    <mergeCell ref="A35:C35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H39"/>
  <sheetViews>
    <sheetView showGridLines="0" showZeros="0" zoomScale="70" zoomScaleNormal="70" zoomScalePageLayoutView="90" workbookViewId="0">
      <selection activeCell="G14" sqref="G14"/>
    </sheetView>
  </sheetViews>
  <sheetFormatPr defaultColWidth="15.77734375" defaultRowHeight="15" customHeight="1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1.25" customHeight="1">
      <c r="A1" s="59" t="s">
        <v>283</v>
      </c>
      <c r="B1" s="60"/>
      <c r="C1" s="60"/>
      <c r="D1" s="60"/>
      <c r="E1" s="60"/>
    </row>
    <row r="2" spans="1:8" ht="15" customHeight="1">
      <c r="A2" s="24" t="s">
        <v>163</v>
      </c>
      <c r="E2" s="61"/>
    </row>
    <row r="3" spans="1:8" ht="15" customHeight="1" thickBot="1">
      <c r="A3" s="24"/>
      <c r="E3" s="61"/>
    </row>
    <row r="4" spans="1:8" ht="41.25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249">
        <v>2.1</v>
      </c>
    </row>
    <row r="5" spans="1:8" s="24" customFormat="1" ht="15" customHeight="1">
      <c r="A5" s="2">
        <v>1</v>
      </c>
      <c r="B5" s="64">
        <f>H6</f>
        <v>0.01</v>
      </c>
      <c r="C5" s="62">
        <f>H4</f>
        <v>2.1</v>
      </c>
      <c r="D5" s="63">
        <f xml:space="preserve"> ( ( Vazões!$C4+Vazões!F4+Vazões!I4 ) * ( 86.4 ) * ( 365 ) * ($B5 ) )</f>
        <v>142536.28871125812</v>
      </c>
      <c r="E5" s="17">
        <f xml:space="preserve"> ( ( C5 ) * ( D5 ) )</f>
        <v>299326.20629364206</v>
      </c>
    </row>
    <row r="6" spans="1:8" ht="15" customHeight="1">
      <c r="A6" s="2">
        <f xml:space="preserve"> ( ( A5 ) + ( 1 ) )</f>
        <v>2</v>
      </c>
      <c r="B6" s="64">
        <f>B5</f>
        <v>0.01</v>
      </c>
      <c r="C6" s="62">
        <f>C5</f>
        <v>2.1</v>
      </c>
      <c r="D6" s="63">
        <f xml:space="preserve"> ( ( Vazões!$C5+Vazões!F5+Vazões!I5 ) * ( 86.4 ) * ( 365 ) * ($B6 ) )</f>
        <v>140269.14363790213</v>
      </c>
      <c r="E6" s="17">
        <f t="shared" ref="E6:E34" si="0" xml:space="preserve"> ( ( C6 ) * ( D6 ) )</f>
        <v>294565.20163959451</v>
      </c>
      <c r="H6" s="848">
        <v>0.01</v>
      </c>
    </row>
    <row r="7" spans="1:8" ht="15" customHeight="1">
      <c r="A7" s="2">
        <f t="shared" ref="A7:A34" si="1" xml:space="preserve"> ( ( A6 ) + ( 1 ) )</f>
        <v>3</v>
      </c>
      <c r="B7" s="64">
        <f t="shared" ref="B7:B34" si="2">B6</f>
        <v>0.01</v>
      </c>
      <c r="C7" s="62">
        <f t="shared" ref="C7:C34" si="3">C6</f>
        <v>2.1</v>
      </c>
      <c r="D7" s="63">
        <f xml:space="preserve"> ( ( Vazões!$C6+Vazões!F6+Vazões!I6 ) * ( 86.4 ) * ( 365 ) * ($B7 ) )</f>
        <v>138583.75221193724</v>
      </c>
      <c r="E7" s="17">
        <f t="shared" si="0"/>
        <v>291025.8796450682</v>
      </c>
    </row>
    <row r="8" spans="1:8" ht="15" customHeight="1">
      <c r="A8" s="2">
        <f t="shared" si="1"/>
        <v>4</v>
      </c>
      <c r="B8" s="64">
        <f t="shared" si="2"/>
        <v>0.01</v>
      </c>
      <c r="C8" s="62">
        <f t="shared" si="3"/>
        <v>2.1</v>
      </c>
      <c r="D8" s="63">
        <f xml:space="preserve"> ( ( Vazões!$C7+Vazões!F7+Vazões!I7 ) * ( 86.4 ) * ( 365 ) * ($B8 ) )</f>
        <v>134777.71318843565</v>
      </c>
      <c r="E8" s="17">
        <f t="shared" si="0"/>
        <v>283033.19769571489</v>
      </c>
    </row>
    <row r="9" spans="1:8" s="24" customFormat="1" ht="15" customHeight="1">
      <c r="A9" s="2">
        <f t="shared" si="1"/>
        <v>5</v>
      </c>
      <c r="B9" s="64">
        <f t="shared" si="2"/>
        <v>0.01</v>
      </c>
      <c r="C9" s="62">
        <f t="shared" si="3"/>
        <v>2.1</v>
      </c>
      <c r="D9" s="63">
        <f xml:space="preserve"> ( ( Vazões!$C8+Vazões!F8+Vazões!I8 ) * ( 86.4 ) * ( 365 ) * ($B9 ) )</f>
        <v>133500.15415239942</v>
      </c>
      <c r="E9" s="17">
        <f t="shared" si="0"/>
        <v>280350.32372003881</v>
      </c>
    </row>
    <row r="10" spans="1:8" ht="15" customHeight="1">
      <c r="A10" s="2">
        <f t="shared" si="1"/>
        <v>6</v>
      </c>
      <c r="B10" s="64">
        <f t="shared" si="2"/>
        <v>0.01</v>
      </c>
      <c r="C10" s="62">
        <f t="shared" si="3"/>
        <v>2.1</v>
      </c>
      <c r="D10" s="63">
        <f xml:space="preserve"> ( ( Vazões!$C9+Vazões!F9+Vazões!I9 ) * ( 86.4 ) * ( 365 ) * ($B10 ) )</f>
        <v>129024.05798220867</v>
      </c>
      <c r="E10" s="17">
        <f t="shared" si="0"/>
        <v>270950.52176263824</v>
      </c>
    </row>
    <row r="11" spans="1:8" ht="15" customHeight="1">
      <c r="A11" s="2">
        <f t="shared" si="1"/>
        <v>7</v>
      </c>
      <c r="B11" s="64">
        <f t="shared" si="2"/>
        <v>0.01</v>
      </c>
      <c r="C11" s="62">
        <f t="shared" si="3"/>
        <v>2.1</v>
      </c>
      <c r="D11" s="63">
        <f xml:space="preserve"> ( ( Vazões!$C10+Vazões!F10+Vazões!I10 ) * ( 86.4 ) * ( 365 ) * ($B11 ) )</f>
        <v>124941.82216284011</v>
      </c>
      <c r="E11" s="17">
        <f t="shared" si="0"/>
        <v>262377.82654196426</v>
      </c>
    </row>
    <row r="12" spans="1:8" ht="15" customHeight="1">
      <c r="A12" s="2">
        <f t="shared" si="1"/>
        <v>8</v>
      </c>
      <c r="B12" s="64">
        <f t="shared" si="2"/>
        <v>0.01</v>
      </c>
      <c r="C12" s="62">
        <f t="shared" si="3"/>
        <v>2.1</v>
      </c>
      <c r="D12" s="63">
        <f xml:space="preserve"> ( ( Vazões!$C11+Vazões!F11+Vazões!I11 ) * ( 86.4 ) * ( 365 ) * ($B12 ) )</f>
        <v>119521.16729587065</v>
      </c>
      <c r="E12" s="17">
        <f t="shared" si="0"/>
        <v>250994.45132132838</v>
      </c>
    </row>
    <row r="13" spans="1:8" s="24" customFormat="1" ht="15" customHeight="1">
      <c r="A13" s="2">
        <f t="shared" si="1"/>
        <v>9</v>
      </c>
      <c r="B13" s="64">
        <f t="shared" si="2"/>
        <v>0.01</v>
      </c>
      <c r="C13" s="62">
        <f t="shared" si="3"/>
        <v>2.1</v>
      </c>
      <c r="D13" s="63">
        <f xml:space="preserve"> ( ( Vazões!$C12+Vazões!F12+Vazões!I12 ) * ( 86.4 ) * ( 365 ) * ($B13 ) )</f>
        <v>117770.32680448981</v>
      </c>
      <c r="E13" s="17">
        <f t="shared" si="0"/>
        <v>247317.68628942862</v>
      </c>
    </row>
    <row r="14" spans="1:8" s="24" customFormat="1" ht="15" customHeight="1">
      <c r="A14" s="2">
        <f t="shared" si="1"/>
        <v>10</v>
      </c>
      <c r="B14" s="64">
        <f t="shared" si="2"/>
        <v>0.01</v>
      </c>
      <c r="C14" s="62">
        <f t="shared" si="3"/>
        <v>2.1</v>
      </c>
      <c r="D14" s="63">
        <f xml:space="preserve"> ( ( Vazões!$C13+Vazões!F13+Vazões!I13 ) * ( 86.4 ) * ( 365 ) * ($B14 ) )</f>
        <v>117659.79095682403</v>
      </c>
      <c r="E14" s="17">
        <f t="shared" si="0"/>
        <v>247085.56100933047</v>
      </c>
    </row>
    <row r="15" spans="1:8" ht="15" customHeight="1">
      <c r="A15" s="2">
        <f t="shared" si="1"/>
        <v>11</v>
      </c>
      <c r="B15" s="64">
        <f t="shared" si="2"/>
        <v>0.01</v>
      </c>
      <c r="C15" s="62">
        <f t="shared" si="3"/>
        <v>2.1</v>
      </c>
      <c r="D15" s="63">
        <f xml:space="preserve"> ( ( Vazões!$C14+Vazões!F14+Vazões!I14 ) * ( 86.4 ) * ( 365 ) * ($B15 ) )</f>
        <v>119119.5261332182</v>
      </c>
      <c r="E15" s="17">
        <f t="shared" si="0"/>
        <v>250151.00487975823</v>
      </c>
    </row>
    <row r="16" spans="1:8" ht="15" customHeight="1">
      <c r="A16" s="2">
        <f t="shared" si="1"/>
        <v>12</v>
      </c>
      <c r="B16" s="64">
        <f t="shared" si="2"/>
        <v>0.01</v>
      </c>
      <c r="C16" s="62">
        <f t="shared" si="3"/>
        <v>2.1</v>
      </c>
      <c r="D16" s="63">
        <f xml:space="preserve"> ( ( Vazões!$C15+Vazões!F15+Vazões!I15 ) * ( 86.4 ) * ( 365 ) * ($B16 ) )</f>
        <v>120579.26130961234</v>
      </c>
      <c r="E16" s="17">
        <f t="shared" si="0"/>
        <v>253216.44875018593</v>
      </c>
    </row>
    <row r="17" spans="1:5" ht="15" customHeight="1">
      <c r="A17" s="2">
        <f t="shared" si="1"/>
        <v>13</v>
      </c>
      <c r="B17" s="64">
        <f t="shared" si="2"/>
        <v>0.01</v>
      </c>
      <c r="C17" s="62">
        <f t="shared" si="3"/>
        <v>2.1</v>
      </c>
      <c r="D17" s="63">
        <f xml:space="preserve"> ( ( Vazões!$C16+Vazões!F16+Vazões!I16 ) * ( 86.4 ) * ( 365 ) * ($B17 ) )</f>
        <v>122038.99648600645</v>
      </c>
      <c r="E17" s="17">
        <f t="shared" si="0"/>
        <v>256281.89262061357</v>
      </c>
    </row>
    <row r="18" spans="1:5" ht="15" customHeight="1">
      <c r="A18" s="2">
        <f t="shared" si="1"/>
        <v>14</v>
      </c>
      <c r="B18" s="64">
        <f t="shared" si="2"/>
        <v>0.01</v>
      </c>
      <c r="C18" s="62">
        <f t="shared" si="3"/>
        <v>2.1</v>
      </c>
      <c r="D18" s="63">
        <f xml:space="preserve"> ( ( Vazões!$C17+Vazões!F17+Vazões!I17 ) * ( 86.4 ) * ( 365 ) * ($B18 ) )</f>
        <v>123498.73166240061</v>
      </c>
      <c r="E18" s="17">
        <f t="shared" si="0"/>
        <v>259347.33649104129</v>
      </c>
    </row>
    <row r="19" spans="1:5" ht="15" customHeight="1">
      <c r="A19" s="2">
        <f t="shared" si="1"/>
        <v>15</v>
      </c>
      <c r="B19" s="64">
        <f t="shared" si="2"/>
        <v>0.01</v>
      </c>
      <c r="C19" s="62">
        <f t="shared" si="3"/>
        <v>2.1</v>
      </c>
      <c r="D19" s="63">
        <f xml:space="preserve"> ( ( Vazões!$C18+Vazões!F18+Vazões!I18 ) * ( 86.4 ) * ( 365 ) * ($B19 ) )</f>
        <v>124959.45448099794</v>
      </c>
      <c r="E19" s="17">
        <f t="shared" si="0"/>
        <v>262414.85441009566</v>
      </c>
    </row>
    <row r="20" spans="1:5" ht="15" customHeight="1">
      <c r="A20" s="2">
        <f t="shared" si="1"/>
        <v>16</v>
      </c>
      <c r="B20" s="64">
        <f t="shared" si="2"/>
        <v>0.01</v>
      </c>
      <c r="C20" s="62">
        <f t="shared" si="3"/>
        <v>2.1</v>
      </c>
      <c r="D20" s="63">
        <f xml:space="preserve"> ( ( Vazões!$C19+Vazões!F19+Vazões!I19 ) * ( 86.4 ) * ( 365 ) * ($B20 ) )</f>
        <v>126419.18965739213</v>
      </c>
      <c r="E20" s="17">
        <f t="shared" si="0"/>
        <v>265480.29828052345</v>
      </c>
    </row>
    <row r="21" spans="1:5" ht="15" customHeight="1">
      <c r="A21" s="2">
        <f t="shared" si="1"/>
        <v>17</v>
      </c>
      <c r="B21" s="64">
        <f t="shared" si="2"/>
        <v>0.01</v>
      </c>
      <c r="C21" s="62">
        <f t="shared" si="3"/>
        <v>2.1</v>
      </c>
      <c r="D21" s="63">
        <f xml:space="preserve"> ( ( Vazões!$C20+Vazões!F20+Vazões!I20 ) * ( 86.4 ) * ( 365 ) * ($B21 ) )</f>
        <v>127878.92483378622</v>
      </c>
      <c r="E21" s="17">
        <f t="shared" si="0"/>
        <v>268545.74215095106</v>
      </c>
    </row>
    <row r="22" spans="1:5" ht="15" customHeight="1">
      <c r="A22" s="2">
        <f t="shared" si="1"/>
        <v>18</v>
      </c>
      <c r="B22" s="64">
        <f t="shared" si="2"/>
        <v>0.01</v>
      </c>
      <c r="C22" s="62">
        <f t="shared" si="3"/>
        <v>2.1</v>
      </c>
      <c r="D22" s="63">
        <f xml:space="preserve"> ( ( Vazões!$C21+Vazões!F21+Vazões!I21 ) * ( 86.4 ) * ( 365 ) * ($B22 ) )</f>
        <v>129349.52407441607</v>
      </c>
      <c r="E22" s="17">
        <f t="shared" si="0"/>
        <v>271634.00055627374</v>
      </c>
    </row>
    <row r="23" spans="1:5" ht="15" customHeight="1">
      <c r="A23" s="2">
        <f t="shared" si="1"/>
        <v>19</v>
      </c>
      <c r="B23" s="64">
        <f t="shared" si="2"/>
        <v>0.01</v>
      </c>
      <c r="C23" s="62">
        <f t="shared" si="3"/>
        <v>2.1</v>
      </c>
      <c r="D23" s="63">
        <f xml:space="preserve"> ( ( Vazões!$C22+Vazões!F22+Vazões!I22 ) * ( 86.4 ) * ( 365 ) * ($B23 ) )</f>
        <v>130836.91323250103</v>
      </c>
      <c r="E23" s="17">
        <f t="shared" si="0"/>
        <v>274757.51778825215</v>
      </c>
    </row>
    <row r="24" spans="1:5" ht="15" customHeight="1">
      <c r="A24" s="2">
        <f t="shared" si="1"/>
        <v>20</v>
      </c>
      <c r="B24" s="64">
        <f t="shared" si="2"/>
        <v>0.01</v>
      </c>
      <c r="C24" s="62">
        <f t="shared" si="3"/>
        <v>2.1</v>
      </c>
      <c r="D24" s="63">
        <f xml:space="preserve"> ( ( Vazões!$C23+Vazões!F23+Vazões!I23 ) * ( 86.4 ) * ( 365 ) * ($B24 ) )</f>
        <v>132341.09230804114</v>
      </c>
      <c r="E24" s="17">
        <f t="shared" si="0"/>
        <v>277916.29384688643</v>
      </c>
    </row>
    <row r="25" spans="1:5" ht="15" customHeight="1">
      <c r="A25" s="2">
        <f t="shared" si="1"/>
        <v>21</v>
      </c>
      <c r="B25" s="64">
        <f t="shared" si="2"/>
        <v>0.01</v>
      </c>
      <c r="C25" s="62">
        <f t="shared" si="3"/>
        <v>2.1</v>
      </c>
      <c r="D25" s="63">
        <f xml:space="preserve"> ( ( Vazões!$C24+Vazões!F24+Vazões!I24 ) * ( 86.4 ) * ( 365 ) * ($B25 ) )</f>
        <v>133863.04894323964</v>
      </c>
      <c r="E25" s="17">
        <f t="shared" si="0"/>
        <v>281112.40278080327</v>
      </c>
    </row>
    <row r="26" spans="1:5" ht="15" customHeight="1">
      <c r="A26" s="2">
        <f t="shared" si="1"/>
        <v>22</v>
      </c>
      <c r="B26" s="64">
        <f t="shared" si="2"/>
        <v>0.01</v>
      </c>
      <c r="C26" s="62">
        <f t="shared" si="3"/>
        <v>2.1</v>
      </c>
      <c r="D26" s="63">
        <f xml:space="preserve"> ( ( Vazões!$C25+Vazões!F25+Vazões!I25 ) * ( 86.4 ) * ( 365 ) * ($B26 ) )</f>
        <v>135402.78313809648</v>
      </c>
      <c r="E26" s="17">
        <f t="shared" si="0"/>
        <v>284345.84459000261</v>
      </c>
    </row>
    <row r="27" spans="1:5" ht="15" customHeight="1">
      <c r="A27" s="2">
        <f t="shared" si="1"/>
        <v>23</v>
      </c>
      <c r="B27" s="64">
        <f t="shared" si="2"/>
        <v>0.01</v>
      </c>
      <c r="C27" s="62">
        <f t="shared" si="3"/>
        <v>2.1</v>
      </c>
      <c r="D27" s="63">
        <f xml:space="preserve"> ( ( Vazões!$C26+Vazões!F26+Vazões!I26 ) * ( 86.4 ) * ( 365 ) * ($B27 ) )</f>
        <v>136960.29489261168</v>
      </c>
      <c r="E27" s="17">
        <f t="shared" si="0"/>
        <v>287616.61927448452</v>
      </c>
    </row>
    <row r="28" spans="1:5" s="24" customFormat="1" ht="15" customHeight="1">
      <c r="A28" s="2">
        <f t="shared" si="1"/>
        <v>24</v>
      </c>
      <c r="B28" s="64">
        <f t="shared" si="2"/>
        <v>0.01</v>
      </c>
      <c r="C28" s="62">
        <f t="shared" si="3"/>
        <v>2.1</v>
      </c>
      <c r="D28" s="63">
        <f xml:space="preserve"> ( ( Vazões!$C27+Vazões!F27+Vazões!I27 ) * ( 86.4 ) * ( 365 ) * ($B28 ) )</f>
        <v>138536.57184898859</v>
      </c>
      <c r="E28" s="17">
        <f t="shared" si="0"/>
        <v>290926.80088287604</v>
      </c>
    </row>
    <row r="29" spans="1:5" s="24" customFormat="1" ht="15" customHeight="1">
      <c r="A29" s="2">
        <f t="shared" si="1"/>
        <v>25</v>
      </c>
      <c r="B29" s="64">
        <f t="shared" si="2"/>
        <v>0.01</v>
      </c>
      <c r="C29" s="62">
        <f t="shared" si="3"/>
        <v>2.1</v>
      </c>
      <c r="D29" s="63">
        <f xml:space="preserve"> ( ( Vazões!$C28+Vazões!F28+Vazões!I28 ) * ( 86.4 ) * ( 365 ) * ($B29 ) )</f>
        <v>140131.61400722709</v>
      </c>
      <c r="E29" s="17">
        <f t="shared" si="0"/>
        <v>294276.38941517693</v>
      </c>
    </row>
    <row r="30" spans="1:5" ht="15" customHeight="1">
      <c r="A30" s="2">
        <f t="shared" si="1"/>
        <v>26</v>
      </c>
      <c r="B30" s="64">
        <f t="shared" si="2"/>
        <v>0.01</v>
      </c>
      <c r="C30" s="62">
        <f t="shared" si="3"/>
        <v>2.1</v>
      </c>
      <c r="D30" s="63">
        <f xml:space="preserve"> ( ( Vazões!$C29+Vazões!F29+Vazões!I29 ) * ( 86.4 ) * ( 365 ) * ($B30 ) )</f>
        <v>141743.44608292083</v>
      </c>
      <c r="E30" s="17">
        <f t="shared" si="0"/>
        <v>297661.23677413375</v>
      </c>
    </row>
    <row r="31" spans="1:5" s="24" customFormat="1" ht="15" customHeight="1">
      <c r="A31" s="2">
        <f t="shared" si="1"/>
        <v>27</v>
      </c>
      <c r="B31" s="64">
        <f t="shared" si="2"/>
        <v>0.01</v>
      </c>
      <c r="C31" s="62">
        <f t="shared" si="3"/>
        <v>2.1</v>
      </c>
      <c r="D31" s="63">
        <f xml:space="preserve"> ( ( Vazões!$C30+Vazões!F30+Vazões!I30 ) * ( 86.4 ) * ( 365 ) * ($B31 ) )</f>
        <v>143374.04336047606</v>
      </c>
      <c r="E31" s="17">
        <f t="shared" si="0"/>
        <v>301085.49105699972</v>
      </c>
    </row>
    <row r="32" spans="1:5" s="24" customFormat="1" ht="15" customHeight="1">
      <c r="A32" s="2">
        <f t="shared" si="1"/>
        <v>28</v>
      </c>
      <c r="B32" s="64">
        <f t="shared" si="2"/>
        <v>0.01</v>
      </c>
      <c r="C32" s="62">
        <f t="shared" si="3"/>
        <v>2.1</v>
      </c>
      <c r="D32" s="63">
        <f xml:space="preserve"> ( ( Vazões!$C31+Vazões!F31+Vazões!I31 ) * ( 86.4 ) * ( 365 ) * ($B32 ) )</f>
        <v>145023.40583989301</v>
      </c>
      <c r="E32" s="17">
        <f t="shared" si="0"/>
        <v>304549.15226377535</v>
      </c>
    </row>
    <row r="33" spans="1:5" s="24" customFormat="1" ht="15" customHeight="1">
      <c r="A33" s="2">
        <f t="shared" si="1"/>
        <v>29</v>
      </c>
      <c r="B33" s="64">
        <f t="shared" si="2"/>
        <v>0.01</v>
      </c>
      <c r="C33" s="62">
        <f t="shared" si="3"/>
        <v>2.1</v>
      </c>
      <c r="D33" s="63">
        <f xml:space="preserve"> ( ( Vazões!$C32+Vazões!F32+Vazões!I32 ) * ( 86.4 ) * ( 365 ) * ($B33 ) )</f>
        <v>146691.53352117151</v>
      </c>
      <c r="E33" s="17">
        <f t="shared" si="0"/>
        <v>308052.22039446019</v>
      </c>
    </row>
    <row r="34" spans="1:5" s="24" customFormat="1" ht="15" customHeight="1">
      <c r="A34" s="2">
        <f t="shared" si="1"/>
        <v>30</v>
      </c>
      <c r="B34" s="64">
        <f t="shared" si="2"/>
        <v>0.01</v>
      </c>
      <c r="C34" s="62">
        <f t="shared" si="3"/>
        <v>2.1</v>
      </c>
      <c r="D34" s="63">
        <f xml:space="preserve"> ( ( Vazões!$C33+Vazões!F33+Vazões!I33 ) * ( 86.4 ) * ( 365 ) * ($B34 ) )</f>
        <v>148379.41404651498</v>
      </c>
      <c r="E34" s="17">
        <f t="shared" si="0"/>
        <v>311596.76949768147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3965711.9869636777</v>
      </c>
      <c r="E35" s="65">
        <f xml:space="preserve"> SUM( E5:E34)</f>
        <v>8327995.1726237237</v>
      </c>
    </row>
    <row r="38" spans="1:5" ht="15" customHeight="1">
      <c r="C38" s="82"/>
    </row>
    <row r="39" spans="1:5" ht="15" customHeight="1">
      <c r="C39" s="68"/>
      <c r="D39" s="68"/>
    </row>
  </sheetData>
  <mergeCells count="1">
    <mergeCell ref="A35:C35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H38"/>
  <sheetViews>
    <sheetView showGridLines="0" showZeros="0" zoomScale="70" zoomScaleNormal="70" zoomScalePageLayoutView="90" workbookViewId="0">
      <selection activeCell="H4" sqref="H4"/>
    </sheetView>
  </sheetViews>
  <sheetFormatPr defaultColWidth="15.77734375" defaultRowHeight="15" customHeight="1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0.049999999999997" customHeight="1">
      <c r="A1" s="59" t="s">
        <v>283</v>
      </c>
      <c r="B1" s="60"/>
      <c r="C1" s="60"/>
      <c r="D1" s="60"/>
      <c r="E1" s="60"/>
    </row>
    <row r="2" spans="1:8" ht="15" customHeight="1">
      <c r="A2" s="24" t="s">
        <v>162</v>
      </c>
      <c r="E2" s="61"/>
    </row>
    <row r="3" spans="1:8" ht="15" customHeight="1" thickBot="1">
      <c r="A3" s="24"/>
      <c r="E3" s="61"/>
    </row>
    <row r="4" spans="1:8" ht="44.25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831">
        <v>2.65</v>
      </c>
    </row>
    <row r="5" spans="1:8" s="24" customFormat="1" ht="15" customHeight="1">
      <c r="A5" s="2">
        <v>1</v>
      </c>
      <c r="B5" s="64">
        <f>$H$6/1000</f>
        <v>3.0000000000000001E-3</v>
      </c>
      <c r="C5" s="62">
        <f>H4</f>
        <v>2.65</v>
      </c>
      <c r="D5" s="63">
        <f xml:space="preserve"> ( ( Vazões!$C4+Vazões!F4+Vazões!I4 ) * ( 86.4 ) * ( 365 ) * ($B5 ) )</f>
        <v>42760.886613377435</v>
      </c>
      <c r="E5" s="17">
        <f xml:space="preserve"> ( ( C5 ) * ( D5 ) )</f>
        <v>113316.3495254502</v>
      </c>
    </row>
    <row r="6" spans="1:8" ht="15" customHeight="1">
      <c r="A6" s="2">
        <f xml:space="preserve"> ( ( A5 ) + ( 1 ) )</f>
        <v>2</v>
      </c>
      <c r="B6" s="64">
        <f t="shared" ref="B6:B34" si="0">$H$6/1000</f>
        <v>3.0000000000000001E-3</v>
      </c>
      <c r="C6" s="62">
        <f>C5</f>
        <v>2.65</v>
      </c>
      <c r="D6" s="63">
        <f xml:space="preserve"> ( ( Vazões!$C5+Vazões!F5+Vazões!I5 ) * ( 86.4 ) * ( 365 ) * ($B6 ) )</f>
        <v>42080.743091370641</v>
      </c>
      <c r="E6" s="17">
        <f t="shared" ref="E6:E34" si="1" xml:space="preserve"> ( ( C6 ) * ( D6 ) )</f>
        <v>111513.96919213219</v>
      </c>
      <c r="H6" s="379">
        <v>3</v>
      </c>
    </row>
    <row r="7" spans="1:8" ht="15" customHeight="1">
      <c r="A7" s="2">
        <f t="shared" ref="A7:A34" si="2" xml:space="preserve"> ( ( A6 ) + ( 1 ) )</f>
        <v>3</v>
      </c>
      <c r="B7" s="64">
        <f t="shared" si="0"/>
        <v>3.0000000000000001E-3</v>
      </c>
      <c r="C7" s="62">
        <f t="shared" ref="C7:C34" si="3">C6</f>
        <v>2.65</v>
      </c>
      <c r="D7" s="63">
        <f xml:space="preserve"> ( ( Vazões!$C6+Vazões!F6+Vazões!I6 ) * ( 86.4 ) * ( 365 ) * ($B7 ) )</f>
        <v>41575.125663581173</v>
      </c>
      <c r="E7" s="17">
        <f t="shared" si="1"/>
        <v>110174.08300849011</v>
      </c>
    </row>
    <row r="8" spans="1:8" ht="15" customHeight="1">
      <c r="A8" s="2">
        <f t="shared" si="2"/>
        <v>4</v>
      </c>
      <c r="B8" s="64">
        <f t="shared" si="0"/>
        <v>3.0000000000000001E-3</v>
      </c>
      <c r="C8" s="62">
        <f t="shared" si="3"/>
        <v>2.65</v>
      </c>
      <c r="D8" s="63">
        <f xml:space="preserve"> ( ( Vazões!$C7+Vazões!F7+Vazões!I7 ) * ( 86.4 ) * ( 365 ) * ($B8 ) )</f>
        <v>40433.313956530699</v>
      </c>
      <c r="E8" s="17">
        <f t="shared" si="1"/>
        <v>107148.28198480635</v>
      </c>
    </row>
    <row r="9" spans="1:8" s="24" customFormat="1" ht="15" customHeight="1">
      <c r="A9" s="2">
        <f t="shared" si="2"/>
        <v>5</v>
      </c>
      <c r="B9" s="64">
        <f t="shared" si="0"/>
        <v>3.0000000000000001E-3</v>
      </c>
      <c r="C9" s="62">
        <f t="shared" si="3"/>
        <v>2.65</v>
      </c>
      <c r="D9" s="63">
        <f xml:space="preserve"> ( ( Vazões!$C8+Vazões!F8+Vazões!I8 ) * ( 86.4 ) * ( 365 ) * ($B9 ) )</f>
        <v>40050.046245719823</v>
      </c>
      <c r="E9" s="17">
        <f t="shared" si="1"/>
        <v>106132.62255115753</v>
      </c>
    </row>
    <row r="10" spans="1:8" ht="15" customHeight="1">
      <c r="A10" s="2">
        <f t="shared" si="2"/>
        <v>6</v>
      </c>
      <c r="B10" s="64">
        <f t="shared" si="0"/>
        <v>3.0000000000000001E-3</v>
      </c>
      <c r="C10" s="62">
        <f t="shared" si="3"/>
        <v>2.65</v>
      </c>
      <c r="D10" s="63">
        <f xml:space="preserve"> ( ( Vazões!$C9+Vazões!F9+Vazões!I9 ) * ( 86.4 ) * ( 365 ) * ($B10 ) )</f>
        <v>38707.217394662606</v>
      </c>
      <c r="E10" s="17">
        <f t="shared" si="1"/>
        <v>102574.1260958559</v>
      </c>
    </row>
    <row r="11" spans="1:8" ht="15" customHeight="1">
      <c r="A11" s="2">
        <f t="shared" si="2"/>
        <v>7</v>
      </c>
      <c r="B11" s="64">
        <f t="shared" si="0"/>
        <v>3.0000000000000001E-3</v>
      </c>
      <c r="C11" s="62">
        <f t="shared" si="3"/>
        <v>2.65</v>
      </c>
      <c r="D11" s="63">
        <f xml:space="preserve"> ( ( Vazões!$C10+Vazões!F10+Vazões!I10 ) * ( 86.4 ) * ( 365 ) * ($B11 ) )</f>
        <v>37482.546648852032</v>
      </c>
      <c r="E11" s="17">
        <f t="shared" si="1"/>
        <v>99328.748619457881</v>
      </c>
    </row>
    <row r="12" spans="1:8" ht="15" customHeight="1">
      <c r="A12" s="2">
        <f t="shared" si="2"/>
        <v>8</v>
      </c>
      <c r="B12" s="64">
        <f t="shared" si="0"/>
        <v>3.0000000000000001E-3</v>
      </c>
      <c r="C12" s="62">
        <f t="shared" si="3"/>
        <v>2.65</v>
      </c>
      <c r="D12" s="63">
        <f xml:space="preserve"> ( ( Vazões!$C11+Vazões!F11+Vazões!I11 ) * ( 86.4 ) * ( 365 ) * ($B12 ) )</f>
        <v>35856.350188761193</v>
      </c>
      <c r="E12" s="17">
        <f t="shared" si="1"/>
        <v>95019.328000217152</v>
      </c>
    </row>
    <row r="13" spans="1:8" s="24" customFormat="1" ht="15" customHeight="1">
      <c r="A13" s="2">
        <f t="shared" si="2"/>
        <v>9</v>
      </c>
      <c r="B13" s="64">
        <f t="shared" si="0"/>
        <v>3.0000000000000001E-3</v>
      </c>
      <c r="C13" s="62">
        <f t="shared" si="3"/>
        <v>2.65</v>
      </c>
      <c r="D13" s="63">
        <f xml:space="preserve"> ( ( Vazões!$C12+Vazões!F12+Vazões!I12 ) * ( 86.4 ) * ( 365 ) * ($B13 ) )</f>
        <v>35331.098041346944</v>
      </c>
      <c r="E13" s="17">
        <f t="shared" si="1"/>
        <v>93627.409809569406</v>
      </c>
    </row>
    <row r="14" spans="1:8" s="24" customFormat="1" ht="15" customHeight="1">
      <c r="A14" s="2">
        <f t="shared" si="2"/>
        <v>10</v>
      </c>
      <c r="B14" s="64">
        <f t="shared" si="0"/>
        <v>3.0000000000000001E-3</v>
      </c>
      <c r="C14" s="62">
        <f t="shared" si="3"/>
        <v>2.65</v>
      </c>
      <c r="D14" s="63">
        <f xml:space="preserve"> ( ( Vazões!$C13+Vazões!F13+Vazões!I13 ) * ( 86.4 ) * ( 365 ) * ($B14 ) )</f>
        <v>35297.937287047207</v>
      </c>
      <c r="E14" s="17">
        <f t="shared" si="1"/>
        <v>93539.533810675101</v>
      </c>
    </row>
    <row r="15" spans="1:8" ht="15" customHeight="1">
      <c r="A15" s="2">
        <f t="shared" si="2"/>
        <v>11</v>
      </c>
      <c r="B15" s="64">
        <f t="shared" si="0"/>
        <v>3.0000000000000001E-3</v>
      </c>
      <c r="C15" s="62">
        <f t="shared" si="3"/>
        <v>2.65</v>
      </c>
      <c r="D15" s="63">
        <f xml:space="preserve"> ( ( Vazões!$C14+Vazões!F14+Vazões!I14 ) * ( 86.4 ) * ( 365 ) * ($B15 ) )</f>
        <v>35735.857839965458</v>
      </c>
      <c r="E15" s="17">
        <f t="shared" si="1"/>
        <v>94700.023275908461</v>
      </c>
    </row>
    <row r="16" spans="1:8" ht="15" customHeight="1">
      <c r="A16" s="2">
        <f t="shared" si="2"/>
        <v>12</v>
      </c>
      <c r="B16" s="64">
        <f t="shared" si="0"/>
        <v>3.0000000000000001E-3</v>
      </c>
      <c r="C16" s="62">
        <f t="shared" si="3"/>
        <v>2.65</v>
      </c>
      <c r="D16" s="63">
        <f xml:space="preserve"> ( ( Vazões!$C15+Vazões!F15+Vazões!I15 ) * ( 86.4 ) * ( 365 ) * ($B16 ) )</f>
        <v>36173.778392883702</v>
      </c>
      <c r="E16" s="17">
        <f t="shared" si="1"/>
        <v>95860.512741141807</v>
      </c>
    </row>
    <row r="17" spans="1:5" ht="15" customHeight="1">
      <c r="A17" s="2">
        <f t="shared" si="2"/>
        <v>13</v>
      </c>
      <c r="B17" s="64">
        <f t="shared" si="0"/>
        <v>3.0000000000000001E-3</v>
      </c>
      <c r="C17" s="62">
        <f t="shared" si="3"/>
        <v>2.65</v>
      </c>
      <c r="D17" s="63">
        <f xml:space="preserve"> ( ( Vazões!$C16+Vazões!F16+Vazões!I16 ) * ( 86.4 ) * ( 365 ) * ($B17 ) )</f>
        <v>36611.698945801938</v>
      </c>
      <c r="E17" s="17">
        <f t="shared" si="1"/>
        <v>97021.002206375138</v>
      </c>
    </row>
    <row r="18" spans="1:5" ht="15" customHeight="1">
      <c r="A18" s="2">
        <f t="shared" si="2"/>
        <v>14</v>
      </c>
      <c r="B18" s="64">
        <f t="shared" si="0"/>
        <v>3.0000000000000001E-3</v>
      </c>
      <c r="C18" s="62">
        <f t="shared" si="3"/>
        <v>2.65</v>
      </c>
      <c r="D18" s="63">
        <f xml:space="preserve"> ( ( Vazões!$C17+Vazões!F17+Vazões!I17 ) * ( 86.4 ) * ( 365 ) * ($B18 ) )</f>
        <v>37049.619498720182</v>
      </c>
      <c r="E18" s="17">
        <f t="shared" si="1"/>
        <v>98181.491671608484</v>
      </c>
    </row>
    <row r="19" spans="1:5" ht="15" customHeight="1">
      <c r="A19" s="2">
        <f t="shared" si="2"/>
        <v>15</v>
      </c>
      <c r="B19" s="64">
        <f t="shared" si="0"/>
        <v>3.0000000000000001E-3</v>
      </c>
      <c r="C19" s="62">
        <f t="shared" si="3"/>
        <v>2.65</v>
      </c>
      <c r="D19" s="63">
        <f xml:space="preserve"> ( ( Vazões!$C18+Vazões!F18+Vazões!I18 ) * ( 86.4 ) * ( 365 ) * ($B19 ) )</f>
        <v>37487.83634429938</v>
      </c>
      <c r="E19" s="17">
        <f t="shared" si="1"/>
        <v>99342.766312393345</v>
      </c>
    </row>
    <row r="20" spans="1:5" ht="15" customHeight="1">
      <c r="A20" s="2">
        <f t="shared" si="2"/>
        <v>16</v>
      </c>
      <c r="B20" s="64">
        <f t="shared" si="0"/>
        <v>3.0000000000000001E-3</v>
      </c>
      <c r="C20" s="62">
        <f t="shared" si="3"/>
        <v>2.65</v>
      </c>
      <c r="D20" s="63">
        <f xml:space="preserve"> ( ( Vazões!$C19+Vazões!F19+Vazões!I19 ) * ( 86.4 ) * ( 365 ) * ($B20 ) )</f>
        <v>37925.756897217638</v>
      </c>
      <c r="E20" s="17">
        <f t="shared" si="1"/>
        <v>100503.25577762673</v>
      </c>
    </row>
    <row r="21" spans="1:5" ht="15" customHeight="1">
      <c r="A21" s="2">
        <f t="shared" si="2"/>
        <v>17</v>
      </c>
      <c r="B21" s="64">
        <f t="shared" si="0"/>
        <v>3.0000000000000001E-3</v>
      </c>
      <c r="C21" s="62">
        <f t="shared" si="3"/>
        <v>2.65</v>
      </c>
      <c r="D21" s="63">
        <f xml:space="preserve"> ( ( Vazões!$C20+Vazões!F20+Vazões!I20 ) * ( 86.4 ) * ( 365 ) * ($B21 ) )</f>
        <v>38363.677450135867</v>
      </c>
      <c r="E21" s="17">
        <f t="shared" si="1"/>
        <v>101663.74524286004</v>
      </c>
    </row>
    <row r="22" spans="1:5" ht="15" customHeight="1">
      <c r="A22" s="2">
        <f t="shared" si="2"/>
        <v>18</v>
      </c>
      <c r="B22" s="64">
        <f t="shared" si="0"/>
        <v>3.0000000000000001E-3</v>
      </c>
      <c r="C22" s="62">
        <f t="shared" si="3"/>
        <v>2.65</v>
      </c>
      <c r="D22" s="63">
        <f xml:space="preserve"> ( ( Vazões!$C21+Vazões!F21+Vazões!I21 ) * ( 86.4 ) * ( 365 ) * ($B22 ) )</f>
        <v>38804.857222324819</v>
      </c>
      <c r="E22" s="17">
        <f t="shared" si="1"/>
        <v>102832.87163916077</v>
      </c>
    </row>
    <row r="23" spans="1:5" ht="15" customHeight="1">
      <c r="A23" s="2">
        <f t="shared" si="2"/>
        <v>19</v>
      </c>
      <c r="B23" s="64">
        <f t="shared" si="0"/>
        <v>3.0000000000000001E-3</v>
      </c>
      <c r="C23" s="62">
        <f t="shared" si="3"/>
        <v>2.65</v>
      </c>
      <c r="D23" s="63">
        <f xml:space="preserve"> ( ( Vazões!$C22+Vazões!F22+Vazões!I22 ) * ( 86.4 ) * ( 365 ) * ($B23 ) )</f>
        <v>39251.073969750309</v>
      </c>
      <c r="E23" s="17">
        <f t="shared" si="1"/>
        <v>104015.34601983831</v>
      </c>
    </row>
    <row r="24" spans="1:5" ht="15" customHeight="1">
      <c r="A24" s="2">
        <f t="shared" si="2"/>
        <v>20</v>
      </c>
      <c r="B24" s="64">
        <f t="shared" si="0"/>
        <v>3.0000000000000001E-3</v>
      </c>
      <c r="C24" s="62">
        <f t="shared" si="3"/>
        <v>2.65</v>
      </c>
      <c r="D24" s="63">
        <f xml:space="preserve"> ( ( Vazões!$C23+Vazões!F23+Vazões!I23 ) * ( 86.4 ) * ( 365 ) * ($B24 ) )</f>
        <v>39702.327692412342</v>
      </c>
      <c r="E24" s="17">
        <f t="shared" si="1"/>
        <v>105211.16838489271</v>
      </c>
    </row>
    <row r="25" spans="1:5" ht="15" customHeight="1">
      <c r="A25" s="2">
        <f t="shared" si="2"/>
        <v>21</v>
      </c>
      <c r="B25" s="64">
        <f t="shared" si="0"/>
        <v>3.0000000000000001E-3</v>
      </c>
      <c r="C25" s="62">
        <f t="shared" si="3"/>
        <v>2.65</v>
      </c>
      <c r="D25" s="63">
        <f xml:space="preserve"> ( ( Vazões!$C24+Vazões!F24+Vazões!I24 ) * ( 86.4 ) * ( 365 ) * ($B25 ) )</f>
        <v>40158.914682971888</v>
      </c>
      <c r="E25" s="17">
        <f t="shared" si="1"/>
        <v>106421.1239098755</v>
      </c>
    </row>
    <row r="26" spans="1:5" ht="15" customHeight="1">
      <c r="A26" s="2">
        <f t="shared" si="2"/>
        <v>22</v>
      </c>
      <c r="B26" s="64">
        <f t="shared" si="0"/>
        <v>3.0000000000000001E-3</v>
      </c>
      <c r="C26" s="62">
        <f t="shared" si="3"/>
        <v>2.65</v>
      </c>
      <c r="D26" s="63">
        <f xml:space="preserve"> ( ( Vazões!$C25+Vazões!F25+Vazões!I25 ) * ( 86.4 ) * ( 365 ) * ($B26 ) )</f>
        <v>40620.834941428941</v>
      </c>
      <c r="E26" s="17">
        <f t="shared" si="1"/>
        <v>107645.21259478669</v>
      </c>
    </row>
    <row r="27" spans="1:5" ht="15" customHeight="1">
      <c r="A27" s="2">
        <f t="shared" si="2"/>
        <v>23</v>
      </c>
      <c r="B27" s="64">
        <f t="shared" si="0"/>
        <v>3.0000000000000001E-3</v>
      </c>
      <c r="C27" s="62">
        <f t="shared" si="3"/>
        <v>2.65</v>
      </c>
      <c r="D27" s="63">
        <f xml:space="preserve"> ( ( Vazões!$C26+Vazões!F26+Vazões!I26 ) * ( 86.4 ) * ( 365 ) * ($B27 ) )</f>
        <v>41088.088467783506</v>
      </c>
      <c r="E27" s="17">
        <f t="shared" si="1"/>
        <v>108883.43443962629</v>
      </c>
    </row>
    <row r="28" spans="1:5" s="24" customFormat="1" ht="15" customHeight="1">
      <c r="A28" s="2">
        <f t="shared" si="2"/>
        <v>24</v>
      </c>
      <c r="B28" s="64">
        <f t="shared" si="0"/>
        <v>3.0000000000000001E-3</v>
      </c>
      <c r="C28" s="62">
        <f t="shared" si="3"/>
        <v>2.65</v>
      </c>
      <c r="D28" s="63">
        <f xml:space="preserve"> ( ( Vazões!$C27+Vazões!F27+Vazões!I27 ) * ( 86.4 ) * ( 365 ) * ($B28 ) )</f>
        <v>41560.971554696574</v>
      </c>
      <c r="E28" s="17">
        <f t="shared" si="1"/>
        <v>110136.57461994592</v>
      </c>
    </row>
    <row r="29" spans="1:5" s="24" customFormat="1" ht="15" customHeight="1">
      <c r="A29" s="2">
        <f t="shared" si="2"/>
        <v>25</v>
      </c>
      <c r="B29" s="64">
        <f t="shared" si="0"/>
        <v>3.0000000000000001E-3</v>
      </c>
      <c r="C29" s="62">
        <f t="shared" si="3"/>
        <v>2.65</v>
      </c>
      <c r="D29" s="63">
        <f xml:space="preserve"> ( ( Vazões!$C28+Vazões!F28+Vazões!I28 ) * ( 86.4 ) * ( 365 ) * ($B29 ) )</f>
        <v>42039.484202168125</v>
      </c>
      <c r="E29" s="17">
        <f t="shared" si="1"/>
        <v>111404.63313574553</v>
      </c>
    </row>
    <row r="30" spans="1:5" ht="15" customHeight="1">
      <c r="A30" s="2">
        <f t="shared" si="2"/>
        <v>26</v>
      </c>
      <c r="B30" s="64">
        <f t="shared" si="0"/>
        <v>3.0000000000000001E-3</v>
      </c>
      <c r="C30" s="62">
        <f t="shared" si="3"/>
        <v>2.65</v>
      </c>
      <c r="D30" s="63">
        <f xml:space="preserve"> ( ( Vazões!$C29+Vazões!F29+Vazões!I29 ) * ( 86.4 ) * ( 365 ) * ($B30 ) )</f>
        <v>42523.033824876249</v>
      </c>
      <c r="E30" s="17">
        <f t="shared" si="1"/>
        <v>112686.03963592206</v>
      </c>
    </row>
    <row r="31" spans="1:5" s="24" customFormat="1" ht="15" customHeight="1">
      <c r="A31" s="2">
        <f t="shared" si="2"/>
        <v>27</v>
      </c>
      <c r="B31" s="64">
        <f t="shared" si="0"/>
        <v>3.0000000000000001E-3</v>
      </c>
      <c r="C31" s="62">
        <f t="shared" si="3"/>
        <v>2.65</v>
      </c>
      <c r="D31" s="63">
        <f xml:space="preserve"> ( ( Vazões!$C30+Vazões!F30+Vazões!I30 ) * ( 86.4 ) * ( 365 ) * ($B31 ) )</f>
        <v>43012.213008142819</v>
      </c>
      <c r="E31" s="17">
        <f t="shared" si="1"/>
        <v>113982.36447157846</v>
      </c>
    </row>
    <row r="32" spans="1:5" s="24" customFormat="1" ht="15" customHeight="1">
      <c r="A32" s="2">
        <f t="shared" si="2"/>
        <v>28</v>
      </c>
      <c r="B32" s="64">
        <f t="shared" si="0"/>
        <v>3.0000000000000001E-3</v>
      </c>
      <c r="C32" s="62">
        <f t="shared" si="3"/>
        <v>2.65</v>
      </c>
      <c r="D32" s="63">
        <f xml:space="preserve"> ( ( Vazões!$C31+Vazões!F31+Vazões!I31 ) * ( 86.4 ) * ( 365 ) * ($B32 ) )</f>
        <v>43507.021751967906</v>
      </c>
      <c r="E32" s="17">
        <f t="shared" si="1"/>
        <v>115293.60764271495</v>
      </c>
    </row>
    <row r="33" spans="1:5" s="24" customFormat="1" ht="15" customHeight="1">
      <c r="A33" s="2">
        <f t="shared" si="2"/>
        <v>29</v>
      </c>
      <c r="B33" s="64">
        <f t="shared" si="0"/>
        <v>3.0000000000000001E-3</v>
      </c>
      <c r="C33" s="62">
        <f t="shared" si="3"/>
        <v>2.65</v>
      </c>
      <c r="D33" s="63">
        <f xml:space="preserve"> ( ( Vazões!$C32+Vazões!F32+Vazões!I32 ) * ( 86.4 ) * ( 365 ) * ($B33 ) )</f>
        <v>44007.460056351454</v>
      </c>
      <c r="E33" s="17">
        <f t="shared" si="1"/>
        <v>116619.76914933135</v>
      </c>
    </row>
    <row r="34" spans="1:5" s="24" customFormat="1" ht="15" customHeight="1">
      <c r="A34" s="2">
        <f t="shared" si="2"/>
        <v>30</v>
      </c>
      <c r="B34" s="64">
        <f t="shared" si="0"/>
        <v>3.0000000000000001E-3</v>
      </c>
      <c r="C34" s="62">
        <f t="shared" si="3"/>
        <v>2.65</v>
      </c>
      <c r="D34" s="63">
        <f xml:space="preserve"> ( ( Vazões!$C33+Vazões!F33+Vazões!I33 ) * ( 86.4 ) * ( 365 ) * ($B34 ) )</f>
        <v>44513.824213954489</v>
      </c>
      <c r="E34" s="17">
        <f t="shared" si="1"/>
        <v>117961.63416697939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1189713.5960891033</v>
      </c>
      <c r="E35" s="65">
        <f>SUM(E5:E34)</f>
        <v>3152741.0296361228</v>
      </c>
    </row>
    <row r="38" spans="1:5" ht="15" customHeight="1">
      <c r="C38" s="82"/>
    </row>
  </sheetData>
  <mergeCells count="1">
    <mergeCell ref="A35:C35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  <pageSetUpPr fitToPage="1"/>
  </sheetPr>
  <dimension ref="A1:AG2024"/>
  <sheetViews>
    <sheetView showGridLines="0" zoomScale="40" zoomScaleNormal="40" workbookViewId="0">
      <pane ySplit="3" topLeftCell="A4" activePane="bottomLeft" state="frozen"/>
      <selection activeCell="L3" sqref="L3:L108"/>
      <selection pane="bottomLeft" activeCell="I6" sqref="I6"/>
    </sheetView>
  </sheetViews>
  <sheetFormatPr defaultColWidth="14.44140625" defaultRowHeight="15" customHeight="1"/>
  <cols>
    <col min="1" max="1" width="18.33203125" style="500" customWidth="1"/>
    <col min="2" max="2" width="61.6640625" style="500" customWidth="1"/>
    <col min="3" max="3" width="28" style="500" bestFit="1" customWidth="1"/>
    <col min="4" max="4" width="19" style="500" customWidth="1"/>
    <col min="5" max="5" width="35.44140625" style="500" customWidth="1"/>
    <col min="6" max="6" width="34.33203125" style="753" customWidth="1"/>
    <col min="7" max="7" width="22.109375" style="500" customWidth="1"/>
    <col min="8" max="8" width="25.77734375" style="500" bestFit="1" customWidth="1"/>
    <col min="9" max="9" width="26.109375" style="500" customWidth="1"/>
    <col min="10" max="10" width="19.77734375" style="500" customWidth="1"/>
    <col min="11" max="11" width="27" style="500" customWidth="1"/>
    <col min="12" max="12" width="26.44140625" style="500" customWidth="1"/>
    <col min="13" max="13" width="16.6640625" style="500" customWidth="1"/>
    <col min="14" max="14" width="39.44140625" style="502" customWidth="1"/>
    <col min="15" max="16" width="35.44140625" style="500" customWidth="1"/>
    <col min="17" max="17" width="33.33203125" style="501" customWidth="1"/>
    <col min="18" max="19" width="25.77734375" style="500" customWidth="1"/>
    <col min="20" max="20" width="29.77734375" style="500" customWidth="1"/>
    <col min="21" max="22" width="27.77734375" style="501" customWidth="1"/>
    <col min="23" max="23" width="25.33203125" style="501" customWidth="1"/>
    <col min="24" max="24" width="34.109375" style="500" customWidth="1"/>
    <col min="25" max="25" width="8.6640625" style="500" customWidth="1"/>
    <col min="26" max="26" width="16.44140625" style="500" customWidth="1"/>
    <col min="27" max="32" width="8.6640625" style="500" customWidth="1"/>
    <col min="33" max="16384" width="14.44140625" style="500"/>
  </cols>
  <sheetData>
    <row r="1" spans="1:33" ht="14.4">
      <c r="A1" s="503"/>
      <c r="B1" s="503"/>
      <c r="C1" s="510"/>
      <c r="D1" s="510"/>
      <c r="E1" s="510"/>
      <c r="F1" s="746"/>
      <c r="G1" s="510"/>
      <c r="H1" s="510"/>
      <c r="I1" s="510"/>
      <c r="J1" s="510"/>
      <c r="K1" s="510"/>
      <c r="L1" s="510"/>
      <c r="M1" s="509"/>
      <c r="N1" s="508"/>
      <c r="O1" s="503"/>
      <c r="P1" s="503"/>
      <c r="Q1" s="505"/>
      <c r="R1" s="506"/>
      <c r="S1" s="506"/>
      <c r="T1" s="506"/>
      <c r="U1" s="505"/>
      <c r="V1" s="505"/>
      <c r="W1" s="505"/>
      <c r="X1" s="504"/>
      <c r="Y1" s="503"/>
      <c r="Z1" s="503"/>
      <c r="AA1" s="503"/>
      <c r="AB1" s="503"/>
      <c r="AC1" s="503"/>
      <c r="AD1" s="503"/>
      <c r="AE1" s="503"/>
      <c r="AF1" s="503"/>
    </row>
    <row r="2" spans="1:33" ht="65.25" customHeight="1">
      <c r="A2" s="503"/>
      <c r="B2" s="924" t="s">
        <v>515</v>
      </c>
      <c r="C2" s="928" t="s">
        <v>514</v>
      </c>
      <c r="D2" s="928" t="s">
        <v>513</v>
      </c>
      <c r="E2" s="923" t="s">
        <v>721</v>
      </c>
      <c r="F2" s="924"/>
      <c r="G2" s="928" t="s">
        <v>511</v>
      </c>
      <c r="H2" s="928" t="s">
        <v>1016</v>
      </c>
      <c r="I2" s="558" t="s">
        <v>510</v>
      </c>
      <c r="J2" s="558" t="s">
        <v>509</v>
      </c>
      <c r="K2" s="558" t="s">
        <v>508</v>
      </c>
      <c r="L2" s="558" t="s">
        <v>507</v>
      </c>
      <c r="M2" s="557" t="s">
        <v>506</v>
      </c>
      <c r="N2" s="556" t="s">
        <v>505</v>
      </c>
      <c r="O2" s="555" t="s">
        <v>504</v>
      </c>
      <c r="P2" s="555" t="s">
        <v>1183</v>
      </c>
      <c r="Q2" s="553" t="s">
        <v>503</v>
      </c>
      <c r="R2" s="554" t="s">
        <v>502</v>
      </c>
      <c r="S2" s="554" t="s">
        <v>1181</v>
      </c>
      <c r="T2" s="554" t="s">
        <v>501</v>
      </c>
      <c r="U2" s="553" t="s">
        <v>500</v>
      </c>
      <c r="V2" s="553" t="s">
        <v>1182</v>
      </c>
      <c r="W2" s="553" t="s">
        <v>499</v>
      </c>
      <c r="X2" s="552" t="s">
        <v>498</v>
      </c>
      <c r="Y2" s="503"/>
      <c r="Z2" s="503"/>
      <c r="AA2" s="503"/>
      <c r="AB2" s="503"/>
      <c r="AC2" s="503"/>
      <c r="AD2" s="503"/>
      <c r="AE2" s="503"/>
      <c r="AF2" s="503"/>
    </row>
    <row r="3" spans="1:33" ht="27" customHeight="1">
      <c r="A3" s="503"/>
      <c r="B3" s="927"/>
      <c r="C3" s="929"/>
      <c r="D3" s="929"/>
      <c r="E3" s="925"/>
      <c r="F3" s="926"/>
      <c r="G3" s="929"/>
      <c r="H3" s="933"/>
      <c r="I3" s="551" t="s">
        <v>415</v>
      </c>
      <c r="J3" s="551" t="s">
        <v>497</v>
      </c>
      <c r="K3" s="551" t="s">
        <v>496</v>
      </c>
      <c r="L3" s="551" t="s">
        <v>495</v>
      </c>
      <c r="M3" s="550" t="s">
        <v>247</v>
      </c>
      <c r="N3" s="549" t="s">
        <v>226</v>
      </c>
      <c r="O3" s="548" t="s">
        <v>226</v>
      </c>
      <c r="P3" s="548" t="s">
        <v>226</v>
      </c>
      <c r="Q3" s="546" t="s">
        <v>172</v>
      </c>
      <c r="R3" s="547" t="s">
        <v>226</v>
      </c>
      <c r="S3" s="547" t="s">
        <v>226</v>
      </c>
      <c r="T3" s="547" t="s">
        <v>226</v>
      </c>
      <c r="U3" s="546" t="s">
        <v>172</v>
      </c>
      <c r="V3" s="546" t="s">
        <v>172</v>
      </c>
      <c r="W3" s="546" t="s">
        <v>172</v>
      </c>
      <c r="X3" s="545" t="s">
        <v>172</v>
      </c>
      <c r="Y3" s="503"/>
      <c r="Z3" s="503"/>
      <c r="AA3" s="503"/>
      <c r="AB3" s="503"/>
      <c r="AC3" s="503"/>
      <c r="AD3" s="503"/>
      <c r="AE3" s="503"/>
      <c r="AF3" s="503"/>
    </row>
    <row r="4" spans="1:33" ht="68.25" customHeight="1">
      <c r="A4" s="934" t="s">
        <v>720</v>
      </c>
      <c r="B4" s="524" t="s">
        <v>1010</v>
      </c>
      <c r="C4" s="526"/>
      <c r="D4" s="526" t="s">
        <v>1009</v>
      </c>
      <c r="E4" s="524" t="s">
        <v>719</v>
      </c>
      <c r="F4" s="744" t="s">
        <v>1013</v>
      </c>
      <c r="G4" s="524" t="s">
        <v>1068</v>
      </c>
      <c r="H4" s="524"/>
      <c r="I4" s="524">
        <v>100</v>
      </c>
      <c r="J4" s="524"/>
      <c r="K4" s="524"/>
      <c r="L4" s="524"/>
      <c r="M4" s="524"/>
      <c r="N4" s="523">
        <v>0.15</v>
      </c>
      <c r="O4" s="477">
        <v>0.05</v>
      </c>
      <c r="P4" s="477"/>
      <c r="Q4" s="543">
        <f>'Preços Unitários'!D11*I4</f>
        <v>1000000</v>
      </c>
      <c r="R4" s="522">
        <v>1</v>
      </c>
      <c r="S4" s="522"/>
      <c r="T4" s="522"/>
      <c r="U4" s="521">
        <f>R4*Q4*N4</f>
        <v>150000</v>
      </c>
      <c r="V4" s="521">
        <f>S4*Q4*O4</f>
        <v>0</v>
      </c>
      <c r="W4" s="521">
        <f>T4*Q4*P4</f>
        <v>0</v>
      </c>
      <c r="X4" s="527">
        <f>U4+V4+W4</f>
        <v>150000</v>
      </c>
      <c r="Y4" s="544"/>
      <c r="Z4" s="503"/>
      <c r="AA4" s="503"/>
      <c r="AB4" s="503"/>
      <c r="AC4" s="503"/>
      <c r="AD4" s="503"/>
      <c r="AE4" s="503"/>
      <c r="AF4" s="503"/>
      <c r="AG4" s="503"/>
    </row>
    <row r="5" spans="1:33" ht="68.25" customHeight="1">
      <c r="A5" s="934"/>
      <c r="B5" s="524" t="s">
        <v>1011</v>
      </c>
      <c r="C5" s="526"/>
      <c r="D5" s="526" t="s">
        <v>1015</v>
      </c>
      <c r="E5" s="524" t="s">
        <v>719</v>
      </c>
      <c r="F5" s="744" t="s">
        <v>1014</v>
      </c>
      <c r="G5" s="524" t="s">
        <v>1068</v>
      </c>
      <c r="H5" s="524"/>
      <c r="I5" s="524">
        <v>240</v>
      </c>
      <c r="J5" s="524"/>
      <c r="K5" s="524"/>
      <c r="L5" s="524"/>
      <c r="M5" s="524"/>
      <c r="N5" s="523">
        <v>0.15</v>
      </c>
      <c r="O5" s="477">
        <v>0.05</v>
      </c>
      <c r="P5" s="477"/>
      <c r="Q5" s="543">
        <f>'Preços Unitários'!D12*I5</f>
        <v>2400000</v>
      </c>
      <c r="R5" s="522">
        <v>1</v>
      </c>
      <c r="S5" s="522"/>
      <c r="T5" s="522"/>
      <c r="U5" s="521">
        <f t="shared" ref="U5:U14" si="0">R5*Q5*N5</f>
        <v>360000</v>
      </c>
      <c r="V5" s="521">
        <f t="shared" ref="V5:V14" si="1">S5*Q5*O5</f>
        <v>0</v>
      </c>
      <c r="W5" s="521">
        <f t="shared" ref="W5:W14" si="2">T5*Q5*P5</f>
        <v>0</v>
      </c>
      <c r="X5" s="527">
        <f t="shared" ref="X5:X14" si="3">U5+V5+W5</f>
        <v>360000</v>
      </c>
      <c r="Y5" s="544"/>
      <c r="Z5" s="503"/>
      <c r="AA5" s="503"/>
      <c r="AB5" s="503"/>
      <c r="AC5" s="503"/>
      <c r="AD5" s="503"/>
      <c r="AE5" s="503"/>
      <c r="AF5" s="503"/>
      <c r="AG5" s="503"/>
    </row>
    <row r="6" spans="1:33" ht="68.25" customHeight="1">
      <c r="A6" s="934"/>
      <c r="B6" s="524" t="s">
        <v>1012</v>
      </c>
      <c r="C6" s="526"/>
      <c r="D6" s="526" t="s">
        <v>1009</v>
      </c>
      <c r="E6" s="524" t="s">
        <v>719</v>
      </c>
      <c r="F6" s="744" t="s">
        <v>1021</v>
      </c>
      <c r="G6" s="524" t="s">
        <v>1068</v>
      </c>
      <c r="H6" s="524"/>
      <c r="I6" s="524">
        <v>100</v>
      </c>
      <c r="J6" s="524"/>
      <c r="K6" s="524"/>
      <c r="L6" s="524"/>
      <c r="M6" s="524"/>
      <c r="N6" s="523">
        <v>0.15</v>
      </c>
      <c r="O6" s="477">
        <v>0.05</v>
      </c>
      <c r="P6" s="477"/>
      <c r="Q6" s="543">
        <f>'Preços Unitários'!D11*I6</f>
        <v>1000000</v>
      </c>
      <c r="R6" s="522">
        <v>1</v>
      </c>
      <c r="S6" s="522"/>
      <c r="T6" s="522"/>
      <c r="U6" s="521">
        <f t="shared" si="0"/>
        <v>150000</v>
      </c>
      <c r="V6" s="521">
        <f t="shared" si="1"/>
        <v>0</v>
      </c>
      <c r="W6" s="521">
        <f t="shared" si="2"/>
        <v>0</v>
      </c>
      <c r="X6" s="527">
        <f t="shared" si="3"/>
        <v>150000</v>
      </c>
      <c r="Y6" s="544"/>
      <c r="Z6" s="503"/>
      <c r="AA6" s="503"/>
      <c r="AB6" s="503"/>
      <c r="AC6" s="503"/>
      <c r="AD6" s="503"/>
      <c r="AE6" s="503"/>
      <c r="AF6" s="503"/>
      <c r="AG6" s="503"/>
    </row>
    <row r="7" spans="1:33" ht="68.25" customHeight="1">
      <c r="A7" s="934"/>
      <c r="B7" s="524" t="s">
        <v>1074</v>
      </c>
      <c r="C7" s="542" t="s">
        <v>1070</v>
      </c>
      <c r="D7" s="526" t="s">
        <v>1009</v>
      </c>
      <c r="E7" s="525" t="s">
        <v>1075</v>
      </c>
      <c r="F7" s="749" t="s">
        <v>1073</v>
      </c>
      <c r="G7" s="524" t="s">
        <v>1069</v>
      </c>
      <c r="H7" s="524"/>
      <c r="I7" s="524">
        <v>5.56</v>
      </c>
      <c r="J7" s="524"/>
      <c r="K7" s="524"/>
      <c r="L7" s="524"/>
      <c r="M7" s="524"/>
      <c r="N7" s="523">
        <v>0.2</v>
      </c>
      <c r="O7" s="528">
        <v>0.1</v>
      </c>
      <c r="P7" s="528">
        <v>0.1</v>
      </c>
      <c r="Q7" s="543">
        <f>'Preços Unitários'!D17*I7</f>
        <v>46868.576000000001</v>
      </c>
      <c r="R7" s="522">
        <v>0.7</v>
      </c>
      <c r="S7" s="522">
        <v>0.2</v>
      </c>
      <c r="T7" s="522">
        <v>0.1</v>
      </c>
      <c r="U7" s="521">
        <f t="shared" si="0"/>
        <v>6561.6006400000006</v>
      </c>
      <c r="V7" s="521">
        <f t="shared" si="1"/>
        <v>937.37152000000015</v>
      </c>
      <c r="W7" s="521">
        <f t="shared" si="2"/>
        <v>468.68576000000007</v>
      </c>
      <c r="X7" s="527">
        <f t="shared" si="3"/>
        <v>7967.6579200000015</v>
      </c>
      <c r="Y7" s="544"/>
      <c r="Z7" s="503"/>
      <c r="AA7" s="503"/>
      <c r="AB7" s="503"/>
      <c r="AC7" s="503"/>
      <c r="AD7" s="503"/>
      <c r="AE7" s="503"/>
      <c r="AF7" s="503"/>
      <c r="AG7" s="503"/>
    </row>
    <row r="8" spans="1:33" ht="68.25" customHeight="1">
      <c r="A8" s="934"/>
      <c r="B8" s="524" t="s">
        <v>1074</v>
      </c>
      <c r="C8" s="542" t="s">
        <v>1071</v>
      </c>
      <c r="D8" s="526" t="s">
        <v>1009</v>
      </c>
      <c r="E8" s="525" t="s">
        <v>1077</v>
      </c>
      <c r="F8" s="749" t="s">
        <v>1076</v>
      </c>
      <c r="G8" s="524" t="s">
        <v>1069</v>
      </c>
      <c r="H8" s="524"/>
      <c r="I8" s="524">
        <v>8.33</v>
      </c>
      <c r="J8" s="524"/>
      <c r="K8" s="524"/>
      <c r="L8" s="524"/>
      <c r="M8" s="524"/>
      <c r="N8" s="523">
        <v>0.2</v>
      </c>
      <c r="O8" s="528">
        <v>0.1</v>
      </c>
      <c r="P8" s="528">
        <v>0.1</v>
      </c>
      <c r="Q8" s="543">
        <f>'Preços Unitários'!D17*I8</f>
        <v>70218.567999999999</v>
      </c>
      <c r="R8" s="522">
        <v>0.7</v>
      </c>
      <c r="S8" s="522">
        <v>0.2</v>
      </c>
      <c r="T8" s="522">
        <v>0.1</v>
      </c>
      <c r="U8" s="521">
        <f t="shared" si="0"/>
        <v>9830.5995199999998</v>
      </c>
      <c r="V8" s="521">
        <f t="shared" si="1"/>
        <v>1404.3713600000001</v>
      </c>
      <c r="W8" s="521">
        <f t="shared" si="2"/>
        <v>702.18568000000005</v>
      </c>
      <c r="X8" s="527">
        <f t="shared" si="3"/>
        <v>11937.156560000001</v>
      </c>
      <c r="Y8" s="544"/>
      <c r="Z8" s="503"/>
      <c r="AA8" s="503"/>
      <c r="AB8" s="503"/>
      <c r="AC8" s="503"/>
      <c r="AD8" s="503"/>
      <c r="AE8" s="503"/>
      <c r="AF8" s="503"/>
      <c r="AG8" s="503"/>
    </row>
    <row r="9" spans="1:33" ht="68.25" customHeight="1">
      <c r="A9" s="934"/>
      <c r="B9" s="524" t="s">
        <v>1074</v>
      </c>
      <c r="C9" s="542" t="s">
        <v>1078</v>
      </c>
      <c r="D9" s="526" t="s">
        <v>1009</v>
      </c>
      <c r="E9" s="525" t="s">
        <v>1080</v>
      </c>
      <c r="F9" s="744" t="s">
        <v>1079</v>
      </c>
      <c r="G9" s="524" t="s">
        <v>1069</v>
      </c>
      <c r="H9" s="524"/>
      <c r="I9" s="524">
        <v>2.2200000000000002</v>
      </c>
      <c r="J9" s="524"/>
      <c r="K9" s="524"/>
      <c r="L9" s="524"/>
      <c r="M9" s="524"/>
      <c r="N9" s="523">
        <v>0.2</v>
      </c>
      <c r="O9" s="528">
        <v>0.1</v>
      </c>
      <c r="P9" s="528">
        <v>0.1</v>
      </c>
      <c r="Q9" s="543">
        <f>'Preços Unitários'!D16*I9</f>
        <v>18713.712000000003</v>
      </c>
      <c r="R9" s="522">
        <v>0.7</v>
      </c>
      <c r="S9" s="522">
        <v>0.2</v>
      </c>
      <c r="T9" s="522">
        <v>0.1</v>
      </c>
      <c r="U9" s="521">
        <f t="shared" si="0"/>
        <v>2619.9196800000004</v>
      </c>
      <c r="V9" s="521">
        <f t="shared" si="1"/>
        <v>374.27424000000013</v>
      </c>
      <c r="W9" s="521">
        <f t="shared" si="2"/>
        <v>187.13712000000007</v>
      </c>
      <c r="X9" s="527">
        <f t="shared" si="3"/>
        <v>3181.3310400000005</v>
      </c>
      <c r="Y9" s="544"/>
      <c r="Z9" s="503"/>
      <c r="AA9" s="503"/>
      <c r="AB9" s="503"/>
      <c r="AC9" s="503"/>
      <c r="AD9" s="503"/>
      <c r="AE9" s="503"/>
      <c r="AF9" s="503"/>
      <c r="AG9" s="503"/>
    </row>
    <row r="10" spans="1:33" ht="68.25" customHeight="1">
      <c r="A10" s="934"/>
      <c r="B10" s="524" t="s">
        <v>1074</v>
      </c>
      <c r="C10" s="542" t="s">
        <v>1072</v>
      </c>
      <c r="D10" s="526" t="s">
        <v>1009</v>
      </c>
      <c r="E10" s="754" t="s">
        <v>1082</v>
      </c>
      <c r="F10" s="744" t="s">
        <v>1081</v>
      </c>
      <c r="G10" s="524" t="s">
        <v>1069</v>
      </c>
      <c r="H10" s="524"/>
      <c r="I10" s="524">
        <v>2.5</v>
      </c>
      <c r="J10" s="524"/>
      <c r="K10" s="524"/>
      <c r="L10" s="524"/>
      <c r="M10" s="524"/>
      <c r="N10" s="523">
        <v>0.2</v>
      </c>
      <c r="O10" s="528">
        <v>0.1</v>
      </c>
      <c r="P10" s="528">
        <v>0.1</v>
      </c>
      <c r="Q10" s="543">
        <f>'Preços Unitários'!D16*I10</f>
        <v>21074</v>
      </c>
      <c r="R10" s="522">
        <v>0.7</v>
      </c>
      <c r="S10" s="522">
        <v>0.2</v>
      </c>
      <c r="T10" s="522">
        <v>0.1</v>
      </c>
      <c r="U10" s="521">
        <f t="shared" si="0"/>
        <v>2950.36</v>
      </c>
      <c r="V10" s="521">
        <f t="shared" si="1"/>
        <v>421.48</v>
      </c>
      <c r="W10" s="521">
        <f t="shared" si="2"/>
        <v>210.74</v>
      </c>
      <c r="X10" s="527">
        <f t="shared" si="3"/>
        <v>3582.58</v>
      </c>
      <c r="Y10" s="544"/>
      <c r="Z10" s="503"/>
      <c r="AA10" s="503"/>
      <c r="AB10" s="503"/>
      <c r="AC10" s="503"/>
      <c r="AD10" s="503"/>
      <c r="AE10" s="503"/>
      <c r="AF10" s="503"/>
      <c r="AG10" s="503"/>
    </row>
    <row r="11" spans="1:33" ht="28.2" customHeight="1">
      <c r="A11" s="538"/>
      <c r="B11" s="537"/>
      <c r="C11" s="540"/>
      <c r="D11" s="535"/>
      <c r="E11" s="535"/>
      <c r="F11" s="747"/>
      <c r="G11" s="535"/>
      <c r="H11" s="535"/>
      <c r="I11" s="535"/>
      <c r="J11" s="535"/>
      <c r="K11" s="535"/>
      <c r="L11" s="535"/>
      <c r="M11" s="534"/>
      <c r="N11" s="533"/>
      <c r="O11" s="532"/>
      <c r="P11" s="532"/>
      <c r="Q11" s="531"/>
      <c r="R11" s="532"/>
      <c r="S11" s="532"/>
      <c r="T11" s="532"/>
      <c r="U11" s="531"/>
      <c r="V11" s="531"/>
      <c r="W11" s="531"/>
      <c r="X11" s="758">
        <f>SUM(X4:X10)</f>
        <v>686668.72551999998</v>
      </c>
      <c r="Y11" s="544"/>
      <c r="Z11" s="797">
        <f>X11+X13+X15</f>
        <v>726793.62151999993</v>
      </c>
      <c r="AA11" s="503"/>
      <c r="AB11" s="503"/>
      <c r="AC11" s="503"/>
      <c r="AD11" s="503"/>
      <c r="AE11" s="503"/>
      <c r="AF11" s="503"/>
      <c r="AG11" s="503"/>
    </row>
    <row r="12" spans="1:33" ht="136.80000000000001" customHeight="1">
      <c r="A12" s="756" t="s">
        <v>720</v>
      </c>
      <c r="B12" s="524" t="s">
        <v>1074</v>
      </c>
      <c r="C12" s="542" t="s">
        <v>1179</v>
      </c>
      <c r="D12" s="526" t="s">
        <v>1009</v>
      </c>
      <c r="E12" s="524" t="s">
        <v>1174</v>
      </c>
      <c r="F12" s="744"/>
      <c r="G12" s="524" t="s">
        <v>1069</v>
      </c>
      <c r="H12" s="524"/>
      <c r="I12" s="524">
        <v>24</v>
      </c>
      <c r="J12" s="524"/>
      <c r="K12" s="524"/>
      <c r="L12" s="524"/>
      <c r="M12" s="524"/>
      <c r="N12" s="523">
        <v>0.2</v>
      </c>
      <c r="O12" s="528">
        <v>0.1</v>
      </c>
      <c r="P12" s="528">
        <v>0.1</v>
      </c>
      <c r="Q12" s="543">
        <f>'Preços Unitários'!D18*I12</f>
        <v>151732.79999999999</v>
      </c>
      <c r="R12" s="522">
        <v>0.7</v>
      </c>
      <c r="S12" s="522">
        <v>0.2</v>
      </c>
      <c r="T12" s="522">
        <v>0.1</v>
      </c>
      <c r="U12" s="521">
        <f t="shared" si="0"/>
        <v>21242.592000000001</v>
      </c>
      <c r="V12" s="521">
        <f t="shared" si="1"/>
        <v>3034.6559999999999</v>
      </c>
      <c r="W12" s="521">
        <f t="shared" si="2"/>
        <v>1517.328</v>
      </c>
      <c r="X12" s="527">
        <f t="shared" si="3"/>
        <v>25794.576000000001</v>
      </c>
      <c r="Y12" s="544"/>
      <c r="Z12" s="503"/>
      <c r="AA12" s="503"/>
      <c r="AB12" s="503"/>
      <c r="AC12" s="503"/>
      <c r="AD12" s="503"/>
      <c r="AE12" s="503"/>
      <c r="AF12" s="503"/>
      <c r="AG12" s="503"/>
    </row>
    <row r="13" spans="1:33" ht="26.55" customHeight="1">
      <c r="A13" s="538"/>
      <c r="B13" s="537"/>
      <c r="C13" s="540"/>
      <c r="D13" s="535"/>
      <c r="E13" s="535"/>
      <c r="F13" s="747"/>
      <c r="G13" s="535"/>
      <c r="H13" s="535"/>
      <c r="I13" s="535"/>
      <c r="J13" s="535"/>
      <c r="K13" s="535"/>
      <c r="L13" s="535"/>
      <c r="M13" s="534"/>
      <c r="N13" s="533"/>
      <c r="O13" s="532"/>
      <c r="P13" s="532"/>
      <c r="Q13" s="531"/>
      <c r="R13" s="532"/>
      <c r="S13" s="532"/>
      <c r="T13" s="532"/>
      <c r="U13" s="531"/>
      <c r="V13" s="531"/>
      <c r="W13" s="531"/>
      <c r="X13" s="758">
        <f>X12</f>
        <v>25794.576000000001</v>
      </c>
      <c r="Y13" s="544"/>
      <c r="Z13" s="503"/>
      <c r="AA13" s="503"/>
      <c r="AB13" s="503"/>
      <c r="AC13" s="503"/>
      <c r="AD13" s="503"/>
      <c r="AE13" s="503"/>
      <c r="AF13" s="503"/>
      <c r="AG13" s="503"/>
    </row>
    <row r="14" spans="1:33" ht="145.19999999999999" customHeight="1">
      <c r="A14" s="756" t="s">
        <v>720</v>
      </c>
      <c r="B14" s="524" t="s">
        <v>1074</v>
      </c>
      <c r="C14" s="542" t="s">
        <v>1180</v>
      </c>
      <c r="D14" s="526" t="s">
        <v>1009</v>
      </c>
      <c r="E14" s="524" t="s">
        <v>1175</v>
      </c>
      <c r="F14" s="744"/>
      <c r="G14" s="524" t="s">
        <v>1069</v>
      </c>
      <c r="H14" s="524"/>
      <c r="I14" s="524">
        <v>10</v>
      </c>
      <c r="J14" s="524"/>
      <c r="K14" s="524"/>
      <c r="L14" s="524"/>
      <c r="M14" s="524"/>
      <c r="N14" s="523">
        <v>0.2</v>
      </c>
      <c r="O14" s="528">
        <v>0.1</v>
      </c>
      <c r="P14" s="528">
        <v>0.1</v>
      </c>
      <c r="Q14" s="543">
        <f>'Preços Unitários'!D17*I14</f>
        <v>84296</v>
      </c>
      <c r="R14" s="522">
        <v>0.7</v>
      </c>
      <c r="S14" s="522">
        <v>0.2</v>
      </c>
      <c r="T14" s="522">
        <v>0.1</v>
      </c>
      <c r="U14" s="521">
        <f t="shared" si="0"/>
        <v>11801.44</v>
      </c>
      <c r="V14" s="521">
        <f t="shared" si="1"/>
        <v>1685.92</v>
      </c>
      <c r="W14" s="521">
        <f t="shared" si="2"/>
        <v>842.96</v>
      </c>
      <c r="X14" s="527">
        <f t="shared" si="3"/>
        <v>14330.32</v>
      </c>
      <c r="Y14" s="544"/>
      <c r="Z14" s="503"/>
      <c r="AA14" s="503"/>
      <c r="AB14" s="503"/>
      <c r="AC14" s="503"/>
      <c r="AD14" s="503"/>
      <c r="AE14" s="503"/>
      <c r="AF14" s="503"/>
      <c r="AG14" s="503"/>
    </row>
    <row r="15" spans="1:33" ht="25.05" customHeight="1">
      <c r="A15" s="538"/>
      <c r="B15" s="537"/>
      <c r="C15" s="540"/>
      <c r="D15" s="535"/>
      <c r="E15" s="535"/>
      <c r="F15" s="747"/>
      <c r="G15" s="535"/>
      <c r="H15" s="535"/>
      <c r="I15" s="535"/>
      <c r="J15" s="535"/>
      <c r="K15" s="535"/>
      <c r="L15" s="535"/>
      <c r="M15" s="534"/>
      <c r="N15" s="533"/>
      <c r="O15" s="532"/>
      <c r="P15" s="532"/>
      <c r="Q15" s="531"/>
      <c r="R15" s="532"/>
      <c r="S15" s="532"/>
      <c r="T15" s="532"/>
      <c r="U15" s="531"/>
      <c r="V15" s="531"/>
      <c r="W15" s="531"/>
      <c r="X15" s="758">
        <f>X14</f>
        <v>14330.32</v>
      </c>
      <c r="Y15" s="503"/>
      <c r="Z15" s="503"/>
      <c r="AA15" s="503"/>
      <c r="AB15" s="503"/>
      <c r="AC15" s="503"/>
      <c r="AD15" s="503"/>
      <c r="AE15" s="503"/>
      <c r="AF15" s="503"/>
    </row>
    <row r="16" spans="1:33" ht="51" customHeight="1">
      <c r="A16" s="934" t="s">
        <v>1083</v>
      </c>
      <c r="B16" s="524" t="s">
        <v>1090</v>
      </c>
      <c r="C16" s="542"/>
      <c r="D16" s="526" t="s">
        <v>1009</v>
      </c>
      <c r="E16" s="524"/>
      <c r="F16" s="744"/>
      <c r="G16" s="524" t="s">
        <v>1088</v>
      </c>
      <c r="H16" s="524" t="s">
        <v>1089</v>
      </c>
      <c r="I16" s="524">
        <v>210</v>
      </c>
      <c r="J16" s="524">
        <v>750</v>
      </c>
      <c r="K16" s="524"/>
      <c r="L16" s="524">
        <v>150</v>
      </c>
      <c r="M16" s="529"/>
      <c r="N16" s="528">
        <v>0.1</v>
      </c>
      <c r="O16" s="528">
        <v>0.05</v>
      </c>
      <c r="P16" s="528">
        <v>0.05</v>
      </c>
      <c r="Q16" s="541">
        <f>'Preços Unitários'!D34</f>
        <v>2080000</v>
      </c>
      <c r="R16" s="522">
        <v>0.6</v>
      </c>
      <c r="S16" s="522">
        <v>0.1</v>
      </c>
      <c r="T16" s="522">
        <v>0.3</v>
      </c>
      <c r="U16" s="521">
        <f>R16*Q16*N16</f>
        <v>124800</v>
      </c>
      <c r="V16" s="521">
        <f>S16*Q16*O16</f>
        <v>10400</v>
      </c>
      <c r="W16" s="521">
        <f>T16*Q16*P16</f>
        <v>31200</v>
      </c>
      <c r="X16" s="527">
        <f>U16+V16+W16</f>
        <v>166400</v>
      </c>
      <c r="Y16" s="503"/>
      <c r="Z16" s="503"/>
      <c r="AA16" s="503"/>
      <c r="AB16" s="503"/>
      <c r="AC16" s="503"/>
      <c r="AD16" s="503"/>
      <c r="AE16" s="503"/>
      <c r="AF16" s="503"/>
    </row>
    <row r="17" spans="1:32" ht="45" customHeight="1">
      <c r="A17" s="934"/>
      <c r="B17" s="524" t="s">
        <v>1091</v>
      </c>
      <c r="C17" s="542"/>
      <c r="D17" s="526" t="s">
        <v>1009</v>
      </c>
      <c r="E17" s="524"/>
      <c r="F17" s="744"/>
      <c r="G17" s="524" t="s">
        <v>1088</v>
      </c>
      <c r="H17" s="524"/>
      <c r="I17" s="524">
        <v>230</v>
      </c>
      <c r="J17" s="524">
        <v>750</v>
      </c>
      <c r="K17" s="524"/>
      <c r="L17" s="524">
        <v>200</v>
      </c>
      <c r="M17" s="529"/>
      <c r="N17" s="528">
        <v>0.1</v>
      </c>
      <c r="O17" s="528">
        <v>0.05</v>
      </c>
      <c r="P17" s="528">
        <v>0.05</v>
      </c>
      <c r="Q17" s="541">
        <f>Q16</f>
        <v>2080000</v>
      </c>
      <c r="R17" s="522">
        <v>0.6</v>
      </c>
      <c r="S17" s="522">
        <v>0.1</v>
      </c>
      <c r="T17" s="522">
        <v>0.3</v>
      </c>
      <c r="U17" s="521">
        <f t="shared" ref="U17:U43" si="4">R17*Q17*N17</f>
        <v>124800</v>
      </c>
      <c r="V17" s="521">
        <f t="shared" ref="V17:V80" si="5">S17*Q17*O17</f>
        <v>10400</v>
      </c>
      <c r="W17" s="521">
        <f t="shared" ref="W17:W43" si="6">T17*Q17*P17</f>
        <v>31200</v>
      </c>
      <c r="X17" s="527">
        <f t="shared" ref="X17:X43" si="7">U17+V17+W17</f>
        <v>166400</v>
      </c>
      <c r="Y17" s="503"/>
      <c r="Z17" s="503"/>
      <c r="AA17" s="503"/>
      <c r="AB17" s="503"/>
      <c r="AC17" s="503"/>
      <c r="AD17" s="503"/>
      <c r="AE17" s="503"/>
      <c r="AF17" s="503"/>
    </row>
    <row r="18" spans="1:32" ht="45" customHeight="1">
      <c r="A18" s="934"/>
      <c r="B18" s="524" t="s">
        <v>1092</v>
      </c>
      <c r="C18" s="542"/>
      <c r="D18" s="526" t="s">
        <v>1009</v>
      </c>
      <c r="E18" s="524"/>
      <c r="F18" s="744"/>
      <c r="G18" s="524" t="s">
        <v>1088</v>
      </c>
      <c r="H18" s="524" t="s">
        <v>1089</v>
      </c>
      <c r="I18" s="524">
        <v>192</v>
      </c>
      <c r="J18" s="524">
        <v>600</v>
      </c>
      <c r="K18" s="524"/>
      <c r="L18" s="524"/>
      <c r="M18" s="529"/>
      <c r="N18" s="528">
        <v>0.1</v>
      </c>
      <c r="O18" s="528">
        <v>0.05</v>
      </c>
      <c r="P18" s="528">
        <v>0.05</v>
      </c>
      <c r="Q18" s="541">
        <f>Q17</f>
        <v>2080000</v>
      </c>
      <c r="R18" s="522">
        <v>0.6</v>
      </c>
      <c r="S18" s="522">
        <v>0.1</v>
      </c>
      <c r="T18" s="522">
        <v>0.3</v>
      </c>
      <c r="U18" s="521">
        <f t="shared" si="4"/>
        <v>124800</v>
      </c>
      <c r="V18" s="521">
        <f t="shared" si="5"/>
        <v>10400</v>
      </c>
      <c r="W18" s="521">
        <f t="shared" si="6"/>
        <v>31200</v>
      </c>
      <c r="X18" s="527">
        <f t="shared" si="7"/>
        <v>166400</v>
      </c>
      <c r="Y18" s="503"/>
      <c r="Z18" s="503"/>
      <c r="AA18" s="503"/>
      <c r="AB18" s="503"/>
      <c r="AC18" s="503"/>
      <c r="AD18" s="503"/>
      <c r="AE18" s="503"/>
      <c r="AF18" s="503"/>
    </row>
    <row r="19" spans="1:32" ht="45" customHeight="1">
      <c r="A19" s="934"/>
      <c r="B19" s="524" t="s">
        <v>1093</v>
      </c>
      <c r="C19" s="542"/>
      <c r="D19" s="526" t="s">
        <v>1009</v>
      </c>
      <c r="E19" s="524"/>
      <c r="F19" s="744"/>
      <c r="G19" s="524" t="s">
        <v>1088</v>
      </c>
      <c r="H19" s="524" t="s">
        <v>1095</v>
      </c>
      <c r="I19" s="524">
        <v>135</v>
      </c>
      <c r="J19" s="524">
        <v>350</v>
      </c>
      <c r="K19" s="524"/>
      <c r="L19" s="524"/>
      <c r="M19" s="529"/>
      <c r="N19" s="528">
        <v>0.1</v>
      </c>
      <c r="O19" s="528">
        <v>0.05</v>
      </c>
      <c r="P19" s="528">
        <v>0.05</v>
      </c>
      <c r="Q19" s="541">
        <f>'Preços Unitários'!D33</f>
        <v>840000</v>
      </c>
      <c r="R19" s="522">
        <v>0.6</v>
      </c>
      <c r="S19" s="522">
        <v>0.1</v>
      </c>
      <c r="T19" s="522">
        <v>0.3</v>
      </c>
      <c r="U19" s="521">
        <f t="shared" si="4"/>
        <v>50400</v>
      </c>
      <c r="V19" s="521">
        <f t="shared" si="5"/>
        <v>4200</v>
      </c>
      <c r="W19" s="521">
        <f t="shared" si="6"/>
        <v>12600</v>
      </c>
      <c r="X19" s="527">
        <f t="shared" si="7"/>
        <v>67200</v>
      </c>
      <c r="Y19" s="503"/>
      <c r="Z19" s="503"/>
      <c r="AA19" s="503"/>
      <c r="AB19" s="503"/>
      <c r="AC19" s="503"/>
      <c r="AD19" s="503"/>
      <c r="AE19" s="503"/>
      <c r="AF19" s="503"/>
    </row>
    <row r="20" spans="1:32" ht="45" customHeight="1">
      <c r="A20" s="934"/>
      <c r="B20" s="524" t="s">
        <v>1094</v>
      </c>
      <c r="C20" s="542"/>
      <c r="D20" s="526" t="s">
        <v>1009</v>
      </c>
      <c r="E20" s="524"/>
      <c r="F20" s="744"/>
      <c r="G20" s="524" t="s">
        <v>1088</v>
      </c>
      <c r="H20" s="524" t="s">
        <v>1095</v>
      </c>
      <c r="I20" s="524">
        <v>120</v>
      </c>
      <c r="J20" s="524">
        <v>350</v>
      </c>
      <c r="K20" s="524"/>
      <c r="L20" s="524"/>
      <c r="M20" s="529"/>
      <c r="N20" s="528">
        <v>0.1</v>
      </c>
      <c r="O20" s="528">
        <v>0.05</v>
      </c>
      <c r="P20" s="528">
        <v>0.05</v>
      </c>
      <c r="Q20" s="541">
        <f>Q19</f>
        <v>840000</v>
      </c>
      <c r="R20" s="522">
        <v>0.6</v>
      </c>
      <c r="S20" s="522">
        <v>0.1</v>
      </c>
      <c r="T20" s="522">
        <v>0.3</v>
      </c>
      <c r="U20" s="521">
        <f t="shared" si="4"/>
        <v>50400</v>
      </c>
      <c r="V20" s="521">
        <f t="shared" si="5"/>
        <v>4200</v>
      </c>
      <c r="W20" s="521">
        <f t="shared" si="6"/>
        <v>12600</v>
      </c>
      <c r="X20" s="527">
        <f t="shared" si="7"/>
        <v>67200</v>
      </c>
      <c r="Y20" s="503"/>
      <c r="Z20" s="503"/>
      <c r="AA20" s="503"/>
      <c r="AB20" s="503"/>
      <c r="AC20" s="503"/>
      <c r="AD20" s="503"/>
      <c r="AE20" s="503"/>
      <c r="AF20" s="503"/>
    </row>
    <row r="21" spans="1:32" ht="45" customHeight="1">
      <c r="A21" s="934"/>
      <c r="B21" s="524" t="s">
        <v>1097</v>
      </c>
      <c r="C21" s="542"/>
      <c r="D21" s="526" t="s">
        <v>1009</v>
      </c>
      <c r="E21" s="524"/>
      <c r="F21" s="744"/>
      <c r="G21" s="524" t="s">
        <v>1088</v>
      </c>
      <c r="H21" s="524" t="s">
        <v>1096</v>
      </c>
      <c r="I21" s="524">
        <v>150</v>
      </c>
      <c r="J21" s="524">
        <v>350</v>
      </c>
      <c r="K21" s="524"/>
      <c r="L21" s="524"/>
      <c r="M21" s="529"/>
      <c r="N21" s="528">
        <v>0.1</v>
      </c>
      <c r="O21" s="528">
        <v>0.05</v>
      </c>
      <c r="P21" s="528">
        <v>0.05</v>
      </c>
      <c r="Q21" s="541">
        <f>Q20</f>
        <v>840000</v>
      </c>
      <c r="R21" s="522">
        <v>0.6</v>
      </c>
      <c r="S21" s="522">
        <v>0.1</v>
      </c>
      <c r="T21" s="522">
        <v>0.3</v>
      </c>
      <c r="U21" s="521">
        <f t="shared" si="4"/>
        <v>50400</v>
      </c>
      <c r="V21" s="521">
        <f t="shared" si="5"/>
        <v>4200</v>
      </c>
      <c r="W21" s="521">
        <f t="shared" si="6"/>
        <v>12600</v>
      </c>
      <c r="X21" s="527">
        <f t="shared" si="7"/>
        <v>67200</v>
      </c>
      <c r="Y21" s="503"/>
      <c r="Z21" s="503"/>
      <c r="AA21" s="503"/>
      <c r="AB21" s="503"/>
      <c r="AC21" s="503"/>
      <c r="AD21" s="503"/>
      <c r="AE21" s="503"/>
      <c r="AF21" s="503"/>
    </row>
    <row r="22" spans="1:32" ht="45" customHeight="1">
      <c r="A22" s="934"/>
      <c r="B22" s="524" t="s">
        <v>1098</v>
      </c>
      <c r="C22" s="542"/>
      <c r="D22" s="526" t="s">
        <v>1009</v>
      </c>
      <c r="E22" s="524"/>
      <c r="F22" s="744"/>
      <c r="G22" s="524" t="s">
        <v>1088</v>
      </c>
      <c r="H22" s="524" t="s">
        <v>1099</v>
      </c>
      <c r="I22" s="524">
        <v>150</v>
      </c>
      <c r="J22" s="524">
        <v>350</v>
      </c>
      <c r="K22" s="524"/>
      <c r="L22" s="524"/>
      <c r="M22" s="529"/>
      <c r="N22" s="528">
        <v>0.1</v>
      </c>
      <c r="O22" s="528">
        <v>0.05</v>
      </c>
      <c r="P22" s="528">
        <v>0.05</v>
      </c>
      <c r="Q22" s="541">
        <f>Q21</f>
        <v>840000</v>
      </c>
      <c r="R22" s="522">
        <v>0.6</v>
      </c>
      <c r="S22" s="522">
        <v>0.1</v>
      </c>
      <c r="T22" s="522">
        <v>0.3</v>
      </c>
      <c r="U22" s="521">
        <f t="shared" si="4"/>
        <v>50400</v>
      </c>
      <c r="V22" s="521">
        <f t="shared" si="5"/>
        <v>4200</v>
      </c>
      <c r="W22" s="521">
        <f t="shared" si="6"/>
        <v>12600</v>
      </c>
      <c r="X22" s="527">
        <f t="shared" si="7"/>
        <v>67200</v>
      </c>
      <c r="Y22" s="503"/>
      <c r="Z22" s="503"/>
      <c r="AA22" s="503"/>
      <c r="AB22" s="503"/>
      <c r="AC22" s="503"/>
      <c r="AD22" s="503"/>
      <c r="AE22" s="503"/>
      <c r="AF22" s="503"/>
    </row>
    <row r="23" spans="1:32" ht="45" customHeight="1">
      <c r="A23" s="934"/>
      <c r="B23" s="524" t="s">
        <v>1100</v>
      </c>
      <c r="C23" s="542"/>
      <c r="D23" s="526" t="s">
        <v>1009</v>
      </c>
      <c r="E23" s="524"/>
      <c r="F23" s="744"/>
      <c r="G23" s="524"/>
      <c r="H23" s="524"/>
      <c r="I23" s="757">
        <v>15</v>
      </c>
      <c r="J23" s="757">
        <v>12.5</v>
      </c>
      <c r="K23" s="524"/>
      <c r="L23" s="524"/>
      <c r="M23" s="529"/>
      <c r="N23" s="528">
        <v>0.1</v>
      </c>
      <c r="O23" s="528">
        <v>0.05</v>
      </c>
      <c r="P23" s="528">
        <v>0.05</v>
      </c>
      <c r="Q23" s="541">
        <f>'Preços Unitários'!D31</f>
        <v>325000</v>
      </c>
      <c r="R23" s="522">
        <v>0.6</v>
      </c>
      <c r="S23" s="522">
        <v>0.1</v>
      </c>
      <c r="T23" s="522">
        <v>0.3</v>
      </c>
      <c r="U23" s="521">
        <f t="shared" si="4"/>
        <v>19500</v>
      </c>
      <c r="V23" s="521">
        <f t="shared" si="5"/>
        <v>1625</v>
      </c>
      <c r="W23" s="521">
        <f t="shared" si="6"/>
        <v>4875</v>
      </c>
      <c r="X23" s="527">
        <f t="shared" si="7"/>
        <v>26000</v>
      </c>
      <c r="Y23" s="503"/>
      <c r="Z23" s="503"/>
      <c r="AA23" s="503"/>
      <c r="AB23" s="503"/>
      <c r="AC23" s="503"/>
      <c r="AD23" s="503"/>
      <c r="AE23" s="503"/>
      <c r="AF23" s="503"/>
    </row>
    <row r="24" spans="1:32" ht="45" customHeight="1">
      <c r="A24" s="934"/>
      <c r="B24" s="524" t="s">
        <v>1101</v>
      </c>
      <c r="C24" s="542"/>
      <c r="D24" s="526" t="s">
        <v>1009</v>
      </c>
      <c r="E24" s="524"/>
      <c r="F24" s="744"/>
      <c r="G24" s="524"/>
      <c r="H24" s="524"/>
      <c r="I24" s="757">
        <v>15</v>
      </c>
      <c r="J24" s="757">
        <v>12.5</v>
      </c>
      <c r="K24" s="524"/>
      <c r="L24" s="524"/>
      <c r="M24" s="529"/>
      <c r="N24" s="528">
        <v>0.1</v>
      </c>
      <c r="O24" s="528">
        <v>0.05</v>
      </c>
      <c r="P24" s="528">
        <v>0.05</v>
      </c>
      <c r="Q24" s="541">
        <f>Q23</f>
        <v>325000</v>
      </c>
      <c r="R24" s="522">
        <v>0.6</v>
      </c>
      <c r="S24" s="522">
        <v>0.1</v>
      </c>
      <c r="T24" s="522">
        <v>0.3</v>
      </c>
      <c r="U24" s="521">
        <f t="shared" si="4"/>
        <v>19500</v>
      </c>
      <c r="V24" s="521">
        <f t="shared" si="5"/>
        <v>1625</v>
      </c>
      <c r="W24" s="521">
        <f t="shared" si="6"/>
        <v>4875</v>
      </c>
      <c r="X24" s="527">
        <f t="shared" si="7"/>
        <v>26000</v>
      </c>
      <c r="Y24" s="503"/>
      <c r="Z24" s="503"/>
      <c r="AA24" s="503"/>
      <c r="AB24" s="503"/>
      <c r="AC24" s="503"/>
      <c r="AD24" s="503"/>
      <c r="AE24" s="503"/>
      <c r="AF24" s="503"/>
    </row>
    <row r="25" spans="1:32" ht="45" customHeight="1">
      <c r="A25" s="934"/>
      <c r="B25" s="524" t="s">
        <v>1102</v>
      </c>
      <c r="C25" s="542"/>
      <c r="D25" s="526" t="s">
        <v>1009</v>
      </c>
      <c r="E25" s="524"/>
      <c r="F25" s="744"/>
      <c r="G25" s="524" t="s">
        <v>1088</v>
      </c>
      <c r="H25" s="524" t="s">
        <v>1104</v>
      </c>
      <c r="I25" s="524">
        <v>18</v>
      </c>
      <c r="J25" s="524">
        <v>12.5</v>
      </c>
      <c r="K25" s="524"/>
      <c r="L25" s="524"/>
      <c r="M25" s="529"/>
      <c r="N25" s="528">
        <v>0.1</v>
      </c>
      <c r="O25" s="528">
        <v>0.05</v>
      </c>
      <c r="P25" s="528">
        <v>0.05</v>
      </c>
      <c r="Q25" s="541">
        <f>Q24</f>
        <v>325000</v>
      </c>
      <c r="R25" s="522">
        <v>0.6</v>
      </c>
      <c r="S25" s="522">
        <v>0.1</v>
      </c>
      <c r="T25" s="522">
        <v>0.3</v>
      </c>
      <c r="U25" s="521">
        <f t="shared" si="4"/>
        <v>19500</v>
      </c>
      <c r="V25" s="521">
        <f t="shared" si="5"/>
        <v>1625</v>
      </c>
      <c r="W25" s="521">
        <f t="shared" si="6"/>
        <v>4875</v>
      </c>
      <c r="X25" s="527">
        <f t="shared" si="7"/>
        <v>26000</v>
      </c>
      <c r="Y25" s="503"/>
      <c r="Z25" s="503"/>
      <c r="AA25" s="503"/>
      <c r="AB25" s="503"/>
      <c r="AC25" s="503"/>
      <c r="AD25" s="503"/>
      <c r="AE25" s="503"/>
      <c r="AF25" s="503"/>
    </row>
    <row r="26" spans="1:32" ht="45" customHeight="1">
      <c r="A26" s="934"/>
      <c r="B26" s="524" t="s">
        <v>1103</v>
      </c>
      <c r="C26" s="542"/>
      <c r="D26" s="526" t="s">
        <v>1009</v>
      </c>
      <c r="E26" s="524"/>
      <c r="F26" s="744"/>
      <c r="G26" s="524" t="s">
        <v>1088</v>
      </c>
      <c r="H26" s="524" t="s">
        <v>1104</v>
      </c>
      <c r="I26" s="524">
        <v>18</v>
      </c>
      <c r="J26" s="524">
        <v>12.5</v>
      </c>
      <c r="K26" s="524"/>
      <c r="L26" s="524"/>
      <c r="M26" s="529"/>
      <c r="N26" s="528">
        <v>0.1</v>
      </c>
      <c r="O26" s="528">
        <v>0.05</v>
      </c>
      <c r="P26" s="528">
        <v>0.05</v>
      </c>
      <c r="Q26" s="541">
        <f>Q25</f>
        <v>325000</v>
      </c>
      <c r="R26" s="522">
        <v>0.6</v>
      </c>
      <c r="S26" s="522">
        <v>0.1</v>
      </c>
      <c r="T26" s="522">
        <v>0.3</v>
      </c>
      <c r="U26" s="521">
        <f t="shared" si="4"/>
        <v>19500</v>
      </c>
      <c r="V26" s="521">
        <f t="shared" si="5"/>
        <v>1625</v>
      </c>
      <c r="W26" s="521">
        <f t="shared" si="6"/>
        <v>4875</v>
      </c>
      <c r="X26" s="527">
        <f t="shared" si="7"/>
        <v>26000</v>
      </c>
      <c r="Y26" s="503"/>
      <c r="Z26" s="503"/>
      <c r="AA26" s="503"/>
      <c r="AB26" s="503"/>
      <c r="AC26" s="503"/>
      <c r="AD26" s="503"/>
      <c r="AE26" s="503"/>
      <c r="AF26" s="503"/>
    </row>
    <row r="27" spans="1:32" ht="45" customHeight="1">
      <c r="A27" s="934"/>
      <c r="B27" s="524" t="s">
        <v>1105</v>
      </c>
      <c r="C27" s="542"/>
      <c r="D27" s="526" t="s">
        <v>1009</v>
      </c>
      <c r="E27" s="524"/>
      <c r="F27" s="744"/>
      <c r="G27" s="524" t="s">
        <v>1088</v>
      </c>
      <c r="H27" s="524"/>
      <c r="I27" s="524">
        <v>40</v>
      </c>
      <c r="J27" s="524">
        <v>12</v>
      </c>
      <c r="K27" s="524"/>
      <c r="L27" s="524"/>
      <c r="M27" s="529"/>
      <c r="N27" s="528">
        <v>0.1</v>
      </c>
      <c r="O27" s="528">
        <v>0.05</v>
      </c>
      <c r="P27" s="528">
        <v>0.05</v>
      </c>
      <c r="Q27" s="541">
        <f>'Preços Unitários'!D32</f>
        <v>575000</v>
      </c>
      <c r="R27" s="522">
        <v>0.6</v>
      </c>
      <c r="S27" s="522">
        <v>0.1</v>
      </c>
      <c r="T27" s="522">
        <v>0.3</v>
      </c>
      <c r="U27" s="521">
        <f t="shared" si="4"/>
        <v>34500</v>
      </c>
      <c r="V27" s="521">
        <f t="shared" si="5"/>
        <v>2875</v>
      </c>
      <c r="W27" s="521">
        <f t="shared" si="6"/>
        <v>8625</v>
      </c>
      <c r="X27" s="527">
        <f t="shared" si="7"/>
        <v>46000</v>
      </c>
      <c r="Y27" s="503"/>
      <c r="Z27" s="503"/>
      <c r="AA27" s="503"/>
      <c r="AB27" s="503"/>
      <c r="AC27" s="503"/>
      <c r="AD27" s="503"/>
      <c r="AE27" s="503"/>
      <c r="AF27" s="503"/>
    </row>
    <row r="28" spans="1:32" ht="45" customHeight="1">
      <c r="A28" s="934"/>
      <c r="B28" s="524" t="s">
        <v>1106</v>
      </c>
      <c r="C28" s="542"/>
      <c r="D28" s="526" t="s">
        <v>1009</v>
      </c>
      <c r="E28" s="524"/>
      <c r="F28" s="744"/>
      <c r="G28" s="524" t="s">
        <v>1088</v>
      </c>
      <c r="H28" s="524"/>
      <c r="I28" s="524">
        <v>40</v>
      </c>
      <c r="J28" s="524">
        <v>12</v>
      </c>
      <c r="K28" s="524"/>
      <c r="L28" s="524"/>
      <c r="M28" s="529"/>
      <c r="N28" s="528">
        <v>0.1</v>
      </c>
      <c r="O28" s="528">
        <v>0.05</v>
      </c>
      <c r="P28" s="528">
        <v>0.05</v>
      </c>
      <c r="Q28" s="541">
        <f>Q27</f>
        <v>575000</v>
      </c>
      <c r="R28" s="522">
        <v>0.6</v>
      </c>
      <c r="S28" s="522">
        <v>0.1</v>
      </c>
      <c r="T28" s="522">
        <v>0.3</v>
      </c>
      <c r="U28" s="521">
        <f t="shared" si="4"/>
        <v>34500</v>
      </c>
      <c r="V28" s="521">
        <f t="shared" si="5"/>
        <v>2875</v>
      </c>
      <c r="W28" s="521">
        <f t="shared" si="6"/>
        <v>8625</v>
      </c>
      <c r="X28" s="527">
        <f t="shared" si="7"/>
        <v>46000</v>
      </c>
      <c r="Y28" s="503"/>
      <c r="Z28" s="503"/>
      <c r="AA28" s="503"/>
      <c r="AB28" s="503"/>
      <c r="AC28" s="503"/>
      <c r="AD28" s="503"/>
      <c r="AE28" s="503"/>
      <c r="AF28" s="503"/>
    </row>
    <row r="29" spans="1:32" ht="45" customHeight="1">
      <c r="A29" s="934"/>
      <c r="B29" s="524" t="s">
        <v>1107</v>
      </c>
      <c r="C29" s="542"/>
      <c r="D29" s="526" t="s">
        <v>1009</v>
      </c>
      <c r="E29" s="524"/>
      <c r="F29" s="744"/>
      <c r="G29" s="524" t="s">
        <v>1088</v>
      </c>
      <c r="H29" s="524"/>
      <c r="I29" s="524">
        <v>40</v>
      </c>
      <c r="J29" s="524">
        <v>100</v>
      </c>
      <c r="K29" s="524"/>
      <c r="L29" s="524"/>
      <c r="M29" s="529"/>
      <c r="N29" s="528">
        <v>0.1</v>
      </c>
      <c r="O29" s="528">
        <v>0.05</v>
      </c>
      <c r="P29" s="528">
        <v>0.05</v>
      </c>
      <c r="Q29" s="541">
        <f>Q28</f>
        <v>575000</v>
      </c>
      <c r="R29" s="522">
        <v>0.6</v>
      </c>
      <c r="S29" s="522">
        <v>0.1</v>
      </c>
      <c r="T29" s="522">
        <v>0.3</v>
      </c>
      <c r="U29" s="521">
        <f t="shared" si="4"/>
        <v>34500</v>
      </c>
      <c r="V29" s="521">
        <f t="shared" si="5"/>
        <v>2875</v>
      </c>
      <c r="W29" s="521">
        <f t="shared" si="6"/>
        <v>8625</v>
      </c>
      <c r="X29" s="527">
        <f t="shared" si="7"/>
        <v>46000</v>
      </c>
      <c r="Y29" s="503"/>
      <c r="Z29" s="503"/>
      <c r="AA29" s="503"/>
      <c r="AB29" s="503"/>
      <c r="AC29" s="503"/>
      <c r="AD29" s="503"/>
      <c r="AE29" s="503"/>
      <c r="AF29" s="503"/>
    </row>
    <row r="30" spans="1:32" ht="45" customHeight="1">
      <c r="A30" s="934"/>
      <c r="B30" s="524" t="s">
        <v>1108</v>
      </c>
      <c r="C30" s="542"/>
      <c r="D30" s="526" t="s">
        <v>1009</v>
      </c>
      <c r="E30" s="524"/>
      <c r="F30" s="744"/>
      <c r="G30" s="524" t="s">
        <v>1088</v>
      </c>
      <c r="H30" s="524"/>
      <c r="I30" s="524">
        <v>40</v>
      </c>
      <c r="J30" s="524">
        <v>100</v>
      </c>
      <c r="K30" s="524"/>
      <c r="L30" s="524"/>
      <c r="M30" s="529"/>
      <c r="N30" s="528">
        <v>0.1</v>
      </c>
      <c r="O30" s="528">
        <v>0.05</v>
      </c>
      <c r="P30" s="528">
        <v>0.05</v>
      </c>
      <c r="Q30" s="541">
        <f>Q29</f>
        <v>575000</v>
      </c>
      <c r="R30" s="522">
        <v>0.6</v>
      </c>
      <c r="S30" s="522">
        <v>0.1</v>
      </c>
      <c r="T30" s="522">
        <v>0.3</v>
      </c>
      <c r="U30" s="521">
        <f t="shared" si="4"/>
        <v>34500</v>
      </c>
      <c r="V30" s="521">
        <f t="shared" si="5"/>
        <v>2875</v>
      </c>
      <c r="W30" s="521">
        <f t="shared" si="6"/>
        <v>8625</v>
      </c>
      <c r="X30" s="527">
        <f t="shared" si="7"/>
        <v>46000</v>
      </c>
      <c r="Y30" s="503"/>
      <c r="Z30" s="503"/>
      <c r="AA30" s="503"/>
      <c r="AB30" s="503"/>
      <c r="AC30" s="503"/>
      <c r="AD30" s="503"/>
      <c r="AE30" s="503"/>
      <c r="AF30" s="503"/>
    </row>
    <row r="31" spans="1:32" ht="45" customHeight="1">
      <c r="A31" s="934"/>
      <c r="B31" s="524" t="s">
        <v>1109</v>
      </c>
      <c r="C31" s="542"/>
      <c r="D31" s="526" t="s">
        <v>1009</v>
      </c>
      <c r="E31" s="524"/>
      <c r="F31" s="744"/>
      <c r="G31" s="524" t="s">
        <v>1088</v>
      </c>
      <c r="H31" s="524"/>
      <c r="I31" s="524">
        <v>40</v>
      </c>
      <c r="J31" s="524">
        <v>100</v>
      </c>
      <c r="K31" s="524"/>
      <c r="L31" s="524"/>
      <c r="M31" s="529"/>
      <c r="N31" s="528">
        <v>0.1</v>
      </c>
      <c r="O31" s="528">
        <v>0.05</v>
      </c>
      <c r="P31" s="528">
        <v>0.05</v>
      </c>
      <c r="Q31" s="541">
        <f>Q30</f>
        <v>575000</v>
      </c>
      <c r="R31" s="522">
        <v>0.6</v>
      </c>
      <c r="S31" s="522">
        <v>0.1</v>
      </c>
      <c r="T31" s="522">
        <v>0.3</v>
      </c>
      <c r="U31" s="521">
        <f t="shared" si="4"/>
        <v>34500</v>
      </c>
      <c r="V31" s="521">
        <f t="shared" si="5"/>
        <v>2875</v>
      </c>
      <c r="W31" s="521">
        <f t="shared" si="6"/>
        <v>8625</v>
      </c>
      <c r="X31" s="527">
        <f t="shared" si="7"/>
        <v>46000</v>
      </c>
      <c r="Y31" s="503"/>
      <c r="Z31" s="503"/>
      <c r="AA31" s="503"/>
      <c r="AB31" s="503"/>
      <c r="AC31" s="503"/>
      <c r="AD31" s="503"/>
      <c r="AE31" s="503"/>
      <c r="AF31" s="503"/>
    </row>
    <row r="32" spans="1:32" ht="45" customHeight="1">
      <c r="A32" s="934"/>
      <c r="B32" s="524" t="s">
        <v>1110</v>
      </c>
      <c r="C32" s="542"/>
      <c r="D32" s="526" t="s">
        <v>1009</v>
      </c>
      <c r="E32" s="524"/>
      <c r="F32" s="744"/>
      <c r="G32" s="524"/>
      <c r="H32" s="524"/>
      <c r="I32" s="524">
        <v>23</v>
      </c>
      <c r="J32" s="524">
        <v>40</v>
      </c>
      <c r="K32" s="524"/>
      <c r="L32" s="524"/>
      <c r="M32" s="529"/>
      <c r="N32" s="528">
        <v>0.1</v>
      </c>
      <c r="O32" s="528">
        <v>0.05</v>
      </c>
      <c r="P32" s="528">
        <v>0.05</v>
      </c>
      <c r="Q32" s="541">
        <f>Q26</f>
        <v>325000</v>
      </c>
      <c r="R32" s="522">
        <v>0.6</v>
      </c>
      <c r="S32" s="522">
        <v>0.1</v>
      </c>
      <c r="T32" s="522">
        <v>0.3</v>
      </c>
      <c r="U32" s="521">
        <f t="shared" si="4"/>
        <v>19500</v>
      </c>
      <c r="V32" s="521">
        <f t="shared" si="5"/>
        <v>1625</v>
      </c>
      <c r="W32" s="521">
        <f t="shared" si="6"/>
        <v>4875</v>
      </c>
      <c r="X32" s="527">
        <f t="shared" si="7"/>
        <v>26000</v>
      </c>
      <c r="Y32" s="503"/>
      <c r="Z32" s="503"/>
      <c r="AA32" s="503"/>
      <c r="AB32" s="503"/>
      <c r="AC32" s="503"/>
      <c r="AD32" s="503"/>
      <c r="AE32" s="503"/>
      <c r="AF32" s="503"/>
    </row>
    <row r="33" spans="1:32" ht="45" customHeight="1">
      <c r="A33" s="934"/>
      <c r="B33" s="524" t="s">
        <v>1111</v>
      </c>
      <c r="C33" s="542"/>
      <c r="D33" s="526" t="s">
        <v>1009</v>
      </c>
      <c r="E33" s="524"/>
      <c r="F33" s="744"/>
      <c r="G33" s="524"/>
      <c r="H33" s="524"/>
      <c r="I33" s="524">
        <v>23</v>
      </c>
      <c r="J33" s="524">
        <v>40</v>
      </c>
      <c r="K33" s="524"/>
      <c r="L33" s="524"/>
      <c r="M33" s="529"/>
      <c r="N33" s="528">
        <v>0.1</v>
      </c>
      <c r="O33" s="528">
        <v>0.05</v>
      </c>
      <c r="P33" s="528">
        <v>0.05</v>
      </c>
      <c r="Q33" s="541">
        <f>Q32</f>
        <v>325000</v>
      </c>
      <c r="R33" s="522">
        <v>0.6</v>
      </c>
      <c r="S33" s="522">
        <v>0.1</v>
      </c>
      <c r="T33" s="522">
        <v>0.3</v>
      </c>
      <c r="U33" s="521">
        <f t="shared" si="4"/>
        <v>19500</v>
      </c>
      <c r="V33" s="521">
        <f t="shared" si="5"/>
        <v>1625</v>
      </c>
      <c r="W33" s="521">
        <f t="shared" si="6"/>
        <v>4875</v>
      </c>
      <c r="X33" s="527">
        <f t="shared" si="7"/>
        <v>26000</v>
      </c>
      <c r="Y33" s="503"/>
      <c r="Z33" s="503"/>
      <c r="AA33" s="503"/>
      <c r="AB33" s="503"/>
      <c r="AC33" s="503"/>
      <c r="AD33" s="503"/>
      <c r="AE33" s="503"/>
      <c r="AF33" s="503"/>
    </row>
    <row r="34" spans="1:32" ht="45" customHeight="1">
      <c r="A34" s="934"/>
      <c r="B34" s="524" t="s">
        <v>1112</v>
      </c>
      <c r="C34" s="542"/>
      <c r="D34" s="526" t="s">
        <v>1009</v>
      </c>
      <c r="E34" s="524"/>
      <c r="F34" s="744"/>
      <c r="G34" s="524"/>
      <c r="H34" s="524"/>
      <c r="I34" s="757">
        <v>3</v>
      </c>
      <c r="J34" s="768">
        <v>5</v>
      </c>
      <c r="K34" s="524"/>
      <c r="L34" s="524"/>
      <c r="M34" s="529"/>
      <c r="N34" s="528">
        <v>0.1</v>
      </c>
      <c r="O34" s="528">
        <v>0.05</v>
      </c>
      <c r="P34" s="528">
        <v>0.05</v>
      </c>
      <c r="Q34" s="541">
        <f>'Preços Unitários'!D30</f>
        <v>115000</v>
      </c>
      <c r="R34" s="522">
        <v>0.6</v>
      </c>
      <c r="S34" s="522">
        <v>0.1</v>
      </c>
      <c r="T34" s="522">
        <v>0.3</v>
      </c>
      <c r="U34" s="521">
        <f t="shared" si="4"/>
        <v>6900</v>
      </c>
      <c r="V34" s="521">
        <f t="shared" si="5"/>
        <v>575</v>
      </c>
      <c r="W34" s="521">
        <f t="shared" si="6"/>
        <v>1725</v>
      </c>
      <c r="X34" s="527">
        <f t="shared" si="7"/>
        <v>9200</v>
      </c>
      <c r="Y34" s="503"/>
      <c r="Z34" s="503"/>
      <c r="AA34" s="503"/>
      <c r="AB34" s="503"/>
      <c r="AC34" s="503"/>
      <c r="AD34" s="503"/>
      <c r="AE34" s="503"/>
      <c r="AF34" s="503"/>
    </row>
    <row r="35" spans="1:32" ht="45" customHeight="1">
      <c r="A35" s="934"/>
      <c r="B35" s="524" t="s">
        <v>1113</v>
      </c>
      <c r="C35" s="542"/>
      <c r="D35" s="526" t="s">
        <v>1009</v>
      </c>
      <c r="E35" s="524"/>
      <c r="F35" s="744"/>
      <c r="G35" s="524"/>
      <c r="H35" s="524"/>
      <c r="I35" s="757">
        <v>3</v>
      </c>
      <c r="J35" s="757">
        <v>5</v>
      </c>
      <c r="K35" s="524"/>
      <c r="L35" s="524"/>
      <c r="M35" s="529"/>
      <c r="N35" s="528">
        <v>0.1</v>
      </c>
      <c r="O35" s="528">
        <v>0.05</v>
      </c>
      <c r="P35" s="528">
        <v>0.05</v>
      </c>
      <c r="Q35" s="541">
        <f>Q34</f>
        <v>115000</v>
      </c>
      <c r="R35" s="522">
        <v>0.6</v>
      </c>
      <c r="S35" s="522">
        <v>0.1</v>
      </c>
      <c r="T35" s="522">
        <v>0.3</v>
      </c>
      <c r="U35" s="521">
        <f t="shared" si="4"/>
        <v>6900</v>
      </c>
      <c r="V35" s="521">
        <f t="shared" si="5"/>
        <v>575</v>
      </c>
      <c r="W35" s="521">
        <f t="shared" si="6"/>
        <v>1725</v>
      </c>
      <c r="X35" s="527">
        <f t="shared" si="7"/>
        <v>9200</v>
      </c>
      <c r="Y35" s="503"/>
      <c r="Z35" s="503"/>
      <c r="AA35" s="503"/>
      <c r="AB35" s="503"/>
      <c r="AC35" s="503"/>
      <c r="AD35" s="503"/>
      <c r="AE35" s="503"/>
      <c r="AF35" s="503"/>
    </row>
    <row r="36" spans="1:32" ht="45" customHeight="1">
      <c r="A36" s="934"/>
      <c r="B36" s="524" t="s">
        <v>1114</v>
      </c>
      <c r="C36" s="542"/>
      <c r="D36" s="526" t="s">
        <v>1009</v>
      </c>
      <c r="E36" s="524"/>
      <c r="F36" s="744"/>
      <c r="G36" s="524" t="s">
        <v>1088</v>
      </c>
      <c r="H36" s="524" t="s">
        <v>1116</v>
      </c>
      <c r="I36" s="524">
        <v>35</v>
      </c>
      <c r="J36" s="524">
        <v>20</v>
      </c>
      <c r="K36" s="524"/>
      <c r="L36" s="524"/>
      <c r="M36" s="529"/>
      <c r="N36" s="528">
        <v>0.1</v>
      </c>
      <c r="O36" s="528">
        <v>0.05</v>
      </c>
      <c r="P36" s="528">
        <v>0.05</v>
      </c>
      <c r="Q36" s="541">
        <f>Q33</f>
        <v>325000</v>
      </c>
      <c r="R36" s="522">
        <v>0.6</v>
      </c>
      <c r="S36" s="522">
        <v>0.1</v>
      </c>
      <c r="T36" s="522">
        <v>0.3</v>
      </c>
      <c r="U36" s="521">
        <f t="shared" si="4"/>
        <v>19500</v>
      </c>
      <c r="V36" s="521">
        <f t="shared" si="5"/>
        <v>1625</v>
      </c>
      <c r="W36" s="521">
        <f t="shared" si="6"/>
        <v>4875</v>
      </c>
      <c r="X36" s="527">
        <f t="shared" si="7"/>
        <v>26000</v>
      </c>
      <c r="Y36" s="503"/>
      <c r="Z36" s="503"/>
      <c r="AA36" s="503"/>
      <c r="AB36" s="503"/>
      <c r="AC36" s="503"/>
      <c r="AD36" s="503"/>
      <c r="AE36" s="503"/>
      <c r="AF36" s="503"/>
    </row>
    <row r="37" spans="1:32" ht="45" customHeight="1">
      <c r="A37" s="934"/>
      <c r="B37" s="524" t="s">
        <v>1115</v>
      </c>
      <c r="C37" s="542"/>
      <c r="D37" s="526" t="s">
        <v>1009</v>
      </c>
      <c r="E37" s="524"/>
      <c r="F37" s="744"/>
      <c r="G37" s="524" t="s">
        <v>1088</v>
      </c>
      <c r="H37" s="524" t="s">
        <v>1116</v>
      </c>
      <c r="I37" s="524">
        <v>35</v>
      </c>
      <c r="J37" s="524">
        <v>20</v>
      </c>
      <c r="K37" s="524"/>
      <c r="L37" s="524"/>
      <c r="M37" s="529"/>
      <c r="N37" s="528">
        <v>0.1</v>
      </c>
      <c r="O37" s="528">
        <v>0.05</v>
      </c>
      <c r="P37" s="528">
        <v>0.05</v>
      </c>
      <c r="Q37" s="541">
        <f>Q33</f>
        <v>325000</v>
      </c>
      <c r="R37" s="522">
        <v>0.6</v>
      </c>
      <c r="S37" s="522">
        <v>0.1</v>
      </c>
      <c r="T37" s="522">
        <v>0.3</v>
      </c>
      <c r="U37" s="521">
        <f t="shared" si="4"/>
        <v>19500</v>
      </c>
      <c r="V37" s="521">
        <f t="shared" si="5"/>
        <v>1625</v>
      </c>
      <c r="W37" s="521">
        <f t="shared" si="6"/>
        <v>4875</v>
      </c>
      <c r="X37" s="527">
        <f t="shared" si="7"/>
        <v>26000</v>
      </c>
      <c r="Y37" s="503"/>
      <c r="Z37" s="503"/>
      <c r="AA37" s="503"/>
      <c r="AB37" s="503"/>
      <c r="AC37" s="503"/>
      <c r="AD37" s="503"/>
      <c r="AE37" s="503"/>
      <c r="AF37" s="503"/>
    </row>
    <row r="38" spans="1:32" ht="45" customHeight="1">
      <c r="A38" s="934"/>
      <c r="B38" s="524" t="s">
        <v>1117</v>
      </c>
      <c r="C38" s="542"/>
      <c r="D38" s="526" t="s">
        <v>1009</v>
      </c>
      <c r="E38" s="524"/>
      <c r="F38" s="744"/>
      <c r="G38" s="524" t="s">
        <v>1088</v>
      </c>
      <c r="H38" s="524" t="s">
        <v>1119</v>
      </c>
      <c r="I38" s="524">
        <v>66</v>
      </c>
      <c r="J38" s="524">
        <v>60</v>
      </c>
      <c r="K38" s="524"/>
      <c r="L38" s="524"/>
      <c r="M38" s="529"/>
      <c r="N38" s="528">
        <v>0.1</v>
      </c>
      <c r="O38" s="528">
        <v>0.05</v>
      </c>
      <c r="P38" s="528">
        <v>0.05</v>
      </c>
      <c r="Q38" s="541">
        <f>Q31</f>
        <v>575000</v>
      </c>
      <c r="R38" s="522">
        <v>0.6</v>
      </c>
      <c r="S38" s="522">
        <v>0.1</v>
      </c>
      <c r="T38" s="522">
        <v>0.3</v>
      </c>
      <c r="U38" s="521">
        <f t="shared" si="4"/>
        <v>34500</v>
      </c>
      <c r="V38" s="521">
        <f t="shared" si="5"/>
        <v>2875</v>
      </c>
      <c r="W38" s="521">
        <f t="shared" si="6"/>
        <v>8625</v>
      </c>
      <c r="X38" s="527">
        <f t="shared" si="7"/>
        <v>46000</v>
      </c>
      <c r="Y38" s="503"/>
      <c r="Z38" s="503"/>
      <c r="AA38" s="503"/>
      <c r="AB38" s="503"/>
      <c r="AC38" s="503"/>
      <c r="AD38" s="503"/>
      <c r="AE38" s="503"/>
      <c r="AF38" s="503"/>
    </row>
    <row r="39" spans="1:32" ht="45" customHeight="1">
      <c r="A39" s="934"/>
      <c r="B39" s="524" t="s">
        <v>1118</v>
      </c>
      <c r="C39" s="542"/>
      <c r="D39" s="526" t="s">
        <v>1009</v>
      </c>
      <c r="E39" s="524"/>
      <c r="F39" s="744"/>
      <c r="G39" s="524" t="s">
        <v>1088</v>
      </c>
      <c r="H39" s="524" t="s">
        <v>1119</v>
      </c>
      <c r="I39" s="524">
        <v>66</v>
      </c>
      <c r="J39" s="524">
        <v>60</v>
      </c>
      <c r="K39" s="524"/>
      <c r="L39" s="524"/>
      <c r="M39" s="529"/>
      <c r="N39" s="528">
        <v>0.1</v>
      </c>
      <c r="O39" s="528">
        <v>0.05</v>
      </c>
      <c r="P39" s="528">
        <v>0.05</v>
      </c>
      <c r="Q39" s="541">
        <f>Q38</f>
        <v>575000</v>
      </c>
      <c r="R39" s="522">
        <v>0.6</v>
      </c>
      <c r="S39" s="522">
        <v>0.1</v>
      </c>
      <c r="T39" s="522">
        <v>0.3</v>
      </c>
      <c r="U39" s="521">
        <f t="shared" si="4"/>
        <v>34500</v>
      </c>
      <c r="V39" s="521">
        <f t="shared" si="5"/>
        <v>2875</v>
      </c>
      <c r="W39" s="521">
        <f t="shared" si="6"/>
        <v>8625</v>
      </c>
      <c r="X39" s="527">
        <f t="shared" si="7"/>
        <v>46000</v>
      </c>
      <c r="Y39" s="503"/>
      <c r="Z39" s="503"/>
      <c r="AA39" s="503"/>
      <c r="AB39" s="503"/>
      <c r="AC39" s="503"/>
      <c r="AD39" s="503"/>
      <c r="AE39" s="503"/>
      <c r="AF39" s="503"/>
    </row>
    <row r="40" spans="1:32" ht="45" customHeight="1">
      <c r="A40" s="934"/>
      <c r="B40" s="524" t="s">
        <v>1120</v>
      </c>
      <c r="C40" s="542"/>
      <c r="D40" s="526" t="s">
        <v>1009</v>
      </c>
      <c r="E40" s="524"/>
      <c r="F40" s="744"/>
      <c r="G40" s="524" t="s">
        <v>1088</v>
      </c>
      <c r="H40" s="524" t="s">
        <v>1124</v>
      </c>
      <c r="I40" s="524">
        <v>35</v>
      </c>
      <c r="J40" s="524">
        <v>26</v>
      </c>
      <c r="K40" s="524"/>
      <c r="L40" s="524"/>
      <c r="M40" s="529"/>
      <c r="N40" s="528">
        <v>0.1</v>
      </c>
      <c r="O40" s="528">
        <v>0.05</v>
      </c>
      <c r="P40" s="528">
        <v>0.05</v>
      </c>
      <c r="Q40" s="541">
        <f>Q39</f>
        <v>575000</v>
      </c>
      <c r="R40" s="522">
        <v>0.6</v>
      </c>
      <c r="S40" s="522">
        <v>0.1</v>
      </c>
      <c r="T40" s="522">
        <v>0.3</v>
      </c>
      <c r="U40" s="521">
        <f t="shared" si="4"/>
        <v>34500</v>
      </c>
      <c r="V40" s="521">
        <f t="shared" si="5"/>
        <v>2875</v>
      </c>
      <c r="W40" s="521">
        <f t="shared" si="6"/>
        <v>8625</v>
      </c>
      <c r="X40" s="527">
        <f t="shared" si="7"/>
        <v>46000</v>
      </c>
      <c r="Y40" s="503"/>
      <c r="Z40" s="503"/>
      <c r="AA40" s="503"/>
      <c r="AB40" s="503"/>
      <c r="AC40" s="503"/>
      <c r="AD40" s="503"/>
      <c r="AE40" s="503"/>
      <c r="AF40" s="503"/>
    </row>
    <row r="41" spans="1:32" ht="45" customHeight="1">
      <c r="A41" s="934"/>
      <c r="B41" s="524" t="s">
        <v>1121</v>
      </c>
      <c r="C41" s="542"/>
      <c r="D41" s="526" t="s">
        <v>1009</v>
      </c>
      <c r="E41" s="524"/>
      <c r="F41" s="744"/>
      <c r="G41" s="524" t="s">
        <v>1088</v>
      </c>
      <c r="H41" s="524" t="s">
        <v>1124</v>
      </c>
      <c r="I41" s="524">
        <v>35</v>
      </c>
      <c r="J41" s="524">
        <v>26</v>
      </c>
      <c r="K41" s="524"/>
      <c r="L41" s="524"/>
      <c r="M41" s="529"/>
      <c r="N41" s="528">
        <v>0.1</v>
      </c>
      <c r="O41" s="528">
        <v>0.05</v>
      </c>
      <c r="P41" s="528">
        <v>0.05</v>
      </c>
      <c r="Q41" s="541">
        <f>Q40</f>
        <v>575000</v>
      </c>
      <c r="R41" s="522">
        <v>0.6</v>
      </c>
      <c r="S41" s="522">
        <v>0.1</v>
      </c>
      <c r="T41" s="522">
        <v>0.3</v>
      </c>
      <c r="U41" s="521">
        <f t="shared" si="4"/>
        <v>34500</v>
      </c>
      <c r="V41" s="521">
        <f t="shared" si="5"/>
        <v>2875</v>
      </c>
      <c r="W41" s="521">
        <f t="shared" si="6"/>
        <v>8625</v>
      </c>
      <c r="X41" s="527">
        <f t="shared" si="7"/>
        <v>46000</v>
      </c>
      <c r="Y41" s="503"/>
      <c r="Z41" s="503"/>
      <c r="AA41" s="503"/>
      <c r="AB41" s="503"/>
      <c r="AC41" s="503"/>
      <c r="AD41" s="503"/>
      <c r="AE41" s="503"/>
      <c r="AF41" s="503"/>
    </row>
    <row r="42" spans="1:32" ht="45" customHeight="1">
      <c r="A42" s="934"/>
      <c r="B42" s="525" t="s">
        <v>1122</v>
      </c>
      <c r="C42" s="542"/>
      <c r="D42" s="526" t="s">
        <v>1009</v>
      </c>
      <c r="E42" s="524"/>
      <c r="F42" s="744"/>
      <c r="G42" s="524" t="s">
        <v>1088</v>
      </c>
      <c r="H42" s="524" t="s">
        <v>1125</v>
      </c>
      <c r="I42" s="524">
        <v>35</v>
      </c>
      <c r="J42" s="524">
        <v>30</v>
      </c>
      <c r="K42" s="524"/>
      <c r="L42" s="524"/>
      <c r="M42" s="529"/>
      <c r="N42" s="528">
        <v>0.1</v>
      </c>
      <c r="O42" s="528">
        <v>0.05</v>
      </c>
      <c r="P42" s="528">
        <v>0.05</v>
      </c>
      <c r="Q42" s="541">
        <f>Q41</f>
        <v>575000</v>
      </c>
      <c r="R42" s="522">
        <v>0.6</v>
      </c>
      <c r="S42" s="522">
        <v>0.1</v>
      </c>
      <c r="T42" s="522">
        <v>0.3</v>
      </c>
      <c r="U42" s="521">
        <f t="shared" si="4"/>
        <v>34500</v>
      </c>
      <c r="V42" s="521">
        <f t="shared" si="5"/>
        <v>2875</v>
      </c>
      <c r="W42" s="521">
        <f t="shared" si="6"/>
        <v>8625</v>
      </c>
      <c r="X42" s="527">
        <f t="shared" si="7"/>
        <v>46000</v>
      </c>
      <c r="Y42" s="503"/>
      <c r="Z42" s="503"/>
      <c r="AA42" s="503"/>
      <c r="AB42" s="503"/>
      <c r="AC42" s="503"/>
      <c r="AD42" s="503"/>
      <c r="AE42" s="503"/>
      <c r="AF42" s="503"/>
    </row>
    <row r="43" spans="1:32" ht="54" customHeight="1">
      <c r="A43" s="934"/>
      <c r="B43" s="525" t="s">
        <v>1123</v>
      </c>
      <c r="C43" s="526"/>
      <c r="D43" s="526" t="s">
        <v>1009</v>
      </c>
      <c r="E43" s="524"/>
      <c r="F43" s="744"/>
      <c r="G43" s="524" t="s">
        <v>1088</v>
      </c>
      <c r="H43" s="524" t="s">
        <v>1125</v>
      </c>
      <c r="I43" s="524">
        <v>35</v>
      </c>
      <c r="J43" s="524">
        <v>30</v>
      </c>
      <c r="K43" s="524"/>
      <c r="L43" s="524"/>
      <c r="M43" s="524"/>
      <c r="N43" s="528">
        <v>0.1</v>
      </c>
      <c r="O43" s="528">
        <v>0.05</v>
      </c>
      <c r="P43" s="528">
        <v>0.05</v>
      </c>
      <c r="Q43" s="541">
        <f>Q42</f>
        <v>575000</v>
      </c>
      <c r="R43" s="522">
        <v>0.6</v>
      </c>
      <c r="S43" s="522">
        <v>0.1</v>
      </c>
      <c r="T43" s="522">
        <v>0.3</v>
      </c>
      <c r="U43" s="521">
        <f t="shared" si="4"/>
        <v>34500</v>
      </c>
      <c r="V43" s="521">
        <f t="shared" si="5"/>
        <v>2875</v>
      </c>
      <c r="W43" s="521">
        <f t="shared" si="6"/>
        <v>8625</v>
      </c>
      <c r="X43" s="527">
        <f t="shared" si="7"/>
        <v>46000</v>
      </c>
      <c r="Y43" s="503"/>
      <c r="Z43" s="503"/>
      <c r="AA43" s="503"/>
      <c r="AB43" s="503"/>
      <c r="AC43" s="503"/>
      <c r="AD43" s="503"/>
      <c r="AE43" s="503"/>
      <c r="AF43" s="503"/>
    </row>
    <row r="44" spans="1:32" ht="25.05" hidden="1" customHeight="1">
      <c r="A44" s="538"/>
      <c r="B44" s="537"/>
      <c r="C44" s="536"/>
      <c r="D44" s="535"/>
      <c r="E44" s="745"/>
      <c r="F44" s="748"/>
      <c r="G44" s="535"/>
      <c r="H44" s="535"/>
      <c r="I44" s="535"/>
      <c r="J44" s="535"/>
      <c r="K44" s="535"/>
      <c r="L44" s="535"/>
      <c r="M44" s="534"/>
      <c r="N44" s="533"/>
      <c r="O44" s="532"/>
      <c r="P44" s="532"/>
      <c r="Q44" s="531"/>
      <c r="R44" s="532"/>
      <c r="S44" s="532"/>
      <c r="T44" s="532"/>
      <c r="U44" s="531"/>
      <c r="V44" s="521">
        <f t="shared" si="5"/>
        <v>0</v>
      </c>
      <c r="W44" s="531"/>
      <c r="X44" s="530"/>
      <c r="Y44" s="503"/>
      <c r="Z44" s="503"/>
      <c r="AA44" s="503"/>
      <c r="AB44" s="503"/>
      <c r="AC44" s="503"/>
      <c r="AD44" s="503"/>
      <c r="AE44" s="503"/>
      <c r="AF44" s="503"/>
    </row>
    <row r="45" spans="1:32" ht="45.75" hidden="1" customHeight="1">
      <c r="A45" s="936" t="s">
        <v>782</v>
      </c>
      <c r="B45" s="524" t="s">
        <v>1134</v>
      </c>
      <c r="C45" s="526"/>
      <c r="D45" s="526" t="s">
        <v>1009</v>
      </c>
      <c r="E45" s="524"/>
      <c r="F45" s="744"/>
      <c r="G45" s="539"/>
      <c r="H45" s="539" t="s">
        <v>1131</v>
      </c>
      <c r="I45" s="524"/>
      <c r="J45" s="524"/>
      <c r="K45" s="524"/>
      <c r="L45" s="524">
        <v>32</v>
      </c>
      <c r="M45" s="529">
        <v>2910</v>
      </c>
      <c r="N45" s="523"/>
      <c r="O45" s="528"/>
      <c r="P45" s="528"/>
      <c r="Q45" s="521"/>
      <c r="R45" s="522"/>
      <c r="S45" s="522"/>
      <c r="T45" s="522"/>
      <c r="U45" s="521"/>
      <c r="V45" s="521">
        <f t="shared" si="5"/>
        <v>0</v>
      </c>
      <c r="W45" s="521"/>
      <c r="X45" s="527"/>
      <c r="Y45" s="503"/>
      <c r="Z45" s="503"/>
      <c r="AA45" s="503"/>
      <c r="AB45" s="503"/>
      <c r="AC45" s="503"/>
      <c r="AD45" s="503"/>
      <c r="AE45" s="503"/>
      <c r="AF45" s="503"/>
    </row>
    <row r="46" spans="1:32" ht="45.75" hidden="1" customHeight="1">
      <c r="A46" s="936"/>
      <c r="B46" s="524" t="s">
        <v>1135</v>
      </c>
      <c r="C46" s="526"/>
      <c r="D46" s="526" t="s">
        <v>1009</v>
      </c>
      <c r="E46" s="524"/>
      <c r="F46" s="744"/>
      <c r="G46" s="539"/>
      <c r="H46" s="539" t="s">
        <v>1128</v>
      </c>
      <c r="I46" s="524"/>
      <c r="J46" s="524"/>
      <c r="K46" s="524"/>
      <c r="L46" s="524">
        <v>50</v>
      </c>
      <c r="M46" s="529">
        <v>18087</v>
      </c>
      <c r="N46" s="523"/>
      <c r="O46" s="528"/>
      <c r="P46" s="528"/>
      <c r="Q46" s="521"/>
      <c r="R46" s="522"/>
      <c r="S46" s="522"/>
      <c r="T46" s="522"/>
      <c r="U46" s="521"/>
      <c r="V46" s="521">
        <f t="shared" si="5"/>
        <v>0</v>
      </c>
      <c r="W46" s="521"/>
      <c r="X46" s="527"/>
      <c r="Y46" s="503"/>
      <c r="Z46" s="503"/>
      <c r="AA46" s="503"/>
      <c r="AB46" s="503"/>
      <c r="AC46" s="503"/>
      <c r="AD46" s="503"/>
      <c r="AE46" s="503"/>
      <c r="AF46" s="503"/>
    </row>
    <row r="47" spans="1:32" ht="45.75" hidden="1" customHeight="1">
      <c r="A47" s="936"/>
      <c r="B47" s="524" t="s">
        <v>1135</v>
      </c>
      <c r="C47" s="526"/>
      <c r="D47" s="526" t="s">
        <v>1009</v>
      </c>
      <c r="E47" s="524"/>
      <c r="F47" s="744"/>
      <c r="G47" s="539"/>
      <c r="H47" s="539" t="s">
        <v>1126</v>
      </c>
      <c r="I47" s="524"/>
      <c r="J47" s="524"/>
      <c r="K47" s="524"/>
      <c r="L47" s="524">
        <v>50</v>
      </c>
      <c r="M47" s="529">
        <v>17952</v>
      </c>
      <c r="N47" s="523"/>
      <c r="O47" s="528"/>
      <c r="P47" s="528"/>
      <c r="Q47" s="521"/>
      <c r="R47" s="522"/>
      <c r="S47" s="522"/>
      <c r="T47" s="522"/>
      <c r="U47" s="521"/>
      <c r="V47" s="521">
        <f t="shared" si="5"/>
        <v>0</v>
      </c>
      <c r="W47" s="521"/>
      <c r="X47" s="527"/>
      <c r="Y47" s="503"/>
      <c r="Z47" s="503"/>
      <c r="AA47" s="503"/>
      <c r="AB47" s="503"/>
      <c r="AC47" s="503"/>
      <c r="AD47" s="503"/>
      <c r="AE47" s="503"/>
      <c r="AF47" s="503"/>
    </row>
    <row r="48" spans="1:32" ht="45.75" hidden="1" customHeight="1">
      <c r="A48" s="936"/>
      <c r="B48" s="524" t="s">
        <v>1135</v>
      </c>
      <c r="C48" s="526"/>
      <c r="D48" s="526" t="s">
        <v>1009</v>
      </c>
      <c r="E48" s="524"/>
      <c r="F48" s="744"/>
      <c r="G48" s="539"/>
      <c r="H48" s="539" t="s">
        <v>1132</v>
      </c>
      <c r="I48" s="524"/>
      <c r="J48" s="524"/>
      <c r="K48" s="524"/>
      <c r="L48" s="524">
        <v>50</v>
      </c>
      <c r="M48" s="529">
        <v>7</v>
      </c>
      <c r="N48" s="523"/>
      <c r="O48" s="528"/>
      <c r="P48" s="528"/>
      <c r="Q48" s="521"/>
      <c r="R48" s="522"/>
      <c r="S48" s="522"/>
      <c r="T48" s="522"/>
      <c r="U48" s="521"/>
      <c r="V48" s="521">
        <f t="shared" si="5"/>
        <v>0</v>
      </c>
      <c r="W48" s="521"/>
      <c r="X48" s="527"/>
      <c r="Y48" s="503"/>
      <c r="Z48" s="503"/>
      <c r="AA48" s="503"/>
      <c r="AB48" s="503"/>
      <c r="AC48" s="503"/>
      <c r="AD48" s="503"/>
      <c r="AE48" s="503"/>
      <c r="AF48" s="503"/>
    </row>
    <row r="49" spans="1:32" ht="45.75" hidden="1" customHeight="1">
      <c r="A49" s="936"/>
      <c r="B49" s="524" t="s">
        <v>1135</v>
      </c>
      <c r="C49" s="526"/>
      <c r="D49" s="526" t="s">
        <v>1009</v>
      </c>
      <c r="E49" s="524"/>
      <c r="F49" s="744"/>
      <c r="G49" s="539"/>
      <c r="H49" s="539" t="s">
        <v>1131</v>
      </c>
      <c r="I49" s="524"/>
      <c r="J49" s="524"/>
      <c r="K49" s="524"/>
      <c r="L49" s="524">
        <v>50</v>
      </c>
      <c r="M49" s="529">
        <v>273241</v>
      </c>
      <c r="N49" s="523"/>
      <c r="O49" s="528"/>
      <c r="P49" s="528"/>
      <c r="Q49" s="521"/>
      <c r="R49" s="522"/>
      <c r="S49" s="522"/>
      <c r="T49" s="522"/>
      <c r="U49" s="521"/>
      <c r="V49" s="521">
        <f t="shared" si="5"/>
        <v>0</v>
      </c>
      <c r="W49" s="521"/>
      <c r="X49" s="527"/>
      <c r="Y49" s="503"/>
      <c r="Z49" s="503"/>
      <c r="AA49" s="503"/>
      <c r="AB49" s="503"/>
      <c r="AC49" s="503"/>
      <c r="AD49" s="503"/>
      <c r="AE49" s="503"/>
      <c r="AF49" s="503"/>
    </row>
    <row r="50" spans="1:32" ht="39.75" hidden="1" customHeight="1">
      <c r="A50" s="936"/>
      <c r="B50" s="524" t="s">
        <v>1135</v>
      </c>
      <c r="C50" s="526"/>
      <c r="D50" s="526" t="s">
        <v>1009</v>
      </c>
      <c r="E50" s="524"/>
      <c r="F50" s="744"/>
      <c r="G50" s="539"/>
      <c r="H50" s="539" t="s">
        <v>1127</v>
      </c>
      <c r="I50" s="524"/>
      <c r="J50" s="524"/>
      <c r="K50" s="524"/>
      <c r="L50" s="524">
        <v>50</v>
      </c>
      <c r="M50" s="529">
        <v>9</v>
      </c>
      <c r="N50" s="523"/>
      <c r="O50" s="528"/>
      <c r="P50" s="528"/>
      <c r="Q50" s="521"/>
      <c r="R50" s="522"/>
      <c r="S50" s="522"/>
      <c r="T50" s="522"/>
      <c r="U50" s="521"/>
      <c r="V50" s="521">
        <f t="shared" si="5"/>
        <v>0</v>
      </c>
      <c r="W50" s="521"/>
      <c r="X50" s="527"/>
      <c r="Y50" s="503"/>
      <c r="Z50" s="503"/>
      <c r="AA50" s="503"/>
      <c r="AB50" s="503"/>
      <c r="AC50" s="503"/>
      <c r="AD50" s="503"/>
      <c r="AE50" s="503"/>
      <c r="AF50" s="503"/>
    </row>
    <row r="51" spans="1:32" ht="39.75" hidden="1" customHeight="1">
      <c r="A51" s="936"/>
      <c r="B51" s="524" t="s">
        <v>1136</v>
      </c>
      <c r="C51" s="526"/>
      <c r="D51" s="526" t="s">
        <v>1009</v>
      </c>
      <c r="E51" s="524"/>
      <c r="F51" s="744"/>
      <c r="G51" s="539"/>
      <c r="H51" s="539" t="s">
        <v>1131</v>
      </c>
      <c r="I51" s="524"/>
      <c r="J51" s="524"/>
      <c r="K51" s="524"/>
      <c r="L51" s="524">
        <v>65</v>
      </c>
      <c r="M51" s="529">
        <v>534</v>
      </c>
      <c r="N51" s="523"/>
      <c r="O51" s="528"/>
      <c r="P51" s="528"/>
      <c r="Q51" s="521"/>
      <c r="R51" s="522"/>
      <c r="S51" s="522"/>
      <c r="T51" s="522"/>
      <c r="U51" s="521"/>
      <c r="V51" s="521">
        <f t="shared" si="5"/>
        <v>0</v>
      </c>
      <c r="W51" s="521"/>
      <c r="X51" s="527"/>
      <c r="Y51" s="503"/>
      <c r="Z51" s="503"/>
      <c r="AA51" s="503"/>
      <c r="AB51" s="503"/>
      <c r="AC51" s="503"/>
      <c r="AD51" s="503"/>
      <c r="AE51" s="503"/>
      <c r="AF51" s="503"/>
    </row>
    <row r="52" spans="1:32" ht="39.75" hidden="1" customHeight="1">
      <c r="A52" s="936"/>
      <c r="B52" s="524" t="s">
        <v>1137</v>
      </c>
      <c r="C52" s="526"/>
      <c r="D52" s="526" t="s">
        <v>1009</v>
      </c>
      <c r="E52" s="524"/>
      <c r="F52" s="744"/>
      <c r="G52" s="539"/>
      <c r="H52" s="539" t="s">
        <v>1128</v>
      </c>
      <c r="I52" s="524"/>
      <c r="J52" s="524"/>
      <c r="K52" s="524"/>
      <c r="L52" s="524">
        <v>75</v>
      </c>
      <c r="M52" s="529">
        <v>1291</v>
      </c>
      <c r="N52" s="523"/>
      <c r="O52" s="528"/>
      <c r="P52" s="528"/>
      <c r="Q52" s="521"/>
      <c r="R52" s="522"/>
      <c r="S52" s="522"/>
      <c r="T52" s="522"/>
      <c r="U52" s="521"/>
      <c r="V52" s="521">
        <f t="shared" si="5"/>
        <v>0</v>
      </c>
      <c r="W52" s="521"/>
      <c r="X52" s="527"/>
      <c r="Y52" s="503"/>
      <c r="Z52" s="503"/>
      <c r="AA52" s="503"/>
      <c r="AB52" s="503"/>
      <c r="AC52" s="503"/>
      <c r="AD52" s="503"/>
      <c r="AE52" s="503"/>
      <c r="AF52" s="503"/>
    </row>
    <row r="53" spans="1:32" ht="39.75" hidden="1" customHeight="1">
      <c r="A53" s="936"/>
      <c r="B53" s="524" t="s">
        <v>1137</v>
      </c>
      <c r="C53" s="526"/>
      <c r="D53" s="526" t="s">
        <v>1009</v>
      </c>
      <c r="E53" s="524"/>
      <c r="F53" s="744"/>
      <c r="G53" s="539"/>
      <c r="H53" s="539" t="s">
        <v>1126</v>
      </c>
      <c r="I53" s="524"/>
      <c r="J53" s="524"/>
      <c r="K53" s="524"/>
      <c r="L53" s="524">
        <v>75</v>
      </c>
      <c r="M53" s="529">
        <v>3701</v>
      </c>
      <c r="N53" s="523"/>
      <c r="O53" s="528"/>
      <c r="P53" s="528"/>
      <c r="Q53" s="521"/>
      <c r="R53" s="522"/>
      <c r="S53" s="522"/>
      <c r="T53" s="522"/>
      <c r="U53" s="521"/>
      <c r="V53" s="521">
        <f t="shared" si="5"/>
        <v>0</v>
      </c>
      <c r="W53" s="521"/>
      <c r="X53" s="527"/>
      <c r="Y53" s="503"/>
      <c r="Z53" s="503"/>
      <c r="AA53" s="503"/>
      <c r="AB53" s="503"/>
      <c r="AC53" s="503"/>
      <c r="AD53" s="503"/>
      <c r="AE53" s="503"/>
      <c r="AF53" s="503"/>
    </row>
    <row r="54" spans="1:32" ht="39.75" hidden="1" customHeight="1">
      <c r="A54" s="936"/>
      <c r="B54" s="524" t="s">
        <v>1137</v>
      </c>
      <c r="C54" s="526"/>
      <c r="D54" s="526" t="s">
        <v>1009</v>
      </c>
      <c r="E54" s="524"/>
      <c r="F54" s="744"/>
      <c r="G54" s="539"/>
      <c r="H54" s="539" t="s">
        <v>1132</v>
      </c>
      <c r="I54" s="524"/>
      <c r="J54" s="524"/>
      <c r="K54" s="524"/>
      <c r="L54" s="524">
        <v>75</v>
      </c>
      <c r="M54" s="529">
        <v>76</v>
      </c>
      <c r="N54" s="523"/>
      <c r="O54" s="528"/>
      <c r="P54" s="528"/>
      <c r="Q54" s="521"/>
      <c r="R54" s="522"/>
      <c r="S54" s="522"/>
      <c r="T54" s="522"/>
      <c r="U54" s="521"/>
      <c r="V54" s="521">
        <f t="shared" si="5"/>
        <v>0</v>
      </c>
      <c r="W54" s="521"/>
      <c r="X54" s="527"/>
      <c r="Y54" s="503"/>
      <c r="Z54" s="503"/>
      <c r="AA54" s="503"/>
      <c r="AB54" s="503"/>
      <c r="AC54" s="503"/>
      <c r="AD54" s="503"/>
      <c r="AE54" s="503"/>
      <c r="AF54" s="503"/>
    </row>
    <row r="55" spans="1:32" ht="39.75" hidden="1" customHeight="1">
      <c r="A55" s="936"/>
      <c r="B55" s="524" t="s">
        <v>1137</v>
      </c>
      <c r="C55" s="526"/>
      <c r="D55" s="526" t="s">
        <v>1009</v>
      </c>
      <c r="E55" s="524"/>
      <c r="F55" s="744"/>
      <c r="G55" s="539"/>
      <c r="H55" s="539" t="s">
        <v>1131</v>
      </c>
      <c r="I55" s="524"/>
      <c r="J55" s="524"/>
      <c r="K55" s="524"/>
      <c r="L55" s="524">
        <v>75</v>
      </c>
      <c r="M55" s="529">
        <v>5569</v>
      </c>
      <c r="N55" s="523"/>
      <c r="O55" s="528"/>
      <c r="P55" s="528"/>
      <c r="Q55" s="521"/>
      <c r="R55" s="522"/>
      <c r="S55" s="522"/>
      <c r="T55" s="522"/>
      <c r="U55" s="521"/>
      <c r="V55" s="521">
        <f t="shared" si="5"/>
        <v>0</v>
      </c>
      <c r="W55" s="521"/>
      <c r="X55" s="527"/>
      <c r="Y55" s="503"/>
      <c r="Z55" s="503"/>
      <c r="AA55" s="503"/>
      <c r="AB55" s="503"/>
      <c r="AC55" s="503"/>
      <c r="AD55" s="503"/>
      <c r="AE55" s="503"/>
      <c r="AF55" s="503"/>
    </row>
    <row r="56" spans="1:32" ht="39" hidden="1" customHeight="1">
      <c r="A56" s="936"/>
      <c r="B56" s="524" t="s">
        <v>1137</v>
      </c>
      <c r="C56" s="526"/>
      <c r="D56" s="526" t="s">
        <v>1009</v>
      </c>
      <c r="E56" s="524"/>
      <c r="F56" s="744"/>
      <c r="G56" s="539"/>
      <c r="H56" s="539" t="s">
        <v>1133</v>
      </c>
      <c r="I56" s="524"/>
      <c r="J56" s="524"/>
      <c r="K56" s="524"/>
      <c r="L56" s="524">
        <v>75</v>
      </c>
      <c r="M56" s="529">
        <v>16257</v>
      </c>
      <c r="N56" s="523"/>
      <c r="O56" s="528"/>
      <c r="P56" s="528"/>
      <c r="Q56" s="521"/>
      <c r="R56" s="522"/>
      <c r="S56" s="522"/>
      <c r="T56" s="522"/>
      <c r="U56" s="521"/>
      <c r="V56" s="521">
        <f t="shared" si="5"/>
        <v>0</v>
      </c>
      <c r="W56" s="521"/>
      <c r="X56" s="527"/>
      <c r="Y56" s="503"/>
      <c r="Z56" s="503"/>
      <c r="AA56" s="503"/>
      <c r="AB56" s="503"/>
      <c r="AC56" s="503"/>
      <c r="AD56" s="503"/>
      <c r="AE56" s="503"/>
      <c r="AF56" s="503"/>
    </row>
    <row r="57" spans="1:32" ht="47.25" hidden="1" customHeight="1">
      <c r="A57" s="936"/>
      <c r="B57" s="524" t="s">
        <v>1138</v>
      </c>
      <c r="C57" s="526"/>
      <c r="D57" s="526" t="s">
        <v>1009</v>
      </c>
      <c r="E57" s="524"/>
      <c r="F57" s="744"/>
      <c r="G57" s="539"/>
      <c r="H57" s="539" t="s">
        <v>1131</v>
      </c>
      <c r="I57" s="524"/>
      <c r="J57" s="524"/>
      <c r="K57" s="524"/>
      <c r="L57" s="524">
        <v>85</v>
      </c>
      <c r="M57" s="529">
        <v>835</v>
      </c>
      <c r="N57" s="523"/>
      <c r="O57" s="528"/>
      <c r="P57" s="528"/>
      <c r="Q57" s="521"/>
      <c r="R57" s="522"/>
      <c r="S57" s="522"/>
      <c r="T57" s="522"/>
      <c r="U57" s="521"/>
      <c r="V57" s="521">
        <f t="shared" si="5"/>
        <v>0</v>
      </c>
      <c r="W57" s="521"/>
      <c r="X57" s="527"/>
      <c r="Y57" s="503"/>
      <c r="Z57" s="503"/>
      <c r="AA57" s="503"/>
      <c r="AB57" s="503"/>
      <c r="AC57" s="503"/>
      <c r="AD57" s="503"/>
      <c r="AE57" s="503"/>
      <c r="AF57" s="503"/>
    </row>
    <row r="58" spans="1:32" ht="46.5" hidden="1" customHeight="1">
      <c r="A58" s="936"/>
      <c r="B58" s="524" t="s">
        <v>1139</v>
      </c>
      <c r="C58" s="526"/>
      <c r="D58" s="526" t="s">
        <v>1009</v>
      </c>
      <c r="E58" s="524"/>
      <c r="F58" s="744"/>
      <c r="G58" s="539"/>
      <c r="H58" s="539" t="s">
        <v>1128</v>
      </c>
      <c r="I58" s="524"/>
      <c r="J58" s="524"/>
      <c r="K58" s="524"/>
      <c r="L58" s="524">
        <v>100</v>
      </c>
      <c r="M58" s="529">
        <v>11588</v>
      </c>
      <c r="N58" s="523"/>
      <c r="O58" s="528"/>
      <c r="P58" s="528"/>
      <c r="Q58" s="521"/>
      <c r="R58" s="522"/>
      <c r="S58" s="522"/>
      <c r="T58" s="522"/>
      <c r="U58" s="521"/>
      <c r="V58" s="521">
        <f t="shared" si="5"/>
        <v>0</v>
      </c>
      <c r="W58" s="521"/>
      <c r="X58" s="527"/>
      <c r="Y58" s="503"/>
      <c r="Z58" s="503"/>
      <c r="AA58" s="503"/>
      <c r="AB58" s="503"/>
      <c r="AC58" s="503"/>
      <c r="AD58" s="503"/>
      <c r="AE58" s="503"/>
      <c r="AF58" s="503"/>
    </row>
    <row r="59" spans="1:32" ht="46.5" hidden="1" customHeight="1">
      <c r="A59" s="936"/>
      <c r="B59" s="524" t="s">
        <v>1139</v>
      </c>
      <c r="C59" s="526"/>
      <c r="D59" s="526" t="s">
        <v>1009</v>
      </c>
      <c r="E59" s="524"/>
      <c r="F59" s="744"/>
      <c r="G59" s="539"/>
      <c r="H59" s="539" t="s">
        <v>1126</v>
      </c>
      <c r="I59" s="524"/>
      <c r="J59" s="524"/>
      <c r="K59" s="524"/>
      <c r="L59" s="524">
        <v>100</v>
      </c>
      <c r="M59" s="529">
        <v>1061</v>
      </c>
      <c r="N59" s="523"/>
      <c r="O59" s="528"/>
      <c r="P59" s="528"/>
      <c r="Q59" s="521"/>
      <c r="R59" s="522"/>
      <c r="S59" s="522"/>
      <c r="T59" s="522"/>
      <c r="U59" s="521"/>
      <c r="V59" s="521">
        <f t="shared" si="5"/>
        <v>0</v>
      </c>
      <c r="W59" s="521"/>
      <c r="X59" s="527"/>
      <c r="Y59" s="503"/>
      <c r="Z59" s="503"/>
      <c r="AA59" s="503"/>
      <c r="AB59" s="503"/>
      <c r="AC59" s="503"/>
      <c r="AD59" s="503"/>
      <c r="AE59" s="503"/>
      <c r="AF59" s="503"/>
    </row>
    <row r="60" spans="1:32" ht="46.5" hidden="1" customHeight="1">
      <c r="A60" s="936"/>
      <c r="B60" s="524" t="s">
        <v>1139</v>
      </c>
      <c r="C60" s="526"/>
      <c r="D60" s="526" t="s">
        <v>1009</v>
      </c>
      <c r="E60" s="524"/>
      <c r="F60" s="744"/>
      <c r="G60" s="539"/>
      <c r="H60" s="539" t="s">
        <v>1130</v>
      </c>
      <c r="I60" s="524"/>
      <c r="J60" s="524"/>
      <c r="K60" s="524"/>
      <c r="L60" s="524">
        <v>100</v>
      </c>
      <c r="M60" s="529">
        <v>3370</v>
      </c>
      <c r="N60" s="523"/>
      <c r="O60" s="528"/>
      <c r="P60" s="528"/>
      <c r="Q60" s="521"/>
      <c r="R60" s="522"/>
      <c r="S60" s="522"/>
      <c r="T60" s="522"/>
      <c r="U60" s="521"/>
      <c r="V60" s="521">
        <f t="shared" si="5"/>
        <v>0</v>
      </c>
      <c r="W60" s="521"/>
      <c r="X60" s="527"/>
      <c r="Y60" s="503"/>
      <c r="Z60" s="503"/>
      <c r="AA60" s="503"/>
      <c r="AB60" s="503"/>
      <c r="AC60" s="503"/>
      <c r="AD60" s="503"/>
      <c r="AE60" s="503"/>
      <c r="AF60" s="503"/>
    </row>
    <row r="61" spans="1:32" ht="46.5" hidden="1" customHeight="1">
      <c r="A61" s="936"/>
      <c r="B61" s="524" t="s">
        <v>1139</v>
      </c>
      <c r="C61" s="526"/>
      <c r="D61" s="526" t="s">
        <v>1009</v>
      </c>
      <c r="E61" s="524"/>
      <c r="F61" s="744"/>
      <c r="G61" s="539"/>
      <c r="H61" s="539" t="s">
        <v>1131</v>
      </c>
      <c r="I61" s="524"/>
      <c r="J61" s="524"/>
      <c r="K61" s="524"/>
      <c r="L61" s="524">
        <v>100</v>
      </c>
      <c r="M61" s="529">
        <v>25304</v>
      </c>
      <c r="N61" s="523"/>
      <c r="O61" s="528"/>
      <c r="P61" s="528"/>
      <c r="Q61" s="521"/>
      <c r="R61" s="522"/>
      <c r="S61" s="522"/>
      <c r="T61" s="522"/>
      <c r="U61" s="521"/>
      <c r="V61" s="521">
        <f t="shared" si="5"/>
        <v>0</v>
      </c>
      <c r="W61" s="521"/>
      <c r="X61" s="527"/>
      <c r="Y61" s="503"/>
      <c r="Z61" s="503"/>
      <c r="AA61" s="503"/>
      <c r="AB61" s="503"/>
      <c r="AC61" s="503"/>
      <c r="AD61" s="503"/>
      <c r="AE61" s="503"/>
      <c r="AF61" s="503"/>
    </row>
    <row r="62" spans="1:32" ht="46.5" hidden="1" customHeight="1">
      <c r="A62" s="936"/>
      <c r="B62" s="524" t="s">
        <v>1139</v>
      </c>
      <c r="C62" s="526"/>
      <c r="D62" s="526" t="s">
        <v>1009</v>
      </c>
      <c r="E62" s="524"/>
      <c r="F62" s="744"/>
      <c r="G62" s="539"/>
      <c r="H62" s="539" t="s">
        <v>1127</v>
      </c>
      <c r="I62" s="524"/>
      <c r="J62" s="524"/>
      <c r="K62" s="524"/>
      <c r="L62" s="524">
        <v>100</v>
      </c>
      <c r="M62" s="529">
        <v>809</v>
      </c>
      <c r="N62" s="523"/>
      <c r="O62" s="528"/>
      <c r="P62" s="528"/>
      <c r="Q62" s="521"/>
      <c r="R62" s="522"/>
      <c r="S62" s="522"/>
      <c r="T62" s="522"/>
      <c r="U62" s="521"/>
      <c r="V62" s="521">
        <f t="shared" si="5"/>
        <v>0</v>
      </c>
      <c r="W62" s="521"/>
      <c r="X62" s="527"/>
      <c r="Y62" s="503"/>
      <c r="Z62" s="503"/>
      <c r="AA62" s="503"/>
      <c r="AB62" s="503"/>
      <c r="AC62" s="503"/>
      <c r="AD62" s="503"/>
      <c r="AE62" s="503"/>
      <c r="AF62" s="503"/>
    </row>
    <row r="63" spans="1:32" ht="46.5" hidden="1" customHeight="1">
      <c r="A63" s="936"/>
      <c r="B63" s="524" t="s">
        <v>1140</v>
      </c>
      <c r="C63" s="526"/>
      <c r="D63" s="526" t="s">
        <v>1009</v>
      </c>
      <c r="E63" s="524"/>
      <c r="F63" s="744"/>
      <c r="G63" s="539"/>
      <c r="H63" s="539" t="s">
        <v>1128</v>
      </c>
      <c r="I63" s="524"/>
      <c r="J63" s="524"/>
      <c r="K63" s="524"/>
      <c r="L63" s="524">
        <v>125</v>
      </c>
      <c r="M63" s="529">
        <v>8089</v>
      </c>
      <c r="N63" s="523"/>
      <c r="O63" s="528"/>
      <c r="P63" s="528"/>
      <c r="Q63" s="521"/>
      <c r="R63" s="522"/>
      <c r="S63" s="522"/>
      <c r="T63" s="522"/>
      <c r="U63" s="521"/>
      <c r="V63" s="521">
        <f t="shared" si="5"/>
        <v>0</v>
      </c>
      <c r="W63" s="521"/>
      <c r="X63" s="527"/>
      <c r="Y63" s="503"/>
      <c r="Z63" s="503"/>
      <c r="AA63" s="503"/>
      <c r="AB63" s="503"/>
      <c r="AC63" s="503"/>
      <c r="AD63" s="503"/>
      <c r="AE63" s="503"/>
      <c r="AF63" s="503"/>
    </row>
    <row r="64" spans="1:32" ht="46.5" hidden="1" customHeight="1">
      <c r="A64" s="936"/>
      <c r="B64" s="524" t="s">
        <v>1140</v>
      </c>
      <c r="C64" s="526"/>
      <c r="D64" s="526" t="s">
        <v>1009</v>
      </c>
      <c r="E64" s="524"/>
      <c r="F64" s="744"/>
      <c r="G64" s="539"/>
      <c r="H64" s="539" t="s">
        <v>1126</v>
      </c>
      <c r="I64" s="524"/>
      <c r="J64" s="524"/>
      <c r="K64" s="524"/>
      <c r="L64" s="524">
        <v>125</v>
      </c>
      <c r="M64" s="529">
        <v>1747</v>
      </c>
      <c r="N64" s="523"/>
      <c r="O64" s="528"/>
      <c r="P64" s="528"/>
      <c r="Q64" s="521"/>
      <c r="R64" s="522"/>
      <c r="S64" s="522"/>
      <c r="T64" s="522"/>
      <c r="U64" s="521"/>
      <c r="V64" s="521">
        <f t="shared" si="5"/>
        <v>0</v>
      </c>
      <c r="W64" s="521"/>
      <c r="X64" s="527"/>
      <c r="Y64" s="503"/>
      <c r="Z64" s="503"/>
      <c r="AA64" s="503"/>
      <c r="AB64" s="503"/>
      <c r="AC64" s="503"/>
      <c r="AD64" s="503"/>
      <c r="AE64" s="503"/>
      <c r="AF64" s="503"/>
    </row>
    <row r="65" spans="1:32" ht="46.5" hidden="1" customHeight="1">
      <c r="A65" s="936"/>
      <c r="B65" s="524" t="s">
        <v>1140</v>
      </c>
      <c r="C65" s="526"/>
      <c r="D65" s="526" t="s">
        <v>1009</v>
      </c>
      <c r="E65" s="524"/>
      <c r="F65" s="744"/>
      <c r="G65" s="539"/>
      <c r="H65" s="539" t="s">
        <v>1129</v>
      </c>
      <c r="I65" s="524"/>
      <c r="J65" s="524"/>
      <c r="K65" s="524"/>
      <c r="L65" s="524">
        <v>125</v>
      </c>
      <c r="M65" s="529">
        <v>428</v>
      </c>
      <c r="N65" s="523"/>
      <c r="O65" s="528"/>
      <c r="P65" s="528"/>
      <c r="Q65" s="521"/>
      <c r="R65" s="522"/>
      <c r="S65" s="522"/>
      <c r="T65" s="522"/>
      <c r="U65" s="521"/>
      <c r="V65" s="521">
        <f t="shared" si="5"/>
        <v>0</v>
      </c>
      <c r="W65" s="521"/>
      <c r="X65" s="527"/>
      <c r="Y65" s="503"/>
      <c r="Z65" s="503"/>
      <c r="AA65" s="503"/>
      <c r="AB65" s="503"/>
      <c r="AC65" s="503"/>
      <c r="AD65" s="503"/>
      <c r="AE65" s="503"/>
      <c r="AF65" s="503"/>
    </row>
    <row r="66" spans="1:32" ht="46.5" hidden="1" customHeight="1">
      <c r="A66" s="936"/>
      <c r="B66" s="524" t="s">
        <v>1141</v>
      </c>
      <c r="C66" s="526"/>
      <c r="D66" s="526" t="s">
        <v>1009</v>
      </c>
      <c r="E66" s="524"/>
      <c r="F66" s="744"/>
      <c r="G66" s="539"/>
      <c r="H66" s="539" t="s">
        <v>1128</v>
      </c>
      <c r="I66" s="524"/>
      <c r="J66" s="524"/>
      <c r="K66" s="524"/>
      <c r="L66" s="524">
        <v>150</v>
      </c>
      <c r="M66" s="529">
        <v>6212</v>
      </c>
      <c r="N66" s="523"/>
      <c r="O66" s="528"/>
      <c r="P66" s="528"/>
      <c r="Q66" s="521"/>
      <c r="R66" s="522"/>
      <c r="S66" s="522"/>
      <c r="T66" s="522"/>
      <c r="U66" s="521"/>
      <c r="V66" s="521">
        <f t="shared" si="5"/>
        <v>0</v>
      </c>
      <c r="W66" s="521"/>
      <c r="X66" s="527"/>
      <c r="Y66" s="503"/>
      <c r="Z66" s="503"/>
      <c r="AA66" s="503"/>
      <c r="AB66" s="503"/>
      <c r="AC66" s="503"/>
      <c r="AD66" s="503"/>
      <c r="AE66" s="503"/>
      <c r="AF66" s="503"/>
    </row>
    <row r="67" spans="1:32" ht="46.5" hidden="1" customHeight="1">
      <c r="A67" s="936"/>
      <c r="B67" s="526" t="s">
        <v>1141</v>
      </c>
      <c r="C67" s="526"/>
      <c r="D67" s="526" t="s">
        <v>1009</v>
      </c>
      <c r="E67" s="524"/>
      <c r="F67" s="744"/>
      <c r="G67" s="539"/>
      <c r="H67" s="539" t="s">
        <v>1126</v>
      </c>
      <c r="I67" s="524"/>
      <c r="J67" s="524"/>
      <c r="K67" s="524"/>
      <c r="L67" s="524">
        <v>150</v>
      </c>
      <c r="M67" s="529">
        <v>3063</v>
      </c>
      <c r="N67" s="523"/>
      <c r="O67" s="528"/>
      <c r="P67" s="528"/>
      <c r="Q67" s="521"/>
      <c r="R67" s="522"/>
      <c r="S67" s="522"/>
      <c r="T67" s="522"/>
      <c r="U67" s="521"/>
      <c r="V67" s="521">
        <f t="shared" si="5"/>
        <v>0</v>
      </c>
      <c r="W67" s="521"/>
      <c r="X67" s="527"/>
      <c r="Y67" s="503"/>
      <c r="Z67" s="503"/>
      <c r="AA67" s="503"/>
      <c r="AB67" s="503"/>
      <c r="AC67" s="503"/>
      <c r="AD67" s="503"/>
      <c r="AE67" s="503"/>
      <c r="AF67" s="503"/>
    </row>
    <row r="68" spans="1:32" ht="46.5" hidden="1" customHeight="1">
      <c r="A68" s="936"/>
      <c r="B68" s="524" t="s">
        <v>1141</v>
      </c>
      <c r="C68" s="526"/>
      <c r="D68" s="526" t="s">
        <v>1009</v>
      </c>
      <c r="E68" s="524"/>
      <c r="F68" s="744"/>
      <c r="G68" s="539"/>
      <c r="H68" s="539" t="s">
        <v>1129</v>
      </c>
      <c r="I68" s="524"/>
      <c r="J68" s="524"/>
      <c r="K68" s="524"/>
      <c r="L68" s="524">
        <v>150</v>
      </c>
      <c r="M68" s="529">
        <v>19242</v>
      </c>
      <c r="N68" s="523"/>
      <c r="O68" s="528"/>
      <c r="P68" s="528"/>
      <c r="Q68" s="521"/>
      <c r="R68" s="522"/>
      <c r="S68" s="522"/>
      <c r="T68" s="522"/>
      <c r="U68" s="521"/>
      <c r="V68" s="521">
        <f t="shared" si="5"/>
        <v>0</v>
      </c>
      <c r="W68" s="521"/>
      <c r="X68" s="527"/>
      <c r="Y68" s="503"/>
      <c r="Z68" s="503"/>
      <c r="AA68" s="503"/>
      <c r="AB68" s="503"/>
      <c r="AC68" s="503"/>
      <c r="AD68" s="503"/>
      <c r="AE68" s="503"/>
      <c r="AF68" s="503"/>
    </row>
    <row r="69" spans="1:32" ht="46.5" hidden="1" customHeight="1">
      <c r="A69" s="936"/>
      <c r="B69" s="526" t="s">
        <v>1141</v>
      </c>
      <c r="C69" s="526"/>
      <c r="D69" s="526" t="s">
        <v>1009</v>
      </c>
      <c r="E69" s="524"/>
      <c r="F69" s="744"/>
      <c r="G69" s="539"/>
      <c r="H69" s="539" t="s">
        <v>1127</v>
      </c>
      <c r="I69" s="524"/>
      <c r="J69" s="524"/>
      <c r="K69" s="524"/>
      <c r="L69" s="524">
        <v>150</v>
      </c>
      <c r="M69" s="529">
        <v>455</v>
      </c>
      <c r="N69" s="523"/>
      <c r="O69" s="528"/>
      <c r="P69" s="528"/>
      <c r="Q69" s="521"/>
      <c r="R69" s="522"/>
      <c r="S69" s="522"/>
      <c r="T69" s="522"/>
      <c r="U69" s="521"/>
      <c r="V69" s="521">
        <f t="shared" si="5"/>
        <v>0</v>
      </c>
      <c r="W69" s="521"/>
      <c r="X69" s="527"/>
      <c r="Y69" s="503"/>
      <c r="Z69" s="503"/>
      <c r="AA69" s="503"/>
      <c r="AB69" s="503"/>
      <c r="AC69" s="503"/>
      <c r="AD69" s="503"/>
      <c r="AE69" s="503"/>
      <c r="AF69" s="503"/>
    </row>
    <row r="70" spans="1:32" ht="46.5" hidden="1" customHeight="1">
      <c r="A70" s="936"/>
      <c r="B70" s="524" t="s">
        <v>1142</v>
      </c>
      <c r="C70" s="526"/>
      <c r="D70" s="526" t="s">
        <v>1009</v>
      </c>
      <c r="E70" s="524"/>
      <c r="F70" s="744"/>
      <c r="G70" s="539"/>
      <c r="H70" s="539" t="s">
        <v>1129</v>
      </c>
      <c r="I70" s="524"/>
      <c r="J70" s="524"/>
      <c r="K70" s="524"/>
      <c r="L70" s="524">
        <v>152</v>
      </c>
      <c r="M70" s="529">
        <v>16</v>
      </c>
      <c r="N70" s="523"/>
      <c r="O70" s="528"/>
      <c r="P70" s="528"/>
      <c r="Q70" s="521"/>
      <c r="R70" s="522"/>
      <c r="S70" s="522"/>
      <c r="T70" s="522"/>
      <c r="U70" s="521"/>
      <c r="V70" s="521">
        <f t="shared" si="5"/>
        <v>0</v>
      </c>
      <c r="W70" s="521"/>
      <c r="X70" s="527"/>
      <c r="Y70" s="503"/>
      <c r="Z70" s="503"/>
      <c r="AA70" s="503"/>
      <c r="AB70" s="503"/>
      <c r="AC70" s="503"/>
      <c r="AD70" s="503"/>
      <c r="AE70" s="503"/>
      <c r="AF70" s="503"/>
    </row>
    <row r="71" spans="1:32" ht="46.5" hidden="1" customHeight="1">
      <c r="A71" s="936"/>
      <c r="B71" s="524" t="s">
        <v>1143</v>
      </c>
      <c r="C71" s="526"/>
      <c r="D71" s="526" t="s">
        <v>1009</v>
      </c>
      <c r="E71" s="524"/>
      <c r="F71" s="744"/>
      <c r="G71" s="539"/>
      <c r="H71" s="539" t="s">
        <v>1127</v>
      </c>
      <c r="I71" s="524"/>
      <c r="J71" s="524"/>
      <c r="K71" s="524"/>
      <c r="L71" s="524">
        <v>152.4</v>
      </c>
      <c r="M71" s="529">
        <v>3045</v>
      </c>
      <c r="N71" s="523"/>
      <c r="O71" s="528"/>
      <c r="P71" s="528"/>
      <c r="Q71" s="521"/>
      <c r="R71" s="522"/>
      <c r="S71" s="522"/>
      <c r="T71" s="522"/>
      <c r="U71" s="521"/>
      <c r="V71" s="521">
        <f t="shared" si="5"/>
        <v>0</v>
      </c>
      <c r="W71" s="521"/>
      <c r="X71" s="527"/>
      <c r="Y71" s="503"/>
      <c r="Z71" s="503"/>
      <c r="AA71" s="503"/>
      <c r="AB71" s="503"/>
      <c r="AC71" s="503"/>
      <c r="AD71" s="503"/>
      <c r="AE71" s="503"/>
      <c r="AF71" s="503"/>
    </row>
    <row r="72" spans="1:32" ht="46.5" hidden="1" customHeight="1">
      <c r="A72" s="936"/>
      <c r="B72" s="526" t="s">
        <v>1144</v>
      </c>
      <c r="C72" s="526"/>
      <c r="D72" s="526" t="s">
        <v>1009</v>
      </c>
      <c r="E72" s="524"/>
      <c r="F72" s="744"/>
      <c r="G72" s="539"/>
      <c r="H72" s="539" t="s">
        <v>1126</v>
      </c>
      <c r="I72" s="524"/>
      <c r="J72" s="524"/>
      <c r="K72" s="524"/>
      <c r="L72" s="524">
        <v>175</v>
      </c>
      <c r="M72" s="529">
        <v>189</v>
      </c>
      <c r="N72" s="523"/>
      <c r="O72" s="528"/>
      <c r="P72" s="528"/>
      <c r="Q72" s="521"/>
      <c r="R72" s="522"/>
      <c r="S72" s="522"/>
      <c r="T72" s="522"/>
      <c r="U72" s="521"/>
      <c r="V72" s="521">
        <f t="shared" si="5"/>
        <v>0</v>
      </c>
      <c r="W72" s="521"/>
      <c r="X72" s="527"/>
      <c r="Y72" s="503"/>
      <c r="Z72" s="503"/>
      <c r="AA72" s="503"/>
      <c r="AB72" s="503"/>
      <c r="AC72" s="503"/>
      <c r="AD72" s="503"/>
      <c r="AE72" s="503"/>
      <c r="AF72" s="503"/>
    </row>
    <row r="73" spans="1:32" ht="46.5" hidden="1" customHeight="1">
      <c r="A73" s="936"/>
      <c r="B73" s="526" t="s">
        <v>1145</v>
      </c>
      <c r="C73" s="526"/>
      <c r="D73" s="526" t="s">
        <v>1009</v>
      </c>
      <c r="E73" s="524"/>
      <c r="F73" s="744"/>
      <c r="G73" s="539"/>
      <c r="H73" s="539" t="s">
        <v>1128</v>
      </c>
      <c r="I73" s="524"/>
      <c r="J73" s="524"/>
      <c r="K73" s="524"/>
      <c r="L73" s="524">
        <v>200</v>
      </c>
      <c r="M73" s="529">
        <v>11887</v>
      </c>
      <c r="N73" s="523"/>
      <c r="O73" s="528"/>
      <c r="P73" s="528"/>
      <c r="Q73" s="521"/>
      <c r="R73" s="522"/>
      <c r="S73" s="522"/>
      <c r="T73" s="522"/>
      <c r="U73" s="521"/>
      <c r="V73" s="521">
        <f t="shared" si="5"/>
        <v>0</v>
      </c>
      <c r="W73" s="521"/>
      <c r="X73" s="527"/>
      <c r="Y73" s="503"/>
      <c r="Z73" s="503"/>
      <c r="AA73" s="503"/>
      <c r="AB73" s="503"/>
      <c r="AC73" s="503"/>
      <c r="AD73" s="503"/>
      <c r="AE73" s="503"/>
      <c r="AF73" s="503"/>
    </row>
    <row r="74" spans="1:32" ht="46.5" hidden="1" customHeight="1">
      <c r="A74" s="936"/>
      <c r="B74" s="526" t="s">
        <v>1145</v>
      </c>
      <c r="C74" s="526"/>
      <c r="D74" s="526" t="s">
        <v>1009</v>
      </c>
      <c r="E74" s="524"/>
      <c r="F74" s="744"/>
      <c r="G74" s="539"/>
      <c r="H74" s="539" t="s">
        <v>1126</v>
      </c>
      <c r="I74" s="524"/>
      <c r="J74" s="524"/>
      <c r="K74" s="524"/>
      <c r="L74" s="524">
        <v>200</v>
      </c>
      <c r="M74" s="529">
        <v>173</v>
      </c>
      <c r="N74" s="523"/>
      <c r="O74" s="528"/>
      <c r="P74" s="528"/>
      <c r="Q74" s="521"/>
      <c r="R74" s="522"/>
      <c r="S74" s="522"/>
      <c r="T74" s="522"/>
      <c r="U74" s="521"/>
      <c r="V74" s="521">
        <f t="shared" si="5"/>
        <v>0</v>
      </c>
      <c r="W74" s="521"/>
      <c r="X74" s="527"/>
      <c r="Y74" s="503"/>
      <c r="Z74" s="503"/>
      <c r="AA74" s="503"/>
      <c r="AB74" s="503"/>
      <c r="AC74" s="503"/>
      <c r="AD74" s="503"/>
      <c r="AE74" s="503"/>
      <c r="AF74" s="503"/>
    </row>
    <row r="75" spans="1:32" ht="46.5" hidden="1" customHeight="1">
      <c r="A75" s="936"/>
      <c r="B75" s="526" t="s">
        <v>1145</v>
      </c>
      <c r="C75" s="526"/>
      <c r="D75" s="526" t="s">
        <v>1009</v>
      </c>
      <c r="E75" s="524"/>
      <c r="F75" s="744"/>
      <c r="G75" s="539"/>
      <c r="H75" s="539" t="s">
        <v>1129</v>
      </c>
      <c r="I75" s="524"/>
      <c r="J75" s="524"/>
      <c r="K75" s="524"/>
      <c r="L75" s="524">
        <v>200</v>
      </c>
      <c r="M75" s="529">
        <v>2659</v>
      </c>
      <c r="N75" s="523"/>
      <c r="O75" s="528"/>
      <c r="P75" s="528"/>
      <c r="Q75" s="521"/>
      <c r="R75" s="522"/>
      <c r="S75" s="522"/>
      <c r="T75" s="522"/>
      <c r="U75" s="521"/>
      <c r="V75" s="521">
        <f t="shared" si="5"/>
        <v>0</v>
      </c>
      <c r="W75" s="521"/>
      <c r="X75" s="527"/>
      <c r="Y75" s="503"/>
      <c r="Z75" s="503"/>
      <c r="AA75" s="503"/>
      <c r="AB75" s="503"/>
      <c r="AC75" s="503"/>
      <c r="AD75" s="503"/>
      <c r="AE75" s="503"/>
      <c r="AF75" s="503"/>
    </row>
    <row r="76" spans="1:32" ht="46.5" hidden="1" customHeight="1">
      <c r="A76" s="936"/>
      <c r="B76" s="526" t="s">
        <v>1145</v>
      </c>
      <c r="C76" s="526"/>
      <c r="D76" s="526" t="s">
        <v>1009</v>
      </c>
      <c r="E76" s="524"/>
      <c r="F76" s="744"/>
      <c r="G76" s="539"/>
      <c r="H76" s="539" t="s">
        <v>1127</v>
      </c>
      <c r="I76" s="524"/>
      <c r="J76" s="524"/>
      <c r="K76" s="524"/>
      <c r="L76" s="524">
        <v>200</v>
      </c>
      <c r="M76" s="529">
        <v>20</v>
      </c>
      <c r="N76" s="523"/>
      <c r="O76" s="528"/>
      <c r="P76" s="528"/>
      <c r="Q76" s="521"/>
      <c r="R76" s="522"/>
      <c r="S76" s="522"/>
      <c r="T76" s="522"/>
      <c r="U76" s="521"/>
      <c r="V76" s="521">
        <f t="shared" si="5"/>
        <v>0</v>
      </c>
      <c r="W76" s="521"/>
      <c r="X76" s="527"/>
      <c r="Y76" s="503"/>
      <c r="Z76" s="503"/>
      <c r="AA76" s="503"/>
      <c r="AB76" s="503"/>
      <c r="AC76" s="503"/>
      <c r="AD76" s="503"/>
      <c r="AE76" s="503"/>
      <c r="AF76" s="503"/>
    </row>
    <row r="77" spans="1:32" ht="46.5" hidden="1" customHeight="1">
      <c r="A77" s="936"/>
      <c r="B77" s="526" t="s">
        <v>1146</v>
      </c>
      <c r="C77" s="526"/>
      <c r="D77" s="526" t="s">
        <v>1009</v>
      </c>
      <c r="E77" s="524"/>
      <c r="F77" s="744"/>
      <c r="G77" s="539"/>
      <c r="H77" s="539" t="s">
        <v>1129</v>
      </c>
      <c r="I77" s="524"/>
      <c r="J77" s="524"/>
      <c r="K77" s="524"/>
      <c r="L77" s="524">
        <v>225</v>
      </c>
      <c r="M77" s="529">
        <v>503</v>
      </c>
      <c r="N77" s="523"/>
      <c r="O77" s="528"/>
      <c r="P77" s="528"/>
      <c r="Q77" s="521"/>
      <c r="R77" s="522"/>
      <c r="S77" s="522"/>
      <c r="T77" s="522"/>
      <c r="U77" s="521"/>
      <c r="V77" s="521">
        <f t="shared" si="5"/>
        <v>0</v>
      </c>
      <c r="W77" s="521"/>
      <c r="X77" s="527"/>
      <c r="Y77" s="503"/>
      <c r="Z77" s="503"/>
      <c r="AA77" s="503"/>
      <c r="AB77" s="503"/>
      <c r="AC77" s="503"/>
      <c r="AD77" s="503"/>
      <c r="AE77" s="503"/>
      <c r="AF77" s="503"/>
    </row>
    <row r="78" spans="1:32" ht="46.5" hidden="1" customHeight="1">
      <c r="A78" s="936"/>
      <c r="B78" s="526" t="s">
        <v>1147</v>
      </c>
      <c r="C78" s="526"/>
      <c r="D78" s="526" t="s">
        <v>1009</v>
      </c>
      <c r="E78" s="524"/>
      <c r="F78" s="744"/>
      <c r="G78" s="539"/>
      <c r="H78" s="539" t="s">
        <v>1128</v>
      </c>
      <c r="I78" s="524"/>
      <c r="J78" s="524"/>
      <c r="K78" s="524"/>
      <c r="L78" s="524">
        <v>250</v>
      </c>
      <c r="M78" s="529">
        <v>6394</v>
      </c>
      <c r="N78" s="523"/>
      <c r="O78" s="528"/>
      <c r="P78" s="528"/>
      <c r="Q78" s="521"/>
      <c r="R78" s="522"/>
      <c r="S78" s="522"/>
      <c r="T78" s="522"/>
      <c r="U78" s="521"/>
      <c r="V78" s="521">
        <f t="shared" si="5"/>
        <v>0</v>
      </c>
      <c r="W78" s="521"/>
      <c r="X78" s="527"/>
      <c r="Y78" s="503"/>
      <c r="Z78" s="503"/>
      <c r="AA78" s="503"/>
      <c r="AB78" s="503"/>
      <c r="AC78" s="503"/>
      <c r="AD78" s="503"/>
      <c r="AE78" s="503"/>
      <c r="AF78" s="503"/>
    </row>
    <row r="79" spans="1:32" ht="46.5" hidden="1" customHeight="1">
      <c r="A79" s="936"/>
      <c r="B79" s="526" t="s">
        <v>1147</v>
      </c>
      <c r="C79" s="526"/>
      <c r="D79" s="526" t="s">
        <v>1009</v>
      </c>
      <c r="E79" s="524"/>
      <c r="F79" s="744"/>
      <c r="G79" s="539"/>
      <c r="H79" s="539" t="s">
        <v>1126</v>
      </c>
      <c r="I79" s="524"/>
      <c r="J79" s="524"/>
      <c r="K79" s="524"/>
      <c r="L79" s="524">
        <v>250</v>
      </c>
      <c r="M79" s="529">
        <v>32</v>
      </c>
      <c r="N79" s="523"/>
      <c r="O79" s="528"/>
      <c r="P79" s="528"/>
      <c r="Q79" s="521"/>
      <c r="R79" s="522"/>
      <c r="S79" s="522"/>
      <c r="T79" s="522"/>
      <c r="U79" s="521"/>
      <c r="V79" s="521">
        <f t="shared" si="5"/>
        <v>0</v>
      </c>
      <c r="W79" s="521"/>
      <c r="X79" s="527"/>
      <c r="Y79" s="503"/>
      <c r="Z79" s="503"/>
      <c r="AA79" s="503"/>
      <c r="AB79" s="503"/>
      <c r="AC79" s="503"/>
      <c r="AD79" s="503"/>
      <c r="AE79" s="503"/>
      <c r="AF79" s="503"/>
    </row>
    <row r="80" spans="1:32" ht="46.5" hidden="1" customHeight="1">
      <c r="A80" s="936"/>
      <c r="B80" s="526" t="s">
        <v>1147</v>
      </c>
      <c r="C80" s="526"/>
      <c r="D80" s="526" t="s">
        <v>1009</v>
      </c>
      <c r="E80" s="524"/>
      <c r="F80" s="744"/>
      <c r="G80" s="539"/>
      <c r="H80" s="539" t="s">
        <v>1129</v>
      </c>
      <c r="I80" s="524"/>
      <c r="J80" s="524"/>
      <c r="K80" s="524"/>
      <c r="L80" s="524">
        <v>250</v>
      </c>
      <c r="M80" s="529">
        <v>1501</v>
      </c>
      <c r="N80" s="523"/>
      <c r="O80" s="528"/>
      <c r="P80" s="528"/>
      <c r="Q80" s="521"/>
      <c r="R80" s="522"/>
      <c r="S80" s="522"/>
      <c r="T80" s="522"/>
      <c r="U80" s="521"/>
      <c r="V80" s="521">
        <f t="shared" si="5"/>
        <v>0</v>
      </c>
      <c r="W80" s="521"/>
      <c r="X80" s="527"/>
      <c r="Y80" s="503"/>
      <c r="Z80" s="503"/>
      <c r="AA80" s="503"/>
      <c r="AB80" s="503"/>
      <c r="AC80" s="503"/>
      <c r="AD80" s="503"/>
      <c r="AE80" s="503"/>
      <c r="AF80" s="503"/>
    </row>
    <row r="81" spans="1:32" ht="46.5" hidden="1" customHeight="1">
      <c r="A81" s="936"/>
      <c r="B81" s="526" t="s">
        <v>1147</v>
      </c>
      <c r="C81" s="526"/>
      <c r="D81" s="526" t="s">
        <v>1009</v>
      </c>
      <c r="E81" s="524"/>
      <c r="F81" s="744"/>
      <c r="G81" s="539"/>
      <c r="H81" s="539" t="s">
        <v>1127</v>
      </c>
      <c r="I81" s="524"/>
      <c r="J81" s="524"/>
      <c r="K81" s="524"/>
      <c r="L81" s="524">
        <v>250</v>
      </c>
      <c r="M81" s="529">
        <v>10</v>
      </c>
      <c r="N81" s="523"/>
      <c r="O81" s="528"/>
      <c r="P81" s="528"/>
      <c r="Q81" s="521"/>
      <c r="R81" s="522"/>
      <c r="S81" s="522"/>
      <c r="T81" s="522"/>
      <c r="U81" s="521"/>
      <c r="V81" s="521">
        <f t="shared" ref="V81:V95" si="8">S81*Q81*O81</f>
        <v>0</v>
      </c>
      <c r="W81" s="521"/>
      <c r="X81" s="527"/>
      <c r="Y81" s="503"/>
      <c r="Z81" s="503"/>
      <c r="AA81" s="503"/>
      <c r="AB81" s="503"/>
      <c r="AC81" s="503"/>
      <c r="AD81" s="503"/>
      <c r="AE81" s="503"/>
      <c r="AF81" s="503"/>
    </row>
    <row r="82" spans="1:32" ht="46.5" hidden="1" customHeight="1">
      <c r="A82" s="936"/>
      <c r="B82" s="526" t="s">
        <v>1148</v>
      </c>
      <c r="C82" s="526"/>
      <c r="D82" s="526" t="s">
        <v>1009</v>
      </c>
      <c r="E82" s="524"/>
      <c r="F82" s="744"/>
      <c r="G82" s="539"/>
      <c r="H82" s="539" t="s">
        <v>1126</v>
      </c>
      <c r="I82" s="524"/>
      <c r="J82" s="524"/>
      <c r="K82" s="524"/>
      <c r="L82" s="524">
        <v>275</v>
      </c>
      <c r="M82" s="529">
        <v>2204</v>
      </c>
      <c r="N82" s="523"/>
      <c r="O82" s="528"/>
      <c r="P82" s="528"/>
      <c r="Q82" s="521"/>
      <c r="R82" s="522"/>
      <c r="S82" s="522"/>
      <c r="T82" s="522"/>
      <c r="U82" s="521"/>
      <c r="V82" s="521">
        <f t="shared" si="8"/>
        <v>0</v>
      </c>
      <c r="W82" s="521"/>
      <c r="X82" s="527"/>
      <c r="Y82" s="503"/>
      <c r="Z82" s="503"/>
      <c r="AA82" s="503"/>
      <c r="AB82" s="503"/>
      <c r="AC82" s="503"/>
      <c r="AD82" s="503"/>
      <c r="AE82" s="503"/>
      <c r="AF82" s="503"/>
    </row>
    <row r="83" spans="1:32" ht="46.5" hidden="1" customHeight="1">
      <c r="A83" s="936"/>
      <c r="B83" s="526" t="s">
        <v>1149</v>
      </c>
      <c r="C83" s="526"/>
      <c r="D83" s="526" t="s">
        <v>1009</v>
      </c>
      <c r="E83" s="524"/>
      <c r="F83" s="744"/>
      <c r="G83" s="539"/>
      <c r="H83" s="539" t="s">
        <v>1128</v>
      </c>
      <c r="I83" s="524"/>
      <c r="J83" s="524"/>
      <c r="K83" s="524"/>
      <c r="L83" s="524">
        <v>300</v>
      </c>
      <c r="M83" s="529">
        <v>2256</v>
      </c>
      <c r="N83" s="523"/>
      <c r="O83" s="528"/>
      <c r="P83" s="528"/>
      <c r="Q83" s="521"/>
      <c r="R83" s="522"/>
      <c r="S83" s="522"/>
      <c r="T83" s="522"/>
      <c r="U83" s="521"/>
      <c r="V83" s="521">
        <f t="shared" si="8"/>
        <v>0</v>
      </c>
      <c r="W83" s="521"/>
      <c r="X83" s="527"/>
      <c r="Y83" s="503"/>
      <c r="Z83" s="503"/>
      <c r="AA83" s="503"/>
      <c r="AB83" s="503"/>
      <c r="AC83" s="503"/>
      <c r="AD83" s="503"/>
      <c r="AE83" s="503"/>
      <c r="AF83" s="503"/>
    </row>
    <row r="84" spans="1:32" ht="46.5" hidden="1" customHeight="1">
      <c r="A84" s="936"/>
      <c r="B84" s="526" t="s">
        <v>1149</v>
      </c>
      <c r="C84" s="526"/>
      <c r="D84" s="526" t="s">
        <v>1009</v>
      </c>
      <c r="E84" s="524"/>
      <c r="F84" s="744"/>
      <c r="G84" s="539"/>
      <c r="H84" s="539" t="s">
        <v>1126</v>
      </c>
      <c r="I84" s="524"/>
      <c r="J84" s="524"/>
      <c r="K84" s="524"/>
      <c r="L84" s="524">
        <v>300</v>
      </c>
      <c r="M84" s="529">
        <v>1280</v>
      </c>
      <c r="N84" s="523"/>
      <c r="O84" s="528"/>
      <c r="P84" s="528"/>
      <c r="Q84" s="521"/>
      <c r="R84" s="522"/>
      <c r="S84" s="522"/>
      <c r="T84" s="522"/>
      <c r="U84" s="521"/>
      <c r="V84" s="521">
        <f t="shared" si="8"/>
        <v>0</v>
      </c>
      <c r="W84" s="521"/>
      <c r="X84" s="527"/>
      <c r="Y84" s="503"/>
      <c r="Z84" s="503"/>
      <c r="AA84" s="503"/>
      <c r="AB84" s="503"/>
      <c r="AC84" s="503"/>
      <c r="AD84" s="503"/>
      <c r="AE84" s="503"/>
      <c r="AF84" s="503"/>
    </row>
    <row r="85" spans="1:32" ht="46.5" hidden="1" customHeight="1">
      <c r="A85" s="936"/>
      <c r="B85" s="526" t="s">
        <v>1149</v>
      </c>
      <c r="C85" s="526"/>
      <c r="D85" s="526" t="s">
        <v>1009</v>
      </c>
      <c r="E85" s="524"/>
      <c r="F85" s="744"/>
      <c r="G85" s="539"/>
      <c r="H85" s="539" t="s">
        <v>1129</v>
      </c>
      <c r="I85" s="524"/>
      <c r="J85" s="524"/>
      <c r="K85" s="524"/>
      <c r="L85" s="524">
        <v>300</v>
      </c>
      <c r="M85" s="529">
        <v>295</v>
      </c>
      <c r="N85" s="523"/>
      <c r="O85" s="528"/>
      <c r="P85" s="528"/>
      <c r="Q85" s="521"/>
      <c r="R85" s="522"/>
      <c r="S85" s="522"/>
      <c r="T85" s="522"/>
      <c r="U85" s="521"/>
      <c r="V85" s="521">
        <f t="shared" si="8"/>
        <v>0</v>
      </c>
      <c r="W85" s="521"/>
      <c r="X85" s="527"/>
      <c r="Y85" s="503"/>
      <c r="Z85" s="503"/>
      <c r="AA85" s="503"/>
      <c r="AB85" s="503"/>
      <c r="AC85" s="503"/>
      <c r="AD85" s="503"/>
      <c r="AE85" s="503"/>
      <c r="AF85" s="503"/>
    </row>
    <row r="86" spans="1:32" ht="46.5" hidden="1" customHeight="1">
      <c r="A86" s="936"/>
      <c r="B86" s="526" t="s">
        <v>1150</v>
      </c>
      <c r="C86" s="526"/>
      <c r="D86" s="526" t="s">
        <v>1009</v>
      </c>
      <c r="E86" s="524"/>
      <c r="F86" s="744"/>
      <c r="G86" s="539"/>
      <c r="H86" s="539" t="s">
        <v>1128</v>
      </c>
      <c r="I86" s="524"/>
      <c r="J86" s="524"/>
      <c r="K86" s="524"/>
      <c r="L86" s="524">
        <v>350</v>
      </c>
      <c r="M86" s="529">
        <v>179</v>
      </c>
      <c r="N86" s="523"/>
      <c r="O86" s="528"/>
      <c r="P86" s="528"/>
      <c r="Q86" s="521"/>
      <c r="R86" s="522"/>
      <c r="S86" s="522"/>
      <c r="T86" s="522"/>
      <c r="U86" s="521"/>
      <c r="V86" s="521">
        <f t="shared" si="8"/>
        <v>0</v>
      </c>
      <c r="W86" s="521"/>
      <c r="X86" s="527"/>
      <c r="Y86" s="503"/>
      <c r="Z86" s="503"/>
      <c r="AA86" s="503"/>
      <c r="AB86" s="503"/>
      <c r="AC86" s="503"/>
      <c r="AD86" s="503"/>
      <c r="AE86" s="503"/>
      <c r="AF86" s="503"/>
    </row>
    <row r="87" spans="1:32" ht="46.5" hidden="1" customHeight="1">
      <c r="A87" s="936"/>
      <c r="B87" s="526" t="s">
        <v>1150</v>
      </c>
      <c r="C87" s="526"/>
      <c r="D87" s="526" t="s">
        <v>1009</v>
      </c>
      <c r="E87" s="524"/>
      <c r="F87" s="744"/>
      <c r="G87" s="539"/>
      <c r="H87" s="539" t="s">
        <v>1126</v>
      </c>
      <c r="I87" s="524"/>
      <c r="J87" s="524"/>
      <c r="K87" s="524"/>
      <c r="L87" s="524">
        <v>350</v>
      </c>
      <c r="M87" s="529">
        <v>7380</v>
      </c>
      <c r="N87" s="523"/>
      <c r="O87" s="528"/>
      <c r="P87" s="528"/>
      <c r="Q87" s="521"/>
      <c r="R87" s="522"/>
      <c r="S87" s="522"/>
      <c r="T87" s="522"/>
      <c r="U87" s="521"/>
      <c r="V87" s="521">
        <f t="shared" si="8"/>
        <v>0</v>
      </c>
      <c r="W87" s="521"/>
      <c r="X87" s="527"/>
      <c r="Y87" s="503"/>
      <c r="Z87" s="503"/>
      <c r="AA87" s="503"/>
      <c r="AB87" s="503"/>
      <c r="AC87" s="503"/>
      <c r="AD87" s="503"/>
      <c r="AE87" s="503"/>
      <c r="AF87" s="503"/>
    </row>
    <row r="88" spans="1:32" ht="46.5" hidden="1" customHeight="1">
      <c r="A88" s="936"/>
      <c r="B88" s="526" t="s">
        <v>1150</v>
      </c>
      <c r="C88" s="526"/>
      <c r="D88" s="526" t="s">
        <v>1009</v>
      </c>
      <c r="E88" s="524"/>
      <c r="F88" s="744"/>
      <c r="G88" s="539"/>
      <c r="H88" s="539" t="s">
        <v>1127</v>
      </c>
      <c r="I88" s="524"/>
      <c r="J88" s="524"/>
      <c r="K88" s="524"/>
      <c r="L88" s="524">
        <v>350</v>
      </c>
      <c r="M88" s="529">
        <v>9</v>
      </c>
      <c r="N88" s="523"/>
      <c r="O88" s="528"/>
      <c r="P88" s="528"/>
      <c r="Q88" s="521"/>
      <c r="R88" s="522"/>
      <c r="S88" s="522"/>
      <c r="T88" s="522"/>
      <c r="U88" s="521"/>
      <c r="V88" s="521">
        <f t="shared" si="8"/>
        <v>0</v>
      </c>
      <c r="W88" s="521"/>
      <c r="X88" s="527"/>
      <c r="Y88" s="503"/>
      <c r="Z88" s="503"/>
      <c r="AA88" s="503"/>
      <c r="AB88" s="503"/>
      <c r="AC88" s="503"/>
      <c r="AD88" s="503"/>
      <c r="AE88" s="503"/>
      <c r="AF88" s="503"/>
    </row>
    <row r="89" spans="1:32" ht="46.5" hidden="1" customHeight="1">
      <c r="A89" s="936"/>
      <c r="B89" s="526" t="s">
        <v>1151</v>
      </c>
      <c r="C89" s="526"/>
      <c r="D89" s="526" t="s">
        <v>1009</v>
      </c>
      <c r="E89" s="524"/>
      <c r="F89" s="744"/>
      <c r="G89" s="539"/>
      <c r="H89" s="539" t="s">
        <v>1126</v>
      </c>
      <c r="I89" s="524"/>
      <c r="J89" s="524"/>
      <c r="K89" s="524"/>
      <c r="L89" s="524">
        <v>400</v>
      </c>
      <c r="M89" s="529">
        <v>56</v>
      </c>
      <c r="N89" s="523"/>
      <c r="O89" s="528"/>
      <c r="P89" s="528"/>
      <c r="Q89" s="521"/>
      <c r="R89" s="522"/>
      <c r="S89" s="522"/>
      <c r="T89" s="522"/>
      <c r="U89" s="521"/>
      <c r="V89" s="521">
        <f t="shared" si="8"/>
        <v>0</v>
      </c>
      <c r="W89" s="521"/>
      <c r="X89" s="527"/>
      <c r="Y89" s="503"/>
      <c r="Z89" s="503"/>
      <c r="AA89" s="503"/>
      <c r="AB89" s="503"/>
      <c r="AC89" s="503"/>
      <c r="AD89" s="503"/>
      <c r="AE89" s="503"/>
      <c r="AF89" s="503"/>
    </row>
    <row r="90" spans="1:32" ht="46.5" hidden="1" customHeight="1">
      <c r="A90" s="936"/>
      <c r="B90" s="526" t="s">
        <v>1151</v>
      </c>
      <c r="C90" s="526"/>
      <c r="D90" s="526" t="s">
        <v>1009</v>
      </c>
      <c r="E90" s="524"/>
      <c r="F90" s="744"/>
      <c r="G90" s="539"/>
      <c r="H90" s="539" t="s">
        <v>1128</v>
      </c>
      <c r="I90" s="524"/>
      <c r="J90" s="524"/>
      <c r="K90" s="524"/>
      <c r="L90" s="524">
        <v>400</v>
      </c>
      <c r="M90" s="529">
        <v>45</v>
      </c>
      <c r="N90" s="523"/>
      <c r="O90" s="528"/>
      <c r="P90" s="528"/>
      <c r="Q90" s="521"/>
      <c r="R90" s="522"/>
      <c r="S90" s="522"/>
      <c r="T90" s="522"/>
      <c r="U90" s="521"/>
      <c r="V90" s="521">
        <f t="shared" si="8"/>
        <v>0</v>
      </c>
      <c r="W90" s="521"/>
      <c r="X90" s="527"/>
      <c r="Y90" s="503"/>
      <c r="Z90" s="503"/>
      <c r="AA90" s="503"/>
      <c r="AB90" s="503"/>
      <c r="AC90" s="503"/>
      <c r="AD90" s="503"/>
      <c r="AE90" s="503"/>
      <c r="AF90" s="503"/>
    </row>
    <row r="91" spans="1:32" ht="46.5" hidden="1" customHeight="1">
      <c r="A91" s="936"/>
      <c r="B91" s="526" t="s">
        <v>1152</v>
      </c>
      <c r="C91" s="526"/>
      <c r="D91" s="526" t="s">
        <v>1009</v>
      </c>
      <c r="E91" s="524"/>
      <c r="F91" s="744"/>
      <c r="G91" s="539"/>
      <c r="H91" s="539" t="s">
        <v>1126</v>
      </c>
      <c r="I91" s="524"/>
      <c r="J91" s="524"/>
      <c r="K91" s="524"/>
      <c r="L91" s="524">
        <v>450</v>
      </c>
      <c r="M91" s="529">
        <v>5674</v>
      </c>
      <c r="N91" s="523"/>
      <c r="O91" s="528"/>
      <c r="P91" s="528"/>
      <c r="Q91" s="521"/>
      <c r="R91" s="522"/>
      <c r="S91" s="522"/>
      <c r="T91" s="522"/>
      <c r="U91" s="521"/>
      <c r="V91" s="521">
        <f t="shared" si="8"/>
        <v>0</v>
      </c>
      <c r="W91" s="521"/>
      <c r="X91" s="527"/>
      <c r="Y91" s="503"/>
      <c r="Z91" s="503"/>
      <c r="AA91" s="503"/>
      <c r="AB91" s="503"/>
      <c r="AC91" s="503"/>
      <c r="AD91" s="503"/>
      <c r="AE91" s="503"/>
      <c r="AF91" s="503"/>
    </row>
    <row r="92" spans="1:32" ht="46.5" hidden="1" customHeight="1">
      <c r="A92" s="936"/>
      <c r="B92" s="526" t="s">
        <v>1152</v>
      </c>
      <c r="C92" s="526"/>
      <c r="D92" s="526" t="s">
        <v>1009</v>
      </c>
      <c r="E92" s="524"/>
      <c r="F92" s="744"/>
      <c r="G92" s="539"/>
      <c r="H92" s="539" t="s">
        <v>1127</v>
      </c>
      <c r="I92" s="524"/>
      <c r="J92" s="524"/>
      <c r="K92" s="524"/>
      <c r="L92" s="524">
        <v>450</v>
      </c>
      <c r="M92" s="529">
        <v>56</v>
      </c>
      <c r="N92" s="523"/>
      <c r="O92" s="528"/>
      <c r="P92" s="528"/>
      <c r="Q92" s="521"/>
      <c r="R92" s="522"/>
      <c r="S92" s="522"/>
      <c r="T92" s="522"/>
      <c r="U92" s="521"/>
      <c r="V92" s="521">
        <f t="shared" si="8"/>
        <v>0</v>
      </c>
      <c r="W92" s="521"/>
      <c r="X92" s="527"/>
      <c r="Y92" s="503"/>
      <c r="Z92" s="503"/>
      <c r="AA92" s="503"/>
      <c r="AB92" s="503"/>
      <c r="AC92" s="503"/>
      <c r="AD92" s="503"/>
      <c r="AE92" s="503"/>
      <c r="AF92" s="503"/>
    </row>
    <row r="93" spans="1:32" ht="46.5" hidden="1" customHeight="1">
      <c r="A93" s="936"/>
      <c r="B93" s="526" t="s">
        <v>1153</v>
      </c>
      <c r="C93" s="526"/>
      <c r="D93" s="526" t="s">
        <v>1009</v>
      </c>
      <c r="E93" s="524"/>
      <c r="F93" s="744"/>
      <c r="G93" s="539"/>
      <c r="H93" s="539" t="s">
        <v>1126</v>
      </c>
      <c r="I93" s="524"/>
      <c r="J93" s="524"/>
      <c r="K93" s="524"/>
      <c r="L93" s="524">
        <v>500</v>
      </c>
      <c r="M93" s="529">
        <v>37</v>
      </c>
      <c r="N93" s="523"/>
      <c r="O93" s="528"/>
      <c r="P93" s="528"/>
      <c r="Q93" s="521"/>
      <c r="R93" s="522"/>
      <c r="S93" s="522"/>
      <c r="T93" s="522"/>
      <c r="U93" s="521"/>
      <c r="V93" s="521">
        <f t="shared" si="8"/>
        <v>0</v>
      </c>
      <c r="W93" s="521"/>
      <c r="X93" s="527"/>
      <c r="Y93" s="503"/>
      <c r="Z93" s="503"/>
      <c r="AA93" s="503"/>
      <c r="AB93" s="503"/>
      <c r="AC93" s="503"/>
      <c r="AD93" s="503"/>
      <c r="AE93" s="503"/>
      <c r="AF93" s="503"/>
    </row>
    <row r="94" spans="1:32" ht="46.5" hidden="1" customHeight="1">
      <c r="A94" s="936"/>
      <c r="B94" s="526" t="s">
        <v>1153</v>
      </c>
      <c r="C94" s="526"/>
      <c r="D94" s="526" t="s">
        <v>1009</v>
      </c>
      <c r="E94" s="524"/>
      <c r="F94" s="744"/>
      <c r="G94" s="539"/>
      <c r="H94" s="539" t="s">
        <v>1127</v>
      </c>
      <c r="I94" s="524"/>
      <c r="J94" s="524"/>
      <c r="K94" s="524"/>
      <c r="L94" s="524">
        <v>500</v>
      </c>
      <c r="M94" s="529">
        <v>22</v>
      </c>
      <c r="N94" s="523"/>
      <c r="O94" s="528"/>
      <c r="P94" s="528"/>
      <c r="Q94" s="521"/>
      <c r="R94" s="522"/>
      <c r="S94" s="522"/>
      <c r="T94" s="522"/>
      <c r="U94" s="521"/>
      <c r="V94" s="521">
        <f t="shared" si="8"/>
        <v>0</v>
      </c>
      <c r="W94" s="521"/>
      <c r="X94" s="527"/>
      <c r="Y94" s="503"/>
      <c r="Z94" s="503"/>
      <c r="AA94" s="503"/>
      <c r="AB94" s="503"/>
      <c r="AC94" s="503"/>
      <c r="AD94" s="503"/>
      <c r="AE94" s="503"/>
      <c r="AF94" s="503"/>
    </row>
    <row r="95" spans="1:32" ht="46.5" hidden="1" customHeight="1">
      <c r="A95" s="936"/>
      <c r="B95" s="526" t="s">
        <v>1154</v>
      </c>
      <c r="C95" s="526"/>
      <c r="D95" s="526" t="s">
        <v>1009</v>
      </c>
      <c r="E95" s="524"/>
      <c r="F95" s="744"/>
      <c r="G95" s="539"/>
      <c r="H95" s="539" t="s">
        <v>1126</v>
      </c>
      <c r="I95" s="524"/>
      <c r="J95" s="524"/>
      <c r="K95" s="524"/>
      <c r="L95" s="524">
        <v>600</v>
      </c>
      <c r="M95" s="529">
        <v>32</v>
      </c>
      <c r="N95" s="523"/>
      <c r="O95" s="528"/>
      <c r="P95" s="528"/>
      <c r="Q95" s="521"/>
      <c r="R95" s="522"/>
      <c r="S95" s="522"/>
      <c r="T95" s="522"/>
      <c r="U95" s="521"/>
      <c r="V95" s="521">
        <f t="shared" si="8"/>
        <v>0</v>
      </c>
      <c r="W95" s="521"/>
      <c r="X95" s="527"/>
      <c r="Y95" s="503"/>
      <c r="Z95" s="503"/>
      <c r="AA95" s="503"/>
      <c r="AB95" s="503"/>
      <c r="AC95" s="503"/>
      <c r="AD95" s="503"/>
      <c r="AE95" s="503"/>
      <c r="AF95" s="503"/>
    </row>
    <row r="96" spans="1:32" ht="25.05" customHeight="1">
      <c r="A96" s="538"/>
      <c r="B96" s="537"/>
      <c r="C96" s="536"/>
      <c r="D96" s="535"/>
      <c r="E96" s="535"/>
      <c r="F96" s="747"/>
      <c r="G96" s="535"/>
      <c r="H96" s="535"/>
      <c r="I96" s="535"/>
      <c r="J96" s="535"/>
      <c r="K96" s="535"/>
      <c r="L96" s="535"/>
      <c r="M96" s="534"/>
      <c r="N96" s="533"/>
      <c r="O96" s="532"/>
      <c r="P96" s="532"/>
      <c r="Q96" s="531"/>
      <c r="R96" s="532"/>
      <c r="S96" s="532"/>
      <c r="T96" s="532"/>
      <c r="U96" s="531"/>
      <c r="V96" s="531"/>
      <c r="W96" s="531"/>
      <c r="X96" s="758">
        <f>SUM(X16:X43)</f>
        <v>1500400</v>
      </c>
      <c r="Y96" s="503"/>
      <c r="Z96" s="503"/>
      <c r="AA96" s="503"/>
      <c r="AB96" s="503"/>
      <c r="AC96" s="503"/>
      <c r="AD96" s="503"/>
      <c r="AE96" s="503"/>
      <c r="AF96" s="503"/>
    </row>
    <row r="97" spans="1:32" ht="61.5" customHeight="1">
      <c r="A97" s="934" t="s">
        <v>718</v>
      </c>
      <c r="B97" s="524" t="s">
        <v>717</v>
      </c>
      <c r="C97" s="526" t="s">
        <v>1031</v>
      </c>
      <c r="D97" s="526" t="s">
        <v>1009</v>
      </c>
      <c r="E97" s="525" t="s">
        <v>1033</v>
      </c>
      <c r="F97" s="749" t="s">
        <v>1059</v>
      </c>
      <c r="G97" s="525" t="s">
        <v>1017</v>
      </c>
      <c r="H97" s="525" t="s">
        <v>1018</v>
      </c>
      <c r="I97" s="524"/>
      <c r="J97" s="524"/>
      <c r="K97" s="524">
        <v>250</v>
      </c>
      <c r="L97" s="524"/>
      <c r="M97" s="524"/>
      <c r="N97" s="523">
        <v>0.1</v>
      </c>
      <c r="O97" s="523">
        <v>0.05</v>
      </c>
      <c r="P97" s="523"/>
      <c r="Q97" s="521">
        <f>'Preços Unitários'!D48</f>
        <v>385050.91</v>
      </c>
      <c r="R97" s="522">
        <v>0.85</v>
      </c>
      <c r="S97" s="522">
        <v>0.15</v>
      </c>
      <c r="T97" s="522"/>
      <c r="U97" s="521">
        <f>R97*Q97*N97</f>
        <v>32729.327349999996</v>
      </c>
      <c r="V97" s="521">
        <f>S97*Q97*O97</f>
        <v>2887.8818249999999</v>
      </c>
      <c r="W97" s="521">
        <f>T97*Q97*P97</f>
        <v>0</v>
      </c>
      <c r="X97" s="527">
        <f>U97+V97+W97</f>
        <v>35617.209174999996</v>
      </c>
      <c r="Y97" s="503"/>
      <c r="Z97" s="503"/>
      <c r="AA97" s="503"/>
      <c r="AB97" s="503"/>
      <c r="AC97" s="503"/>
      <c r="AD97" s="503"/>
      <c r="AE97" s="503"/>
      <c r="AF97" s="503"/>
    </row>
    <row r="98" spans="1:32" ht="54.75" customHeight="1">
      <c r="A98" s="934"/>
      <c r="B98" s="524" t="s">
        <v>717</v>
      </c>
      <c r="C98" s="526" t="s">
        <v>1019</v>
      </c>
      <c r="D98" s="526" t="s">
        <v>1009</v>
      </c>
      <c r="E98" s="743" t="s">
        <v>1034</v>
      </c>
      <c r="F98" s="744" t="s">
        <v>1055</v>
      </c>
      <c r="G98" s="525" t="s">
        <v>1017</v>
      </c>
      <c r="H98" s="525" t="s">
        <v>1018</v>
      </c>
      <c r="I98" s="524"/>
      <c r="J98" s="524"/>
      <c r="K98" s="524">
        <v>250</v>
      </c>
      <c r="L98" s="524"/>
      <c r="M98" s="529"/>
      <c r="N98" s="523">
        <v>0.1</v>
      </c>
      <c r="O98" s="523">
        <v>0.05</v>
      </c>
      <c r="P98" s="523"/>
      <c r="Q98" s="521">
        <f>'Preços Unitários'!D48</f>
        <v>385050.91</v>
      </c>
      <c r="R98" s="522">
        <v>0.85</v>
      </c>
      <c r="S98" s="522">
        <v>0.15</v>
      </c>
      <c r="T98" s="522"/>
      <c r="U98" s="521">
        <f t="shared" ref="U98:U117" si="9">R98*Q98*N98</f>
        <v>32729.327349999996</v>
      </c>
      <c r="V98" s="521">
        <f t="shared" ref="V98:V115" si="10">S98*Q98*O98</f>
        <v>2887.8818249999999</v>
      </c>
      <c r="W98" s="521">
        <f t="shared" ref="W98:W117" si="11">T98*Q98*P98</f>
        <v>0</v>
      </c>
      <c r="X98" s="527">
        <f t="shared" ref="X98:X117" si="12">U98+V98+W98</f>
        <v>35617.209174999996</v>
      </c>
      <c r="Y98" s="503"/>
      <c r="Z98" s="503"/>
      <c r="AA98" s="503"/>
      <c r="AB98" s="503"/>
      <c r="AC98" s="503"/>
      <c r="AD98" s="503"/>
      <c r="AE98" s="503"/>
      <c r="AF98" s="503"/>
    </row>
    <row r="99" spans="1:32" ht="63" customHeight="1">
      <c r="A99" s="934"/>
      <c r="B99" s="524" t="s">
        <v>717</v>
      </c>
      <c r="C99" s="526" t="s">
        <v>1020</v>
      </c>
      <c r="D99" s="526" t="s">
        <v>1009</v>
      </c>
      <c r="E99" s="524" t="s">
        <v>1035</v>
      </c>
      <c r="F99" s="744" t="s">
        <v>1055</v>
      </c>
      <c r="G99" s="525" t="s">
        <v>1022</v>
      </c>
      <c r="H99" s="525" t="s">
        <v>1018</v>
      </c>
      <c r="I99" s="524"/>
      <c r="J99" s="524"/>
      <c r="K99" s="524">
        <v>1500</v>
      </c>
      <c r="L99" s="524"/>
      <c r="M99" s="529"/>
      <c r="N99" s="523">
        <v>0.1</v>
      </c>
      <c r="O99" s="523">
        <v>0.05</v>
      </c>
      <c r="P99" s="523"/>
      <c r="Q99" s="521">
        <f>'Preços Unitários'!D50</f>
        <v>1508468.81</v>
      </c>
      <c r="R99" s="522">
        <v>0.85</v>
      </c>
      <c r="S99" s="522">
        <v>0.15</v>
      </c>
      <c r="T99" s="522"/>
      <c r="U99" s="521">
        <f t="shared" si="9"/>
        <v>128219.84885000001</v>
      </c>
      <c r="V99" s="521">
        <f t="shared" si="10"/>
        <v>11313.516075</v>
      </c>
      <c r="W99" s="521">
        <f t="shared" si="11"/>
        <v>0</v>
      </c>
      <c r="X99" s="527">
        <f t="shared" si="12"/>
        <v>139533.364925</v>
      </c>
      <c r="Y99" s="503"/>
      <c r="Z99" s="503"/>
      <c r="AA99" s="503"/>
      <c r="AB99" s="503"/>
      <c r="AC99" s="503"/>
      <c r="AD99" s="503"/>
      <c r="AE99" s="503"/>
      <c r="AF99" s="503"/>
    </row>
    <row r="100" spans="1:32" ht="61.5" customHeight="1">
      <c r="A100" s="934"/>
      <c r="B100" s="524" t="s">
        <v>717</v>
      </c>
      <c r="C100" s="526" t="s">
        <v>1023</v>
      </c>
      <c r="D100" s="526" t="s">
        <v>1009</v>
      </c>
      <c r="E100" s="524" t="s">
        <v>1035</v>
      </c>
      <c r="F100" s="744" t="s">
        <v>1055</v>
      </c>
      <c r="G100" s="525" t="s">
        <v>1024</v>
      </c>
      <c r="H100" s="525" t="s">
        <v>1018</v>
      </c>
      <c r="I100" s="524"/>
      <c r="J100" s="524"/>
      <c r="K100" s="524">
        <v>2000</v>
      </c>
      <c r="L100" s="524"/>
      <c r="M100" s="524"/>
      <c r="N100" s="523">
        <v>0.1</v>
      </c>
      <c r="O100" s="523">
        <v>0.05</v>
      </c>
      <c r="P100" s="523"/>
      <c r="Q100" s="521">
        <f>'Preços Unitários'!D51</f>
        <v>2633427.85</v>
      </c>
      <c r="R100" s="522">
        <v>0.85</v>
      </c>
      <c r="S100" s="522">
        <v>0.15</v>
      </c>
      <c r="T100" s="522"/>
      <c r="U100" s="521">
        <f t="shared" si="9"/>
        <v>223841.36725000001</v>
      </c>
      <c r="V100" s="521">
        <f t="shared" si="10"/>
        <v>19750.708875</v>
      </c>
      <c r="W100" s="521">
        <f t="shared" si="11"/>
        <v>0</v>
      </c>
      <c r="X100" s="527">
        <f t="shared" si="12"/>
        <v>243592.07612500002</v>
      </c>
      <c r="Y100" s="503"/>
      <c r="Z100" s="503"/>
      <c r="AA100" s="503"/>
      <c r="AB100" s="503"/>
      <c r="AC100" s="503"/>
      <c r="AD100" s="503"/>
      <c r="AE100" s="503"/>
      <c r="AF100" s="503"/>
    </row>
    <row r="101" spans="1:32" ht="61.5" customHeight="1">
      <c r="A101" s="934"/>
      <c r="B101" s="524" t="s">
        <v>717</v>
      </c>
      <c r="C101" s="526" t="s">
        <v>1025</v>
      </c>
      <c r="D101" s="526" t="s">
        <v>1009</v>
      </c>
      <c r="E101" s="524" t="s">
        <v>1037</v>
      </c>
      <c r="F101" s="744" t="s">
        <v>1056</v>
      </c>
      <c r="G101" s="525" t="s">
        <v>1017</v>
      </c>
      <c r="H101" s="525" t="s">
        <v>1018</v>
      </c>
      <c r="I101" s="524"/>
      <c r="J101" s="524"/>
      <c r="K101" s="524">
        <v>250</v>
      </c>
      <c r="L101" s="524"/>
      <c r="M101" s="524"/>
      <c r="N101" s="523">
        <v>0.1</v>
      </c>
      <c r="O101" s="523">
        <v>0.05</v>
      </c>
      <c r="P101" s="523"/>
      <c r="Q101" s="521">
        <f>'Preços Unitários'!D48</f>
        <v>385050.91</v>
      </c>
      <c r="R101" s="522">
        <v>0.85</v>
      </c>
      <c r="S101" s="522">
        <v>0.15</v>
      </c>
      <c r="T101" s="522"/>
      <c r="U101" s="521">
        <f t="shared" si="9"/>
        <v>32729.327349999996</v>
      </c>
      <c r="V101" s="521">
        <f t="shared" si="10"/>
        <v>2887.8818249999999</v>
      </c>
      <c r="W101" s="521">
        <f t="shared" si="11"/>
        <v>0</v>
      </c>
      <c r="X101" s="527">
        <f t="shared" si="12"/>
        <v>35617.209174999996</v>
      </c>
      <c r="Y101" s="503"/>
      <c r="Z101" s="503"/>
      <c r="AA101" s="503"/>
      <c r="AB101" s="503"/>
      <c r="AC101" s="503"/>
      <c r="AD101" s="503"/>
      <c r="AE101" s="503"/>
      <c r="AF101" s="503"/>
    </row>
    <row r="102" spans="1:32" ht="61.5" customHeight="1">
      <c r="A102" s="934"/>
      <c r="B102" s="524" t="s">
        <v>717</v>
      </c>
      <c r="C102" s="526" t="s">
        <v>1026</v>
      </c>
      <c r="D102" s="526" t="s">
        <v>1009</v>
      </c>
      <c r="E102" s="524" t="s">
        <v>1038</v>
      </c>
      <c r="F102" s="744" t="s">
        <v>1057</v>
      </c>
      <c r="G102" s="525" t="s">
        <v>1027</v>
      </c>
      <c r="H102" s="525" t="s">
        <v>1018</v>
      </c>
      <c r="I102" s="524"/>
      <c r="J102" s="524"/>
      <c r="K102" s="524">
        <v>1500</v>
      </c>
      <c r="L102" s="524"/>
      <c r="M102" s="524"/>
      <c r="N102" s="523">
        <v>0.1</v>
      </c>
      <c r="O102" s="523">
        <v>0.05</v>
      </c>
      <c r="P102" s="523"/>
      <c r="Q102" s="521">
        <f>'Preços Unitários'!D50</f>
        <v>1508468.81</v>
      </c>
      <c r="R102" s="522">
        <v>0.85</v>
      </c>
      <c r="S102" s="522">
        <v>0.15</v>
      </c>
      <c r="T102" s="522"/>
      <c r="U102" s="521">
        <f t="shared" si="9"/>
        <v>128219.84885000001</v>
      </c>
      <c r="V102" s="521">
        <f t="shared" si="10"/>
        <v>11313.516075</v>
      </c>
      <c r="W102" s="521">
        <f t="shared" si="11"/>
        <v>0</v>
      </c>
      <c r="X102" s="527">
        <f t="shared" si="12"/>
        <v>139533.364925</v>
      </c>
      <c r="Y102" s="503"/>
      <c r="Z102" s="503"/>
      <c r="AA102" s="503"/>
      <c r="AB102" s="503"/>
      <c r="AC102" s="503"/>
      <c r="AD102" s="503"/>
      <c r="AE102" s="503"/>
      <c r="AF102" s="503"/>
    </row>
    <row r="103" spans="1:32" ht="61.5" customHeight="1">
      <c r="A103" s="934"/>
      <c r="B103" s="524" t="s">
        <v>717</v>
      </c>
      <c r="C103" s="526" t="s">
        <v>1028</v>
      </c>
      <c r="D103" s="526" t="s">
        <v>1009</v>
      </c>
      <c r="E103" s="524" t="s">
        <v>1039</v>
      </c>
      <c r="F103" s="744" t="s">
        <v>1058</v>
      </c>
      <c r="G103" s="525" t="s">
        <v>1017</v>
      </c>
      <c r="H103" s="525" t="s">
        <v>1018</v>
      </c>
      <c r="I103" s="524"/>
      <c r="J103" s="524"/>
      <c r="K103" s="524">
        <v>100</v>
      </c>
      <c r="L103" s="524"/>
      <c r="M103" s="524"/>
      <c r="N103" s="523">
        <v>0.1</v>
      </c>
      <c r="O103" s="523">
        <v>0.05</v>
      </c>
      <c r="P103" s="523"/>
      <c r="Q103" s="521">
        <f>'Preços Unitários'!D47</f>
        <v>298467.99</v>
      </c>
      <c r="R103" s="522">
        <v>0.85</v>
      </c>
      <c r="S103" s="522">
        <v>0.15</v>
      </c>
      <c r="T103" s="522"/>
      <c r="U103" s="521">
        <f t="shared" si="9"/>
        <v>25369.779150000002</v>
      </c>
      <c r="V103" s="521">
        <f t="shared" si="10"/>
        <v>2238.5099249999998</v>
      </c>
      <c r="W103" s="521">
        <f t="shared" si="11"/>
        <v>0</v>
      </c>
      <c r="X103" s="527">
        <f t="shared" si="12"/>
        <v>27608.289075000001</v>
      </c>
      <c r="Y103" s="503"/>
      <c r="Z103" s="503"/>
      <c r="AA103" s="503"/>
      <c r="AB103" s="503"/>
      <c r="AC103" s="503"/>
      <c r="AD103" s="503"/>
      <c r="AE103" s="503"/>
      <c r="AF103" s="503"/>
    </row>
    <row r="104" spans="1:32" ht="61.5" customHeight="1">
      <c r="A104" s="934"/>
      <c r="B104" s="524" t="s">
        <v>717</v>
      </c>
      <c r="C104" s="526" t="s">
        <v>1029</v>
      </c>
      <c r="D104" s="526" t="s">
        <v>1009</v>
      </c>
      <c r="E104" s="524" t="s">
        <v>1040</v>
      </c>
      <c r="F104" s="744" t="s">
        <v>1060</v>
      </c>
      <c r="G104" s="525" t="s">
        <v>1017</v>
      </c>
      <c r="H104" s="525" t="s">
        <v>1018</v>
      </c>
      <c r="I104" s="524"/>
      <c r="J104" s="524"/>
      <c r="K104" s="524">
        <v>500</v>
      </c>
      <c r="L104" s="524"/>
      <c r="M104" s="524"/>
      <c r="N104" s="523">
        <v>0.1</v>
      </c>
      <c r="O104" s="523">
        <v>0.05</v>
      </c>
      <c r="P104" s="523"/>
      <c r="Q104" s="521">
        <f>'Preços Unitários'!D49</f>
        <v>641751.51699999999</v>
      </c>
      <c r="R104" s="522">
        <v>0.85</v>
      </c>
      <c r="S104" s="522">
        <v>0.15</v>
      </c>
      <c r="T104" s="522"/>
      <c r="U104" s="521">
        <f t="shared" si="9"/>
        <v>54548.878944999997</v>
      </c>
      <c r="V104" s="521">
        <f t="shared" si="10"/>
        <v>4813.1363775</v>
      </c>
      <c r="W104" s="521">
        <f t="shared" si="11"/>
        <v>0</v>
      </c>
      <c r="X104" s="527">
        <f t="shared" si="12"/>
        <v>59362.015322499996</v>
      </c>
      <c r="Y104" s="503"/>
      <c r="Z104" s="503"/>
      <c r="AA104" s="503"/>
      <c r="AB104" s="503"/>
      <c r="AC104" s="503"/>
      <c r="AD104" s="503"/>
      <c r="AE104" s="503"/>
      <c r="AF104" s="503"/>
    </row>
    <row r="105" spans="1:32" ht="61.5" customHeight="1">
      <c r="A105" s="934"/>
      <c r="B105" s="524" t="s">
        <v>717</v>
      </c>
      <c r="C105" s="526" t="s">
        <v>1030</v>
      </c>
      <c r="D105" s="526" t="s">
        <v>1009</v>
      </c>
      <c r="E105" s="524" t="s">
        <v>1036</v>
      </c>
      <c r="F105" s="744" t="s">
        <v>1061</v>
      </c>
      <c r="G105" s="525" t="s">
        <v>1017</v>
      </c>
      <c r="H105" s="525" t="s">
        <v>1018</v>
      </c>
      <c r="I105" s="524"/>
      <c r="J105" s="524"/>
      <c r="K105" s="524">
        <v>500</v>
      </c>
      <c r="L105" s="524"/>
      <c r="M105" s="524"/>
      <c r="N105" s="523">
        <v>0.1</v>
      </c>
      <c r="O105" s="523">
        <v>0.05</v>
      </c>
      <c r="P105" s="523"/>
      <c r="Q105" s="521">
        <f>'Preços Unitários'!D49</f>
        <v>641751.51699999999</v>
      </c>
      <c r="R105" s="522">
        <v>0.85</v>
      </c>
      <c r="S105" s="522">
        <v>0.15</v>
      </c>
      <c r="T105" s="522"/>
      <c r="U105" s="521">
        <f t="shared" si="9"/>
        <v>54548.878944999997</v>
      </c>
      <c r="V105" s="521">
        <f t="shared" si="10"/>
        <v>4813.1363775</v>
      </c>
      <c r="W105" s="521">
        <f t="shared" si="11"/>
        <v>0</v>
      </c>
      <c r="X105" s="527">
        <f t="shared" si="12"/>
        <v>59362.015322499996</v>
      </c>
      <c r="Y105" s="503"/>
      <c r="Z105" s="503"/>
      <c r="AA105" s="503"/>
      <c r="AB105" s="503"/>
      <c r="AC105" s="503"/>
      <c r="AD105" s="503"/>
      <c r="AE105" s="503"/>
      <c r="AF105" s="503"/>
    </row>
    <row r="106" spans="1:32" ht="61.5" customHeight="1">
      <c r="A106" s="934"/>
      <c r="B106" s="524" t="s">
        <v>717</v>
      </c>
      <c r="C106" s="526" t="s">
        <v>1042</v>
      </c>
      <c r="D106" s="526" t="s">
        <v>1009</v>
      </c>
      <c r="E106" s="524" t="s">
        <v>1041</v>
      </c>
      <c r="F106" s="744" t="s">
        <v>1062</v>
      </c>
      <c r="G106" s="525" t="s">
        <v>1017</v>
      </c>
      <c r="H106" s="525" t="s">
        <v>1018</v>
      </c>
      <c r="I106" s="524"/>
      <c r="J106" s="524"/>
      <c r="K106" s="524">
        <v>500</v>
      </c>
      <c r="L106" s="524"/>
      <c r="M106" s="524"/>
      <c r="N106" s="523">
        <v>0.1</v>
      </c>
      <c r="O106" s="523">
        <v>0.05</v>
      </c>
      <c r="P106" s="523"/>
      <c r="Q106" s="521">
        <f>'Preços Unitários'!D49</f>
        <v>641751.51699999999</v>
      </c>
      <c r="R106" s="522">
        <v>0.85</v>
      </c>
      <c r="S106" s="522">
        <v>0.15</v>
      </c>
      <c r="T106" s="522"/>
      <c r="U106" s="521">
        <f t="shared" si="9"/>
        <v>54548.878944999997</v>
      </c>
      <c r="V106" s="521">
        <f t="shared" si="10"/>
        <v>4813.1363775</v>
      </c>
      <c r="W106" s="521">
        <f t="shared" si="11"/>
        <v>0</v>
      </c>
      <c r="X106" s="527">
        <f t="shared" si="12"/>
        <v>59362.015322499996</v>
      </c>
      <c r="Y106" s="503"/>
      <c r="Z106" s="503"/>
      <c r="AA106" s="503"/>
      <c r="AB106" s="503"/>
      <c r="AC106" s="503"/>
      <c r="AD106" s="503"/>
      <c r="AE106" s="503"/>
      <c r="AF106" s="503"/>
    </row>
    <row r="107" spans="1:32" ht="61.5" customHeight="1">
      <c r="A107" s="934"/>
      <c r="B107" s="524" t="s">
        <v>717</v>
      </c>
      <c r="C107" s="526" t="s">
        <v>1043</v>
      </c>
      <c r="D107" s="526" t="s">
        <v>1009</v>
      </c>
      <c r="E107" s="524" t="s">
        <v>1044</v>
      </c>
      <c r="F107" s="744" t="s">
        <v>1063</v>
      </c>
      <c r="G107" s="525" t="s">
        <v>1017</v>
      </c>
      <c r="H107" s="525" t="s">
        <v>1018</v>
      </c>
      <c r="I107" s="524"/>
      <c r="J107" s="524"/>
      <c r="K107" s="524">
        <v>500</v>
      </c>
      <c r="L107" s="524"/>
      <c r="M107" s="524"/>
      <c r="N107" s="523">
        <v>0.1</v>
      </c>
      <c r="O107" s="523">
        <v>0.05</v>
      </c>
      <c r="P107" s="523"/>
      <c r="Q107" s="521">
        <f>'Preços Unitários'!D49</f>
        <v>641751.51699999999</v>
      </c>
      <c r="R107" s="522">
        <v>0.85</v>
      </c>
      <c r="S107" s="522">
        <v>0.15</v>
      </c>
      <c r="T107" s="522"/>
      <c r="U107" s="521">
        <f t="shared" si="9"/>
        <v>54548.878944999997</v>
      </c>
      <c r="V107" s="521">
        <f t="shared" si="10"/>
        <v>4813.1363775</v>
      </c>
      <c r="W107" s="521">
        <f t="shared" si="11"/>
        <v>0</v>
      </c>
      <c r="X107" s="527">
        <f t="shared" si="12"/>
        <v>59362.015322499996</v>
      </c>
      <c r="Y107" s="503"/>
      <c r="Z107" s="503"/>
      <c r="AA107" s="503"/>
      <c r="AB107" s="503"/>
      <c r="AC107" s="503"/>
      <c r="AD107" s="503"/>
      <c r="AE107" s="503"/>
      <c r="AF107" s="503"/>
    </row>
    <row r="108" spans="1:32" ht="61.5" customHeight="1">
      <c r="A108" s="934"/>
      <c r="B108" s="524" t="s">
        <v>717</v>
      </c>
      <c r="C108" s="526" t="s">
        <v>1054</v>
      </c>
      <c r="D108" s="526" t="s">
        <v>1009</v>
      </c>
      <c r="E108" s="524" t="s">
        <v>1044</v>
      </c>
      <c r="F108" s="744" t="s">
        <v>1063</v>
      </c>
      <c r="G108" s="525" t="s">
        <v>1027</v>
      </c>
      <c r="H108" s="525" t="s">
        <v>1018</v>
      </c>
      <c r="I108" s="524"/>
      <c r="J108" s="524"/>
      <c r="K108" s="524">
        <v>90</v>
      </c>
      <c r="L108" s="524"/>
      <c r="M108" s="524"/>
      <c r="N108" s="523">
        <v>0.1</v>
      </c>
      <c r="O108" s="523">
        <v>0.05</v>
      </c>
      <c r="P108" s="523"/>
      <c r="Q108" s="521">
        <f>'Preços Unitários'!D46</f>
        <v>149233.995</v>
      </c>
      <c r="R108" s="522">
        <v>0.85</v>
      </c>
      <c r="S108" s="522">
        <v>0.15</v>
      </c>
      <c r="T108" s="522"/>
      <c r="U108" s="521">
        <f t="shared" si="9"/>
        <v>12684.889575000001</v>
      </c>
      <c r="V108" s="521">
        <f t="shared" si="10"/>
        <v>1119.2549624999999</v>
      </c>
      <c r="W108" s="521">
        <f t="shared" si="11"/>
        <v>0</v>
      </c>
      <c r="X108" s="527">
        <f t="shared" si="12"/>
        <v>13804.1445375</v>
      </c>
      <c r="Y108" s="503"/>
      <c r="Z108" s="503"/>
      <c r="AA108" s="503"/>
      <c r="AB108" s="503"/>
      <c r="AC108" s="503"/>
      <c r="AD108" s="503"/>
      <c r="AE108" s="503"/>
      <c r="AF108" s="503"/>
    </row>
    <row r="109" spans="1:32" ht="61.5" customHeight="1">
      <c r="A109" s="934"/>
      <c r="B109" s="524" t="s">
        <v>717</v>
      </c>
      <c r="C109" s="526" t="s">
        <v>1053</v>
      </c>
      <c r="D109" s="526" t="s">
        <v>1009</v>
      </c>
      <c r="E109" s="524" t="s">
        <v>1045</v>
      </c>
      <c r="F109" s="744" t="s">
        <v>1064</v>
      </c>
      <c r="G109" s="525" t="s">
        <v>1017</v>
      </c>
      <c r="H109" s="525" t="s">
        <v>1032</v>
      </c>
      <c r="I109" s="524"/>
      <c r="J109" s="524"/>
      <c r="K109" s="524">
        <v>100</v>
      </c>
      <c r="L109" s="524"/>
      <c r="M109" s="524"/>
      <c r="N109" s="523">
        <v>0.1</v>
      </c>
      <c r="O109" s="523">
        <v>0.05</v>
      </c>
      <c r="P109" s="523"/>
      <c r="Q109" s="521">
        <f>'Preços Unitários'!D60</f>
        <v>122425.57</v>
      </c>
      <c r="R109" s="522">
        <v>0.85</v>
      </c>
      <c r="S109" s="522">
        <v>0.15</v>
      </c>
      <c r="T109" s="522"/>
      <c r="U109" s="521">
        <f t="shared" si="9"/>
        <v>10406.173450000002</v>
      </c>
      <c r="V109" s="521">
        <f t="shared" si="10"/>
        <v>918.19177500000012</v>
      </c>
      <c r="W109" s="521">
        <f t="shared" si="11"/>
        <v>0</v>
      </c>
      <c r="X109" s="527">
        <f t="shared" si="12"/>
        <v>11324.365225000001</v>
      </c>
      <c r="Y109" s="503"/>
      <c r="Z109" s="503"/>
      <c r="AA109" s="503"/>
      <c r="AB109" s="503"/>
      <c r="AC109" s="503"/>
      <c r="AD109" s="503"/>
      <c r="AE109" s="503"/>
      <c r="AF109" s="503"/>
    </row>
    <row r="110" spans="1:32" ht="61.5" customHeight="1">
      <c r="A110" s="934"/>
      <c r="B110" s="524" t="s">
        <v>717</v>
      </c>
      <c r="C110" s="526" t="s">
        <v>1052</v>
      </c>
      <c r="D110" s="526" t="s">
        <v>1009</v>
      </c>
      <c r="E110" s="524" t="s">
        <v>1045</v>
      </c>
      <c r="F110" s="744" t="s">
        <v>1064</v>
      </c>
      <c r="G110" s="525" t="s">
        <v>1017</v>
      </c>
      <c r="H110" s="525" t="s">
        <v>1032</v>
      </c>
      <c r="I110" s="524"/>
      <c r="J110" s="524"/>
      <c r="K110" s="524">
        <v>100</v>
      </c>
      <c r="L110" s="524"/>
      <c r="M110" s="524"/>
      <c r="N110" s="523">
        <v>0.1</v>
      </c>
      <c r="O110" s="523">
        <v>0.05</v>
      </c>
      <c r="P110" s="523"/>
      <c r="Q110" s="521">
        <f>'Preços Unitários'!D60</f>
        <v>122425.57</v>
      </c>
      <c r="R110" s="522">
        <v>0.85</v>
      </c>
      <c r="S110" s="522">
        <v>0.15</v>
      </c>
      <c r="T110" s="522"/>
      <c r="U110" s="521">
        <f t="shared" si="9"/>
        <v>10406.173450000002</v>
      </c>
      <c r="V110" s="521">
        <f t="shared" si="10"/>
        <v>918.19177500000012</v>
      </c>
      <c r="W110" s="521">
        <f t="shared" si="11"/>
        <v>0</v>
      </c>
      <c r="X110" s="527">
        <f t="shared" si="12"/>
        <v>11324.365225000001</v>
      </c>
      <c r="Y110" s="503"/>
      <c r="Z110" s="503"/>
      <c r="AA110" s="503"/>
      <c r="AB110" s="503"/>
      <c r="AC110" s="503"/>
      <c r="AD110" s="503"/>
      <c r="AE110" s="503"/>
      <c r="AF110" s="503"/>
    </row>
    <row r="111" spans="1:32" ht="61.5" customHeight="1">
      <c r="A111" s="934"/>
      <c r="B111" s="524" t="s">
        <v>717</v>
      </c>
      <c r="C111" s="526" t="s">
        <v>1051</v>
      </c>
      <c r="D111" s="526" t="s">
        <v>1009</v>
      </c>
      <c r="E111" s="524" t="s">
        <v>1046</v>
      </c>
      <c r="F111" s="744" t="s">
        <v>1065</v>
      </c>
      <c r="G111" s="525" t="s">
        <v>1017</v>
      </c>
      <c r="H111" s="525" t="s">
        <v>1032</v>
      </c>
      <c r="I111" s="524"/>
      <c r="J111" s="524"/>
      <c r="K111" s="524">
        <v>100</v>
      </c>
      <c r="L111" s="524"/>
      <c r="M111" s="524"/>
      <c r="N111" s="523">
        <v>0.1</v>
      </c>
      <c r="O111" s="523">
        <v>0.05</v>
      </c>
      <c r="P111" s="523"/>
      <c r="Q111" s="521">
        <f>'Preços Unitários'!D60</f>
        <v>122425.57</v>
      </c>
      <c r="R111" s="522">
        <v>0.85</v>
      </c>
      <c r="S111" s="522">
        <v>0.15</v>
      </c>
      <c r="T111" s="522"/>
      <c r="U111" s="521">
        <f t="shared" si="9"/>
        <v>10406.173450000002</v>
      </c>
      <c r="V111" s="521">
        <f t="shared" si="10"/>
        <v>918.19177500000012</v>
      </c>
      <c r="W111" s="521">
        <f t="shared" si="11"/>
        <v>0</v>
      </c>
      <c r="X111" s="527">
        <f t="shared" si="12"/>
        <v>11324.365225000001</v>
      </c>
      <c r="Y111" s="503"/>
      <c r="Z111" s="503"/>
      <c r="AA111" s="503"/>
      <c r="AB111" s="503"/>
      <c r="AC111" s="503"/>
      <c r="AD111" s="503"/>
      <c r="AE111" s="503"/>
      <c r="AF111" s="503"/>
    </row>
    <row r="112" spans="1:32" ht="61.5" customHeight="1">
      <c r="A112" s="934"/>
      <c r="B112" s="524" t="s">
        <v>717</v>
      </c>
      <c r="C112" s="526" t="s">
        <v>1050</v>
      </c>
      <c r="D112" s="526" t="s">
        <v>1009</v>
      </c>
      <c r="E112" s="524" t="s">
        <v>1047</v>
      </c>
      <c r="F112" s="744" t="s">
        <v>1066</v>
      </c>
      <c r="G112" s="525" t="s">
        <v>1017</v>
      </c>
      <c r="H112" s="525" t="s">
        <v>1018</v>
      </c>
      <c r="I112" s="524"/>
      <c r="J112" s="524"/>
      <c r="K112" s="524">
        <v>250</v>
      </c>
      <c r="L112" s="524"/>
      <c r="M112" s="524"/>
      <c r="N112" s="523">
        <v>0.1</v>
      </c>
      <c r="O112" s="523">
        <v>0.05</v>
      </c>
      <c r="P112" s="523"/>
      <c r="Q112" s="521">
        <f>'Preços Unitários'!D48</f>
        <v>385050.91</v>
      </c>
      <c r="R112" s="522">
        <v>0.85</v>
      </c>
      <c r="S112" s="522">
        <v>0.15</v>
      </c>
      <c r="T112" s="522"/>
      <c r="U112" s="521">
        <f t="shared" si="9"/>
        <v>32729.327349999996</v>
      </c>
      <c r="V112" s="521">
        <f t="shared" si="10"/>
        <v>2887.8818249999999</v>
      </c>
      <c r="W112" s="521">
        <f t="shared" si="11"/>
        <v>0</v>
      </c>
      <c r="X112" s="527">
        <f t="shared" si="12"/>
        <v>35617.209174999996</v>
      </c>
      <c r="Y112" s="503"/>
      <c r="Z112" s="503"/>
      <c r="AA112" s="503"/>
      <c r="AB112" s="503"/>
      <c r="AC112" s="503"/>
      <c r="AD112" s="503"/>
      <c r="AE112" s="503"/>
      <c r="AF112" s="503"/>
    </row>
    <row r="113" spans="1:32" ht="60" customHeight="1">
      <c r="A113" s="934"/>
      <c r="B113" s="524" t="s">
        <v>717</v>
      </c>
      <c r="C113" s="526" t="s">
        <v>1049</v>
      </c>
      <c r="D113" s="526" t="s">
        <v>1009</v>
      </c>
      <c r="E113" s="524" t="s">
        <v>1048</v>
      </c>
      <c r="F113" s="744" t="s">
        <v>1067</v>
      </c>
      <c r="G113" s="525" t="s">
        <v>1017</v>
      </c>
      <c r="H113" s="525" t="s">
        <v>1032</v>
      </c>
      <c r="I113" s="524"/>
      <c r="J113" s="524"/>
      <c r="K113" s="524">
        <v>250</v>
      </c>
      <c r="L113" s="524"/>
      <c r="M113" s="524"/>
      <c r="N113" s="523">
        <v>0.1</v>
      </c>
      <c r="O113" s="523">
        <v>0.05</v>
      </c>
      <c r="P113" s="523"/>
      <c r="Q113" s="521">
        <f>'Preços Unitários'!D64</f>
        <v>341224.61</v>
      </c>
      <c r="R113" s="522">
        <v>0.85</v>
      </c>
      <c r="S113" s="522">
        <v>0.15</v>
      </c>
      <c r="T113" s="522"/>
      <c r="U113" s="521">
        <f t="shared" si="9"/>
        <v>29004.091849999997</v>
      </c>
      <c r="V113" s="521">
        <f t="shared" si="10"/>
        <v>2559.1845749999998</v>
      </c>
      <c r="W113" s="521">
        <f t="shared" si="11"/>
        <v>0</v>
      </c>
      <c r="X113" s="527">
        <f t="shared" si="12"/>
        <v>31563.276424999996</v>
      </c>
      <c r="Y113" s="503"/>
      <c r="Z113" s="503"/>
      <c r="AA113" s="503"/>
      <c r="AB113" s="503"/>
      <c r="AC113" s="503"/>
      <c r="AD113" s="503"/>
      <c r="AE113" s="503"/>
      <c r="AF113" s="503"/>
    </row>
    <row r="114" spans="1:32" ht="31.8" customHeight="1">
      <c r="A114" s="538"/>
      <c r="B114" s="537"/>
      <c r="C114" s="536"/>
      <c r="D114" s="535"/>
      <c r="E114" s="535"/>
      <c r="F114" s="747"/>
      <c r="G114" s="535"/>
      <c r="H114" s="535"/>
      <c r="I114" s="535"/>
      <c r="J114" s="535"/>
      <c r="K114" s="535"/>
      <c r="L114" s="535"/>
      <c r="M114" s="534"/>
      <c r="N114" s="533"/>
      <c r="O114" s="532"/>
      <c r="P114" s="532"/>
      <c r="Q114" s="531"/>
      <c r="R114" s="532"/>
      <c r="S114" s="532"/>
      <c r="T114" s="532"/>
      <c r="U114" s="531"/>
      <c r="V114" s="531"/>
      <c r="W114" s="531"/>
      <c r="X114" s="758">
        <f>SUM(X97:X113)</f>
        <v>1009524.5096775</v>
      </c>
      <c r="Y114" s="503"/>
      <c r="Z114" s="503"/>
      <c r="AA114" s="503"/>
      <c r="AB114" s="503"/>
      <c r="AC114" s="503"/>
      <c r="AD114" s="503"/>
      <c r="AE114" s="503"/>
      <c r="AF114" s="503"/>
    </row>
    <row r="115" spans="1:32" ht="185.55" customHeight="1">
      <c r="A115" s="756" t="s">
        <v>1187</v>
      </c>
      <c r="B115" s="524" t="s">
        <v>717</v>
      </c>
      <c r="C115" s="526" t="s">
        <v>1177</v>
      </c>
      <c r="D115" s="526" t="s">
        <v>1009</v>
      </c>
      <c r="E115" s="524" t="s">
        <v>1174</v>
      </c>
      <c r="F115" s="744"/>
      <c r="G115" s="525" t="s">
        <v>1017</v>
      </c>
      <c r="H115" s="525" t="s">
        <v>1176</v>
      </c>
      <c r="I115" s="524"/>
      <c r="J115" s="524"/>
      <c r="K115" s="524">
        <v>40</v>
      </c>
      <c r="L115" s="524"/>
      <c r="M115" s="524"/>
      <c r="N115" s="523">
        <v>0.1</v>
      </c>
      <c r="O115" s="523">
        <v>0.05</v>
      </c>
      <c r="P115" s="523"/>
      <c r="Q115" s="521">
        <f>'Preços Unitários'!D74*2</f>
        <v>50758.74</v>
      </c>
      <c r="R115" s="522">
        <v>0.85</v>
      </c>
      <c r="S115" s="522">
        <v>0.15</v>
      </c>
      <c r="T115" s="522"/>
      <c r="U115" s="521">
        <f t="shared" si="9"/>
        <v>4314.4929000000002</v>
      </c>
      <c r="V115" s="521">
        <f t="shared" si="10"/>
        <v>380.69055000000003</v>
      </c>
      <c r="W115" s="521">
        <f t="shared" si="11"/>
        <v>0</v>
      </c>
      <c r="X115" s="527">
        <f t="shared" si="12"/>
        <v>4695.1834500000004</v>
      </c>
      <c r="Y115" s="503"/>
      <c r="Z115" s="503"/>
      <c r="AA115" s="503"/>
      <c r="AB115" s="503"/>
      <c r="AC115" s="503"/>
      <c r="AD115" s="503"/>
      <c r="AE115" s="503"/>
      <c r="AF115" s="503"/>
    </row>
    <row r="116" spans="1:32" ht="27" customHeight="1">
      <c r="A116" s="538"/>
      <c r="B116" s="537"/>
      <c r="C116" s="536"/>
      <c r="D116" s="535"/>
      <c r="E116" s="535"/>
      <c r="F116" s="747"/>
      <c r="G116" s="535"/>
      <c r="H116" s="535"/>
      <c r="I116" s="535"/>
      <c r="J116" s="535"/>
      <c r="K116" s="535"/>
      <c r="L116" s="535"/>
      <c r="M116" s="534"/>
      <c r="N116" s="533"/>
      <c r="O116" s="532"/>
      <c r="P116" s="532"/>
      <c r="Q116" s="531"/>
      <c r="R116" s="532"/>
      <c r="S116" s="532"/>
      <c r="T116" s="532"/>
      <c r="U116" s="531"/>
      <c r="V116" s="531"/>
      <c r="W116" s="531"/>
      <c r="X116" s="758">
        <f>X115</f>
        <v>4695.1834500000004</v>
      </c>
      <c r="Y116" s="503"/>
      <c r="Z116" s="503"/>
      <c r="AA116" s="503"/>
      <c r="AB116" s="503"/>
      <c r="AC116" s="503"/>
      <c r="AD116" s="503"/>
      <c r="AE116" s="503"/>
      <c r="AF116" s="503"/>
    </row>
    <row r="117" spans="1:32" ht="180" customHeight="1">
      <c r="A117" s="756" t="s">
        <v>1187</v>
      </c>
      <c r="B117" s="524" t="s">
        <v>717</v>
      </c>
      <c r="C117" s="526" t="s">
        <v>1178</v>
      </c>
      <c r="D117" s="526" t="s">
        <v>1009</v>
      </c>
      <c r="E117" s="524" t="s">
        <v>1175</v>
      </c>
      <c r="F117" s="744"/>
      <c r="G117" s="525" t="s">
        <v>1027</v>
      </c>
      <c r="H117" s="525" t="s">
        <v>1176</v>
      </c>
      <c r="I117" s="524"/>
      <c r="J117" s="524"/>
      <c r="K117" s="524">
        <v>20</v>
      </c>
      <c r="L117" s="524"/>
      <c r="M117" s="524"/>
      <c r="N117" s="523">
        <v>0.1</v>
      </c>
      <c r="O117" s="523">
        <v>0.05</v>
      </c>
      <c r="P117" s="523"/>
      <c r="Q117" s="521">
        <f>'Preços Unitários'!D74</f>
        <v>25379.37</v>
      </c>
      <c r="R117" s="522">
        <v>0.85</v>
      </c>
      <c r="S117" s="522">
        <v>0.15</v>
      </c>
      <c r="T117" s="522"/>
      <c r="U117" s="521">
        <f t="shared" si="9"/>
        <v>2157.2464500000001</v>
      </c>
      <c r="V117" s="521">
        <f>S117*Q117*O117</f>
        <v>190.34527500000002</v>
      </c>
      <c r="W117" s="521">
        <f t="shared" si="11"/>
        <v>0</v>
      </c>
      <c r="X117" s="527">
        <f t="shared" si="12"/>
        <v>2347.5917250000002</v>
      </c>
      <c r="Y117" s="503"/>
      <c r="Z117" s="503"/>
      <c r="AA117" s="503"/>
      <c r="AB117" s="503"/>
      <c r="AC117" s="503"/>
      <c r="AD117" s="503"/>
      <c r="AE117" s="503"/>
      <c r="AF117" s="503"/>
    </row>
    <row r="118" spans="1:32" ht="27" customHeight="1">
      <c r="A118" s="538"/>
      <c r="B118" s="537"/>
      <c r="C118" s="536"/>
      <c r="D118" s="535"/>
      <c r="E118" s="535"/>
      <c r="F118" s="747"/>
      <c r="G118" s="535"/>
      <c r="H118" s="535"/>
      <c r="I118" s="535"/>
      <c r="J118" s="535"/>
      <c r="K118" s="535"/>
      <c r="L118" s="535"/>
      <c r="M118" s="534"/>
      <c r="N118" s="533"/>
      <c r="O118" s="532"/>
      <c r="P118" s="532"/>
      <c r="Q118" s="531"/>
      <c r="R118" s="532"/>
      <c r="S118" s="532"/>
      <c r="T118" s="532"/>
      <c r="U118" s="531"/>
      <c r="V118" s="531"/>
      <c r="W118" s="531"/>
      <c r="X118" s="758">
        <f>X117</f>
        <v>2347.5917250000002</v>
      </c>
      <c r="Y118" s="503"/>
      <c r="Z118" s="503"/>
      <c r="AA118" s="503"/>
      <c r="AB118" s="503"/>
      <c r="AC118" s="503"/>
      <c r="AD118" s="503"/>
      <c r="AE118" s="503"/>
      <c r="AF118" s="503"/>
    </row>
    <row r="119" spans="1:32" ht="60" customHeight="1">
      <c r="A119" s="935" t="s">
        <v>285</v>
      </c>
      <c r="B119" s="524" t="s">
        <v>1084</v>
      </c>
      <c r="C119" s="526"/>
      <c r="D119" s="526" t="s">
        <v>1009</v>
      </c>
      <c r="E119" s="524" t="s">
        <v>1086</v>
      </c>
      <c r="F119" s="744" t="s">
        <v>1055</v>
      </c>
      <c r="G119" s="525" t="s">
        <v>1087</v>
      </c>
      <c r="H119" s="525"/>
      <c r="I119" s="524">
        <v>213</v>
      </c>
      <c r="J119" s="524"/>
      <c r="K119" s="524"/>
      <c r="L119" s="524"/>
      <c r="M119" s="524"/>
      <c r="N119" s="523">
        <v>0.15</v>
      </c>
      <c r="O119" s="523">
        <v>0.1</v>
      </c>
      <c r="P119" s="523">
        <v>0.1</v>
      </c>
      <c r="Q119" s="521">
        <f>'Preços Unitários'!D26*I119</f>
        <v>5325000</v>
      </c>
      <c r="R119" s="522">
        <v>0.6</v>
      </c>
      <c r="S119" s="522">
        <v>0.2</v>
      </c>
      <c r="T119" s="522">
        <v>0.2</v>
      </c>
      <c r="U119" s="521">
        <f>R119*Q119*N119</f>
        <v>479250</v>
      </c>
      <c r="V119" s="521">
        <f>S119*Q119*O119</f>
        <v>106500</v>
      </c>
      <c r="W119" s="521">
        <f>T119*Q119*P119</f>
        <v>106500</v>
      </c>
      <c r="X119" s="527">
        <f>U119+V119+W119</f>
        <v>692250</v>
      </c>
      <c r="Y119" s="503"/>
      <c r="Z119" s="503"/>
      <c r="AA119" s="503"/>
      <c r="AB119" s="503"/>
      <c r="AC119" s="503"/>
      <c r="AD119" s="503"/>
      <c r="AE119" s="503"/>
      <c r="AF119" s="503"/>
    </row>
    <row r="120" spans="1:32" ht="60" customHeight="1">
      <c r="A120" s="935"/>
      <c r="B120" s="524" t="s">
        <v>1085</v>
      </c>
      <c r="C120" s="524"/>
      <c r="D120" s="524" t="s">
        <v>1009</v>
      </c>
      <c r="E120" s="524" t="s">
        <v>1033</v>
      </c>
      <c r="F120" s="524" t="s">
        <v>1059</v>
      </c>
      <c r="G120" s="524" t="s">
        <v>1087</v>
      </c>
      <c r="H120" s="524"/>
      <c r="I120" s="524">
        <v>165</v>
      </c>
      <c r="J120" s="524"/>
      <c r="K120" s="524"/>
      <c r="L120" s="524"/>
      <c r="M120" s="524"/>
      <c r="N120" s="523">
        <v>0.15</v>
      </c>
      <c r="O120" s="523">
        <v>0.1</v>
      </c>
      <c r="P120" s="523">
        <v>0.1</v>
      </c>
      <c r="Q120" s="521">
        <f>'Preços Unitários'!D26*'Diagnóstico - Ativos'!I120</f>
        <v>4125000</v>
      </c>
      <c r="R120" s="522">
        <v>0.6</v>
      </c>
      <c r="S120" s="522">
        <v>0.2</v>
      </c>
      <c r="T120" s="522">
        <v>0.2</v>
      </c>
      <c r="U120" s="521">
        <f>R120*Q120*N120</f>
        <v>371250</v>
      </c>
      <c r="V120" s="521">
        <f>S120*Q120*O120</f>
        <v>82500</v>
      </c>
      <c r="W120" s="521">
        <f>T120*Q120*P120</f>
        <v>82500</v>
      </c>
      <c r="X120" s="527">
        <f>U120+V120+W120</f>
        <v>536250</v>
      </c>
      <c r="Y120" s="503"/>
      <c r="Z120" s="503"/>
      <c r="AA120" s="503"/>
      <c r="AB120" s="503"/>
      <c r="AC120" s="503"/>
      <c r="AD120" s="503"/>
      <c r="AE120" s="503"/>
      <c r="AF120" s="503"/>
    </row>
    <row r="121" spans="1:32" ht="27" customHeight="1">
      <c r="A121" s="538"/>
      <c r="B121" s="537"/>
      <c r="C121" s="536"/>
      <c r="D121" s="535"/>
      <c r="E121" s="535"/>
      <c r="F121" s="747"/>
      <c r="G121" s="535"/>
      <c r="H121" s="535"/>
      <c r="I121" s="535"/>
      <c r="J121" s="535"/>
      <c r="K121" s="535"/>
      <c r="L121" s="535"/>
      <c r="M121" s="534"/>
      <c r="N121" s="533"/>
      <c r="O121" s="532"/>
      <c r="P121" s="532"/>
      <c r="Q121" s="531"/>
      <c r="R121" s="532"/>
      <c r="S121" s="532"/>
      <c r="T121" s="532"/>
      <c r="U121" s="531"/>
      <c r="V121" s="531"/>
      <c r="W121" s="531"/>
      <c r="X121" s="758">
        <f>SUM(X119:X120)</f>
        <v>1228500</v>
      </c>
      <c r="Y121" s="503"/>
      <c r="Z121" s="503"/>
      <c r="AA121" s="503"/>
      <c r="AB121" s="503"/>
      <c r="AC121" s="503"/>
      <c r="AD121" s="503"/>
      <c r="AE121" s="503"/>
      <c r="AF121" s="503"/>
    </row>
    <row r="122" spans="1:32" ht="69.45" customHeight="1">
      <c r="A122" s="935" t="s">
        <v>1155</v>
      </c>
      <c r="B122" s="524" t="s">
        <v>1156</v>
      </c>
      <c r="C122" s="526"/>
      <c r="D122" s="526"/>
      <c r="E122" s="524"/>
      <c r="F122" s="744" t="s">
        <v>1159</v>
      </c>
      <c r="G122" s="525" t="s">
        <v>1018</v>
      </c>
      <c r="H122" s="525"/>
      <c r="I122" s="524"/>
      <c r="J122" s="524"/>
      <c r="K122" s="757">
        <v>300</v>
      </c>
      <c r="L122" s="524"/>
      <c r="M122" s="524"/>
      <c r="N122" s="523">
        <v>0.1</v>
      </c>
      <c r="O122" s="523">
        <v>0.05</v>
      </c>
      <c r="P122" s="523"/>
      <c r="Q122" s="521">
        <f>'Preços Unitários'!D48</f>
        <v>385050.91</v>
      </c>
      <c r="R122" s="522">
        <v>0.9</v>
      </c>
      <c r="S122" s="522">
        <v>0.1</v>
      </c>
      <c r="T122" s="522"/>
      <c r="U122" s="521">
        <f>R122*Q122*N122</f>
        <v>34654.581899999997</v>
      </c>
      <c r="V122" s="521">
        <f>S122*Q122*O122</f>
        <v>1925.2545500000001</v>
      </c>
      <c r="W122" s="521">
        <f>T122*Q122*P122</f>
        <v>0</v>
      </c>
      <c r="X122" s="527">
        <f>U122+V122+W122</f>
        <v>36579.836449999995</v>
      </c>
      <c r="Y122" s="503"/>
      <c r="Z122" s="503"/>
      <c r="AA122" s="503"/>
      <c r="AB122" s="503"/>
      <c r="AC122" s="503"/>
      <c r="AD122" s="503"/>
      <c r="AE122" s="503"/>
      <c r="AF122" s="503"/>
    </row>
    <row r="123" spans="1:32" ht="65.55" customHeight="1">
      <c r="A123" s="935"/>
      <c r="B123" s="524" t="s">
        <v>1157</v>
      </c>
      <c r="C123" s="526"/>
      <c r="D123" s="526"/>
      <c r="E123" s="524"/>
      <c r="F123" s="744" t="s">
        <v>1160</v>
      </c>
      <c r="G123" s="525" t="s">
        <v>1018</v>
      </c>
      <c r="H123" s="525"/>
      <c r="I123" s="524"/>
      <c r="J123" s="524"/>
      <c r="K123" s="757">
        <v>300</v>
      </c>
      <c r="L123" s="524"/>
      <c r="M123" s="524"/>
      <c r="N123" s="523">
        <v>0.1</v>
      </c>
      <c r="O123" s="523">
        <v>0.05</v>
      </c>
      <c r="P123" s="523"/>
      <c r="Q123" s="521">
        <f>'Preços Unitários'!D48</f>
        <v>385050.91</v>
      </c>
      <c r="R123" s="522">
        <v>0.9</v>
      </c>
      <c r="S123" s="522">
        <v>0.1</v>
      </c>
      <c r="T123" s="522"/>
      <c r="U123" s="521">
        <f t="shared" ref="U123:U124" si="13">R123*Q123*N123</f>
        <v>34654.581899999997</v>
      </c>
      <c r="V123" s="521">
        <f t="shared" ref="V123:V124" si="14">S123*Q123*O123</f>
        <v>1925.2545500000001</v>
      </c>
      <c r="W123" s="521">
        <f t="shared" ref="W123:W124" si="15">T123*Q123*P123</f>
        <v>0</v>
      </c>
      <c r="X123" s="527">
        <f t="shared" ref="X123:X124" si="16">U123+V123+W123</f>
        <v>36579.836449999995</v>
      </c>
      <c r="Y123" s="503"/>
      <c r="Z123" s="503"/>
      <c r="AA123" s="503"/>
      <c r="AB123" s="503"/>
      <c r="AC123" s="503"/>
      <c r="AD123" s="503"/>
      <c r="AE123" s="503"/>
      <c r="AF123" s="503"/>
    </row>
    <row r="124" spans="1:32" ht="66.45" customHeight="1">
      <c r="A124" s="935"/>
      <c r="B124" s="524" t="s">
        <v>1158</v>
      </c>
      <c r="C124" s="524"/>
      <c r="D124" s="524"/>
      <c r="E124" s="524"/>
      <c r="F124" s="744" t="s">
        <v>1161</v>
      </c>
      <c r="G124" s="525" t="s">
        <v>1018</v>
      </c>
      <c r="H124" s="524"/>
      <c r="I124" s="524"/>
      <c r="J124" s="524"/>
      <c r="K124" s="757">
        <v>300</v>
      </c>
      <c r="L124" s="524"/>
      <c r="M124" s="524"/>
      <c r="N124" s="523">
        <v>0.1</v>
      </c>
      <c r="O124" s="523">
        <v>0.05</v>
      </c>
      <c r="P124" s="524"/>
      <c r="Q124" s="521">
        <f>'Preços Unitários'!D48</f>
        <v>385050.91</v>
      </c>
      <c r="R124" s="522">
        <v>0.9</v>
      </c>
      <c r="S124" s="522">
        <v>0.1</v>
      </c>
      <c r="T124" s="524"/>
      <c r="U124" s="521">
        <f t="shared" si="13"/>
        <v>34654.581899999997</v>
      </c>
      <c r="V124" s="521">
        <f t="shared" si="14"/>
        <v>1925.2545500000001</v>
      </c>
      <c r="W124" s="521">
        <f t="shared" si="15"/>
        <v>0</v>
      </c>
      <c r="X124" s="527">
        <f t="shared" si="16"/>
        <v>36579.836449999995</v>
      </c>
      <c r="Y124" s="503"/>
      <c r="Z124" s="503"/>
      <c r="AA124" s="503"/>
      <c r="AB124" s="503"/>
      <c r="AC124" s="503"/>
      <c r="AD124" s="503"/>
      <c r="AE124" s="503"/>
      <c r="AF124" s="503"/>
    </row>
    <row r="125" spans="1:32" ht="27.45" customHeight="1">
      <c r="A125" s="535"/>
      <c r="B125" s="535"/>
      <c r="C125" s="536"/>
      <c r="D125" s="535"/>
      <c r="E125" s="535"/>
      <c r="F125" s="747"/>
      <c r="G125" s="535"/>
      <c r="H125" s="535"/>
      <c r="I125" s="535"/>
      <c r="J125" s="535"/>
      <c r="K125" s="535"/>
      <c r="L125" s="535"/>
      <c r="M125" s="534"/>
      <c r="N125" s="533"/>
      <c r="O125" s="532"/>
      <c r="P125" s="532"/>
      <c r="Q125" s="531"/>
      <c r="R125" s="532"/>
      <c r="S125" s="532"/>
      <c r="T125" s="532"/>
      <c r="U125" s="531"/>
      <c r="V125" s="531"/>
      <c r="W125" s="531"/>
      <c r="X125" s="758">
        <f>SUM(X122:X124)</f>
        <v>109739.50934999998</v>
      </c>
      <c r="Y125" s="503"/>
      <c r="Z125" s="503"/>
      <c r="AA125" s="503"/>
      <c r="AB125" s="503"/>
      <c r="AC125" s="503"/>
      <c r="AD125" s="503"/>
      <c r="AE125" s="503"/>
      <c r="AF125" s="503"/>
    </row>
    <row r="126" spans="1:32" ht="24.45" customHeight="1">
      <c r="A126" s="535"/>
      <c r="B126" s="535"/>
      <c r="C126" s="536"/>
      <c r="D126" s="535"/>
      <c r="E126" s="535"/>
      <c r="F126" s="747"/>
      <c r="G126" s="535"/>
      <c r="H126" s="535"/>
      <c r="I126" s="535"/>
      <c r="J126" s="535"/>
      <c r="K126" s="535"/>
      <c r="L126" s="535"/>
      <c r="M126" s="534"/>
      <c r="N126" s="533"/>
      <c r="O126" s="532"/>
      <c r="P126" s="532"/>
      <c r="Q126" s="531"/>
      <c r="R126" s="532"/>
      <c r="S126" s="532"/>
      <c r="T126" s="532"/>
      <c r="U126" s="531"/>
      <c r="V126" s="531"/>
      <c r="W126" s="759" t="s">
        <v>1184</v>
      </c>
      <c r="X126" s="758">
        <f>SUM(X125,X121,X118,X116,X114,X96,X15,X13,X11)</f>
        <v>4582000.4157224996</v>
      </c>
      <c r="Y126" s="503"/>
      <c r="Z126" s="503"/>
      <c r="AA126" s="503"/>
      <c r="AB126" s="503"/>
      <c r="AC126" s="503"/>
      <c r="AD126" s="503"/>
      <c r="AE126" s="503"/>
      <c r="AF126" s="503"/>
    </row>
    <row r="127" spans="1:32" ht="15.75" customHeight="1">
      <c r="A127" s="503"/>
      <c r="C127" s="510"/>
      <c r="D127" s="510"/>
      <c r="E127" s="510"/>
      <c r="F127" s="746"/>
      <c r="G127" s="510"/>
      <c r="H127" s="510"/>
      <c r="I127" s="513"/>
      <c r="J127" s="513"/>
      <c r="K127" s="513"/>
      <c r="L127" s="510"/>
      <c r="M127" s="509"/>
      <c r="N127" s="516"/>
      <c r="O127" s="506"/>
      <c r="P127" s="506"/>
      <c r="Q127" s="505"/>
      <c r="R127" s="506"/>
      <c r="S127" s="506"/>
      <c r="T127" s="506"/>
      <c r="U127" s="505"/>
      <c r="V127" s="505"/>
      <c r="W127" s="505"/>
      <c r="X127" s="504"/>
      <c r="Y127" s="503"/>
      <c r="Z127" s="503"/>
      <c r="AA127" s="503"/>
      <c r="AB127" s="503"/>
      <c r="AC127" s="503"/>
      <c r="AD127" s="503"/>
      <c r="AE127" s="503"/>
      <c r="AF127" s="503"/>
    </row>
    <row r="128" spans="1:32" ht="15.75" customHeight="1">
      <c r="A128" s="503"/>
      <c r="C128" s="510"/>
      <c r="D128" s="510"/>
      <c r="E128" s="510"/>
      <c r="F128" s="746"/>
      <c r="G128" s="510"/>
      <c r="H128" s="510"/>
      <c r="I128" s="513"/>
      <c r="J128" s="513"/>
      <c r="K128" s="513"/>
      <c r="L128" s="510"/>
      <c r="M128" s="509"/>
      <c r="N128" s="516"/>
      <c r="O128" s="506"/>
      <c r="P128" s="506"/>
      <c r="Q128" s="505"/>
      <c r="R128" s="506"/>
      <c r="S128" s="506"/>
      <c r="T128" s="506"/>
      <c r="U128" s="505"/>
      <c r="V128" s="505"/>
      <c r="W128" s="505"/>
      <c r="X128" s="504"/>
      <c r="Y128" s="503"/>
      <c r="Z128" s="503"/>
      <c r="AA128" s="503"/>
      <c r="AB128" s="503"/>
      <c r="AC128" s="503"/>
      <c r="AD128" s="503"/>
      <c r="AE128" s="503"/>
      <c r="AF128" s="503"/>
    </row>
    <row r="129" spans="1:32" ht="15.75" customHeight="1">
      <c r="A129" s="503"/>
      <c r="C129" s="510"/>
      <c r="D129" s="510"/>
      <c r="E129" s="510"/>
      <c r="F129" s="746"/>
      <c r="G129" s="510"/>
      <c r="H129" s="510"/>
      <c r="I129" s="513"/>
      <c r="J129" s="513"/>
      <c r="K129" s="513"/>
      <c r="L129" s="510"/>
      <c r="M129" s="509"/>
      <c r="N129" s="516"/>
      <c r="O129" s="506"/>
      <c r="P129" s="506"/>
      <c r="Q129" s="505"/>
      <c r="R129" s="506"/>
      <c r="S129" s="506"/>
      <c r="T129" s="506"/>
      <c r="U129" s="505"/>
      <c r="V129" s="505"/>
      <c r="W129" s="505"/>
      <c r="X129" s="504"/>
      <c r="Y129" s="503"/>
      <c r="Z129" s="503"/>
      <c r="AA129" s="503"/>
      <c r="AB129" s="503"/>
      <c r="AC129" s="503"/>
      <c r="AD129" s="503"/>
      <c r="AE129" s="503"/>
      <c r="AF129" s="503"/>
    </row>
    <row r="130" spans="1:32" ht="15.75" customHeight="1">
      <c r="A130" s="503"/>
      <c r="C130" s="510"/>
      <c r="D130" s="510"/>
      <c r="E130" s="510"/>
      <c r="F130" s="746"/>
      <c r="G130" s="510"/>
      <c r="H130" s="510"/>
      <c r="I130" s="510"/>
      <c r="J130" s="510"/>
      <c r="K130" s="510"/>
      <c r="L130" s="510"/>
      <c r="M130" s="509"/>
      <c r="N130" s="516"/>
      <c r="O130" s="506"/>
      <c r="P130" s="506"/>
      <c r="Q130" s="505"/>
      <c r="R130" s="506"/>
      <c r="S130" s="506"/>
      <c r="T130" s="506"/>
      <c r="U130" s="505"/>
      <c r="V130" s="505"/>
      <c r="W130" s="505"/>
      <c r="X130" s="518"/>
      <c r="Y130" s="503"/>
      <c r="Z130" s="503"/>
      <c r="AA130" s="503"/>
      <c r="AB130" s="503"/>
      <c r="AC130" s="503"/>
      <c r="AD130" s="503"/>
      <c r="AE130" s="503"/>
      <c r="AF130" s="503"/>
    </row>
    <row r="131" spans="1:32" ht="15.75" customHeight="1">
      <c r="A131" s="503"/>
      <c r="B131" s="517"/>
      <c r="C131" s="510"/>
      <c r="D131" s="510"/>
      <c r="E131" s="510"/>
      <c r="F131" s="746"/>
      <c r="G131" s="510"/>
      <c r="H131" s="510"/>
      <c r="I131" s="510"/>
      <c r="J131" s="510"/>
      <c r="K131" s="510"/>
      <c r="L131" s="510"/>
      <c r="M131" s="509"/>
      <c r="N131" s="508"/>
      <c r="O131" s="507"/>
      <c r="P131" s="507"/>
      <c r="Q131" s="505"/>
      <c r="R131" s="506"/>
      <c r="S131" s="506"/>
      <c r="T131" s="506"/>
      <c r="U131" s="505"/>
      <c r="V131" s="505"/>
      <c r="W131" s="505"/>
      <c r="X131" s="504"/>
      <c r="Y131" s="503"/>
      <c r="Z131" s="503"/>
      <c r="AA131" s="503"/>
      <c r="AB131" s="503"/>
      <c r="AC131" s="503"/>
      <c r="AD131" s="503"/>
      <c r="AE131" s="503"/>
      <c r="AF131" s="503"/>
    </row>
    <row r="132" spans="1:32" ht="15.75" customHeight="1">
      <c r="A132" s="503"/>
      <c r="B132" s="517"/>
      <c r="C132" s="510"/>
      <c r="D132" s="510"/>
      <c r="E132" s="510"/>
      <c r="F132" s="746"/>
      <c r="G132" s="510"/>
      <c r="H132" s="510"/>
      <c r="I132" s="510"/>
      <c r="J132" s="510"/>
      <c r="K132" s="510"/>
      <c r="L132" s="510"/>
      <c r="M132" s="509"/>
      <c r="N132" s="508"/>
      <c r="O132" s="507"/>
      <c r="P132" s="507"/>
      <c r="Q132" s="505"/>
      <c r="R132" s="506"/>
      <c r="S132" s="506"/>
      <c r="T132" s="506"/>
      <c r="U132" s="505"/>
      <c r="V132" s="505"/>
      <c r="W132" s="505"/>
      <c r="X132" s="504"/>
      <c r="Y132" s="503"/>
      <c r="Z132" s="503"/>
      <c r="AA132" s="503"/>
      <c r="AB132" s="503"/>
      <c r="AC132" s="503"/>
      <c r="AD132" s="503"/>
      <c r="AE132" s="503"/>
      <c r="AF132" s="503"/>
    </row>
    <row r="133" spans="1:32" ht="15.75" customHeight="1">
      <c r="A133" s="503"/>
      <c r="B133" s="922"/>
      <c r="C133" s="510"/>
      <c r="D133" s="510"/>
      <c r="E133" s="510"/>
      <c r="F133" s="746"/>
      <c r="G133" s="510"/>
      <c r="H133" s="510"/>
      <c r="I133" s="510"/>
      <c r="J133" s="510"/>
      <c r="K133" s="510"/>
      <c r="L133" s="510"/>
      <c r="M133" s="509"/>
      <c r="N133" s="516"/>
      <c r="O133" s="506"/>
      <c r="P133" s="506"/>
      <c r="Q133" s="505"/>
      <c r="R133" s="506"/>
      <c r="S133" s="506"/>
      <c r="T133" s="506"/>
      <c r="U133" s="505"/>
      <c r="V133" s="505"/>
      <c r="W133" s="505"/>
      <c r="X133" s="504"/>
      <c r="Y133" s="503"/>
      <c r="Z133" s="503"/>
      <c r="AA133" s="503"/>
      <c r="AB133" s="503"/>
      <c r="AC133" s="503"/>
      <c r="AD133" s="503"/>
      <c r="AE133" s="503"/>
      <c r="AF133" s="503"/>
    </row>
    <row r="134" spans="1:32" ht="15.75" customHeight="1">
      <c r="A134" s="503"/>
      <c r="B134" s="921"/>
      <c r="C134" s="510"/>
      <c r="D134" s="510"/>
      <c r="E134" s="510"/>
      <c r="F134" s="746"/>
      <c r="G134" s="510"/>
      <c r="H134" s="510"/>
      <c r="I134" s="510"/>
      <c r="J134" s="510"/>
      <c r="K134" s="510"/>
      <c r="L134" s="510"/>
      <c r="M134" s="509"/>
      <c r="N134" s="516"/>
      <c r="O134" s="510"/>
      <c r="P134" s="510"/>
      <c r="Q134" s="505"/>
      <c r="R134" s="506"/>
      <c r="S134" s="506"/>
      <c r="T134" s="506"/>
      <c r="U134" s="505"/>
      <c r="V134" s="505"/>
      <c r="W134" s="505"/>
      <c r="X134" s="518"/>
      <c r="Y134" s="503"/>
      <c r="Z134" s="503"/>
      <c r="AA134" s="503"/>
      <c r="AB134" s="503"/>
      <c r="AC134" s="503"/>
      <c r="AD134" s="503"/>
      <c r="AE134" s="503"/>
      <c r="AF134" s="503"/>
    </row>
    <row r="135" spans="1:32" ht="15.75" customHeight="1">
      <c r="A135" s="503"/>
      <c r="B135" s="921"/>
      <c r="C135" s="510"/>
      <c r="D135" s="510"/>
      <c r="E135" s="510"/>
      <c r="F135" s="746"/>
      <c r="G135" s="510"/>
      <c r="H135" s="510"/>
      <c r="I135" s="510"/>
      <c r="J135" s="510"/>
      <c r="K135" s="510"/>
      <c r="L135" s="510"/>
      <c r="M135" s="509"/>
      <c r="N135" s="516"/>
      <c r="O135" s="506"/>
      <c r="P135" s="506"/>
      <c r="Q135" s="505"/>
      <c r="R135" s="506"/>
      <c r="S135" s="506"/>
      <c r="T135" s="506"/>
      <c r="U135" s="505"/>
      <c r="V135" s="505"/>
      <c r="W135" s="505"/>
      <c r="X135" s="504"/>
      <c r="Y135" s="503"/>
      <c r="Z135" s="503"/>
      <c r="AA135" s="503"/>
      <c r="AB135" s="503"/>
      <c r="AC135" s="503"/>
      <c r="AD135" s="503"/>
      <c r="AE135" s="503"/>
      <c r="AF135" s="503"/>
    </row>
    <row r="136" spans="1:32" ht="15.75" customHeight="1">
      <c r="A136" s="503"/>
      <c r="B136" s="921"/>
      <c r="C136" s="510"/>
      <c r="D136" s="510"/>
      <c r="E136" s="510"/>
      <c r="F136" s="746"/>
      <c r="G136" s="510"/>
      <c r="H136" s="510"/>
      <c r="I136" s="510"/>
      <c r="J136" s="510"/>
      <c r="K136" s="510"/>
      <c r="L136" s="510"/>
      <c r="M136" s="509"/>
      <c r="N136" s="516"/>
      <c r="O136" s="506"/>
      <c r="P136" s="506"/>
      <c r="Q136" s="505"/>
      <c r="R136" s="506"/>
      <c r="S136" s="506"/>
      <c r="T136" s="506"/>
      <c r="U136" s="505"/>
      <c r="V136" s="505"/>
      <c r="W136" s="505"/>
      <c r="X136" s="504"/>
      <c r="Y136" s="503"/>
      <c r="Z136" s="503"/>
      <c r="AA136" s="503"/>
      <c r="AB136" s="503"/>
      <c r="AC136" s="503"/>
      <c r="AD136" s="503"/>
      <c r="AE136" s="503"/>
      <c r="AF136" s="503"/>
    </row>
    <row r="137" spans="1:32" ht="15.75" customHeight="1">
      <c r="A137" s="503"/>
      <c r="B137" s="921"/>
      <c r="C137" s="510"/>
      <c r="D137" s="510"/>
      <c r="E137" s="510"/>
      <c r="F137" s="746"/>
      <c r="G137" s="510"/>
      <c r="H137" s="510"/>
      <c r="I137" s="510"/>
      <c r="J137" s="510"/>
      <c r="K137" s="510"/>
      <c r="L137" s="510"/>
      <c r="M137" s="509"/>
      <c r="N137" s="516"/>
      <c r="O137" s="506"/>
      <c r="P137" s="506"/>
      <c r="Q137" s="505"/>
      <c r="R137" s="506"/>
      <c r="S137" s="506"/>
      <c r="T137" s="506"/>
      <c r="U137" s="505"/>
      <c r="V137" s="505"/>
      <c r="W137" s="505"/>
      <c r="X137" s="504"/>
      <c r="Y137" s="503"/>
      <c r="Z137" s="503"/>
      <c r="AA137" s="503"/>
      <c r="AB137" s="503"/>
      <c r="AC137" s="503"/>
      <c r="AD137" s="503"/>
      <c r="AE137" s="503"/>
      <c r="AF137" s="503"/>
    </row>
    <row r="138" spans="1:32" ht="15.75" customHeight="1">
      <c r="A138" s="503"/>
      <c r="B138" s="921"/>
      <c r="C138" s="510"/>
      <c r="D138" s="510"/>
      <c r="E138" s="510"/>
      <c r="F138" s="746"/>
      <c r="G138" s="510"/>
      <c r="H138" s="510"/>
      <c r="I138" s="510"/>
      <c r="J138" s="510"/>
      <c r="K138" s="510"/>
      <c r="L138" s="510"/>
      <c r="M138" s="509"/>
      <c r="N138" s="516"/>
      <c r="O138" s="510"/>
      <c r="P138" s="510"/>
      <c r="Q138" s="505"/>
      <c r="R138" s="506"/>
      <c r="S138" s="506"/>
      <c r="T138" s="506"/>
      <c r="U138" s="505"/>
      <c r="V138" s="505"/>
      <c r="W138" s="505"/>
      <c r="X138" s="518"/>
      <c r="Y138" s="503"/>
      <c r="Z138" s="503"/>
      <c r="AA138" s="503"/>
      <c r="AB138" s="503"/>
      <c r="AC138" s="503"/>
      <c r="AD138" s="503"/>
      <c r="AE138" s="503"/>
      <c r="AF138" s="503"/>
    </row>
    <row r="139" spans="1:32" ht="15.75" customHeight="1">
      <c r="A139" s="503"/>
      <c r="B139" s="921"/>
      <c r="C139" s="510"/>
      <c r="D139" s="510"/>
      <c r="E139" s="510"/>
      <c r="F139" s="746"/>
      <c r="G139" s="510"/>
      <c r="H139" s="510"/>
      <c r="I139" s="510"/>
      <c r="J139" s="510"/>
      <c r="K139" s="510"/>
      <c r="L139" s="510"/>
      <c r="M139" s="509"/>
      <c r="N139" s="516"/>
      <c r="O139" s="506"/>
      <c r="P139" s="506"/>
      <c r="Q139" s="505"/>
      <c r="R139" s="506"/>
      <c r="S139" s="506"/>
      <c r="T139" s="506"/>
      <c r="U139" s="505"/>
      <c r="V139" s="505"/>
      <c r="W139" s="505"/>
      <c r="X139" s="504"/>
      <c r="Y139" s="503"/>
      <c r="Z139" s="503"/>
      <c r="AA139" s="503"/>
      <c r="AB139" s="503"/>
      <c r="AC139" s="503"/>
      <c r="AD139" s="503"/>
      <c r="AE139" s="503"/>
      <c r="AF139" s="503"/>
    </row>
    <row r="140" spans="1:32" ht="15.75" customHeight="1">
      <c r="A140" s="503"/>
      <c r="B140" s="921"/>
      <c r="C140" s="510"/>
      <c r="D140" s="510"/>
      <c r="E140" s="510"/>
      <c r="F140" s="746"/>
      <c r="G140" s="510"/>
      <c r="H140" s="510"/>
      <c r="I140" s="510"/>
      <c r="J140" s="510"/>
      <c r="K140" s="510"/>
      <c r="L140" s="510"/>
      <c r="M140" s="509"/>
      <c r="N140" s="516"/>
      <c r="O140" s="506"/>
      <c r="P140" s="506"/>
      <c r="Q140" s="505"/>
      <c r="R140" s="506"/>
      <c r="S140" s="506"/>
      <c r="T140" s="506"/>
      <c r="U140" s="505"/>
      <c r="V140" s="505"/>
      <c r="W140" s="505"/>
      <c r="X140" s="504"/>
      <c r="Y140" s="503"/>
      <c r="Z140" s="503"/>
      <c r="AA140" s="503"/>
      <c r="AB140" s="503"/>
      <c r="AC140" s="503"/>
      <c r="AD140" s="503"/>
      <c r="AE140" s="503"/>
      <c r="AF140" s="503"/>
    </row>
    <row r="141" spans="1:32" ht="15.75" customHeight="1">
      <c r="A141" s="503"/>
      <c r="B141" s="921"/>
      <c r="C141" s="510"/>
      <c r="D141" s="510"/>
      <c r="E141" s="510"/>
      <c r="F141" s="746"/>
      <c r="G141" s="510"/>
      <c r="H141" s="510"/>
      <c r="I141" s="510"/>
      <c r="J141" s="510"/>
      <c r="K141" s="510"/>
      <c r="L141" s="510"/>
      <c r="M141" s="509"/>
      <c r="N141" s="516"/>
      <c r="O141" s="506"/>
      <c r="P141" s="506"/>
      <c r="Q141" s="505"/>
      <c r="R141" s="506"/>
      <c r="S141" s="506"/>
      <c r="T141" s="506"/>
      <c r="U141" s="505"/>
      <c r="V141" s="505"/>
      <c r="W141" s="505"/>
      <c r="X141" s="504"/>
      <c r="Y141" s="503"/>
      <c r="Z141" s="503"/>
      <c r="AA141" s="503"/>
      <c r="AB141" s="503"/>
      <c r="AC141" s="503"/>
      <c r="AD141" s="503"/>
      <c r="AE141" s="503"/>
      <c r="AF141" s="503"/>
    </row>
    <row r="142" spans="1:32" ht="15.75" customHeight="1">
      <c r="A142" s="503"/>
      <c r="B142" s="921"/>
      <c r="C142" s="510"/>
      <c r="D142" s="510"/>
      <c r="E142" s="510"/>
      <c r="F142" s="746"/>
      <c r="G142" s="510"/>
      <c r="H142" s="510"/>
      <c r="I142" s="510"/>
      <c r="J142" s="510"/>
      <c r="K142" s="510"/>
      <c r="L142" s="510"/>
      <c r="M142" s="509"/>
      <c r="N142" s="516"/>
      <c r="O142" s="510"/>
      <c r="P142" s="510"/>
      <c r="Q142" s="505"/>
      <c r="R142" s="506"/>
      <c r="S142" s="506"/>
      <c r="T142" s="506"/>
      <c r="U142" s="505"/>
      <c r="V142" s="505"/>
      <c r="W142" s="505"/>
      <c r="X142" s="518"/>
      <c r="Y142" s="503"/>
      <c r="Z142" s="503"/>
      <c r="AA142" s="503"/>
      <c r="AB142" s="503"/>
      <c r="AC142" s="503"/>
      <c r="AD142" s="503"/>
      <c r="AE142" s="503"/>
      <c r="AF142" s="503"/>
    </row>
    <row r="143" spans="1:32" ht="15.75" customHeight="1">
      <c r="A143" s="503"/>
      <c r="B143" s="921"/>
      <c r="C143" s="510"/>
      <c r="D143" s="510"/>
      <c r="E143" s="510"/>
      <c r="F143" s="746"/>
      <c r="G143" s="510"/>
      <c r="H143" s="510"/>
      <c r="I143" s="510"/>
      <c r="J143" s="510"/>
      <c r="K143" s="510"/>
      <c r="L143" s="510"/>
      <c r="M143" s="509"/>
      <c r="N143" s="516"/>
      <c r="O143" s="506"/>
      <c r="P143" s="506"/>
      <c r="Q143" s="505"/>
      <c r="R143" s="506"/>
      <c r="S143" s="506"/>
      <c r="T143" s="506"/>
      <c r="U143" s="505"/>
      <c r="V143" s="505"/>
      <c r="W143" s="505"/>
      <c r="X143" s="504"/>
      <c r="Y143" s="503"/>
      <c r="Z143" s="503"/>
      <c r="AA143" s="503"/>
      <c r="AB143" s="503"/>
      <c r="AC143" s="503"/>
      <c r="AD143" s="503"/>
      <c r="AE143" s="503"/>
      <c r="AF143" s="503"/>
    </row>
    <row r="144" spans="1:32" ht="15.75" customHeight="1">
      <c r="A144" s="503"/>
      <c r="B144" s="921"/>
      <c r="C144" s="510"/>
      <c r="D144" s="510"/>
      <c r="E144" s="510"/>
      <c r="F144" s="746"/>
      <c r="G144" s="510"/>
      <c r="H144" s="510"/>
      <c r="I144" s="510"/>
      <c r="J144" s="510"/>
      <c r="K144" s="510"/>
      <c r="L144" s="510"/>
      <c r="M144" s="509"/>
      <c r="N144" s="516"/>
      <c r="O144" s="506"/>
      <c r="P144" s="506"/>
      <c r="Q144" s="505"/>
      <c r="R144" s="506"/>
      <c r="S144" s="506"/>
      <c r="T144" s="506"/>
      <c r="U144" s="505"/>
      <c r="V144" s="505"/>
      <c r="W144" s="505"/>
      <c r="X144" s="504"/>
      <c r="Y144" s="503"/>
      <c r="Z144" s="503"/>
      <c r="AA144" s="503"/>
      <c r="AB144" s="503"/>
      <c r="AC144" s="503"/>
      <c r="AD144" s="503"/>
      <c r="AE144" s="503"/>
      <c r="AF144" s="503"/>
    </row>
    <row r="145" spans="1:32" ht="15.75" customHeight="1">
      <c r="A145" s="503"/>
      <c r="B145" s="921"/>
      <c r="C145" s="510"/>
      <c r="D145" s="510"/>
      <c r="E145" s="510"/>
      <c r="F145" s="746"/>
      <c r="G145" s="510"/>
      <c r="H145" s="510"/>
      <c r="I145" s="510"/>
      <c r="J145" s="510"/>
      <c r="K145" s="510"/>
      <c r="L145" s="510"/>
      <c r="M145" s="509"/>
      <c r="N145" s="516"/>
      <c r="O145" s="510"/>
      <c r="P145" s="510"/>
      <c r="Q145" s="505"/>
      <c r="R145" s="506"/>
      <c r="S145" s="506"/>
      <c r="T145" s="506"/>
      <c r="U145" s="505"/>
      <c r="V145" s="505"/>
      <c r="W145" s="505"/>
      <c r="X145" s="518"/>
      <c r="Y145" s="503"/>
      <c r="Z145" s="503"/>
      <c r="AA145" s="503" t="s">
        <v>788</v>
      </c>
      <c r="AB145" s="503"/>
      <c r="AC145" s="503"/>
      <c r="AD145" s="503"/>
      <c r="AE145" s="503"/>
      <c r="AF145" s="503"/>
    </row>
    <row r="146" spans="1:32" ht="15.75" customHeight="1">
      <c r="A146" s="503"/>
      <c r="B146" s="921"/>
      <c r="C146" s="510"/>
      <c r="D146" s="510"/>
      <c r="E146" s="510"/>
      <c r="F146" s="746"/>
      <c r="G146" s="510"/>
      <c r="H146" s="510"/>
      <c r="I146" s="510"/>
      <c r="J146" s="510"/>
      <c r="K146" s="510"/>
      <c r="L146" s="510"/>
      <c r="M146" s="509"/>
      <c r="N146" s="516"/>
      <c r="O146" s="506"/>
      <c r="P146" s="506"/>
      <c r="Q146" s="505"/>
      <c r="R146" s="506"/>
      <c r="S146" s="506"/>
      <c r="T146" s="506"/>
      <c r="U146" s="505"/>
      <c r="V146" s="505"/>
      <c r="W146" s="505"/>
      <c r="X146" s="504"/>
      <c r="Y146" s="503"/>
      <c r="Z146" s="503"/>
      <c r="AA146" s="503"/>
      <c r="AB146" s="503"/>
      <c r="AC146" s="503"/>
      <c r="AD146" s="503"/>
      <c r="AE146" s="503"/>
      <c r="AF146" s="503"/>
    </row>
    <row r="147" spans="1:32" ht="15.75" customHeight="1">
      <c r="A147" s="503"/>
      <c r="B147" s="921"/>
      <c r="C147" s="510"/>
      <c r="D147" s="510"/>
      <c r="E147" s="510"/>
      <c r="F147" s="746"/>
      <c r="G147" s="510"/>
      <c r="H147" s="510"/>
      <c r="I147" s="510"/>
      <c r="J147" s="510"/>
      <c r="K147" s="510"/>
      <c r="L147" s="510"/>
      <c r="M147" s="509"/>
      <c r="N147" s="516"/>
      <c r="O147" s="506"/>
      <c r="P147" s="506"/>
      <c r="Q147" s="505"/>
      <c r="R147" s="506"/>
      <c r="S147" s="506"/>
      <c r="T147" s="506"/>
      <c r="U147" s="505"/>
      <c r="V147" s="505"/>
      <c r="W147" s="505"/>
      <c r="X147" s="504"/>
      <c r="Y147" s="503"/>
      <c r="Z147" s="503"/>
      <c r="AA147" s="503"/>
      <c r="AB147" s="503"/>
      <c r="AC147" s="503"/>
      <c r="AD147" s="503"/>
      <c r="AE147" s="503"/>
      <c r="AF147" s="503"/>
    </row>
    <row r="148" spans="1:32" ht="15.75" customHeight="1">
      <c r="A148" s="503"/>
      <c r="B148" s="921"/>
      <c r="C148" s="510"/>
      <c r="D148" s="510"/>
      <c r="E148" s="510"/>
      <c r="F148" s="746"/>
      <c r="G148" s="510"/>
      <c r="H148" s="510"/>
      <c r="I148" s="510"/>
      <c r="J148" s="510"/>
      <c r="K148" s="510"/>
      <c r="L148" s="510"/>
      <c r="M148" s="509"/>
      <c r="N148" s="516"/>
      <c r="O148" s="510"/>
      <c r="P148" s="510"/>
      <c r="Q148" s="505"/>
      <c r="R148" s="506"/>
      <c r="S148" s="506"/>
      <c r="T148" s="506"/>
      <c r="U148" s="505"/>
      <c r="V148" s="505"/>
      <c r="W148" s="505"/>
      <c r="X148" s="518"/>
      <c r="Y148" s="503"/>
      <c r="Z148" s="503"/>
      <c r="AA148" s="503"/>
      <c r="AB148" s="503"/>
      <c r="AC148" s="503"/>
      <c r="AD148" s="503"/>
      <c r="AE148" s="503"/>
      <c r="AF148" s="503"/>
    </row>
    <row r="149" spans="1:32" ht="15.75" customHeight="1">
      <c r="A149" s="503"/>
      <c r="B149" s="921"/>
      <c r="C149" s="510"/>
      <c r="D149" s="510"/>
      <c r="E149" s="510"/>
      <c r="F149" s="746"/>
      <c r="G149" s="510"/>
      <c r="H149" s="510"/>
      <c r="I149" s="510"/>
      <c r="J149" s="510"/>
      <c r="K149" s="510"/>
      <c r="L149" s="510"/>
      <c r="M149" s="509"/>
      <c r="N149" s="516"/>
      <c r="O149" s="506"/>
      <c r="P149" s="506"/>
      <c r="Q149" s="505"/>
      <c r="R149" s="506"/>
      <c r="S149" s="506"/>
      <c r="T149" s="506"/>
      <c r="U149" s="505"/>
      <c r="V149" s="505"/>
      <c r="W149" s="505"/>
      <c r="X149" s="504"/>
      <c r="Y149" s="503"/>
      <c r="Z149" s="503"/>
      <c r="AA149" s="503"/>
      <c r="AB149" s="503"/>
      <c r="AC149" s="503"/>
      <c r="AD149" s="503"/>
      <c r="AE149" s="503"/>
      <c r="AF149" s="503"/>
    </row>
    <row r="150" spans="1:32" ht="15.75" customHeight="1">
      <c r="A150" s="503"/>
      <c r="B150" s="921"/>
      <c r="C150" s="510"/>
      <c r="D150" s="510"/>
      <c r="E150" s="510"/>
      <c r="F150" s="746"/>
      <c r="G150" s="510"/>
      <c r="H150" s="510"/>
      <c r="I150" s="510"/>
      <c r="J150" s="510"/>
      <c r="K150" s="510"/>
      <c r="L150" s="510"/>
      <c r="M150" s="509"/>
      <c r="N150" s="516"/>
      <c r="O150" s="506"/>
      <c r="P150" s="506"/>
      <c r="Q150" s="505"/>
      <c r="R150" s="506"/>
      <c r="S150" s="506"/>
      <c r="T150" s="506"/>
      <c r="U150" s="505"/>
      <c r="V150" s="505"/>
      <c r="W150" s="505"/>
      <c r="X150" s="504"/>
      <c r="Y150" s="503"/>
      <c r="Z150" s="503"/>
      <c r="AA150" s="503"/>
      <c r="AB150" s="503"/>
      <c r="AC150" s="503"/>
      <c r="AD150" s="503"/>
      <c r="AE150" s="503"/>
      <c r="AF150" s="503"/>
    </row>
    <row r="151" spans="1:32" ht="15.75" customHeight="1">
      <c r="A151" s="503"/>
      <c r="B151" s="921"/>
      <c r="C151" s="510"/>
      <c r="D151" s="510"/>
      <c r="E151" s="510"/>
      <c r="F151" s="746"/>
      <c r="G151" s="510"/>
      <c r="H151" s="510"/>
      <c r="I151" s="510"/>
      <c r="J151" s="510"/>
      <c r="K151" s="510"/>
      <c r="L151" s="510"/>
      <c r="M151" s="509"/>
      <c r="N151" s="516"/>
      <c r="O151" s="506"/>
      <c r="P151" s="506"/>
      <c r="Q151" s="505"/>
      <c r="R151" s="506"/>
      <c r="S151" s="506"/>
      <c r="T151" s="506"/>
      <c r="U151" s="505"/>
      <c r="V151" s="505"/>
      <c r="W151" s="505"/>
      <c r="X151" s="504"/>
      <c r="Y151" s="503"/>
      <c r="Z151" s="503"/>
      <c r="AA151" s="503"/>
      <c r="AB151" s="503"/>
      <c r="AC151" s="503"/>
      <c r="AD151" s="503"/>
      <c r="AE151" s="503"/>
      <c r="AF151" s="503"/>
    </row>
    <row r="152" spans="1:32" ht="15.75" customHeight="1">
      <c r="A152" s="503"/>
      <c r="B152" s="921"/>
      <c r="C152" s="510"/>
      <c r="D152" s="510"/>
      <c r="E152" s="510"/>
      <c r="F152" s="746"/>
      <c r="G152" s="510"/>
      <c r="H152" s="510"/>
      <c r="I152" s="510"/>
      <c r="J152" s="510"/>
      <c r="K152" s="510"/>
      <c r="L152" s="510"/>
      <c r="M152" s="509"/>
      <c r="N152" s="516"/>
      <c r="O152" s="506"/>
      <c r="P152" s="506"/>
      <c r="Q152" s="505"/>
      <c r="R152" s="506"/>
      <c r="S152" s="506"/>
      <c r="T152" s="506"/>
      <c r="U152" s="505"/>
      <c r="V152" s="505"/>
      <c r="W152" s="505"/>
      <c r="X152" s="504"/>
      <c r="Y152" s="503"/>
      <c r="Z152" s="503"/>
      <c r="AA152" s="503"/>
      <c r="AB152" s="503"/>
      <c r="AC152" s="503"/>
      <c r="AD152" s="503"/>
      <c r="AE152" s="503"/>
      <c r="AF152" s="503"/>
    </row>
    <row r="153" spans="1:32" ht="15.75" customHeight="1">
      <c r="A153" s="503"/>
      <c r="B153" s="921"/>
      <c r="C153" s="510"/>
      <c r="D153" s="510"/>
      <c r="E153" s="510"/>
      <c r="F153" s="746"/>
      <c r="G153" s="510"/>
      <c r="H153" s="510"/>
      <c r="I153" s="510"/>
      <c r="J153" s="510"/>
      <c r="K153" s="510"/>
      <c r="L153" s="510"/>
      <c r="M153" s="509"/>
      <c r="N153" s="516"/>
      <c r="O153" s="506"/>
      <c r="P153" s="506"/>
      <c r="Q153" s="505"/>
      <c r="R153" s="506"/>
      <c r="S153" s="506"/>
      <c r="T153" s="506"/>
      <c r="U153" s="505"/>
      <c r="V153" s="505"/>
      <c r="W153" s="505"/>
      <c r="X153" s="504"/>
      <c r="Y153" s="503"/>
      <c r="Z153" s="503"/>
      <c r="AA153" s="503"/>
      <c r="AB153" s="503"/>
      <c r="AC153" s="503"/>
      <c r="AD153" s="503"/>
      <c r="AE153" s="503"/>
      <c r="AF153" s="503"/>
    </row>
    <row r="154" spans="1:32" ht="15.75" customHeight="1">
      <c r="A154" s="503"/>
      <c r="B154" s="921"/>
      <c r="C154" s="510"/>
      <c r="D154" s="510"/>
      <c r="E154" s="510"/>
      <c r="F154" s="746"/>
      <c r="G154" s="510"/>
      <c r="H154" s="510"/>
      <c r="I154" s="510"/>
      <c r="J154" s="510"/>
      <c r="K154" s="510"/>
      <c r="L154" s="510"/>
      <c r="M154" s="509"/>
      <c r="N154" s="516"/>
      <c r="O154" s="510"/>
      <c r="P154" s="510"/>
      <c r="Q154" s="505"/>
      <c r="R154" s="506"/>
      <c r="S154" s="506"/>
      <c r="T154" s="506"/>
      <c r="U154" s="505"/>
      <c r="V154" s="505"/>
      <c r="W154" s="505"/>
      <c r="X154" s="518"/>
      <c r="Y154" s="503"/>
      <c r="Z154" s="503"/>
      <c r="AA154" s="503"/>
      <c r="AB154" s="503"/>
      <c r="AC154" s="503"/>
      <c r="AD154" s="503"/>
      <c r="AE154" s="503"/>
      <c r="AF154" s="503"/>
    </row>
    <row r="155" spans="1:32" ht="15.75" customHeight="1">
      <c r="A155" s="503"/>
      <c r="B155" s="921"/>
      <c r="C155" s="510"/>
      <c r="D155" s="510"/>
      <c r="E155" s="510"/>
      <c r="F155" s="746"/>
      <c r="G155" s="510"/>
      <c r="H155" s="510"/>
      <c r="I155" s="510"/>
      <c r="J155" s="510"/>
      <c r="K155" s="510"/>
      <c r="L155" s="510"/>
      <c r="M155" s="509"/>
      <c r="N155" s="516"/>
      <c r="O155" s="506"/>
      <c r="P155" s="506"/>
      <c r="Q155" s="505"/>
      <c r="R155" s="506"/>
      <c r="S155" s="506"/>
      <c r="T155" s="506"/>
      <c r="U155" s="505"/>
      <c r="V155" s="505"/>
      <c r="W155" s="505"/>
      <c r="X155" s="504"/>
      <c r="Y155" s="503"/>
      <c r="Z155" s="503"/>
      <c r="AA155" s="503"/>
      <c r="AB155" s="503"/>
      <c r="AC155" s="503"/>
      <c r="AD155" s="503"/>
      <c r="AE155" s="503"/>
      <c r="AF155" s="503"/>
    </row>
    <row r="156" spans="1:32" ht="15.75" customHeight="1">
      <c r="A156" s="503"/>
      <c r="B156" s="921"/>
      <c r="C156" s="510"/>
      <c r="D156" s="510"/>
      <c r="E156" s="510"/>
      <c r="F156" s="746"/>
      <c r="G156" s="510"/>
      <c r="H156" s="510"/>
      <c r="I156" s="510"/>
      <c r="J156" s="510"/>
      <c r="K156" s="510"/>
      <c r="L156" s="510"/>
      <c r="M156" s="509"/>
      <c r="N156" s="516"/>
      <c r="O156" s="506"/>
      <c r="P156" s="506"/>
      <c r="Q156" s="505"/>
      <c r="R156" s="506"/>
      <c r="S156" s="506"/>
      <c r="T156" s="506"/>
      <c r="U156" s="505"/>
      <c r="V156" s="505"/>
      <c r="W156" s="505"/>
      <c r="X156" s="504"/>
      <c r="Y156" s="503"/>
      <c r="Z156" s="503"/>
      <c r="AA156" s="503"/>
      <c r="AB156" s="503"/>
      <c r="AC156" s="503"/>
      <c r="AD156" s="503"/>
      <c r="AE156" s="503"/>
      <c r="AF156" s="503"/>
    </row>
    <row r="157" spans="1:32" ht="15.75" customHeight="1">
      <c r="A157" s="503"/>
      <c r="B157" s="921"/>
      <c r="C157" s="510"/>
      <c r="D157" s="510"/>
      <c r="E157" s="510"/>
      <c r="F157" s="746"/>
      <c r="G157" s="510"/>
      <c r="H157" s="510"/>
      <c r="I157" s="510"/>
      <c r="J157" s="510"/>
      <c r="K157" s="510"/>
      <c r="L157" s="510"/>
      <c r="M157" s="509"/>
      <c r="N157" s="516"/>
      <c r="O157" s="510"/>
      <c r="P157" s="510"/>
      <c r="Q157" s="505"/>
      <c r="R157" s="506"/>
      <c r="S157" s="506"/>
      <c r="T157" s="506"/>
      <c r="U157" s="505"/>
      <c r="V157" s="505"/>
      <c r="W157" s="505"/>
      <c r="X157" s="518"/>
      <c r="Y157" s="503"/>
      <c r="Z157" s="503"/>
      <c r="AA157" s="503"/>
      <c r="AB157" s="503"/>
      <c r="AC157" s="503"/>
      <c r="AD157" s="503"/>
      <c r="AE157" s="503"/>
      <c r="AF157" s="503"/>
    </row>
    <row r="158" spans="1:32" ht="15.75" customHeight="1">
      <c r="A158" s="503"/>
      <c r="B158" s="921"/>
      <c r="C158" s="510"/>
      <c r="D158" s="510"/>
      <c r="E158" s="510"/>
      <c r="F158" s="746"/>
      <c r="G158" s="510"/>
      <c r="H158" s="510"/>
      <c r="I158" s="510"/>
      <c r="J158" s="510"/>
      <c r="K158" s="510"/>
      <c r="L158" s="510"/>
      <c r="M158" s="509"/>
      <c r="N158" s="516"/>
      <c r="O158" s="506"/>
      <c r="P158" s="506"/>
      <c r="Q158" s="505"/>
      <c r="R158" s="506"/>
      <c r="S158" s="506"/>
      <c r="T158" s="506"/>
      <c r="U158" s="505"/>
      <c r="V158" s="505"/>
      <c r="W158" s="505"/>
      <c r="X158" s="504"/>
      <c r="Y158" s="503"/>
      <c r="Z158" s="503"/>
      <c r="AA158" s="503"/>
      <c r="AB158" s="503"/>
      <c r="AC158" s="503"/>
      <c r="AD158" s="503"/>
      <c r="AE158" s="503"/>
      <c r="AF158" s="503"/>
    </row>
    <row r="159" spans="1:32" ht="15.75" customHeight="1">
      <c r="A159" s="503"/>
      <c r="B159" s="921"/>
      <c r="C159" s="510"/>
      <c r="D159" s="510"/>
      <c r="E159" s="510"/>
      <c r="F159" s="746"/>
      <c r="G159" s="510"/>
      <c r="H159" s="510"/>
      <c r="I159" s="510"/>
      <c r="J159" s="510"/>
      <c r="K159" s="510"/>
      <c r="L159" s="510"/>
      <c r="M159" s="509"/>
      <c r="N159" s="516"/>
      <c r="O159" s="506"/>
      <c r="P159" s="506"/>
      <c r="Q159" s="505"/>
      <c r="R159" s="506"/>
      <c r="S159" s="506"/>
      <c r="T159" s="506"/>
      <c r="U159" s="505"/>
      <c r="V159" s="505"/>
      <c r="W159" s="505"/>
      <c r="X159" s="504"/>
      <c r="Y159" s="503"/>
      <c r="Z159" s="503"/>
      <c r="AA159" s="503"/>
      <c r="AB159" s="503"/>
      <c r="AC159" s="503"/>
      <c r="AD159" s="503"/>
      <c r="AE159" s="503"/>
      <c r="AF159" s="503"/>
    </row>
    <row r="160" spans="1:32" ht="15.75" customHeight="1">
      <c r="A160" s="503"/>
      <c r="B160" s="921"/>
      <c r="C160" s="510"/>
      <c r="D160" s="510"/>
      <c r="E160" s="510"/>
      <c r="F160" s="746"/>
      <c r="G160" s="510"/>
      <c r="H160" s="510"/>
      <c r="I160" s="510"/>
      <c r="J160" s="510"/>
      <c r="K160" s="510"/>
      <c r="L160" s="510"/>
      <c r="M160" s="509"/>
      <c r="N160" s="516"/>
      <c r="O160" s="506"/>
      <c r="P160" s="506"/>
      <c r="Q160" s="505"/>
      <c r="R160" s="506"/>
      <c r="S160" s="506"/>
      <c r="T160" s="506"/>
      <c r="U160" s="505"/>
      <c r="V160" s="505"/>
      <c r="W160" s="505"/>
      <c r="X160" s="504"/>
      <c r="Y160" s="503"/>
      <c r="Z160" s="503"/>
      <c r="AA160" s="503"/>
      <c r="AB160" s="503"/>
      <c r="AC160" s="503"/>
      <c r="AD160" s="503"/>
      <c r="AE160" s="503"/>
      <c r="AF160" s="503"/>
    </row>
    <row r="161" spans="1:32" ht="15.75" customHeight="1">
      <c r="A161" s="503"/>
      <c r="B161" s="921"/>
      <c r="C161" s="510"/>
      <c r="D161" s="510"/>
      <c r="E161" s="510"/>
      <c r="F161" s="746"/>
      <c r="G161" s="510"/>
      <c r="H161" s="510"/>
      <c r="I161" s="510"/>
      <c r="J161" s="510"/>
      <c r="K161" s="510"/>
      <c r="L161" s="510"/>
      <c r="M161" s="509"/>
      <c r="N161" s="516"/>
      <c r="O161" s="506"/>
      <c r="P161" s="506"/>
      <c r="Q161" s="505"/>
      <c r="R161" s="506"/>
      <c r="S161" s="506"/>
      <c r="T161" s="506"/>
      <c r="U161" s="505"/>
      <c r="V161" s="505"/>
      <c r="W161" s="505"/>
      <c r="X161" s="504"/>
      <c r="Y161" s="503"/>
      <c r="Z161" s="503"/>
      <c r="AA161" s="503"/>
      <c r="AB161" s="503"/>
      <c r="AC161" s="503"/>
      <c r="AD161" s="503"/>
      <c r="AE161" s="503"/>
      <c r="AF161" s="503"/>
    </row>
    <row r="162" spans="1:32" ht="15.75" customHeight="1">
      <c r="A162" s="503"/>
      <c r="B162" s="921"/>
      <c r="C162" s="510"/>
      <c r="D162" s="510"/>
      <c r="E162" s="510"/>
      <c r="F162" s="746"/>
      <c r="G162" s="510"/>
      <c r="H162" s="510"/>
      <c r="I162" s="510"/>
      <c r="J162" s="510"/>
      <c r="K162" s="510"/>
      <c r="L162" s="510"/>
      <c r="M162" s="509"/>
      <c r="N162" s="516"/>
      <c r="O162" s="510"/>
      <c r="P162" s="510"/>
      <c r="Q162" s="505"/>
      <c r="R162" s="506"/>
      <c r="S162" s="506"/>
      <c r="T162" s="506"/>
      <c r="U162" s="505"/>
      <c r="V162" s="505"/>
      <c r="W162" s="505"/>
      <c r="X162" s="518"/>
      <c r="Y162" s="503"/>
      <c r="Z162" s="503"/>
      <c r="AA162" s="503"/>
      <c r="AB162" s="503"/>
      <c r="AC162" s="503"/>
      <c r="AD162" s="503"/>
      <c r="AE162" s="503"/>
      <c r="AF162" s="503"/>
    </row>
    <row r="163" spans="1:32" ht="15.75" customHeight="1">
      <c r="A163" s="503"/>
      <c r="B163" s="921"/>
      <c r="C163" s="510"/>
      <c r="D163" s="510"/>
      <c r="E163" s="510"/>
      <c r="F163" s="746"/>
      <c r="G163" s="510"/>
      <c r="H163" s="510"/>
      <c r="I163" s="510"/>
      <c r="J163" s="510"/>
      <c r="K163" s="510"/>
      <c r="L163" s="510"/>
      <c r="M163" s="509"/>
      <c r="N163" s="516"/>
      <c r="O163" s="506"/>
      <c r="P163" s="506"/>
      <c r="Q163" s="505"/>
      <c r="R163" s="506"/>
      <c r="S163" s="506"/>
      <c r="T163" s="506"/>
      <c r="U163" s="505"/>
      <c r="V163" s="505"/>
      <c r="W163" s="505"/>
      <c r="X163" s="504"/>
      <c r="Y163" s="503"/>
      <c r="Z163" s="503"/>
      <c r="AA163" s="503"/>
      <c r="AB163" s="503"/>
      <c r="AC163" s="503"/>
      <c r="AD163" s="503"/>
      <c r="AE163" s="503"/>
      <c r="AF163" s="503"/>
    </row>
    <row r="164" spans="1:32" ht="15.75" customHeight="1">
      <c r="A164" s="503"/>
      <c r="B164" s="921"/>
      <c r="C164" s="510"/>
      <c r="D164" s="510"/>
      <c r="E164" s="510"/>
      <c r="F164" s="746"/>
      <c r="G164" s="510"/>
      <c r="H164" s="510"/>
      <c r="I164" s="510"/>
      <c r="J164" s="510"/>
      <c r="K164" s="510"/>
      <c r="L164" s="510"/>
      <c r="M164" s="509"/>
      <c r="N164" s="516"/>
      <c r="O164" s="506"/>
      <c r="P164" s="506"/>
      <c r="Q164" s="505"/>
      <c r="R164" s="506"/>
      <c r="S164" s="506"/>
      <c r="T164" s="506"/>
      <c r="U164" s="505"/>
      <c r="V164" s="505"/>
      <c r="W164" s="505"/>
      <c r="X164" s="504"/>
      <c r="Y164" s="503"/>
      <c r="Z164" s="503"/>
      <c r="AA164" s="503"/>
      <c r="AB164" s="503"/>
      <c r="AC164" s="503"/>
      <c r="AD164" s="503"/>
      <c r="AE164" s="503"/>
      <c r="AF164" s="503"/>
    </row>
    <row r="165" spans="1:32" ht="15.75" customHeight="1">
      <c r="A165" s="503"/>
      <c r="B165" s="921"/>
      <c r="C165" s="510"/>
      <c r="D165" s="510"/>
      <c r="E165" s="510"/>
      <c r="F165" s="746"/>
      <c r="G165" s="510"/>
      <c r="H165" s="510"/>
      <c r="I165" s="510"/>
      <c r="J165" s="510"/>
      <c r="K165" s="510"/>
      <c r="L165" s="510"/>
      <c r="M165" s="509"/>
      <c r="N165" s="516"/>
      <c r="O165" s="506"/>
      <c r="P165" s="506"/>
      <c r="Q165" s="505"/>
      <c r="R165" s="506"/>
      <c r="S165" s="506"/>
      <c r="T165" s="506"/>
      <c r="U165" s="505"/>
      <c r="V165" s="505"/>
      <c r="W165" s="505"/>
      <c r="X165" s="504"/>
      <c r="Y165" s="503"/>
      <c r="Z165" s="503"/>
      <c r="AA165" s="503"/>
      <c r="AB165" s="503"/>
      <c r="AC165" s="503"/>
      <c r="AD165" s="503"/>
      <c r="AE165" s="503"/>
      <c r="AF165" s="503"/>
    </row>
    <row r="166" spans="1:32" ht="15.75" customHeight="1">
      <c r="A166" s="503"/>
      <c r="B166" s="921"/>
      <c r="C166" s="510"/>
      <c r="D166" s="510"/>
      <c r="E166" s="510"/>
      <c r="F166" s="746"/>
      <c r="G166" s="510"/>
      <c r="H166" s="510"/>
      <c r="I166" s="510"/>
      <c r="J166" s="510"/>
      <c r="K166" s="510"/>
      <c r="L166" s="510"/>
      <c r="M166" s="509"/>
      <c r="N166" s="516"/>
      <c r="O166" s="510"/>
      <c r="P166" s="510"/>
      <c r="Q166" s="505"/>
      <c r="R166" s="506"/>
      <c r="S166" s="506"/>
      <c r="T166" s="506"/>
      <c r="U166" s="505"/>
      <c r="V166" s="505"/>
      <c r="W166" s="505"/>
      <c r="X166" s="518"/>
      <c r="Y166" s="503"/>
      <c r="Z166" s="503"/>
      <c r="AA166" s="503"/>
      <c r="AB166" s="503"/>
      <c r="AC166" s="503"/>
      <c r="AD166" s="503"/>
      <c r="AE166" s="503"/>
      <c r="AF166" s="503"/>
    </row>
    <row r="167" spans="1:32" ht="15.75" customHeight="1">
      <c r="A167" s="503"/>
      <c r="B167" s="921"/>
      <c r="C167" s="510"/>
      <c r="D167" s="510"/>
      <c r="E167" s="510"/>
      <c r="F167" s="746"/>
      <c r="G167" s="510"/>
      <c r="H167" s="510"/>
      <c r="I167" s="510"/>
      <c r="J167" s="510"/>
      <c r="K167" s="510"/>
      <c r="L167" s="510"/>
      <c r="M167" s="509"/>
      <c r="N167" s="516"/>
      <c r="O167" s="506"/>
      <c r="P167" s="506"/>
      <c r="Q167" s="505"/>
      <c r="R167" s="506"/>
      <c r="S167" s="506"/>
      <c r="T167" s="506"/>
      <c r="U167" s="505"/>
      <c r="V167" s="505"/>
      <c r="W167" s="505"/>
      <c r="X167" s="504"/>
      <c r="Y167" s="503"/>
      <c r="Z167" s="503"/>
      <c r="AA167" s="503"/>
      <c r="AB167" s="503"/>
      <c r="AC167" s="503"/>
      <c r="AD167" s="503"/>
      <c r="AE167" s="503"/>
      <c r="AF167" s="503"/>
    </row>
    <row r="168" spans="1:32" ht="15.75" customHeight="1">
      <c r="A168" s="503"/>
      <c r="B168" s="921"/>
      <c r="C168" s="510"/>
      <c r="D168" s="510"/>
      <c r="E168" s="510"/>
      <c r="F168" s="746"/>
      <c r="G168" s="510"/>
      <c r="H168" s="510"/>
      <c r="I168" s="510"/>
      <c r="J168" s="510"/>
      <c r="K168" s="510"/>
      <c r="L168" s="510"/>
      <c r="M168" s="509"/>
      <c r="N168" s="516"/>
      <c r="O168" s="506"/>
      <c r="P168" s="506"/>
      <c r="Q168" s="505"/>
      <c r="R168" s="506"/>
      <c r="S168" s="506"/>
      <c r="T168" s="506"/>
      <c r="U168" s="505"/>
      <c r="V168" s="505"/>
      <c r="W168" s="505"/>
      <c r="X168" s="504"/>
      <c r="Y168" s="503"/>
      <c r="Z168" s="503"/>
      <c r="AA168" s="503"/>
      <c r="AB168" s="503"/>
      <c r="AC168" s="503"/>
      <c r="AD168" s="503"/>
      <c r="AE168" s="503"/>
      <c r="AF168" s="503"/>
    </row>
    <row r="169" spans="1:32" ht="15.75" customHeight="1">
      <c r="A169" s="503"/>
      <c r="B169" s="921"/>
      <c r="C169" s="510"/>
      <c r="D169" s="510"/>
      <c r="E169" s="510"/>
      <c r="F169" s="746"/>
      <c r="G169" s="510"/>
      <c r="H169" s="510"/>
      <c r="I169" s="510"/>
      <c r="J169" s="510"/>
      <c r="K169" s="510"/>
      <c r="L169" s="510"/>
      <c r="M169" s="509"/>
      <c r="N169" s="516"/>
      <c r="O169" s="506"/>
      <c r="P169" s="506"/>
      <c r="Q169" s="505"/>
      <c r="R169" s="506"/>
      <c r="S169" s="506"/>
      <c r="T169" s="506"/>
      <c r="U169" s="505"/>
      <c r="V169" s="505"/>
      <c r="W169" s="505"/>
      <c r="X169" s="504"/>
      <c r="Y169" s="503"/>
      <c r="Z169" s="503"/>
      <c r="AA169" s="503"/>
      <c r="AB169" s="503"/>
      <c r="AC169" s="503"/>
      <c r="AD169" s="503"/>
      <c r="AE169" s="503"/>
      <c r="AF169" s="503"/>
    </row>
    <row r="170" spans="1:32" ht="15.75" customHeight="1">
      <c r="A170" s="503"/>
      <c r="B170" s="921"/>
      <c r="C170" s="510"/>
      <c r="D170" s="510"/>
      <c r="E170" s="510"/>
      <c r="F170" s="746"/>
      <c r="G170" s="510"/>
      <c r="H170" s="510"/>
      <c r="I170" s="510"/>
      <c r="J170" s="510"/>
      <c r="K170" s="510"/>
      <c r="L170" s="510"/>
      <c r="M170" s="509"/>
      <c r="N170" s="516"/>
      <c r="O170" s="510"/>
      <c r="P170" s="510"/>
      <c r="Q170" s="505"/>
      <c r="R170" s="506"/>
      <c r="S170" s="506"/>
      <c r="T170" s="506"/>
      <c r="U170" s="505"/>
      <c r="V170" s="505"/>
      <c r="W170" s="505"/>
      <c r="X170" s="518"/>
      <c r="Y170" s="503"/>
      <c r="Z170" s="503"/>
      <c r="AA170" s="503"/>
      <c r="AB170" s="503"/>
      <c r="AC170" s="503"/>
      <c r="AD170" s="503"/>
      <c r="AE170" s="503"/>
      <c r="AF170" s="503"/>
    </row>
    <row r="171" spans="1:32" ht="15.75" customHeight="1">
      <c r="A171" s="503"/>
      <c r="B171" s="921"/>
      <c r="C171" s="510"/>
      <c r="D171" s="510"/>
      <c r="E171" s="510"/>
      <c r="F171" s="746"/>
      <c r="G171" s="510"/>
      <c r="H171" s="510"/>
      <c r="I171" s="510"/>
      <c r="J171" s="510"/>
      <c r="K171" s="510"/>
      <c r="L171" s="510"/>
      <c r="M171" s="509"/>
      <c r="N171" s="516"/>
      <c r="O171" s="506"/>
      <c r="P171" s="506"/>
      <c r="Q171" s="505"/>
      <c r="R171" s="506"/>
      <c r="S171" s="506"/>
      <c r="T171" s="506"/>
      <c r="U171" s="505"/>
      <c r="V171" s="505"/>
      <c r="W171" s="505"/>
      <c r="X171" s="504"/>
      <c r="Y171" s="503"/>
      <c r="Z171" s="503"/>
      <c r="AA171" s="503"/>
      <c r="AB171" s="503"/>
      <c r="AC171" s="503"/>
      <c r="AD171" s="503"/>
      <c r="AE171" s="503"/>
      <c r="AF171" s="503"/>
    </row>
    <row r="172" spans="1:32" ht="15.75" customHeight="1">
      <c r="A172" s="503"/>
      <c r="B172" s="921"/>
      <c r="C172" s="510"/>
      <c r="D172" s="510"/>
      <c r="E172" s="510"/>
      <c r="F172" s="746"/>
      <c r="G172" s="510"/>
      <c r="H172" s="510"/>
      <c r="I172" s="510"/>
      <c r="J172" s="510"/>
      <c r="K172" s="510"/>
      <c r="L172" s="510"/>
      <c r="M172" s="509"/>
      <c r="N172" s="516"/>
      <c r="O172" s="510"/>
      <c r="P172" s="510"/>
      <c r="Q172" s="505"/>
      <c r="R172" s="506"/>
      <c r="S172" s="506"/>
      <c r="T172" s="506"/>
      <c r="U172" s="505"/>
      <c r="V172" s="505"/>
      <c r="W172" s="505"/>
      <c r="X172" s="518"/>
      <c r="Y172" s="503"/>
      <c r="Z172" s="503"/>
      <c r="AA172" s="503"/>
      <c r="AB172" s="503"/>
      <c r="AC172" s="503"/>
      <c r="AD172" s="503"/>
      <c r="AE172" s="503"/>
      <c r="AF172" s="503"/>
    </row>
    <row r="173" spans="1:32" ht="15.75" customHeight="1">
      <c r="A173" s="503"/>
      <c r="B173" s="921"/>
      <c r="C173" s="510"/>
      <c r="D173" s="510"/>
      <c r="E173" s="510"/>
      <c r="F173" s="746"/>
      <c r="G173" s="510"/>
      <c r="H173" s="510"/>
      <c r="I173" s="510"/>
      <c r="J173" s="510"/>
      <c r="K173" s="510"/>
      <c r="L173" s="510"/>
      <c r="M173" s="509"/>
      <c r="N173" s="516"/>
      <c r="O173" s="506"/>
      <c r="P173" s="506"/>
      <c r="Q173" s="505"/>
      <c r="R173" s="506"/>
      <c r="S173" s="506"/>
      <c r="T173" s="506"/>
      <c r="U173" s="505"/>
      <c r="V173" s="505"/>
      <c r="W173" s="505"/>
      <c r="X173" s="504"/>
      <c r="Y173" s="503"/>
      <c r="Z173" s="503"/>
      <c r="AA173" s="503"/>
      <c r="AB173" s="503"/>
      <c r="AC173" s="503"/>
      <c r="AD173" s="503"/>
      <c r="AE173" s="503"/>
      <c r="AF173" s="503"/>
    </row>
    <row r="174" spans="1:32" ht="15.75" customHeight="1">
      <c r="A174" s="503"/>
      <c r="B174" s="921"/>
      <c r="C174" s="510"/>
      <c r="D174" s="510"/>
      <c r="E174" s="510"/>
      <c r="F174" s="746"/>
      <c r="G174" s="510"/>
      <c r="H174" s="510"/>
      <c r="I174" s="510"/>
      <c r="J174" s="510"/>
      <c r="K174" s="510"/>
      <c r="L174" s="510"/>
      <c r="M174" s="509"/>
      <c r="N174" s="516"/>
      <c r="O174" s="510"/>
      <c r="P174" s="510"/>
      <c r="Q174" s="505"/>
      <c r="R174" s="506"/>
      <c r="S174" s="506"/>
      <c r="T174" s="506"/>
      <c r="U174" s="505"/>
      <c r="V174" s="505"/>
      <c r="W174" s="505"/>
      <c r="X174" s="518"/>
      <c r="Y174" s="503"/>
      <c r="Z174" s="503"/>
      <c r="AA174" s="503"/>
      <c r="AB174" s="503"/>
      <c r="AC174" s="503"/>
      <c r="AD174" s="503"/>
      <c r="AE174" s="503"/>
      <c r="AF174" s="503"/>
    </row>
    <row r="175" spans="1:32" ht="15.75" customHeight="1">
      <c r="A175" s="503"/>
      <c r="B175" s="921"/>
      <c r="C175" s="510"/>
      <c r="D175" s="510"/>
      <c r="E175" s="510"/>
      <c r="F175" s="746"/>
      <c r="G175" s="510"/>
      <c r="H175" s="510"/>
      <c r="I175" s="510"/>
      <c r="J175" s="510"/>
      <c r="K175" s="510"/>
      <c r="L175" s="510"/>
      <c r="M175" s="509"/>
      <c r="N175" s="516"/>
      <c r="O175" s="506"/>
      <c r="P175" s="506"/>
      <c r="Q175" s="505"/>
      <c r="R175" s="506"/>
      <c r="S175" s="506"/>
      <c r="T175" s="506"/>
      <c r="U175" s="505"/>
      <c r="V175" s="505"/>
      <c r="W175" s="505"/>
      <c r="X175" s="504"/>
      <c r="Y175" s="503"/>
      <c r="Z175" s="503"/>
      <c r="AA175" s="503"/>
      <c r="AB175" s="503"/>
      <c r="AC175" s="503"/>
      <c r="AD175" s="503"/>
      <c r="AE175" s="503"/>
      <c r="AF175" s="503"/>
    </row>
    <row r="176" spans="1:32" ht="15.75" customHeight="1">
      <c r="A176" s="503"/>
      <c r="B176" s="921"/>
      <c r="C176" s="510"/>
      <c r="D176" s="510"/>
      <c r="E176" s="510"/>
      <c r="F176" s="746"/>
      <c r="G176" s="510"/>
      <c r="H176" s="510"/>
      <c r="I176" s="510"/>
      <c r="J176" s="510"/>
      <c r="K176" s="510"/>
      <c r="L176" s="510"/>
      <c r="M176" s="509"/>
      <c r="N176" s="516"/>
      <c r="O176" s="506"/>
      <c r="P176" s="506"/>
      <c r="Q176" s="505"/>
      <c r="R176" s="506"/>
      <c r="S176" s="506"/>
      <c r="T176" s="506"/>
      <c r="U176" s="505"/>
      <c r="V176" s="505"/>
      <c r="W176" s="505"/>
      <c r="X176" s="504"/>
      <c r="Y176" s="503"/>
      <c r="Z176" s="503"/>
      <c r="AA176" s="503"/>
      <c r="AB176" s="503"/>
      <c r="AC176" s="503"/>
      <c r="AD176" s="503"/>
      <c r="AE176" s="503"/>
      <c r="AF176" s="503"/>
    </row>
    <row r="177" spans="1:32" ht="15.75" customHeight="1">
      <c r="A177" s="503"/>
      <c r="B177" s="921"/>
      <c r="C177" s="510"/>
      <c r="D177" s="510"/>
      <c r="E177" s="510"/>
      <c r="F177" s="746"/>
      <c r="G177" s="510"/>
      <c r="H177" s="510"/>
      <c r="I177" s="510"/>
      <c r="J177" s="510"/>
      <c r="K177" s="510"/>
      <c r="L177" s="510"/>
      <c r="M177" s="509"/>
      <c r="N177" s="516"/>
      <c r="O177" s="510"/>
      <c r="P177" s="510"/>
      <c r="Q177" s="505"/>
      <c r="R177" s="506"/>
      <c r="S177" s="506"/>
      <c r="T177" s="506"/>
      <c r="U177" s="505"/>
      <c r="V177" s="505"/>
      <c r="W177" s="505"/>
      <c r="X177" s="518"/>
      <c r="Y177" s="503"/>
      <c r="Z177" s="503"/>
      <c r="AA177" s="503"/>
      <c r="AB177" s="503"/>
      <c r="AC177" s="503"/>
      <c r="AD177" s="503"/>
      <c r="AE177" s="503"/>
      <c r="AF177" s="503"/>
    </row>
    <row r="178" spans="1:32" ht="15.75" customHeight="1">
      <c r="A178" s="503"/>
      <c r="B178" s="921"/>
      <c r="C178" s="510"/>
      <c r="D178" s="510"/>
      <c r="E178" s="510"/>
      <c r="F178" s="746"/>
      <c r="G178" s="510"/>
      <c r="H178" s="510"/>
      <c r="I178" s="510"/>
      <c r="J178" s="510"/>
      <c r="K178" s="510"/>
      <c r="L178" s="510"/>
      <c r="M178" s="509"/>
      <c r="N178" s="516"/>
      <c r="O178" s="506"/>
      <c r="P178" s="506"/>
      <c r="Q178" s="505"/>
      <c r="R178" s="506"/>
      <c r="S178" s="506"/>
      <c r="T178" s="506"/>
      <c r="U178" s="505"/>
      <c r="V178" s="505"/>
      <c r="W178" s="505"/>
      <c r="X178" s="504"/>
      <c r="Y178" s="503"/>
      <c r="Z178" s="503"/>
      <c r="AA178" s="503"/>
      <c r="AB178" s="503"/>
      <c r="AC178" s="503"/>
      <c r="AD178" s="503"/>
      <c r="AE178" s="503"/>
      <c r="AF178" s="503"/>
    </row>
    <row r="179" spans="1:32" ht="15.75" customHeight="1">
      <c r="A179" s="503"/>
      <c r="B179" s="921"/>
      <c r="C179" s="510"/>
      <c r="D179" s="510"/>
      <c r="E179" s="510"/>
      <c r="F179" s="746"/>
      <c r="G179" s="510"/>
      <c r="H179" s="510"/>
      <c r="I179" s="510"/>
      <c r="J179" s="510"/>
      <c r="K179" s="510"/>
      <c r="L179" s="510"/>
      <c r="M179" s="509"/>
      <c r="N179" s="516"/>
      <c r="O179" s="506"/>
      <c r="P179" s="506"/>
      <c r="Q179" s="505"/>
      <c r="R179" s="506"/>
      <c r="S179" s="506"/>
      <c r="T179" s="506"/>
      <c r="U179" s="505"/>
      <c r="V179" s="505"/>
      <c r="W179" s="505"/>
      <c r="X179" s="504"/>
      <c r="Y179" s="503"/>
      <c r="Z179" s="503"/>
      <c r="AA179" s="503"/>
      <c r="AB179" s="503"/>
      <c r="AC179" s="503"/>
      <c r="AD179" s="503"/>
      <c r="AE179" s="503"/>
      <c r="AF179" s="503"/>
    </row>
    <row r="180" spans="1:32" ht="15.75" customHeight="1">
      <c r="A180" s="503"/>
      <c r="B180" s="921"/>
      <c r="C180" s="510"/>
      <c r="D180" s="510"/>
      <c r="E180" s="510"/>
      <c r="F180" s="746"/>
      <c r="G180" s="510"/>
      <c r="H180" s="510"/>
      <c r="I180" s="510"/>
      <c r="J180" s="510"/>
      <c r="K180" s="510"/>
      <c r="L180" s="510"/>
      <c r="M180" s="509"/>
      <c r="N180" s="516"/>
      <c r="O180" s="506"/>
      <c r="P180" s="506"/>
      <c r="Q180" s="505"/>
      <c r="R180" s="506"/>
      <c r="S180" s="506"/>
      <c r="T180" s="506"/>
      <c r="U180" s="505"/>
      <c r="V180" s="505"/>
      <c r="W180" s="505"/>
      <c r="X180" s="504"/>
      <c r="Y180" s="503"/>
      <c r="Z180" s="503"/>
      <c r="AA180" s="503"/>
      <c r="AB180" s="503"/>
      <c r="AC180" s="503"/>
      <c r="AD180" s="503"/>
      <c r="AE180" s="503"/>
      <c r="AF180" s="503"/>
    </row>
    <row r="181" spans="1:32" ht="15.75" customHeight="1">
      <c r="A181" s="503"/>
      <c r="B181" s="921"/>
      <c r="C181" s="510"/>
      <c r="D181" s="510"/>
      <c r="E181" s="510"/>
      <c r="F181" s="746"/>
      <c r="G181" s="510"/>
      <c r="H181" s="510"/>
      <c r="I181" s="510"/>
      <c r="J181" s="510"/>
      <c r="K181" s="510"/>
      <c r="L181" s="510"/>
      <c r="M181" s="509"/>
      <c r="N181" s="516"/>
      <c r="O181" s="506"/>
      <c r="P181" s="506"/>
      <c r="Q181" s="505"/>
      <c r="R181" s="506"/>
      <c r="S181" s="506"/>
      <c r="T181" s="506"/>
      <c r="U181" s="505"/>
      <c r="V181" s="505"/>
      <c r="W181" s="505"/>
      <c r="X181" s="504"/>
      <c r="Y181" s="503"/>
      <c r="Z181" s="503"/>
      <c r="AA181" s="503"/>
      <c r="AB181" s="503"/>
      <c r="AC181" s="503"/>
      <c r="AD181" s="503"/>
      <c r="AE181" s="503"/>
      <c r="AF181" s="503"/>
    </row>
    <row r="182" spans="1:32" ht="15.75" customHeight="1">
      <c r="A182" s="503"/>
      <c r="B182" s="921"/>
      <c r="C182" s="510"/>
      <c r="D182" s="510"/>
      <c r="E182" s="510"/>
      <c r="F182" s="746"/>
      <c r="G182" s="510"/>
      <c r="H182" s="510"/>
      <c r="I182" s="510"/>
      <c r="J182" s="510"/>
      <c r="K182" s="510"/>
      <c r="L182" s="510"/>
      <c r="M182" s="509"/>
      <c r="N182" s="516"/>
      <c r="O182" s="510"/>
      <c r="P182" s="510"/>
      <c r="Q182" s="505"/>
      <c r="R182" s="506"/>
      <c r="S182" s="506"/>
      <c r="T182" s="506"/>
      <c r="U182" s="505"/>
      <c r="V182" s="505"/>
      <c r="W182" s="505"/>
      <c r="X182" s="518"/>
      <c r="Y182" s="503"/>
      <c r="Z182" s="503"/>
      <c r="AA182" s="503"/>
      <c r="AB182" s="503"/>
      <c r="AC182" s="503"/>
      <c r="AD182" s="503"/>
      <c r="AE182" s="503"/>
      <c r="AF182" s="503"/>
    </row>
    <row r="183" spans="1:32" ht="15.75" customHeight="1">
      <c r="A183" s="503"/>
      <c r="B183" s="921"/>
      <c r="C183" s="510"/>
      <c r="D183" s="510"/>
      <c r="E183" s="510"/>
      <c r="F183" s="746"/>
      <c r="G183" s="510"/>
      <c r="H183" s="510"/>
      <c r="I183" s="510"/>
      <c r="J183" s="510"/>
      <c r="K183" s="510"/>
      <c r="L183" s="510"/>
      <c r="M183" s="509"/>
      <c r="N183" s="516"/>
      <c r="O183" s="506"/>
      <c r="P183" s="506"/>
      <c r="Q183" s="505"/>
      <c r="R183" s="506"/>
      <c r="S183" s="506"/>
      <c r="T183" s="506"/>
      <c r="U183" s="505"/>
      <c r="V183" s="505"/>
      <c r="W183" s="505"/>
      <c r="X183" s="504"/>
      <c r="Y183" s="503"/>
      <c r="Z183" s="503"/>
      <c r="AA183" s="503"/>
      <c r="AB183" s="503"/>
      <c r="AC183" s="503"/>
      <c r="AD183" s="503"/>
      <c r="AE183" s="503"/>
      <c r="AF183" s="503"/>
    </row>
    <row r="184" spans="1:32" ht="15.75" customHeight="1">
      <c r="A184" s="503"/>
      <c r="B184" s="921"/>
      <c r="C184" s="510"/>
      <c r="D184" s="510"/>
      <c r="E184" s="510"/>
      <c r="F184" s="746"/>
      <c r="G184" s="510"/>
      <c r="H184" s="510"/>
      <c r="I184" s="510"/>
      <c r="J184" s="510"/>
      <c r="K184" s="510"/>
      <c r="L184" s="510"/>
      <c r="M184" s="509"/>
      <c r="N184" s="516"/>
      <c r="O184" s="506"/>
      <c r="P184" s="506"/>
      <c r="Q184" s="505"/>
      <c r="R184" s="506"/>
      <c r="S184" s="506"/>
      <c r="T184" s="506"/>
      <c r="U184" s="505"/>
      <c r="V184" s="505"/>
      <c r="W184" s="505"/>
      <c r="X184" s="504"/>
      <c r="Y184" s="503"/>
      <c r="Z184" s="503"/>
      <c r="AA184" s="503"/>
      <c r="AB184" s="503"/>
      <c r="AC184" s="503"/>
      <c r="AD184" s="503"/>
      <c r="AE184" s="503"/>
      <c r="AF184" s="503"/>
    </row>
    <row r="185" spans="1:32" ht="15.75" customHeight="1">
      <c r="A185" s="503"/>
      <c r="B185" s="921"/>
      <c r="C185" s="510"/>
      <c r="D185" s="510"/>
      <c r="E185" s="510"/>
      <c r="F185" s="746"/>
      <c r="G185" s="510"/>
      <c r="H185" s="510"/>
      <c r="I185" s="510"/>
      <c r="J185" s="510"/>
      <c r="K185" s="510"/>
      <c r="L185" s="510"/>
      <c r="M185" s="509"/>
      <c r="N185" s="516"/>
      <c r="O185" s="506"/>
      <c r="P185" s="506"/>
      <c r="Q185" s="505"/>
      <c r="R185" s="506"/>
      <c r="S185" s="506"/>
      <c r="T185" s="506"/>
      <c r="U185" s="505"/>
      <c r="V185" s="505"/>
      <c r="W185" s="505"/>
      <c r="X185" s="504"/>
      <c r="Y185" s="503"/>
      <c r="Z185" s="503"/>
      <c r="AA185" s="503"/>
      <c r="AB185" s="503"/>
      <c r="AC185" s="503"/>
      <c r="AD185" s="503"/>
      <c r="AE185" s="503"/>
      <c r="AF185" s="503"/>
    </row>
    <row r="186" spans="1:32" ht="15.75" customHeight="1">
      <c r="A186" s="503"/>
      <c r="B186" s="921"/>
      <c r="C186" s="510"/>
      <c r="D186" s="510"/>
      <c r="E186" s="510"/>
      <c r="F186" s="746"/>
      <c r="G186" s="510"/>
      <c r="H186" s="510"/>
      <c r="I186" s="510"/>
      <c r="J186" s="510"/>
      <c r="K186" s="510"/>
      <c r="L186" s="510"/>
      <c r="M186" s="509"/>
      <c r="N186" s="516"/>
      <c r="O186" s="510"/>
      <c r="P186" s="510"/>
      <c r="Q186" s="505"/>
      <c r="R186" s="506"/>
      <c r="S186" s="506"/>
      <c r="T186" s="506"/>
      <c r="U186" s="505"/>
      <c r="V186" s="505"/>
      <c r="W186" s="505"/>
      <c r="X186" s="518"/>
      <c r="Y186" s="503"/>
      <c r="Z186" s="503"/>
      <c r="AA186" s="503"/>
      <c r="AB186" s="503"/>
      <c r="AC186" s="503"/>
      <c r="AD186" s="503"/>
      <c r="AE186" s="503"/>
      <c r="AF186" s="503"/>
    </row>
    <row r="187" spans="1:32" ht="15.75" customHeight="1">
      <c r="A187" s="503"/>
      <c r="B187" s="921"/>
      <c r="C187" s="510"/>
      <c r="D187" s="510"/>
      <c r="E187" s="510"/>
      <c r="F187" s="746"/>
      <c r="G187" s="510"/>
      <c r="H187" s="510"/>
      <c r="I187" s="510"/>
      <c r="J187" s="510"/>
      <c r="K187" s="510"/>
      <c r="L187" s="510"/>
      <c r="M187" s="509"/>
      <c r="N187" s="516"/>
      <c r="O187" s="506"/>
      <c r="P187" s="506"/>
      <c r="Q187" s="505"/>
      <c r="R187" s="506"/>
      <c r="S187" s="506"/>
      <c r="T187" s="506"/>
      <c r="U187" s="505"/>
      <c r="V187" s="505"/>
      <c r="W187" s="505"/>
      <c r="X187" s="504"/>
      <c r="Y187" s="503"/>
      <c r="Z187" s="503"/>
      <c r="AA187" s="503"/>
      <c r="AB187" s="503"/>
      <c r="AC187" s="503"/>
      <c r="AD187" s="503"/>
      <c r="AE187" s="503"/>
      <c r="AF187" s="503"/>
    </row>
    <row r="188" spans="1:32" ht="15.75" customHeight="1">
      <c r="A188" s="503"/>
      <c r="B188" s="921"/>
      <c r="C188" s="510"/>
      <c r="D188" s="510"/>
      <c r="E188" s="510"/>
      <c r="F188" s="746"/>
      <c r="G188" s="510"/>
      <c r="H188" s="510"/>
      <c r="I188" s="510"/>
      <c r="J188" s="510"/>
      <c r="K188" s="510"/>
      <c r="L188" s="510"/>
      <c r="M188" s="509"/>
      <c r="N188" s="516"/>
      <c r="O188" s="506"/>
      <c r="P188" s="506"/>
      <c r="Q188" s="505"/>
      <c r="R188" s="506"/>
      <c r="S188" s="506"/>
      <c r="T188" s="506"/>
      <c r="U188" s="505"/>
      <c r="V188" s="505"/>
      <c r="W188" s="505"/>
      <c r="X188" s="504"/>
      <c r="Y188" s="503"/>
      <c r="Z188" s="503"/>
      <c r="AA188" s="503"/>
      <c r="AB188" s="503"/>
      <c r="AC188" s="503"/>
      <c r="AD188" s="503"/>
      <c r="AE188" s="503"/>
      <c r="AF188" s="503"/>
    </row>
    <row r="189" spans="1:32" ht="15.75" customHeight="1">
      <c r="A189" s="503"/>
      <c r="B189" s="921"/>
      <c r="C189" s="510"/>
      <c r="D189" s="510"/>
      <c r="E189" s="510"/>
      <c r="F189" s="746"/>
      <c r="G189" s="510"/>
      <c r="H189" s="510"/>
      <c r="I189" s="510"/>
      <c r="J189" s="510"/>
      <c r="K189" s="510"/>
      <c r="L189" s="510"/>
      <c r="M189" s="509"/>
      <c r="N189" s="516"/>
      <c r="O189" s="506"/>
      <c r="P189" s="506"/>
      <c r="Q189" s="505"/>
      <c r="R189" s="506"/>
      <c r="S189" s="506"/>
      <c r="T189" s="506"/>
      <c r="U189" s="505"/>
      <c r="V189" s="505"/>
      <c r="W189" s="505"/>
      <c r="X189" s="504"/>
      <c r="Y189" s="503"/>
      <c r="Z189" s="503"/>
      <c r="AA189" s="503"/>
      <c r="AB189" s="503"/>
      <c r="AC189" s="503"/>
      <c r="AD189" s="503"/>
      <c r="AE189" s="503"/>
      <c r="AF189" s="503"/>
    </row>
    <row r="190" spans="1:32" ht="15.75" customHeight="1">
      <c r="A190" s="503"/>
      <c r="B190" s="921"/>
      <c r="C190" s="510"/>
      <c r="D190" s="510"/>
      <c r="E190" s="510"/>
      <c r="F190" s="746"/>
      <c r="G190" s="510"/>
      <c r="H190" s="510"/>
      <c r="I190" s="510"/>
      <c r="J190" s="510"/>
      <c r="K190" s="510"/>
      <c r="L190" s="510"/>
      <c r="M190" s="509"/>
      <c r="N190" s="516"/>
      <c r="O190" s="510"/>
      <c r="P190" s="510"/>
      <c r="Q190" s="505"/>
      <c r="R190" s="506"/>
      <c r="S190" s="506"/>
      <c r="T190" s="506"/>
      <c r="U190" s="505"/>
      <c r="V190" s="505"/>
      <c r="W190" s="505"/>
      <c r="X190" s="518"/>
      <c r="Y190" s="503"/>
      <c r="Z190" s="503"/>
      <c r="AA190" s="503"/>
      <c r="AB190" s="503"/>
      <c r="AC190" s="503"/>
      <c r="AD190" s="503"/>
      <c r="AE190" s="503"/>
      <c r="AF190" s="503"/>
    </row>
    <row r="191" spans="1:32" ht="15.75" customHeight="1">
      <c r="A191" s="503"/>
      <c r="B191" s="517"/>
      <c r="C191" s="510"/>
      <c r="D191" s="510"/>
      <c r="E191" s="510"/>
      <c r="F191" s="746"/>
      <c r="G191" s="510"/>
      <c r="H191" s="510"/>
      <c r="I191" s="510"/>
      <c r="J191" s="510"/>
      <c r="K191" s="510"/>
      <c r="L191" s="510"/>
      <c r="M191" s="509"/>
      <c r="N191" s="508"/>
      <c r="O191" s="507"/>
      <c r="P191" s="507"/>
      <c r="Q191" s="505"/>
      <c r="R191" s="506"/>
      <c r="S191" s="506"/>
      <c r="T191" s="506"/>
      <c r="U191" s="505"/>
      <c r="V191" s="505"/>
      <c r="W191" s="505"/>
      <c r="X191" s="504"/>
      <c r="Y191" s="503"/>
      <c r="Z191" s="503"/>
      <c r="AA191" s="503"/>
      <c r="AB191" s="503"/>
      <c r="AC191" s="503"/>
      <c r="AD191" s="503"/>
      <c r="AE191" s="503"/>
      <c r="AF191" s="503"/>
    </row>
    <row r="192" spans="1:32" ht="15.75" customHeight="1">
      <c r="A192" s="503"/>
      <c r="B192" s="517"/>
      <c r="C192" s="510"/>
      <c r="D192" s="510"/>
      <c r="E192" s="510"/>
      <c r="F192" s="746"/>
      <c r="G192" s="510"/>
      <c r="H192" s="510"/>
      <c r="I192" s="510"/>
      <c r="J192" s="510"/>
      <c r="K192" s="510"/>
      <c r="L192" s="510"/>
      <c r="M192" s="509"/>
      <c r="N192" s="508"/>
      <c r="O192" s="507"/>
      <c r="P192" s="507"/>
      <c r="Q192" s="505"/>
      <c r="R192" s="506"/>
      <c r="S192" s="506"/>
      <c r="T192" s="506"/>
      <c r="U192" s="505"/>
      <c r="V192" s="505"/>
      <c r="W192" s="505"/>
      <c r="X192" s="504"/>
      <c r="Y192" s="503"/>
      <c r="Z192" s="503"/>
      <c r="AA192" s="503"/>
      <c r="AB192" s="503"/>
      <c r="AC192" s="503"/>
      <c r="AD192" s="503"/>
      <c r="AE192" s="503"/>
      <c r="AF192" s="503"/>
    </row>
    <row r="193" spans="1:32" ht="15.75" customHeight="1">
      <c r="A193" s="503"/>
      <c r="B193" s="922"/>
      <c r="C193" s="510"/>
      <c r="D193" s="510"/>
      <c r="E193" s="510"/>
      <c r="F193" s="746"/>
      <c r="G193" s="510"/>
      <c r="H193" s="510"/>
      <c r="I193" s="510"/>
      <c r="J193" s="510"/>
      <c r="K193" s="510"/>
      <c r="L193" s="510"/>
      <c r="M193" s="509"/>
      <c r="N193" s="516"/>
      <c r="O193" s="506"/>
      <c r="P193" s="506"/>
      <c r="Q193" s="505"/>
      <c r="R193" s="506"/>
      <c r="S193" s="506"/>
      <c r="T193" s="506"/>
      <c r="U193" s="505"/>
      <c r="V193" s="505"/>
      <c r="W193" s="505"/>
      <c r="X193" s="504"/>
      <c r="Y193" s="503"/>
      <c r="Z193" s="503"/>
      <c r="AA193" s="503"/>
      <c r="AB193" s="503"/>
      <c r="AC193" s="503"/>
      <c r="AD193" s="503"/>
      <c r="AE193" s="503"/>
      <c r="AF193" s="503"/>
    </row>
    <row r="194" spans="1:32" ht="15.75" customHeight="1">
      <c r="A194" s="503"/>
      <c r="B194" s="921"/>
      <c r="C194" s="510"/>
      <c r="D194" s="510"/>
      <c r="E194" s="510"/>
      <c r="F194" s="746"/>
      <c r="G194" s="510"/>
      <c r="H194" s="510"/>
      <c r="I194" s="510"/>
      <c r="J194" s="510"/>
      <c r="K194" s="510"/>
      <c r="L194" s="510"/>
      <c r="M194" s="509"/>
      <c r="N194" s="516"/>
      <c r="O194" s="510"/>
      <c r="P194" s="510"/>
      <c r="Q194" s="505"/>
      <c r="R194" s="506"/>
      <c r="S194" s="506"/>
      <c r="T194" s="506"/>
      <c r="U194" s="505"/>
      <c r="V194" s="505"/>
      <c r="W194" s="505"/>
      <c r="X194" s="518"/>
      <c r="Y194" s="503"/>
      <c r="Z194" s="503"/>
      <c r="AA194" s="503"/>
      <c r="AB194" s="503"/>
      <c r="AC194" s="503"/>
      <c r="AD194" s="503"/>
      <c r="AE194" s="503"/>
      <c r="AF194" s="503"/>
    </row>
    <row r="195" spans="1:32" ht="15.75" customHeight="1">
      <c r="A195" s="503"/>
      <c r="B195" s="921"/>
      <c r="C195" s="510"/>
      <c r="D195" s="510"/>
      <c r="E195" s="510"/>
      <c r="F195" s="746"/>
      <c r="G195" s="510"/>
      <c r="H195" s="510"/>
      <c r="I195" s="510"/>
      <c r="J195" s="510"/>
      <c r="K195" s="510"/>
      <c r="L195" s="510"/>
      <c r="M195" s="509"/>
      <c r="N195" s="516"/>
      <c r="O195" s="506"/>
      <c r="P195" s="506"/>
      <c r="Q195" s="505"/>
      <c r="R195" s="506"/>
      <c r="S195" s="506"/>
      <c r="T195" s="506"/>
      <c r="U195" s="505"/>
      <c r="V195" s="505"/>
      <c r="W195" s="505"/>
      <c r="X195" s="504"/>
      <c r="Y195" s="503"/>
      <c r="Z195" s="503"/>
      <c r="AA195" s="503"/>
      <c r="AB195" s="503"/>
      <c r="AC195" s="503"/>
      <c r="AD195" s="503"/>
      <c r="AE195" s="503"/>
      <c r="AF195" s="503"/>
    </row>
    <row r="196" spans="1:32" ht="15.75" customHeight="1">
      <c r="A196" s="503"/>
      <c r="B196" s="921"/>
      <c r="C196" s="510"/>
      <c r="D196" s="510"/>
      <c r="E196" s="510"/>
      <c r="F196" s="746"/>
      <c r="G196" s="510"/>
      <c r="H196" s="510"/>
      <c r="I196" s="510"/>
      <c r="J196" s="510"/>
      <c r="K196" s="510"/>
      <c r="L196" s="510"/>
      <c r="M196" s="509"/>
      <c r="N196" s="516"/>
      <c r="O196" s="506"/>
      <c r="P196" s="506"/>
      <c r="Q196" s="505"/>
      <c r="R196" s="506"/>
      <c r="S196" s="506"/>
      <c r="T196" s="506"/>
      <c r="U196" s="505"/>
      <c r="V196" s="505"/>
      <c r="W196" s="505"/>
      <c r="X196" s="504"/>
      <c r="Y196" s="503"/>
      <c r="Z196" s="503"/>
      <c r="AA196" s="503"/>
      <c r="AB196" s="503"/>
      <c r="AC196" s="503"/>
      <c r="AD196" s="503"/>
      <c r="AE196" s="503"/>
      <c r="AF196" s="503"/>
    </row>
    <row r="197" spans="1:32" ht="15.75" customHeight="1">
      <c r="A197" s="503"/>
      <c r="B197" s="921"/>
      <c r="C197" s="510"/>
      <c r="D197" s="510"/>
      <c r="E197" s="510"/>
      <c r="F197" s="746"/>
      <c r="G197" s="510"/>
      <c r="H197" s="510"/>
      <c r="I197" s="510"/>
      <c r="J197" s="510"/>
      <c r="K197" s="510"/>
      <c r="L197" s="510"/>
      <c r="M197" s="509"/>
      <c r="N197" s="516"/>
      <c r="O197" s="506"/>
      <c r="P197" s="506"/>
      <c r="Q197" s="505"/>
      <c r="R197" s="506"/>
      <c r="S197" s="506"/>
      <c r="T197" s="506"/>
      <c r="U197" s="505"/>
      <c r="V197" s="505"/>
      <c r="W197" s="505"/>
      <c r="X197" s="504"/>
      <c r="Y197" s="503"/>
      <c r="Z197" s="503"/>
      <c r="AA197" s="503"/>
      <c r="AB197" s="503"/>
      <c r="AC197" s="503"/>
      <c r="AD197" s="503"/>
      <c r="AE197" s="503"/>
      <c r="AF197" s="503"/>
    </row>
    <row r="198" spans="1:32" ht="15.75" customHeight="1">
      <c r="A198" s="503"/>
      <c r="B198" s="921"/>
      <c r="C198" s="510"/>
      <c r="D198" s="510"/>
      <c r="E198" s="510"/>
      <c r="F198" s="746"/>
      <c r="G198" s="510"/>
      <c r="H198" s="510"/>
      <c r="I198" s="510"/>
      <c r="J198" s="510"/>
      <c r="K198" s="510"/>
      <c r="L198" s="510"/>
      <c r="M198" s="509"/>
      <c r="N198" s="516"/>
      <c r="O198" s="510"/>
      <c r="P198" s="510"/>
      <c r="Q198" s="505"/>
      <c r="R198" s="506"/>
      <c r="S198" s="506"/>
      <c r="T198" s="506"/>
      <c r="U198" s="505"/>
      <c r="V198" s="505"/>
      <c r="W198" s="505"/>
      <c r="X198" s="518"/>
      <c r="Y198" s="503"/>
      <c r="Z198" s="503"/>
      <c r="AA198" s="503"/>
      <c r="AB198" s="503"/>
      <c r="AC198" s="503"/>
      <c r="AD198" s="503"/>
      <c r="AE198" s="503"/>
      <c r="AF198" s="503"/>
    </row>
    <row r="199" spans="1:32" ht="15.75" customHeight="1">
      <c r="A199" s="503"/>
      <c r="B199" s="921"/>
      <c r="C199" s="510"/>
      <c r="D199" s="510"/>
      <c r="E199" s="510"/>
      <c r="F199" s="746"/>
      <c r="G199" s="510"/>
      <c r="H199" s="510"/>
      <c r="I199" s="510"/>
      <c r="J199" s="510"/>
      <c r="K199" s="510"/>
      <c r="L199" s="510"/>
      <c r="M199" s="509"/>
      <c r="N199" s="516"/>
      <c r="O199" s="506"/>
      <c r="P199" s="506"/>
      <c r="Q199" s="505"/>
      <c r="R199" s="506"/>
      <c r="S199" s="506"/>
      <c r="T199" s="506"/>
      <c r="U199" s="505"/>
      <c r="V199" s="505"/>
      <c r="W199" s="505"/>
      <c r="X199" s="504"/>
      <c r="Y199" s="503"/>
      <c r="Z199" s="503"/>
      <c r="AA199" s="503"/>
      <c r="AB199" s="503"/>
      <c r="AC199" s="503"/>
      <c r="AD199" s="503"/>
      <c r="AE199" s="503"/>
      <c r="AF199" s="503"/>
    </row>
    <row r="200" spans="1:32" ht="15.75" customHeight="1">
      <c r="A200" s="503"/>
      <c r="B200" s="921"/>
      <c r="C200" s="510"/>
      <c r="D200" s="510"/>
      <c r="E200" s="510"/>
      <c r="F200" s="746"/>
      <c r="G200" s="510"/>
      <c r="H200" s="510"/>
      <c r="I200" s="510"/>
      <c r="J200" s="510"/>
      <c r="K200" s="510"/>
      <c r="L200" s="510"/>
      <c r="M200" s="509"/>
      <c r="N200" s="516"/>
      <c r="O200" s="506"/>
      <c r="P200" s="506"/>
      <c r="Q200" s="505"/>
      <c r="R200" s="506"/>
      <c r="S200" s="506"/>
      <c r="T200" s="506"/>
      <c r="U200" s="505"/>
      <c r="V200" s="505"/>
      <c r="W200" s="505"/>
      <c r="X200" s="504"/>
      <c r="Y200" s="503"/>
      <c r="Z200" s="503"/>
      <c r="AA200" s="503"/>
      <c r="AB200" s="503"/>
      <c r="AC200" s="503"/>
      <c r="AD200" s="503"/>
      <c r="AE200" s="503"/>
      <c r="AF200" s="503"/>
    </row>
    <row r="201" spans="1:32" ht="15.75" customHeight="1">
      <c r="A201" s="503"/>
      <c r="B201" s="921"/>
      <c r="C201" s="510"/>
      <c r="D201" s="510"/>
      <c r="E201" s="510"/>
      <c r="F201" s="746"/>
      <c r="G201" s="510"/>
      <c r="H201" s="510"/>
      <c r="I201" s="510"/>
      <c r="J201" s="510"/>
      <c r="K201" s="510"/>
      <c r="L201" s="510"/>
      <c r="M201" s="509"/>
      <c r="N201" s="516"/>
      <c r="O201" s="506"/>
      <c r="P201" s="506"/>
      <c r="Q201" s="505"/>
      <c r="R201" s="506"/>
      <c r="S201" s="506"/>
      <c r="T201" s="506"/>
      <c r="U201" s="505"/>
      <c r="V201" s="505"/>
      <c r="W201" s="505"/>
      <c r="X201" s="504"/>
      <c r="Y201" s="503"/>
      <c r="Z201" s="503"/>
      <c r="AA201" s="503"/>
      <c r="AB201" s="503"/>
      <c r="AC201" s="503"/>
      <c r="AD201" s="503"/>
      <c r="AE201" s="503"/>
      <c r="AF201" s="503"/>
    </row>
    <row r="202" spans="1:32" ht="15.75" customHeight="1">
      <c r="A202" s="503"/>
      <c r="B202" s="921"/>
      <c r="C202" s="510"/>
      <c r="D202" s="510"/>
      <c r="E202" s="510"/>
      <c r="F202" s="746"/>
      <c r="G202" s="510"/>
      <c r="H202" s="510"/>
      <c r="I202" s="510"/>
      <c r="J202" s="510"/>
      <c r="K202" s="510"/>
      <c r="L202" s="510"/>
      <c r="M202" s="509"/>
      <c r="N202" s="516"/>
      <c r="O202" s="506"/>
      <c r="P202" s="506"/>
      <c r="Q202" s="505"/>
      <c r="R202" s="506"/>
      <c r="S202" s="506"/>
      <c r="T202" s="506"/>
      <c r="U202" s="505"/>
      <c r="V202" s="505"/>
      <c r="W202" s="505"/>
      <c r="X202" s="504"/>
      <c r="Y202" s="503"/>
      <c r="Z202" s="503"/>
      <c r="AA202" s="503"/>
      <c r="AB202" s="503"/>
      <c r="AC202" s="503"/>
      <c r="AD202" s="503"/>
      <c r="AE202" s="503"/>
      <c r="AF202" s="503"/>
    </row>
    <row r="203" spans="1:32" ht="15.75" customHeight="1">
      <c r="A203" s="503"/>
      <c r="B203" s="921"/>
      <c r="C203" s="510"/>
      <c r="D203" s="510"/>
      <c r="E203" s="510"/>
      <c r="F203" s="746"/>
      <c r="G203" s="510"/>
      <c r="H203" s="510"/>
      <c r="I203" s="510"/>
      <c r="J203" s="510"/>
      <c r="K203" s="510"/>
      <c r="L203" s="510"/>
      <c r="M203" s="509"/>
      <c r="N203" s="516"/>
      <c r="O203" s="506"/>
      <c r="P203" s="506"/>
      <c r="Q203" s="505"/>
      <c r="R203" s="506"/>
      <c r="S203" s="506"/>
      <c r="T203" s="506"/>
      <c r="U203" s="505"/>
      <c r="V203" s="505"/>
      <c r="W203" s="505"/>
      <c r="X203" s="504"/>
      <c r="Y203" s="503"/>
      <c r="Z203" s="503"/>
      <c r="AA203" s="503"/>
      <c r="AB203" s="503"/>
      <c r="AC203" s="503"/>
      <c r="AD203" s="503"/>
      <c r="AE203" s="503"/>
      <c r="AF203" s="503"/>
    </row>
    <row r="204" spans="1:32" ht="15.75" customHeight="1">
      <c r="A204" s="503"/>
      <c r="B204" s="921"/>
      <c r="C204" s="510"/>
      <c r="D204" s="510"/>
      <c r="E204" s="510"/>
      <c r="F204" s="746"/>
      <c r="G204" s="510"/>
      <c r="H204" s="510"/>
      <c r="I204" s="510"/>
      <c r="J204" s="510"/>
      <c r="K204" s="510"/>
      <c r="L204" s="510"/>
      <c r="M204" s="509"/>
      <c r="N204" s="516"/>
      <c r="O204" s="506"/>
      <c r="P204" s="506"/>
      <c r="Q204" s="505"/>
      <c r="R204" s="506"/>
      <c r="S204" s="506"/>
      <c r="T204" s="506"/>
      <c r="U204" s="505"/>
      <c r="V204" s="505"/>
      <c r="W204" s="505"/>
      <c r="X204" s="504"/>
      <c r="Y204" s="503"/>
      <c r="Z204" s="503"/>
      <c r="AA204" s="503"/>
      <c r="AB204" s="503"/>
      <c r="AC204" s="503"/>
      <c r="AD204" s="503"/>
      <c r="AE204" s="503"/>
      <c r="AF204" s="503"/>
    </row>
    <row r="205" spans="1:32" ht="15.75" customHeight="1">
      <c r="A205" s="503"/>
      <c r="B205" s="921"/>
      <c r="C205" s="510"/>
      <c r="D205" s="510"/>
      <c r="E205" s="510"/>
      <c r="F205" s="746"/>
      <c r="G205" s="510"/>
      <c r="H205" s="510"/>
      <c r="I205" s="510"/>
      <c r="J205" s="510"/>
      <c r="K205" s="510"/>
      <c r="L205" s="510"/>
      <c r="M205" s="509"/>
      <c r="N205" s="516"/>
      <c r="O205" s="506"/>
      <c r="P205" s="506"/>
      <c r="Q205" s="505"/>
      <c r="R205" s="506"/>
      <c r="S205" s="506"/>
      <c r="T205" s="506"/>
      <c r="U205" s="505"/>
      <c r="V205" s="505"/>
      <c r="W205" s="505"/>
      <c r="X205" s="504"/>
      <c r="Y205" s="503"/>
      <c r="Z205" s="503"/>
      <c r="AA205" s="503"/>
      <c r="AB205" s="503"/>
      <c r="AC205" s="503"/>
      <c r="AD205" s="503"/>
      <c r="AE205" s="503"/>
      <c r="AF205" s="503"/>
    </row>
    <row r="206" spans="1:32" ht="15.75" customHeight="1">
      <c r="A206" s="503"/>
      <c r="B206" s="921"/>
      <c r="C206" s="510"/>
      <c r="D206" s="510"/>
      <c r="E206" s="510"/>
      <c r="F206" s="746"/>
      <c r="G206" s="510"/>
      <c r="H206" s="510"/>
      <c r="I206" s="510"/>
      <c r="J206" s="510"/>
      <c r="K206" s="510"/>
      <c r="L206" s="510"/>
      <c r="M206" s="509"/>
      <c r="N206" s="516"/>
      <c r="O206" s="510"/>
      <c r="P206" s="510"/>
      <c r="Q206" s="505"/>
      <c r="R206" s="506"/>
      <c r="S206" s="506"/>
      <c r="T206" s="506"/>
      <c r="U206" s="505"/>
      <c r="V206" s="505"/>
      <c r="W206" s="505"/>
      <c r="X206" s="518"/>
      <c r="Y206" s="503"/>
      <c r="Z206" s="503"/>
      <c r="AA206" s="503"/>
      <c r="AB206" s="503"/>
      <c r="AC206" s="503"/>
      <c r="AD206" s="503"/>
      <c r="AE206" s="503"/>
      <c r="AF206" s="503"/>
    </row>
    <row r="207" spans="1:32" ht="15.75" customHeight="1">
      <c r="A207" s="503"/>
      <c r="B207" s="921"/>
      <c r="C207" s="510"/>
      <c r="D207" s="510"/>
      <c r="E207" s="510"/>
      <c r="F207" s="746"/>
      <c r="G207" s="510"/>
      <c r="H207" s="510"/>
      <c r="I207" s="510"/>
      <c r="J207" s="510"/>
      <c r="K207" s="510"/>
      <c r="L207" s="510"/>
      <c r="M207" s="509"/>
      <c r="N207" s="516"/>
      <c r="O207" s="506"/>
      <c r="P207" s="506"/>
      <c r="Q207" s="505"/>
      <c r="R207" s="506"/>
      <c r="S207" s="506"/>
      <c r="T207" s="506"/>
      <c r="U207" s="505"/>
      <c r="V207" s="505"/>
      <c r="W207" s="505"/>
      <c r="X207" s="504"/>
      <c r="Y207" s="503"/>
      <c r="Z207" s="503"/>
      <c r="AA207" s="503"/>
      <c r="AB207" s="503"/>
      <c r="AC207" s="503"/>
      <c r="AD207" s="503"/>
      <c r="AE207" s="503"/>
      <c r="AF207" s="503"/>
    </row>
    <row r="208" spans="1:32" ht="15.75" customHeight="1">
      <c r="A208" s="503"/>
      <c r="B208" s="921"/>
      <c r="C208" s="510"/>
      <c r="D208" s="510"/>
      <c r="E208" s="510"/>
      <c r="F208" s="746"/>
      <c r="G208" s="510"/>
      <c r="H208" s="510"/>
      <c r="I208" s="510"/>
      <c r="J208" s="510"/>
      <c r="K208" s="510"/>
      <c r="L208" s="510"/>
      <c r="M208" s="509"/>
      <c r="N208" s="516"/>
      <c r="O208" s="506"/>
      <c r="P208" s="506"/>
      <c r="Q208" s="505"/>
      <c r="R208" s="506"/>
      <c r="S208" s="506"/>
      <c r="T208" s="506"/>
      <c r="U208" s="505"/>
      <c r="V208" s="505"/>
      <c r="W208" s="505"/>
      <c r="X208" s="504"/>
      <c r="Y208" s="503"/>
      <c r="Z208" s="503"/>
      <c r="AA208" s="503"/>
      <c r="AB208" s="503"/>
      <c r="AC208" s="503"/>
      <c r="AD208" s="503"/>
      <c r="AE208" s="503"/>
      <c r="AF208" s="503"/>
    </row>
    <row r="209" spans="1:32" ht="15.75" customHeight="1">
      <c r="A209" s="503"/>
      <c r="B209" s="921"/>
      <c r="C209" s="510"/>
      <c r="D209" s="510"/>
      <c r="E209" s="510"/>
      <c r="F209" s="746"/>
      <c r="G209" s="510"/>
      <c r="H209" s="510"/>
      <c r="I209" s="510"/>
      <c r="J209" s="510"/>
      <c r="K209" s="510"/>
      <c r="L209" s="510"/>
      <c r="M209" s="509"/>
      <c r="N209" s="516"/>
      <c r="O209" s="506"/>
      <c r="P209" s="506"/>
      <c r="Q209" s="505"/>
      <c r="R209" s="506"/>
      <c r="S209" s="506"/>
      <c r="T209" s="506"/>
      <c r="U209" s="505"/>
      <c r="V209" s="505"/>
      <c r="W209" s="505"/>
      <c r="X209" s="504"/>
      <c r="Y209" s="503"/>
      <c r="Z209" s="503"/>
      <c r="AA209" s="503"/>
      <c r="AB209" s="503"/>
      <c r="AC209" s="503"/>
      <c r="AD209" s="503"/>
      <c r="AE209" s="503"/>
      <c r="AF209" s="503"/>
    </row>
    <row r="210" spans="1:32" ht="15.75" customHeight="1">
      <c r="A210" s="503"/>
      <c r="B210" s="921"/>
      <c r="C210" s="510"/>
      <c r="D210" s="510"/>
      <c r="E210" s="510"/>
      <c r="F210" s="746"/>
      <c r="G210" s="510"/>
      <c r="H210" s="510"/>
      <c r="I210" s="510"/>
      <c r="J210" s="510"/>
      <c r="K210" s="510"/>
      <c r="L210" s="510"/>
      <c r="M210" s="509"/>
      <c r="N210" s="516"/>
      <c r="O210" s="506"/>
      <c r="P210" s="506"/>
      <c r="Q210" s="505"/>
      <c r="R210" s="506"/>
      <c r="S210" s="506"/>
      <c r="T210" s="506"/>
      <c r="U210" s="505"/>
      <c r="V210" s="505"/>
      <c r="W210" s="505"/>
      <c r="X210" s="504"/>
      <c r="Y210" s="503"/>
      <c r="Z210" s="503"/>
      <c r="AA210" s="503"/>
      <c r="AB210" s="503"/>
      <c r="AC210" s="503"/>
      <c r="AD210" s="503"/>
      <c r="AE210" s="503"/>
      <c r="AF210" s="503"/>
    </row>
    <row r="211" spans="1:32" ht="15.75" customHeight="1">
      <c r="A211" s="503"/>
      <c r="B211" s="921"/>
      <c r="C211" s="510"/>
      <c r="D211" s="510"/>
      <c r="E211" s="510"/>
      <c r="F211" s="746"/>
      <c r="G211" s="510"/>
      <c r="H211" s="510"/>
      <c r="I211" s="510"/>
      <c r="J211" s="510"/>
      <c r="K211" s="510"/>
      <c r="L211" s="510"/>
      <c r="M211" s="509"/>
      <c r="N211" s="516"/>
      <c r="O211" s="506"/>
      <c r="P211" s="506"/>
      <c r="Q211" s="505"/>
      <c r="R211" s="506"/>
      <c r="S211" s="506"/>
      <c r="T211" s="506"/>
      <c r="U211" s="505"/>
      <c r="V211" s="505"/>
      <c r="W211" s="505"/>
      <c r="X211" s="504"/>
      <c r="Y211" s="503"/>
      <c r="Z211" s="503"/>
      <c r="AA211" s="503"/>
      <c r="AB211" s="503"/>
      <c r="AC211" s="503"/>
      <c r="AD211" s="503"/>
      <c r="AE211" s="503"/>
      <c r="AF211" s="503"/>
    </row>
    <row r="212" spans="1:32" ht="15.75" customHeight="1">
      <c r="A212" s="503"/>
      <c r="B212" s="921"/>
      <c r="C212" s="510"/>
      <c r="D212" s="510"/>
      <c r="E212" s="510"/>
      <c r="F212" s="746"/>
      <c r="G212" s="510"/>
      <c r="H212" s="510"/>
      <c r="I212" s="510"/>
      <c r="J212" s="510"/>
      <c r="K212" s="510"/>
      <c r="L212" s="510"/>
      <c r="M212" s="509"/>
      <c r="N212" s="516"/>
      <c r="O212" s="506"/>
      <c r="P212" s="506"/>
      <c r="Q212" s="505"/>
      <c r="R212" s="506"/>
      <c r="S212" s="506"/>
      <c r="T212" s="506"/>
      <c r="U212" s="505"/>
      <c r="V212" s="505"/>
      <c r="W212" s="505"/>
      <c r="X212" s="504"/>
      <c r="Y212" s="503"/>
      <c r="Z212" s="503"/>
      <c r="AA212" s="503"/>
      <c r="AB212" s="503"/>
      <c r="AC212" s="503"/>
      <c r="AD212" s="503"/>
      <c r="AE212" s="503"/>
      <c r="AF212" s="503"/>
    </row>
    <row r="213" spans="1:32" ht="15.75" customHeight="1">
      <c r="A213" s="503"/>
      <c r="B213" s="921"/>
      <c r="C213" s="510"/>
      <c r="D213" s="510"/>
      <c r="E213" s="510"/>
      <c r="F213" s="746"/>
      <c r="G213" s="510"/>
      <c r="H213" s="510"/>
      <c r="I213" s="510"/>
      <c r="J213" s="510"/>
      <c r="K213" s="510"/>
      <c r="L213" s="510"/>
      <c r="M213" s="509"/>
      <c r="N213" s="516"/>
      <c r="O213" s="510"/>
      <c r="P213" s="510"/>
      <c r="Q213" s="505"/>
      <c r="R213" s="506"/>
      <c r="S213" s="506"/>
      <c r="T213" s="506"/>
      <c r="U213" s="505"/>
      <c r="V213" s="505"/>
      <c r="W213" s="505"/>
      <c r="X213" s="518"/>
      <c r="Y213" s="503"/>
      <c r="Z213" s="503"/>
      <c r="AA213" s="503"/>
      <c r="AB213" s="503"/>
      <c r="AC213" s="503"/>
      <c r="AD213" s="503"/>
      <c r="AE213" s="503"/>
      <c r="AF213" s="503"/>
    </row>
    <row r="214" spans="1:32" ht="15.75" customHeight="1">
      <c r="A214" s="503"/>
      <c r="B214" s="921"/>
      <c r="C214" s="510"/>
      <c r="D214" s="510"/>
      <c r="E214" s="510"/>
      <c r="F214" s="746"/>
      <c r="G214" s="510"/>
      <c r="H214" s="510"/>
      <c r="I214" s="510"/>
      <c r="J214" s="510"/>
      <c r="K214" s="510"/>
      <c r="L214" s="510"/>
      <c r="M214" s="509"/>
      <c r="N214" s="516"/>
      <c r="O214" s="506"/>
      <c r="P214" s="506"/>
      <c r="Q214" s="505"/>
      <c r="R214" s="506"/>
      <c r="S214" s="506"/>
      <c r="T214" s="506"/>
      <c r="U214" s="505"/>
      <c r="V214" s="505"/>
      <c r="W214" s="505"/>
      <c r="X214" s="504"/>
      <c r="Y214" s="503"/>
      <c r="Z214" s="503"/>
      <c r="AA214" s="503"/>
      <c r="AB214" s="503"/>
      <c r="AC214" s="503"/>
      <c r="AD214" s="503"/>
      <c r="AE214" s="503"/>
      <c r="AF214" s="503"/>
    </row>
    <row r="215" spans="1:32" ht="15.75" customHeight="1">
      <c r="A215" s="503"/>
      <c r="B215" s="921"/>
      <c r="C215" s="510"/>
      <c r="D215" s="510"/>
      <c r="E215" s="510"/>
      <c r="F215" s="746"/>
      <c r="G215" s="510"/>
      <c r="H215" s="510"/>
      <c r="I215" s="510"/>
      <c r="J215" s="510"/>
      <c r="K215" s="510"/>
      <c r="L215" s="510"/>
      <c r="M215" s="509"/>
      <c r="N215" s="516"/>
      <c r="O215" s="506"/>
      <c r="P215" s="506"/>
      <c r="Q215" s="505"/>
      <c r="R215" s="506"/>
      <c r="S215" s="506"/>
      <c r="T215" s="506"/>
      <c r="U215" s="505"/>
      <c r="V215" s="505"/>
      <c r="W215" s="505"/>
      <c r="X215" s="504"/>
      <c r="Y215" s="503"/>
      <c r="Z215" s="503"/>
      <c r="AA215" s="503"/>
      <c r="AB215" s="503"/>
      <c r="AC215" s="503"/>
      <c r="AD215" s="503"/>
      <c r="AE215" s="503"/>
      <c r="AF215" s="503"/>
    </row>
    <row r="216" spans="1:32" ht="15.75" customHeight="1">
      <c r="A216" s="503"/>
      <c r="B216" s="921"/>
      <c r="C216" s="510"/>
      <c r="D216" s="510"/>
      <c r="E216" s="510"/>
      <c r="F216" s="746"/>
      <c r="G216" s="510"/>
      <c r="H216" s="510"/>
      <c r="I216" s="510"/>
      <c r="J216" s="510"/>
      <c r="K216" s="510"/>
      <c r="L216" s="510"/>
      <c r="M216" s="509"/>
      <c r="N216" s="516"/>
      <c r="O216" s="506"/>
      <c r="P216" s="506"/>
      <c r="Q216" s="505"/>
      <c r="R216" s="506"/>
      <c r="S216" s="506"/>
      <c r="T216" s="506"/>
      <c r="U216" s="505"/>
      <c r="V216" s="505"/>
      <c r="W216" s="505"/>
      <c r="X216" s="504"/>
      <c r="Y216" s="503"/>
      <c r="Z216" s="503"/>
      <c r="AA216" s="503"/>
      <c r="AB216" s="503"/>
      <c r="AC216" s="503"/>
      <c r="AD216" s="503"/>
      <c r="AE216" s="503"/>
      <c r="AF216" s="503"/>
    </row>
    <row r="217" spans="1:32" ht="15.75" customHeight="1">
      <c r="A217" s="503"/>
      <c r="B217" s="921"/>
      <c r="C217" s="510"/>
      <c r="D217" s="510"/>
      <c r="E217" s="510"/>
      <c r="F217" s="746"/>
      <c r="G217" s="510"/>
      <c r="H217" s="510"/>
      <c r="I217" s="510"/>
      <c r="J217" s="510"/>
      <c r="K217" s="510"/>
      <c r="L217" s="510"/>
      <c r="M217" s="509"/>
      <c r="N217" s="516"/>
      <c r="O217" s="506"/>
      <c r="P217" s="506"/>
      <c r="Q217" s="505"/>
      <c r="R217" s="506"/>
      <c r="S217" s="506"/>
      <c r="T217" s="506"/>
      <c r="U217" s="505"/>
      <c r="V217" s="505"/>
      <c r="W217" s="505"/>
      <c r="X217" s="504"/>
      <c r="Y217" s="503"/>
      <c r="Z217" s="503"/>
      <c r="AA217" s="503"/>
      <c r="AB217" s="503"/>
      <c r="AC217" s="503"/>
      <c r="AD217" s="503"/>
      <c r="AE217" s="503"/>
      <c r="AF217" s="503"/>
    </row>
    <row r="218" spans="1:32" ht="15.75" customHeight="1">
      <c r="A218" s="503"/>
      <c r="B218" s="921"/>
      <c r="C218" s="510"/>
      <c r="D218" s="510"/>
      <c r="E218" s="510"/>
      <c r="F218" s="746"/>
      <c r="G218" s="510"/>
      <c r="H218" s="510"/>
      <c r="I218" s="510"/>
      <c r="J218" s="510"/>
      <c r="K218" s="510"/>
      <c r="L218" s="510"/>
      <c r="M218" s="509"/>
      <c r="N218" s="516"/>
      <c r="O218" s="510"/>
      <c r="P218" s="510"/>
      <c r="Q218" s="505"/>
      <c r="R218" s="506"/>
      <c r="S218" s="506"/>
      <c r="T218" s="506"/>
      <c r="U218" s="505"/>
      <c r="V218" s="505"/>
      <c r="W218" s="505"/>
      <c r="X218" s="518"/>
      <c r="Y218" s="503"/>
      <c r="Z218" s="503"/>
      <c r="AA218" s="503"/>
      <c r="AB218" s="503"/>
      <c r="AC218" s="503"/>
      <c r="AD218" s="503"/>
      <c r="AE218" s="503"/>
      <c r="AF218" s="503"/>
    </row>
    <row r="219" spans="1:32" ht="15.75" customHeight="1">
      <c r="A219" s="503"/>
      <c r="B219" s="921"/>
      <c r="C219" s="510"/>
      <c r="D219" s="510"/>
      <c r="E219" s="510"/>
      <c r="F219" s="746"/>
      <c r="G219" s="510"/>
      <c r="H219" s="510"/>
      <c r="I219" s="510"/>
      <c r="J219" s="510"/>
      <c r="K219" s="510"/>
      <c r="L219" s="510"/>
      <c r="M219" s="509"/>
      <c r="N219" s="516"/>
      <c r="O219" s="506"/>
      <c r="P219" s="506"/>
      <c r="Q219" s="505"/>
      <c r="R219" s="506"/>
      <c r="S219" s="506"/>
      <c r="T219" s="506"/>
      <c r="U219" s="505"/>
      <c r="V219" s="505"/>
      <c r="W219" s="505"/>
      <c r="X219" s="504"/>
      <c r="Y219" s="503"/>
      <c r="Z219" s="503"/>
      <c r="AA219" s="503"/>
      <c r="AB219" s="503"/>
      <c r="AC219" s="503"/>
      <c r="AD219" s="503"/>
      <c r="AE219" s="503"/>
      <c r="AF219" s="503"/>
    </row>
    <row r="220" spans="1:32" ht="15.75" customHeight="1">
      <c r="A220" s="503"/>
      <c r="B220" s="921"/>
      <c r="C220" s="510"/>
      <c r="D220" s="510"/>
      <c r="E220" s="510"/>
      <c r="F220" s="746"/>
      <c r="G220" s="510"/>
      <c r="H220" s="510"/>
      <c r="I220" s="510"/>
      <c r="J220" s="510"/>
      <c r="K220" s="510"/>
      <c r="L220" s="510"/>
      <c r="M220" s="509"/>
      <c r="N220" s="516"/>
      <c r="O220" s="506"/>
      <c r="P220" s="506"/>
      <c r="Q220" s="505"/>
      <c r="R220" s="506"/>
      <c r="S220" s="506"/>
      <c r="T220" s="506"/>
      <c r="U220" s="505"/>
      <c r="V220" s="505"/>
      <c r="W220" s="505"/>
      <c r="X220" s="504"/>
      <c r="Y220" s="503"/>
      <c r="Z220" s="503"/>
      <c r="AA220" s="503"/>
      <c r="AB220" s="503"/>
      <c r="AC220" s="503"/>
      <c r="AD220" s="503"/>
      <c r="AE220" s="503"/>
      <c r="AF220" s="503"/>
    </row>
    <row r="221" spans="1:32" ht="15.75" customHeight="1">
      <c r="A221" s="503"/>
      <c r="B221" s="921"/>
      <c r="C221" s="510"/>
      <c r="D221" s="510"/>
      <c r="E221" s="510"/>
      <c r="F221" s="746"/>
      <c r="G221" s="510"/>
      <c r="H221" s="510"/>
      <c r="I221" s="510"/>
      <c r="J221" s="510"/>
      <c r="K221" s="510"/>
      <c r="L221" s="510"/>
      <c r="M221" s="509"/>
      <c r="N221" s="516"/>
      <c r="O221" s="506"/>
      <c r="P221" s="506"/>
      <c r="Q221" s="505"/>
      <c r="R221" s="506"/>
      <c r="S221" s="506"/>
      <c r="T221" s="506"/>
      <c r="U221" s="505"/>
      <c r="V221" s="505"/>
      <c r="W221" s="505"/>
      <c r="X221" s="504"/>
      <c r="Y221" s="503"/>
      <c r="Z221" s="503"/>
      <c r="AA221" s="503"/>
      <c r="AB221" s="503"/>
      <c r="AC221" s="503"/>
      <c r="AD221" s="503"/>
      <c r="AE221" s="503"/>
      <c r="AF221" s="503"/>
    </row>
    <row r="222" spans="1:32" ht="15.75" customHeight="1">
      <c r="A222" s="503"/>
      <c r="B222" s="921"/>
      <c r="C222" s="510"/>
      <c r="D222" s="510"/>
      <c r="E222" s="510"/>
      <c r="F222" s="746"/>
      <c r="G222" s="510"/>
      <c r="H222" s="510"/>
      <c r="I222" s="510"/>
      <c r="J222" s="510"/>
      <c r="K222" s="510"/>
      <c r="L222" s="510"/>
      <c r="M222" s="509"/>
      <c r="N222" s="516"/>
      <c r="O222" s="506"/>
      <c r="P222" s="506"/>
      <c r="Q222" s="505"/>
      <c r="R222" s="506"/>
      <c r="S222" s="506"/>
      <c r="T222" s="506"/>
      <c r="U222" s="505"/>
      <c r="V222" s="505"/>
      <c r="W222" s="505"/>
      <c r="X222" s="504"/>
      <c r="Y222" s="503"/>
      <c r="Z222" s="503"/>
      <c r="AA222" s="503"/>
      <c r="AB222" s="503"/>
      <c r="AC222" s="503"/>
      <c r="AD222" s="503"/>
      <c r="AE222" s="503"/>
      <c r="AF222" s="503"/>
    </row>
    <row r="223" spans="1:32" ht="15.75" customHeight="1">
      <c r="A223" s="503"/>
      <c r="B223" s="921"/>
      <c r="C223" s="510"/>
      <c r="D223" s="510"/>
      <c r="E223" s="510"/>
      <c r="F223" s="746"/>
      <c r="G223" s="510"/>
      <c r="H223" s="510"/>
      <c r="I223" s="510"/>
      <c r="J223" s="510"/>
      <c r="K223" s="510"/>
      <c r="L223" s="510"/>
      <c r="M223" s="509"/>
      <c r="N223" s="516"/>
      <c r="O223" s="506"/>
      <c r="P223" s="506"/>
      <c r="Q223" s="505"/>
      <c r="R223" s="506"/>
      <c r="S223" s="506"/>
      <c r="T223" s="506"/>
      <c r="U223" s="505"/>
      <c r="V223" s="505"/>
      <c r="W223" s="505"/>
      <c r="X223" s="504"/>
      <c r="Y223" s="503"/>
      <c r="Z223" s="503"/>
      <c r="AA223" s="503"/>
      <c r="AB223" s="503"/>
      <c r="AC223" s="503"/>
      <c r="AD223" s="503"/>
      <c r="AE223" s="503"/>
      <c r="AF223" s="503"/>
    </row>
    <row r="224" spans="1:32" ht="15.75" customHeight="1">
      <c r="A224" s="503"/>
      <c r="B224" s="921"/>
      <c r="C224" s="510"/>
      <c r="D224" s="510"/>
      <c r="E224" s="510"/>
      <c r="F224" s="746"/>
      <c r="G224" s="510"/>
      <c r="H224" s="510"/>
      <c r="I224" s="510"/>
      <c r="J224" s="510"/>
      <c r="K224" s="510"/>
      <c r="L224" s="510"/>
      <c r="M224" s="509"/>
      <c r="N224" s="516"/>
      <c r="O224" s="506"/>
      <c r="P224" s="506"/>
      <c r="Q224" s="505"/>
      <c r="R224" s="506"/>
      <c r="S224" s="506"/>
      <c r="T224" s="506"/>
      <c r="U224" s="505"/>
      <c r="V224" s="505"/>
      <c r="W224" s="505"/>
      <c r="X224" s="504"/>
      <c r="Y224" s="503"/>
      <c r="Z224" s="503"/>
      <c r="AA224" s="503"/>
      <c r="AB224" s="503"/>
      <c r="AC224" s="503"/>
      <c r="AD224" s="503"/>
      <c r="AE224" s="503"/>
      <c r="AF224" s="503"/>
    </row>
    <row r="225" spans="1:32" ht="15.75" customHeight="1">
      <c r="A225" s="503"/>
      <c r="B225" s="921"/>
      <c r="C225" s="510"/>
      <c r="D225" s="510"/>
      <c r="E225" s="510"/>
      <c r="F225" s="746"/>
      <c r="G225" s="510"/>
      <c r="H225" s="510"/>
      <c r="I225" s="510"/>
      <c r="J225" s="510"/>
      <c r="K225" s="510"/>
      <c r="L225" s="510"/>
      <c r="M225" s="509"/>
      <c r="N225" s="516"/>
      <c r="O225" s="506"/>
      <c r="P225" s="506"/>
      <c r="Q225" s="505"/>
      <c r="R225" s="506"/>
      <c r="S225" s="506"/>
      <c r="T225" s="506"/>
      <c r="U225" s="505"/>
      <c r="V225" s="505"/>
      <c r="W225" s="505"/>
      <c r="X225" s="504"/>
      <c r="Y225" s="503"/>
      <c r="Z225" s="503"/>
      <c r="AA225" s="503"/>
      <c r="AB225" s="503"/>
      <c r="AC225" s="503"/>
      <c r="AD225" s="503"/>
      <c r="AE225" s="503"/>
      <c r="AF225" s="503"/>
    </row>
    <row r="226" spans="1:32" ht="15.75" customHeight="1">
      <c r="A226" s="503"/>
      <c r="B226" s="921"/>
      <c r="C226" s="510"/>
      <c r="D226" s="510"/>
      <c r="E226" s="510"/>
      <c r="F226" s="746"/>
      <c r="G226" s="510"/>
      <c r="H226" s="510"/>
      <c r="I226" s="510"/>
      <c r="J226" s="510"/>
      <c r="K226" s="510"/>
      <c r="L226" s="510"/>
      <c r="M226" s="509"/>
      <c r="N226" s="516"/>
      <c r="O226" s="506"/>
      <c r="P226" s="506"/>
      <c r="Q226" s="505"/>
      <c r="R226" s="506"/>
      <c r="S226" s="506"/>
      <c r="T226" s="506"/>
      <c r="U226" s="505"/>
      <c r="V226" s="505"/>
      <c r="W226" s="505"/>
      <c r="X226" s="504"/>
      <c r="Y226" s="503"/>
      <c r="Z226" s="503"/>
      <c r="AA226" s="503"/>
      <c r="AB226" s="503"/>
      <c r="AC226" s="503"/>
      <c r="AD226" s="503"/>
      <c r="AE226" s="503"/>
      <c r="AF226" s="503"/>
    </row>
    <row r="227" spans="1:32" ht="15.75" customHeight="1">
      <c r="A227" s="503"/>
      <c r="B227" s="921"/>
      <c r="C227" s="510"/>
      <c r="D227" s="510"/>
      <c r="E227" s="510"/>
      <c r="F227" s="746"/>
      <c r="G227" s="510"/>
      <c r="H227" s="510"/>
      <c r="I227" s="510"/>
      <c r="J227" s="510"/>
      <c r="K227" s="510"/>
      <c r="L227" s="510"/>
      <c r="M227" s="509"/>
      <c r="N227" s="516"/>
      <c r="O227" s="506"/>
      <c r="P227" s="506"/>
      <c r="Q227" s="505"/>
      <c r="R227" s="506"/>
      <c r="S227" s="506"/>
      <c r="T227" s="506"/>
      <c r="U227" s="505"/>
      <c r="V227" s="505"/>
      <c r="W227" s="505"/>
      <c r="X227" s="504"/>
      <c r="Y227" s="503"/>
      <c r="Z227" s="503"/>
      <c r="AA227" s="503"/>
      <c r="AB227" s="503"/>
      <c r="AC227" s="503"/>
      <c r="AD227" s="503"/>
      <c r="AE227" s="503"/>
      <c r="AF227" s="503"/>
    </row>
    <row r="228" spans="1:32" ht="15.75" customHeight="1">
      <c r="A228" s="503"/>
      <c r="B228" s="921"/>
      <c r="C228" s="510"/>
      <c r="D228" s="510"/>
      <c r="E228" s="510"/>
      <c r="F228" s="746"/>
      <c r="G228" s="510"/>
      <c r="H228" s="510"/>
      <c r="I228" s="510"/>
      <c r="J228" s="510"/>
      <c r="K228" s="510"/>
      <c r="L228" s="510"/>
      <c r="M228" s="509"/>
      <c r="N228" s="516"/>
      <c r="O228" s="506"/>
      <c r="P228" s="506"/>
      <c r="Q228" s="505"/>
      <c r="R228" s="506"/>
      <c r="S228" s="506"/>
      <c r="T228" s="506"/>
      <c r="U228" s="505"/>
      <c r="V228" s="505"/>
      <c r="W228" s="505"/>
      <c r="X228" s="504"/>
      <c r="Y228" s="503"/>
      <c r="Z228" s="503"/>
      <c r="AA228" s="503"/>
      <c r="AB228" s="503"/>
      <c r="AC228" s="503"/>
      <c r="AD228" s="503"/>
      <c r="AE228" s="503"/>
      <c r="AF228" s="503"/>
    </row>
    <row r="229" spans="1:32" ht="15.75" customHeight="1">
      <c r="A229" s="503"/>
      <c r="B229" s="921"/>
      <c r="C229" s="510"/>
      <c r="D229" s="510"/>
      <c r="E229" s="510"/>
      <c r="F229" s="746"/>
      <c r="G229" s="510"/>
      <c r="H229" s="510"/>
      <c r="I229" s="510"/>
      <c r="J229" s="510"/>
      <c r="K229" s="510"/>
      <c r="L229" s="510"/>
      <c r="M229" s="509"/>
      <c r="N229" s="516"/>
      <c r="O229" s="506"/>
      <c r="P229" s="506"/>
      <c r="Q229" s="505"/>
      <c r="R229" s="506"/>
      <c r="S229" s="506"/>
      <c r="T229" s="506"/>
      <c r="U229" s="505"/>
      <c r="V229" s="505"/>
      <c r="W229" s="505"/>
      <c r="X229" s="504"/>
      <c r="Y229" s="503"/>
      <c r="Z229" s="503"/>
      <c r="AA229" s="503"/>
      <c r="AB229" s="503"/>
      <c r="AC229" s="503"/>
      <c r="AD229" s="503"/>
      <c r="AE229" s="503"/>
      <c r="AF229" s="503"/>
    </row>
    <row r="230" spans="1:32" ht="15.75" customHeight="1">
      <c r="A230" s="503"/>
      <c r="B230" s="921"/>
      <c r="C230" s="510"/>
      <c r="D230" s="510"/>
      <c r="E230" s="510"/>
      <c r="F230" s="746"/>
      <c r="G230" s="510"/>
      <c r="H230" s="510"/>
      <c r="I230" s="510"/>
      <c r="J230" s="510"/>
      <c r="K230" s="510"/>
      <c r="L230" s="510"/>
      <c r="M230" s="509"/>
      <c r="N230" s="516"/>
      <c r="O230" s="510"/>
      <c r="P230" s="510"/>
      <c r="Q230" s="505"/>
      <c r="R230" s="506"/>
      <c r="S230" s="506"/>
      <c r="T230" s="506"/>
      <c r="U230" s="505"/>
      <c r="V230" s="505"/>
      <c r="W230" s="505"/>
      <c r="X230" s="518"/>
      <c r="Y230" s="503"/>
      <c r="Z230" s="503"/>
      <c r="AA230" s="503"/>
      <c r="AB230" s="503"/>
      <c r="AC230" s="503"/>
      <c r="AD230" s="503"/>
      <c r="AE230" s="503"/>
      <c r="AF230" s="503"/>
    </row>
    <row r="231" spans="1:32" ht="15.75" customHeight="1">
      <c r="A231" s="503"/>
      <c r="B231" s="921"/>
      <c r="C231" s="510"/>
      <c r="D231" s="510"/>
      <c r="E231" s="510"/>
      <c r="F231" s="746"/>
      <c r="G231" s="510"/>
      <c r="H231" s="510"/>
      <c r="I231" s="510"/>
      <c r="J231" s="510"/>
      <c r="K231" s="510"/>
      <c r="L231" s="510"/>
      <c r="M231" s="509"/>
      <c r="N231" s="516"/>
      <c r="O231" s="506"/>
      <c r="P231" s="506"/>
      <c r="Q231" s="505"/>
      <c r="R231" s="506"/>
      <c r="S231" s="506"/>
      <c r="T231" s="506"/>
      <c r="U231" s="505"/>
      <c r="V231" s="505"/>
      <c r="W231" s="505"/>
      <c r="X231" s="504"/>
      <c r="Y231" s="503"/>
      <c r="Z231" s="503"/>
      <c r="AA231" s="503"/>
      <c r="AB231" s="503"/>
      <c r="AC231" s="503"/>
      <c r="AD231" s="503"/>
      <c r="AE231" s="503"/>
      <c r="AF231" s="503"/>
    </row>
    <row r="232" spans="1:32" ht="15.75" customHeight="1">
      <c r="A232" s="503"/>
      <c r="B232" s="921"/>
      <c r="C232" s="510"/>
      <c r="D232" s="510"/>
      <c r="E232" s="510"/>
      <c r="F232" s="746"/>
      <c r="G232" s="510"/>
      <c r="H232" s="510"/>
      <c r="I232" s="510"/>
      <c r="J232" s="510"/>
      <c r="K232" s="510"/>
      <c r="L232" s="510"/>
      <c r="M232" s="509"/>
      <c r="N232" s="516"/>
      <c r="O232" s="506"/>
      <c r="P232" s="506"/>
      <c r="Q232" s="505"/>
      <c r="R232" s="506"/>
      <c r="S232" s="506"/>
      <c r="T232" s="506"/>
      <c r="U232" s="505"/>
      <c r="V232" s="505"/>
      <c r="W232" s="505"/>
      <c r="X232" s="504"/>
      <c r="Y232" s="503"/>
      <c r="Z232" s="503"/>
      <c r="AA232" s="503"/>
      <c r="AB232" s="503"/>
      <c r="AC232" s="503"/>
      <c r="AD232" s="503"/>
      <c r="AE232" s="503"/>
      <c r="AF232" s="503"/>
    </row>
    <row r="233" spans="1:32" ht="15.75" customHeight="1">
      <c r="A233" s="503"/>
      <c r="B233" s="921"/>
      <c r="C233" s="510"/>
      <c r="D233" s="510"/>
      <c r="E233" s="510"/>
      <c r="F233" s="746"/>
      <c r="G233" s="510"/>
      <c r="H233" s="510"/>
      <c r="I233" s="510"/>
      <c r="J233" s="510"/>
      <c r="K233" s="510"/>
      <c r="L233" s="510"/>
      <c r="M233" s="509"/>
      <c r="N233" s="516"/>
      <c r="O233" s="506"/>
      <c r="P233" s="506"/>
      <c r="Q233" s="505"/>
      <c r="R233" s="506"/>
      <c r="S233" s="506"/>
      <c r="T233" s="506"/>
      <c r="U233" s="505"/>
      <c r="V233" s="505"/>
      <c r="W233" s="505"/>
      <c r="X233" s="504"/>
      <c r="Y233" s="503"/>
      <c r="Z233" s="503"/>
      <c r="AA233" s="503"/>
      <c r="AB233" s="503"/>
      <c r="AC233" s="503"/>
      <c r="AD233" s="503"/>
      <c r="AE233" s="503"/>
      <c r="AF233" s="503"/>
    </row>
    <row r="234" spans="1:32" ht="15.75" customHeight="1">
      <c r="A234" s="503"/>
      <c r="B234" s="921"/>
      <c r="C234" s="510"/>
      <c r="D234" s="510"/>
      <c r="E234" s="510"/>
      <c r="F234" s="746"/>
      <c r="G234" s="510"/>
      <c r="H234" s="510"/>
      <c r="I234" s="510"/>
      <c r="J234" s="510"/>
      <c r="K234" s="510"/>
      <c r="L234" s="510"/>
      <c r="M234" s="509"/>
      <c r="N234" s="516"/>
      <c r="O234" s="510"/>
      <c r="P234" s="510"/>
      <c r="Q234" s="505"/>
      <c r="R234" s="506"/>
      <c r="S234" s="506"/>
      <c r="T234" s="506"/>
      <c r="U234" s="505"/>
      <c r="V234" s="505"/>
      <c r="W234" s="505"/>
      <c r="X234" s="518"/>
      <c r="Y234" s="503"/>
      <c r="Z234" s="503"/>
      <c r="AA234" s="503"/>
      <c r="AB234" s="503"/>
      <c r="AC234" s="503"/>
      <c r="AD234" s="503"/>
      <c r="AE234" s="503"/>
      <c r="AF234" s="503"/>
    </row>
    <row r="235" spans="1:32" ht="15.75" customHeight="1">
      <c r="A235" s="503"/>
      <c r="B235" s="921"/>
      <c r="C235" s="510"/>
      <c r="D235" s="510"/>
      <c r="E235" s="510"/>
      <c r="F235" s="746"/>
      <c r="G235" s="510"/>
      <c r="H235" s="510"/>
      <c r="I235" s="510"/>
      <c r="J235" s="510"/>
      <c r="K235" s="510"/>
      <c r="L235" s="510"/>
      <c r="M235" s="509"/>
      <c r="N235" s="516"/>
      <c r="O235" s="506"/>
      <c r="P235" s="506"/>
      <c r="Q235" s="505"/>
      <c r="R235" s="506"/>
      <c r="S235" s="506"/>
      <c r="T235" s="506"/>
      <c r="U235" s="505"/>
      <c r="V235" s="505"/>
      <c r="W235" s="505"/>
      <c r="X235" s="504"/>
      <c r="Y235" s="503"/>
      <c r="Z235" s="503"/>
      <c r="AA235" s="503"/>
      <c r="AB235" s="503"/>
      <c r="AC235" s="503"/>
      <c r="AD235" s="503"/>
      <c r="AE235" s="503"/>
      <c r="AF235" s="503"/>
    </row>
    <row r="236" spans="1:32" ht="15.75" customHeight="1">
      <c r="A236" s="503"/>
      <c r="B236" s="921"/>
      <c r="C236" s="510"/>
      <c r="D236" s="510"/>
      <c r="E236" s="510"/>
      <c r="F236" s="746"/>
      <c r="G236" s="510"/>
      <c r="H236" s="510"/>
      <c r="I236" s="510"/>
      <c r="J236" s="510"/>
      <c r="K236" s="510"/>
      <c r="L236" s="510"/>
      <c r="M236" s="509"/>
      <c r="N236" s="516"/>
      <c r="O236" s="506"/>
      <c r="P236" s="506"/>
      <c r="Q236" s="505"/>
      <c r="R236" s="506"/>
      <c r="S236" s="506"/>
      <c r="T236" s="506"/>
      <c r="U236" s="505"/>
      <c r="V236" s="505"/>
      <c r="W236" s="505"/>
      <c r="X236" s="504"/>
      <c r="Y236" s="503"/>
      <c r="Z236" s="503"/>
      <c r="AA236" s="503"/>
      <c r="AB236" s="503"/>
      <c r="AC236" s="503"/>
      <c r="AD236" s="503"/>
      <c r="AE236" s="503"/>
      <c r="AF236" s="503"/>
    </row>
    <row r="237" spans="1:32" ht="15.75" customHeight="1">
      <c r="A237" s="503"/>
      <c r="B237" s="921"/>
      <c r="C237" s="510"/>
      <c r="D237" s="510"/>
      <c r="E237" s="510"/>
      <c r="F237" s="746"/>
      <c r="G237" s="510"/>
      <c r="H237" s="510"/>
      <c r="I237" s="510"/>
      <c r="J237" s="510"/>
      <c r="K237" s="510"/>
      <c r="L237" s="510"/>
      <c r="M237" s="509"/>
      <c r="N237" s="516"/>
      <c r="O237" s="506"/>
      <c r="P237" s="506"/>
      <c r="Q237" s="505"/>
      <c r="R237" s="506"/>
      <c r="S237" s="506"/>
      <c r="T237" s="506"/>
      <c r="U237" s="505"/>
      <c r="V237" s="505"/>
      <c r="W237" s="505"/>
      <c r="X237" s="504"/>
      <c r="Y237" s="503"/>
      <c r="Z237" s="503"/>
      <c r="AA237" s="503"/>
      <c r="AB237" s="503"/>
      <c r="AC237" s="503"/>
      <c r="AD237" s="503"/>
      <c r="AE237" s="503"/>
      <c r="AF237" s="503"/>
    </row>
    <row r="238" spans="1:32" ht="15.75" customHeight="1">
      <c r="A238" s="503"/>
      <c r="B238" s="921"/>
      <c r="C238" s="510"/>
      <c r="D238" s="510"/>
      <c r="E238" s="510"/>
      <c r="F238" s="746"/>
      <c r="G238" s="510"/>
      <c r="H238" s="510"/>
      <c r="I238" s="510"/>
      <c r="J238" s="510"/>
      <c r="K238" s="510"/>
      <c r="L238" s="510"/>
      <c r="M238" s="509"/>
      <c r="N238" s="516"/>
      <c r="O238" s="506"/>
      <c r="P238" s="506"/>
      <c r="Q238" s="505"/>
      <c r="R238" s="506"/>
      <c r="S238" s="506"/>
      <c r="T238" s="506"/>
      <c r="U238" s="505"/>
      <c r="V238" s="505"/>
      <c r="W238" s="505"/>
      <c r="X238" s="504"/>
      <c r="Y238" s="503"/>
      <c r="Z238" s="503"/>
      <c r="AA238" s="503"/>
      <c r="AB238" s="503"/>
      <c r="AC238" s="503"/>
      <c r="AD238" s="503"/>
      <c r="AE238" s="503"/>
      <c r="AF238" s="503"/>
    </row>
    <row r="239" spans="1:32" ht="15.75" customHeight="1">
      <c r="A239" s="503"/>
      <c r="B239" s="921"/>
      <c r="C239" s="510"/>
      <c r="D239" s="510"/>
      <c r="E239" s="510"/>
      <c r="F239" s="746"/>
      <c r="G239" s="510"/>
      <c r="H239" s="510"/>
      <c r="I239" s="510"/>
      <c r="J239" s="510"/>
      <c r="K239" s="510"/>
      <c r="L239" s="510"/>
      <c r="M239" s="509"/>
      <c r="N239" s="516"/>
      <c r="O239" s="506"/>
      <c r="P239" s="506"/>
      <c r="Q239" s="505"/>
      <c r="R239" s="506"/>
      <c r="S239" s="506"/>
      <c r="T239" s="506"/>
      <c r="U239" s="505"/>
      <c r="V239" s="505"/>
      <c r="W239" s="505"/>
      <c r="X239" s="504"/>
      <c r="Y239" s="503"/>
      <c r="Z239" s="503"/>
      <c r="AA239" s="503"/>
      <c r="AB239" s="503"/>
      <c r="AC239" s="503"/>
      <c r="AD239" s="503"/>
      <c r="AE239" s="503"/>
      <c r="AF239" s="503"/>
    </row>
    <row r="240" spans="1:32" ht="15.75" customHeight="1">
      <c r="A240" s="503"/>
      <c r="B240" s="921"/>
      <c r="C240" s="510"/>
      <c r="D240" s="510"/>
      <c r="E240" s="510"/>
      <c r="F240" s="746"/>
      <c r="G240" s="510"/>
      <c r="H240" s="510"/>
      <c r="I240" s="510"/>
      <c r="J240" s="510"/>
      <c r="K240" s="510"/>
      <c r="L240" s="510"/>
      <c r="M240" s="509"/>
      <c r="N240" s="516"/>
      <c r="O240" s="506"/>
      <c r="P240" s="506"/>
      <c r="Q240" s="505"/>
      <c r="R240" s="506"/>
      <c r="S240" s="506"/>
      <c r="T240" s="506"/>
      <c r="U240" s="505"/>
      <c r="V240" s="505"/>
      <c r="W240" s="505"/>
      <c r="X240" s="504"/>
      <c r="Y240" s="503"/>
      <c r="Z240" s="503"/>
      <c r="AA240" s="503"/>
      <c r="AB240" s="503"/>
      <c r="AC240" s="503"/>
      <c r="AD240" s="503"/>
      <c r="AE240" s="503"/>
      <c r="AF240" s="503"/>
    </row>
    <row r="241" spans="1:32" ht="15.75" customHeight="1">
      <c r="A241" s="503"/>
      <c r="B241" s="921"/>
      <c r="C241" s="510"/>
      <c r="D241" s="510"/>
      <c r="E241" s="510"/>
      <c r="F241" s="746"/>
      <c r="G241" s="510"/>
      <c r="H241" s="510"/>
      <c r="I241" s="510"/>
      <c r="J241" s="510"/>
      <c r="K241" s="510"/>
      <c r="L241" s="510"/>
      <c r="M241" s="509"/>
      <c r="N241" s="516"/>
      <c r="O241" s="510"/>
      <c r="P241" s="510"/>
      <c r="Q241" s="505"/>
      <c r="R241" s="506"/>
      <c r="S241" s="506"/>
      <c r="T241" s="506"/>
      <c r="U241" s="505"/>
      <c r="V241" s="505"/>
      <c r="W241" s="505"/>
      <c r="X241" s="518"/>
      <c r="Y241" s="503"/>
      <c r="Z241" s="503"/>
      <c r="AA241" s="503"/>
      <c r="AB241" s="503"/>
      <c r="AC241" s="503"/>
      <c r="AD241" s="503"/>
      <c r="AE241" s="503"/>
      <c r="AF241" s="503"/>
    </row>
    <row r="242" spans="1:32" ht="15.75" customHeight="1">
      <c r="A242" s="503"/>
      <c r="B242" s="921"/>
      <c r="C242" s="510"/>
      <c r="D242" s="510"/>
      <c r="E242" s="510"/>
      <c r="F242" s="746"/>
      <c r="G242" s="510"/>
      <c r="H242" s="510"/>
      <c r="I242" s="510"/>
      <c r="J242" s="510"/>
      <c r="K242" s="510"/>
      <c r="L242" s="510"/>
      <c r="M242" s="509"/>
      <c r="N242" s="516"/>
      <c r="O242" s="506"/>
      <c r="P242" s="506"/>
      <c r="Q242" s="505"/>
      <c r="R242" s="506"/>
      <c r="S242" s="506"/>
      <c r="T242" s="506"/>
      <c r="U242" s="505"/>
      <c r="V242" s="505"/>
      <c r="W242" s="505"/>
      <c r="X242" s="504"/>
      <c r="Y242" s="503"/>
      <c r="Z242" s="503"/>
      <c r="AA242" s="503"/>
      <c r="AB242" s="503"/>
      <c r="AC242" s="503"/>
      <c r="AD242" s="503"/>
      <c r="AE242" s="503"/>
      <c r="AF242" s="503"/>
    </row>
    <row r="243" spans="1:32" ht="15.75" customHeight="1">
      <c r="A243" s="503"/>
      <c r="B243" s="921"/>
      <c r="C243" s="510"/>
      <c r="D243" s="510"/>
      <c r="E243" s="510"/>
      <c r="F243" s="746"/>
      <c r="G243" s="510"/>
      <c r="H243" s="510"/>
      <c r="I243" s="510"/>
      <c r="J243" s="510"/>
      <c r="K243" s="510"/>
      <c r="L243" s="510"/>
      <c r="M243" s="509"/>
      <c r="N243" s="516"/>
      <c r="O243" s="506"/>
      <c r="P243" s="506"/>
      <c r="Q243" s="505"/>
      <c r="R243" s="506"/>
      <c r="S243" s="506"/>
      <c r="T243" s="506"/>
      <c r="U243" s="505"/>
      <c r="V243" s="505"/>
      <c r="W243" s="505"/>
      <c r="X243" s="504"/>
      <c r="Y243" s="503"/>
      <c r="Z243" s="503"/>
      <c r="AA243" s="503"/>
      <c r="AB243" s="503"/>
      <c r="AC243" s="503"/>
      <c r="AD243" s="503"/>
      <c r="AE243" s="503"/>
      <c r="AF243" s="503"/>
    </row>
    <row r="244" spans="1:32" ht="15.75" customHeight="1">
      <c r="A244" s="503"/>
      <c r="B244" s="921"/>
      <c r="C244" s="510"/>
      <c r="D244" s="510"/>
      <c r="E244" s="510"/>
      <c r="F244" s="746"/>
      <c r="G244" s="510"/>
      <c r="H244" s="510"/>
      <c r="I244" s="510"/>
      <c r="J244" s="510"/>
      <c r="K244" s="510"/>
      <c r="L244" s="510"/>
      <c r="M244" s="509"/>
      <c r="N244" s="516"/>
      <c r="O244" s="506"/>
      <c r="P244" s="506"/>
      <c r="Q244" s="505"/>
      <c r="R244" s="506"/>
      <c r="S244" s="506"/>
      <c r="T244" s="506"/>
      <c r="U244" s="505"/>
      <c r="V244" s="505"/>
      <c r="W244" s="505"/>
      <c r="X244" s="504"/>
      <c r="Y244" s="503"/>
      <c r="Z244" s="503"/>
      <c r="AA244" s="503"/>
      <c r="AB244" s="503"/>
      <c r="AC244" s="503"/>
      <c r="AD244" s="503"/>
      <c r="AE244" s="503"/>
      <c r="AF244" s="503"/>
    </row>
    <row r="245" spans="1:32" ht="15.75" customHeight="1">
      <c r="A245" s="503"/>
      <c r="B245" s="921"/>
      <c r="C245" s="510"/>
      <c r="D245" s="510"/>
      <c r="E245" s="510"/>
      <c r="F245" s="746"/>
      <c r="G245" s="510"/>
      <c r="H245" s="510"/>
      <c r="I245" s="510"/>
      <c r="J245" s="510"/>
      <c r="K245" s="510"/>
      <c r="L245" s="510"/>
      <c r="M245" s="509"/>
      <c r="N245" s="516"/>
      <c r="O245" s="506"/>
      <c r="P245" s="506"/>
      <c r="Q245" s="505"/>
      <c r="R245" s="506"/>
      <c r="S245" s="506"/>
      <c r="T245" s="506"/>
      <c r="U245" s="505"/>
      <c r="V245" s="505"/>
      <c r="W245" s="505"/>
      <c r="X245" s="504"/>
      <c r="Y245" s="503"/>
      <c r="Z245" s="503"/>
      <c r="AA245" s="503"/>
      <c r="AB245" s="503"/>
      <c r="AC245" s="503"/>
      <c r="AD245" s="503"/>
      <c r="AE245" s="503"/>
      <c r="AF245" s="503"/>
    </row>
    <row r="246" spans="1:32" ht="15.75" customHeight="1">
      <c r="A246" s="503"/>
      <c r="B246" s="921"/>
      <c r="C246" s="510"/>
      <c r="D246" s="510"/>
      <c r="E246" s="510"/>
      <c r="F246" s="746"/>
      <c r="G246" s="510"/>
      <c r="H246" s="510"/>
      <c r="I246" s="510"/>
      <c r="J246" s="510"/>
      <c r="K246" s="510"/>
      <c r="L246" s="510"/>
      <c r="M246" s="509"/>
      <c r="N246" s="516"/>
      <c r="O246" s="506"/>
      <c r="P246" s="506"/>
      <c r="Q246" s="505"/>
      <c r="R246" s="506"/>
      <c r="S246" s="506"/>
      <c r="T246" s="506"/>
      <c r="U246" s="505"/>
      <c r="V246" s="505"/>
      <c r="W246" s="505"/>
      <c r="X246" s="504"/>
      <c r="Y246" s="503"/>
      <c r="Z246" s="503"/>
      <c r="AA246" s="503"/>
      <c r="AB246" s="503"/>
      <c r="AC246" s="503"/>
      <c r="AD246" s="503"/>
      <c r="AE246" s="503"/>
      <c r="AF246" s="503"/>
    </row>
    <row r="247" spans="1:32" ht="15.75" customHeight="1">
      <c r="A247" s="503"/>
      <c r="B247" s="921"/>
      <c r="C247" s="510"/>
      <c r="D247" s="510"/>
      <c r="E247" s="510"/>
      <c r="F247" s="746"/>
      <c r="G247" s="510"/>
      <c r="H247" s="510"/>
      <c r="I247" s="510"/>
      <c r="J247" s="510"/>
      <c r="K247" s="510"/>
      <c r="L247" s="510"/>
      <c r="M247" s="509"/>
      <c r="N247" s="516"/>
      <c r="O247" s="506"/>
      <c r="P247" s="506"/>
      <c r="Q247" s="505"/>
      <c r="R247" s="506"/>
      <c r="S247" s="506"/>
      <c r="T247" s="506"/>
      <c r="U247" s="505"/>
      <c r="V247" s="505"/>
      <c r="W247" s="505"/>
      <c r="X247" s="504"/>
      <c r="Y247" s="503"/>
      <c r="Z247" s="503"/>
      <c r="AA247" s="503"/>
      <c r="AB247" s="503"/>
      <c r="AC247" s="503"/>
      <c r="AD247" s="503"/>
      <c r="AE247" s="503"/>
      <c r="AF247" s="503"/>
    </row>
    <row r="248" spans="1:32" ht="15.75" customHeight="1">
      <c r="A248" s="503"/>
      <c r="B248" s="921"/>
      <c r="C248" s="510"/>
      <c r="D248" s="510"/>
      <c r="E248" s="510"/>
      <c r="F248" s="746"/>
      <c r="G248" s="510"/>
      <c r="H248" s="510"/>
      <c r="I248" s="510"/>
      <c r="J248" s="510"/>
      <c r="K248" s="510"/>
      <c r="L248" s="510"/>
      <c r="M248" s="509"/>
      <c r="N248" s="516"/>
      <c r="O248" s="506"/>
      <c r="P248" s="506"/>
      <c r="Q248" s="505"/>
      <c r="R248" s="506"/>
      <c r="S248" s="506"/>
      <c r="T248" s="506"/>
      <c r="U248" s="505"/>
      <c r="V248" s="505"/>
      <c r="W248" s="505"/>
      <c r="X248" s="504"/>
      <c r="Y248" s="503"/>
      <c r="Z248" s="503"/>
      <c r="AA248" s="503"/>
      <c r="AB248" s="503"/>
      <c r="AC248" s="503"/>
      <c r="AD248" s="503"/>
      <c r="AE248" s="503"/>
      <c r="AF248" s="503"/>
    </row>
    <row r="249" spans="1:32" ht="15.75" customHeight="1">
      <c r="A249" s="503"/>
      <c r="B249" s="921"/>
      <c r="C249" s="510"/>
      <c r="D249" s="510"/>
      <c r="E249" s="510"/>
      <c r="F249" s="746"/>
      <c r="G249" s="510"/>
      <c r="H249" s="510"/>
      <c r="I249" s="510"/>
      <c r="J249" s="510"/>
      <c r="K249" s="510"/>
      <c r="L249" s="510"/>
      <c r="M249" s="509"/>
      <c r="N249" s="516"/>
      <c r="O249" s="510"/>
      <c r="P249" s="510"/>
      <c r="Q249" s="505"/>
      <c r="R249" s="506"/>
      <c r="S249" s="506"/>
      <c r="T249" s="506"/>
      <c r="U249" s="505"/>
      <c r="V249" s="505"/>
      <c r="W249" s="505"/>
      <c r="X249" s="518"/>
      <c r="Y249" s="503"/>
      <c r="Z249" s="503"/>
      <c r="AA249" s="503"/>
      <c r="AB249" s="503"/>
      <c r="AC249" s="503"/>
      <c r="AD249" s="503"/>
      <c r="AE249" s="503"/>
      <c r="AF249" s="503"/>
    </row>
    <row r="250" spans="1:32" ht="15.75" customHeight="1">
      <c r="A250" s="503"/>
      <c r="B250" s="921"/>
      <c r="C250" s="510"/>
      <c r="D250" s="510"/>
      <c r="E250" s="510"/>
      <c r="F250" s="746"/>
      <c r="G250" s="510"/>
      <c r="H250" s="510"/>
      <c r="I250" s="510"/>
      <c r="J250" s="510"/>
      <c r="K250" s="510"/>
      <c r="L250" s="510"/>
      <c r="M250" s="509"/>
      <c r="N250" s="516"/>
      <c r="O250" s="506"/>
      <c r="P250" s="506"/>
      <c r="Q250" s="505"/>
      <c r="R250" s="506"/>
      <c r="S250" s="506"/>
      <c r="T250" s="506"/>
      <c r="U250" s="505"/>
      <c r="V250" s="505"/>
      <c r="W250" s="505"/>
      <c r="X250" s="504"/>
      <c r="Y250" s="503"/>
      <c r="Z250" s="503"/>
      <c r="AA250" s="503"/>
      <c r="AB250" s="503"/>
      <c r="AC250" s="503"/>
      <c r="AD250" s="503"/>
      <c r="AE250" s="503"/>
      <c r="AF250" s="503"/>
    </row>
    <row r="251" spans="1:32" ht="15.75" customHeight="1">
      <c r="A251" s="503"/>
      <c r="B251" s="921"/>
      <c r="C251" s="510"/>
      <c r="D251" s="510"/>
      <c r="E251" s="510"/>
      <c r="F251" s="746"/>
      <c r="G251" s="510"/>
      <c r="H251" s="510"/>
      <c r="I251" s="510"/>
      <c r="J251" s="510"/>
      <c r="K251" s="510"/>
      <c r="L251" s="510"/>
      <c r="M251" s="509"/>
      <c r="N251" s="516"/>
      <c r="O251" s="506"/>
      <c r="P251" s="506"/>
      <c r="Q251" s="505"/>
      <c r="R251" s="506"/>
      <c r="S251" s="506"/>
      <c r="T251" s="506"/>
      <c r="U251" s="505"/>
      <c r="V251" s="505"/>
      <c r="W251" s="505"/>
      <c r="X251" s="504"/>
      <c r="Y251" s="503"/>
      <c r="Z251" s="503"/>
      <c r="AA251" s="503"/>
      <c r="AB251" s="503"/>
      <c r="AC251" s="503"/>
      <c r="AD251" s="503"/>
      <c r="AE251" s="503"/>
      <c r="AF251" s="503"/>
    </row>
    <row r="252" spans="1:32" ht="15.75" customHeight="1">
      <c r="A252" s="503"/>
      <c r="B252" s="921"/>
      <c r="C252" s="510"/>
      <c r="D252" s="510"/>
      <c r="E252" s="510"/>
      <c r="F252" s="746"/>
      <c r="G252" s="510"/>
      <c r="H252" s="510"/>
      <c r="I252" s="510"/>
      <c r="J252" s="510"/>
      <c r="K252" s="510"/>
      <c r="L252" s="510"/>
      <c r="M252" s="509"/>
      <c r="N252" s="516"/>
      <c r="O252" s="510"/>
      <c r="P252" s="510"/>
      <c r="Q252" s="505"/>
      <c r="R252" s="506"/>
      <c r="S252" s="506"/>
      <c r="T252" s="506"/>
      <c r="U252" s="505"/>
      <c r="V252" s="505"/>
      <c r="W252" s="505"/>
      <c r="X252" s="518"/>
      <c r="Y252" s="503"/>
      <c r="Z252" s="503"/>
      <c r="AA252" s="503"/>
      <c r="AB252" s="503"/>
      <c r="AC252" s="503"/>
      <c r="AD252" s="503"/>
      <c r="AE252" s="503"/>
      <c r="AF252" s="503"/>
    </row>
    <row r="253" spans="1:32" ht="15.75" customHeight="1">
      <c r="A253" s="503"/>
      <c r="B253" s="921"/>
      <c r="C253" s="510"/>
      <c r="D253" s="510"/>
      <c r="E253" s="510"/>
      <c r="F253" s="746"/>
      <c r="G253" s="510"/>
      <c r="H253" s="510"/>
      <c r="I253" s="510"/>
      <c r="J253" s="510"/>
      <c r="K253" s="510"/>
      <c r="L253" s="510"/>
      <c r="M253" s="509"/>
      <c r="N253" s="516"/>
      <c r="O253" s="506"/>
      <c r="P253" s="506"/>
      <c r="Q253" s="505"/>
      <c r="R253" s="506"/>
      <c r="S253" s="506"/>
      <c r="T253" s="506"/>
      <c r="U253" s="505"/>
      <c r="V253" s="505"/>
      <c r="W253" s="505"/>
      <c r="X253" s="504"/>
      <c r="Y253" s="503"/>
      <c r="Z253" s="503"/>
      <c r="AA253" s="503"/>
      <c r="AB253" s="503"/>
      <c r="AC253" s="503"/>
      <c r="AD253" s="503"/>
      <c r="AE253" s="503"/>
      <c r="AF253" s="503"/>
    </row>
    <row r="254" spans="1:32" ht="15.75" customHeight="1">
      <c r="A254" s="503"/>
      <c r="B254" s="921"/>
      <c r="C254" s="510"/>
      <c r="D254" s="510"/>
      <c r="E254" s="510"/>
      <c r="F254" s="746"/>
      <c r="G254" s="510"/>
      <c r="H254" s="510"/>
      <c r="I254" s="510"/>
      <c r="J254" s="510"/>
      <c r="K254" s="510"/>
      <c r="L254" s="510"/>
      <c r="M254" s="509"/>
      <c r="N254" s="516"/>
      <c r="O254" s="506"/>
      <c r="P254" s="506"/>
      <c r="Q254" s="505"/>
      <c r="R254" s="506"/>
      <c r="S254" s="506"/>
      <c r="T254" s="506"/>
      <c r="U254" s="505"/>
      <c r="V254" s="505"/>
      <c r="W254" s="505"/>
      <c r="X254" s="504"/>
      <c r="Y254" s="503"/>
      <c r="Z254" s="503"/>
      <c r="AA254" s="503"/>
      <c r="AB254" s="503"/>
      <c r="AC254" s="503"/>
      <c r="AD254" s="503"/>
      <c r="AE254" s="503"/>
      <c r="AF254" s="503"/>
    </row>
    <row r="255" spans="1:32" ht="15.75" customHeight="1">
      <c r="A255" s="503"/>
      <c r="B255" s="921"/>
      <c r="C255" s="510"/>
      <c r="D255" s="510"/>
      <c r="E255" s="510"/>
      <c r="F255" s="746"/>
      <c r="G255" s="510"/>
      <c r="H255" s="510"/>
      <c r="I255" s="510"/>
      <c r="J255" s="510"/>
      <c r="K255" s="510"/>
      <c r="L255" s="510"/>
      <c r="M255" s="509"/>
      <c r="N255" s="516"/>
      <c r="O255" s="510"/>
      <c r="P255" s="510"/>
      <c r="Q255" s="505"/>
      <c r="R255" s="506"/>
      <c r="S255" s="506"/>
      <c r="T255" s="506"/>
      <c r="U255" s="505"/>
      <c r="V255" s="505"/>
      <c r="W255" s="505"/>
      <c r="X255" s="518"/>
      <c r="Y255" s="503"/>
      <c r="Z255" s="503"/>
      <c r="AA255" s="503"/>
      <c r="AB255" s="503"/>
      <c r="AC255" s="503"/>
      <c r="AD255" s="503"/>
      <c r="AE255" s="503"/>
      <c r="AF255" s="503"/>
    </row>
    <row r="256" spans="1:32" ht="15.75" customHeight="1">
      <c r="A256" s="503"/>
      <c r="B256" s="921"/>
      <c r="C256" s="510"/>
      <c r="D256" s="510"/>
      <c r="E256" s="510"/>
      <c r="F256" s="746"/>
      <c r="G256" s="510"/>
      <c r="H256" s="510"/>
      <c r="I256" s="510"/>
      <c r="J256" s="510"/>
      <c r="K256" s="510"/>
      <c r="L256" s="510"/>
      <c r="M256" s="509"/>
      <c r="N256" s="516"/>
      <c r="O256" s="506"/>
      <c r="P256" s="506"/>
      <c r="Q256" s="505"/>
      <c r="R256" s="506"/>
      <c r="S256" s="506"/>
      <c r="T256" s="506"/>
      <c r="U256" s="505"/>
      <c r="V256" s="505"/>
      <c r="W256" s="505"/>
      <c r="X256" s="504"/>
      <c r="Y256" s="503"/>
      <c r="Z256" s="503"/>
      <c r="AA256" s="503"/>
      <c r="AB256" s="503"/>
      <c r="AC256" s="503"/>
      <c r="AD256" s="503"/>
      <c r="AE256" s="503"/>
      <c r="AF256" s="503"/>
    </row>
    <row r="257" spans="1:32" ht="15.75" customHeight="1">
      <c r="A257" s="503"/>
      <c r="B257" s="921"/>
      <c r="C257" s="510"/>
      <c r="D257" s="510"/>
      <c r="E257" s="510"/>
      <c r="F257" s="746"/>
      <c r="G257" s="510"/>
      <c r="H257" s="510"/>
      <c r="I257" s="510"/>
      <c r="J257" s="510"/>
      <c r="K257" s="510"/>
      <c r="L257" s="510"/>
      <c r="M257" s="509"/>
      <c r="N257" s="516"/>
      <c r="O257" s="506"/>
      <c r="P257" s="506"/>
      <c r="Q257" s="505"/>
      <c r="R257" s="506"/>
      <c r="S257" s="506"/>
      <c r="T257" s="506"/>
      <c r="U257" s="505"/>
      <c r="V257" s="505"/>
      <c r="W257" s="505"/>
      <c r="X257" s="504"/>
      <c r="Y257" s="503"/>
      <c r="Z257" s="503"/>
      <c r="AA257" s="503"/>
      <c r="AB257" s="503"/>
      <c r="AC257" s="503"/>
      <c r="AD257" s="503"/>
      <c r="AE257" s="503"/>
      <c r="AF257" s="503"/>
    </row>
    <row r="258" spans="1:32" ht="15.75" customHeight="1">
      <c r="A258" s="503"/>
      <c r="B258" s="921"/>
      <c r="C258" s="510"/>
      <c r="D258" s="510"/>
      <c r="E258" s="510"/>
      <c r="F258" s="746"/>
      <c r="G258" s="510"/>
      <c r="H258" s="510"/>
      <c r="I258" s="510"/>
      <c r="J258" s="510"/>
      <c r="K258" s="510"/>
      <c r="L258" s="510"/>
      <c r="M258" s="509"/>
      <c r="N258" s="516"/>
      <c r="O258" s="510"/>
      <c r="P258" s="510"/>
      <c r="Q258" s="505"/>
      <c r="R258" s="506"/>
      <c r="S258" s="506"/>
      <c r="T258" s="506"/>
      <c r="U258" s="505"/>
      <c r="V258" s="505"/>
      <c r="W258" s="505"/>
      <c r="X258" s="518"/>
      <c r="Y258" s="503"/>
      <c r="Z258" s="503"/>
      <c r="AA258" s="503"/>
      <c r="AB258" s="503"/>
      <c r="AC258" s="503"/>
      <c r="AD258" s="503"/>
      <c r="AE258" s="503"/>
      <c r="AF258" s="503"/>
    </row>
    <row r="259" spans="1:32" ht="15.75" customHeight="1">
      <c r="A259" s="503"/>
      <c r="B259" s="921"/>
      <c r="C259" s="510"/>
      <c r="D259" s="510"/>
      <c r="E259" s="510"/>
      <c r="F259" s="746"/>
      <c r="G259" s="510"/>
      <c r="H259" s="510"/>
      <c r="I259" s="510"/>
      <c r="J259" s="510"/>
      <c r="K259" s="510"/>
      <c r="L259" s="510"/>
      <c r="M259" s="509"/>
      <c r="N259" s="516"/>
      <c r="O259" s="506"/>
      <c r="P259" s="506"/>
      <c r="Q259" s="505"/>
      <c r="R259" s="506"/>
      <c r="S259" s="506"/>
      <c r="T259" s="506"/>
      <c r="U259" s="505"/>
      <c r="V259" s="505"/>
      <c r="W259" s="505"/>
      <c r="X259" s="504"/>
      <c r="Y259" s="503"/>
      <c r="Z259" s="503"/>
      <c r="AA259" s="503"/>
      <c r="AB259" s="503"/>
      <c r="AC259" s="503"/>
      <c r="AD259" s="503"/>
      <c r="AE259" s="503"/>
      <c r="AF259" s="503"/>
    </row>
    <row r="260" spans="1:32" ht="15.75" customHeight="1">
      <c r="A260" s="503"/>
      <c r="B260" s="921"/>
      <c r="C260" s="510"/>
      <c r="D260" s="510"/>
      <c r="E260" s="510"/>
      <c r="F260" s="746"/>
      <c r="G260" s="510"/>
      <c r="H260" s="510"/>
      <c r="I260" s="510"/>
      <c r="J260" s="510"/>
      <c r="K260" s="510"/>
      <c r="L260" s="510"/>
      <c r="M260" s="509"/>
      <c r="N260" s="516"/>
      <c r="O260" s="506"/>
      <c r="P260" s="506"/>
      <c r="Q260" s="505"/>
      <c r="R260" s="506"/>
      <c r="S260" s="506"/>
      <c r="T260" s="506"/>
      <c r="U260" s="505"/>
      <c r="V260" s="505"/>
      <c r="W260" s="505"/>
      <c r="X260" s="504"/>
      <c r="Y260" s="503"/>
      <c r="Z260" s="503"/>
      <c r="AA260" s="503"/>
      <c r="AB260" s="503"/>
      <c r="AC260" s="503"/>
      <c r="AD260" s="503"/>
      <c r="AE260" s="503"/>
      <c r="AF260" s="503"/>
    </row>
    <row r="261" spans="1:32" ht="15.75" customHeight="1">
      <c r="A261" s="503"/>
      <c r="B261" s="921"/>
      <c r="C261" s="510"/>
      <c r="D261" s="510"/>
      <c r="E261" s="510"/>
      <c r="F261" s="746"/>
      <c r="G261" s="510"/>
      <c r="H261" s="510"/>
      <c r="I261" s="510"/>
      <c r="J261" s="510"/>
      <c r="K261" s="510"/>
      <c r="L261" s="510"/>
      <c r="M261" s="509"/>
      <c r="N261" s="516"/>
      <c r="O261" s="506"/>
      <c r="P261" s="506"/>
      <c r="Q261" s="505"/>
      <c r="R261" s="506"/>
      <c r="S261" s="506"/>
      <c r="T261" s="506"/>
      <c r="U261" s="505"/>
      <c r="V261" s="505"/>
      <c r="W261" s="505"/>
      <c r="X261" s="504"/>
      <c r="Y261" s="503"/>
      <c r="Z261" s="503"/>
      <c r="AA261" s="503"/>
      <c r="AB261" s="503"/>
      <c r="AC261" s="503"/>
      <c r="AD261" s="503"/>
      <c r="AE261" s="503"/>
      <c r="AF261" s="503"/>
    </row>
    <row r="262" spans="1:32" ht="15.75" customHeight="1">
      <c r="A262" s="503"/>
      <c r="B262" s="921"/>
      <c r="C262" s="510"/>
      <c r="D262" s="510"/>
      <c r="E262" s="510"/>
      <c r="F262" s="746"/>
      <c r="G262" s="510"/>
      <c r="H262" s="510"/>
      <c r="I262" s="510"/>
      <c r="J262" s="510"/>
      <c r="K262" s="510"/>
      <c r="L262" s="510"/>
      <c r="M262" s="509"/>
      <c r="N262" s="516"/>
      <c r="O262" s="506"/>
      <c r="P262" s="506"/>
      <c r="Q262" s="505"/>
      <c r="R262" s="506"/>
      <c r="S262" s="506"/>
      <c r="T262" s="506"/>
      <c r="U262" s="505"/>
      <c r="V262" s="505"/>
      <c r="W262" s="505"/>
      <c r="X262" s="504"/>
      <c r="Y262" s="503"/>
      <c r="Z262" s="503"/>
      <c r="AA262" s="503"/>
      <c r="AB262" s="503"/>
      <c r="AC262" s="503"/>
      <c r="AD262" s="503"/>
      <c r="AE262" s="503"/>
      <c r="AF262" s="503"/>
    </row>
    <row r="263" spans="1:32" ht="15.75" customHeight="1">
      <c r="A263" s="503"/>
      <c r="B263" s="921"/>
      <c r="C263" s="510"/>
      <c r="D263" s="510"/>
      <c r="E263" s="510"/>
      <c r="F263" s="746"/>
      <c r="G263" s="510"/>
      <c r="H263" s="510"/>
      <c r="I263" s="510"/>
      <c r="J263" s="510"/>
      <c r="K263" s="510"/>
      <c r="L263" s="510"/>
      <c r="M263" s="509"/>
      <c r="N263" s="516"/>
      <c r="O263" s="506"/>
      <c r="P263" s="506"/>
      <c r="Q263" s="505"/>
      <c r="R263" s="506"/>
      <c r="S263" s="506"/>
      <c r="T263" s="506"/>
      <c r="U263" s="505"/>
      <c r="V263" s="505"/>
      <c r="W263" s="505"/>
      <c r="X263" s="504"/>
      <c r="Y263" s="503"/>
      <c r="Z263" s="503"/>
      <c r="AA263" s="503"/>
      <c r="AB263" s="503"/>
      <c r="AC263" s="503"/>
      <c r="AD263" s="503"/>
      <c r="AE263" s="503"/>
      <c r="AF263" s="503"/>
    </row>
    <row r="264" spans="1:32" ht="15.75" customHeight="1">
      <c r="A264" s="503"/>
      <c r="B264" s="921"/>
      <c r="C264" s="510"/>
      <c r="D264" s="510"/>
      <c r="E264" s="510"/>
      <c r="F264" s="746"/>
      <c r="G264" s="510"/>
      <c r="H264" s="510"/>
      <c r="I264" s="510"/>
      <c r="J264" s="510"/>
      <c r="K264" s="510"/>
      <c r="L264" s="510"/>
      <c r="M264" s="509"/>
      <c r="N264" s="516"/>
      <c r="O264" s="506"/>
      <c r="P264" s="506"/>
      <c r="Q264" s="505"/>
      <c r="R264" s="506"/>
      <c r="S264" s="506"/>
      <c r="T264" s="506"/>
      <c r="U264" s="505"/>
      <c r="V264" s="505"/>
      <c r="W264" s="505"/>
      <c r="X264" s="504"/>
      <c r="Y264" s="503"/>
      <c r="Z264" s="503"/>
      <c r="AA264" s="503"/>
      <c r="AB264" s="503"/>
      <c r="AC264" s="503"/>
      <c r="AD264" s="503"/>
      <c r="AE264" s="503"/>
      <c r="AF264" s="503"/>
    </row>
    <row r="265" spans="1:32" ht="15.75" customHeight="1">
      <c r="A265" s="503"/>
      <c r="B265" s="921"/>
      <c r="C265" s="510"/>
      <c r="D265" s="510"/>
      <c r="E265" s="510"/>
      <c r="F265" s="746"/>
      <c r="G265" s="510"/>
      <c r="H265" s="510"/>
      <c r="I265" s="510"/>
      <c r="J265" s="510"/>
      <c r="K265" s="510"/>
      <c r="L265" s="510"/>
      <c r="M265" s="509"/>
      <c r="N265" s="516"/>
      <c r="O265" s="506"/>
      <c r="P265" s="506"/>
      <c r="Q265" s="505"/>
      <c r="R265" s="506"/>
      <c r="S265" s="506"/>
      <c r="T265" s="506"/>
      <c r="U265" s="505"/>
      <c r="V265" s="505"/>
      <c r="W265" s="505"/>
      <c r="X265" s="504"/>
      <c r="Y265" s="503"/>
      <c r="Z265" s="503"/>
      <c r="AA265" s="503"/>
      <c r="AB265" s="503"/>
      <c r="AC265" s="503"/>
      <c r="AD265" s="503"/>
      <c r="AE265" s="503"/>
      <c r="AF265" s="503"/>
    </row>
    <row r="266" spans="1:32" ht="15.75" customHeight="1">
      <c r="A266" s="503"/>
      <c r="B266" s="921"/>
      <c r="C266" s="510"/>
      <c r="D266" s="510"/>
      <c r="E266" s="510"/>
      <c r="F266" s="746"/>
      <c r="G266" s="510"/>
      <c r="H266" s="510"/>
      <c r="I266" s="510"/>
      <c r="J266" s="510"/>
      <c r="K266" s="510"/>
      <c r="L266" s="510"/>
      <c r="M266" s="509"/>
      <c r="N266" s="516"/>
      <c r="O266" s="506"/>
      <c r="P266" s="506"/>
      <c r="Q266" s="505"/>
      <c r="R266" s="506"/>
      <c r="S266" s="506"/>
      <c r="T266" s="506"/>
      <c r="U266" s="505"/>
      <c r="V266" s="505"/>
      <c r="W266" s="505"/>
      <c r="X266" s="504"/>
      <c r="Y266" s="503"/>
      <c r="Z266" s="503"/>
      <c r="AA266" s="503"/>
      <c r="AB266" s="503"/>
      <c r="AC266" s="503"/>
      <c r="AD266" s="503"/>
      <c r="AE266" s="503"/>
      <c r="AF266" s="503"/>
    </row>
    <row r="267" spans="1:32" ht="15.75" customHeight="1">
      <c r="A267" s="503"/>
      <c r="B267" s="921"/>
      <c r="C267" s="510"/>
      <c r="D267" s="510"/>
      <c r="E267" s="510"/>
      <c r="F267" s="746"/>
      <c r="G267" s="510"/>
      <c r="H267" s="510"/>
      <c r="I267" s="510"/>
      <c r="J267" s="510"/>
      <c r="K267" s="510"/>
      <c r="L267" s="510"/>
      <c r="M267" s="509"/>
      <c r="N267" s="516"/>
      <c r="O267" s="506"/>
      <c r="P267" s="506"/>
      <c r="Q267" s="505"/>
      <c r="R267" s="506"/>
      <c r="S267" s="506"/>
      <c r="T267" s="506"/>
      <c r="U267" s="505"/>
      <c r="V267" s="505"/>
      <c r="W267" s="505"/>
      <c r="X267" s="504"/>
      <c r="Y267" s="503"/>
      <c r="Z267" s="503"/>
      <c r="AA267" s="503"/>
      <c r="AB267" s="503"/>
      <c r="AC267" s="503"/>
      <c r="AD267" s="503"/>
      <c r="AE267" s="503"/>
      <c r="AF267" s="503"/>
    </row>
    <row r="268" spans="1:32" ht="15.75" customHeight="1">
      <c r="A268" s="503"/>
      <c r="B268" s="921"/>
      <c r="C268" s="510"/>
      <c r="D268" s="510"/>
      <c r="E268" s="510"/>
      <c r="F268" s="746"/>
      <c r="G268" s="510"/>
      <c r="H268" s="510"/>
      <c r="I268" s="510"/>
      <c r="J268" s="510"/>
      <c r="K268" s="510"/>
      <c r="L268" s="510"/>
      <c r="M268" s="509"/>
      <c r="N268" s="516"/>
      <c r="O268" s="510"/>
      <c r="P268" s="510"/>
      <c r="Q268" s="505"/>
      <c r="R268" s="506"/>
      <c r="S268" s="506"/>
      <c r="T268" s="506"/>
      <c r="U268" s="505"/>
      <c r="V268" s="505"/>
      <c r="W268" s="505"/>
      <c r="X268" s="518"/>
      <c r="Y268" s="503"/>
      <c r="Z268" s="503"/>
      <c r="AA268" s="503"/>
      <c r="AB268" s="503"/>
      <c r="AC268" s="503"/>
      <c r="AD268" s="503"/>
      <c r="AE268" s="503"/>
      <c r="AF268" s="503"/>
    </row>
    <row r="269" spans="1:32" ht="15.75" customHeight="1">
      <c r="A269" s="503"/>
      <c r="C269" s="510"/>
      <c r="D269" s="510"/>
      <c r="E269" s="510"/>
      <c r="F269" s="746"/>
      <c r="G269" s="510"/>
      <c r="H269" s="510"/>
      <c r="I269" s="510"/>
      <c r="J269" s="510"/>
      <c r="K269" s="510"/>
      <c r="L269" s="510"/>
      <c r="M269" s="509"/>
      <c r="N269" s="516"/>
      <c r="O269" s="510"/>
      <c r="P269" s="510"/>
      <c r="Q269" s="505"/>
      <c r="R269" s="506"/>
      <c r="S269" s="506"/>
      <c r="T269" s="506"/>
      <c r="U269" s="505"/>
      <c r="V269" s="505"/>
      <c r="W269" s="505"/>
      <c r="X269" s="504"/>
      <c r="Y269" s="503"/>
      <c r="Z269" s="503"/>
      <c r="AA269" s="503"/>
      <c r="AB269" s="503"/>
      <c r="AC269" s="503"/>
      <c r="AD269" s="503"/>
      <c r="AE269" s="503"/>
      <c r="AF269" s="503"/>
    </row>
    <row r="270" spans="1:32" ht="15.75" customHeight="1">
      <c r="A270" s="503"/>
      <c r="B270" s="517"/>
      <c r="C270" s="510"/>
      <c r="D270" s="510"/>
      <c r="E270" s="510"/>
      <c r="F270" s="746"/>
      <c r="G270" s="510"/>
      <c r="H270" s="510"/>
      <c r="I270" s="510"/>
      <c r="J270" s="510"/>
      <c r="K270" s="510"/>
      <c r="L270" s="510"/>
      <c r="M270" s="509"/>
      <c r="N270" s="516"/>
      <c r="O270" s="507"/>
      <c r="P270" s="507"/>
      <c r="Q270" s="505"/>
      <c r="R270" s="506"/>
      <c r="S270" s="506"/>
      <c r="T270" s="506"/>
      <c r="U270" s="505"/>
      <c r="V270" s="505"/>
      <c r="W270" s="520"/>
      <c r="X270" s="519"/>
      <c r="Y270" s="503"/>
      <c r="Z270" s="503"/>
      <c r="AA270" s="503"/>
      <c r="AB270" s="503"/>
      <c r="AC270" s="503"/>
      <c r="AD270" s="503"/>
      <c r="AE270" s="503"/>
      <c r="AF270" s="503"/>
    </row>
    <row r="271" spans="1:32" ht="15.75" customHeight="1">
      <c r="A271" s="503"/>
      <c r="B271" s="517"/>
      <c r="C271" s="510"/>
      <c r="D271" s="510"/>
      <c r="E271" s="510"/>
      <c r="F271" s="746"/>
      <c r="G271" s="510"/>
      <c r="H271" s="510"/>
      <c r="I271" s="510"/>
      <c r="J271" s="510"/>
      <c r="K271" s="510"/>
      <c r="L271" s="510"/>
      <c r="M271" s="509"/>
      <c r="N271" s="516"/>
      <c r="O271" s="507"/>
      <c r="P271" s="507"/>
      <c r="Q271" s="505"/>
      <c r="R271" s="506"/>
      <c r="S271" s="506"/>
      <c r="T271" s="506"/>
      <c r="U271" s="505"/>
      <c r="V271" s="505"/>
      <c r="W271" s="505"/>
      <c r="X271" s="504"/>
      <c r="Y271" s="503"/>
      <c r="Z271" s="503"/>
      <c r="AA271" s="503"/>
      <c r="AB271" s="503"/>
      <c r="AC271" s="503"/>
      <c r="AD271" s="503"/>
      <c r="AE271" s="503"/>
      <c r="AF271" s="503"/>
    </row>
    <row r="272" spans="1:32" ht="15" customHeight="1">
      <c r="A272" s="503"/>
      <c r="B272" s="922"/>
      <c r="C272" s="510"/>
      <c r="D272" s="510"/>
      <c r="E272" s="510"/>
      <c r="F272" s="746"/>
      <c r="G272" s="510"/>
      <c r="H272" s="510"/>
      <c r="I272" s="510"/>
      <c r="J272" s="510"/>
      <c r="K272" s="510"/>
      <c r="L272" s="510"/>
      <c r="M272" s="509"/>
      <c r="N272" s="516"/>
      <c r="O272" s="506"/>
      <c r="P272" s="506"/>
      <c r="Q272" s="505"/>
      <c r="R272" s="506"/>
      <c r="S272" s="506"/>
      <c r="T272" s="506"/>
      <c r="U272" s="505"/>
      <c r="V272" s="505"/>
      <c r="W272" s="505"/>
      <c r="X272" s="504"/>
      <c r="Y272" s="503"/>
      <c r="Z272" s="503"/>
      <c r="AA272" s="503"/>
      <c r="AB272" s="503"/>
      <c r="AC272" s="503"/>
      <c r="AD272" s="503"/>
      <c r="AE272" s="503"/>
      <c r="AF272" s="503"/>
    </row>
    <row r="273" spans="1:32" ht="15.75" customHeight="1">
      <c r="A273" s="503"/>
      <c r="B273" s="921"/>
      <c r="C273" s="510"/>
      <c r="D273" s="510"/>
      <c r="E273" s="510"/>
      <c r="F273" s="746"/>
      <c r="G273" s="510"/>
      <c r="H273" s="510"/>
      <c r="I273" s="510"/>
      <c r="J273" s="510"/>
      <c r="K273" s="510"/>
      <c r="L273" s="510"/>
      <c r="M273" s="509"/>
      <c r="N273" s="516"/>
      <c r="O273" s="506"/>
      <c r="P273" s="506"/>
      <c r="Q273" s="505"/>
      <c r="R273" s="506"/>
      <c r="S273" s="506"/>
      <c r="T273" s="506"/>
      <c r="U273" s="505"/>
      <c r="V273" s="505"/>
      <c r="W273" s="505"/>
      <c r="X273" s="504"/>
      <c r="Y273" s="503"/>
      <c r="Z273" s="503"/>
      <c r="AA273" s="503"/>
      <c r="AB273" s="503"/>
      <c r="AC273" s="503"/>
      <c r="AD273" s="503"/>
      <c r="AE273" s="503"/>
      <c r="AF273" s="503"/>
    </row>
    <row r="274" spans="1:32" ht="15.75" customHeight="1">
      <c r="A274" s="503"/>
      <c r="B274" s="921"/>
      <c r="C274" s="510"/>
      <c r="D274" s="510"/>
      <c r="E274" s="510"/>
      <c r="F274" s="746"/>
      <c r="G274" s="510"/>
      <c r="H274" s="510"/>
      <c r="I274" s="510"/>
      <c r="J274" s="510"/>
      <c r="K274" s="510"/>
      <c r="L274" s="510"/>
      <c r="M274" s="509"/>
      <c r="N274" s="516"/>
      <c r="O274" s="510"/>
      <c r="P274" s="510"/>
      <c r="Q274" s="505"/>
      <c r="R274" s="506"/>
      <c r="S274" s="506"/>
      <c r="T274" s="506"/>
      <c r="U274" s="505"/>
      <c r="V274" s="505"/>
      <c r="W274" s="505"/>
      <c r="X274" s="518"/>
      <c r="Y274" s="503"/>
      <c r="Z274" s="503"/>
      <c r="AA274" s="503"/>
      <c r="AB274" s="503"/>
      <c r="AC274" s="503"/>
      <c r="AD274" s="503"/>
      <c r="AE274" s="503"/>
      <c r="AF274" s="503"/>
    </row>
    <row r="275" spans="1:32" ht="15.75" customHeight="1">
      <c r="A275" s="503"/>
      <c r="B275" s="921"/>
      <c r="C275" s="510"/>
      <c r="D275" s="510"/>
      <c r="E275" s="510"/>
      <c r="F275" s="746"/>
      <c r="G275" s="510"/>
      <c r="H275" s="510"/>
      <c r="I275" s="510"/>
      <c r="J275" s="510"/>
      <c r="K275" s="510"/>
      <c r="L275" s="510"/>
      <c r="M275" s="509"/>
      <c r="N275" s="516"/>
      <c r="O275" s="506"/>
      <c r="P275" s="506"/>
      <c r="Q275" s="505"/>
      <c r="R275" s="506"/>
      <c r="S275" s="506"/>
      <c r="T275" s="506"/>
      <c r="U275" s="505"/>
      <c r="V275" s="505"/>
      <c r="W275" s="505"/>
      <c r="X275" s="504"/>
      <c r="Y275" s="503"/>
      <c r="Z275" s="503"/>
      <c r="AA275" s="503"/>
      <c r="AB275" s="503"/>
      <c r="AC275" s="503"/>
      <c r="AD275" s="503"/>
      <c r="AE275" s="503"/>
      <c r="AF275" s="503"/>
    </row>
    <row r="276" spans="1:32" ht="15.75" customHeight="1">
      <c r="A276" s="503"/>
      <c r="B276" s="921"/>
      <c r="C276" s="510"/>
      <c r="D276" s="510"/>
      <c r="E276" s="510"/>
      <c r="F276" s="746"/>
      <c r="G276" s="510"/>
      <c r="H276" s="510"/>
      <c r="I276" s="510"/>
      <c r="J276" s="510"/>
      <c r="K276" s="510"/>
      <c r="L276" s="510"/>
      <c r="M276" s="509"/>
      <c r="N276" s="516"/>
      <c r="O276" s="506"/>
      <c r="P276" s="506"/>
      <c r="Q276" s="505"/>
      <c r="R276" s="506"/>
      <c r="S276" s="506"/>
      <c r="T276" s="506"/>
      <c r="U276" s="505"/>
      <c r="V276" s="505"/>
      <c r="W276" s="505"/>
      <c r="X276" s="504"/>
      <c r="Y276" s="503"/>
      <c r="Z276" s="503"/>
      <c r="AA276" s="503"/>
      <c r="AB276" s="503"/>
      <c r="AC276" s="503"/>
      <c r="AD276" s="503"/>
      <c r="AE276" s="503"/>
      <c r="AF276" s="503"/>
    </row>
    <row r="277" spans="1:32" ht="15.75" customHeight="1">
      <c r="A277" s="503"/>
      <c r="B277" s="921"/>
      <c r="C277" s="510"/>
      <c r="D277" s="510"/>
      <c r="E277" s="510"/>
      <c r="F277" s="746"/>
      <c r="G277" s="510"/>
      <c r="H277" s="510"/>
      <c r="I277" s="510"/>
      <c r="J277" s="510"/>
      <c r="K277" s="510"/>
      <c r="L277" s="510"/>
      <c r="M277" s="509"/>
      <c r="N277" s="516"/>
      <c r="O277" s="506"/>
      <c r="P277" s="506"/>
      <c r="Q277" s="505"/>
      <c r="R277" s="506"/>
      <c r="S277" s="506"/>
      <c r="T277" s="506"/>
      <c r="U277" s="505"/>
      <c r="V277" s="505"/>
      <c r="W277" s="505"/>
      <c r="X277" s="504"/>
      <c r="Y277" s="503"/>
      <c r="Z277" s="503"/>
      <c r="AA277" s="503"/>
      <c r="AB277" s="503"/>
      <c r="AC277" s="503"/>
      <c r="AD277" s="503"/>
      <c r="AE277" s="503"/>
      <c r="AF277" s="503"/>
    </row>
    <row r="278" spans="1:32" ht="15.75" customHeight="1">
      <c r="A278" s="503"/>
      <c r="B278" s="921"/>
      <c r="C278" s="510"/>
      <c r="D278" s="510"/>
      <c r="E278" s="510"/>
      <c r="F278" s="746"/>
      <c r="G278" s="510"/>
      <c r="H278" s="510"/>
      <c r="I278" s="510"/>
      <c r="J278" s="510"/>
      <c r="K278" s="510"/>
      <c r="L278" s="510"/>
      <c r="M278" s="509"/>
      <c r="N278" s="516"/>
      <c r="O278" s="506"/>
      <c r="P278" s="506"/>
      <c r="Q278" s="505"/>
      <c r="R278" s="506"/>
      <c r="S278" s="506"/>
      <c r="T278" s="506"/>
      <c r="U278" s="505"/>
      <c r="V278" s="505"/>
      <c r="W278" s="505"/>
      <c r="X278" s="504"/>
      <c r="Y278" s="503"/>
      <c r="Z278" s="503"/>
      <c r="AA278" s="503"/>
      <c r="AB278" s="503"/>
      <c r="AC278" s="503"/>
      <c r="AD278" s="503"/>
      <c r="AE278" s="503"/>
      <c r="AF278" s="503"/>
    </row>
    <row r="279" spans="1:32" ht="15.75" customHeight="1">
      <c r="A279" s="503"/>
      <c r="B279" s="921"/>
      <c r="C279" s="510"/>
      <c r="D279" s="510"/>
      <c r="E279" s="510"/>
      <c r="F279" s="746"/>
      <c r="G279" s="510"/>
      <c r="H279" s="510"/>
      <c r="I279" s="510"/>
      <c r="J279" s="510"/>
      <c r="K279" s="510"/>
      <c r="L279" s="510"/>
      <c r="M279" s="509"/>
      <c r="N279" s="516"/>
      <c r="O279" s="506"/>
      <c r="P279" s="506"/>
      <c r="Q279" s="505"/>
      <c r="R279" s="506"/>
      <c r="S279" s="506"/>
      <c r="T279" s="506"/>
      <c r="U279" s="505"/>
      <c r="V279" s="505"/>
      <c r="W279" s="505"/>
      <c r="X279" s="504"/>
      <c r="Y279" s="503"/>
      <c r="Z279" s="503"/>
      <c r="AA279" s="503"/>
      <c r="AB279" s="503"/>
      <c r="AC279" s="503"/>
      <c r="AD279" s="503"/>
      <c r="AE279" s="503"/>
      <c r="AF279" s="503"/>
    </row>
    <row r="280" spans="1:32" ht="15.75" customHeight="1">
      <c r="A280" s="503"/>
      <c r="B280" s="921"/>
      <c r="C280" s="510"/>
      <c r="D280" s="510"/>
      <c r="E280" s="510"/>
      <c r="F280" s="746"/>
      <c r="G280" s="510"/>
      <c r="H280" s="510"/>
      <c r="I280" s="510"/>
      <c r="J280" s="510"/>
      <c r="K280" s="510"/>
      <c r="L280" s="510"/>
      <c r="M280" s="509"/>
      <c r="N280" s="516"/>
      <c r="O280" s="510"/>
      <c r="P280" s="510"/>
      <c r="Q280" s="505"/>
      <c r="R280" s="506"/>
      <c r="S280" s="506"/>
      <c r="T280" s="506"/>
      <c r="U280" s="505"/>
      <c r="V280" s="505"/>
      <c r="W280" s="505"/>
      <c r="X280" s="518"/>
      <c r="Y280" s="503"/>
      <c r="Z280" s="503"/>
      <c r="AA280" s="503"/>
      <c r="AB280" s="503"/>
      <c r="AC280" s="503"/>
      <c r="AD280" s="503"/>
      <c r="AE280" s="503"/>
      <c r="AF280" s="503"/>
    </row>
    <row r="281" spans="1:32" ht="15.75" customHeight="1">
      <c r="A281" s="503"/>
      <c r="B281" s="921"/>
      <c r="C281" s="510"/>
      <c r="D281" s="510"/>
      <c r="E281" s="510"/>
      <c r="F281" s="746"/>
      <c r="G281" s="510"/>
      <c r="H281" s="510"/>
      <c r="I281" s="510"/>
      <c r="J281" s="510"/>
      <c r="K281" s="510"/>
      <c r="L281" s="510"/>
      <c r="M281" s="509"/>
      <c r="N281" s="516"/>
      <c r="O281" s="506"/>
      <c r="P281" s="506"/>
      <c r="Q281" s="505"/>
      <c r="R281" s="506"/>
      <c r="S281" s="506"/>
      <c r="T281" s="506"/>
      <c r="U281" s="505"/>
      <c r="V281" s="505"/>
      <c r="W281" s="505"/>
      <c r="X281" s="504"/>
      <c r="Y281" s="503"/>
      <c r="Z281" s="503"/>
      <c r="AA281" s="503"/>
      <c r="AB281" s="503"/>
      <c r="AC281" s="503"/>
      <c r="AD281" s="503"/>
      <c r="AE281" s="503"/>
      <c r="AF281" s="503"/>
    </row>
    <row r="282" spans="1:32" ht="15.75" customHeight="1">
      <c r="A282" s="503"/>
      <c r="B282" s="921"/>
      <c r="C282" s="510"/>
      <c r="D282" s="510"/>
      <c r="E282" s="510"/>
      <c r="F282" s="746"/>
      <c r="G282" s="510"/>
      <c r="H282" s="510"/>
      <c r="I282" s="510"/>
      <c r="J282" s="510"/>
      <c r="K282" s="510"/>
      <c r="L282" s="510"/>
      <c r="M282" s="509"/>
      <c r="N282" s="516"/>
      <c r="O282" s="506"/>
      <c r="P282" s="506"/>
      <c r="Q282" s="505"/>
      <c r="R282" s="506"/>
      <c r="S282" s="506"/>
      <c r="T282" s="506"/>
      <c r="U282" s="505"/>
      <c r="V282" s="505"/>
      <c r="W282" s="505"/>
      <c r="X282" s="504"/>
      <c r="Y282" s="503"/>
      <c r="Z282" s="503"/>
      <c r="AA282" s="503"/>
      <c r="AB282" s="503"/>
      <c r="AC282" s="503"/>
      <c r="AD282" s="503"/>
      <c r="AE282" s="503"/>
      <c r="AF282" s="503"/>
    </row>
    <row r="283" spans="1:32" ht="15.75" customHeight="1">
      <c r="A283" s="503"/>
      <c r="B283" s="921"/>
      <c r="C283" s="510"/>
      <c r="D283" s="510"/>
      <c r="E283" s="510"/>
      <c r="F283" s="746"/>
      <c r="G283" s="510"/>
      <c r="H283" s="510"/>
      <c r="I283" s="510"/>
      <c r="J283" s="510"/>
      <c r="K283" s="510"/>
      <c r="L283" s="510"/>
      <c r="M283" s="509"/>
      <c r="N283" s="516"/>
      <c r="O283" s="506"/>
      <c r="P283" s="506"/>
      <c r="Q283" s="505"/>
      <c r="R283" s="506"/>
      <c r="S283" s="506"/>
      <c r="T283" s="506"/>
      <c r="U283" s="505"/>
      <c r="V283" s="505"/>
      <c r="W283" s="505"/>
      <c r="X283" s="504"/>
      <c r="Y283" s="503"/>
      <c r="Z283" s="503"/>
      <c r="AA283" s="503"/>
      <c r="AB283" s="503"/>
      <c r="AC283" s="503"/>
      <c r="AD283" s="503"/>
      <c r="AE283" s="503"/>
      <c r="AF283" s="503"/>
    </row>
    <row r="284" spans="1:32" ht="15.75" customHeight="1">
      <c r="A284" s="503"/>
      <c r="B284" s="921"/>
      <c r="C284" s="510"/>
      <c r="D284" s="510"/>
      <c r="E284" s="510"/>
      <c r="F284" s="746"/>
      <c r="G284" s="510"/>
      <c r="H284" s="510"/>
      <c r="I284" s="510"/>
      <c r="J284" s="510"/>
      <c r="K284" s="510"/>
      <c r="L284" s="510"/>
      <c r="M284" s="509"/>
      <c r="N284" s="516"/>
      <c r="O284" s="506"/>
      <c r="P284" s="506"/>
      <c r="Q284" s="505"/>
      <c r="R284" s="506"/>
      <c r="S284" s="506"/>
      <c r="T284" s="506"/>
      <c r="U284" s="505"/>
      <c r="V284" s="505"/>
      <c r="W284" s="505"/>
      <c r="X284" s="504"/>
      <c r="Y284" s="503"/>
      <c r="Z284" s="503"/>
      <c r="AA284" s="503"/>
      <c r="AB284" s="503"/>
      <c r="AC284" s="503"/>
      <c r="AD284" s="503"/>
      <c r="AE284" s="503"/>
      <c r="AF284" s="503"/>
    </row>
    <row r="285" spans="1:32" ht="15.75" customHeight="1">
      <c r="A285" s="503"/>
      <c r="B285" s="921"/>
      <c r="C285" s="510"/>
      <c r="D285" s="510"/>
      <c r="E285" s="510"/>
      <c r="F285" s="746"/>
      <c r="G285" s="510"/>
      <c r="H285" s="510"/>
      <c r="I285" s="510"/>
      <c r="J285" s="510"/>
      <c r="K285" s="510"/>
      <c r="L285" s="510"/>
      <c r="M285" s="509"/>
      <c r="N285" s="516"/>
      <c r="O285" s="506"/>
      <c r="P285" s="506"/>
      <c r="Q285" s="505"/>
      <c r="R285" s="506"/>
      <c r="S285" s="506"/>
      <c r="T285" s="506"/>
      <c r="U285" s="505"/>
      <c r="V285" s="505"/>
      <c r="W285" s="505"/>
      <c r="X285" s="504"/>
      <c r="Y285" s="503"/>
      <c r="Z285" s="503"/>
      <c r="AA285" s="503"/>
      <c r="AB285" s="503"/>
      <c r="AC285" s="503"/>
      <c r="AD285" s="503"/>
      <c r="AE285" s="503"/>
      <c r="AF285" s="503"/>
    </row>
    <row r="286" spans="1:32" ht="15.75" customHeight="1">
      <c r="A286" s="503"/>
      <c r="B286" s="921"/>
      <c r="C286" s="510"/>
      <c r="D286" s="510"/>
      <c r="E286" s="510"/>
      <c r="F286" s="746"/>
      <c r="G286" s="510"/>
      <c r="H286" s="510"/>
      <c r="I286" s="510"/>
      <c r="J286" s="510"/>
      <c r="K286" s="510"/>
      <c r="L286" s="510"/>
      <c r="M286" s="509"/>
      <c r="N286" s="516"/>
      <c r="O286" s="506"/>
      <c r="P286" s="506"/>
      <c r="Q286" s="505"/>
      <c r="R286" s="506"/>
      <c r="S286" s="506"/>
      <c r="T286" s="506"/>
      <c r="U286" s="505"/>
      <c r="V286" s="505"/>
      <c r="W286" s="505"/>
      <c r="X286" s="504"/>
      <c r="Y286" s="503"/>
      <c r="Z286" s="503"/>
      <c r="AA286" s="503"/>
      <c r="AB286" s="503"/>
      <c r="AC286" s="503"/>
      <c r="AD286" s="503"/>
      <c r="AE286" s="503"/>
      <c r="AF286" s="503"/>
    </row>
    <row r="287" spans="1:32" ht="15.75" customHeight="1">
      <c r="A287" s="503"/>
      <c r="B287" s="921"/>
      <c r="C287" s="510"/>
      <c r="D287" s="510"/>
      <c r="E287" s="510"/>
      <c r="F287" s="746"/>
      <c r="G287" s="510"/>
      <c r="H287" s="510"/>
      <c r="I287" s="510"/>
      <c r="J287" s="510"/>
      <c r="K287" s="510"/>
      <c r="L287" s="510"/>
      <c r="M287" s="509"/>
      <c r="N287" s="516"/>
      <c r="O287" s="506"/>
      <c r="P287" s="506"/>
      <c r="Q287" s="505"/>
      <c r="R287" s="506"/>
      <c r="S287" s="506"/>
      <c r="T287" s="506"/>
      <c r="U287" s="505"/>
      <c r="V287" s="505"/>
      <c r="W287" s="505"/>
      <c r="X287" s="504"/>
      <c r="Y287" s="503"/>
      <c r="Z287" s="503"/>
      <c r="AA287" s="503"/>
      <c r="AB287" s="503"/>
      <c r="AC287" s="503"/>
      <c r="AD287" s="503"/>
      <c r="AE287" s="503"/>
      <c r="AF287" s="503"/>
    </row>
    <row r="288" spans="1:32" ht="15.75" customHeight="1">
      <c r="A288" s="503"/>
      <c r="B288" s="921"/>
      <c r="C288" s="510"/>
      <c r="D288" s="510"/>
      <c r="E288" s="510"/>
      <c r="F288" s="746"/>
      <c r="G288" s="510"/>
      <c r="H288" s="510"/>
      <c r="I288" s="510"/>
      <c r="J288" s="510"/>
      <c r="K288" s="510"/>
      <c r="L288" s="510"/>
      <c r="M288" s="509"/>
      <c r="N288" s="516"/>
      <c r="O288" s="506"/>
      <c r="P288" s="506"/>
      <c r="Q288" s="505"/>
      <c r="R288" s="506"/>
      <c r="S288" s="506"/>
      <c r="T288" s="506"/>
      <c r="U288" s="505"/>
      <c r="V288" s="505"/>
      <c r="W288" s="505"/>
      <c r="X288" s="504"/>
      <c r="Y288" s="503"/>
      <c r="Z288" s="503"/>
      <c r="AA288" s="503"/>
      <c r="AB288" s="503"/>
      <c r="AC288" s="503"/>
      <c r="AD288" s="503"/>
      <c r="AE288" s="503"/>
      <c r="AF288" s="503"/>
    </row>
    <row r="289" spans="1:32" ht="15.75" customHeight="1">
      <c r="A289" s="503"/>
      <c r="B289" s="921"/>
      <c r="C289" s="510"/>
      <c r="D289" s="510"/>
      <c r="E289" s="510"/>
      <c r="F289" s="746"/>
      <c r="G289" s="510"/>
      <c r="H289" s="510"/>
      <c r="I289" s="510"/>
      <c r="J289" s="510"/>
      <c r="K289" s="510"/>
      <c r="L289" s="510"/>
      <c r="M289" s="509"/>
      <c r="N289" s="516"/>
      <c r="O289" s="510"/>
      <c r="P289" s="510"/>
      <c r="Q289" s="505"/>
      <c r="R289" s="506"/>
      <c r="S289" s="506"/>
      <c r="T289" s="506"/>
      <c r="U289" s="505"/>
      <c r="V289" s="505"/>
      <c r="W289" s="505"/>
      <c r="X289" s="518"/>
      <c r="Y289" s="503"/>
      <c r="Z289" s="503"/>
      <c r="AA289" s="503"/>
      <c r="AB289" s="503"/>
      <c r="AC289" s="503"/>
      <c r="AD289" s="503"/>
      <c r="AE289" s="503"/>
      <c r="AF289" s="503"/>
    </row>
    <row r="290" spans="1:32" ht="15.75" customHeight="1">
      <c r="A290" s="503"/>
      <c r="B290" s="921"/>
      <c r="C290" s="510"/>
      <c r="D290" s="510"/>
      <c r="E290" s="510"/>
      <c r="F290" s="746"/>
      <c r="G290" s="510"/>
      <c r="H290" s="510"/>
      <c r="I290" s="510"/>
      <c r="J290" s="510"/>
      <c r="K290" s="510"/>
      <c r="L290" s="510"/>
      <c r="M290" s="509"/>
      <c r="N290" s="516"/>
      <c r="O290" s="506"/>
      <c r="P290" s="506"/>
      <c r="Q290" s="505"/>
      <c r="R290" s="506"/>
      <c r="S290" s="506"/>
      <c r="T290" s="506"/>
      <c r="U290" s="505"/>
      <c r="V290" s="505"/>
      <c r="W290" s="505"/>
      <c r="X290" s="504"/>
      <c r="Y290" s="503"/>
      <c r="Z290" s="503"/>
      <c r="AA290" s="503"/>
      <c r="AB290" s="503"/>
      <c r="AC290" s="503"/>
      <c r="AD290" s="503"/>
      <c r="AE290" s="503"/>
      <c r="AF290" s="503"/>
    </row>
    <row r="291" spans="1:32" ht="15.75" customHeight="1">
      <c r="A291" s="503"/>
      <c r="B291" s="921"/>
      <c r="C291" s="510"/>
      <c r="D291" s="510"/>
      <c r="E291" s="510"/>
      <c r="F291" s="746"/>
      <c r="G291" s="510"/>
      <c r="H291" s="510"/>
      <c r="I291" s="510"/>
      <c r="J291" s="510"/>
      <c r="K291" s="510"/>
      <c r="L291" s="510"/>
      <c r="M291" s="509"/>
      <c r="N291" s="516"/>
      <c r="O291" s="506"/>
      <c r="P291" s="506"/>
      <c r="Q291" s="505"/>
      <c r="R291" s="506"/>
      <c r="S291" s="506"/>
      <c r="T291" s="506"/>
      <c r="U291" s="505"/>
      <c r="V291" s="505"/>
      <c r="W291" s="505"/>
      <c r="X291" s="504"/>
      <c r="Y291" s="503"/>
      <c r="Z291" s="503"/>
      <c r="AA291" s="503"/>
      <c r="AB291" s="503"/>
      <c r="AC291" s="503"/>
      <c r="AD291" s="503"/>
      <c r="AE291" s="503"/>
      <c r="AF291" s="503"/>
    </row>
    <row r="292" spans="1:32" ht="15.75" customHeight="1">
      <c r="A292" s="503"/>
      <c r="B292" s="921"/>
      <c r="C292" s="510"/>
      <c r="D292" s="510"/>
      <c r="E292" s="510"/>
      <c r="F292" s="746"/>
      <c r="G292" s="510"/>
      <c r="H292" s="510"/>
      <c r="I292" s="510"/>
      <c r="J292" s="510"/>
      <c r="K292" s="510"/>
      <c r="L292" s="510"/>
      <c r="M292" s="509"/>
      <c r="N292" s="516"/>
      <c r="O292" s="506"/>
      <c r="P292" s="506"/>
      <c r="Q292" s="505"/>
      <c r="R292" s="506"/>
      <c r="S292" s="506"/>
      <c r="T292" s="506"/>
      <c r="U292" s="505"/>
      <c r="V292" s="505"/>
      <c r="W292" s="505"/>
      <c r="X292" s="504"/>
      <c r="Y292" s="503"/>
      <c r="Z292" s="503"/>
      <c r="AA292" s="503"/>
      <c r="AB292" s="503"/>
      <c r="AC292" s="503"/>
      <c r="AD292" s="503"/>
      <c r="AE292" s="503"/>
      <c r="AF292" s="503"/>
    </row>
    <row r="293" spans="1:32" ht="15.75" customHeight="1">
      <c r="A293" s="503"/>
      <c r="B293" s="921"/>
      <c r="C293" s="510"/>
      <c r="D293" s="510"/>
      <c r="E293" s="510"/>
      <c r="F293" s="746"/>
      <c r="G293" s="510"/>
      <c r="H293" s="510"/>
      <c r="I293" s="510"/>
      <c r="J293" s="510"/>
      <c r="K293" s="510"/>
      <c r="L293" s="510"/>
      <c r="M293" s="509"/>
      <c r="N293" s="516"/>
      <c r="O293" s="506"/>
      <c r="P293" s="506"/>
      <c r="Q293" s="505"/>
      <c r="R293" s="506"/>
      <c r="S293" s="506"/>
      <c r="T293" s="506"/>
      <c r="U293" s="505"/>
      <c r="V293" s="505"/>
      <c r="W293" s="505"/>
      <c r="X293" s="504"/>
      <c r="Y293" s="503"/>
      <c r="Z293" s="503"/>
      <c r="AA293" s="503"/>
      <c r="AB293" s="503"/>
      <c r="AC293" s="503"/>
      <c r="AD293" s="503"/>
      <c r="AE293" s="503"/>
      <c r="AF293" s="503"/>
    </row>
    <row r="294" spans="1:32" ht="15.75" customHeight="1">
      <c r="A294" s="503"/>
      <c r="B294" s="921"/>
      <c r="C294" s="510"/>
      <c r="D294" s="510"/>
      <c r="E294" s="510"/>
      <c r="F294" s="746"/>
      <c r="G294" s="510"/>
      <c r="H294" s="510"/>
      <c r="I294" s="510"/>
      <c r="J294" s="510"/>
      <c r="K294" s="510"/>
      <c r="L294" s="510"/>
      <c r="M294" s="509"/>
      <c r="N294" s="516"/>
      <c r="O294" s="510"/>
      <c r="P294" s="510"/>
      <c r="Q294" s="505"/>
      <c r="R294" s="506"/>
      <c r="S294" s="506"/>
      <c r="T294" s="506"/>
      <c r="U294" s="505"/>
      <c r="V294" s="505"/>
      <c r="W294" s="505"/>
      <c r="X294" s="518"/>
      <c r="Y294" s="503"/>
      <c r="Z294" s="503"/>
      <c r="AA294" s="503"/>
      <c r="AB294" s="503"/>
      <c r="AC294" s="503"/>
      <c r="AD294" s="503"/>
      <c r="AE294" s="503"/>
      <c r="AF294" s="503"/>
    </row>
    <row r="295" spans="1:32" ht="15.75" customHeight="1">
      <c r="A295" s="503"/>
      <c r="B295" s="921"/>
      <c r="C295" s="510"/>
      <c r="D295" s="510"/>
      <c r="E295" s="510"/>
      <c r="F295" s="746"/>
      <c r="G295" s="510"/>
      <c r="H295" s="510"/>
      <c r="I295" s="510"/>
      <c r="J295" s="510"/>
      <c r="K295" s="510"/>
      <c r="L295" s="510"/>
      <c r="M295" s="509"/>
      <c r="N295" s="516"/>
      <c r="O295" s="506"/>
      <c r="P295" s="506"/>
      <c r="Q295" s="505"/>
      <c r="R295" s="506"/>
      <c r="S295" s="506"/>
      <c r="T295" s="506"/>
      <c r="U295" s="505"/>
      <c r="V295" s="505"/>
      <c r="W295" s="505"/>
      <c r="X295" s="504"/>
      <c r="Y295" s="503"/>
      <c r="Z295" s="503"/>
      <c r="AA295" s="503"/>
      <c r="AB295" s="503"/>
      <c r="AC295" s="503"/>
      <c r="AD295" s="503"/>
      <c r="AE295" s="503"/>
      <c r="AF295" s="503"/>
    </row>
    <row r="296" spans="1:32" ht="15.75" customHeight="1">
      <c r="A296" s="503"/>
      <c r="B296" s="921"/>
      <c r="C296" s="510"/>
      <c r="D296" s="510"/>
      <c r="E296" s="510"/>
      <c r="F296" s="746"/>
      <c r="G296" s="510"/>
      <c r="H296" s="510"/>
      <c r="I296" s="510"/>
      <c r="J296" s="510"/>
      <c r="K296" s="510"/>
      <c r="L296" s="510"/>
      <c r="M296" s="509"/>
      <c r="N296" s="516"/>
      <c r="O296" s="506"/>
      <c r="P296" s="506"/>
      <c r="Q296" s="505"/>
      <c r="R296" s="506"/>
      <c r="S296" s="506"/>
      <c r="T296" s="506"/>
      <c r="U296" s="505"/>
      <c r="V296" s="505"/>
      <c r="W296" s="505"/>
      <c r="X296" s="504"/>
      <c r="Y296" s="503"/>
      <c r="Z296" s="503"/>
      <c r="AA296" s="503"/>
      <c r="AB296" s="503"/>
      <c r="AC296" s="503"/>
      <c r="AD296" s="503"/>
      <c r="AE296" s="503"/>
      <c r="AF296" s="503"/>
    </row>
    <row r="297" spans="1:32" ht="15.75" customHeight="1">
      <c r="A297" s="503"/>
      <c r="B297" s="921"/>
      <c r="C297" s="510"/>
      <c r="D297" s="510"/>
      <c r="E297" s="510"/>
      <c r="F297" s="746"/>
      <c r="G297" s="510"/>
      <c r="H297" s="510"/>
      <c r="I297" s="510"/>
      <c r="J297" s="510"/>
      <c r="K297" s="510"/>
      <c r="L297" s="510"/>
      <c r="M297" s="509"/>
      <c r="N297" s="516"/>
      <c r="O297" s="506"/>
      <c r="P297" s="506"/>
      <c r="Q297" s="505"/>
      <c r="R297" s="506"/>
      <c r="S297" s="506"/>
      <c r="T297" s="506"/>
      <c r="U297" s="505"/>
      <c r="V297" s="505"/>
      <c r="W297" s="505"/>
      <c r="X297" s="504"/>
      <c r="Y297" s="503"/>
      <c r="Z297" s="503"/>
      <c r="AA297" s="503"/>
      <c r="AB297" s="503"/>
      <c r="AC297" s="503"/>
      <c r="AD297" s="503"/>
      <c r="AE297" s="503"/>
      <c r="AF297" s="503"/>
    </row>
    <row r="298" spans="1:32" ht="15.75" customHeight="1">
      <c r="A298" s="503"/>
      <c r="B298" s="921"/>
      <c r="C298" s="510"/>
      <c r="D298" s="510"/>
      <c r="E298" s="510"/>
      <c r="F298" s="746"/>
      <c r="G298" s="510"/>
      <c r="H298" s="510"/>
      <c r="I298" s="510"/>
      <c r="J298" s="510"/>
      <c r="K298" s="510"/>
      <c r="L298" s="510"/>
      <c r="M298" s="509"/>
      <c r="N298" s="516"/>
      <c r="O298" s="506"/>
      <c r="P298" s="506"/>
      <c r="Q298" s="505"/>
      <c r="R298" s="506"/>
      <c r="S298" s="506"/>
      <c r="T298" s="506"/>
      <c r="U298" s="505"/>
      <c r="V298" s="505"/>
      <c r="W298" s="505"/>
      <c r="X298" s="504"/>
      <c r="Y298" s="503"/>
      <c r="Z298" s="503"/>
      <c r="AA298" s="503"/>
      <c r="AB298" s="503"/>
      <c r="AC298" s="503"/>
      <c r="AD298" s="503"/>
      <c r="AE298" s="503"/>
      <c r="AF298" s="503"/>
    </row>
    <row r="299" spans="1:32" ht="15.75" customHeight="1">
      <c r="A299" s="503"/>
      <c r="B299" s="921"/>
      <c r="C299" s="510"/>
      <c r="D299" s="510"/>
      <c r="E299" s="510"/>
      <c r="F299" s="746"/>
      <c r="G299" s="510"/>
      <c r="H299" s="510"/>
      <c r="I299" s="510"/>
      <c r="J299" s="510"/>
      <c r="K299" s="510"/>
      <c r="L299" s="510"/>
      <c r="M299" s="509"/>
      <c r="N299" s="516"/>
      <c r="O299" s="506"/>
      <c r="P299" s="506"/>
      <c r="Q299" s="505"/>
      <c r="R299" s="506"/>
      <c r="S299" s="506"/>
      <c r="T299" s="506"/>
      <c r="U299" s="505"/>
      <c r="V299" s="505"/>
      <c r="W299" s="505"/>
      <c r="X299" s="504"/>
      <c r="Y299" s="503"/>
      <c r="Z299" s="503"/>
      <c r="AA299" s="503"/>
      <c r="AB299" s="503"/>
      <c r="AC299" s="503"/>
      <c r="AD299" s="503"/>
      <c r="AE299" s="503"/>
      <c r="AF299" s="503"/>
    </row>
    <row r="300" spans="1:32" ht="15.75" customHeight="1">
      <c r="A300" s="503"/>
      <c r="B300" s="921"/>
      <c r="C300" s="510"/>
      <c r="D300" s="510"/>
      <c r="E300" s="510"/>
      <c r="F300" s="746"/>
      <c r="G300" s="510"/>
      <c r="H300" s="510"/>
      <c r="I300" s="510"/>
      <c r="J300" s="510"/>
      <c r="K300" s="510"/>
      <c r="L300" s="510"/>
      <c r="M300" s="509"/>
      <c r="N300" s="516"/>
      <c r="O300" s="510"/>
      <c r="P300" s="510"/>
      <c r="Q300" s="505"/>
      <c r="R300" s="506"/>
      <c r="S300" s="506"/>
      <c r="T300" s="506"/>
      <c r="U300" s="505"/>
      <c r="V300" s="505"/>
      <c r="W300" s="505"/>
      <c r="X300" s="518"/>
      <c r="Y300" s="503"/>
      <c r="Z300" s="503"/>
      <c r="AA300" s="503"/>
      <c r="AB300" s="503"/>
      <c r="AC300" s="503"/>
      <c r="AD300" s="503"/>
      <c r="AE300" s="503"/>
      <c r="AF300" s="503"/>
    </row>
    <row r="301" spans="1:32" ht="15.75" customHeight="1">
      <c r="A301" s="503"/>
      <c r="B301" s="921"/>
      <c r="C301" s="510"/>
      <c r="D301" s="510"/>
      <c r="E301" s="510"/>
      <c r="F301" s="746"/>
      <c r="G301" s="510"/>
      <c r="H301" s="510"/>
      <c r="I301" s="510"/>
      <c r="J301" s="510"/>
      <c r="K301" s="510"/>
      <c r="L301" s="510"/>
      <c r="M301" s="509"/>
      <c r="N301" s="516"/>
      <c r="O301" s="506"/>
      <c r="P301" s="506"/>
      <c r="Q301" s="505"/>
      <c r="R301" s="506"/>
      <c r="S301" s="506"/>
      <c r="T301" s="506"/>
      <c r="U301" s="505"/>
      <c r="V301" s="505"/>
      <c r="W301" s="505"/>
      <c r="X301" s="504"/>
      <c r="Y301" s="503"/>
      <c r="Z301" s="503"/>
      <c r="AA301" s="503"/>
      <c r="AB301" s="503"/>
      <c r="AC301" s="503"/>
      <c r="AD301" s="503"/>
      <c r="AE301" s="503"/>
      <c r="AF301" s="503"/>
    </row>
    <row r="302" spans="1:32" ht="15.75" customHeight="1">
      <c r="A302" s="503"/>
      <c r="B302" s="921"/>
      <c r="C302" s="510"/>
      <c r="D302" s="510"/>
      <c r="E302" s="510"/>
      <c r="F302" s="746"/>
      <c r="G302" s="510"/>
      <c r="H302" s="510"/>
      <c r="I302" s="510"/>
      <c r="J302" s="510"/>
      <c r="K302" s="510"/>
      <c r="L302" s="510"/>
      <c r="M302" s="509"/>
      <c r="N302" s="516"/>
      <c r="O302" s="506"/>
      <c r="P302" s="506"/>
      <c r="Q302" s="505"/>
      <c r="R302" s="506"/>
      <c r="S302" s="506"/>
      <c r="T302" s="506"/>
      <c r="U302" s="505"/>
      <c r="V302" s="505"/>
      <c r="W302" s="505"/>
      <c r="X302" s="504"/>
      <c r="Y302" s="503"/>
      <c r="Z302" s="503"/>
      <c r="AA302" s="503"/>
      <c r="AB302" s="503"/>
      <c r="AC302" s="503"/>
      <c r="AD302" s="503"/>
      <c r="AE302" s="503"/>
      <c r="AF302" s="503"/>
    </row>
    <row r="303" spans="1:32" ht="15.75" customHeight="1">
      <c r="A303" s="503"/>
      <c r="B303" s="921"/>
      <c r="C303" s="510"/>
      <c r="D303" s="510"/>
      <c r="E303" s="510"/>
      <c r="F303" s="746"/>
      <c r="G303" s="510"/>
      <c r="H303" s="510"/>
      <c r="I303" s="510"/>
      <c r="J303" s="510"/>
      <c r="K303" s="510"/>
      <c r="L303" s="510"/>
      <c r="M303" s="509"/>
      <c r="N303" s="516"/>
      <c r="O303" s="506"/>
      <c r="P303" s="506"/>
      <c r="Q303" s="505"/>
      <c r="R303" s="506"/>
      <c r="S303" s="506"/>
      <c r="T303" s="506"/>
      <c r="U303" s="505"/>
      <c r="V303" s="505"/>
      <c r="W303" s="505"/>
      <c r="X303" s="504"/>
      <c r="Y303" s="503"/>
      <c r="Z303" s="503"/>
      <c r="AA303" s="503"/>
      <c r="AB303" s="503"/>
      <c r="AC303" s="503"/>
      <c r="AD303" s="503"/>
      <c r="AE303" s="503"/>
      <c r="AF303" s="503"/>
    </row>
    <row r="304" spans="1:32" ht="15.75" customHeight="1">
      <c r="A304" s="503"/>
      <c r="B304" s="921"/>
      <c r="C304" s="510"/>
      <c r="D304" s="510"/>
      <c r="E304" s="510"/>
      <c r="F304" s="746"/>
      <c r="G304" s="510"/>
      <c r="H304" s="510"/>
      <c r="I304" s="510"/>
      <c r="J304" s="510"/>
      <c r="K304" s="510"/>
      <c r="L304" s="510"/>
      <c r="M304" s="509"/>
      <c r="N304" s="516"/>
      <c r="O304" s="506"/>
      <c r="P304" s="506"/>
      <c r="Q304" s="505"/>
      <c r="R304" s="506"/>
      <c r="S304" s="506"/>
      <c r="T304" s="506"/>
      <c r="U304" s="505"/>
      <c r="V304" s="505"/>
      <c r="W304" s="505"/>
      <c r="X304" s="504"/>
      <c r="Y304" s="503"/>
      <c r="Z304" s="503"/>
      <c r="AA304" s="503"/>
      <c r="AB304" s="503"/>
      <c r="AC304" s="503"/>
      <c r="AD304" s="503"/>
      <c r="AE304" s="503"/>
      <c r="AF304" s="503"/>
    </row>
    <row r="305" spans="1:32" ht="15.75" customHeight="1">
      <c r="A305" s="503"/>
      <c r="B305" s="921"/>
      <c r="C305" s="510"/>
      <c r="D305" s="510"/>
      <c r="E305" s="510"/>
      <c r="F305" s="746"/>
      <c r="G305" s="510"/>
      <c r="H305" s="510"/>
      <c r="I305" s="510"/>
      <c r="J305" s="510"/>
      <c r="K305" s="510"/>
      <c r="L305" s="510"/>
      <c r="M305" s="509"/>
      <c r="N305" s="516"/>
      <c r="O305" s="506"/>
      <c r="P305" s="506"/>
      <c r="Q305" s="505"/>
      <c r="R305" s="506"/>
      <c r="S305" s="506"/>
      <c r="T305" s="506"/>
      <c r="U305" s="505"/>
      <c r="V305" s="505"/>
      <c r="W305" s="505"/>
      <c r="X305" s="504"/>
      <c r="Y305" s="503"/>
      <c r="Z305" s="503"/>
      <c r="AA305" s="503"/>
      <c r="AB305" s="503"/>
      <c r="AC305" s="503"/>
      <c r="AD305" s="503"/>
      <c r="AE305" s="503"/>
      <c r="AF305" s="503"/>
    </row>
    <row r="306" spans="1:32" ht="15.75" customHeight="1">
      <c r="A306" s="503"/>
      <c r="B306" s="921"/>
      <c r="C306" s="510"/>
      <c r="D306" s="510"/>
      <c r="E306" s="510"/>
      <c r="F306" s="746"/>
      <c r="G306" s="510"/>
      <c r="H306" s="510"/>
      <c r="I306" s="510"/>
      <c r="J306" s="510"/>
      <c r="K306" s="510"/>
      <c r="L306" s="510"/>
      <c r="M306" s="509"/>
      <c r="N306" s="516"/>
      <c r="O306" s="506"/>
      <c r="P306" s="506"/>
      <c r="Q306" s="505"/>
      <c r="R306" s="506"/>
      <c r="S306" s="506"/>
      <c r="T306" s="506"/>
      <c r="U306" s="505"/>
      <c r="V306" s="505"/>
      <c r="W306" s="505"/>
      <c r="X306" s="504"/>
      <c r="Y306" s="503"/>
      <c r="Z306" s="503"/>
      <c r="AA306" s="503"/>
      <c r="AB306" s="503"/>
      <c r="AC306" s="503"/>
      <c r="AD306" s="503"/>
      <c r="AE306" s="503"/>
      <c r="AF306" s="503"/>
    </row>
    <row r="307" spans="1:32" ht="15.75" customHeight="1">
      <c r="A307" s="503"/>
      <c r="B307" s="921"/>
      <c r="C307" s="510"/>
      <c r="D307" s="510"/>
      <c r="E307" s="510"/>
      <c r="F307" s="746"/>
      <c r="G307" s="510"/>
      <c r="H307" s="510"/>
      <c r="I307" s="510"/>
      <c r="J307" s="510"/>
      <c r="K307" s="510"/>
      <c r="L307" s="510"/>
      <c r="M307" s="509"/>
      <c r="N307" s="516"/>
      <c r="O307" s="506"/>
      <c r="P307" s="506"/>
      <c r="Q307" s="505"/>
      <c r="R307" s="506"/>
      <c r="S307" s="506"/>
      <c r="T307" s="506"/>
      <c r="U307" s="505"/>
      <c r="V307" s="505"/>
      <c r="W307" s="505"/>
      <c r="X307" s="504"/>
      <c r="Y307" s="503"/>
      <c r="Z307" s="503"/>
      <c r="AA307" s="503"/>
      <c r="AB307" s="503"/>
      <c r="AC307" s="503"/>
      <c r="AD307" s="503"/>
      <c r="AE307" s="503"/>
      <c r="AF307" s="503"/>
    </row>
    <row r="308" spans="1:32" ht="15.75" customHeight="1">
      <c r="A308" s="503"/>
      <c r="B308" s="921"/>
      <c r="C308" s="510"/>
      <c r="D308" s="510"/>
      <c r="E308" s="510"/>
      <c r="F308" s="746"/>
      <c r="G308" s="510"/>
      <c r="H308" s="510"/>
      <c r="I308" s="510"/>
      <c r="J308" s="510"/>
      <c r="K308" s="510"/>
      <c r="L308" s="510"/>
      <c r="M308" s="509"/>
      <c r="N308" s="516"/>
      <c r="O308" s="506"/>
      <c r="P308" s="506"/>
      <c r="Q308" s="505"/>
      <c r="R308" s="506"/>
      <c r="S308" s="506"/>
      <c r="T308" s="506"/>
      <c r="U308" s="505"/>
      <c r="V308" s="505"/>
      <c r="W308" s="505"/>
      <c r="X308" s="504"/>
      <c r="Y308" s="503"/>
      <c r="Z308" s="503"/>
      <c r="AA308" s="503"/>
      <c r="AB308" s="503"/>
      <c r="AC308" s="503"/>
      <c r="AD308" s="503"/>
      <c r="AE308" s="503"/>
      <c r="AF308" s="503"/>
    </row>
    <row r="309" spans="1:32" ht="15.75" customHeight="1">
      <c r="A309" s="503"/>
      <c r="B309" s="921"/>
      <c r="C309" s="510"/>
      <c r="D309" s="510"/>
      <c r="E309" s="510"/>
      <c r="F309" s="746"/>
      <c r="G309" s="510"/>
      <c r="H309" s="510"/>
      <c r="I309" s="510"/>
      <c r="J309" s="510"/>
      <c r="K309" s="510"/>
      <c r="L309" s="510"/>
      <c r="M309" s="509"/>
      <c r="N309" s="516"/>
      <c r="O309" s="506"/>
      <c r="P309" s="506"/>
      <c r="Q309" s="505"/>
      <c r="R309" s="506"/>
      <c r="S309" s="506"/>
      <c r="T309" s="506"/>
      <c r="U309" s="505"/>
      <c r="V309" s="505"/>
      <c r="W309" s="505"/>
      <c r="X309" s="504"/>
      <c r="Y309" s="503"/>
      <c r="Z309" s="503"/>
      <c r="AA309" s="503"/>
      <c r="AB309" s="503"/>
      <c r="AC309" s="503"/>
      <c r="AD309" s="503"/>
      <c r="AE309" s="503"/>
      <c r="AF309" s="503"/>
    </row>
    <row r="310" spans="1:32" ht="15.75" customHeight="1">
      <c r="A310" s="503"/>
      <c r="B310" s="921"/>
      <c r="C310" s="510"/>
      <c r="D310" s="510"/>
      <c r="E310" s="510"/>
      <c r="F310" s="746"/>
      <c r="G310" s="510"/>
      <c r="H310" s="510"/>
      <c r="I310" s="510"/>
      <c r="J310" s="510"/>
      <c r="K310" s="510"/>
      <c r="L310" s="510"/>
      <c r="M310" s="509"/>
      <c r="N310" s="516"/>
      <c r="O310" s="506"/>
      <c r="P310" s="506"/>
      <c r="Q310" s="505"/>
      <c r="R310" s="506"/>
      <c r="S310" s="506"/>
      <c r="T310" s="506"/>
      <c r="U310" s="505"/>
      <c r="V310" s="505"/>
      <c r="W310" s="505"/>
      <c r="X310" s="504"/>
      <c r="Y310" s="503"/>
      <c r="Z310" s="503"/>
      <c r="AA310" s="503"/>
      <c r="AB310" s="503"/>
      <c r="AC310" s="503"/>
      <c r="AD310" s="503"/>
      <c r="AE310" s="503"/>
      <c r="AF310" s="503"/>
    </row>
    <row r="311" spans="1:32" ht="15.75" customHeight="1">
      <c r="A311" s="503"/>
      <c r="B311" s="921"/>
      <c r="C311" s="510"/>
      <c r="D311" s="510"/>
      <c r="E311" s="510"/>
      <c r="F311" s="746"/>
      <c r="G311" s="510"/>
      <c r="H311" s="510"/>
      <c r="I311" s="510"/>
      <c r="J311" s="510"/>
      <c r="K311" s="510"/>
      <c r="L311" s="510"/>
      <c r="M311" s="509"/>
      <c r="N311" s="516"/>
      <c r="O311" s="506"/>
      <c r="P311" s="506"/>
      <c r="Q311" s="505"/>
      <c r="R311" s="506"/>
      <c r="S311" s="506"/>
      <c r="T311" s="506"/>
      <c r="U311" s="505"/>
      <c r="V311" s="505"/>
      <c r="W311" s="505"/>
      <c r="X311" s="504"/>
      <c r="Y311" s="503"/>
      <c r="Z311" s="503"/>
      <c r="AA311" s="503"/>
      <c r="AB311" s="503"/>
      <c r="AC311" s="503"/>
      <c r="AD311" s="503"/>
      <c r="AE311" s="503"/>
      <c r="AF311" s="503"/>
    </row>
    <row r="312" spans="1:32" ht="15.75" customHeight="1">
      <c r="A312" s="503"/>
      <c r="B312" s="921"/>
      <c r="C312" s="510"/>
      <c r="D312" s="510"/>
      <c r="E312" s="510"/>
      <c r="F312" s="746"/>
      <c r="G312" s="510"/>
      <c r="H312" s="510"/>
      <c r="I312" s="510"/>
      <c r="J312" s="510"/>
      <c r="K312" s="510"/>
      <c r="L312" s="510"/>
      <c r="M312" s="509"/>
      <c r="N312" s="516"/>
      <c r="O312" s="506"/>
      <c r="P312" s="506"/>
      <c r="Q312" s="505"/>
      <c r="R312" s="506"/>
      <c r="S312" s="506"/>
      <c r="T312" s="506"/>
      <c r="U312" s="505"/>
      <c r="V312" s="505"/>
      <c r="W312" s="505"/>
      <c r="X312" s="504"/>
      <c r="Y312" s="503"/>
      <c r="Z312" s="503"/>
      <c r="AA312" s="503"/>
      <c r="AB312" s="503"/>
      <c r="AC312" s="503"/>
      <c r="AD312" s="503"/>
      <c r="AE312" s="503"/>
      <c r="AF312" s="503"/>
    </row>
    <row r="313" spans="1:32" ht="15.75" customHeight="1">
      <c r="A313" s="503"/>
      <c r="B313" s="921"/>
      <c r="C313" s="510"/>
      <c r="D313" s="510"/>
      <c r="E313" s="510"/>
      <c r="F313" s="746"/>
      <c r="G313" s="510"/>
      <c r="H313" s="510"/>
      <c r="I313" s="510"/>
      <c r="J313" s="510"/>
      <c r="K313" s="510"/>
      <c r="L313" s="510"/>
      <c r="M313" s="509"/>
      <c r="N313" s="516"/>
      <c r="O313" s="506"/>
      <c r="P313" s="506"/>
      <c r="Q313" s="505"/>
      <c r="R313" s="506"/>
      <c r="S313" s="506"/>
      <c r="T313" s="506"/>
      <c r="U313" s="505"/>
      <c r="V313" s="505"/>
      <c r="W313" s="505"/>
      <c r="X313" s="504"/>
      <c r="Y313" s="503"/>
      <c r="Z313" s="503"/>
      <c r="AA313" s="503"/>
      <c r="AB313" s="503"/>
      <c r="AC313" s="503"/>
      <c r="AD313" s="503"/>
      <c r="AE313" s="503"/>
      <c r="AF313" s="503"/>
    </row>
    <row r="314" spans="1:32" ht="15.75" customHeight="1">
      <c r="A314" s="503"/>
      <c r="B314" s="921"/>
      <c r="C314" s="510"/>
      <c r="D314" s="510"/>
      <c r="E314" s="510"/>
      <c r="F314" s="746"/>
      <c r="G314" s="510"/>
      <c r="H314" s="510"/>
      <c r="I314" s="510"/>
      <c r="J314" s="510"/>
      <c r="K314" s="510"/>
      <c r="L314" s="510"/>
      <c r="M314" s="509"/>
      <c r="N314" s="516"/>
      <c r="O314" s="506"/>
      <c r="P314" s="506"/>
      <c r="Q314" s="505"/>
      <c r="R314" s="506"/>
      <c r="S314" s="506"/>
      <c r="T314" s="506"/>
      <c r="U314" s="505"/>
      <c r="V314" s="505"/>
      <c r="W314" s="505"/>
      <c r="X314" s="504"/>
      <c r="Y314" s="503"/>
      <c r="Z314" s="503"/>
      <c r="AA314" s="503"/>
      <c r="AB314" s="503"/>
      <c r="AC314" s="503"/>
      <c r="AD314" s="503"/>
      <c r="AE314" s="503"/>
      <c r="AF314" s="503"/>
    </row>
    <row r="315" spans="1:32" ht="15.75" customHeight="1">
      <c r="A315" s="503"/>
      <c r="B315" s="921"/>
      <c r="C315" s="510"/>
      <c r="D315" s="510"/>
      <c r="E315" s="510"/>
      <c r="F315" s="746"/>
      <c r="G315" s="510"/>
      <c r="H315" s="510"/>
      <c r="I315" s="510"/>
      <c r="J315" s="510"/>
      <c r="K315" s="510"/>
      <c r="L315" s="510"/>
      <c r="M315" s="509"/>
      <c r="N315" s="516"/>
      <c r="O315" s="506"/>
      <c r="P315" s="506"/>
      <c r="Q315" s="505"/>
      <c r="R315" s="506"/>
      <c r="S315" s="506"/>
      <c r="T315" s="506"/>
      <c r="U315" s="505"/>
      <c r="V315" s="505"/>
      <c r="W315" s="505"/>
      <c r="X315" s="504"/>
      <c r="Y315" s="503"/>
      <c r="Z315" s="503"/>
      <c r="AA315" s="503"/>
      <c r="AB315" s="503"/>
      <c r="AC315" s="503"/>
      <c r="AD315" s="503"/>
      <c r="AE315" s="503"/>
      <c r="AF315" s="503"/>
    </row>
    <row r="316" spans="1:32" ht="15.75" customHeight="1">
      <c r="A316" s="503"/>
      <c r="B316" s="921"/>
      <c r="C316" s="510"/>
      <c r="D316" s="510"/>
      <c r="E316" s="510"/>
      <c r="F316" s="746"/>
      <c r="G316" s="510"/>
      <c r="H316" s="510"/>
      <c r="I316" s="510"/>
      <c r="J316" s="510"/>
      <c r="K316" s="510"/>
      <c r="L316" s="510"/>
      <c r="M316" s="509"/>
      <c r="N316" s="516"/>
      <c r="O316" s="510"/>
      <c r="P316" s="510"/>
      <c r="Q316" s="505"/>
      <c r="R316" s="506"/>
      <c r="S316" s="506"/>
      <c r="T316" s="506"/>
      <c r="U316" s="505"/>
      <c r="V316" s="505"/>
      <c r="W316" s="505"/>
      <c r="X316" s="518"/>
      <c r="Y316" s="503"/>
      <c r="Z316" s="503"/>
      <c r="AA316" s="503"/>
      <c r="AB316" s="503"/>
      <c r="AC316" s="503"/>
      <c r="AD316" s="503"/>
      <c r="AE316" s="503"/>
      <c r="AF316" s="503"/>
    </row>
    <row r="317" spans="1:32" ht="15.75" customHeight="1">
      <c r="A317" s="503"/>
      <c r="B317" s="921"/>
      <c r="C317" s="510"/>
      <c r="D317" s="510"/>
      <c r="E317" s="510"/>
      <c r="F317" s="746"/>
      <c r="G317" s="510"/>
      <c r="H317" s="510"/>
      <c r="I317" s="510"/>
      <c r="J317" s="510"/>
      <c r="K317" s="510"/>
      <c r="L317" s="510"/>
      <c r="M317" s="509"/>
      <c r="N317" s="516"/>
      <c r="O317" s="506"/>
      <c r="P317" s="506"/>
      <c r="Q317" s="505"/>
      <c r="R317" s="506"/>
      <c r="S317" s="506"/>
      <c r="T317" s="506"/>
      <c r="U317" s="505"/>
      <c r="V317" s="505"/>
      <c r="W317" s="505"/>
      <c r="X317" s="504"/>
      <c r="Y317" s="503"/>
      <c r="Z317" s="503"/>
      <c r="AA317" s="503"/>
      <c r="AB317" s="503"/>
      <c r="AC317" s="503"/>
      <c r="AD317" s="503"/>
      <c r="AE317" s="503"/>
      <c r="AF317" s="503"/>
    </row>
    <row r="318" spans="1:32" ht="15.75" customHeight="1">
      <c r="A318" s="503"/>
      <c r="B318" s="921"/>
      <c r="C318" s="510"/>
      <c r="D318" s="510"/>
      <c r="E318" s="510"/>
      <c r="F318" s="746"/>
      <c r="G318" s="510"/>
      <c r="H318" s="510"/>
      <c r="I318" s="510"/>
      <c r="J318" s="510"/>
      <c r="K318" s="510"/>
      <c r="L318" s="510"/>
      <c r="M318" s="509"/>
      <c r="N318" s="516"/>
      <c r="O318" s="506"/>
      <c r="P318" s="506"/>
      <c r="Q318" s="505"/>
      <c r="R318" s="506"/>
      <c r="S318" s="506"/>
      <c r="T318" s="506"/>
      <c r="U318" s="505"/>
      <c r="V318" s="505"/>
      <c r="W318" s="505"/>
      <c r="X318" s="504"/>
      <c r="Y318" s="503"/>
      <c r="Z318" s="503"/>
      <c r="AA318" s="503"/>
      <c r="AB318" s="503"/>
      <c r="AC318" s="503"/>
      <c r="AD318" s="503"/>
      <c r="AE318" s="503"/>
      <c r="AF318" s="503"/>
    </row>
    <row r="319" spans="1:32" ht="15.75" customHeight="1">
      <c r="A319" s="503"/>
      <c r="B319" s="921"/>
      <c r="C319" s="510"/>
      <c r="D319" s="510"/>
      <c r="E319" s="510"/>
      <c r="F319" s="746"/>
      <c r="G319" s="510"/>
      <c r="H319" s="510"/>
      <c r="I319" s="510"/>
      <c r="J319" s="510"/>
      <c r="K319" s="510"/>
      <c r="L319" s="510"/>
      <c r="M319" s="509"/>
      <c r="N319" s="516"/>
      <c r="O319" s="506"/>
      <c r="P319" s="506"/>
      <c r="Q319" s="505"/>
      <c r="R319" s="506"/>
      <c r="S319" s="506"/>
      <c r="T319" s="506"/>
      <c r="U319" s="505"/>
      <c r="V319" s="505"/>
      <c r="W319" s="505"/>
      <c r="X319" s="504"/>
      <c r="Y319" s="503"/>
      <c r="Z319" s="503"/>
      <c r="AA319" s="503"/>
      <c r="AB319" s="503"/>
      <c r="AC319" s="503"/>
      <c r="AD319" s="503"/>
      <c r="AE319" s="503"/>
      <c r="AF319" s="503"/>
    </row>
    <row r="320" spans="1:32" ht="15.75" customHeight="1">
      <c r="A320" s="503"/>
      <c r="B320" s="921"/>
      <c r="C320" s="510"/>
      <c r="D320" s="510"/>
      <c r="E320" s="510"/>
      <c r="F320" s="746"/>
      <c r="G320" s="510"/>
      <c r="H320" s="510"/>
      <c r="I320" s="510"/>
      <c r="J320" s="510"/>
      <c r="K320" s="510"/>
      <c r="L320" s="510"/>
      <c r="M320" s="509"/>
      <c r="N320" s="516"/>
      <c r="O320" s="506"/>
      <c r="P320" s="506"/>
      <c r="Q320" s="505"/>
      <c r="R320" s="506"/>
      <c r="S320" s="506"/>
      <c r="T320" s="506"/>
      <c r="U320" s="505"/>
      <c r="V320" s="505"/>
      <c r="W320" s="505"/>
      <c r="X320" s="504"/>
      <c r="Y320" s="503"/>
      <c r="Z320" s="503"/>
      <c r="AA320" s="503"/>
      <c r="AB320" s="503"/>
      <c r="AC320" s="503"/>
      <c r="AD320" s="503"/>
      <c r="AE320" s="503"/>
      <c r="AF320" s="503"/>
    </row>
    <row r="321" spans="1:32" ht="15.75" customHeight="1">
      <c r="A321" s="503"/>
      <c r="B321" s="921"/>
      <c r="C321" s="510"/>
      <c r="D321" s="510"/>
      <c r="E321" s="510"/>
      <c r="F321" s="746"/>
      <c r="G321" s="510"/>
      <c r="H321" s="510"/>
      <c r="I321" s="510"/>
      <c r="J321" s="510"/>
      <c r="K321" s="510"/>
      <c r="L321" s="510"/>
      <c r="M321" s="509"/>
      <c r="N321" s="516"/>
      <c r="O321" s="510"/>
      <c r="P321" s="510"/>
      <c r="Q321" s="505"/>
      <c r="R321" s="506"/>
      <c r="S321" s="506"/>
      <c r="T321" s="506"/>
      <c r="U321" s="505"/>
      <c r="V321" s="505"/>
      <c r="W321" s="505"/>
      <c r="X321" s="518"/>
      <c r="Y321" s="503"/>
      <c r="Z321" s="503"/>
      <c r="AA321" s="503"/>
      <c r="AB321" s="503"/>
      <c r="AC321" s="503"/>
      <c r="AD321" s="503"/>
      <c r="AE321" s="503"/>
      <c r="AF321" s="503"/>
    </row>
    <row r="322" spans="1:32" ht="15.75" customHeight="1">
      <c r="A322" s="503"/>
      <c r="B322" s="921"/>
      <c r="C322" s="510"/>
      <c r="D322" s="510"/>
      <c r="E322" s="510"/>
      <c r="F322" s="746"/>
      <c r="G322" s="510"/>
      <c r="H322" s="510"/>
      <c r="I322" s="510"/>
      <c r="J322" s="510"/>
      <c r="K322" s="510"/>
      <c r="L322" s="510"/>
      <c r="M322" s="509"/>
      <c r="N322" s="516"/>
      <c r="O322" s="506"/>
      <c r="P322" s="506"/>
      <c r="Q322" s="505"/>
      <c r="R322" s="506"/>
      <c r="S322" s="506"/>
      <c r="T322" s="506"/>
      <c r="U322" s="505"/>
      <c r="V322" s="505"/>
      <c r="W322" s="505"/>
      <c r="X322" s="504"/>
      <c r="Y322" s="503"/>
      <c r="Z322" s="503"/>
      <c r="AA322" s="503"/>
      <c r="AB322" s="503"/>
      <c r="AC322" s="503"/>
      <c r="AD322" s="503"/>
      <c r="AE322" s="503"/>
      <c r="AF322" s="503"/>
    </row>
    <row r="323" spans="1:32" ht="15.75" customHeight="1">
      <c r="A323" s="503"/>
      <c r="B323" s="921"/>
      <c r="C323" s="510"/>
      <c r="D323" s="510"/>
      <c r="E323" s="510"/>
      <c r="F323" s="746"/>
      <c r="G323" s="510"/>
      <c r="H323" s="510"/>
      <c r="I323" s="510"/>
      <c r="J323" s="510"/>
      <c r="K323" s="510"/>
      <c r="L323" s="510"/>
      <c r="M323" s="509"/>
      <c r="N323" s="516"/>
      <c r="O323" s="506"/>
      <c r="P323" s="506"/>
      <c r="Q323" s="505"/>
      <c r="R323" s="506"/>
      <c r="S323" s="506"/>
      <c r="T323" s="506"/>
      <c r="U323" s="505"/>
      <c r="V323" s="505"/>
      <c r="W323" s="505"/>
      <c r="X323" s="504"/>
      <c r="Y323" s="503"/>
      <c r="Z323" s="503"/>
      <c r="AA323" s="503"/>
      <c r="AB323" s="503"/>
      <c r="AC323" s="503"/>
      <c r="AD323" s="503"/>
      <c r="AE323" s="503"/>
      <c r="AF323" s="503"/>
    </row>
    <row r="324" spans="1:32" ht="15.75" customHeight="1">
      <c r="A324" s="503"/>
      <c r="B324" s="921"/>
      <c r="C324" s="510"/>
      <c r="D324" s="510"/>
      <c r="E324" s="510"/>
      <c r="F324" s="746"/>
      <c r="G324" s="510"/>
      <c r="H324" s="510"/>
      <c r="I324" s="510"/>
      <c r="J324" s="510"/>
      <c r="K324" s="510"/>
      <c r="L324" s="510"/>
      <c r="M324" s="509"/>
      <c r="N324" s="516"/>
      <c r="O324" s="506"/>
      <c r="P324" s="506"/>
      <c r="Q324" s="505"/>
      <c r="R324" s="506"/>
      <c r="S324" s="506"/>
      <c r="T324" s="506"/>
      <c r="U324" s="505"/>
      <c r="V324" s="505"/>
      <c r="W324" s="505"/>
      <c r="X324" s="504"/>
      <c r="Y324" s="503"/>
      <c r="Z324" s="503"/>
      <c r="AA324" s="503"/>
      <c r="AB324" s="503"/>
      <c r="AC324" s="503"/>
      <c r="AD324" s="503"/>
      <c r="AE324" s="503"/>
      <c r="AF324" s="503"/>
    </row>
    <row r="325" spans="1:32" ht="15.75" customHeight="1">
      <c r="A325" s="503"/>
      <c r="B325" s="921"/>
      <c r="C325" s="510"/>
      <c r="D325" s="510"/>
      <c r="E325" s="510"/>
      <c r="F325" s="746"/>
      <c r="G325" s="510"/>
      <c r="H325" s="510"/>
      <c r="I325" s="510"/>
      <c r="J325" s="510"/>
      <c r="K325" s="510"/>
      <c r="L325" s="510"/>
      <c r="M325" s="509"/>
      <c r="N325" s="516"/>
      <c r="O325" s="506"/>
      <c r="P325" s="506"/>
      <c r="Q325" s="505"/>
      <c r="R325" s="506"/>
      <c r="S325" s="506"/>
      <c r="T325" s="506"/>
      <c r="U325" s="505"/>
      <c r="V325" s="505"/>
      <c r="W325" s="505"/>
      <c r="X325" s="504"/>
      <c r="Y325" s="503"/>
      <c r="Z325" s="503"/>
      <c r="AA325" s="503"/>
      <c r="AB325" s="503"/>
      <c r="AC325" s="503"/>
      <c r="AD325" s="503"/>
      <c r="AE325" s="503"/>
      <c r="AF325" s="503"/>
    </row>
    <row r="326" spans="1:32" ht="15.75" customHeight="1">
      <c r="A326" s="503"/>
      <c r="B326" s="921"/>
      <c r="C326" s="510"/>
      <c r="D326" s="510"/>
      <c r="E326" s="510"/>
      <c r="F326" s="746"/>
      <c r="G326" s="510"/>
      <c r="H326" s="510"/>
      <c r="I326" s="510"/>
      <c r="J326" s="510"/>
      <c r="K326" s="510"/>
      <c r="L326" s="510"/>
      <c r="M326" s="509"/>
      <c r="N326" s="516"/>
      <c r="O326" s="506"/>
      <c r="P326" s="506"/>
      <c r="Q326" s="505"/>
      <c r="R326" s="506"/>
      <c r="S326" s="506"/>
      <c r="T326" s="506"/>
      <c r="U326" s="505"/>
      <c r="V326" s="505"/>
      <c r="W326" s="505"/>
      <c r="X326" s="504"/>
      <c r="Y326" s="503"/>
      <c r="Z326" s="503"/>
      <c r="AA326" s="503"/>
      <c r="AB326" s="503"/>
      <c r="AC326" s="503"/>
      <c r="AD326" s="503"/>
      <c r="AE326" s="503"/>
      <c r="AF326" s="503"/>
    </row>
    <row r="327" spans="1:32" ht="15.75" customHeight="1">
      <c r="A327" s="503"/>
      <c r="B327" s="921"/>
      <c r="C327" s="510"/>
      <c r="D327" s="510"/>
      <c r="E327" s="510"/>
      <c r="F327" s="746"/>
      <c r="G327" s="510"/>
      <c r="H327" s="510"/>
      <c r="I327" s="510"/>
      <c r="J327" s="510"/>
      <c r="K327" s="510"/>
      <c r="L327" s="510"/>
      <c r="M327" s="509"/>
      <c r="N327" s="516"/>
      <c r="O327" s="510"/>
      <c r="P327" s="510"/>
      <c r="Q327" s="505"/>
      <c r="R327" s="506"/>
      <c r="S327" s="506"/>
      <c r="T327" s="506"/>
      <c r="U327" s="505"/>
      <c r="V327" s="505"/>
      <c r="W327" s="505"/>
      <c r="X327" s="518"/>
      <c r="Y327" s="503"/>
      <c r="Z327" s="503"/>
      <c r="AA327" s="503"/>
      <c r="AB327" s="503"/>
      <c r="AC327" s="503"/>
      <c r="AD327" s="503"/>
      <c r="AE327" s="503"/>
      <c r="AF327" s="503"/>
    </row>
    <row r="328" spans="1:32" ht="15.75" customHeight="1">
      <c r="A328" s="503"/>
      <c r="B328" s="921"/>
      <c r="C328" s="510"/>
      <c r="D328" s="510"/>
      <c r="E328" s="510"/>
      <c r="F328" s="746"/>
      <c r="G328" s="510"/>
      <c r="H328" s="510"/>
      <c r="I328" s="510"/>
      <c r="J328" s="510"/>
      <c r="K328" s="510"/>
      <c r="L328" s="510"/>
      <c r="M328" s="509"/>
      <c r="N328" s="516"/>
      <c r="O328" s="506"/>
      <c r="P328" s="506"/>
      <c r="Q328" s="505"/>
      <c r="R328" s="506"/>
      <c r="S328" s="506"/>
      <c r="T328" s="506"/>
      <c r="U328" s="505"/>
      <c r="V328" s="505"/>
      <c r="W328" s="505"/>
      <c r="X328" s="504"/>
      <c r="Y328" s="503"/>
      <c r="Z328" s="503"/>
      <c r="AA328" s="503"/>
      <c r="AB328" s="503"/>
      <c r="AC328" s="503"/>
      <c r="AD328" s="503"/>
      <c r="AE328" s="503"/>
      <c r="AF328" s="503"/>
    </row>
    <row r="329" spans="1:32" ht="15.75" customHeight="1">
      <c r="A329" s="503"/>
      <c r="B329" s="921"/>
      <c r="C329" s="510"/>
      <c r="D329" s="510"/>
      <c r="E329" s="510"/>
      <c r="F329" s="746"/>
      <c r="G329" s="510"/>
      <c r="H329" s="510"/>
      <c r="I329" s="510"/>
      <c r="J329" s="510"/>
      <c r="K329" s="510"/>
      <c r="L329" s="510"/>
      <c r="M329" s="509"/>
      <c r="N329" s="516"/>
      <c r="O329" s="506"/>
      <c r="P329" s="506"/>
      <c r="Q329" s="505"/>
      <c r="R329" s="506"/>
      <c r="S329" s="506"/>
      <c r="T329" s="506"/>
      <c r="U329" s="505"/>
      <c r="V329" s="505"/>
      <c r="W329" s="505"/>
      <c r="X329" s="504"/>
      <c r="Y329" s="503"/>
      <c r="Z329" s="503"/>
      <c r="AA329" s="503"/>
      <c r="AB329" s="503"/>
      <c r="AC329" s="503"/>
      <c r="AD329" s="503"/>
      <c r="AE329" s="503"/>
      <c r="AF329" s="503"/>
    </row>
    <row r="330" spans="1:32" ht="15.75" customHeight="1">
      <c r="A330" s="503"/>
      <c r="B330" s="921"/>
      <c r="C330" s="510"/>
      <c r="D330" s="510"/>
      <c r="E330" s="510"/>
      <c r="F330" s="746"/>
      <c r="G330" s="510"/>
      <c r="H330" s="510"/>
      <c r="I330" s="510"/>
      <c r="J330" s="510"/>
      <c r="K330" s="510"/>
      <c r="L330" s="510"/>
      <c r="M330" s="509"/>
      <c r="N330" s="516"/>
      <c r="O330" s="506"/>
      <c r="P330" s="506"/>
      <c r="Q330" s="505"/>
      <c r="R330" s="506"/>
      <c r="S330" s="506"/>
      <c r="T330" s="506"/>
      <c r="U330" s="505"/>
      <c r="V330" s="505"/>
      <c r="W330" s="505"/>
      <c r="X330" s="504"/>
      <c r="Y330" s="503"/>
      <c r="Z330" s="503"/>
      <c r="AA330" s="503"/>
      <c r="AB330" s="503"/>
      <c r="AC330" s="503"/>
      <c r="AD330" s="503"/>
      <c r="AE330" s="503"/>
      <c r="AF330" s="503"/>
    </row>
    <row r="331" spans="1:32" ht="15.75" customHeight="1">
      <c r="A331" s="503"/>
      <c r="B331" s="921"/>
      <c r="C331" s="510"/>
      <c r="D331" s="510"/>
      <c r="E331" s="510"/>
      <c r="F331" s="746"/>
      <c r="G331" s="510"/>
      <c r="H331" s="510"/>
      <c r="I331" s="510"/>
      <c r="J331" s="510"/>
      <c r="K331" s="510"/>
      <c r="L331" s="510"/>
      <c r="M331" s="509"/>
      <c r="N331" s="516"/>
      <c r="O331" s="506"/>
      <c r="P331" s="506"/>
      <c r="Q331" s="505"/>
      <c r="R331" s="506"/>
      <c r="S331" s="506"/>
      <c r="T331" s="506"/>
      <c r="U331" s="505"/>
      <c r="V331" s="505"/>
      <c r="W331" s="505"/>
      <c r="X331" s="504"/>
      <c r="Y331" s="503"/>
      <c r="Z331" s="503"/>
      <c r="AA331" s="503"/>
      <c r="AB331" s="503"/>
      <c r="AC331" s="503"/>
      <c r="AD331" s="503"/>
      <c r="AE331" s="503"/>
      <c r="AF331" s="503"/>
    </row>
    <row r="332" spans="1:32" ht="15.75" customHeight="1">
      <c r="A332" s="503"/>
      <c r="B332" s="921"/>
      <c r="C332" s="510"/>
      <c r="D332" s="510"/>
      <c r="E332" s="510"/>
      <c r="F332" s="746"/>
      <c r="G332" s="510"/>
      <c r="H332" s="510"/>
      <c r="I332" s="510"/>
      <c r="J332" s="510"/>
      <c r="K332" s="510"/>
      <c r="L332" s="510"/>
      <c r="M332" s="509"/>
      <c r="N332" s="516"/>
      <c r="O332" s="506"/>
      <c r="P332" s="506"/>
      <c r="Q332" s="505"/>
      <c r="R332" s="506"/>
      <c r="S332" s="506"/>
      <c r="T332" s="506"/>
      <c r="U332" s="505"/>
      <c r="V332" s="505"/>
      <c r="W332" s="505"/>
      <c r="X332" s="504"/>
      <c r="Y332" s="503"/>
      <c r="Z332" s="503"/>
      <c r="AA332" s="503"/>
      <c r="AB332" s="503"/>
      <c r="AC332" s="503"/>
      <c r="AD332" s="503"/>
      <c r="AE332" s="503"/>
      <c r="AF332" s="503"/>
    </row>
    <row r="333" spans="1:32" ht="15.75" customHeight="1">
      <c r="A333" s="503"/>
      <c r="B333" s="921"/>
      <c r="C333" s="510"/>
      <c r="D333" s="510"/>
      <c r="E333" s="510"/>
      <c r="F333" s="746"/>
      <c r="G333" s="510"/>
      <c r="H333" s="510"/>
      <c r="I333" s="510"/>
      <c r="J333" s="510"/>
      <c r="K333" s="510"/>
      <c r="L333" s="510"/>
      <c r="M333" s="509"/>
      <c r="N333" s="516"/>
      <c r="O333" s="506"/>
      <c r="P333" s="506"/>
      <c r="Q333" s="505"/>
      <c r="R333" s="506"/>
      <c r="S333" s="506"/>
      <c r="T333" s="506"/>
      <c r="U333" s="505"/>
      <c r="V333" s="505"/>
      <c r="W333" s="505"/>
      <c r="X333" s="504"/>
      <c r="Y333" s="503"/>
      <c r="Z333" s="503"/>
      <c r="AA333" s="503"/>
      <c r="AB333" s="503"/>
      <c r="AC333" s="503"/>
      <c r="AD333" s="503"/>
      <c r="AE333" s="503"/>
      <c r="AF333" s="503"/>
    </row>
    <row r="334" spans="1:32" ht="15.75" customHeight="1">
      <c r="A334" s="503"/>
      <c r="B334" s="921"/>
      <c r="C334" s="510"/>
      <c r="D334" s="510"/>
      <c r="E334" s="510"/>
      <c r="F334" s="746"/>
      <c r="G334" s="510"/>
      <c r="H334" s="510"/>
      <c r="I334" s="510"/>
      <c r="J334" s="510"/>
      <c r="K334" s="510"/>
      <c r="L334" s="510"/>
      <c r="M334" s="509"/>
      <c r="N334" s="516"/>
      <c r="O334" s="506"/>
      <c r="P334" s="506"/>
      <c r="Q334" s="505"/>
      <c r="R334" s="506"/>
      <c r="S334" s="506"/>
      <c r="T334" s="506"/>
      <c r="U334" s="505"/>
      <c r="V334" s="505"/>
      <c r="W334" s="505"/>
      <c r="X334" s="504"/>
      <c r="Y334" s="503"/>
      <c r="Z334" s="503"/>
      <c r="AA334" s="503"/>
      <c r="AB334" s="503"/>
      <c r="AC334" s="503"/>
      <c r="AD334" s="503"/>
      <c r="AE334" s="503"/>
      <c r="AF334" s="503"/>
    </row>
    <row r="335" spans="1:32" ht="15.75" customHeight="1">
      <c r="A335" s="503"/>
      <c r="B335" s="921"/>
      <c r="C335" s="510"/>
      <c r="D335" s="510"/>
      <c r="E335" s="510"/>
      <c r="F335" s="746"/>
      <c r="G335" s="510"/>
      <c r="H335" s="510"/>
      <c r="I335" s="510"/>
      <c r="J335" s="510"/>
      <c r="K335" s="510"/>
      <c r="L335" s="510"/>
      <c r="M335" s="509"/>
      <c r="N335" s="516"/>
      <c r="O335" s="506"/>
      <c r="P335" s="506"/>
      <c r="Q335" s="505"/>
      <c r="R335" s="506"/>
      <c r="S335" s="506"/>
      <c r="T335" s="506"/>
      <c r="U335" s="505"/>
      <c r="V335" s="505"/>
      <c r="W335" s="505"/>
      <c r="X335" s="504"/>
      <c r="Y335" s="503"/>
      <c r="Z335" s="503"/>
      <c r="AA335" s="503"/>
      <c r="AB335" s="503"/>
      <c r="AC335" s="503"/>
      <c r="AD335" s="503"/>
      <c r="AE335" s="503"/>
      <c r="AF335" s="503"/>
    </row>
    <row r="336" spans="1:32" ht="15.75" customHeight="1">
      <c r="A336" s="503"/>
      <c r="B336" s="921"/>
      <c r="C336" s="510"/>
      <c r="D336" s="510"/>
      <c r="E336" s="510"/>
      <c r="F336" s="746"/>
      <c r="G336" s="510"/>
      <c r="H336" s="510"/>
      <c r="I336" s="510"/>
      <c r="J336" s="510"/>
      <c r="K336" s="510"/>
      <c r="L336" s="510"/>
      <c r="M336" s="509"/>
      <c r="N336" s="516"/>
      <c r="O336" s="510"/>
      <c r="P336" s="510"/>
      <c r="Q336" s="505"/>
      <c r="R336" s="506"/>
      <c r="S336" s="506"/>
      <c r="T336" s="506"/>
      <c r="U336" s="505"/>
      <c r="V336" s="505"/>
      <c r="W336" s="505"/>
      <c r="X336" s="518"/>
      <c r="Y336" s="503"/>
      <c r="Z336" s="503"/>
      <c r="AA336" s="503"/>
      <c r="AB336" s="503"/>
      <c r="AC336" s="503"/>
      <c r="AD336" s="503"/>
      <c r="AE336" s="503"/>
      <c r="AF336" s="503"/>
    </row>
    <row r="337" spans="1:32" ht="15.75" customHeight="1">
      <c r="A337" s="503"/>
      <c r="B337" s="921"/>
      <c r="C337" s="510"/>
      <c r="D337" s="510"/>
      <c r="E337" s="510"/>
      <c r="F337" s="746"/>
      <c r="G337" s="510"/>
      <c r="H337" s="510"/>
      <c r="I337" s="510"/>
      <c r="J337" s="510"/>
      <c r="K337" s="510"/>
      <c r="L337" s="510"/>
      <c r="M337" s="509"/>
      <c r="N337" s="516"/>
      <c r="O337" s="506"/>
      <c r="P337" s="506"/>
      <c r="Q337" s="505"/>
      <c r="R337" s="506"/>
      <c r="S337" s="506"/>
      <c r="T337" s="506"/>
      <c r="U337" s="505"/>
      <c r="V337" s="505"/>
      <c r="W337" s="505"/>
      <c r="X337" s="504"/>
      <c r="Y337" s="503"/>
      <c r="Z337" s="503"/>
      <c r="AA337" s="503"/>
      <c r="AB337" s="503"/>
      <c r="AC337" s="503"/>
      <c r="AD337" s="503"/>
      <c r="AE337" s="503"/>
      <c r="AF337" s="503"/>
    </row>
    <row r="338" spans="1:32" ht="15.75" customHeight="1">
      <c r="A338" s="503"/>
      <c r="B338" s="921"/>
      <c r="C338" s="510"/>
      <c r="D338" s="510"/>
      <c r="E338" s="510"/>
      <c r="F338" s="746"/>
      <c r="G338" s="510"/>
      <c r="H338" s="510"/>
      <c r="I338" s="510"/>
      <c r="J338" s="510"/>
      <c r="K338" s="510"/>
      <c r="L338" s="510"/>
      <c r="M338" s="509"/>
      <c r="N338" s="516"/>
      <c r="O338" s="506"/>
      <c r="P338" s="506"/>
      <c r="Q338" s="505"/>
      <c r="R338" s="506"/>
      <c r="S338" s="506"/>
      <c r="T338" s="506"/>
      <c r="U338" s="505"/>
      <c r="V338" s="505"/>
      <c r="W338" s="505"/>
      <c r="X338" s="504"/>
      <c r="Y338" s="503"/>
      <c r="Z338" s="503"/>
      <c r="AA338" s="503"/>
      <c r="AB338" s="503"/>
      <c r="AC338" s="503"/>
      <c r="AD338" s="503"/>
      <c r="AE338" s="503"/>
      <c r="AF338" s="503"/>
    </row>
    <row r="339" spans="1:32" ht="15.75" customHeight="1">
      <c r="A339" s="503"/>
      <c r="B339" s="921"/>
      <c r="C339" s="510"/>
      <c r="D339" s="510"/>
      <c r="E339" s="510"/>
      <c r="F339" s="746"/>
      <c r="G339" s="510"/>
      <c r="H339" s="510"/>
      <c r="I339" s="510"/>
      <c r="J339" s="510"/>
      <c r="K339" s="510"/>
      <c r="L339" s="510"/>
      <c r="M339" s="510"/>
      <c r="N339" s="516"/>
      <c r="O339" s="510"/>
      <c r="P339" s="510"/>
      <c r="Q339" s="505"/>
      <c r="R339" s="506"/>
      <c r="S339" s="506"/>
      <c r="T339" s="506"/>
      <c r="U339" s="505"/>
      <c r="V339" s="505"/>
      <c r="W339" s="505"/>
      <c r="X339" s="504"/>
      <c r="Y339" s="503"/>
      <c r="Z339" s="503"/>
      <c r="AA339" s="503"/>
      <c r="AB339" s="503"/>
      <c r="AC339" s="503"/>
      <c r="AD339" s="503"/>
      <c r="AE339" s="503"/>
      <c r="AF339" s="503"/>
    </row>
    <row r="340" spans="1:32" ht="15.75" customHeight="1">
      <c r="A340" s="503"/>
      <c r="B340" s="921"/>
      <c r="C340" s="510"/>
      <c r="D340" s="510"/>
      <c r="E340" s="510"/>
      <c r="F340" s="746"/>
      <c r="G340" s="510"/>
      <c r="H340" s="510"/>
      <c r="I340" s="510"/>
      <c r="J340" s="510"/>
      <c r="K340" s="510"/>
      <c r="L340" s="510"/>
      <c r="M340" s="509"/>
      <c r="N340" s="516"/>
      <c r="O340" s="506"/>
      <c r="P340" s="506"/>
      <c r="Q340" s="505"/>
      <c r="R340" s="506"/>
      <c r="S340" s="506"/>
      <c r="T340" s="506"/>
      <c r="U340" s="505"/>
      <c r="V340" s="505"/>
      <c r="W340" s="505"/>
      <c r="X340" s="504"/>
      <c r="Y340" s="503"/>
      <c r="Z340" s="503"/>
      <c r="AA340" s="503"/>
      <c r="AB340" s="503"/>
      <c r="AC340" s="503"/>
      <c r="AD340" s="503"/>
      <c r="AE340" s="503"/>
      <c r="AF340" s="503"/>
    </row>
    <row r="341" spans="1:32" ht="15.75" customHeight="1">
      <c r="A341" s="503"/>
      <c r="B341" s="921"/>
      <c r="C341" s="510"/>
      <c r="D341" s="510"/>
      <c r="E341" s="510"/>
      <c r="F341" s="746"/>
      <c r="G341" s="510"/>
      <c r="H341" s="510"/>
      <c r="I341" s="510"/>
      <c r="J341" s="510"/>
      <c r="K341" s="510"/>
      <c r="L341" s="510"/>
      <c r="M341" s="509"/>
      <c r="N341" s="516"/>
      <c r="O341" s="510"/>
      <c r="P341" s="510"/>
      <c r="Q341" s="505"/>
      <c r="R341" s="506"/>
      <c r="S341" s="506"/>
      <c r="T341" s="506"/>
      <c r="U341" s="505"/>
      <c r="V341" s="505"/>
      <c r="W341" s="505"/>
      <c r="X341" s="518"/>
      <c r="Y341" s="503"/>
      <c r="Z341" s="503"/>
      <c r="AA341" s="503"/>
      <c r="AB341" s="503"/>
      <c r="AC341" s="503"/>
      <c r="AD341" s="503"/>
      <c r="AE341" s="503"/>
      <c r="AF341" s="503"/>
    </row>
    <row r="342" spans="1:32" ht="15.75" customHeight="1">
      <c r="A342" s="503"/>
      <c r="B342" s="921"/>
      <c r="C342" s="510"/>
      <c r="D342" s="510"/>
      <c r="E342" s="510"/>
      <c r="F342" s="746"/>
      <c r="G342" s="510"/>
      <c r="H342" s="510"/>
      <c r="I342" s="510"/>
      <c r="J342" s="510"/>
      <c r="K342" s="510"/>
      <c r="L342" s="510"/>
      <c r="M342" s="509"/>
      <c r="N342" s="516"/>
      <c r="O342" s="506"/>
      <c r="P342" s="506"/>
      <c r="Q342" s="505"/>
      <c r="R342" s="506"/>
      <c r="S342" s="506"/>
      <c r="T342" s="506"/>
      <c r="U342" s="505"/>
      <c r="V342" s="505"/>
      <c r="W342" s="505"/>
      <c r="X342" s="504"/>
      <c r="Y342" s="503"/>
      <c r="Z342" s="503"/>
      <c r="AA342" s="503"/>
      <c r="AB342" s="503"/>
      <c r="AC342" s="503"/>
      <c r="AD342" s="503"/>
      <c r="AE342" s="503"/>
      <c r="AF342" s="503"/>
    </row>
    <row r="343" spans="1:32" ht="15.75" customHeight="1">
      <c r="A343" s="503"/>
      <c r="B343" s="921"/>
      <c r="C343" s="510"/>
      <c r="D343" s="510"/>
      <c r="E343" s="510"/>
      <c r="F343" s="746"/>
      <c r="G343" s="510"/>
      <c r="H343" s="510"/>
      <c r="I343" s="510"/>
      <c r="J343" s="510"/>
      <c r="K343" s="510"/>
      <c r="L343" s="510"/>
      <c r="M343" s="509"/>
      <c r="N343" s="516"/>
      <c r="O343" s="506"/>
      <c r="P343" s="506"/>
      <c r="Q343" s="505"/>
      <c r="R343" s="506"/>
      <c r="S343" s="506"/>
      <c r="T343" s="506"/>
      <c r="U343" s="505"/>
      <c r="V343" s="505"/>
      <c r="W343" s="505"/>
      <c r="X343" s="504"/>
      <c r="Y343" s="503"/>
      <c r="Z343" s="503"/>
      <c r="AA343" s="503"/>
      <c r="AB343" s="503"/>
      <c r="AC343" s="503"/>
      <c r="AD343" s="503"/>
      <c r="AE343" s="503"/>
      <c r="AF343" s="503"/>
    </row>
    <row r="344" spans="1:32" ht="15.75" customHeight="1">
      <c r="A344" s="503"/>
      <c r="B344" s="921"/>
      <c r="C344" s="510"/>
      <c r="D344" s="510"/>
      <c r="E344" s="510"/>
      <c r="F344" s="746"/>
      <c r="G344" s="510"/>
      <c r="H344" s="510"/>
      <c r="I344" s="510"/>
      <c r="J344" s="510"/>
      <c r="K344" s="510"/>
      <c r="L344" s="510"/>
      <c r="M344" s="509"/>
      <c r="N344" s="516"/>
      <c r="O344" s="506"/>
      <c r="P344" s="506"/>
      <c r="Q344" s="505"/>
      <c r="R344" s="506"/>
      <c r="S344" s="506"/>
      <c r="T344" s="506"/>
      <c r="U344" s="505"/>
      <c r="V344" s="505"/>
      <c r="W344" s="505"/>
      <c r="X344" s="504"/>
      <c r="Y344" s="503"/>
      <c r="Z344" s="503"/>
      <c r="AA344" s="503"/>
      <c r="AB344" s="503"/>
      <c r="AC344" s="503"/>
      <c r="AD344" s="503"/>
      <c r="AE344" s="503"/>
      <c r="AF344" s="503"/>
    </row>
    <row r="345" spans="1:32" ht="15.75" customHeight="1">
      <c r="A345" s="503"/>
      <c r="B345" s="921"/>
      <c r="C345" s="510"/>
      <c r="D345" s="510"/>
      <c r="E345" s="510"/>
      <c r="F345" s="746"/>
      <c r="G345" s="510"/>
      <c r="H345" s="510"/>
      <c r="I345" s="510"/>
      <c r="J345" s="510"/>
      <c r="K345" s="510"/>
      <c r="L345" s="510"/>
      <c r="M345" s="509"/>
      <c r="N345" s="516"/>
      <c r="O345" s="510"/>
      <c r="P345" s="510"/>
      <c r="Q345" s="505"/>
      <c r="R345" s="506"/>
      <c r="S345" s="506"/>
      <c r="T345" s="506"/>
      <c r="U345" s="505"/>
      <c r="V345" s="505"/>
      <c r="W345" s="505"/>
      <c r="X345" s="518"/>
      <c r="Y345" s="503"/>
      <c r="Z345" s="503"/>
      <c r="AA345" s="503"/>
      <c r="AB345" s="503"/>
      <c r="AC345" s="503"/>
      <c r="AD345" s="503"/>
      <c r="AE345" s="503"/>
      <c r="AF345" s="503"/>
    </row>
    <row r="346" spans="1:32" ht="15.75" customHeight="1">
      <c r="A346" s="503"/>
      <c r="B346" s="921"/>
      <c r="C346" s="510"/>
      <c r="D346" s="510"/>
      <c r="E346" s="510"/>
      <c r="F346" s="746"/>
      <c r="G346" s="510"/>
      <c r="H346" s="510"/>
      <c r="I346" s="510"/>
      <c r="J346" s="510"/>
      <c r="K346" s="510"/>
      <c r="L346" s="510"/>
      <c r="M346" s="509"/>
      <c r="N346" s="516"/>
      <c r="O346" s="506"/>
      <c r="P346" s="506"/>
      <c r="Q346" s="505"/>
      <c r="R346" s="506"/>
      <c r="S346" s="506"/>
      <c r="T346" s="506"/>
      <c r="U346" s="505"/>
      <c r="V346" s="505"/>
      <c r="W346" s="505"/>
      <c r="X346" s="504"/>
      <c r="Y346" s="503"/>
      <c r="Z346" s="503"/>
      <c r="AA346" s="503"/>
      <c r="AB346" s="503"/>
      <c r="AC346" s="503"/>
      <c r="AD346" s="503"/>
      <c r="AE346" s="503"/>
      <c r="AF346" s="503"/>
    </row>
    <row r="347" spans="1:32" ht="15.75" customHeight="1">
      <c r="A347" s="503"/>
      <c r="B347" s="921"/>
      <c r="C347" s="510"/>
      <c r="D347" s="510"/>
      <c r="E347" s="510"/>
      <c r="F347" s="746"/>
      <c r="G347" s="510"/>
      <c r="H347" s="510"/>
      <c r="I347" s="510"/>
      <c r="J347" s="510"/>
      <c r="K347" s="510"/>
      <c r="L347" s="510"/>
      <c r="M347" s="509"/>
      <c r="N347" s="516"/>
      <c r="O347" s="510"/>
      <c r="P347" s="510"/>
      <c r="Q347" s="505"/>
      <c r="R347" s="506"/>
      <c r="S347" s="506"/>
      <c r="T347" s="506"/>
      <c r="U347" s="505"/>
      <c r="V347" s="505"/>
      <c r="W347" s="505"/>
      <c r="X347" s="518"/>
      <c r="Y347" s="503"/>
      <c r="Z347" s="503"/>
      <c r="AA347" s="503"/>
      <c r="AB347" s="503"/>
      <c r="AC347" s="503"/>
      <c r="AD347" s="503"/>
      <c r="AE347" s="503"/>
      <c r="AF347" s="503"/>
    </row>
    <row r="348" spans="1:32" ht="15.75" customHeight="1">
      <c r="A348" s="503"/>
      <c r="B348" s="921"/>
      <c r="C348" s="510"/>
      <c r="D348" s="510"/>
      <c r="E348" s="510"/>
      <c r="F348" s="746"/>
      <c r="G348" s="510"/>
      <c r="H348" s="510"/>
      <c r="I348" s="510"/>
      <c r="J348" s="510"/>
      <c r="K348" s="510"/>
      <c r="L348" s="510"/>
      <c r="M348" s="509"/>
      <c r="N348" s="516"/>
      <c r="O348" s="506"/>
      <c r="P348" s="506"/>
      <c r="Q348" s="505"/>
      <c r="R348" s="506"/>
      <c r="S348" s="506"/>
      <c r="T348" s="506"/>
      <c r="U348" s="505"/>
      <c r="V348" s="505"/>
      <c r="W348" s="505"/>
      <c r="X348" s="504"/>
      <c r="Y348" s="503"/>
      <c r="Z348" s="503"/>
      <c r="AA348" s="503"/>
      <c r="AB348" s="503"/>
      <c r="AC348" s="503"/>
      <c r="AD348" s="503"/>
      <c r="AE348" s="503"/>
      <c r="AF348" s="503"/>
    </row>
    <row r="349" spans="1:32" ht="15.75" customHeight="1">
      <c r="A349" s="503"/>
      <c r="B349" s="921"/>
      <c r="C349" s="510"/>
      <c r="D349" s="510"/>
      <c r="E349" s="510"/>
      <c r="F349" s="746"/>
      <c r="G349" s="510"/>
      <c r="H349" s="510"/>
      <c r="I349" s="510"/>
      <c r="J349" s="510"/>
      <c r="K349" s="510"/>
      <c r="L349" s="510"/>
      <c r="M349" s="509"/>
      <c r="N349" s="516"/>
      <c r="O349" s="510"/>
      <c r="P349" s="510"/>
      <c r="Q349" s="505"/>
      <c r="R349" s="506"/>
      <c r="S349" s="506"/>
      <c r="T349" s="506"/>
      <c r="U349" s="505"/>
      <c r="V349" s="505"/>
      <c r="W349" s="505"/>
      <c r="X349" s="518"/>
      <c r="Y349" s="503"/>
      <c r="Z349" s="503"/>
      <c r="AA349" s="503"/>
      <c r="AB349" s="503"/>
      <c r="AC349" s="503"/>
      <c r="AD349" s="503"/>
      <c r="AE349" s="503"/>
      <c r="AF349" s="503"/>
    </row>
    <row r="350" spans="1:32" ht="15.75" customHeight="1">
      <c r="A350" s="503"/>
      <c r="B350" s="921"/>
      <c r="C350" s="510"/>
      <c r="D350" s="510"/>
      <c r="E350" s="510"/>
      <c r="F350" s="746"/>
      <c r="G350" s="510"/>
      <c r="H350" s="510"/>
      <c r="I350" s="510"/>
      <c r="J350" s="510"/>
      <c r="K350" s="510"/>
      <c r="L350" s="510"/>
      <c r="M350" s="509"/>
      <c r="N350" s="516"/>
      <c r="O350" s="506"/>
      <c r="P350" s="506"/>
      <c r="Q350" s="505"/>
      <c r="R350" s="506"/>
      <c r="S350" s="506"/>
      <c r="T350" s="506"/>
      <c r="U350" s="505"/>
      <c r="V350" s="505"/>
      <c r="W350" s="505"/>
      <c r="X350" s="504"/>
      <c r="Y350" s="503"/>
      <c r="Z350" s="503"/>
      <c r="AA350" s="503"/>
      <c r="AB350" s="503"/>
      <c r="AC350" s="503"/>
      <c r="AD350" s="503"/>
      <c r="AE350" s="503"/>
      <c r="AF350" s="503"/>
    </row>
    <row r="351" spans="1:32" ht="15.75" customHeight="1">
      <c r="A351" s="503"/>
      <c r="B351" s="921"/>
      <c r="C351" s="510"/>
      <c r="D351" s="510"/>
      <c r="E351" s="510"/>
      <c r="F351" s="746"/>
      <c r="G351" s="510"/>
      <c r="H351" s="510"/>
      <c r="I351" s="510"/>
      <c r="J351" s="510"/>
      <c r="K351" s="510"/>
      <c r="L351" s="510"/>
      <c r="M351" s="510"/>
      <c r="N351" s="516"/>
      <c r="O351" s="510"/>
      <c r="P351" s="510"/>
      <c r="Q351" s="505"/>
      <c r="R351" s="506"/>
      <c r="S351" s="506"/>
      <c r="T351" s="506"/>
      <c r="U351" s="505"/>
      <c r="V351" s="505"/>
      <c r="W351" s="505"/>
      <c r="X351" s="518"/>
      <c r="Y351" s="503"/>
      <c r="Z351" s="503"/>
      <c r="AA351" s="503"/>
      <c r="AB351" s="503"/>
      <c r="AC351" s="503"/>
      <c r="AD351" s="503"/>
      <c r="AE351" s="503"/>
      <c r="AF351" s="503"/>
    </row>
    <row r="352" spans="1:32" ht="15.75" customHeight="1">
      <c r="A352" s="503"/>
      <c r="B352" s="921"/>
      <c r="C352" s="510"/>
      <c r="D352" s="510"/>
      <c r="E352" s="510"/>
      <c r="F352" s="746"/>
      <c r="G352" s="510"/>
      <c r="H352" s="510"/>
      <c r="I352" s="510"/>
      <c r="J352" s="510"/>
      <c r="K352" s="510"/>
      <c r="L352" s="510"/>
      <c r="M352" s="509"/>
      <c r="N352" s="516"/>
      <c r="O352" s="506"/>
      <c r="P352" s="506"/>
      <c r="Q352" s="505"/>
      <c r="R352" s="506"/>
      <c r="S352" s="506"/>
      <c r="T352" s="506"/>
      <c r="U352" s="505"/>
      <c r="V352" s="505"/>
      <c r="W352" s="505"/>
      <c r="X352" s="504"/>
      <c r="Y352" s="503"/>
      <c r="Z352" s="503"/>
      <c r="AA352" s="503"/>
      <c r="AB352" s="503"/>
      <c r="AC352" s="503"/>
      <c r="AD352" s="503"/>
      <c r="AE352" s="503"/>
      <c r="AF352" s="503"/>
    </row>
    <row r="353" spans="1:32" ht="15.75" customHeight="1">
      <c r="A353" s="503"/>
      <c r="B353" s="921"/>
      <c r="C353" s="510"/>
      <c r="D353" s="510"/>
      <c r="E353" s="510"/>
      <c r="F353" s="746"/>
      <c r="G353" s="510"/>
      <c r="H353" s="510"/>
      <c r="I353" s="510"/>
      <c r="J353" s="510"/>
      <c r="K353" s="510"/>
      <c r="L353" s="510"/>
      <c r="M353" s="509"/>
      <c r="N353" s="516"/>
      <c r="O353" s="506"/>
      <c r="P353" s="506"/>
      <c r="Q353" s="505"/>
      <c r="R353" s="506"/>
      <c r="S353" s="506"/>
      <c r="T353" s="506"/>
      <c r="U353" s="505"/>
      <c r="V353" s="505"/>
      <c r="W353" s="505"/>
      <c r="X353" s="504"/>
      <c r="Y353" s="503"/>
      <c r="Z353" s="503"/>
      <c r="AA353" s="503"/>
      <c r="AB353" s="503"/>
      <c r="AC353" s="503"/>
      <c r="AD353" s="503"/>
      <c r="AE353" s="503"/>
      <c r="AF353" s="503"/>
    </row>
    <row r="354" spans="1:32" ht="15.75" customHeight="1">
      <c r="A354" s="503"/>
      <c r="B354" s="921"/>
      <c r="C354" s="510"/>
      <c r="D354" s="510"/>
      <c r="E354" s="510"/>
      <c r="F354" s="746"/>
      <c r="G354" s="510"/>
      <c r="H354" s="510"/>
      <c r="I354" s="510"/>
      <c r="J354" s="510"/>
      <c r="K354" s="510"/>
      <c r="L354" s="510"/>
      <c r="M354" s="509"/>
      <c r="N354" s="516"/>
      <c r="O354" s="506"/>
      <c r="P354" s="506"/>
      <c r="Q354" s="505"/>
      <c r="R354" s="506"/>
      <c r="S354" s="506"/>
      <c r="T354" s="506"/>
      <c r="U354" s="505"/>
      <c r="V354" s="505"/>
      <c r="W354" s="505"/>
      <c r="X354" s="504"/>
      <c r="Y354" s="503"/>
      <c r="Z354" s="503"/>
      <c r="AA354" s="503"/>
      <c r="AB354" s="503"/>
      <c r="AC354" s="503"/>
      <c r="AD354" s="503"/>
      <c r="AE354" s="503"/>
      <c r="AF354" s="503"/>
    </row>
    <row r="355" spans="1:32" ht="15.75" customHeight="1">
      <c r="A355" s="503"/>
      <c r="B355" s="921"/>
      <c r="C355" s="510"/>
      <c r="D355" s="510"/>
      <c r="E355" s="510"/>
      <c r="F355" s="746"/>
      <c r="G355" s="510"/>
      <c r="H355" s="510"/>
      <c r="I355" s="510"/>
      <c r="J355" s="510"/>
      <c r="K355" s="510"/>
      <c r="L355" s="510"/>
      <c r="M355" s="510"/>
      <c r="N355" s="516"/>
      <c r="O355" s="510"/>
      <c r="P355" s="510"/>
      <c r="Q355" s="505"/>
      <c r="R355" s="506"/>
      <c r="S355" s="506"/>
      <c r="T355" s="506"/>
      <c r="U355" s="505"/>
      <c r="V355" s="505"/>
      <c r="W355" s="505"/>
      <c r="X355" s="518"/>
      <c r="Y355" s="503"/>
      <c r="Z355" s="503"/>
      <c r="AA355" s="503"/>
      <c r="AB355" s="503"/>
      <c r="AC355" s="503"/>
      <c r="AD355" s="503"/>
      <c r="AE355" s="503"/>
      <c r="AF355" s="503"/>
    </row>
    <row r="356" spans="1:32" ht="15.75" customHeight="1">
      <c r="A356" s="503"/>
      <c r="B356" s="921"/>
      <c r="C356" s="510"/>
      <c r="D356" s="510"/>
      <c r="E356" s="510"/>
      <c r="F356" s="746"/>
      <c r="G356" s="510"/>
      <c r="H356" s="510"/>
      <c r="I356" s="510"/>
      <c r="J356" s="510"/>
      <c r="K356" s="510"/>
      <c r="L356" s="510"/>
      <c r="M356" s="509"/>
      <c r="N356" s="516"/>
      <c r="O356" s="506"/>
      <c r="P356" s="506"/>
      <c r="Q356" s="505"/>
      <c r="R356" s="506"/>
      <c r="S356" s="506"/>
      <c r="T356" s="506"/>
      <c r="U356" s="505"/>
      <c r="V356" s="505"/>
      <c r="W356" s="505"/>
      <c r="X356" s="504"/>
      <c r="Y356" s="503"/>
      <c r="Z356" s="503"/>
      <c r="AA356" s="503"/>
      <c r="AB356" s="503"/>
      <c r="AC356" s="503"/>
      <c r="AD356" s="503"/>
      <c r="AE356" s="503"/>
      <c r="AF356" s="503"/>
    </row>
    <row r="357" spans="1:32" ht="15.75" customHeight="1">
      <c r="A357" s="503"/>
      <c r="B357" s="921"/>
      <c r="C357" s="510"/>
      <c r="D357" s="510"/>
      <c r="E357" s="510"/>
      <c r="F357" s="746"/>
      <c r="G357" s="510"/>
      <c r="H357" s="510"/>
      <c r="I357" s="510"/>
      <c r="J357" s="510"/>
      <c r="K357" s="510"/>
      <c r="L357" s="510"/>
      <c r="M357" s="509"/>
      <c r="N357" s="516"/>
      <c r="O357" s="506"/>
      <c r="P357" s="506"/>
      <c r="Q357" s="505"/>
      <c r="R357" s="506"/>
      <c r="S357" s="506"/>
      <c r="T357" s="506"/>
      <c r="U357" s="505"/>
      <c r="V357" s="505"/>
      <c r="W357" s="505"/>
      <c r="X357" s="504"/>
      <c r="Y357" s="503"/>
      <c r="Z357" s="503"/>
      <c r="AA357" s="503"/>
      <c r="AB357" s="503"/>
      <c r="AC357" s="503"/>
      <c r="AD357" s="503"/>
      <c r="AE357" s="503"/>
      <c r="AF357" s="503"/>
    </row>
    <row r="358" spans="1:32" ht="15.75" customHeight="1">
      <c r="A358" s="503"/>
      <c r="B358" s="921"/>
      <c r="C358" s="510"/>
      <c r="D358" s="510"/>
      <c r="E358" s="510"/>
      <c r="F358" s="746"/>
      <c r="G358" s="510"/>
      <c r="H358" s="510"/>
      <c r="I358" s="510"/>
      <c r="J358" s="510"/>
      <c r="K358" s="510"/>
      <c r="L358" s="510"/>
      <c r="M358" s="509"/>
      <c r="N358" s="516"/>
      <c r="O358" s="506"/>
      <c r="P358" s="506"/>
      <c r="Q358" s="505"/>
      <c r="R358" s="506"/>
      <c r="S358" s="506"/>
      <c r="T358" s="506"/>
      <c r="U358" s="505"/>
      <c r="V358" s="505"/>
      <c r="W358" s="505"/>
      <c r="X358" s="504"/>
      <c r="Y358" s="503"/>
      <c r="Z358" s="503"/>
      <c r="AA358" s="503"/>
      <c r="AB358" s="503"/>
      <c r="AC358" s="503"/>
      <c r="AD358" s="503"/>
      <c r="AE358" s="503"/>
      <c r="AF358" s="503"/>
    </row>
    <row r="359" spans="1:32" ht="15.75" customHeight="1">
      <c r="A359" s="503"/>
      <c r="B359" s="921"/>
      <c r="C359" s="510"/>
      <c r="D359" s="510"/>
      <c r="E359" s="510"/>
      <c r="F359" s="746"/>
      <c r="G359" s="510"/>
      <c r="H359" s="510"/>
      <c r="I359" s="510"/>
      <c r="J359" s="510"/>
      <c r="K359" s="510"/>
      <c r="L359" s="510"/>
      <c r="M359" s="509"/>
      <c r="N359" s="516"/>
      <c r="O359" s="506"/>
      <c r="P359" s="506"/>
      <c r="Q359" s="505"/>
      <c r="R359" s="506"/>
      <c r="S359" s="506"/>
      <c r="T359" s="506"/>
      <c r="U359" s="505"/>
      <c r="V359" s="505"/>
      <c r="W359" s="505"/>
      <c r="X359" s="504"/>
      <c r="Y359" s="503"/>
      <c r="Z359" s="503"/>
      <c r="AA359" s="503"/>
      <c r="AB359" s="503"/>
      <c r="AC359" s="503"/>
      <c r="AD359" s="503"/>
      <c r="AE359" s="503"/>
      <c r="AF359" s="503"/>
    </row>
    <row r="360" spans="1:32" ht="15.75" customHeight="1">
      <c r="A360" s="503"/>
      <c r="B360" s="921"/>
      <c r="C360" s="510"/>
      <c r="D360" s="510"/>
      <c r="E360" s="510"/>
      <c r="F360" s="746"/>
      <c r="G360" s="510"/>
      <c r="H360" s="510"/>
      <c r="I360" s="510"/>
      <c r="J360" s="510"/>
      <c r="K360" s="510"/>
      <c r="L360" s="510"/>
      <c r="M360" s="509"/>
      <c r="N360" s="516"/>
      <c r="O360" s="506"/>
      <c r="P360" s="506"/>
      <c r="Q360" s="505"/>
      <c r="R360" s="506"/>
      <c r="S360" s="506"/>
      <c r="T360" s="506"/>
      <c r="U360" s="505"/>
      <c r="V360" s="505"/>
      <c r="W360" s="505"/>
      <c r="X360" s="504"/>
      <c r="Y360" s="503"/>
      <c r="Z360" s="503"/>
      <c r="AA360" s="503"/>
      <c r="AB360" s="503"/>
      <c r="AC360" s="503"/>
      <c r="AD360" s="503"/>
      <c r="AE360" s="503"/>
      <c r="AF360" s="503"/>
    </row>
    <row r="361" spans="1:32" ht="15.75" customHeight="1">
      <c r="A361" s="503"/>
      <c r="B361" s="921"/>
      <c r="C361" s="510"/>
      <c r="D361" s="510"/>
      <c r="E361" s="510"/>
      <c r="F361" s="746"/>
      <c r="G361" s="510"/>
      <c r="H361" s="510"/>
      <c r="I361" s="510"/>
      <c r="J361" s="510"/>
      <c r="K361" s="510"/>
      <c r="L361" s="510"/>
      <c r="M361" s="509"/>
      <c r="N361" s="516"/>
      <c r="O361" s="506"/>
      <c r="P361" s="506"/>
      <c r="Q361" s="505"/>
      <c r="R361" s="506"/>
      <c r="S361" s="506"/>
      <c r="T361" s="506"/>
      <c r="U361" s="505"/>
      <c r="V361" s="505"/>
      <c r="W361" s="505"/>
      <c r="X361" s="504"/>
      <c r="Y361" s="503"/>
      <c r="Z361" s="503"/>
      <c r="AA361" s="503"/>
      <c r="AB361" s="503"/>
      <c r="AC361" s="503"/>
      <c r="AD361" s="503"/>
      <c r="AE361" s="503"/>
      <c r="AF361" s="503"/>
    </row>
    <row r="362" spans="1:32" ht="15.75" customHeight="1">
      <c r="A362" s="503"/>
      <c r="B362" s="921"/>
      <c r="C362" s="510"/>
      <c r="D362" s="510"/>
      <c r="E362" s="510"/>
      <c r="F362" s="746"/>
      <c r="G362" s="510"/>
      <c r="H362" s="510"/>
      <c r="I362" s="510"/>
      <c r="J362" s="510"/>
      <c r="K362" s="510"/>
      <c r="L362" s="510"/>
      <c r="M362" s="509"/>
      <c r="N362" s="516"/>
      <c r="O362" s="506"/>
      <c r="P362" s="506"/>
      <c r="Q362" s="505"/>
      <c r="R362" s="506"/>
      <c r="S362" s="506"/>
      <c r="T362" s="506"/>
      <c r="U362" s="505"/>
      <c r="V362" s="505"/>
      <c r="W362" s="505"/>
      <c r="X362" s="504"/>
      <c r="Y362" s="503"/>
      <c r="Z362" s="503"/>
      <c r="AA362" s="503"/>
      <c r="AB362" s="503"/>
      <c r="AC362" s="503"/>
      <c r="AD362" s="503"/>
      <c r="AE362" s="503"/>
      <c r="AF362" s="503"/>
    </row>
    <row r="363" spans="1:32" ht="15.75" customHeight="1">
      <c r="A363" s="503"/>
      <c r="B363" s="921"/>
      <c r="C363" s="510"/>
      <c r="D363" s="510"/>
      <c r="E363" s="510"/>
      <c r="F363" s="746"/>
      <c r="G363" s="510"/>
      <c r="H363" s="510"/>
      <c r="I363" s="510"/>
      <c r="J363" s="510"/>
      <c r="K363" s="510"/>
      <c r="L363" s="510"/>
      <c r="M363" s="509"/>
      <c r="N363" s="516"/>
      <c r="O363" s="506"/>
      <c r="P363" s="506"/>
      <c r="Q363" s="505"/>
      <c r="R363" s="506"/>
      <c r="S363" s="506"/>
      <c r="T363" s="506"/>
      <c r="U363" s="505"/>
      <c r="V363" s="505"/>
      <c r="W363" s="505"/>
      <c r="X363" s="504"/>
      <c r="Y363" s="503"/>
      <c r="Z363" s="503"/>
      <c r="AA363" s="503"/>
      <c r="AB363" s="503"/>
      <c r="AC363" s="503"/>
      <c r="AD363" s="503"/>
      <c r="AE363" s="503"/>
      <c r="AF363" s="503"/>
    </row>
    <row r="364" spans="1:32" ht="15.75" customHeight="1">
      <c r="A364" s="503"/>
      <c r="B364" s="921"/>
      <c r="C364" s="510"/>
      <c r="D364" s="510"/>
      <c r="E364" s="510"/>
      <c r="F364" s="746"/>
      <c r="G364" s="510"/>
      <c r="H364" s="510"/>
      <c r="I364" s="510"/>
      <c r="J364" s="510"/>
      <c r="K364" s="510"/>
      <c r="L364" s="510"/>
      <c r="M364" s="509"/>
      <c r="N364" s="516"/>
      <c r="O364" s="506"/>
      <c r="P364" s="506"/>
      <c r="Q364" s="505"/>
      <c r="R364" s="506"/>
      <c r="S364" s="506"/>
      <c r="T364" s="506"/>
      <c r="U364" s="505"/>
      <c r="V364" s="505"/>
      <c r="W364" s="505"/>
      <c r="X364" s="504"/>
      <c r="Y364" s="503"/>
      <c r="Z364" s="503"/>
      <c r="AA364" s="503"/>
      <c r="AB364" s="503"/>
      <c r="AC364" s="503"/>
      <c r="AD364" s="503"/>
      <c r="AE364" s="503"/>
      <c r="AF364" s="503"/>
    </row>
    <row r="365" spans="1:32" ht="15.75" customHeight="1">
      <c r="A365" s="503"/>
      <c r="B365" s="921"/>
      <c r="C365" s="510"/>
      <c r="D365" s="510"/>
      <c r="E365" s="510"/>
      <c r="F365" s="746"/>
      <c r="G365" s="510"/>
      <c r="H365" s="510"/>
      <c r="I365" s="510"/>
      <c r="J365" s="510"/>
      <c r="K365" s="510"/>
      <c r="L365" s="510"/>
      <c r="M365" s="509"/>
      <c r="N365" s="516"/>
      <c r="O365" s="506"/>
      <c r="P365" s="506"/>
      <c r="Q365" s="505"/>
      <c r="R365" s="506"/>
      <c r="S365" s="506"/>
      <c r="T365" s="506"/>
      <c r="U365" s="505"/>
      <c r="V365" s="505"/>
      <c r="W365" s="505"/>
      <c r="X365" s="504"/>
      <c r="Y365" s="503"/>
      <c r="Z365" s="503"/>
      <c r="AA365" s="503"/>
      <c r="AB365" s="503"/>
      <c r="AC365" s="503"/>
      <c r="AD365" s="503"/>
      <c r="AE365" s="503"/>
      <c r="AF365" s="503"/>
    </row>
    <row r="366" spans="1:32" ht="15.75" customHeight="1">
      <c r="A366" s="503"/>
      <c r="B366" s="921"/>
      <c r="C366" s="510"/>
      <c r="D366" s="510"/>
      <c r="E366" s="510"/>
      <c r="F366" s="746"/>
      <c r="G366" s="510"/>
      <c r="H366" s="510"/>
      <c r="I366" s="510"/>
      <c r="J366" s="510"/>
      <c r="K366" s="510"/>
      <c r="L366" s="510"/>
      <c r="M366" s="509"/>
      <c r="N366" s="516"/>
      <c r="O366" s="506"/>
      <c r="P366" s="506"/>
      <c r="Q366" s="505"/>
      <c r="R366" s="506"/>
      <c r="S366" s="506"/>
      <c r="T366" s="506"/>
      <c r="U366" s="505"/>
      <c r="V366" s="505"/>
      <c r="W366" s="505"/>
      <c r="X366" s="504"/>
      <c r="Y366" s="503"/>
      <c r="Z366" s="503"/>
      <c r="AA366" s="503"/>
      <c r="AB366" s="503"/>
      <c r="AC366" s="503"/>
      <c r="AD366" s="503"/>
      <c r="AE366" s="503"/>
      <c r="AF366" s="503"/>
    </row>
    <row r="367" spans="1:32" ht="15.75" customHeight="1">
      <c r="A367" s="503"/>
      <c r="B367" s="921"/>
      <c r="C367" s="510"/>
      <c r="D367" s="510"/>
      <c r="E367" s="510"/>
      <c r="F367" s="746"/>
      <c r="G367" s="510"/>
      <c r="H367" s="510"/>
      <c r="I367" s="510"/>
      <c r="J367" s="510"/>
      <c r="K367" s="510"/>
      <c r="L367" s="510"/>
      <c r="M367" s="509"/>
      <c r="N367" s="516"/>
      <c r="O367" s="506"/>
      <c r="P367" s="506"/>
      <c r="Q367" s="505"/>
      <c r="R367" s="506"/>
      <c r="S367" s="506"/>
      <c r="T367" s="506"/>
      <c r="U367" s="505"/>
      <c r="V367" s="505"/>
      <c r="W367" s="505"/>
      <c r="X367" s="504"/>
      <c r="Y367" s="503"/>
      <c r="Z367" s="503"/>
      <c r="AA367" s="503"/>
      <c r="AB367" s="503"/>
      <c r="AC367" s="503"/>
      <c r="AD367" s="503"/>
      <c r="AE367" s="503"/>
      <c r="AF367" s="503"/>
    </row>
    <row r="368" spans="1:32" ht="15.75" customHeight="1">
      <c r="A368" s="503"/>
      <c r="B368" s="921"/>
      <c r="C368" s="510"/>
      <c r="D368" s="510"/>
      <c r="E368" s="510"/>
      <c r="F368" s="746"/>
      <c r="G368" s="510"/>
      <c r="H368" s="510"/>
      <c r="I368" s="510"/>
      <c r="J368" s="510"/>
      <c r="K368" s="510"/>
      <c r="L368" s="510"/>
      <c r="M368" s="509"/>
      <c r="N368" s="516"/>
      <c r="O368" s="506"/>
      <c r="P368" s="506"/>
      <c r="Q368" s="505"/>
      <c r="R368" s="506"/>
      <c r="S368" s="506"/>
      <c r="T368" s="506"/>
      <c r="U368" s="505"/>
      <c r="V368" s="505"/>
      <c r="W368" s="505"/>
      <c r="X368" s="504"/>
      <c r="Y368" s="503"/>
      <c r="Z368" s="503"/>
      <c r="AA368" s="503"/>
      <c r="AB368" s="503"/>
      <c r="AC368" s="503"/>
      <c r="AD368" s="503"/>
      <c r="AE368" s="503"/>
      <c r="AF368" s="503"/>
    </row>
    <row r="369" spans="1:32" ht="15.75" customHeight="1">
      <c r="A369" s="503"/>
      <c r="B369" s="921"/>
      <c r="C369" s="510"/>
      <c r="D369" s="510"/>
      <c r="E369" s="510"/>
      <c r="F369" s="746"/>
      <c r="G369" s="510"/>
      <c r="H369" s="510"/>
      <c r="I369" s="510"/>
      <c r="J369" s="510"/>
      <c r="K369" s="510"/>
      <c r="L369" s="510"/>
      <c r="M369" s="509"/>
      <c r="N369" s="516"/>
      <c r="O369" s="506"/>
      <c r="P369" s="506"/>
      <c r="Q369" s="505"/>
      <c r="R369" s="506"/>
      <c r="S369" s="506"/>
      <c r="T369" s="506"/>
      <c r="U369" s="505"/>
      <c r="V369" s="505"/>
      <c r="W369" s="505"/>
      <c r="X369" s="504"/>
      <c r="Y369" s="503"/>
      <c r="Z369" s="503"/>
      <c r="AA369" s="503"/>
      <c r="AB369" s="503"/>
      <c r="AC369" s="503"/>
      <c r="AD369" s="503"/>
      <c r="AE369" s="503"/>
      <c r="AF369" s="503"/>
    </row>
    <row r="370" spans="1:32" ht="15.75" customHeight="1">
      <c r="A370" s="503"/>
      <c r="B370" s="921"/>
      <c r="C370" s="510"/>
      <c r="D370" s="510"/>
      <c r="E370" s="510"/>
      <c r="F370" s="746"/>
      <c r="G370" s="510"/>
      <c r="H370" s="510"/>
      <c r="I370" s="510"/>
      <c r="J370" s="510"/>
      <c r="K370" s="510"/>
      <c r="L370" s="510"/>
      <c r="M370" s="509"/>
      <c r="N370" s="516"/>
      <c r="O370" s="506"/>
      <c r="P370" s="506"/>
      <c r="Q370" s="505"/>
      <c r="R370" s="506"/>
      <c r="S370" s="506"/>
      <c r="T370" s="506"/>
      <c r="U370" s="505"/>
      <c r="V370" s="505"/>
      <c r="W370" s="505"/>
      <c r="X370" s="504"/>
      <c r="Y370" s="503"/>
      <c r="Z370" s="503"/>
      <c r="AA370" s="503"/>
      <c r="AB370" s="503"/>
      <c r="AC370" s="503"/>
      <c r="AD370" s="503"/>
      <c r="AE370" s="503"/>
      <c r="AF370" s="503"/>
    </row>
    <row r="371" spans="1:32" ht="15.75" customHeight="1">
      <c r="A371" s="503"/>
      <c r="B371" s="921"/>
      <c r="C371" s="510"/>
      <c r="D371" s="510"/>
      <c r="E371" s="510"/>
      <c r="F371" s="746"/>
      <c r="G371" s="510"/>
      <c r="H371" s="510"/>
      <c r="I371" s="510"/>
      <c r="J371" s="510"/>
      <c r="K371" s="510"/>
      <c r="L371" s="510"/>
      <c r="M371" s="509"/>
      <c r="N371" s="516"/>
      <c r="O371" s="506"/>
      <c r="P371" s="506"/>
      <c r="Q371" s="505"/>
      <c r="R371" s="506"/>
      <c r="S371" s="506"/>
      <c r="T371" s="506"/>
      <c r="U371" s="505"/>
      <c r="V371" s="505"/>
      <c r="W371" s="505"/>
      <c r="X371" s="504"/>
      <c r="Y371" s="503"/>
      <c r="Z371" s="503"/>
      <c r="AA371" s="503"/>
      <c r="AB371" s="503"/>
      <c r="AC371" s="503"/>
      <c r="AD371" s="503"/>
      <c r="AE371" s="503"/>
      <c r="AF371" s="503"/>
    </row>
    <row r="372" spans="1:32" ht="15.75" customHeight="1">
      <c r="A372" s="503"/>
      <c r="B372" s="921"/>
      <c r="C372" s="510"/>
      <c r="D372" s="510"/>
      <c r="E372" s="510"/>
      <c r="F372" s="746"/>
      <c r="G372" s="510"/>
      <c r="H372" s="510"/>
      <c r="I372" s="510"/>
      <c r="J372" s="510"/>
      <c r="K372" s="510"/>
      <c r="L372" s="510"/>
      <c r="M372" s="509"/>
      <c r="N372" s="516"/>
      <c r="O372" s="506"/>
      <c r="P372" s="506"/>
      <c r="Q372" s="505"/>
      <c r="R372" s="506"/>
      <c r="S372" s="506"/>
      <c r="T372" s="506"/>
      <c r="U372" s="505"/>
      <c r="V372" s="505"/>
      <c r="W372" s="505"/>
      <c r="X372" s="504"/>
      <c r="Y372" s="503"/>
      <c r="Z372" s="503"/>
      <c r="AA372" s="503"/>
      <c r="AB372" s="503"/>
      <c r="AC372" s="503"/>
      <c r="AD372" s="503"/>
      <c r="AE372" s="503"/>
      <c r="AF372" s="503"/>
    </row>
    <row r="373" spans="1:32" ht="15.75" customHeight="1">
      <c r="A373" s="503"/>
      <c r="B373" s="921"/>
      <c r="C373" s="510"/>
      <c r="D373" s="510"/>
      <c r="E373" s="510"/>
      <c r="F373" s="746"/>
      <c r="G373" s="510"/>
      <c r="H373" s="510"/>
      <c r="I373" s="510"/>
      <c r="J373" s="510"/>
      <c r="K373" s="510"/>
      <c r="L373" s="510"/>
      <c r="M373" s="509"/>
      <c r="N373" s="516"/>
      <c r="O373" s="506"/>
      <c r="P373" s="506"/>
      <c r="Q373" s="505"/>
      <c r="R373" s="506"/>
      <c r="S373" s="506"/>
      <c r="T373" s="506"/>
      <c r="U373" s="505"/>
      <c r="V373" s="505"/>
      <c r="W373" s="505"/>
      <c r="X373" s="504"/>
      <c r="Y373" s="503"/>
      <c r="Z373" s="503"/>
      <c r="AA373" s="503"/>
      <c r="AB373" s="503"/>
      <c r="AC373" s="503"/>
      <c r="AD373" s="503"/>
      <c r="AE373" s="503"/>
      <c r="AF373" s="503"/>
    </row>
    <row r="374" spans="1:32" ht="15.75" customHeight="1">
      <c r="A374" s="503"/>
      <c r="B374" s="921"/>
      <c r="C374" s="510"/>
      <c r="D374" s="510"/>
      <c r="E374" s="510"/>
      <c r="F374" s="746"/>
      <c r="G374" s="510"/>
      <c r="H374" s="510"/>
      <c r="I374" s="510"/>
      <c r="J374" s="510"/>
      <c r="K374" s="510"/>
      <c r="L374" s="510"/>
      <c r="M374" s="509"/>
      <c r="N374" s="516"/>
      <c r="O374" s="506"/>
      <c r="P374" s="506"/>
      <c r="Q374" s="505"/>
      <c r="R374" s="506"/>
      <c r="S374" s="506"/>
      <c r="T374" s="506"/>
      <c r="U374" s="505"/>
      <c r="V374" s="505"/>
      <c r="W374" s="505"/>
      <c r="X374" s="504"/>
      <c r="Y374" s="503"/>
      <c r="Z374" s="503"/>
      <c r="AA374" s="503"/>
      <c r="AB374" s="503"/>
      <c r="AC374" s="503"/>
      <c r="AD374" s="503"/>
      <c r="AE374" s="503"/>
      <c r="AF374" s="503"/>
    </row>
    <row r="375" spans="1:32" ht="15.75" customHeight="1">
      <c r="A375" s="503"/>
      <c r="B375" s="921"/>
      <c r="C375" s="510"/>
      <c r="D375" s="510"/>
      <c r="E375" s="510"/>
      <c r="F375" s="746"/>
      <c r="G375" s="510"/>
      <c r="H375" s="510"/>
      <c r="I375" s="510"/>
      <c r="J375" s="510"/>
      <c r="K375" s="510"/>
      <c r="L375" s="510"/>
      <c r="M375" s="509"/>
      <c r="N375" s="516"/>
      <c r="O375" s="506"/>
      <c r="P375" s="506"/>
      <c r="Q375" s="505"/>
      <c r="R375" s="506"/>
      <c r="S375" s="506"/>
      <c r="T375" s="506"/>
      <c r="U375" s="505"/>
      <c r="V375" s="505"/>
      <c r="W375" s="505"/>
      <c r="X375" s="504"/>
      <c r="Y375" s="503"/>
      <c r="Z375" s="503"/>
      <c r="AA375" s="503"/>
      <c r="AB375" s="503"/>
      <c r="AC375" s="503"/>
      <c r="AD375" s="503"/>
      <c r="AE375" s="503"/>
      <c r="AF375" s="503"/>
    </row>
    <row r="376" spans="1:32" ht="15.75" customHeight="1">
      <c r="A376" s="503"/>
      <c r="B376" s="921"/>
      <c r="C376" s="510"/>
      <c r="D376" s="510"/>
      <c r="E376" s="510"/>
      <c r="F376" s="746"/>
      <c r="G376" s="510"/>
      <c r="H376" s="510"/>
      <c r="I376" s="510"/>
      <c r="J376" s="510"/>
      <c r="K376" s="510"/>
      <c r="L376" s="510"/>
      <c r="M376" s="509"/>
      <c r="N376" s="516"/>
      <c r="O376" s="506"/>
      <c r="P376" s="506"/>
      <c r="Q376" s="505"/>
      <c r="R376" s="506"/>
      <c r="S376" s="506"/>
      <c r="T376" s="506"/>
      <c r="U376" s="505"/>
      <c r="V376" s="505"/>
      <c r="W376" s="505"/>
      <c r="X376" s="504"/>
      <c r="Y376" s="503"/>
      <c r="Z376" s="503"/>
      <c r="AA376" s="503"/>
      <c r="AB376" s="503"/>
      <c r="AC376" s="503"/>
      <c r="AD376" s="503"/>
      <c r="AE376" s="503"/>
      <c r="AF376" s="503"/>
    </row>
    <row r="377" spans="1:32" ht="15.75" customHeight="1">
      <c r="A377" s="503"/>
      <c r="B377" s="921"/>
      <c r="C377" s="510"/>
      <c r="D377" s="510"/>
      <c r="E377" s="510"/>
      <c r="F377" s="746"/>
      <c r="G377" s="510"/>
      <c r="H377" s="510"/>
      <c r="I377" s="510"/>
      <c r="J377" s="510"/>
      <c r="K377" s="510"/>
      <c r="L377" s="510"/>
      <c r="M377" s="509"/>
      <c r="N377" s="516"/>
      <c r="O377" s="506"/>
      <c r="P377" s="506"/>
      <c r="Q377" s="505"/>
      <c r="R377" s="506"/>
      <c r="S377" s="506"/>
      <c r="T377" s="506"/>
      <c r="U377" s="505"/>
      <c r="V377" s="505"/>
      <c r="W377" s="505"/>
      <c r="X377" s="504"/>
      <c r="Y377" s="503"/>
      <c r="Z377" s="503"/>
      <c r="AA377" s="503"/>
      <c r="AB377" s="503"/>
      <c r="AC377" s="503"/>
      <c r="AD377" s="503"/>
      <c r="AE377" s="503"/>
      <c r="AF377" s="503"/>
    </row>
    <row r="378" spans="1:32" ht="15.75" customHeight="1">
      <c r="A378" s="503"/>
      <c r="B378" s="921"/>
      <c r="C378" s="510"/>
      <c r="D378" s="510"/>
      <c r="E378" s="510"/>
      <c r="F378" s="746"/>
      <c r="G378" s="510"/>
      <c r="H378" s="510"/>
      <c r="I378" s="510"/>
      <c r="J378" s="510"/>
      <c r="K378" s="510"/>
      <c r="L378" s="510"/>
      <c r="M378" s="509"/>
      <c r="N378" s="516"/>
      <c r="O378" s="506"/>
      <c r="P378" s="506"/>
      <c r="Q378" s="505"/>
      <c r="R378" s="506"/>
      <c r="S378" s="506"/>
      <c r="T378" s="506"/>
      <c r="U378" s="505"/>
      <c r="V378" s="505"/>
      <c r="W378" s="505"/>
      <c r="X378" s="504"/>
      <c r="Y378" s="503"/>
      <c r="Z378" s="503"/>
      <c r="AA378" s="503"/>
      <c r="AB378" s="503"/>
      <c r="AC378" s="503"/>
      <c r="AD378" s="503"/>
      <c r="AE378" s="503"/>
      <c r="AF378" s="503"/>
    </row>
    <row r="379" spans="1:32" ht="15.75" customHeight="1">
      <c r="A379" s="503"/>
      <c r="B379" s="921"/>
      <c r="C379" s="510"/>
      <c r="D379" s="510"/>
      <c r="E379" s="510"/>
      <c r="F379" s="746"/>
      <c r="G379" s="510"/>
      <c r="H379" s="510"/>
      <c r="I379" s="510"/>
      <c r="J379" s="510"/>
      <c r="K379" s="510"/>
      <c r="L379" s="510"/>
      <c r="M379" s="509"/>
      <c r="N379" s="516"/>
      <c r="O379" s="506"/>
      <c r="P379" s="506"/>
      <c r="Q379" s="505"/>
      <c r="R379" s="506"/>
      <c r="S379" s="506"/>
      <c r="T379" s="506"/>
      <c r="U379" s="505"/>
      <c r="V379" s="505"/>
      <c r="W379" s="505"/>
      <c r="X379" s="504"/>
      <c r="Y379" s="503"/>
      <c r="Z379" s="503"/>
      <c r="AA379" s="503"/>
      <c r="AB379" s="503"/>
      <c r="AC379" s="503"/>
      <c r="AD379" s="503"/>
      <c r="AE379" s="503"/>
      <c r="AF379" s="503"/>
    </row>
    <row r="380" spans="1:32" ht="15.75" customHeight="1">
      <c r="A380" s="503"/>
      <c r="B380" s="921"/>
      <c r="C380" s="510"/>
      <c r="D380" s="510"/>
      <c r="E380" s="510"/>
      <c r="F380" s="746"/>
      <c r="G380" s="510"/>
      <c r="H380" s="510"/>
      <c r="I380" s="510"/>
      <c r="J380" s="510"/>
      <c r="K380" s="510"/>
      <c r="L380" s="510"/>
      <c r="M380" s="509"/>
      <c r="N380" s="516"/>
      <c r="O380" s="506"/>
      <c r="P380" s="506"/>
      <c r="Q380" s="505"/>
      <c r="R380" s="506"/>
      <c r="S380" s="506"/>
      <c r="T380" s="506"/>
      <c r="U380" s="505"/>
      <c r="V380" s="505"/>
      <c r="W380" s="505"/>
      <c r="X380" s="504"/>
      <c r="Y380" s="503"/>
      <c r="Z380" s="503"/>
      <c r="AA380" s="503"/>
      <c r="AB380" s="503"/>
      <c r="AC380" s="503"/>
      <c r="AD380" s="503"/>
      <c r="AE380" s="503"/>
      <c r="AF380" s="503"/>
    </row>
    <row r="381" spans="1:32" ht="15.75" customHeight="1">
      <c r="A381" s="503"/>
      <c r="B381" s="921"/>
      <c r="C381" s="510"/>
      <c r="D381" s="510"/>
      <c r="E381" s="510"/>
      <c r="F381" s="746"/>
      <c r="G381" s="510"/>
      <c r="H381" s="510"/>
      <c r="I381" s="510"/>
      <c r="J381" s="510"/>
      <c r="K381" s="510"/>
      <c r="L381" s="510"/>
      <c r="M381" s="509"/>
      <c r="N381" s="516"/>
      <c r="O381" s="506"/>
      <c r="P381" s="506"/>
      <c r="Q381" s="505"/>
      <c r="R381" s="506"/>
      <c r="S381" s="506"/>
      <c r="T381" s="506"/>
      <c r="U381" s="505"/>
      <c r="V381" s="505"/>
      <c r="W381" s="505"/>
      <c r="X381" s="504"/>
      <c r="Y381" s="503"/>
      <c r="Z381" s="503"/>
      <c r="AA381" s="503"/>
      <c r="AB381" s="503"/>
      <c r="AC381" s="503"/>
      <c r="AD381" s="503"/>
      <c r="AE381" s="503"/>
      <c r="AF381" s="503"/>
    </row>
    <row r="382" spans="1:32" ht="15.75" customHeight="1">
      <c r="A382" s="503"/>
      <c r="B382" s="921"/>
      <c r="C382" s="510"/>
      <c r="D382" s="510"/>
      <c r="E382" s="510"/>
      <c r="F382" s="746"/>
      <c r="G382" s="510"/>
      <c r="H382" s="510"/>
      <c r="I382" s="510"/>
      <c r="J382" s="510"/>
      <c r="K382" s="510"/>
      <c r="L382" s="510"/>
      <c r="M382" s="509"/>
      <c r="N382" s="516"/>
      <c r="O382" s="506"/>
      <c r="P382" s="506"/>
      <c r="Q382" s="505"/>
      <c r="R382" s="506"/>
      <c r="S382" s="506"/>
      <c r="T382" s="506"/>
      <c r="U382" s="505"/>
      <c r="V382" s="505"/>
      <c r="W382" s="505"/>
      <c r="X382" s="504"/>
      <c r="Y382" s="503"/>
      <c r="Z382" s="503"/>
      <c r="AA382" s="503"/>
      <c r="AB382" s="503"/>
      <c r="AC382" s="503"/>
      <c r="AD382" s="503"/>
      <c r="AE382" s="503"/>
      <c r="AF382" s="503"/>
    </row>
    <row r="383" spans="1:32" ht="15.75" customHeight="1">
      <c r="A383" s="503"/>
      <c r="B383" s="921"/>
      <c r="C383" s="510"/>
      <c r="D383" s="510"/>
      <c r="E383" s="510"/>
      <c r="F383" s="746"/>
      <c r="G383" s="510"/>
      <c r="H383" s="510"/>
      <c r="I383" s="510"/>
      <c r="J383" s="510"/>
      <c r="K383" s="510"/>
      <c r="L383" s="510"/>
      <c r="M383" s="509"/>
      <c r="N383" s="516"/>
      <c r="O383" s="510"/>
      <c r="P383" s="510"/>
      <c r="Q383" s="505"/>
      <c r="R383" s="506"/>
      <c r="S383" s="506"/>
      <c r="T383" s="506"/>
      <c r="U383" s="505"/>
      <c r="V383" s="505"/>
      <c r="W383" s="505"/>
      <c r="X383" s="518"/>
      <c r="Y383" s="503"/>
      <c r="Z383" s="503"/>
      <c r="AA383" s="503"/>
      <c r="AB383" s="503"/>
      <c r="AC383" s="503"/>
      <c r="AD383" s="503"/>
      <c r="AE383" s="503"/>
      <c r="AF383" s="503"/>
    </row>
    <row r="384" spans="1:32" ht="15.75" customHeight="1">
      <c r="A384" s="503"/>
      <c r="B384" s="517"/>
      <c r="C384" s="510"/>
      <c r="D384" s="510"/>
      <c r="E384" s="510"/>
      <c r="F384" s="746"/>
      <c r="G384" s="510"/>
      <c r="H384" s="510"/>
      <c r="I384" s="510"/>
      <c r="J384" s="510"/>
      <c r="K384" s="510"/>
      <c r="L384" s="510"/>
      <c r="M384" s="509"/>
      <c r="N384" s="516"/>
      <c r="O384" s="506"/>
      <c r="P384" s="506"/>
      <c r="Q384" s="505"/>
      <c r="R384" s="506"/>
      <c r="S384" s="506"/>
      <c r="T384" s="506"/>
      <c r="U384" s="505"/>
      <c r="V384" s="505"/>
      <c r="W384" s="505"/>
      <c r="X384" s="504"/>
      <c r="Y384" s="503"/>
      <c r="Z384" s="503"/>
      <c r="AA384" s="503"/>
      <c r="AB384" s="503"/>
      <c r="AC384" s="503"/>
      <c r="AD384" s="503"/>
      <c r="AE384" s="503"/>
      <c r="AF384" s="503"/>
    </row>
    <row r="385" spans="1:32" ht="15.75" customHeight="1">
      <c r="A385" s="503"/>
      <c r="B385" s="517"/>
      <c r="C385" s="510"/>
      <c r="D385" s="510"/>
      <c r="E385" s="510"/>
      <c r="F385" s="746"/>
      <c r="G385" s="510"/>
      <c r="H385" s="510"/>
      <c r="I385" s="510"/>
      <c r="J385" s="510"/>
      <c r="K385" s="510"/>
      <c r="L385" s="510"/>
      <c r="M385" s="509"/>
      <c r="N385" s="516"/>
      <c r="O385" s="506"/>
      <c r="P385" s="506"/>
      <c r="Q385" s="505"/>
      <c r="R385" s="506"/>
      <c r="S385" s="506"/>
      <c r="T385" s="506"/>
      <c r="U385" s="505"/>
      <c r="V385" s="505"/>
      <c r="W385" s="505"/>
      <c r="X385" s="504"/>
      <c r="Y385" s="503"/>
      <c r="Z385" s="503"/>
      <c r="AA385" s="503"/>
      <c r="AB385" s="503"/>
      <c r="AC385" s="503"/>
      <c r="AD385" s="503"/>
      <c r="AE385" s="503"/>
      <c r="AF385" s="503"/>
    </row>
    <row r="386" spans="1:32" ht="15" customHeight="1">
      <c r="A386" s="503"/>
      <c r="B386" s="930"/>
      <c r="C386" s="510"/>
      <c r="D386" s="510"/>
      <c r="E386" s="510"/>
      <c r="F386" s="746"/>
      <c r="G386" s="510"/>
      <c r="H386" s="510"/>
      <c r="I386" s="510"/>
      <c r="J386" s="510"/>
      <c r="K386" s="510"/>
      <c r="L386" s="510"/>
      <c r="M386" s="509"/>
      <c r="N386" s="508"/>
      <c r="O386" s="507"/>
      <c r="P386" s="507"/>
      <c r="Q386" s="505"/>
      <c r="R386" s="506"/>
      <c r="S386" s="506"/>
      <c r="T386" s="506"/>
      <c r="U386" s="505"/>
      <c r="V386" s="505"/>
      <c r="W386" s="505"/>
      <c r="X386" s="504"/>
      <c r="Y386" s="503"/>
      <c r="Z386" s="503"/>
      <c r="AA386" s="503"/>
      <c r="AB386" s="503"/>
      <c r="AC386" s="503"/>
      <c r="AD386" s="503"/>
      <c r="AE386" s="503"/>
      <c r="AF386" s="503"/>
    </row>
    <row r="387" spans="1:32" ht="15.75" customHeight="1">
      <c r="A387" s="503"/>
      <c r="B387" s="921"/>
      <c r="C387" s="510"/>
      <c r="D387" s="510"/>
      <c r="E387" s="510"/>
      <c r="F387" s="746"/>
      <c r="G387" s="510"/>
      <c r="H387" s="510"/>
      <c r="I387" s="510"/>
      <c r="J387" s="510"/>
      <c r="K387" s="510"/>
      <c r="L387" s="510"/>
      <c r="M387" s="509"/>
      <c r="N387" s="508"/>
      <c r="O387" s="507"/>
      <c r="P387" s="507"/>
      <c r="Q387" s="505"/>
      <c r="R387" s="506"/>
      <c r="S387" s="506"/>
      <c r="T387" s="506"/>
      <c r="U387" s="505"/>
      <c r="V387" s="505"/>
      <c r="W387" s="505"/>
      <c r="X387" s="504"/>
      <c r="Y387" s="503"/>
      <c r="Z387" s="503"/>
      <c r="AA387" s="503"/>
      <c r="AB387" s="503"/>
      <c r="AC387" s="503"/>
      <c r="AD387" s="503"/>
      <c r="AE387" s="503"/>
      <c r="AF387" s="503"/>
    </row>
    <row r="388" spans="1:32" ht="15.75" customHeight="1">
      <c r="A388" s="503"/>
      <c r="B388" s="921"/>
      <c r="C388" s="510"/>
      <c r="D388" s="510"/>
      <c r="E388" s="510"/>
      <c r="F388" s="746"/>
      <c r="G388" s="510"/>
      <c r="H388" s="510"/>
      <c r="I388" s="510"/>
      <c r="J388" s="510"/>
      <c r="K388" s="510"/>
      <c r="L388" s="510"/>
      <c r="M388" s="509"/>
      <c r="N388" s="508"/>
      <c r="O388" s="507"/>
      <c r="P388" s="507"/>
      <c r="Q388" s="505"/>
      <c r="R388" s="506"/>
      <c r="S388" s="506"/>
      <c r="T388" s="506"/>
      <c r="U388" s="505"/>
      <c r="V388" s="505"/>
      <c r="W388" s="505"/>
      <c r="X388" s="504"/>
      <c r="Y388" s="503"/>
      <c r="Z388" s="503"/>
      <c r="AA388" s="503"/>
      <c r="AB388" s="503"/>
      <c r="AC388" s="503"/>
      <c r="AD388" s="503"/>
      <c r="AE388" s="503"/>
      <c r="AF388" s="503"/>
    </row>
    <row r="389" spans="1:32" ht="15.75" customHeight="1">
      <c r="A389" s="503"/>
      <c r="B389" s="921"/>
      <c r="C389" s="510"/>
      <c r="D389" s="510"/>
      <c r="E389" s="510"/>
      <c r="F389" s="746"/>
      <c r="G389" s="510"/>
      <c r="H389" s="510"/>
      <c r="I389" s="510"/>
      <c r="J389" s="510"/>
      <c r="K389" s="510"/>
      <c r="L389" s="510"/>
      <c r="M389" s="509"/>
      <c r="N389" s="508"/>
      <c r="O389" s="507"/>
      <c r="P389" s="507"/>
      <c r="Q389" s="505"/>
      <c r="R389" s="506"/>
      <c r="S389" s="506"/>
      <c r="T389" s="506"/>
      <c r="U389" s="505"/>
      <c r="V389" s="505"/>
      <c r="W389" s="505"/>
      <c r="X389" s="504"/>
      <c r="Y389" s="503"/>
      <c r="Z389" s="503"/>
      <c r="AA389" s="503"/>
      <c r="AB389" s="503"/>
      <c r="AC389" s="503"/>
      <c r="AD389" s="503"/>
      <c r="AE389" s="503"/>
      <c r="AF389" s="503"/>
    </row>
    <row r="390" spans="1:32" ht="15.75" customHeight="1">
      <c r="A390" s="503"/>
      <c r="B390" s="921"/>
      <c r="C390" s="510"/>
      <c r="D390" s="510"/>
      <c r="E390" s="510"/>
      <c r="F390" s="746"/>
      <c r="G390" s="510"/>
      <c r="H390" s="510"/>
      <c r="I390" s="510"/>
      <c r="J390" s="510"/>
      <c r="K390" s="510"/>
      <c r="L390" s="510"/>
      <c r="M390" s="509"/>
      <c r="N390" s="508"/>
      <c r="O390" s="507"/>
      <c r="P390" s="507"/>
      <c r="Q390" s="505"/>
      <c r="R390" s="506"/>
      <c r="S390" s="506"/>
      <c r="T390" s="506"/>
      <c r="U390" s="505"/>
      <c r="V390" s="505"/>
      <c r="W390" s="505"/>
      <c r="X390" s="504"/>
      <c r="Y390" s="503"/>
      <c r="Z390" s="503"/>
      <c r="AA390" s="503"/>
      <c r="AB390" s="503"/>
      <c r="AC390" s="503"/>
      <c r="AD390" s="503"/>
      <c r="AE390" s="503"/>
      <c r="AF390" s="503"/>
    </row>
    <row r="391" spans="1:32" ht="15.75" customHeight="1">
      <c r="A391" s="503"/>
      <c r="B391" s="921"/>
      <c r="C391" s="510"/>
      <c r="D391" s="510"/>
      <c r="E391" s="510"/>
      <c r="F391" s="746"/>
      <c r="G391" s="510"/>
      <c r="H391" s="510"/>
      <c r="I391" s="510"/>
      <c r="J391" s="510"/>
      <c r="K391" s="510"/>
      <c r="L391" s="510"/>
      <c r="M391" s="509"/>
      <c r="N391" s="508"/>
      <c r="O391" s="507"/>
      <c r="P391" s="507"/>
      <c r="Q391" s="505"/>
      <c r="R391" s="506"/>
      <c r="S391" s="506"/>
      <c r="T391" s="506"/>
      <c r="U391" s="505"/>
      <c r="V391" s="505"/>
      <c r="W391" s="505"/>
      <c r="X391" s="504"/>
      <c r="Y391" s="503"/>
      <c r="Z391" s="503"/>
      <c r="AA391" s="503"/>
      <c r="AB391" s="503"/>
      <c r="AC391" s="503"/>
      <c r="AD391" s="503"/>
      <c r="AE391" s="503"/>
      <c r="AF391" s="503"/>
    </row>
    <row r="392" spans="1:32" ht="15.75" customHeight="1">
      <c r="A392" s="503"/>
      <c r="B392" s="921"/>
      <c r="C392" s="510"/>
      <c r="D392" s="510"/>
      <c r="E392" s="510"/>
      <c r="F392" s="746"/>
      <c r="G392" s="510"/>
      <c r="H392" s="510"/>
      <c r="I392" s="510"/>
      <c r="J392" s="510"/>
      <c r="K392" s="510"/>
      <c r="L392" s="510"/>
      <c r="M392" s="509"/>
      <c r="N392" s="508"/>
      <c r="O392" s="507"/>
      <c r="P392" s="507"/>
      <c r="Q392" s="505"/>
      <c r="R392" s="506"/>
      <c r="S392" s="506"/>
      <c r="T392" s="506"/>
      <c r="U392" s="505"/>
      <c r="V392" s="505"/>
      <c r="W392" s="505"/>
      <c r="X392" s="504"/>
      <c r="Y392" s="503"/>
      <c r="Z392" s="503"/>
      <c r="AA392" s="503"/>
      <c r="AB392" s="503"/>
      <c r="AC392" s="503"/>
      <c r="AD392" s="503"/>
      <c r="AE392" s="503"/>
      <c r="AF392" s="503"/>
    </row>
    <row r="393" spans="1:32" ht="15.75" customHeight="1">
      <c r="A393" s="503"/>
      <c r="B393" s="921"/>
      <c r="C393" s="510"/>
      <c r="D393" s="510"/>
      <c r="E393" s="510"/>
      <c r="F393" s="746"/>
      <c r="G393" s="510"/>
      <c r="H393" s="510"/>
      <c r="I393" s="510"/>
      <c r="J393" s="510"/>
      <c r="K393" s="510"/>
      <c r="L393" s="510"/>
      <c r="M393" s="509"/>
      <c r="N393" s="508"/>
      <c r="O393" s="507"/>
      <c r="P393" s="507"/>
      <c r="Q393" s="505"/>
      <c r="R393" s="506"/>
      <c r="S393" s="506"/>
      <c r="T393" s="506"/>
      <c r="U393" s="505"/>
      <c r="V393" s="505"/>
      <c r="W393" s="505"/>
      <c r="X393" s="504"/>
      <c r="Y393" s="503"/>
      <c r="Z393" s="503"/>
      <c r="AA393" s="503"/>
      <c r="AB393" s="503"/>
      <c r="AC393" s="503"/>
      <c r="AD393" s="503"/>
      <c r="AE393" s="503"/>
      <c r="AF393" s="503"/>
    </row>
    <row r="394" spans="1:32" ht="15.75" customHeight="1">
      <c r="A394" s="503"/>
      <c r="B394" s="921"/>
      <c r="C394" s="510"/>
      <c r="D394" s="510"/>
      <c r="E394" s="510"/>
      <c r="F394" s="746"/>
      <c r="G394" s="510"/>
      <c r="H394" s="510"/>
      <c r="I394" s="510"/>
      <c r="J394" s="510"/>
      <c r="K394" s="510"/>
      <c r="L394" s="510"/>
      <c r="M394" s="509"/>
      <c r="N394" s="508"/>
      <c r="O394" s="507"/>
      <c r="P394" s="507"/>
      <c r="Q394" s="505"/>
      <c r="R394" s="506"/>
      <c r="S394" s="506"/>
      <c r="T394" s="506"/>
      <c r="U394" s="505"/>
      <c r="V394" s="505"/>
      <c r="W394" s="505"/>
      <c r="X394" s="504"/>
      <c r="Y394" s="503"/>
      <c r="Z394" s="503"/>
      <c r="AA394" s="503"/>
      <c r="AB394" s="503"/>
      <c r="AC394" s="503"/>
      <c r="AD394" s="503"/>
      <c r="AE394" s="503"/>
      <c r="AF394" s="503"/>
    </row>
    <row r="395" spans="1:32" ht="15.75" customHeight="1">
      <c r="A395" s="503"/>
      <c r="B395" s="921"/>
      <c r="C395" s="510"/>
      <c r="D395" s="510"/>
      <c r="E395" s="510"/>
      <c r="F395" s="746"/>
      <c r="G395" s="510"/>
      <c r="H395" s="510"/>
      <c r="I395" s="510"/>
      <c r="J395" s="510"/>
      <c r="K395" s="510"/>
      <c r="L395" s="510"/>
      <c r="M395" s="509"/>
      <c r="N395" s="508"/>
      <c r="O395" s="507"/>
      <c r="P395" s="507"/>
      <c r="Q395" s="505"/>
      <c r="R395" s="506"/>
      <c r="S395" s="506"/>
      <c r="T395" s="506"/>
      <c r="U395" s="505"/>
      <c r="V395" s="505"/>
      <c r="W395" s="505"/>
      <c r="X395" s="504"/>
      <c r="Y395" s="503"/>
      <c r="Z395" s="503"/>
      <c r="AA395" s="503"/>
      <c r="AB395" s="503"/>
      <c r="AC395" s="503"/>
      <c r="AD395" s="503"/>
      <c r="AE395" s="503"/>
      <c r="AF395" s="503"/>
    </row>
    <row r="396" spans="1:32" ht="15.75" customHeight="1">
      <c r="A396" s="503"/>
      <c r="B396" s="921"/>
      <c r="C396" s="510"/>
      <c r="D396" s="510"/>
      <c r="E396" s="510"/>
      <c r="F396" s="746"/>
      <c r="G396" s="510"/>
      <c r="H396" s="510"/>
      <c r="I396" s="510"/>
      <c r="J396" s="510"/>
      <c r="K396" s="510"/>
      <c r="L396" s="510"/>
      <c r="M396" s="509"/>
      <c r="N396" s="508"/>
      <c r="O396" s="507"/>
      <c r="P396" s="507"/>
      <c r="Q396" s="505"/>
      <c r="R396" s="506"/>
      <c r="S396" s="506"/>
      <c r="T396" s="506"/>
      <c r="U396" s="505"/>
      <c r="V396" s="505"/>
      <c r="W396" s="505"/>
      <c r="X396" s="504"/>
      <c r="Y396" s="503"/>
      <c r="Z396" s="503"/>
      <c r="AA396" s="503"/>
      <c r="AB396" s="503"/>
      <c r="AC396" s="503"/>
      <c r="AD396" s="503"/>
      <c r="AE396" s="503"/>
      <c r="AF396" s="503"/>
    </row>
    <row r="397" spans="1:32" ht="15.75" customHeight="1">
      <c r="A397" s="503"/>
      <c r="B397" s="921"/>
      <c r="C397" s="510"/>
      <c r="D397" s="510"/>
      <c r="E397" s="510"/>
      <c r="F397" s="746"/>
      <c r="G397" s="510"/>
      <c r="H397" s="510"/>
      <c r="I397" s="510"/>
      <c r="J397" s="510"/>
      <c r="K397" s="510"/>
      <c r="L397" s="510"/>
      <c r="M397" s="509"/>
      <c r="N397" s="508"/>
      <c r="O397" s="507"/>
      <c r="P397" s="507"/>
      <c r="Q397" s="505"/>
      <c r="R397" s="506"/>
      <c r="S397" s="506"/>
      <c r="T397" s="506"/>
      <c r="U397" s="505"/>
      <c r="V397" s="505"/>
      <c r="W397" s="505"/>
      <c r="X397" s="504"/>
      <c r="Y397" s="503"/>
      <c r="Z397" s="503"/>
      <c r="AA397" s="503"/>
      <c r="AB397" s="503"/>
      <c r="AC397" s="503"/>
      <c r="AD397" s="503"/>
      <c r="AE397" s="503"/>
      <c r="AF397" s="503"/>
    </row>
    <row r="398" spans="1:32" ht="15.75" customHeight="1">
      <c r="A398" s="503"/>
      <c r="B398" s="921"/>
      <c r="C398" s="510"/>
      <c r="D398" s="510"/>
      <c r="E398" s="510"/>
      <c r="F398" s="746"/>
      <c r="G398" s="510"/>
      <c r="H398" s="510"/>
      <c r="I398" s="510"/>
      <c r="J398" s="510"/>
      <c r="K398" s="510"/>
      <c r="L398" s="510"/>
      <c r="M398" s="509"/>
      <c r="N398" s="508"/>
      <c r="O398" s="507"/>
      <c r="P398" s="507"/>
      <c r="Q398" s="505"/>
      <c r="R398" s="506"/>
      <c r="S398" s="506"/>
      <c r="T398" s="506"/>
      <c r="U398" s="505"/>
      <c r="V398" s="505"/>
      <c r="W398" s="505"/>
      <c r="X398" s="504"/>
      <c r="Y398" s="503"/>
      <c r="Z398" s="503"/>
      <c r="AA398" s="503"/>
      <c r="AB398" s="503"/>
      <c r="AC398" s="503"/>
      <c r="AD398" s="503"/>
      <c r="AE398" s="503"/>
      <c r="AF398" s="503"/>
    </row>
    <row r="399" spans="1:32" ht="15.75" customHeight="1">
      <c r="A399" s="503"/>
      <c r="B399" s="921"/>
      <c r="C399" s="510"/>
      <c r="D399" s="510"/>
      <c r="E399" s="510"/>
      <c r="F399" s="746"/>
      <c r="G399" s="510"/>
      <c r="H399" s="510"/>
      <c r="I399" s="510"/>
      <c r="J399" s="510"/>
      <c r="K399" s="510"/>
      <c r="L399" s="510"/>
      <c r="M399" s="509"/>
      <c r="N399" s="508"/>
      <c r="O399" s="507"/>
      <c r="P399" s="507"/>
      <c r="Q399" s="505"/>
      <c r="R399" s="506"/>
      <c r="S399" s="506"/>
      <c r="T399" s="506"/>
      <c r="U399" s="505"/>
      <c r="V399" s="505"/>
      <c r="W399" s="505"/>
      <c r="X399" s="504"/>
      <c r="Y399" s="503"/>
      <c r="Z399" s="503"/>
      <c r="AA399" s="503"/>
      <c r="AB399" s="503"/>
      <c r="AC399" s="503"/>
      <c r="AD399" s="503"/>
      <c r="AE399" s="503"/>
      <c r="AF399" s="503"/>
    </row>
    <row r="400" spans="1:32" ht="15.75" customHeight="1">
      <c r="A400" s="503"/>
      <c r="B400" s="921"/>
      <c r="C400" s="510"/>
      <c r="D400" s="510"/>
      <c r="E400" s="510"/>
      <c r="F400" s="746"/>
      <c r="G400" s="510"/>
      <c r="H400" s="510"/>
      <c r="I400" s="510"/>
      <c r="J400" s="510"/>
      <c r="K400" s="510"/>
      <c r="L400" s="510"/>
      <c r="M400" s="509"/>
      <c r="N400" s="508"/>
      <c r="O400" s="507"/>
      <c r="P400" s="507"/>
      <c r="Q400" s="505"/>
      <c r="R400" s="506"/>
      <c r="S400" s="506"/>
      <c r="T400" s="506"/>
      <c r="U400" s="505"/>
      <c r="V400" s="505"/>
      <c r="W400" s="505"/>
      <c r="X400" s="504"/>
      <c r="Y400" s="503"/>
      <c r="Z400" s="503"/>
      <c r="AA400" s="503"/>
      <c r="AB400" s="503"/>
      <c r="AC400" s="503"/>
      <c r="AD400" s="503"/>
      <c r="AE400" s="503"/>
      <c r="AF400" s="503"/>
    </row>
    <row r="401" spans="1:32" ht="15.75" customHeight="1">
      <c r="A401" s="503"/>
      <c r="B401" s="921"/>
      <c r="C401" s="510"/>
      <c r="D401" s="510"/>
      <c r="E401" s="510"/>
      <c r="F401" s="746"/>
      <c r="G401" s="510"/>
      <c r="H401" s="510"/>
      <c r="I401" s="510"/>
      <c r="J401" s="510"/>
      <c r="K401" s="510"/>
      <c r="L401" s="510"/>
      <c r="M401" s="509"/>
      <c r="N401" s="508"/>
      <c r="O401" s="507"/>
      <c r="P401" s="507"/>
      <c r="Q401" s="505"/>
      <c r="R401" s="506"/>
      <c r="S401" s="506"/>
      <c r="T401" s="506"/>
      <c r="U401" s="505"/>
      <c r="V401" s="505"/>
      <c r="W401" s="505"/>
      <c r="X401" s="504"/>
      <c r="Y401" s="503"/>
      <c r="Z401" s="503"/>
      <c r="AA401" s="503"/>
      <c r="AB401" s="503"/>
      <c r="AC401" s="503"/>
      <c r="AD401" s="503"/>
      <c r="AE401" s="503"/>
      <c r="AF401" s="503"/>
    </row>
    <row r="402" spans="1:32" ht="15.75" customHeight="1">
      <c r="A402" s="503"/>
      <c r="B402" s="921"/>
      <c r="C402" s="510"/>
      <c r="D402" s="510"/>
      <c r="E402" s="510"/>
      <c r="F402" s="746"/>
      <c r="G402" s="510"/>
      <c r="H402" s="510"/>
      <c r="I402" s="510"/>
      <c r="J402" s="510"/>
      <c r="K402" s="510"/>
      <c r="L402" s="510"/>
      <c r="M402" s="509"/>
      <c r="N402" s="508"/>
      <c r="O402" s="507"/>
      <c r="P402" s="507"/>
      <c r="Q402" s="505"/>
      <c r="R402" s="506"/>
      <c r="S402" s="506"/>
      <c r="T402" s="506"/>
      <c r="U402" s="505"/>
      <c r="V402" s="505"/>
      <c r="W402" s="505"/>
      <c r="X402" s="504"/>
      <c r="Y402" s="503"/>
      <c r="Z402" s="503"/>
      <c r="AA402" s="503"/>
      <c r="AB402" s="503"/>
      <c r="AC402" s="503"/>
      <c r="AD402" s="503"/>
      <c r="AE402" s="503"/>
      <c r="AF402" s="503"/>
    </row>
    <row r="403" spans="1:32" ht="15.75" customHeight="1">
      <c r="A403" s="503"/>
      <c r="B403" s="921"/>
      <c r="C403" s="510"/>
      <c r="D403" s="510"/>
      <c r="E403" s="510"/>
      <c r="F403" s="746"/>
      <c r="G403" s="510"/>
      <c r="H403" s="510"/>
      <c r="I403" s="510"/>
      <c r="J403" s="510"/>
      <c r="K403" s="510"/>
      <c r="L403" s="510"/>
      <c r="M403" s="509"/>
      <c r="N403" s="508"/>
      <c r="O403" s="507"/>
      <c r="P403" s="507"/>
      <c r="Q403" s="505"/>
      <c r="R403" s="506"/>
      <c r="S403" s="506"/>
      <c r="T403" s="506"/>
      <c r="U403" s="505"/>
      <c r="V403" s="505"/>
      <c r="W403" s="505"/>
      <c r="X403" s="504"/>
      <c r="Y403" s="503"/>
      <c r="Z403" s="503"/>
      <c r="AA403" s="503"/>
      <c r="AB403" s="503"/>
      <c r="AC403" s="503"/>
      <c r="AD403" s="503"/>
      <c r="AE403" s="503"/>
      <c r="AF403" s="503"/>
    </row>
    <row r="404" spans="1:32" ht="15.75" customHeight="1">
      <c r="A404" s="503"/>
      <c r="B404" s="921"/>
      <c r="C404" s="510"/>
      <c r="D404" s="510"/>
      <c r="E404" s="510"/>
      <c r="F404" s="746"/>
      <c r="G404" s="510"/>
      <c r="H404" s="510"/>
      <c r="I404" s="510"/>
      <c r="J404" s="510"/>
      <c r="K404" s="510"/>
      <c r="L404" s="510"/>
      <c r="M404" s="509"/>
      <c r="N404" s="508"/>
      <c r="O404" s="507"/>
      <c r="P404" s="507"/>
      <c r="Q404" s="505"/>
      <c r="R404" s="506"/>
      <c r="S404" s="506"/>
      <c r="T404" s="506"/>
      <c r="U404" s="505"/>
      <c r="V404" s="505"/>
      <c r="W404" s="505"/>
      <c r="X404" s="504"/>
      <c r="Y404" s="503"/>
      <c r="Z404" s="503"/>
      <c r="AA404" s="503"/>
      <c r="AB404" s="503"/>
      <c r="AC404" s="503"/>
      <c r="AD404" s="503"/>
      <c r="AE404" s="503"/>
      <c r="AF404" s="503"/>
    </row>
    <row r="405" spans="1:32" ht="15.75" customHeight="1">
      <c r="A405" s="503"/>
      <c r="B405" s="921"/>
      <c r="C405" s="510"/>
      <c r="D405" s="510"/>
      <c r="E405" s="510"/>
      <c r="F405" s="746"/>
      <c r="G405" s="510"/>
      <c r="H405" s="510"/>
      <c r="I405" s="510"/>
      <c r="J405" s="510"/>
      <c r="K405" s="510"/>
      <c r="L405" s="510"/>
      <c r="M405" s="509"/>
      <c r="N405" s="508"/>
      <c r="O405" s="507"/>
      <c r="P405" s="507"/>
      <c r="Q405" s="505"/>
      <c r="R405" s="506"/>
      <c r="S405" s="506"/>
      <c r="T405" s="506"/>
      <c r="U405" s="505"/>
      <c r="V405" s="505"/>
      <c r="W405" s="505"/>
      <c r="X405" s="504"/>
      <c r="Y405" s="503"/>
      <c r="Z405" s="503"/>
      <c r="AA405" s="503"/>
      <c r="AB405" s="503"/>
      <c r="AC405" s="503"/>
      <c r="AD405" s="503"/>
      <c r="AE405" s="503"/>
      <c r="AF405" s="503"/>
    </row>
    <row r="406" spans="1:32" ht="15.75" customHeight="1">
      <c r="A406" s="503"/>
      <c r="B406" s="921"/>
      <c r="C406" s="510"/>
      <c r="D406" s="510"/>
      <c r="E406" s="510"/>
      <c r="F406" s="746"/>
      <c r="G406" s="510"/>
      <c r="H406" s="510"/>
      <c r="I406" s="510"/>
      <c r="J406" s="510"/>
      <c r="K406" s="510"/>
      <c r="L406" s="510"/>
      <c r="M406" s="509"/>
      <c r="N406" s="508"/>
      <c r="O406" s="507"/>
      <c r="P406" s="507"/>
      <c r="Q406" s="505"/>
      <c r="R406" s="506"/>
      <c r="S406" s="506"/>
      <c r="T406" s="506"/>
      <c r="U406" s="505"/>
      <c r="V406" s="505"/>
      <c r="W406" s="505"/>
      <c r="X406" s="504"/>
      <c r="Y406" s="503"/>
      <c r="Z406" s="503"/>
      <c r="AA406" s="503"/>
      <c r="AB406" s="503"/>
      <c r="AC406" s="503"/>
      <c r="AD406" s="503"/>
      <c r="AE406" s="503"/>
      <c r="AF406" s="503"/>
    </row>
    <row r="407" spans="1:32" ht="15.75" customHeight="1">
      <c r="A407" s="503"/>
      <c r="B407" s="921"/>
      <c r="C407" s="510"/>
      <c r="D407" s="510"/>
      <c r="E407" s="510"/>
      <c r="F407" s="746"/>
      <c r="G407" s="510"/>
      <c r="H407" s="510"/>
      <c r="I407" s="510"/>
      <c r="J407" s="510"/>
      <c r="K407" s="510"/>
      <c r="L407" s="510"/>
      <c r="M407" s="509"/>
      <c r="N407" s="508"/>
      <c r="O407" s="507"/>
      <c r="P407" s="507"/>
      <c r="Q407" s="505"/>
      <c r="R407" s="506"/>
      <c r="S407" s="506"/>
      <c r="T407" s="506"/>
      <c r="U407" s="505"/>
      <c r="V407" s="505"/>
      <c r="W407" s="505"/>
      <c r="X407" s="504"/>
      <c r="Y407" s="503"/>
      <c r="Z407" s="503"/>
      <c r="AA407" s="503"/>
      <c r="AB407" s="503"/>
      <c r="AC407" s="503"/>
      <c r="AD407" s="503"/>
      <c r="AE407" s="503"/>
      <c r="AF407" s="503"/>
    </row>
    <row r="408" spans="1:32" ht="15.75" customHeight="1">
      <c r="A408" s="503"/>
      <c r="B408" s="921"/>
      <c r="C408" s="510"/>
      <c r="D408" s="510"/>
      <c r="E408" s="510"/>
      <c r="F408" s="746"/>
      <c r="G408" s="510"/>
      <c r="H408" s="510"/>
      <c r="I408" s="510"/>
      <c r="J408" s="510"/>
      <c r="K408" s="510"/>
      <c r="L408" s="510"/>
      <c r="M408" s="509"/>
      <c r="N408" s="508"/>
      <c r="O408" s="507"/>
      <c r="P408" s="507"/>
      <c r="Q408" s="505"/>
      <c r="R408" s="506"/>
      <c r="S408" s="506"/>
      <c r="T408" s="506"/>
      <c r="U408" s="505"/>
      <c r="V408" s="505"/>
      <c r="W408" s="505"/>
      <c r="X408" s="504"/>
      <c r="Y408" s="503"/>
      <c r="Z408" s="503"/>
      <c r="AA408" s="503"/>
      <c r="AB408" s="503"/>
      <c r="AC408" s="503"/>
      <c r="AD408" s="503"/>
      <c r="AE408" s="503"/>
      <c r="AF408" s="503"/>
    </row>
    <row r="409" spans="1:32" ht="15.75" customHeight="1">
      <c r="A409" s="503"/>
      <c r="B409" s="921"/>
      <c r="C409" s="510"/>
      <c r="D409" s="510"/>
      <c r="E409" s="510"/>
      <c r="F409" s="746"/>
      <c r="G409" s="510"/>
      <c r="H409" s="510"/>
      <c r="I409" s="510"/>
      <c r="J409" s="510"/>
      <c r="K409" s="510"/>
      <c r="L409" s="510"/>
      <c r="M409" s="509"/>
      <c r="N409" s="508"/>
      <c r="O409" s="507"/>
      <c r="P409" s="507"/>
      <c r="Q409" s="505"/>
      <c r="R409" s="506"/>
      <c r="S409" s="506"/>
      <c r="T409" s="506"/>
      <c r="U409" s="505"/>
      <c r="V409" s="505"/>
      <c r="W409" s="505"/>
      <c r="X409" s="504"/>
      <c r="Y409" s="503"/>
      <c r="Z409" s="503"/>
      <c r="AA409" s="503"/>
      <c r="AB409" s="503"/>
      <c r="AC409" s="503"/>
      <c r="AD409" s="503"/>
      <c r="AE409" s="503"/>
      <c r="AF409" s="503"/>
    </row>
    <row r="410" spans="1:32" ht="15.75" customHeight="1">
      <c r="A410" s="503"/>
      <c r="B410" s="921"/>
      <c r="C410" s="510"/>
      <c r="D410" s="510"/>
      <c r="E410" s="510"/>
      <c r="F410" s="746"/>
      <c r="G410" s="510"/>
      <c r="H410" s="510"/>
      <c r="I410" s="510"/>
      <c r="J410" s="510"/>
      <c r="K410" s="510"/>
      <c r="L410" s="510"/>
      <c r="M410" s="509"/>
      <c r="N410" s="508"/>
      <c r="O410" s="507"/>
      <c r="P410" s="507"/>
      <c r="Q410" s="505"/>
      <c r="R410" s="506"/>
      <c r="S410" s="506"/>
      <c r="T410" s="506"/>
      <c r="U410" s="505"/>
      <c r="V410" s="505"/>
      <c r="W410" s="505"/>
      <c r="X410" s="504"/>
      <c r="Y410" s="503"/>
      <c r="Z410" s="503"/>
      <c r="AA410" s="503"/>
      <c r="AB410" s="503"/>
      <c r="AC410" s="503"/>
      <c r="AD410" s="503"/>
      <c r="AE410" s="503"/>
      <c r="AF410" s="503"/>
    </row>
    <row r="411" spans="1:32" ht="15.75" customHeight="1">
      <c r="A411" s="503"/>
      <c r="B411" s="921"/>
      <c r="C411" s="510"/>
      <c r="D411" s="510"/>
      <c r="E411" s="510"/>
      <c r="F411" s="746"/>
      <c r="G411" s="510"/>
      <c r="H411" s="510"/>
      <c r="I411" s="510"/>
      <c r="J411" s="510"/>
      <c r="K411" s="510"/>
      <c r="L411" s="510"/>
      <c r="M411" s="509"/>
      <c r="N411" s="508"/>
      <c r="O411" s="507"/>
      <c r="P411" s="507"/>
      <c r="Q411" s="505"/>
      <c r="R411" s="506"/>
      <c r="S411" s="506"/>
      <c r="T411" s="506"/>
      <c r="U411" s="505"/>
      <c r="V411" s="505"/>
      <c r="W411" s="505"/>
      <c r="X411" s="504"/>
      <c r="Y411" s="503"/>
      <c r="Z411" s="503"/>
      <c r="AA411" s="503"/>
      <c r="AB411" s="503"/>
      <c r="AC411" s="503"/>
      <c r="AD411" s="503"/>
      <c r="AE411" s="503"/>
      <c r="AF411" s="503"/>
    </row>
    <row r="412" spans="1:32" ht="15.75" customHeight="1">
      <c r="A412" s="503"/>
      <c r="B412" s="921"/>
      <c r="C412" s="510"/>
      <c r="D412" s="510"/>
      <c r="E412" s="510"/>
      <c r="F412" s="746"/>
      <c r="G412" s="510"/>
      <c r="H412" s="510"/>
      <c r="I412" s="510"/>
      <c r="J412" s="510"/>
      <c r="K412" s="510"/>
      <c r="L412" s="510"/>
      <c r="M412" s="509"/>
      <c r="N412" s="508"/>
      <c r="O412" s="507"/>
      <c r="P412" s="507"/>
      <c r="Q412" s="505"/>
      <c r="R412" s="506"/>
      <c r="S412" s="506"/>
      <c r="T412" s="506"/>
      <c r="U412" s="505"/>
      <c r="V412" s="505"/>
      <c r="W412" s="505"/>
      <c r="X412" s="504"/>
      <c r="Y412" s="503"/>
      <c r="Z412" s="503"/>
      <c r="AA412" s="503"/>
      <c r="AB412" s="503"/>
      <c r="AC412" s="503"/>
      <c r="AD412" s="503"/>
      <c r="AE412" s="503"/>
      <c r="AF412" s="503"/>
    </row>
    <row r="413" spans="1:32" ht="15.75" customHeight="1">
      <c r="A413" s="503"/>
      <c r="B413" s="921"/>
      <c r="C413" s="510"/>
      <c r="D413" s="510"/>
      <c r="E413" s="510"/>
      <c r="F413" s="746"/>
      <c r="G413" s="510"/>
      <c r="H413" s="510"/>
      <c r="I413" s="510"/>
      <c r="J413" s="510"/>
      <c r="K413" s="510"/>
      <c r="L413" s="510"/>
      <c r="M413" s="509"/>
      <c r="N413" s="508"/>
      <c r="O413" s="507"/>
      <c r="P413" s="507"/>
      <c r="Q413" s="505"/>
      <c r="R413" s="506"/>
      <c r="S413" s="506"/>
      <c r="T413" s="506"/>
      <c r="U413" s="505"/>
      <c r="V413" s="505"/>
      <c r="W413" s="505"/>
      <c r="X413" s="504"/>
      <c r="Y413" s="503"/>
      <c r="Z413" s="503"/>
      <c r="AA413" s="503"/>
      <c r="AB413" s="503"/>
      <c r="AC413" s="503"/>
      <c r="AD413" s="503"/>
      <c r="AE413" s="503"/>
      <c r="AF413" s="503"/>
    </row>
    <row r="414" spans="1:32" ht="15.75" customHeight="1">
      <c r="A414" s="503"/>
      <c r="B414" s="921"/>
      <c r="C414" s="510"/>
      <c r="D414" s="510"/>
      <c r="E414" s="510"/>
      <c r="F414" s="746"/>
      <c r="G414" s="510"/>
      <c r="H414" s="510"/>
      <c r="I414" s="510"/>
      <c r="J414" s="510"/>
      <c r="K414" s="510"/>
      <c r="L414" s="510"/>
      <c r="M414" s="509"/>
      <c r="N414" s="508"/>
      <c r="O414" s="507"/>
      <c r="P414" s="507"/>
      <c r="Q414" s="505"/>
      <c r="R414" s="506"/>
      <c r="S414" s="506"/>
      <c r="T414" s="506"/>
      <c r="U414" s="505"/>
      <c r="V414" s="505"/>
      <c r="W414" s="505"/>
      <c r="X414" s="504"/>
      <c r="Y414" s="503"/>
      <c r="Z414" s="503"/>
      <c r="AA414" s="503"/>
      <c r="AB414" s="503"/>
      <c r="AC414" s="503"/>
      <c r="AD414" s="503"/>
      <c r="AE414" s="503"/>
      <c r="AF414" s="503"/>
    </row>
    <row r="415" spans="1:32" ht="15.75" customHeight="1">
      <c r="A415" s="503"/>
      <c r="B415" s="921"/>
      <c r="C415" s="510"/>
      <c r="D415" s="510"/>
      <c r="E415" s="510"/>
      <c r="F415" s="746"/>
      <c r="G415" s="510"/>
      <c r="H415" s="510"/>
      <c r="I415" s="510"/>
      <c r="J415" s="510"/>
      <c r="K415" s="510"/>
      <c r="L415" s="510"/>
      <c r="M415" s="509"/>
      <c r="N415" s="508"/>
      <c r="O415" s="507"/>
      <c r="P415" s="507"/>
      <c r="Q415" s="505"/>
      <c r="R415" s="506"/>
      <c r="S415" s="506"/>
      <c r="T415" s="506"/>
      <c r="U415" s="505"/>
      <c r="V415" s="505"/>
      <c r="W415" s="505"/>
      <c r="X415" s="504"/>
      <c r="Y415" s="503"/>
      <c r="Z415" s="503"/>
      <c r="AA415" s="503"/>
      <c r="AB415" s="503"/>
      <c r="AC415" s="503"/>
      <c r="AD415" s="503"/>
      <c r="AE415" s="503"/>
      <c r="AF415" s="503"/>
    </row>
    <row r="416" spans="1:32" ht="15.75" customHeight="1">
      <c r="A416" s="503"/>
      <c r="B416" s="921"/>
      <c r="C416" s="510"/>
      <c r="D416" s="510"/>
      <c r="E416" s="510"/>
      <c r="F416" s="746"/>
      <c r="G416" s="510"/>
      <c r="H416" s="510"/>
      <c r="I416" s="510"/>
      <c r="J416" s="510"/>
      <c r="K416" s="510"/>
      <c r="L416" s="510"/>
      <c r="M416" s="509"/>
      <c r="N416" s="508"/>
      <c r="O416" s="507"/>
      <c r="P416" s="507"/>
      <c r="Q416" s="505"/>
      <c r="R416" s="506"/>
      <c r="S416" s="506"/>
      <c r="T416" s="506"/>
      <c r="U416" s="505"/>
      <c r="V416" s="505"/>
      <c r="W416" s="505"/>
      <c r="X416" s="504"/>
      <c r="Y416" s="503"/>
      <c r="Z416" s="503"/>
      <c r="AA416" s="503"/>
      <c r="AB416" s="503"/>
      <c r="AC416" s="503"/>
      <c r="AD416" s="503"/>
      <c r="AE416" s="503"/>
      <c r="AF416" s="503"/>
    </row>
    <row r="417" spans="1:32" ht="15.75" customHeight="1">
      <c r="A417" s="503"/>
      <c r="B417" s="921"/>
      <c r="C417" s="510"/>
      <c r="D417" s="510"/>
      <c r="E417" s="510"/>
      <c r="F417" s="746"/>
      <c r="G417" s="510"/>
      <c r="H417" s="510"/>
      <c r="I417" s="510"/>
      <c r="J417" s="510"/>
      <c r="K417" s="510"/>
      <c r="L417" s="510"/>
      <c r="M417" s="509"/>
      <c r="N417" s="508"/>
      <c r="O417" s="507"/>
      <c r="P417" s="507"/>
      <c r="Q417" s="505"/>
      <c r="R417" s="506"/>
      <c r="S417" s="506"/>
      <c r="T417" s="506"/>
      <c r="U417" s="505"/>
      <c r="V417" s="505"/>
      <c r="W417" s="505"/>
      <c r="X417" s="504"/>
      <c r="Y417" s="503"/>
      <c r="Z417" s="503"/>
      <c r="AA417" s="503"/>
      <c r="AB417" s="503"/>
      <c r="AC417" s="503"/>
      <c r="AD417" s="503"/>
      <c r="AE417" s="503"/>
      <c r="AF417" s="503"/>
    </row>
    <row r="418" spans="1:32" ht="15.75" customHeight="1">
      <c r="A418" s="503"/>
      <c r="B418" s="921"/>
      <c r="C418" s="510"/>
      <c r="D418" s="510"/>
      <c r="E418" s="510"/>
      <c r="F418" s="746"/>
      <c r="G418" s="510"/>
      <c r="H418" s="510"/>
      <c r="I418" s="510"/>
      <c r="J418" s="510"/>
      <c r="K418" s="510"/>
      <c r="L418" s="510"/>
      <c r="M418" s="509"/>
      <c r="N418" s="508"/>
      <c r="O418" s="507"/>
      <c r="P418" s="507"/>
      <c r="Q418" s="505"/>
      <c r="R418" s="506"/>
      <c r="S418" s="506"/>
      <c r="T418" s="506"/>
      <c r="U418" s="505"/>
      <c r="V418" s="505"/>
      <c r="W418" s="505"/>
      <c r="X418" s="504"/>
      <c r="Y418" s="503"/>
      <c r="Z418" s="503"/>
      <c r="AA418" s="503"/>
      <c r="AB418" s="503"/>
      <c r="AC418" s="503"/>
      <c r="AD418" s="503"/>
      <c r="AE418" s="503"/>
      <c r="AF418" s="503"/>
    </row>
    <row r="419" spans="1:32" ht="15.75" customHeight="1">
      <c r="A419" s="503"/>
      <c r="B419" s="921"/>
      <c r="C419" s="510"/>
      <c r="D419" s="510"/>
      <c r="E419" s="510"/>
      <c r="F419" s="746"/>
      <c r="G419" s="510"/>
      <c r="H419" s="510"/>
      <c r="I419" s="510"/>
      <c r="J419" s="510"/>
      <c r="K419" s="510"/>
      <c r="L419" s="510"/>
      <c r="M419" s="509"/>
      <c r="N419" s="508"/>
      <c r="O419" s="507"/>
      <c r="P419" s="507"/>
      <c r="Q419" s="505"/>
      <c r="R419" s="506"/>
      <c r="S419" s="506"/>
      <c r="T419" s="506"/>
      <c r="U419" s="505"/>
      <c r="V419" s="505"/>
      <c r="W419" s="505"/>
      <c r="X419" s="504"/>
      <c r="Y419" s="503"/>
      <c r="Z419" s="503"/>
      <c r="AA419" s="503"/>
      <c r="AB419" s="503"/>
      <c r="AC419" s="503"/>
      <c r="AD419" s="503"/>
      <c r="AE419" s="503"/>
      <c r="AF419" s="503"/>
    </row>
    <row r="420" spans="1:32" ht="15.75" customHeight="1">
      <c r="A420" s="503"/>
      <c r="B420" s="515"/>
      <c r="C420" s="510"/>
      <c r="D420" s="510"/>
      <c r="E420" s="510"/>
      <c r="F420" s="746"/>
      <c r="G420" s="510"/>
      <c r="H420" s="510"/>
      <c r="I420" s="510"/>
      <c r="J420" s="510"/>
      <c r="K420" s="510"/>
      <c r="L420" s="510"/>
      <c r="M420" s="509"/>
      <c r="N420" s="508"/>
      <c r="O420" s="507"/>
      <c r="P420" s="507"/>
      <c r="Q420" s="505"/>
      <c r="R420" s="506"/>
      <c r="S420" s="506"/>
      <c r="T420" s="506"/>
      <c r="U420" s="505"/>
      <c r="V420" s="505"/>
      <c r="W420" s="505"/>
      <c r="X420" s="504"/>
      <c r="Y420" s="503"/>
      <c r="Z420" s="503"/>
      <c r="AA420" s="503"/>
      <c r="AB420" s="503"/>
      <c r="AC420" s="503"/>
      <c r="AD420" s="503"/>
      <c r="AE420" s="503"/>
      <c r="AF420" s="503"/>
    </row>
    <row r="421" spans="1:32" ht="15.75" customHeight="1">
      <c r="A421" s="503"/>
      <c r="B421" s="930"/>
      <c r="C421" s="510"/>
      <c r="D421" s="510"/>
      <c r="E421" s="510"/>
      <c r="F421" s="746"/>
      <c r="G421" s="510"/>
      <c r="H421" s="510"/>
      <c r="I421" s="510"/>
      <c r="J421" s="510"/>
      <c r="K421" s="510"/>
      <c r="L421" s="510"/>
      <c r="M421" s="509"/>
      <c r="N421" s="508"/>
      <c r="O421" s="507"/>
      <c r="P421" s="507"/>
      <c r="Q421" s="505"/>
      <c r="R421" s="506"/>
      <c r="S421" s="506"/>
      <c r="T421" s="506"/>
      <c r="U421" s="505"/>
      <c r="V421" s="505"/>
      <c r="W421" s="505"/>
      <c r="X421" s="504"/>
      <c r="Y421" s="503"/>
      <c r="Z421" s="503"/>
      <c r="AA421" s="503"/>
      <c r="AB421" s="503"/>
      <c r="AC421" s="503"/>
      <c r="AD421" s="503"/>
      <c r="AE421" s="503"/>
      <c r="AF421" s="503"/>
    </row>
    <row r="422" spans="1:32" ht="15.75" customHeight="1">
      <c r="A422" s="503"/>
      <c r="B422" s="921"/>
      <c r="C422" s="510"/>
      <c r="D422" s="510"/>
      <c r="E422" s="510"/>
      <c r="F422" s="746"/>
      <c r="G422" s="510"/>
      <c r="H422" s="510"/>
      <c r="I422" s="510"/>
      <c r="J422" s="510"/>
      <c r="K422" s="510"/>
      <c r="L422" s="510"/>
      <c r="M422" s="509"/>
      <c r="N422" s="508"/>
      <c r="O422" s="507"/>
      <c r="P422" s="507"/>
      <c r="Q422" s="505"/>
      <c r="R422" s="506"/>
      <c r="S422" s="506"/>
      <c r="T422" s="506"/>
      <c r="U422" s="505"/>
      <c r="V422" s="505"/>
      <c r="W422" s="505"/>
      <c r="X422" s="504"/>
      <c r="Y422" s="503"/>
      <c r="Z422" s="503"/>
      <c r="AA422" s="503"/>
      <c r="AB422" s="503"/>
      <c r="AC422" s="503"/>
      <c r="AD422" s="503"/>
      <c r="AE422" s="503"/>
      <c r="AF422" s="503"/>
    </row>
    <row r="423" spans="1:32" ht="15.75" customHeight="1">
      <c r="A423" s="503"/>
      <c r="B423" s="921"/>
      <c r="C423" s="510"/>
      <c r="D423" s="510"/>
      <c r="E423" s="510"/>
      <c r="F423" s="746"/>
      <c r="G423" s="510"/>
      <c r="H423" s="510"/>
      <c r="I423" s="510"/>
      <c r="J423" s="510"/>
      <c r="K423" s="510"/>
      <c r="L423" s="510"/>
      <c r="M423" s="509"/>
      <c r="N423" s="508"/>
      <c r="O423" s="507"/>
      <c r="P423" s="507"/>
      <c r="Q423" s="505"/>
      <c r="R423" s="506"/>
      <c r="S423" s="506"/>
      <c r="T423" s="506"/>
      <c r="U423" s="505"/>
      <c r="V423" s="505"/>
      <c r="W423" s="505"/>
      <c r="X423" s="504"/>
      <c r="Y423" s="503"/>
      <c r="Z423" s="503"/>
      <c r="AA423" s="503"/>
      <c r="AB423" s="503"/>
      <c r="AC423" s="503"/>
      <c r="AD423" s="503"/>
      <c r="AE423" s="503"/>
      <c r="AF423" s="503"/>
    </row>
    <row r="424" spans="1:32" ht="15.75" customHeight="1">
      <c r="A424" s="503"/>
      <c r="B424" s="921"/>
      <c r="C424" s="510"/>
      <c r="D424" s="510"/>
      <c r="E424" s="510"/>
      <c r="F424" s="746"/>
      <c r="G424" s="510"/>
      <c r="H424" s="510"/>
      <c r="I424" s="510"/>
      <c r="J424" s="510"/>
      <c r="K424" s="510"/>
      <c r="L424" s="510"/>
      <c r="M424" s="509"/>
      <c r="N424" s="508"/>
      <c r="O424" s="507"/>
      <c r="P424" s="507"/>
      <c r="Q424" s="505"/>
      <c r="R424" s="506"/>
      <c r="S424" s="506"/>
      <c r="T424" s="506"/>
      <c r="U424" s="505"/>
      <c r="V424" s="505"/>
      <c r="W424" s="505"/>
      <c r="X424" s="504"/>
      <c r="Y424" s="503"/>
      <c r="Z424" s="503"/>
      <c r="AA424" s="503"/>
      <c r="AB424" s="503"/>
      <c r="AC424" s="503"/>
      <c r="AD424" s="503"/>
      <c r="AE424" s="503"/>
      <c r="AF424" s="503"/>
    </row>
    <row r="425" spans="1:32" ht="15.75" customHeight="1">
      <c r="A425" s="503"/>
      <c r="B425" s="921"/>
      <c r="C425" s="510"/>
      <c r="D425" s="510"/>
      <c r="E425" s="510"/>
      <c r="F425" s="746"/>
      <c r="G425" s="510"/>
      <c r="H425" s="510"/>
      <c r="I425" s="510"/>
      <c r="J425" s="510"/>
      <c r="K425" s="510"/>
      <c r="L425" s="510"/>
      <c r="M425" s="509"/>
      <c r="N425" s="508"/>
      <c r="O425" s="507"/>
      <c r="P425" s="507"/>
      <c r="Q425" s="505"/>
      <c r="R425" s="506"/>
      <c r="S425" s="506"/>
      <c r="T425" s="506"/>
      <c r="U425" s="505"/>
      <c r="V425" s="505"/>
      <c r="W425" s="505"/>
      <c r="X425" s="504"/>
      <c r="Y425" s="503"/>
      <c r="Z425" s="503"/>
      <c r="AA425" s="503"/>
      <c r="AB425" s="503"/>
      <c r="AC425" s="503"/>
      <c r="AD425" s="503"/>
      <c r="AE425" s="503"/>
      <c r="AF425" s="503"/>
    </row>
    <row r="426" spans="1:32" ht="15.75" customHeight="1">
      <c r="A426" s="503"/>
      <c r="B426" s="921"/>
      <c r="C426" s="510"/>
      <c r="D426" s="510"/>
      <c r="E426" s="510"/>
      <c r="F426" s="746"/>
      <c r="G426" s="510"/>
      <c r="H426" s="510"/>
      <c r="I426" s="510"/>
      <c r="J426" s="510"/>
      <c r="K426" s="510"/>
      <c r="L426" s="510"/>
      <c r="M426" s="509"/>
      <c r="N426" s="508"/>
      <c r="O426" s="507"/>
      <c r="P426" s="507"/>
      <c r="Q426" s="505"/>
      <c r="R426" s="506"/>
      <c r="S426" s="506"/>
      <c r="T426" s="506"/>
      <c r="U426" s="505"/>
      <c r="V426" s="505"/>
      <c r="W426" s="505"/>
      <c r="X426" s="504"/>
      <c r="Y426" s="503"/>
      <c r="Z426" s="503"/>
      <c r="AA426" s="503"/>
      <c r="AB426" s="503"/>
      <c r="AC426" s="503"/>
      <c r="AD426" s="503"/>
      <c r="AE426" s="503"/>
      <c r="AF426" s="503"/>
    </row>
    <row r="427" spans="1:32" ht="15.75" customHeight="1">
      <c r="A427" s="503"/>
      <c r="B427" s="921"/>
      <c r="C427" s="510"/>
      <c r="D427" s="510"/>
      <c r="E427" s="510"/>
      <c r="F427" s="746"/>
      <c r="G427" s="510"/>
      <c r="H427" s="510"/>
      <c r="I427" s="510"/>
      <c r="J427" s="510"/>
      <c r="K427" s="510"/>
      <c r="L427" s="510"/>
      <c r="M427" s="509"/>
      <c r="N427" s="508"/>
      <c r="O427" s="507"/>
      <c r="P427" s="507"/>
      <c r="Q427" s="505"/>
      <c r="R427" s="506"/>
      <c r="S427" s="506"/>
      <c r="T427" s="506"/>
      <c r="U427" s="505"/>
      <c r="V427" s="505"/>
      <c r="W427" s="505"/>
      <c r="X427" s="504"/>
      <c r="Y427" s="503"/>
      <c r="Z427" s="503"/>
      <c r="AA427" s="503"/>
      <c r="AB427" s="503"/>
      <c r="AC427" s="503"/>
      <c r="AD427" s="503"/>
      <c r="AE427" s="503"/>
      <c r="AF427" s="503"/>
    </row>
    <row r="428" spans="1:32" ht="15.75" customHeight="1">
      <c r="A428" s="503"/>
      <c r="B428" s="921"/>
      <c r="C428" s="510"/>
      <c r="D428" s="510"/>
      <c r="E428" s="510"/>
      <c r="F428" s="746"/>
      <c r="G428" s="510"/>
      <c r="H428" s="510"/>
      <c r="I428" s="510"/>
      <c r="J428" s="510"/>
      <c r="K428" s="510"/>
      <c r="L428" s="510"/>
      <c r="M428" s="509"/>
      <c r="N428" s="508"/>
      <c r="O428" s="507"/>
      <c r="P428" s="507"/>
      <c r="Q428" s="505"/>
      <c r="R428" s="506"/>
      <c r="S428" s="506"/>
      <c r="T428" s="506"/>
      <c r="U428" s="505"/>
      <c r="V428" s="505"/>
      <c r="W428" s="505"/>
      <c r="X428" s="504"/>
      <c r="Y428" s="503"/>
      <c r="Z428" s="503"/>
      <c r="AA428" s="503"/>
      <c r="AB428" s="503"/>
      <c r="AC428" s="503"/>
      <c r="AD428" s="503"/>
      <c r="AE428" s="503"/>
      <c r="AF428" s="503"/>
    </row>
    <row r="429" spans="1:32" ht="15.75" customHeight="1">
      <c r="A429" s="503"/>
      <c r="B429" s="921"/>
      <c r="C429" s="510"/>
      <c r="D429" s="510"/>
      <c r="E429" s="510"/>
      <c r="F429" s="746"/>
      <c r="G429" s="510"/>
      <c r="H429" s="510"/>
      <c r="I429" s="510"/>
      <c r="J429" s="510"/>
      <c r="K429" s="510"/>
      <c r="L429" s="510"/>
      <c r="M429" s="509"/>
      <c r="N429" s="508"/>
      <c r="O429" s="507"/>
      <c r="P429" s="507"/>
      <c r="Q429" s="505"/>
      <c r="R429" s="506"/>
      <c r="S429" s="506"/>
      <c r="T429" s="506"/>
      <c r="U429" s="505"/>
      <c r="V429" s="505"/>
      <c r="W429" s="505"/>
      <c r="X429" s="504"/>
      <c r="Y429" s="503"/>
      <c r="Z429" s="503"/>
      <c r="AA429" s="503"/>
      <c r="AB429" s="503"/>
      <c r="AC429" s="503"/>
      <c r="AD429" s="503"/>
      <c r="AE429" s="503"/>
      <c r="AF429" s="503"/>
    </row>
    <row r="430" spans="1:32" ht="15.75" customHeight="1">
      <c r="A430" s="503"/>
      <c r="B430" s="921"/>
      <c r="C430" s="510"/>
      <c r="D430" s="510"/>
      <c r="E430" s="510"/>
      <c r="F430" s="746"/>
      <c r="G430" s="510"/>
      <c r="H430" s="510"/>
      <c r="I430" s="510"/>
      <c r="J430" s="510"/>
      <c r="K430" s="510"/>
      <c r="L430" s="510"/>
      <c r="M430" s="509"/>
      <c r="N430" s="508"/>
      <c r="O430" s="507"/>
      <c r="P430" s="507"/>
      <c r="Q430" s="505"/>
      <c r="R430" s="506"/>
      <c r="S430" s="506"/>
      <c r="T430" s="506"/>
      <c r="U430" s="505"/>
      <c r="V430" s="505"/>
      <c r="W430" s="505"/>
      <c r="X430" s="504"/>
      <c r="Y430" s="503"/>
      <c r="Z430" s="503"/>
      <c r="AA430" s="503"/>
      <c r="AB430" s="503"/>
      <c r="AC430" s="503"/>
      <c r="AD430" s="503"/>
      <c r="AE430" s="503"/>
      <c r="AF430" s="503"/>
    </row>
    <row r="431" spans="1:32" ht="15.75" customHeight="1">
      <c r="A431" s="503"/>
      <c r="B431" s="921"/>
      <c r="C431" s="510"/>
      <c r="D431" s="510"/>
      <c r="E431" s="510"/>
      <c r="F431" s="746"/>
      <c r="G431" s="510"/>
      <c r="H431" s="510"/>
      <c r="I431" s="510"/>
      <c r="J431" s="510"/>
      <c r="K431" s="510"/>
      <c r="L431" s="510"/>
      <c r="M431" s="509"/>
      <c r="N431" s="508"/>
      <c r="O431" s="507"/>
      <c r="P431" s="507"/>
      <c r="Q431" s="505"/>
      <c r="R431" s="506"/>
      <c r="S431" s="506"/>
      <c r="T431" s="506"/>
      <c r="U431" s="505"/>
      <c r="V431" s="505"/>
      <c r="W431" s="505"/>
      <c r="X431" s="504"/>
      <c r="Y431" s="503"/>
      <c r="Z431" s="503"/>
      <c r="AA431" s="503"/>
      <c r="AB431" s="503"/>
      <c r="AC431" s="503"/>
      <c r="AD431" s="503"/>
      <c r="AE431" s="503"/>
      <c r="AF431" s="503"/>
    </row>
    <row r="432" spans="1:32" ht="15.75" customHeight="1">
      <c r="A432" s="503"/>
      <c r="B432" s="921"/>
      <c r="C432" s="510"/>
      <c r="D432" s="510"/>
      <c r="E432" s="510"/>
      <c r="F432" s="746"/>
      <c r="G432" s="510"/>
      <c r="H432" s="510"/>
      <c r="I432" s="510"/>
      <c r="J432" s="510"/>
      <c r="K432" s="510"/>
      <c r="L432" s="510"/>
      <c r="M432" s="509"/>
      <c r="N432" s="508"/>
      <c r="O432" s="507"/>
      <c r="P432" s="507"/>
      <c r="Q432" s="505"/>
      <c r="R432" s="506"/>
      <c r="S432" s="506"/>
      <c r="T432" s="506"/>
      <c r="U432" s="505"/>
      <c r="V432" s="505"/>
      <c r="W432" s="505"/>
      <c r="X432" s="504"/>
      <c r="Y432" s="503"/>
      <c r="Z432" s="503"/>
      <c r="AA432" s="503"/>
      <c r="AB432" s="503"/>
      <c r="AC432" s="503"/>
      <c r="AD432" s="503"/>
      <c r="AE432" s="503"/>
      <c r="AF432" s="503"/>
    </row>
    <row r="433" spans="1:32" ht="15.75" customHeight="1">
      <c r="A433" s="503"/>
      <c r="B433" s="921"/>
      <c r="C433" s="510"/>
      <c r="D433" s="510"/>
      <c r="E433" s="510"/>
      <c r="F433" s="746"/>
      <c r="G433" s="510"/>
      <c r="H433" s="510"/>
      <c r="I433" s="510"/>
      <c r="J433" s="510"/>
      <c r="K433" s="510"/>
      <c r="L433" s="510"/>
      <c r="M433" s="509"/>
      <c r="N433" s="508"/>
      <c r="O433" s="507"/>
      <c r="P433" s="507"/>
      <c r="Q433" s="505"/>
      <c r="R433" s="506"/>
      <c r="S433" s="506"/>
      <c r="T433" s="506"/>
      <c r="U433" s="505"/>
      <c r="V433" s="505"/>
      <c r="W433" s="505"/>
      <c r="X433" s="504"/>
      <c r="Y433" s="503"/>
      <c r="Z433" s="503"/>
      <c r="AA433" s="503"/>
      <c r="AB433" s="503"/>
      <c r="AC433" s="503"/>
      <c r="AD433" s="503"/>
      <c r="AE433" s="503"/>
      <c r="AF433" s="503"/>
    </row>
    <row r="434" spans="1:32" ht="15.75" customHeight="1">
      <c r="A434" s="503"/>
      <c r="B434" s="921"/>
      <c r="C434" s="510"/>
      <c r="D434" s="510"/>
      <c r="E434" s="510"/>
      <c r="F434" s="746"/>
      <c r="G434" s="510"/>
      <c r="H434" s="510"/>
      <c r="I434" s="510"/>
      <c r="J434" s="510"/>
      <c r="K434" s="510"/>
      <c r="L434" s="510"/>
      <c r="M434" s="509"/>
      <c r="N434" s="508"/>
      <c r="O434" s="507"/>
      <c r="P434" s="507"/>
      <c r="Q434" s="505"/>
      <c r="R434" s="506"/>
      <c r="S434" s="506"/>
      <c r="T434" s="506"/>
      <c r="U434" s="505"/>
      <c r="V434" s="505"/>
      <c r="W434" s="505"/>
      <c r="X434" s="504"/>
      <c r="Y434" s="503"/>
      <c r="Z434" s="503"/>
      <c r="AA434" s="503"/>
      <c r="AB434" s="503"/>
      <c r="AC434" s="503"/>
      <c r="AD434" s="503"/>
      <c r="AE434" s="503"/>
      <c r="AF434" s="503"/>
    </row>
    <row r="435" spans="1:32" ht="15.75" customHeight="1">
      <c r="A435" s="503"/>
      <c r="B435" s="921"/>
      <c r="C435" s="510"/>
      <c r="D435" s="510"/>
      <c r="E435" s="510"/>
      <c r="F435" s="746"/>
      <c r="G435" s="510"/>
      <c r="H435" s="510"/>
      <c r="I435" s="510"/>
      <c r="J435" s="510"/>
      <c r="K435" s="510"/>
      <c r="L435" s="510"/>
      <c r="M435" s="509"/>
      <c r="N435" s="508"/>
      <c r="O435" s="507"/>
      <c r="P435" s="507"/>
      <c r="Q435" s="505"/>
      <c r="R435" s="506"/>
      <c r="S435" s="506"/>
      <c r="T435" s="506"/>
      <c r="U435" s="505"/>
      <c r="V435" s="505"/>
      <c r="W435" s="505"/>
      <c r="X435" s="504"/>
      <c r="Y435" s="503"/>
      <c r="Z435" s="503"/>
      <c r="AA435" s="503"/>
      <c r="AB435" s="503"/>
      <c r="AC435" s="503"/>
      <c r="AD435" s="503"/>
      <c r="AE435" s="503"/>
      <c r="AF435" s="503"/>
    </row>
    <row r="436" spans="1:32" ht="15.75" customHeight="1">
      <c r="A436" s="503"/>
      <c r="B436" s="921"/>
      <c r="C436" s="510"/>
      <c r="D436" s="510"/>
      <c r="E436" s="510"/>
      <c r="F436" s="746"/>
      <c r="G436" s="510"/>
      <c r="H436" s="510"/>
      <c r="I436" s="510"/>
      <c r="J436" s="510"/>
      <c r="K436" s="510"/>
      <c r="L436" s="510"/>
      <c r="M436" s="509"/>
      <c r="N436" s="508"/>
      <c r="O436" s="507"/>
      <c r="P436" s="507"/>
      <c r="Q436" s="505"/>
      <c r="R436" s="506"/>
      <c r="S436" s="506"/>
      <c r="T436" s="506"/>
      <c r="U436" s="505"/>
      <c r="V436" s="505"/>
      <c r="W436" s="505"/>
      <c r="X436" s="504"/>
      <c r="Y436" s="503"/>
      <c r="Z436" s="503"/>
      <c r="AA436" s="503"/>
      <c r="AB436" s="503"/>
      <c r="AC436" s="503"/>
      <c r="AD436" s="503"/>
      <c r="AE436" s="503"/>
      <c r="AF436" s="503"/>
    </row>
    <row r="437" spans="1:32" ht="15.75" customHeight="1">
      <c r="A437" s="503"/>
      <c r="B437" s="921"/>
      <c r="C437" s="510"/>
      <c r="D437" s="510"/>
      <c r="E437" s="510"/>
      <c r="F437" s="746"/>
      <c r="G437" s="510"/>
      <c r="H437" s="510"/>
      <c r="I437" s="510"/>
      <c r="J437" s="510"/>
      <c r="K437" s="510"/>
      <c r="L437" s="510"/>
      <c r="M437" s="509"/>
      <c r="N437" s="508"/>
      <c r="O437" s="507"/>
      <c r="P437" s="507"/>
      <c r="Q437" s="505"/>
      <c r="R437" s="506"/>
      <c r="S437" s="506"/>
      <c r="T437" s="506"/>
      <c r="U437" s="505"/>
      <c r="V437" s="505"/>
      <c r="W437" s="505"/>
      <c r="X437" s="504"/>
      <c r="Y437" s="503"/>
      <c r="Z437" s="503"/>
      <c r="AA437" s="503"/>
      <c r="AB437" s="503"/>
      <c r="AC437" s="503"/>
      <c r="AD437" s="503"/>
      <c r="AE437" s="503"/>
      <c r="AF437" s="503"/>
    </row>
    <row r="438" spans="1:32" ht="15.75" customHeight="1">
      <c r="A438" s="503"/>
      <c r="B438" s="921"/>
      <c r="C438" s="510"/>
      <c r="D438" s="510"/>
      <c r="E438" s="510"/>
      <c r="F438" s="746"/>
      <c r="G438" s="510"/>
      <c r="H438" s="510"/>
      <c r="I438" s="510"/>
      <c r="J438" s="510"/>
      <c r="K438" s="510"/>
      <c r="L438" s="510"/>
      <c r="M438" s="509"/>
      <c r="N438" s="508"/>
      <c r="O438" s="507"/>
      <c r="P438" s="507"/>
      <c r="Q438" s="505"/>
      <c r="R438" s="506"/>
      <c r="S438" s="506"/>
      <c r="T438" s="506"/>
      <c r="U438" s="505"/>
      <c r="V438" s="505"/>
      <c r="W438" s="505"/>
      <c r="X438" s="504"/>
      <c r="Y438" s="503"/>
      <c r="Z438" s="503"/>
      <c r="AA438" s="503"/>
      <c r="AB438" s="503"/>
      <c r="AC438" s="503"/>
      <c r="AD438" s="503"/>
      <c r="AE438" s="503"/>
      <c r="AF438" s="503"/>
    </row>
    <row r="439" spans="1:32" ht="15.75" customHeight="1">
      <c r="A439" s="503"/>
      <c r="B439" s="921"/>
      <c r="C439" s="510"/>
      <c r="D439" s="510"/>
      <c r="E439" s="510"/>
      <c r="F439" s="746"/>
      <c r="G439" s="510"/>
      <c r="H439" s="510"/>
      <c r="I439" s="510"/>
      <c r="J439" s="510"/>
      <c r="K439" s="510"/>
      <c r="L439" s="510"/>
      <c r="M439" s="509"/>
      <c r="N439" s="508"/>
      <c r="O439" s="507"/>
      <c r="P439" s="507"/>
      <c r="Q439" s="505"/>
      <c r="R439" s="506"/>
      <c r="S439" s="506"/>
      <c r="T439" s="506"/>
      <c r="U439" s="505"/>
      <c r="V439" s="505"/>
      <c r="W439" s="505"/>
      <c r="X439" s="504"/>
      <c r="Y439" s="503"/>
      <c r="Z439" s="503"/>
      <c r="AA439" s="503"/>
      <c r="AB439" s="503"/>
      <c r="AC439" s="503"/>
      <c r="AD439" s="503"/>
      <c r="AE439" s="503"/>
      <c r="AF439" s="503"/>
    </row>
    <row r="440" spans="1:32" ht="15.75" customHeight="1">
      <c r="A440" s="503"/>
      <c r="B440" s="921"/>
      <c r="C440" s="510"/>
      <c r="D440" s="510"/>
      <c r="E440" s="510"/>
      <c r="F440" s="746"/>
      <c r="G440" s="510"/>
      <c r="H440" s="510"/>
      <c r="I440" s="510"/>
      <c r="J440" s="510"/>
      <c r="K440" s="510"/>
      <c r="L440" s="510"/>
      <c r="M440" s="509"/>
      <c r="N440" s="508"/>
      <c r="O440" s="507"/>
      <c r="P440" s="507"/>
      <c r="Q440" s="505"/>
      <c r="R440" s="506"/>
      <c r="S440" s="506"/>
      <c r="T440" s="506"/>
      <c r="U440" s="505"/>
      <c r="V440" s="505"/>
      <c r="W440" s="505"/>
      <c r="X440" s="504"/>
      <c r="Y440" s="503"/>
      <c r="Z440" s="503"/>
      <c r="AA440" s="503"/>
      <c r="AB440" s="503"/>
      <c r="AC440" s="503"/>
      <c r="AD440" s="503"/>
      <c r="AE440" s="503"/>
      <c r="AF440" s="503"/>
    </row>
    <row r="441" spans="1:32" ht="15.75" customHeight="1">
      <c r="A441" s="503"/>
      <c r="B441" s="921"/>
      <c r="C441" s="510"/>
      <c r="D441" s="510"/>
      <c r="E441" s="510"/>
      <c r="F441" s="746"/>
      <c r="G441" s="510"/>
      <c r="H441" s="510"/>
      <c r="I441" s="510"/>
      <c r="J441" s="510"/>
      <c r="K441" s="510"/>
      <c r="L441" s="510"/>
      <c r="M441" s="509"/>
      <c r="N441" s="508"/>
      <c r="O441" s="507"/>
      <c r="P441" s="507"/>
      <c r="Q441" s="505"/>
      <c r="R441" s="506"/>
      <c r="S441" s="506"/>
      <c r="T441" s="506"/>
      <c r="U441" s="505"/>
      <c r="V441" s="505"/>
      <c r="W441" s="505"/>
      <c r="X441" s="504"/>
      <c r="Y441" s="503"/>
      <c r="Z441" s="503"/>
      <c r="AA441" s="503"/>
      <c r="AB441" s="503"/>
      <c r="AC441" s="503"/>
      <c r="AD441" s="503"/>
      <c r="AE441" s="503"/>
      <c r="AF441" s="503"/>
    </row>
    <row r="442" spans="1:32" ht="15.75" customHeight="1">
      <c r="A442" s="503"/>
      <c r="B442" s="921"/>
      <c r="C442" s="510"/>
      <c r="D442" s="510"/>
      <c r="E442" s="510"/>
      <c r="F442" s="746"/>
      <c r="G442" s="510"/>
      <c r="H442" s="510"/>
      <c r="I442" s="510"/>
      <c r="J442" s="510"/>
      <c r="K442" s="510"/>
      <c r="L442" s="510"/>
      <c r="M442" s="509"/>
      <c r="N442" s="508"/>
      <c r="O442" s="507"/>
      <c r="P442" s="507"/>
      <c r="Q442" s="505"/>
      <c r="R442" s="506"/>
      <c r="S442" s="506"/>
      <c r="T442" s="506"/>
      <c r="U442" s="505"/>
      <c r="V442" s="505"/>
      <c r="W442" s="505"/>
      <c r="X442" s="504"/>
      <c r="Y442" s="503"/>
      <c r="Z442" s="503"/>
      <c r="AA442" s="503"/>
      <c r="AB442" s="503"/>
      <c r="AC442" s="503"/>
      <c r="AD442" s="503"/>
      <c r="AE442" s="503"/>
      <c r="AF442" s="503"/>
    </row>
    <row r="443" spans="1:32" ht="15.75" customHeight="1">
      <c r="A443" s="503"/>
      <c r="B443" s="921"/>
      <c r="C443" s="510"/>
      <c r="D443" s="510"/>
      <c r="E443" s="510"/>
      <c r="F443" s="746"/>
      <c r="G443" s="510"/>
      <c r="H443" s="510"/>
      <c r="I443" s="510"/>
      <c r="J443" s="510"/>
      <c r="K443" s="510"/>
      <c r="L443" s="510"/>
      <c r="M443" s="509"/>
      <c r="N443" s="508"/>
      <c r="O443" s="507"/>
      <c r="P443" s="507"/>
      <c r="Q443" s="505"/>
      <c r="R443" s="506"/>
      <c r="S443" s="506"/>
      <c r="T443" s="506"/>
      <c r="U443" s="505"/>
      <c r="V443" s="505"/>
      <c r="W443" s="505"/>
      <c r="X443" s="504"/>
      <c r="Y443" s="503"/>
      <c r="Z443" s="503"/>
      <c r="AA443" s="503"/>
      <c r="AB443" s="503"/>
      <c r="AC443" s="503"/>
      <c r="AD443" s="503"/>
      <c r="AE443" s="503"/>
      <c r="AF443" s="503"/>
    </row>
    <row r="444" spans="1:32" ht="15.75" customHeight="1">
      <c r="A444" s="503"/>
      <c r="B444" s="921"/>
      <c r="C444" s="510"/>
      <c r="D444" s="510"/>
      <c r="E444" s="510"/>
      <c r="F444" s="746"/>
      <c r="G444" s="510"/>
      <c r="H444" s="510"/>
      <c r="I444" s="510"/>
      <c r="J444" s="510"/>
      <c r="K444" s="510"/>
      <c r="L444" s="510"/>
      <c r="M444" s="509"/>
      <c r="N444" s="508"/>
      <c r="O444" s="507"/>
      <c r="P444" s="507"/>
      <c r="Q444" s="505"/>
      <c r="R444" s="506"/>
      <c r="S444" s="506"/>
      <c r="T444" s="506"/>
      <c r="U444" s="505"/>
      <c r="V444" s="505"/>
      <c r="W444" s="505"/>
      <c r="X444" s="504"/>
      <c r="Y444" s="503"/>
      <c r="Z444" s="503"/>
      <c r="AA444" s="503"/>
      <c r="AB444" s="503"/>
      <c r="AC444" s="503"/>
      <c r="AD444" s="503"/>
      <c r="AE444" s="503"/>
      <c r="AF444" s="503"/>
    </row>
    <row r="445" spans="1:32" ht="15.75" customHeight="1">
      <c r="A445" s="503"/>
      <c r="B445" s="921"/>
      <c r="C445" s="510"/>
      <c r="D445" s="510"/>
      <c r="E445" s="510"/>
      <c r="F445" s="746"/>
      <c r="G445" s="510"/>
      <c r="H445" s="510"/>
      <c r="I445" s="510"/>
      <c r="J445" s="510"/>
      <c r="K445" s="510"/>
      <c r="L445" s="510"/>
      <c r="M445" s="509"/>
      <c r="N445" s="508"/>
      <c r="O445" s="507"/>
      <c r="P445" s="507"/>
      <c r="Q445" s="505"/>
      <c r="R445" s="506"/>
      <c r="S445" s="506"/>
      <c r="T445" s="506"/>
      <c r="U445" s="505"/>
      <c r="V445" s="505"/>
      <c r="W445" s="505"/>
      <c r="X445" s="504"/>
      <c r="Y445" s="503"/>
      <c r="Z445" s="503"/>
      <c r="AA445" s="503"/>
      <c r="AB445" s="503"/>
      <c r="AC445" s="503"/>
      <c r="AD445" s="503"/>
      <c r="AE445" s="503"/>
      <c r="AF445" s="503"/>
    </row>
    <row r="446" spans="1:32" ht="15.75" customHeight="1">
      <c r="A446" s="503"/>
      <c r="B446" s="921"/>
      <c r="C446" s="510"/>
      <c r="D446" s="510"/>
      <c r="E446" s="510"/>
      <c r="F446" s="746"/>
      <c r="G446" s="510"/>
      <c r="H446" s="510"/>
      <c r="I446" s="510"/>
      <c r="J446" s="510"/>
      <c r="K446" s="510"/>
      <c r="L446" s="510"/>
      <c r="M446" s="509"/>
      <c r="N446" s="508"/>
      <c r="O446" s="507"/>
      <c r="P446" s="507"/>
      <c r="Q446" s="505"/>
      <c r="R446" s="506"/>
      <c r="S446" s="506"/>
      <c r="T446" s="506"/>
      <c r="U446" s="505"/>
      <c r="V446" s="505"/>
      <c r="W446" s="505"/>
      <c r="X446" s="504"/>
      <c r="Y446" s="503"/>
      <c r="Z446" s="503"/>
      <c r="AA446" s="503"/>
      <c r="AB446" s="503"/>
      <c r="AC446" s="503"/>
      <c r="AD446" s="503"/>
      <c r="AE446" s="503"/>
      <c r="AF446" s="503"/>
    </row>
    <row r="447" spans="1:32" ht="15.75" customHeight="1">
      <c r="A447" s="503"/>
      <c r="B447" s="921"/>
      <c r="C447" s="510"/>
      <c r="D447" s="510"/>
      <c r="E447" s="510"/>
      <c r="F447" s="746"/>
      <c r="G447" s="510"/>
      <c r="H447" s="510"/>
      <c r="I447" s="510"/>
      <c r="J447" s="510"/>
      <c r="K447" s="510"/>
      <c r="L447" s="510"/>
      <c r="M447" s="509"/>
      <c r="N447" s="508"/>
      <c r="O447" s="507"/>
      <c r="P447" s="507"/>
      <c r="Q447" s="505"/>
      <c r="R447" s="506"/>
      <c r="S447" s="506"/>
      <c r="T447" s="506"/>
      <c r="U447" s="505"/>
      <c r="V447" s="505"/>
      <c r="W447" s="505"/>
      <c r="X447" s="504"/>
      <c r="Y447" s="503"/>
      <c r="Z447" s="503"/>
      <c r="AA447" s="503"/>
      <c r="AB447" s="503"/>
      <c r="AC447" s="503"/>
      <c r="AD447" s="503"/>
      <c r="AE447" s="503"/>
      <c r="AF447" s="503"/>
    </row>
    <row r="448" spans="1:32" ht="15.75" customHeight="1">
      <c r="A448" s="503"/>
      <c r="B448" s="921"/>
      <c r="C448" s="510"/>
      <c r="D448" s="510"/>
      <c r="E448" s="510"/>
      <c r="F448" s="746"/>
      <c r="G448" s="510"/>
      <c r="H448" s="510"/>
      <c r="I448" s="510"/>
      <c r="J448" s="510"/>
      <c r="K448" s="510"/>
      <c r="L448" s="510"/>
      <c r="M448" s="509"/>
      <c r="N448" s="508"/>
      <c r="O448" s="507"/>
      <c r="P448" s="507"/>
      <c r="Q448" s="505"/>
      <c r="R448" s="506"/>
      <c r="S448" s="506"/>
      <c r="T448" s="506"/>
      <c r="U448" s="505"/>
      <c r="V448" s="505"/>
      <c r="W448" s="505"/>
      <c r="X448" s="504"/>
      <c r="Y448" s="503"/>
      <c r="Z448" s="503"/>
      <c r="AA448" s="503"/>
      <c r="AB448" s="503"/>
      <c r="AC448" s="503"/>
      <c r="AD448" s="503"/>
      <c r="AE448" s="503"/>
      <c r="AF448" s="503"/>
    </row>
    <row r="449" spans="1:32" ht="15.75" customHeight="1">
      <c r="A449" s="503"/>
      <c r="B449" s="921"/>
      <c r="C449" s="510"/>
      <c r="D449" s="510"/>
      <c r="E449" s="510"/>
      <c r="F449" s="746"/>
      <c r="G449" s="510"/>
      <c r="H449" s="510"/>
      <c r="I449" s="510"/>
      <c r="J449" s="510"/>
      <c r="K449" s="510"/>
      <c r="L449" s="510"/>
      <c r="M449" s="509"/>
      <c r="N449" s="508"/>
      <c r="O449" s="507"/>
      <c r="P449" s="507"/>
      <c r="Q449" s="505"/>
      <c r="R449" s="506"/>
      <c r="S449" s="506"/>
      <c r="T449" s="506"/>
      <c r="U449" s="505"/>
      <c r="V449" s="505"/>
      <c r="W449" s="505"/>
      <c r="X449" s="504"/>
      <c r="Y449" s="503"/>
      <c r="Z449" s="503"/>
      <c r="AA449" s="503"/>
      <c r="AB449" s="503"/>
      <c r="AC449" s="503"/>
      <c r="AD449" s="503"/>
      <c r="AE449" s="503"/>
      <c r="AF449" s="503"/>
    </row>
    <row r="450" spans="1:32" ht="15.75" customHeight="1">
      <c r="A450" s="503"/>
      <c r="B450" s="921"/>
      <c r="C450" s="510"/>
      <c r="D450" s="510"/>
      <c r="E450" s="510"/>
      <c r="F450" s="746"/>
      <c r="G450" s="510"/>
      <c r="H450" s="510"/>
      <c r="I450" s="510"/>
      <c r="J450" s="510"/>
      <c r="K450" s="510"/>
      <c r="L450" s="510"/>
      <c r="M450" s="509"/>
      <c r="N450" s="508"/>
      <c r="O450" s="507"/>
      <c r="P450" s="507"/>
      <c r="Q450" s="505"/>
      <c r="R450" s="506"/>
      <c r="S450" s="506"/>
      <c r="T450" s="506"/>
      <c r="U450" s="505"/>
      <c r="V450" s="505"/>
      <c r="W450" s="505"/>
      <c r="X450" s="504"/>
      <c r="Y450" s="503"/>
      <c r="Z450" s="503"/>
      <c r="AA450" s="503"/>
      <c r="AB450" s="503"/>
      <c r="AC450" s="503"/>
      <c r="AD450" s="503"/>
      <c r="AE450" s="503"/>
      <c r="AF450" s="503"/>
    </row>
    <row r="451" spans="1:32" ht="15.75" customHeight="1">
      <c r="A451" s="503"/>
      <c r="B451" s="921"/>
      <c r="C451" s="510"/>
      <c r="D451" s="510"/>
      <c r="E451" s="510"/>
      <c r="F451" s="746"/>
      <c r="G451" s="510"/>
      <c r="H451" s="510"/>
      <c r="I451" s="510"/>
      <c r="J451" s="510"/>
      <c r="K451" s="510"/>
      <c r="L451" s="510"/>
      <c r="M451" s="509"/>
      <c r="N451" s="508"/>
      <c r="O451" s="507"/>
      <c r="P451" s="507"/>
      <c r="Q451" s="505"/>
      <c r="R451" s="506"/>
      <c r="S451" s="506"/>
      <c r="T451" s="506"/>
      <c r="U451" s="505"/>
      <c r="V451" s="505"/>
      <c r="W451" s="505"/>
      <c r="X451" s="504"/>
      <c r="Y451" s="503"/>
      <c r="Z451" s="503"/>
      <c r="AA451" s="503"/>
      <c r="AB451" s="503"/>
      <c r="AC451" s="503"/>
      <c r="AD451" s="503"/>
      <c r="AE451" s="503"/>
      <c r="AF451" s="503"/>
    </row>
    <row r="452" spans="1:32" ht="15.75" customHeight="1">
      <c r="A452" s="503"/>
      <c r="B452" s="921"/>
      <c r="C452" s="510"/>
      <c r="D452" s="510"/>
      <c r="E452" s="510"/>
      <c r="F452" s="746"/>
      <c r="G452" s="510"/>
      <c r="H452" s="510"/>
      <c r="I452" s="510"/>
      <c r="J452" s="510"/>
      <c r="K452" s="510"/>
      <c r="L452" s="510"/>
      <c r="M452" s="509"/>
      <c r="N452" s="508"/>
      <c r="O452" s="507"/>
      <c r="P452" s="507"/>
      <c r="Q452" s="505"/>
      <c r="R452" s="506"/>
      <c r="S452" s="506"/>
      <c r="T452" s="506"/>
      <c r="U452" s="505"/>
      <c r="V452" s="505"/>
      <c r="W452" s="505"/>
      <c r="X452" s="504"/>
      <c r="Y452" s="503"/>
      <c r="Z452" s="503"/>
      <c r="AA452" s="503"/>
      <c r="AB452" s="503"/>
      <c r="AC452" s="503"/>
      <c r="AD452" s="503"/>
      <c r="AE452" s="503"/>
      <c r="AF452" s="503"/>
    </row>
    <row r="453" spans="1:32" ht="15.75" customHeight="1">
      <c r="A453" s="503"/>
      <c r="B453" s="921"/>
      <c r="C453" s="510"/>
      <c r="D453" s="510"/>
      <c r="E453" s="510"/>
      <c r="F453" s="746"/>
      <c r="G453" s="510"/>
      <c r="H453" s="510"/>
      <c r="I453" s="510"/>
      <c r="J453" s="510"/>
      <c r="K453" s="510"/>
      <c r="L453" s="510"/>
      <c r="M453" s="509"/>
      <c r="N453" s="508"/>
      <c r="O453" s="507"/>
      <c r="P453" s="507"/>
      <c r="Q453" s="505"/>
      <c r="R453" s="506"/>
      <c r="S453" s="506"/>
      <c r="T453" s="506"/>
      <c r="U453" s="505"/>
      <c r="V453" s="505"/>
      <c r="W453" s="505"/>
      <c r="X453" s="504"/>
      <c r="Y453" s="503"/>
      <c r="Z453" s="503"/>
      <c r="AA453" s="503"/>
      <c r="AB453" s="503"/>
      <c r="AC453" s="503"/>
      <c r="AD453" s="503"/>
      <c r="AE453" s="503"/>
      <c r="AF453" s="503"/>
    </row>
    <row r="454" spans="1:32" ht="15.75" customHeight="1">
      <c r="A454" s="503"/>
      <c r="B454" s="921"/>
      <c r="C454" s="510"/>
      <c r="D454" s="510"/>
      <c r="E454" s="510"/>
      <c r="F454" s="746"/>
      <c r="G454" s="510"/>
      <c r="H454" s="510"/>
      <c r="I454" s="510"/>
      <c r="J454" s="510"/>
      <c r="K454" s="510"/>
      <c r="L454" s="510"/>
      <c r="M454" s="509"/>
      <c r="N454" s="508"/>
      <c r="O454" s="507"/>
      <c r="P454" s="507"/>
      <c r="Q454" s="505"/>
      <c r="R454" s="506"/>
      <c r="S454" s="506"/>
      <c r="T454" s="506"/>
      <c r="U454" s="505"/>
      <c r="V454" s="505"/>
      <c r="W454" s="505"/>
      <c r="X454" s="504"/>
      <c r="Y454" s="503"/>
      <c r="Z454" s="503"/>
      <c r="AA454" s="503"/>
      <c r="AB454" s="503"/>
      <c r="AC454" s="503"/>
      <c r="AD454" s="503"/>
      <c r="AE454" s="503"/>
      <c r="AF454" s="503"/>
    </row>
    <row r="455" spans="1:32" ht="15.75" customHeight="1">
      <c r="A455" s="503"/>
      <c r="B455" s="503"/>
      <c r="C455" s="510"/>
      <c r="D455" s="510"/>
      <c r="E455" s="510"/>
      <c r="F455" s="746"/>
      <c r="G455" s="510"/>
      <c r="H455" s="510"/>
      <c r="I455" s="510"/>
      <c r="J455" s="510"/>
      <c r="K455" s="510"/>
      <c r="L455" s="510"/>
      <c r="M455" s="509"/>
      <c r="N455" s="508"/>
      <c r="O455" s="507"/>
      <c r="P455" s="507"/>
      <c r="Q455" s="505"/>
      <c r="R455" s="506"/>
      <c r="S455" s="506"/>
      <c r="T455" s="506"/>
      <c r="U455" s="505"/>
      <c r="V455" s="505"/>
      <c r="W455" s="505"/>
      <c r="X455" s="504"/>
      <c r="Y455" s="503"/>
      <c r="Z455" s="503"/>
      <c r="AA455" s="503"/>
      <c r="AB455" s="503"/>
      <c r="AC455" s="503"/>
      <c r="AD455" s="503"/>
      <c r="AE455" s="503"/>
      <c r="AF455" s="503"/>
    </row>
    <row r="456" spans="1:32" ht="15.75" customHeight="1">
      <c r="A456" s="503"/>
      <c r="B456" s="931"/>
      <c r="C456" s="921"/>
      <c r="D456" s="921"/>
      <c r="E456" s="921"/>
      <c r="F456" s="921"/>
      <c r="G456" s="921"/>
      <c r="H456" s="921"/>
      <c r="I456" s="921"/>
      <c r="J456" s="921"/>
      <c r="K456" s="921"/>
      <c r="L456" s="921"/>
      <c r="M456" s="921"/>
      <c r="N456" s="921"/>
      <c r="O456" s="921"/>
      <c r="P456" s="921"/>
      <c r="Q456" s="921"/>
      <c r="R456" s="921"/>
      <c r="S456" s="921"/>
      <c r="T456" s="921"/>
      <c r="U456" s="921"/>
      <c r="V456" s="921"/>
      <c r="W456" s="921"/>
      <c r="X456" s="921"/>
      <c r="Y456" s="503"/>
      <c r="Z456" s="503"/>
      <c r="AA456" s="503"/>
      <c r="AB456" s="503"/>
      <c r="AC456" s="503"/>
      <c r="AD456" s="503"/>
      <c r="AE456" s="503"/>
      <c r="AF456" s="503"/>
    </row>
    <row r="457" spans="1:32" ht="15.75" customHeight="1">
      <c r="A457" s="503"/>
      <c r="B457" s="921"/>
      <c r="C457" s="921"/>
      <c r="D457" s="921"/>
      <c r="E457" s="921"/>
      <c r="F457" s="921"/>
      <c r="G457" s="921"/>
      <c r="H457" s="921"/>
      <c r="I457" s="921"/>
      <c r="J457" s="921"/>
      <c r="K457" s="921"/>
      <c r="L457" s="921"/>
      <c r="M457" s="921"/>
      <c r="N457" s="921"/>
      <c r="O457" s="921"/>
      <c r="P457" s="921"/>
      <c r="Q457" s="921"/>
      <c r="R457" s="921"/>
      <c r="S457" s="921"/>
      <c r="T457" s="921"/>
      <c r="U457" s="921"/>
      <c r="V457" s="921"/>
      <c r="W457" s="921"/>
      <c r="X457" s="921"/>
      <c r="Y457" s="503"/>
      <c r="Z457" s="503"/>
      <c r="AA457" s="503"/>
      <c r="AB457" s="503"/>
      <c r="AC457" s="503"/>
      <c r="AD457" s="503"/>
      <c r="AE457" s="503"/>
      <c r="AF457" s="503"/>
    </row>
    <row r="458" spans="1:32" ht="15.75" customHeight="1">
      <c r="A458" s="503"/>
      <c r="B458" s="921"/>
      <c r="C458" s="921"/>
      <c r="D458" s="921"/>
      <c r="E458" s="921"/>
      <c r="F458" s="921"/>
      <c r="G458" s="921"/>
      <c r="H458" s="921"/>
      <c r="I458" s="921"/>
      <c r="J458" s="921"/>
      <c r="K458" s="921"/>
      <c r="L458" s="921"/>
      <c r="M458" s="921"/>
      <c r="N458" s="921"/>
      <c r="O458" s="921"/>
      <c r="P458" s="921"/>
      <c r="Q458" s="921"/>
      <c r="R458" s="921"/>
      <c r="S458" s="921"/>
      <c r="T458" s="921"/>
      <c r="U458" s="921"/>
      <c r="V458" s="921"/>
      <c r="W458" s="921"/>
      <c r="X458" s="921"/>
      <c r="Y458" s="503"/>
      <c r="Z458" s="503"/>
      <c r="AA458" s="503"/>
      <c r="AB458" s="503"/>
      <c r="AC458" s="503"/>
      <c r="AD458" s="503"/>
      <c r="AE458" s="503"/>
      <c r="AF458" s="503"/>
    </row>
    <row r="459" spans="1:32" ht="15.75" customHeight="1">
      <c r="A459" s="503"/>
      <c r="B459" s="503"/>
      <c r="C459" s="510"/>
      <c r="D459" s="510"/>
      <c r="E459" s="510"/>
      <c r="F459" s="746"/>
      <c r="G459" s="510"/>
      <c r="H459" s="510"/>
      <c r="I459" s="510"/>
      <c r="J459" s="510"/>
      <c r="K459" s="510"/>
      <c r="L459" s="510"/>
      <c r="M459" s="509"/>
      <c r="N459" s="508"/>
      <c r="O459" s="507"/>
      <c r="P459" s="507"/>
      <c r="Q459" s="505"/>
      <c r="R459" s="506"/>
      <c r="S459" s="506"/>
      <c r="T459" s="506"/>
      <c r="U459" s="505"/>
      <c r="V459" s="505"/>
      <c r="W459" s="505"/>
      <c r="X459" s="504"/>
      <c r="Y459" s="503"/>
      <c r="Z459" s="503"/>
      <c r="AA459" s="503"/>
      <c r="AB459" s="503"/>
      <c r="AC459" s="503"/>
      <c r="AD459" s="503"/>
      <c r="AE459" s="503"/>
      <c r="AF459" s="503"/>
    </row>
    <row r="460" spans="1:32" ht="15.75" customHeight="1">
      <c r="A460" s="503"/>
      <c r="B460" s="932"/>
      <c r="C460" s="510"/>
      <c r="D460" s="510"/>
      <c r="E460" s="510"/>
      <c r="F460" s="746"/>
      <c r="G460" s="510"/>
      <c r="H460" s="510"/>
      <c r="I460" s="510"/>
      <c r="J460" s="510"/>
      <c r="K460" s="510"/>
      <c r="L460" s="510"/>
      <c r="M460" s="509"/>
      <c r="N460" s="508"/>
      <c r="O460" s="507"/>
      <c r="P460" s="507"/>
      <c r="Q460" s="505"/>
      <c r="R460" s="506"/>
      <c r="S460" s="506"/>
      <c r="T460" s="506"/>
      <c r="U460" s="505"/>
      <c r="V460" s="505"/>
      <c r="W460" s="505"/>
      <c r="X460" s="504"/>
      <c r="Y460" s="503"/>
      <c r="Z460" s="504"/>
      <c r="AA460" s="503"/>
      <c r="AB460" s="503"/>
      <c r="AC460" s="503"/>
      <c r="AD460" s="503"/>
      <c r="AE460" s="503"/>
      <c r="AF460" s="503"/>
    </row>
    <row r="461" spans="1:32" ht="14.4">
      <c r="A461" s="503"/>
      <c r="B461" s="921"/>
      <c r="C461" s="510"/>
      <c r="D461" s="513"/>
      <c r="E461" s="513"/>
      <c r="F461" s="750"/>
      <c r="G461" s="510"/>
      <c r="H461" s="510"/>
      <c r="I461" s="510"/>
      <c r="J461" s="510"/>
      <c r="K461" s="510"/>
      <c r="L461" s="510"/>
      <c r="M461" s="509"/>
      <c r="N461" s="508"/>
      <c r="O461" s="507"/>
      <c r="P461" s="507"/>
      <c r="Q461" s="505"/>
      <c r="R461" s="506"/>
      <c r="S461" s="506"/>
      <c r="T461" s="506"/>
      <c r="U461" s="505"/>
      <c r="V461" s="505"/>
      <c r="W461" s="505"/>
      <c r="X461" s="504"/>
      <c r="Y461" s="503"/>
      <c r="Z461" s="503"/>
      <c r="AA461" s="503"/>
      <c r="AB461" s="503"/>
      <c r="AC461" s="503"/>
      <c r="AD461" s="503"/>
      <c r="AE461" s="503"/>
      <c r="AF461" s="503"/>
    </row>
    <row r="462" spans="1:32" ht="14.4">
      <c r="A462" s="503"/>
      <c r="B462" s="921"/>
      <c r="C462" s="510"/>
      <c r="D462" s="513"/>
      <c r="E462" s="513"/>
      <c r="F462" s="750"/>
      <c r="G462" s="513"/>
      <c r="H462" s="513"/>
      <c r="I462" s="510"/>
      <c r="J462" s="510"/>
      <c r="K462" s="510"/>
      <c r="L462" s="510"/>
      <c r="M462" s="509"/>
      <c r="N462" s="508"/>
      <c r="O462" s="507"/>
      <c r="P462" s="507"/>
      <c r="Q462" s="505"/>
      <c r="R462" s="506"/>
      <c r="S462" s="506"/>
      <c r="T462" s="506"/>
      <c r="U462" s="505"/>
      <c r="V462" s="505"/>
      <c r="W462" s="505"/>
      <c r="X462" s="504"/>
      <c r="Y462" s="503"/>
      <c r="Z462" s="503"/>
      <c r="AA462" s="503"/>
      <c r="AB462" s="503"/>
      <c r="AC462" s="503"/>
      <c r="AD462" s="503"/>
      <c r="AE462" s="503"/>
      <c r="AF462" s="503"/>
    </row>
    <row r="463" spans="1:32" ht="15" customHeight="1">
      <c r="A463" s="503"/>
      <c r="B463" s="921"/>
      <c r="C463" s="510"/>
      <c r="D463" s="513"/>
      <c r="E463" s="513"/>
      <c r="F463" s="750"/>
      <c r="G463" s="513"/>
      <c r="H463" s="513"/>
      <c r="I463" s="510"/>
      <c r="J463" s="510"/>
      <c r="K463" s="510"/>
      <c r="L463" s="510"/>
      <c r="M463" s="509"/>
      <c r="N463" s="508"/>
      <c r="O463" s="507"/>
      <c r="P463" s="507"/>
      <c r="Q463" s="505"/>
      <c r="R463" s="506"/>
      <c r="S463" s="506"/>
      <c r="T463" s="506"/>
      <c r="U463" s="505"/>
      <c r="V463" s="505"/>
      <c r="W463" s="505"/>
      <c r="X463" s="504"/>
      <c r="Y463" s="503"/>
      <c r="Z463" s="503"/>
      <c r="AA463" s="503"/>
      <c r="AB463" s="503"/>
      <c r="AC463" s="503"/>
      <c r="AD463" s="503"/>
      <c r="AE463" s="503"/>
      <c r="AF463" s="503"/>
    </row>
    <row r="464" spans="1:32" ht="15" customHeight="1">
      <c r="A464" s="503"/>
      <c r="B464" s="921"/>
      <c r="C464" s="510"/>
      <c r="D464" s="513"/>
      <c r="E464" s="513"/>
      <c r="F464" s="750"/>
      <c r="G464" s="513"/>
      <c r="H464" s="513"/>
      <c r="I464" s="510"/>
      <c r="J464" s="510"/>
      <c r="K464" s="510"/>
      <c r="L464" s="510"/>
      <c r="M464" s="509"/>
      <c r="N464" s="508"/>
      <c r="O464" s="507"/>
      <c r="P464" s="507"/>
      <c r="Q464" s="505"/>
      <c r="R464" s="506"/>
      <c r="S464" s="506"/>
      <c r="T464" s="506"/>
      <c r="U464" s="505"/>
      <c r="V464" s="505"/>
      <c r="W464" s="505"/>
      <c r="X464" s="504"/>
      <c r="Y464" s="503"/>
      <c r="Z464" s="503"/>
      <c r="AA464" s="503"/>
      <c r="AB464" s="503"/>
      <c r="AC464" s="503"/>
      <c r="AD464" s="503"/>
      <c r="AE464" s="503"/>
      <c r="AF464" s="503"/>
    </row>
    <row r="465" spans="1:32" ht="15" customHeight="1">
      <c r="A465" s="503"/>
      <c r="B465" s="921"/>
      <c r="C465" s="510"/>
      <c r="D465" s="513"/>
      <c r="E465" s="513"/>
      <c r="F465" s="750"/>
      <c r="G465" s="513"/>
      <c r="H465" s="513"/>
      <c r="I465" s="510"/>
      <c r="J465" s="510"/>
      <c r="K465" s="510"/>
      <c r="L465" s="510"/>
      <c r="M465" s="509"/>
      <c r="N465" s="508"/>
      <c r="O465" s="507"/>
      <c r="P465" s="507"/>
      <c r="Q465" s="505"/>
      <c r="R465" s="506"/>
      <c r="S465" s="506"/>
      <c r="T465" s="506"/>
      <c r="U465" s="505"/>
      <c r="V465" s="505"/>
      <c r="W465" s="505"/>
      <c r="X465" s="504"/>
      <c r="Y465" s="503"/>
      <c r="Z465" s="503"/>
      <c r="AA465" s="503"/>
      <c r="AB465" s="503"/>
      <c r="AC465" s="503"/>
      <c r="AD465" s="503"/>
      <c r="AE465" s="503"/>
      <c r="AF465" s="503"/>
    </row>
    <row r="466" spans="1:32" ht="15" customHeight="1">
      <c r="A466" s="503"/>
      <c r="B466" s="921"/>
      <c r="C466" s="510"/>
      <c r="D466" s="513"/>
      <c r="E466" s="513"/>
      <c r="F466" s="750"/>
      <c r="G466" s="513"/>
      <c r="H466" s="513"/>
      <c r="I466" s="510"/>
      <c r="J466" s="510"/>
      <c r="K466" s="510"/>
      <c r="L466" s="510"/>
      <c r="M466" s="509"/>
      <c r="N466" s="508"/>
      <c r="O466" s="507"/>
      <c r="P466" s="507"/>
      <c r="Q466" s="505"/>
      <c r="R466" s="506"/>
      <c r="S466" s="506"/>
      <c r="T466" s="506"/>
      <c r="U466" s="505"/>
      <c r="V466" s="505"/>
      <c r="W466" s="505"/>
      <c r="X466" s="504"/>
      <c r="Y466" s="503"/>
      <c r="Z466" s="503"/>
      <c r="AA466" s="503"/>
      <c r="AB466" s="503"/>
      <c r="AC466" s="503"/>
      <c r="AD466" s="503"/>
      <c r="AE466" s="503"/>
      <c r="AF466" s="503"/>
    </row>
    <row r="467" spans="1:32" ht="15" customHeight="1">
      <c r="A467" s="503"/>
      <c r="B467" s="514"/>
      <c r="C467" s="510"/>
      <c r="D467" s="513"/>
      <c r="E467" s="513"/>
      <c r="F467" s="750"/>
      <c r="G467" s="513"/>
      <c r="H467" s="513"/>
      <c r="I467" s="510"/>
      <c r="J467" s="510"/>
      <c r="K467" s="510"/>
      <c r="L467" s="510"/>
      <c r="M467" s="509"/>
      <c r="N467" s="508"/>
      <c r="O467" s="507"/>
      <c r="P467" s="507"/>
      <c r="Q467" s="505"/>
      <c r="R467" s="506"/>
      <c r="S467" s="506"/>
      <c r="T467" s="506"/>
      <c r="U467" s="505"/>
      <c r="V467" s="505"/>
      <c r="W467" s="505"/>
      <c r="X467" s="504"/>
      <c r="Y467" s="503"/>
      <c r="Z467" s="503"/>
      <c r="AA467" s="503"/>
      <c r="AB467" s="503"/>
      <c r="AC467" s="503"/>
      <c r="AD467" s="503"/>
      <c r="AE467" s="503"/>
      <c r="AF467" s="503"/>
    </row>
    <row r="468" spans="1:32" ht="15" customHeight="1">
      <c r="A468" s="503"/>
      <c r="B468" s="503"/>
      <c r="C468" s="510"/>
      <c r="D468" s="513"/>
      <c r="E468" s="513"/>
      <c r="F468" s="750"/>
      <c r="G468" s="513"/>
      <c r="H468" s="513"/>
      <c r="I468" s="510"/>
      <c r="J468" s="510"/>
      <c r="K468" s="510"/>
      <c r="L468" s="510"/>
      <c r="M468" s="509"/>
      <c r="N468" s="508"/>
      <c r="O468" s="507"/>
      <c r="P468" s="507"/>
      <c r="Q468" s="505"/>
      <c r="R468" s="506"/>
      <c r="S468" s="506"/>
      <c r="T468" s="506"/>
      <c r="U468" s="505"/>
      <c r="V468" s="505"/>
      <c r="W468" s="505"/>
      <c r="X468" s="504"/>
      <c r="Y468" s="503"/>
      <c r="Z468" s="503"/>
      <c r="AA468" s="503"/>
      <c r="AB468" s="503"/>
      <c r="AC468" s="503"/>
      <c r="AD468" s="503"/>
      <c r="AE468" s="503"/>
      <c r="AF468" s="503"/>
    </row>
    <row r="469" spans="1:32" ht="15" customHeight="1">
      <c r="A469" s="503"/>
      <c r="B469" s="932"/>
      <c r="C469" s="510"/>
      <c r="D469" s="510"/>
      <c r="E469" s="510"/>
      <c r="F469" s="750"/>
      <c r="G469" s="513"/>
      <c r="H469" s="513"/>
      <c r="I469" s="510"/>
      <c r="J469" s="510"/>
      <c r="K469" s="510"/>
      <c r="L469" s="510"/>
      <c r="M469" s="509"/>
      <c r="N469" s="508"/>
      <c r="O469" s="507"/>
      <c r="P469" s="507"/>
      <c r="Q469" s="505"/>
      <c r="R469" s="506"/>
      <c r="S469" s="506"/>
      <c r="T469" s="506"/>
      <c r="U469" s="505"/>
      <c r="V469" s="505"/>
      <c r="W469" s="505"/>
      <c r="X469" s="504"/>
      <c r="Y469" s="503"/>
      <c r="Z469" s="503"/>
      <c r="AA469" s="503"/>
      <c r="AB469" s="503"/>
      <c r="AC469" s="503"/>
      <c r="AD469" s="503"/>
      <c r="AE469" s="503"/>
      <c r="AF469" s="503"/>
    </row>
    <row r="470" spans="1:32" ht="15.75" customHeight="1">
      <c r="A470" s="503"/>
      <c r="B470" s="921"/>
      <c r="C470" s="510"/>
      <c r="D470" s="510"/>
      <c r="E470" s="510"/>
      <c r="F470" s="746"/>
      <c r="G470" s="510"/>
      <c r="H470" s="510"/>
      <c r="I470" s="510"/>
      <c r="J470" s="510"/>
      <c r="K470" s="510"/>
      <c r="L470" s="510"/>
      <c r="M470" s="509"/>
      <c r="N470" s="508"/>
      <c r="O470" s="507"/>
      <c r="P470" s="507"/>
      <c r="Q470" s="505"/>
      <c r="R470" s="506"/>
      <c r="S470" s="506"/>
      <c r="T470" s="506"/>
      <c r="U470" s="505"/>
      <c r="V470" s="505"/>
      <c r="W470" s="505"/>
      <c r="X470" s="504"/>
      <c r="Y470" s="503"/>
      <c r="Z470" s="503"/>
      <c r="AA470" s="503"/>
      <c r="AB470" s="503"/>
      <c r="AC470" s="503"/>
      <c r="AD470" s="503"/>
      <c r="AE470" s="503"/>
      <c r="AF470" s="503"/>
    </row>
    <row r="471" spans="1:32" ht="15.75" customHeight="1">
      <c r="A471" s="503"/>
      <c r="B471" s="503"/>
      <c r="C471" s="510"/>
      <c r="D471" s="510"/>
      <c r="E471" s="510"/>
      <c r="F471" s="746"/>
      <c r="G471" s="510"/>
      <c r="H471" s="510"/>
      <c r="I471" s="510"/>
      <c r="J471" s="510"/>
      <c r="K471" s="510"/>
      <c r="L471" s="510"/>
      <c r="M471" s="509"/>
      <c r="N471" s="508"/>
      <c r="O471" s="507"/>
      <c r="P471" s="507"/>
      <c r="Q471" s="505"/>
      <c r="R471" s="506"/>
      <c r="S471" s="506"/>
      <c r="T471" s="506"/>
      <c r="U471" s="505"/>
      <c r="V471" s="505"/>
      <c r="W471" s="505"/>
      <c r="X471" s="504"/>
      <c r="Y471" s="503"/>
      <c r="Z471" s="503"/>
      <c r="AA471" s="503"/>
      <c r="AB471" s="503"/>
      <c r="AC471" s="503"/>
      <c r="AD471" s="503"/>
      <c r="AE471" s="503"/>
      <c r="AF471" s="503"/>
    </row>
    <row r="472" spans="1:32" ht="15.75" customHeight="1">
      <c r="A472" s="503"/>
      <c r="B472" s="503"/>
      <c r="C472" s="510"/>
      <c r="D472" s="510"/>
      <c r="E472" s="510"/>
      <c r="F472" s="746"/>
      <c r="G472" s="510"/>
      <c r="H472" s="510"/>
      <c r="I472" s="510"/>
      <c r="J472" s="510"/>
      <c r="K472" s="510"/>
      <c r="L472" s="510"/>
      <c r="M472" s="509"/>
      <c r="N472" s="508"/>
      <c r="O472" s="507"/>
      <c r="P472" s="507"/>
      <c r="Q472" s="505"/>
      <c r="R472" s="506"/>
      <c r="S472" s="506"/>
      <c r="T472" s="506"/>
      <c r="U472" s="505"/>
      <c r="V472" s="505"/>
      <c r="W472" s="505"/>
      <c r="X472" s="504"/>
      <c r="Y472" s="503"/>
      <c r="Z472" s="503"/>
      <c r="AA472" s="503"/>
      <c r="AB472" s="503"/>
      <c r="AC472" s="503"/>
      <c r="AD472" s="503"/>
      <c r="AE472" s="503"/>
      <c r="AF472" s="503"/>
    </row>
    <row r="473" spans="1:32" ht="15.75" customHeight="1">
      <c r="A473" s="503"/>
      <c r="B473" s="503"/>
      <c r="C473" s="510"/>
      <c r="D473" s="510"/>
      <c r="E473" s="510"/>
      <c r="F473" s="746"/>
      <c r="G473" s="510"/>
      <c r="H473" s="510"/>
      <c r="I473" s="510"/>
      <c r="J473" s="510"/>
      <c r="K473" s="510"/>
      <c r="L473" s="510"/>
      <c r="M473" s="509"/>
      <c r="N473" s="508"/>
      <c r="O473" s="507"/>
      <c r="P473" s="507"/>
      <c r="Q473" s="505"/>
      <c r="R473" s="506"/>
      <c r="S473" s="506"/>
      <c r="T473" s="506"/>
      <c r="U473" s="505"/>
      <c r="V473" s="505"/>
      <c r="W473" s="505"/>
      <c r="X473" s="504"/>
      <c r="Y473" s="503"/>
      <c r="Z473" s="503"/>
      <c r="AA473" s="503"/>
      <c r="AB473" s="503"/>
      <c r="AC473" s="503"/>
      <c r="AD473" s="503"/>
      <c r="AE473" s="503"/>
      <c r="AF473" s="503"/>
    </row>
    <row r="474" spans="1:32" ht="15.75" customHeight="1">
      <c r="A474" s="503"/>
      <c r="B474" s="503"/>
      <c r="C474" s="510"/>
      <c r="D474" s="510"/>
      <c r="E474" s="510"/>
      <c r="F474" s="746"/>
      <c r="G474" s="510"/>
      <c r="H474" s="510"/>
      <c r="I474" s="510"/>
      <c r="J474" s="510"/>
      <c r="K474" s="510"/>
      <c r="L474" s="510"/>
      <c r="M474" s="509"/>
      <c r="N474" s="508"/>
      <c r="O474" s="507"/>
      <c r="P474" s="507"/>
      <c r="Q474" s="505"/>
      <c r="R474" s="506"/>
      <c r="S474" s="506"/>
      <c r="T474" s="506"/>
      <c r="U474" s="505"/>
      <c r="V474" s="505"/>
      <c r="W474" s="505"/>
      <c r="X474" s="504"/>
      <c r="Y474" s="503"/>
      <c r="Z474" s="503"/>
      <c r="AA474" s="503"/>
      <c r="AB474" s="503"/>
      <c r="AC474" s="503"/>
      <c r="AD474" s="503"/>
      <c r="AE474" s="503"/>
      <c r="AF474" s="503"/>
    </row>
    <row r="475" spans="1:32" ht="15.75" customHeight="1">
      <c r="A475" s="503"/>
      <c r="B475" s="503"/>
      <c r="C475" s="510"/>
      <c r="D475" s="510"/>
      <c r="E475" s="510"/>
      <c r="F475" s="746"/>
      <c r="G475" s="510"/>
      <c r="H475" s="510"/>
      <c r="I475" s="510"/>
      <c r="J475" s="510"/>
      <c r="K475" s="510"/>
      <c r="L475" s="510"/>
      <c r="M475" s="509"/>
      <c r="N475" s="508"/>
      <c r="O475" s="507"/>
      <c r="P475" s="507"/>
      <c r="Q475" s="505"/>
      <c r="R475" s="506"/>
      <c r="S475" s="506"/>
      <c r="T475" s="506"/>
      <c r="U475" s="505"/>
      <c r="V475" s="505"/>
      <c r="W475" s="505"/>
      <c r="X475" s="504"/>
      <c r="Y475" s="503"/>
      <c r="Z475" s="503"/>
      <c r="AA475" s="503"/>
      <c r="AB475" s="503"/>
      <c r="AC475" s="503"/>
      <c r="AD475" s="503"/>
      <c r="AE475" s="503"/>
      <c r="AF475" s="503"/>
    </row>
    <row r="476" spans="1:32" ht="15.75" customHeight="1">
      <c r="A476" s="503"/>
      <c r="B476" s="503"/>
      <c r="C476" s="510"/>
      <c r="D476" s="510"/>
      <c r="E476" s="510"/>
      <c r="F476" s="746"/>
      <c r="G476" s="510"/>
      <c r="H476" s="510"/>
      <c r="I476" s="510"/>
      <c r="J476" s="510"/>
      <c r="K476" s="510"/>
      <c r="L476" s="510"/>
      <c r="M476" s="509"/>
      <c r="N476" s="508"/>
      <c r="O476" s="507"/>
      <c r="P476" s="507"/>
      <c r="Q476" s="505"/>
      <c r="R476" s="506"/>
      <c r="S476" s="506"/>
      <c r="T476" s="506"/>
      <c r="U476" s="505"/>
      <c r="V476" s="505"/>
      <c r="W476" s="505"/>
      <c r="X476" s="504"/>
      <c r="Y476" s="503"/>
      <c r="Z476" s="503"/>
      <c r="AA476" s="503"/>
      <c r="AB476" s="503"/>
      <c r="AC476" s="503"/>
      <c r="AD476" s="503"/>
      <c r="AE476" s="503"/>
      <c r="AF476" s="503"/>
    </row>
    <row r="477" spans="1:32" ht="15.75" customHeight="1">
      <c r="A477" s="503"/>
      <c r="B477" s="503"/>
      <c r="C477" s="510"/>
      <c r="D477" s="510"/>
      <c r="E477" s="510"/>
      <c r="F477" s="746"/>
      <c r="G477" s="510"/>
      <c r="H477" s="510"/>
      <c r="I477" s="510"/>
      <c r="J477" s="510"/>
      <c r="K477" s="510"/>
      <c r="L477" s="510"/>
      <c r="M477" s="509"/>
      <c r="N477" s="508"/>
      <c r="O477" s="507"/>
      <c r="P477" s="507"/>
      <c r="Q477" s="505"/>
      <c r="R477" s="506"/>
      <c r="S477" s="506"/>
      <c r="T477" s="506"/>
      <c r="U477" s="505"/>
      <c r="V477" s="505"/>
      <c r="W477" s="505"/>
      <c r="X477" s="504"/>
      <c r="Y477" s="503"/>
      <c r="Z477" s="503"/>
      <c r="AA477" s="503"/>
      <c r="AB477" s="503"/>
      <c r="AC477" s="503"/>
      <c r="AD477" s="503"/>
      <c r="AE477" s="503"/>
      <c r="AF477" s="503"/>
    </row>
    <row r="478" spans="1:32" ht="15.75" customHeight="1">
      <c r="A478" s="503"/>
      <c r="B478" s="503"/>
      <c r="C478" s="510"/>
      <c r="D478" s="510"/>
      <c r="E478" s="510"/>
      <c r="F478" s="746"/>
      <c r="G478" s="510"/>
      <c r="H478" s="510"/>
      <c r="I478" s="510"/>
      <c r="J478" s="510"/>
      <c r="K478" s="510"/>
      <c r="L478" s="510"/>
      <c r="M478" s="509"/>
      <c r="N478" s="508"/>
      <c r="O478" s="507"/>
      <c r="P478" s="507"/>
      <c r="Q478" s="505"/>
      <c r="R478" s="506"/>
      <c r="S478" s="506"/>
      <c r="T478" s="506"/>
      <c r="U478" s="505"/>
      <c r="V478" s="505"/>
      <c r="W478" s="505"/>
      <c r="X478" s="504"/>
      <c r="Y478" s="503"/>
      <c r="Z478" s="503"/>
      <c r="AA478" s="503"/>
      <c r="AB478" s="503"/>
      <c r="AC478" s="503"/>
      <c r="AD478" s="503"/>
      <c r="AE478" s="503"/>
      <c r="AF478" s="503"/>
    </row>
    <row r="479" spans="1:32" ht="15.75" customHeight="1">
      <c r="A479" s="503"/>
      <c r="B479" s="503"/>
      <c r="C479" s="510"/>
      <c r="D479" s="510"/>
      <c r="E479" s="510"/>
      <c r="F479" s="746"/>
      <c r="G479" s="510"/>
      <c r="H479" s="510"/>
      <c r="I479" s="510"/>
      <c r="J479" s="510"/>
      <c r="K479" s="510"/>
      <c r="L479" s="510"/>
      <c r="M479" s="509"/>
      <c r="N479" s="508"/>
      <c r="O479" s="507"/>
      <c r="P479" s="507"/>
      <c r="Q479" s="505"/>
      <c r="R479" s="506"/>
      <c r="S479" s="506"/>
      <c r="T479" s="506"/>
      <c r="U479" s="505"/>
      <c r="V479" s="505"/>
      <c r="W479" s="505"/>
      <c r="X479" s="504"/>
      <c r="Y479" s="503"/>
      <c r="Z479" s="503"/>
      <c r="AA479" s="503"/>
      <c r="AB479" s="503"/>
      <c r="AC479" s="503"/>
      <c r="AD479" s="503"/>
      <c r="AE479" s="503"/>
      <c r="AF479" s="503"/>
    </row>
    <row r="480" spans="1:32" ht="15.75" customHeight="1">
      <c r="A480" s="503"/>
      <c r="B480" s="503"/>
      <c r="C480" s="510"/>
      <c r="D480" s="510"/>
      <c r="E480" s="510"/>
      <c r="F480" s="746"/>
      <c r="G480" s="510"/>
      <c r="H480" s="510"/>
      <c r="I480" s="510"/>
      <c r="J480" s="510"/>
      <c r="K480" s="510"/>
      <c r="L480" s="510"/>
      <c r="M480" s="509"/>
      <c r="N480" s="508"/>
      <c r="O480" s="507"/>
      <c r="P480" s="507"/>
      <c r="Q480" s="505"/>
      <c r="R480" s="506"/>
      <c r="S480" s="506"/>
      <c r="T480" s="506"/>
      <c r="U480" s="505"/>
      <c r="V480" s="505"/>
      <c r="W480" s="505"/>
      <c r="X480" s="504"/>
      <c r="Y480" s="503"/>
      <c r="Z480" s="503"/>
      <c r="AA480" s="503"/>
      <c r="AB480" s="503"/>
      <c r="AC480" s="503"/>
      <c r="AD480" s="503"/>
      <c r="AE480" s="503"/>
      <c r="AF480" s="503"/>
    </row>
    <row r="481" spans="1:32" ht="15.75" customHeight="1">
      <c r="A481" s="503"/>
      <c r="B481" s="503"/>
      <c r="C481" s="510"/>
      <c r="D481" s="510"/>
      <c r="E481" s="510"/>
      <c r="F481" s="746"/>
      <c r="G481" s="510"/>
      <c r="H481" s="510"/>
      <c r="I481" s="510"/>
      <c r="J481" s="510"/>
      <c r="K481" s="510"/>
      <c r="L481" s="510"/>
      <c r="M481" s="509"/>
      <c r="N481" s="508"/>
      <c r="O481" s="507"/>
      <c r="P481" s="507"/>
      <c r="Q481" s="505"/>
      <c r="R481" s="506"/>
      <c r="S481" s="506"/>
      <c r="T481" s="506"/>
      <c r="U481" s="505"/>
      <c r="V481" s="505"/>
      <c r="W481" s="505"/>
      <c r="X481" s="504"/>
      <c r="Y481" s="503"/>
      <c r="Z481" s="503"/>
      <c r="AA481" s="503"/>
      <c r="AB481" s="503"/>
      <c r="AC481" s="503"/>
      <c r="AD481" s="503"/>
      <c r="AE481" s="503"/>
      <c r="AF481" s="503"/>
    </row>
    <row r="482" spans="1:32" ht="15.75" customHeight="1">
      <c r="A482" s="503"/>
      <c r="B482" s="503"/>
      <c r="C482" s="510"/>
      <c r="D482" s="510"/>
      <c r="E482" s="510"/>
      <c r="F482" s="746"/>
      <c r="G482" s="510"/>
      <c r="H482" s="510"/>
      <c r="I482" s="510"/>
      <c r="J482" s="510"/>
      <c r="K482" s="510"/>
      <c r="L482" s="510"/>
      <c r="M482" s="509"/>
      <c r="N482" s="508"/>
      <c r="O482" s="507"/>
      <c r="P482" s="507"/>
      <c r="Q482" s="505"/>
      <c r="R482" s="506"/>
      <c r="S482" s="506"/>
      <c r="T482" s="506"/>
      <c r="U482" s="505"/>
      <c r="V482" s="505"/>
      <c r="W482" s="505"/>
      <c r="X482" s="504"/>
      <c r="Y482" s="503"/>
      <c r="Z482" s="503"/>
      <c r="AA482" s="503"/>
      <c r="AB482" s="503"/>
      <c r="AC482" s="503"/>
      <c r="AD482" s="503"/>
      <c r="AE482" s="503"/>
      <c r="AF482" s="503"/>
    </row>
    <row r="483" spans="1:32" ht="15.75" customHeight="1">
      <c r="A483" s="503"/>
      <c r="B483" s="503"/>
      <c r="C483" s="510"/>
      <c r="D483" s="510"/>
      <c r="E483" s="510"/>
      <c r="F483" s="746"/>
      <c r="G483" s="510"/>
      <c r="H483" s="510"/>
      <c r="I483" s="510"/>
      <c r="J483" s="510"/>
      <c r="K483" s="510"/>
      <c r="L483" s="510"/>
      <c r="M483" s="509"/>
      <c r="N483" s="508"/>
      <c r="O483" s="507"/>
      <c r="P483" s="507"/>
      <c r="Q483" s="505"/>
      <c r="R483" s="506"/>
      <c r="S483" s="506"/>
      <c r="T483" s="506"/>
      <c r="U483" s="505"/>
      <c r="V483" s="505"/>
      <c r="W483" s="505"/>
      <c r="X483" s="504"/>
      <c r="Y483" s="503"/>
      <c r="Z483" s="503"/>
      <c r="AA483" s="503"/>
      <c r="AB483" s="503"/>
      <c r="AC483" s="503"/>
      <c r="AD483" s="503"/>
      <c r="AE483" s="503"/>
      <c r="AF483" s="503"/>
    </row>
    <row r="484" spans="1:32" ht="15.75" customHeight="1">
      <c r="A484" s="503"/>
      <c r="B484" s="503"/>
      <c r="C484" s="510"/>
      <c r="D484" s="510"/>
      <c r="E484" s="510"/>
      <c r="F484" s="746"/>
      <c r="G484" s="510"/>
      <c r="H484" s="510"/>
      <c r="I484" s="510"/>
      <c r="J484" s="510"/>
      <c r="K484" s="510"/>
      <c r="L484" s="510"/>
      <c r="M484" s="509"/>
      <c r="N484" s="508"/>
      <c r="O484" s="507"/>
      <c r="P484" s="507"/>
      <c r="Q484" s="505"/>
      <c r="R484" s="506"/>
      <c r="S484" s="506"/>
      <c r="T484" s="506"/>
      <c r="U484" s="505"/>
      <c r="V484" s="505"/>
      <c r="W484" s="505"/>
      <c r="X484" s="504"/>
      <c r="Y484" s="503"/>
      <c r="Z484" s="503"/>
      <c r="AA484" s="503"/>
      <c r="AB484" s="503"/>
      <c r="AC484" s="503"/>
      <c r="AD484" s="503"/>
      <c r="AE484" s="503"/>
      <c r="AF484" s="503"/>
    </row>
    <row r="485" spans="1:32" ht="15.75" customHeight="1">
      <c r="A485" s="503"/>
      <c r="B485" s="503"/>
      <c r="C485" s="510"/>
      <c r="D485" s="510"/>
      <c r="E485" s="510"/>
      <c r="F485" s="746"/>
      <c r="G485" s="510"/>
      <c r="H485" s="510"/>
      <c r="I485" s="510"/>
      <c r="J485" s="510"/>
      <c r="K485" s="510"/>
      <c r="L485" s="510"/>
      <c r="M485" s="509"/>
      <c r="N485" s="508"/>
      <c r="O485" s="507"/>
      <c r="P485" s="507"/>
      <c r="Q485" s="505"/>
      <c r="R485" s="506"/>
      <c r="S485" s="506"/>
      <c r="T485" s="506"/>
      <c r="U485" s="505"/>
      <c r="V485" s="505"/>
      <c r="W485" s="505"/>
      <c r="X485" s="504"/>
      <c r="Y485" s="503"/>
      <c r="Z485" s="503"/>
      <c r="AA485" s="503"/>
      <c r="AB485" s="503"/>
      <c r="AC485" s="503"/>
      <c r="AD485" s="503"/>
      <c r="AE485" s="503"/>
      <c r="AF485" s="503"/>
    </row>
    <row r="486" spans="1:32" ht="15.75" customHeight="1">
      <c r="A486" s="503"/>
      <c r="B486" s="503"/>
      <c r="C486" s="510"/>
      <c r="D486" s="510"/>
      <c r="E486" s="510"/>
      <c r="F486" s="746"/>
      <c r="G486" s="510"/>
      <c r="H486" s="510"/>
      <c r="I486" s="510"/>
      <c r="J486" s="510"/>
      <c r="K486" s="510"/>
      <c r="L486" s="510"/>
      <c r="M486" s="509"/>
      <c r="N486" s="508"/>
      <c r="O486" s="507"/>
      <c r="P486" s="507"/>
      <c r="Q486" s="505"/>
      <c r="R486" s="506"/>
      <c r="S486" s="506"/>
      <c r="T486" s="506"/>
      <c r="U486" s="505"/>
      <c r="V486" s="505"/>
      <c r="W486" s="505"/>
      <c r="X486" s="504"/>
      <c r="Y486" s="503"/>
      <c r="Z486" s="503"/>
      <c r="AA486" s="503"/>
      <c r="AB486" s="503"/>
      <c r="AC486" s="503"/>
      <c r="AD486" s="503"/>
      <c r="AE486" s="503"/>
      <c r="AF486" s="503"/>
    </row>
    <row r="487" spans="1:32" ht="15.75" customHeight="1">
      <c r="A487" s="503"/>
      <c r="B487" s="503"/>
      <c r="C487" s="510"/>
      <c r="D487" s="510"/>
      <c r="E487" s="510"/>
      <c r="F487" s="746"/>
      <c r="G487" s="510"/>
      <c r="H487" s="510"/>
      <c r="I487" s="510"/>
      <c r="J487" s="510"/>
      <c r="K487" s="510"/>
      <c r="L487" s="510"/>
      <c r="M487" s="509"/>
      <c r="N487" s="508"/>
      <c r="O487" s="507"/>
      <c r="P487" s="507"/>
      <c r="Q487" s="505"/>
      <c r="R487" s="506"/>
      <c r="S487" s="506"/>
      <c r="T487" s="506"/>
      <c r="U487" s="505"/>
      <c r="V487" s="505"/>
      <c r="W487" s="505"/>
      <c r="X487" s="504"/>
      <c r="Y487" s="503"/>
      <c r="Z487" s="503"/>
      <c r="AA487" s="503"/>
      <c r="AB487" s="503"/>
      <c r="AC487" s="503"/>
      <c r="AD487" s="503"/>
      <c r="AE487" s="503"/>
      <c r="AF487" s="503"/>
    </row>
    <row r="488" spans="1:32" ht="15.75" customHeight="1">
      <c r="A488" s="503"/>
      <c r="B488" s="503"/>
      <c r="C488" s="510"/>
      <c r="D488" s="510"/>
      <c r="E488" s="510"/>
      <c r="F488" s="920"/>
      <c r="G488" s="921"/>
      <c r="I488" s="510"/>
      <c r="J488" s="510"/>
      <c r="K488" s="510"/>
      <c r="L488" s="510"/>
      <c r="M488" s="509"/>
      <c r="N488" s="508"/>
      <c r="O488" s="507"/>
      <c r="P488" s="507"/>
      <c r="Q488" s="505"/>
      <c r="R488" s="506"/>
      <c r="S488" s="506"/>
      <c r="T488" s="506"/>
      <c r="U488" s="505"/>
      <c r="V488" s="505"/>
      <c r="W488" s="505"/>
      <c r="X488" s="504"/>
      <c r="Y488" s="503"/>
      <c r="Z488" s="503"/>
      <c r="AA488" s="503"/>
      <c r="AB488" s="503"/>
      <c r="AC488" s="503"/>
      <c r="AD488" s="503"/>
      <c r="AE488" s="503"/>
      <c r="AF488" s="503"/>
    </row>
    <row r="489" spans="1:32" ht="15.75" customHeight="1">
      <c r="A489" s="503"/>
      <c r="B489" s="503"/>
      <c r="C489" s="510"/>
      <c r="D489" s="510"/>
      <c r="E489" s="510"/>
      <c r="F489" s="751"/>
      <c r="G489" s="512"/>
      <c r="H489" s="512"/>
      <c r="I489" s="510"/>
      <c r="J489" s="510"/>
      <c r="K489" s="510"/>
      <c r="L489" s="510"/>
      <c r="M489" s="509"/>
      <c r="N489" s="508"/>
      <c r="O489" s="507"/>
      <c r="P489" s="507"/>
      <c r="Q489" s="505"/>
      <c r="R489" s="506"/>
      <c r="S489" s="506"/>
      <c r="T489" s="506"/>
      <c r="U489" s="505"/>
      <c r="V489" s="505"/>
      <c r="W489" s="505"/>
      <c r="X489" s="504"/>
      <c r="Y489" s="503"/>
      <c r="Z489" s="503"/>
      <c r="AA489" s="503"/>
      <c r="AB489" s="503"/>
      <c r="AC489" s="503"/>
      <c r="AD489" s="503"/>
      <c r="AE489" s="503"/>
      <c r="AF489" s="503"/>
    </row>
    <row r="490" spans="1:32" ht="15.75" customHeight="1">
      <c r="A490" s="503"/>
      <c r="B490" s="503"/>
      <c r="C490" s="510"/>
      <c r="D490" s="510"/>
      <c r="E490" s="510"/>
      <c r="F490" s="751"/>
      <c r="G490" s="512"/>
      <c r="H490" s="512"/>
      <c r="I490" s="510"/>
      <c r="J490" s="510"/>
      <c r="K490" s="510"/>
      <c r="L490" s="510"/>
      <c r="M490" s="509"/>
      <c r="N490" s="508"/>
      <c r="O490" s="507"/>
      <c r="P490" s="507"/>
      <c r="Q490" s="505"/>
      <c r="R490" s="506"/>
      <c r="S490" s="506"/>
      <c r="T490" s="506"/>
      <c r="U490" s="505"/>
      <c r="V490" s="505"/>
      <c r="W490" s="505"/>
      <c r="X490" s="504"/>
      <c r="Y490" s="503"/>
      <c r="Z490" s="503"/>
      <c r="AA490" s="503"/>
      <c r="AB490" s="503"/>
      <c r="AC490" s="503"/>
      <c r="AD490" s="503"/>
      <c r="AE490" s="503"/>
      <c r="AF490" s="503"/>
    </row>
    <row r="491" spans="1:32" ht="15.75" customHeight="1">
      <c r="A491" s="503"/>
      <c r="B491" s="503"/>
      <c r="C491" s="510"/>
      <c r="D491" s="510"/>
      <c r="E491" s="510"/>
      <c r="F491" s="751"/>
      <c r="G491" s="512"/>
      <c r="H491" s="512"/>
      <c r="I491" s="510"/>
      <c r="J491" s="510"/>
      <c r="K491" s="510"/>
      <c r="L491" s="510"/>
      <c r="M491" s="509"/>
      <c r="N491" s="508"/>
      <c r="O491" s="507"/>
      <c r="P491" s="507"/>
      <c r="Q491" s="505"/>
      <c r="R491" s="506"/>
      <c r="S491" s="506"/>
      <c r="T491" s="506"/>
      <c r="U491" s="505"/>
      <c r="V491" s="505"/>
      <c r="W491" s="505"/>
      <c r="X491" s="504"/>
      <c r="Y491" s="503"/>
      <c r="Z491" s="503"/>
      <c r="AA491" s="503"/>
      <c r="AB491" s="503"/>
      <c r="AC491" s="503"/>
      <c r="AD491" s="503"/>
      <c r="AE491" s="503"/>
      <c r="AF491" s="503"/>
    </row>
    <row r="492" spans="1:32" ht="15.75" customHeight="1">
      <c r="A492" s="503"/>
      <c r="B492" s="503"/>
      <c r="C492" s="510"/>
      <c r="D492" s="510"/>
      <c r="E492" s="510"/>
      <c r="F492" s="751"/>
      <c r="G492" s="512"/>
      <c r="H492" s="512"/>
      <c r="I492" s="510"/>
      <c r="J492" s="510"/>
      <c r="K492" s="510"/>
      <c r="L492" s="510"/>
      <c r="M492" s="509"/>
      <c r="N492" s="508"/>
      <c r="O492" s="507"/>
      <c r="P492" s="507"/>
      <c r="Q492" s="505"/>
      <c r="R492" s="506"/>
      <c r="S492" s="506"/>
      <c r="T492" s="506"/>
      <c r="U492" s="505"/>
      <c r="V492" s="505"/>
      <c r="W492" s="505"/>
      <c r="X492" s="504"/>
      <c r="Y492" s="503"/>
      <c r="Z492" s="503"/>
      <c r="AA492" s="503"/>
      <c r="AB492" s="503"/>
      <c r="AC492" s="503"/>
      <c r="AD492" s="503"/>
      <c r="AE492" s="503"/>
      <c r="AF492" s="503"/>
    </row>
    <row r="493" spans="1:32" ht="15.75" customHeight="1">
      <c r="A493" s="503"/>
      <c r="B493" s="503"/>
      <c r="C493" s="510"/>
      <c r="D493" s="510"/>
      <c r="E493" s="510"/>
      <c r="F493" s="751"/>
      <c r="G493" s="512"/>
      <c r="H493" s="512"/>
      <c r="I493" s="510"/>
      <c r="J493" s="510"/>
      <c r="K493" s="510"/>
      <c r="L493" s="510"/>
      <c r="M493" s="509"/>
      <c r="N493" s="508"/>
      <c r="O493" s="507"/>
      <c r="P493" s="507"/>
      <c r="Q493" s="505"/>
      <c r="R493" s="506"/>
      <c r="S493" s="506"/>
      <c r="T493" s="506"/>
      <c r="U493" s="505"/>
      <c r="V493" s="505"/>
      <c r="W493" s="505"/>
      <c r="X493" s="504"/>
      <c r="Y493" s="503"/>
      <c r="Z493" s="503"/>
      <c r="AA493" s="503"/>
      <c r="AB493" s="503"/>
      <c r="AC493" s="503"/>
      <c r="AD493" s="503"/>
      <c r="AE493" s="503"/>
      <c r="AF493" s="503"/>
    </row>
    <row r="494" spans="1:32" ht="15.75" customHeight="1">
      <c r="A494" s="503"/>
      <c r="B494" s="503"/>
      <c r="C494" s="510"/>
      <c r="D494" s="510"/>
      <c r="E494" s="510"/>
      <c r="F494" s="751"/>
      <c r="G494" s="512"/>
      <c r="H494" s="512"/>
      <c r="I494" s="510"/>
      <c r="J494" s="510"/>
      <c r="K494" s="510"/>
      <c r="L494" s="510"/>
      <c r="M494" s="509"/>
      <c r="N494" s="508"/>
      <c r="O494" s="507"/>
      <c r="P494" s="507"/>
      <c r="Q494" s="505"/>
      <c r="R494" s="506"/>
      <c r="S494" s="506"/>
      <c r="T494" s="506"/>
      <c r="U494" s="505"/>
      <c r="V494" s="505"/>
      <c r="W494" s="505"/>
      <c r="X494" s="504"/>
      <c r="Y494" s="503"/>
      <c r="Z494" s="503"/>
      <c r="AA494" s="503"/>
      <c r="AB494" s="503"/>
      <c r="AC494" s="503"/>
      <c r="AD494" s="503"/>
      <c r="AE494" s="503"/>
      <c r="AF494" s="503"/>
    </row>
    <row r="495" spans="1:32" ht="15.75" customHeight="1">
      <c r="A495" s="503"/>
      <c r="B495" s="503"/>
      <c r="C495" s="510"/>
      <c r="D495" s="510"/>
      <c r="E495" s="510"/>
      <c r="F495" s="752"/>
      <c r="G495" s="511"/>
      <c r="H495" s="511"/>
      <c r="I495" s="510"/>
      <c r="J495" s="510"/>
      <c r="K495" s="510"/>
      <c r="L495" s="510"/>
      <c r="M495" s="509"/>
      <c r="N495" s="508"/>
      <c r="O495" s="507"/>
      <c r="P495" s="507"/>
      <c r="Q495" s="505"/>
      <c r="R495" s="506"/>
      <c r="S495" s="506"/>
      <c r="T495" s="506"/>
      <c r="U495" s="505"/>
      <c r="V495" s="505"/>
      <c r="W495" s="505"/>
      <c r="X495" s="504"/>
      <c r="Y495" s="503"/>
      <c r="Z495" s="503"/>
      <c r="AA495" s="503"/>
      <c r="AB495" s="503"/>
      <c r="AC495" s="503"/>
      <c r="AD495" s="503"/>
      <c r="AE495" s="503"/>
      <c r="AF495" s="503"/>
    </row>
    <row r="496" spans="1:32" ht="15.75" customHeight="1">
      <c r="A496" s="503"/>
      <c r="B496" s="503"/>
      <c r="C496" s="510"/>
      <c r="D496" s="510"/>
      <c r="E496" s="510"/>
      <c r="F496" s="746"/>
      <c r="G496" s="510"/>
      <c r="H496" s="510"/>
      <c r="I496" s="510"/>
      <c r="J496" s="510"/>
      <c r="K496" s="510"/>
      <c r="L496" s="510"/>
      <c r="M496" s="509"/>
      <c r="N496" s="508"/>
      <c r="O496" s="507"/>
      <c r="P496" s="507"/>
      <c r="Q496" s="505"/>
      <c r="R496" s="506"/>
      <c r="S496" s="506"/>
      <c r="T496" s="506"/>
      <c r="U496" s="505"/>
      <c r="V496" s="505"/>
      <c r="W496" s="505"/>
      <c r="X496" s="504"/>
      <c r="Y496" s="503"/>
      <c r="Z496" s="503"/>
      <c r="AA496" s="503"/>
      <c r="AB496" s="503"/>
      <c r="AC496" s="503"/>
      <c r="AD496" s="503"/>
      <c r="AE496" s="503"/>
      <c r="AF496" s="503"/>
    </row>
    <row r="497" spans="1:32" ht="15.75" customHeight="1">
      <c r="A497" s="503"/>
      <c r="B497" s="503"/>
      <c r="C497" s="510"/>
      <c r="D497" s="510"/>
      <c r="E497" s="510"/>
      <c r="F497" s="746"/>
      <c r="G497" s="510"/>
      <c r="H497" s="510"/>
      <c r="I497" s="510"/>
      <c r="J497" s="510"/>
      <c r="K497" s="510"/>
      <c r="L497" s="510"/>
      <c r="M497" s="509"/>
      <c r="N497" s="508"/>
      <c r="O497" s="507"/>
      <c r="P497" s="507"/>
      <c r="Q497" s="505"/>
      <c r="R497" s="506"/>
      <c r="S497" s="506"/>
      <c r="T497" s="506"/>
      <c r="U497" s="505"/>
      <c r="V497" s="505"/>
      <c r="W497" s="505"/>
      <c r="X497" s="504"/>
      <c r="Y497" s="503"/>
      <c r="Z497" s="503"/>
      <c r="AA497" s="503"/>
      <c r="AB497" s="503"/>
      <c r="AC497" s="503"/>
      <c r="AD497" s="503"/>
      <c r="AE497" s="503"/>
      <c r="AF497" s="503"/>
    </row>
    <row r="498" spans="1:32" ht="15.75" customHeight="1">
      <c r="A498" s="503"/>
      <c r="B498" s="503"/>
      <c r="C498" s="510"/>
      <c r="D498" s="510"/>
      <c r="E498" s="510"/>
      <c r="F498" s="746"/>
      <c r="G498" s="510"/>
      <c r="H498" s="510"/>
      <c r="I498" s="510"/>
      <c r="J498" s="510"/>
      <c r="K498" s="510"/>
      <c r="L498" s="510"/>
      <c r="M498" s="509"/>
      <c r="N498" s="508"/>
      <c r="O498" s="507"/>
      <c r="P498" s="507"/>
      <c r="Q498" s="505"/>
      <c r="R498" s="506"/>
      <c r="S498" s="506"/>
      <c r="T498" s="506"/>
      <c r="U498" s="505"/>
      <c r="V498" s="505"/>
      <c r="W498" s="505"/>
      <c r="X498" s="504"/>
      <c r="Y498" s="503"/>
      <c r="Z498" s="503"/>
      <c r="AA498" s="503"/>
      <c r="AB498" s="503"/>
      <c r="AC498" s="503"/>
      <c r="AD498" s="503"/>
      <c r="AE498" s="503"/>
      <c r="AF498" s="503"/>
    </row>
    <row r="499" spans="1:32" ht="15.75" customHeight="1">
      <c r="A499" s="503"/>
      <c r="B499" s="503"/>
      <c r="C499" s="510"/>
      <c r="D499" s="510"/>
      <c r="E499" s="510"/>
      <c r="F499" s="746"/>
      <c r="G499" s="510"/>
      <c r="H499" s="510"/>
      <c r="I499" s="510"/>
      <c r="J499" s="510"/>
      <c r="K499" s="510"/>
      <c r="L499" s="510"/>
      <c r="M499" s="509"/>
      <c r="N499" s="508"/>
      <c r="O499" s="507"/>
      <c r="P499" s="507"/>
      <c r="Q499" s="505"/>
      <c r="R499" s="506"/>
      <c r="S499" s="506"/>
      <c r="T499" s="506"/>
      <c r="U499" s="505"/>
      <c r="V499" s="505"/>
      <c r="W499" s="505"/>
      <c r="X499" s="504"/>
      <c r="Y499" s="503"/>
      <c r="Z499" s="503"/>
      <c r="AA499" s="503"/>
      <c r="AB499" s="503"/>
      <c r="AC499" s="503"/>
      <c r="AD499" s="503"/>
      <c r="AE499" s="503"/>
      <c r="AF499" s="503"/>
    </row>
    <row r="500" spans="1:32" ht="15.75" customHeight="1">
      <c r="A500" s="503"/>
      <c r="B500" s="503"/>
      <c r="C500" s="510"/>
      <c r="D500" s="510"/>
      <c r="E500" s="510"/>
      <c r="F500" s="746"/>
      <c r="G500" s="510"/>
      <c r="H500" s="510"/>
      <c r="I500" s="510"/>
      <c r="J500" s="510"/>
      <c r="K500" s="510"/>
      <c r="L500" s="510"/>
      <c r="M500" s="509"/>
      <c r="N500" s="508"/>
      <c r="O500" s="507"/>
      <c r="P500" s="507"/>
      <c r="Q500" s="505"/>
      <c r="R500" s="506"/>
      <c r="S500" s="506"/>
      <c r="T500" s="506"/>
      <c r="U500" s="505"/>
      <c r="V500" s="505"/>
      <c r="W500" s="505"/>
      <c r="X500" s="504"/>
      <c r="Y500" s="503"/>
      <c r="Z500" s="503"/>
      <c r="AA500" s="503"/>
      <c r="AB500" s="503"/>
      <c r="AC500" s="503"/>
      <c r="AD500" s="503"/>
      <c r="AE500" s="503"/>
      <c r="AF500" s="503"/>
    </row>
    <row r="501" spans="1:32" ht="15.75" customHeight="1">
      <c r="A501" s="503"/>
      <c r="B501" s="503"/>
      <c r="C501" s="510"/>
      <c r="D501" s="510"/>
      <c r="E501" s="510"/>
      <c r="F501" s="746"/>
      <c r="G501" s="510"/>
      <c r="H501" s="510"/>
      <c r="I501" s="510"/>
      <c r="J501" s="510"/>
      <c r="K501" s="510"/>
      <c r="L501" s="510"/>
      <c r="M501" s="509"/>
      <c r="N501" s="508"/>
      <c r="O501" s="507"/>
      <c r="P501" s="507"/>
      <c r="Q501" s="505"/>
      <c r="R501" s="506"/>
      <c r="S501" s="506"/>
      <c r="T501" s="506"/>
      <c r="U501" s="505"/>
      <c r="V501" s="505"/>
      <c r="W501" s="505"/>
      <c r="X501" s="504"/>
      <c r="Y501" s="503"/>
      <c r="Z501" s="503"/>
      <c r="AA501" s="503"/>
      <c r="AB501" s="503"/>
      <c r="AC501" s="503"/>
      <c r="AD501" s="503"/>
      <c r="AE501" s="503"/>
      <c r="AF501" s="503"/>
    </row>
    <row r="502" spans="1:32" ht="15.75" customHeight="1">
      <c r="A502" s="503"/>
      <c r="B502" s="503"/>
      <c r="C502" s="510"/>
      <c r="D502" s="510"/>
      <c r="E502" s="510"/>
      <c r="F502" s="746"/>
      <c r="G502" s="510"/>
      <c r="H502" s="510"/>
      <c r="I502" s="510"/>
      <c r="J502" s="510"/>
      <c r="K502" s="510"/>
      <c r="L502" s="510"/>
      <c r="M502" s="509"/>
      <c r="N502" s="508"/>
      <c r="O502" s="507"/>
      <c r="P502" s="507"/>
      <c r="Q502" s="505"/>
      <c r="R502" s="506"/>
      <c r="S502" s="506"/>
      <c r="T502" s="506"/>
      <c r="U502" s="505"/>
      <c r="V502" s="505"/>
      <c r="W502" s="505"/>
      <c r="X502" s="504"/>
      <c r="Y502" s="503"/>
      <c r="Z502" s="503"/>
      <c r="AA502" s="503"/>
      <c r="AB502" s="503"/>
      <c r="AC502" s="503"/>
      <c r="AD502" s="503"/>
      <c r="AE502" s="503"/>
      <c r="AF502" s="503"/>
    </row>
    <row r="503" spans="1:32" ht="15.75" customHeight="1">
      <c r="A503" s="503"/>
      <c r="B503" s="503"/>
      <c r="C503" s="510"/>
      <c r="D503" s="510"/>
      <c r="E503" s="510"/>
      <c r="F503" s="746"/>
      <c r="G503" s="510"/>
      <c r="H503" s="510"/>
      <c r="I503" s="510"/>
      <c r="J503" s="510"/>
      <c r="K503" s="510"/>
      <c r="L503" s="510"/>
      <c r="M503" s="509"/>
      <c r="N503" s="508"/>
      <c r="O503" s="507"/>
      <c r="P503" s="507"/>
      <c r="Q503" s="505"/>
      <c r="R503" s="506"/>
      <c r="S503" s="506"/>
      <c r="T503" s="506"/>
      <c r="U503" s="505"/>
      <c r="V503" s="505"/>
      <c r="W503" s="505"/>
      <c r="X503" s="504"/>
      <c r="Y503" s="503"/>
      <c r="Z503" s="503"/>
      <c r="AA503" s="503"/>
      <c r="AB503" s="503"/>
      <c r="AC503" s="503"/>
      <c r="AD503" s="503"/>
      <c r="AE503" s="503"/>
      <c r="AF503" s="503"/>
    </row>
    <row r="504" spans="1:32" ht="15.75" customHeight="1">
      <c r="A504" s="503"/>
      <c r="B504" s="503"/>
      <c r="C504" s="510"/>
      <c r="D504" s="510"/>
      <c r="E504" s="510"/>
      <c r="F504" s="746"/>
      <c r="G504" s="510"/>
      <c r="H504" s="510"/>
      <c r="I504" s="510"/>
      <c r="J504" s="510"/>
      <c r="K504" s="510"/>
      <c r="L504" s="510"/>
      <c r="M504" s="509"/>
      <c r="N504" s="508"/>
      <c r="O504" s="507"/>
      <c r="P504" s="507"/>
      <c r="Q504" s="505"/>
      <c r="R504" s="506"/>
      <c r="S504" s="506"/>
      <c r="T504" s="506"/>
      <c r="U504" s="505"/>
      <c r="V504" s="505"/>
      <c r="W504" s="505"/>
      <c r="X504" s="504"/>
      <c r="Y504" s="503"/>
      <c r="Z504" s="503"/>
      <c r="AA504" s="503"/>
      <c r="AB504" s="503"/>
      <c r="AC504" s="503"/>
      <c r="AD504" s="503"/>
      <c r="AE504" s="503"/>
      <c r="AF504" s="503"/>
    </row>
    <row r="505" spans="1:32" ht="15.75" customHeight="1">
      <c r="A505" s="503"/>
      <c r="B505" s="503"/>
      <c r="C505" s="510"/>
      <c r="D505" s="510"/>
      <c r="E505" s="510"/>
      <c r="F505" s="746"/>
      <c r="G505" s="510"/>
      <c r="H505" s="510"/>
      <c r="I505" s="510"/>
      <c r="J505" s="510"/>
      <c r="K505" s="510"/>
      <c r="L505" s="510"/>
      <c r="M505" s="509"/>
      <c r="N505" s="508"/>
      <c r="O505" s="507"/>
      <c r="P505" s="507"/>
      <c r="Q505" s="505"/>
      <c r="R505" s="506"/>
      <c r="S505" s="506"/>
      <c r="T505" s="506"/>
      <c r="U505" s="505"/>
      <c r="V505" s="505"/>
      <c r="W505" s="505"/>
      <c r="X505" s="504"/>
      <c r="Y505" s="503"/>
      <c r="Z505" s="503"/>
      <c r="AA505" s="503"/>
      <c r="AB505" s="503"/>
      <c r="AC505" s="503"/>
      <c r="AD505" s="503"/>
      <c r="AE505" s="503"/>
      <c r="AF505" s="503"/>
    </row>
    <row r="506" spans="1:32" ht="15.75" customHeight="1">
      <c r="A506" s="503"/>
      <c r="B506" s="503"/>
      <c r="C506" s="510"/>
      <c r="D506" s="510"/>
      <c r="E506" s="510"/>
      <c r="F506" s="746"/>
      <c r="G506" s="510"/>
      <c r="H506" s="510"/>
      <c r="I506" s="510"/>
      <c r="J506" s="510"/>
      <c r="K506" s="510"/>
      <c r="L506" s="510"/>
      <c r="M506" s="509"/>
      <c r="N506" s="508"/>
      <c r="O506" s="507"/>
      <c r="P506" s="507"/>
      <c r="Q506" s="505"/>
      <c r="R506" s="506"/>
      <c r="S506" s="506"/>
      <c r="T506" s="506"/>
      <c r="U506" s="505"/>
      <c r="V506" s="505"/>
      <c r="W506" s="505"/>
      <c r="X506" s="504"/>
      <c r="Y506" s="503"/>
      <c r="Z506" s="503"/>
      <c r="AA506" s="503"/>
      <c r="AB506" s="503"/>
      <c r="AC506" s="503"/>
      <c r="AD506" s="503"/>
      <c r="AE506" s="503"/>
      <c r="AF506" s="503"/>
    </row>
    <row r="507" spans="1:32" ht="15.75" customHeight="1">
      <c r="A507" s="503"/>
      <c r="B507" s="503"/>
      <c r="C507" s="510"/>
      <c r="D507" s="510"/>
      <c r="E507" s="510"/>
      <c r="F507" s="746"/>
      <c r="G507" s="510"/>
      <c r="H507" s="510"/>
      <c r="I507" s="510"/>
      <c r="J507" s="510"/>
      <c r="K507" s="510"/>
      <c r="L507" s="510"/>
      <c r="M507" s="509"/>
      <c r="N507" s="508"/>
      <c r="O507" s="507"/>
      <c r="P507" s="507"/>
      <c r="Q507" s="505"/>
      <c r="R507" s="506"/>
      <c r="S507" s="506"/>
      <c r="T507" s="506"/>
      <c r="U507" s="505"/>
      <c r="V507" s="505"/>
      <c r="W507" s="505"/>
      <c r="X507" s="504"/>
      <c r="Y507" s="503"/>
      <c r="Z507" s="503"/>
      <c r="AA507" s="503"/>
      <c r="AB507" s="503"/>
      <c r="AC507" s="503"/>
      <c r="AD507" s="503"/>
      <c r="AE507" s="503"/>
      <c r="AF507" s="503"/>
    </row>
    <row r="508" spans="1:32" ht="15.75" customHeight="1">
      <c r="A508" s="503"/>
      <c r="B508" s="503"/>
      <c r="C508" s="510"/>
      <c r="D508" s="510"/>
      <c r="E508" s="510"/>
      <c r="F508" s="746"/>
      <c r="G508" s="510"/>
      <c r="H508" s="510"/>
      <c r="I508" s="510"/>
      <c r="J508" s="510"/>
      <c r="K508" s="510"/>
      <c r="L508" s="510"/>
      <c r="M508" s="509"/>
      <c r="N508" s="508"/>
      <c r="O508" s="507"/>
      <c r="P508" s="507"/>
      <c r="Q508" s="505"/>
      <c r="R508" s="506"/>
      <c r="S508" s="506"/>
      <c r="T508" s="506"/>
      <c r="U508" s="505"/>
      <c r="V508" s="505"/>
      <c r="W508" s="505"/>
      <c r="X508" s="504"/>
      <c r="Y508" s="503"/>
      <c r="Z508" s="503"/>
      <c r="AA508" s="503"/>
      <c r="AB508" s="503"/>
      <c r="AC508" s="503"/>
      <c r="AD508" s="503"/>
      <c r="AE508" s="503"/>
      <c r="AF508" s="503"/>
    </row>
    <row r="509" spans="1:32" ht="15.75" customHeight="1">
      <c r="A509" s="503"/>
      <c r="B509" s="503"/>
      <c r="C509" s="510"/>
      <c r="D509" s="510"/>
      <c r="E509" s="510"/>
      <c r="F509" s="746"/>
      <c r="G509" s="510"/>
      <c r="H509" s="510"/>
      <c r="I509" s="510"/>
      <c r="J509" s="510"/>
      <c r="K509" s="510"/>
      <c r="L509" s="510"/>
      <c r="M509" s="509"/>
      <c r="N509" s="508"/>
      <c r="O509" s="507"/>
      <c r="P509" s="507"/>
      <c r="Q509" s="505"/>
      <c r="R509" s="506"/>
      <c r="S509" s="506"/>
      <c r="T509" s="506"/>
      <c r="U509" s="505"/>
      <c r="V509" s="505"/>
      <c r="W509" s="505"/>
      <c r="X509" s="504"/>
      <c r="Y509" s="503"/>
      <c r="Z509" s="503"/>
      <c r="AA509" s="503"/>
      <c r="AB509" s="503"/>
      <c r="AC509" s="503"/>
      <c r="AD509" s="503"/>
      <c r="AE509" s="503"/>
      <c r="AF509" s="503"/>
    </row>
    <row r="510" spans="1:32" ht="15.75" customHeight="1">
      <c r="A510" s="503"/>
      <c r="B510" s="503"/>
      <c r="C510" s="510"/>
      <c r="D510" s="510"/>
      <c r="E510" s="510"/>
      <c r="F510" s="746"/>
      <c r="G510" s="510"/>
      <c r="H510" s="510"/>
      <c r="I510" s="510"/>
      <c r="J510" s="510"/>
      <c r="K510" s="510"/>
      <c r="L510" s="510"/>
      <c r="M510" s="509"/>
      <c r="N510" s="508"/>
      <c r="O510" s="507"/>
      <c r="P510" s="507"/>
      <c r="Q510" s="505"/>
      <c r="R510" s="506"/>
      <c r="S510" s="506"/>
      <c r="T510" s="506"/>
      <c r="U510" s="505"/>
      <c r="V510" s="505"/>
      <c r="W510" s="505"/>
      <c r="X510" s="504"/>
      <c r="Y510" s="503"/>
      <c r="Z510" s="503"/>
      <c r="AA510" s="503"/>
      <c r="AB510" s="503"/>
      <c r="AC510" s="503"/>
      <c r="AD510" s="503"/>
      <c r="AE510" s="503"/>
      <c r="AF510" s="503"/>
    </row>
    <row r="511" spans="1:32" ht="15.75" customHeight="1">
      <c r="A511" s="503"/>
      <c r="B511" s="503"/>
      <c r="C511" s="510"/>
      <c r="D511" s="510"/>
      <c r="E511" s="510"/>
      <c r="F511" s="746"/>
      <c r="G511" s="510"/>
      <c r="H511" s="510"/>
      <c r="I511" s="510"/>
      <c r="J511" s="510"/>
      <c r="K511" s="510"/>
      <c r="L511" s="510"/>
      <c r="M511" s="509"/>
      <c r="N511" s="508"/>
      <c r="O511" s="507"/>
      <c r="P511" s="507"/>
      <c r="Q511" s="505"/>
      <c r="R511" s="506"/>
      <c r="S511" s="506"/>
      <c r="T511" s="506"/>
      <c r="U511" s="505"/>
      <c r="V511" s="505"/>
      <c r="W511" s="505"/>
      <c r="X511" s="504"/>
      <c r="Y511" s="503"/>
      <c r="Z511" s="503"/>
      <c r="AA511" s="503"/>
      <c r="AB511" s="503"/>
      <c r="AC511" s="503"/>
      <c r="AD511" s="503"/>
      <c r="AE511" s="503"/>
      <c r="AF511" s="503"/>
    </row>
    <row r="512" spans="1:32" ht="15.75" customHeight="1">
      <c r="A512" s="503"/>
      <c r="B512" s="503"/>
      <c r="C512" s="510"/>
      <c r="D512" s="510"/>
      <c r="E512" s="510"/>
      <c r="F512" s="746"/>
      <c r="G512" s="510"/>
      <c r="H512" s="510"/>
      <c r="I512" s="510"/>
      <c r="J512" s="510"/>
      <c r="K512" s="510"/>
      <c r="L512" s="510"/>
      <c r="M512" s="509"/>
      <c r="N512" s="508"/>
      <c r="O512" s="507"/>
      <c r="P512" s="507"/>
      <c r="Q512" s="505"/>
      <c r="R512" s="506"/>
      <c r="S512" s="506"/>
      <c r="T512" s="506"/>
      <c r="U512" s="505"/>
      <c r="V512" s="505"/>
      <c r="W512" s="505"/>
      <c r="X512" s="504"/>
      <c r="Y512" s="503"/>
      <c r="Z512" s="503"/>
      <c r="AA512" s="503"/>
      <c r="AB512" s="503"/>
      <c r="AC512" s="503"/>
      <c r="AD512" s="503"/>
      <c r="AE512" s="503"/>
      <c r="AF512" s="503"/>
    </row>
    <row r="513" spans="1:32" ht="15.75" customHeight="1">
      <c r="A513" s="503"/>
      <c r="B513" s="503"/>
      <c r="C513" s="510"/>
      <c r="D513" s="510"/>
      <c r="E513" s="510"/>
      <c r="F513" s="746"/>
      <c r="G513" s="510"/>
      <c r="H513" s="510"/>
      <c r="I513" s="510"/>
      <c r="J513" s="510"/>
      <c r="K513" s="510"/>
      <c r="L513" s="510"/>
      <c r="M513" s="509"/>
      <c r="N513" s="508"/>
      <c r="O513" s="507"/>
      <c r="P513" s="507"/>
      <c r="Q513" s="505"/>
      <c r="R513" s="506"/>
      <c r="S513" s="506"/>
      <c r="T513" s="506"/>
      <c r="U513" s="505"/>
      <c r="V513" s="505"/>
      <c r="W513" s="505"/>
      <c r="X513" s="504"/>
      <c r="Y513" s="503"/>
      <c r="Z513" s="503"/>
      <c r="AA513" s="503"/>
      <c r="AB513" s="503"/>
      <c r="AC513" s="503"/>
      <c r="AD513" s="503"/>
      <c r="AE513" s="503"/>
      <c r="AF513" s="503"/>
    </row>
    <row r="514" spans="1:32" ht="15.75" customHeight="1">
      <c r="A514" s="503"/>
      <c r="B514" s="503"/>
      <c r="C514" s="510"/>
      <c r="D514" s="510"/>
      <c r="E514" s="510"/>
      <c r="F514" s="746"/>
      <c r="G514" s="510"/>
      <c r="H514" s="510"/>
      <c r="I514" s="510"/>
      <c r="J514" s="510"/>
      <c r="K514" s="510"/>
      <c r="L514" s="510"/>
      <c r="M514" s="509"/>
      <c r="N514" s="508"/>
      <c r="O514" s="507"/>
      <c r="P514" s="507"/>
      <c r="Q514" s="505"/>
      <c r="R514" s="506"/>
      <c r="S514" s="506"/>
      <c r="T514" s="506"/>
      <c r="U514" s="505"/>
      <c r="V514" s="505"/>
      <c r="W514" s="505"/>
      <c r="X514" s="504"/>
      <c r="Y514" s="503"/>
      <c r="Z514" s="503"/>
      <c r="AA514" s="503"/>
      <c r="AB514" s="503"/>
      <c r="AC514" s="503"/>
      <c r="AD514" s="503"/>
      <c r="AE514" s="503"/>
      <c r="AF514" s="503"/>
    </row>
    <row r="515" spans="1:32" ht="15.75" customHeight="1">
      <c r="A515" s="503"/>
      <c r="B515" s="503"/>
      <c r="C515" s="510"/>
      <c r="D515" s="510"/>
      <c r="E515" s="510"/>
      <c r="F515" s="746"/>
      <c r="G515" s="510"/>
      <c r="H515" s="510"/>
      <c r="I515" s="510"/>
      <c r="J515" s="510"/>
      <c r="K515" s="510"/>
      <c r="L515" s="510"/>
      <c r="M515" s="509"/>
      <c r="N515" s="508"/>
      <c r="O515" s="507"/>
      <c r="P515" s="507"/>
      <c r="Q515" s="505"/>
      <c r="R515" s="506"/>
      <c r="S515" s="506"/>
      <c r="T515" s="506"/>
      <c r="U515" s="505"/>
      <c r="V515" s="505"/>
      <c r="W515" s="505"/>
      <c r="X515" s="504"/>
      <c r="Y515" s="503"/>
      <c r="Z515" s="503"/>
      <c r="AA515" s="503"/>
      <c r="AB515" s="503"/>
      <c r="AC515" s="503"/>
      <c r="AD515" s="503"/>
      <c r="AE515" s="503"/>
      <c r="AF515" s="503"/>
    </row>
    <row r="516" spans="1:32" ht="15.75" customHeight="1">
      <c r="A516" s="503"/>
      <c r="B516" s="503"/>
      <c r="C516" s="510"/>
      <c r="D516" s="510"/>
      <c r="E516" s="510"/>
      <c r="F516" s="746"/>
      <c r="G516" s="510"/>
      <c r="H516" s="510"/>
      <c r="I516" s="510"/>
      <c r="J516" s="510"/>
      <c r="K516" s="510"/>
      <c r="L516" s="510"/>
      <c r="M516" s="509"/>
      <c r="N516" s="508"/>
      <c r="O516" s="507"/>
      <c r="P516" s="507"/>
      <c r="Q516" s="505"/>
      <c r="R516" s="506"/>
      <c r="S516" s="506"/>
      <c r="T516" s="506"/>
      <c r="U516" s="505"/>
      <c r="V516" s="505"/>
      <c r="W516" s="505"/>
      <c r="X516" s="504"/>
      <c r="Y516" s="503"/>
      <c r="Z516" s="503"/>
      <c r="AA516" s="503"/>
      <c r="AB516" s="503"/>
      <c r="AC516" s="503"/>
      <c r="AD516" s="503"/>
      <c r="AE516" s="503"/>
      <c r="AF516" s="503"/>
    </row>
    <row r="517" spans="1:32" ht="15.75" customHeight="1">
      <c r="A517" s="503"/>
      <c r="B517" s="503"/>
      <c r="C517" s="510"/>
      <c r="D517" s="510"/>
      <c r="E517" s="510"/>
      <c r="F517" s="746"/>
      <c r="G517" s="510"/>
      <c r="H517" s="510"/>
      <c r="I517" s="510"/>
      <c r="J517" s="510"/>
      <c r="K517" s="510"/>
      <c r="L517" s="510"/>
      <c r="M517" s="509"/>
      <c r="N517" s="508"/>
      <c r="O517" s="507"/>
      <c r="P517" s="507"/>
      <c r="Q517" s="505"/>
      <c r="R517" s="506"/>
      <c r="S517" s="506"/>
      <c r="T517" s="506"/>
      <c r="U517" s="505"/>
      <c r="V517" s="505"/>
      <c r="W517" s="505"/>
      <c r="X517" s="504"/>
      <c r="Y517" s="503"/>
      <c r="Z517" s="503"/>
      <c r="AA517" s="503"/>
      <c r="AB517" s="503"/>
      <c r="AC517" s="503"/>
      <c r="AD517" s="503"/>
      <c r="AE517" s="503"/>
      <c r="AF517" s="503"/>
    </row>
    <row r="518" spans="1:32" ht="15.75" customHeight="1">
      <c r="A518" s="503"/>
      <c r="B518" s="503"/>
      <c r="C518" s="510"/>
      <c r="D518" s="510"/>
      <c r="E518" s="510"/>
      <c r="F518" s="746"/>
      <c r="G518" s="510"/>
      <c r="H518" s="510"/>
      <c r="I518" s="510"/>
      <c r="J518" s="510"/>
      <c r="K518" s="510"/>
      <c r="L518" s="510"/>
      <c r="M518" s="509"/>
      <c r="N518" s="508"/>
      <c r="O518" s="507"/>
      <c r="P518" s="507"/>
      <c r="Q518" s="505"/>
      <c r="R518" s="506"/>
      <c r="S518" s="506"/>
      <c r="T518" s="506"/>
      <c r="U518" s="505"/>
      <c r="V518" s="505"/>
      <c r="W518" s="505"/>
      <c r="X518" s="504"/>
      <c r="Y518" s="503"/>
      <c r="Z518" s="503"/>
      <c r="AA518" s="503"/>
      <c r="AB518" s="503"/>
      <c r="AC518" s="503"/>
      <c r="AD518" s="503"/>
      <c r="AE518" s="503"/>
      <c r="AF518" s="503"/>
    </row>
    <row r="519" spans="1:32" ht="15.75" customHeight="1">
      <c r="A519" s="503"/>
      <c r="B519" s="503"/>
      <c r="C519" s="510"/>
      <c r="D519" s="510"/>
      <c r="E519" s="510"/>
      <c r="F519" s="746"/>
      <c r="G519" s="510"/>
      <c r="H519" s="510"/>
      <c r="I519" s="510"/>
      <c r="J519" s="510"/>
      <c r="K519" s="510"/>
      <c r="L519" s="510"/>
      <c r="M519" s="509"/>
      <c r="N519" s="508"/>
      <c r="O519" s="507"/>
      <c r="P519" s="507"/>
      <c r="Q519" s="505"/>
      <c r="R519" s="506"/>
      <c r="S519" s="506"/>
      <c r="T519" s="506"/>
      <c r="U519" s="505"/>
      <c r="V519" s="505"/>
      <c r="W519" s="505"/>
      <c r="X519" s="504"/>
      <c r="Y519" s="503"/>
      <c r="Z519" s="503"/>
      <c r="AA519" s="503"/>
      <c r="AB519" s="503"/>
      <c r="AC519" s="503"/>
      <c r="AD519" s="503"/>
      <c r="AE519" s="503"/>
      <c r="AF519" s="503"/>
    </row>
    <row r="520" spans="1:32" ht="15.75" customHeight="1">
      <c r="A520" s="503"/>
      <c r="B520" s="503"/>
      <c r="C520" s="510"/>
      <c r="D520" s="510"/>
      <c r="E520" s="510"/>
      <c r="F520" s="746"/>
      <c r="G520" s="510"/>
      <c r="H520" s="510"/>
      <c r="I520" s="510"/>
      <c r="J520" s="510"/>
      <c r="K520" s="510"/>
      <c r="L520" s="510"/>
      <c r="M520" s="509"/>
      <c r="N520" s="508"/>
      <c r="O520" s="507"/>
      <c r="P520" s="507"/>
      <c r="Q520" s="505"/>
      <c r="R520" s="506"/>
      <c r="S520" s="506"/>
      <c r="T520" s="506"/>
      <c r="U520" s="505"/>
      <c r="V520" s="505"/>
      <c r="W520" s="505"/>
      <c r="X520" s="504"/>
      <c r="Y520" s="503"/>
      <c r="Z520" s="503"/>
      <c r="AA520" s="503"/>
      <c r="AB520" s="503"/>
      <c r="AC520" s="503"/>
      <c r="AD520" s="503"/>
      <c r="AE520" s="503"/>
      <c r="AF520" s="503"/>
    </row>
    <row r="521" spans="1:32" ht="15.75" customHeight="1">
      <c r="A521" s="503"/>
      <c r="B521" s="503"/>
      <c r="C521" s="510"/>
      <c r="D521" s="510"/>
      <c r="E521" s="510"/>
      <c r="F521" s="746"/>
      <c r="G521" s="510"/>
      <c r="H521" s="510"/>
      <c r="I521" s="510"/>
      <c r="J521" s="510"/>
      <c r="K521" s="510"/>
      <c r="L521" s="510"/>
      <c r="M521" s="509"/>
      <c r="N521" s="508"/>
      <c r="O521" s="507"/>
      <c r="P521" s="507"/>
      <c r="Q521" s="505"/>
      <c r="R521" s="506"/>
      <c r="S521" s="506"/>
      <c r="T521" s="506"/>
      <c r="U521" s="505"/>
      <c r="V521" s="505"/>
      <c r="W521" s="505"/>
      <c r="X521" s="504"/>
      <c r="Y521" s="503"/>
      <c r="Z521" s="503"/>
      <c r="AA521" s="503"/>
      <c r="AB521" s="503"/>
      <c r="AC521" s="503"/>
      <c r="AD521" s="503"/>
      <c r="AE521" s="503"/>
      <c r="AF521" s="503"/>
    </row>
    <row r="522" spans="1:32" ht="15.75" customHeight="1">
      <c r="A522" s="503"/>
      <c r="B522" s="503"/>
      <c r="C522" s="510"/>
      <c r="D522" s="510"/>
      <c r="E522" s="510"/>
      <c r="F522" s="746"/>
      <c r="G522" s="510"/>
      <c r="H522" s="510"/>
      <c r="I522" s="510"/>
      <c r="J522" s="510"/>
      <c r="K522" s="510"/>
      <c r="L522" s="510"/>
      <c r="M522" s="509"/>
      <c r="N522" s="508"/>
      <c r="O522" s="507"/>
      <c r="P522" s="507"/>
      <c r="Q522" s="505"/>
      <c r="R522" s="506"/>
      <c r="S522" s="506"/>
      <c r="T522" s="506"/>
      <c r="U522" s="505"/>
      <c r="V522" s="505"/>
      <c r="W522" s="505"/>
      <c r="X522" s="504"/>
      <c r="Y522" s="503"/>
      <c r="Z522" s="503"/>
      <c r="AA522" s="503"/>
      <c r="AB522" s="503"/>
      <c r="AC522" s="503"/>
      <c r="AD522" s="503"/>
      <c r="AE522" s="503"/>
      <c r="AF522" s="503"/>
    </row>
    <row r="523" spans="1:32" ht="15.75" customHeight="1">
      <c r="A523" s="503"/>
      <c r="B523" s="503"/>
      <c r="C523" s="510"/>
      <c r="D523" s="510"/>
      <c r="E523" s="510"/>
      <c r="F523" s="746"/>
      <c r="G523" s="510"/>
      <c r="H523" s="510"/>
      <c r="I523" s="510"/>
      <c r="J523" s="510"/>
      <c r="K523" s="510"/>
      <c r="L523" s="510"/>
      <c r="M523" s="509"/>
      <c r="N523" s="508"/>
      <c r="O523" s="507"/>
      <c r="P523" s="507"/>
      <c r="Q523" s="505"/>
      <c r="R523" s="506"/>
      <c r="S523" s="506"/>
      <c r="T523" s="506"/>
      <c r="U523" s="505"/>
      <c r="V523" s="505"/>
      <c r="W523" s="505"/>
      <c r="X523" s="504"/>
      <c r="Y523" s="503"/>
      <c r="Z523" s="503"/>
      <c r="AA523" s="503"/>
      <c r="AB523" s="503"/>
      <c r="AC523" s="503"/>
      <c r="AD523" s="503"/>
      <c r="AE523" s="503"/>
      <c r="AF523" s="503"/>
    </row>
    <row r="524" spans="1:32" ht="15.75" customHeight="1">
      <c r="A524" s="503"/>
      <c r="B524" s="503"/>
      <c r="C524" s="510"/>
      <c r="D524" s="510"/>
      <c r="E524" s="510"/>
      <c r="F524" s="746"/>
      <c r="G524" s="510"/>
      <c r="H524" s="510"/>
      <c r="I524" s="510"/>
      <c r="J524" s="510"/>
      <c r="K524" s="510"/>
      <c r="L524" s="510"/>
      <c r="M524" s="509"/>
      <c r="N524" s="508"/>
      <c r="O524" s="507"/>
      <c r="P524" s="507"/>
      <c r="Q524" s="505"/>
      <c r="R524" s="506"/>
      <c r="S524" s="506"/>
      <c r="T524" s="506"/>
      <c r="U524" s="505"/>
      <c r="V524" s="505"/>
      <c r="W524" s="505"/>
      <c r="X524" s="504"/>
      <c r="Y524" s="503"/>
      <c r="Z524" s="503"/>
      <c r="AA524" s="503"/>
      <c r="AB524" s="503"/>
      <c r="AC524" s="503"/>
      <c r="AD524" s="503"/>
      <c r="AE524" s="503"/>
      <c r="AF524" s="503"/>
    </row>
    <row r="525" spans="1:32" ht="15.75" customHeight="1">
      <c r="A525" s="503"/>
      <c r="B525" s="503"/>
      <c r="C525" s="510"/>
      <c r="D525" s="510"/>
      <c r="E525" s="510"/>
      <c r="F525" s="746"/>
      <c r="G525" s="510"/>
      <c r="H525" s="510"/>
      <c r="I525" s="510"/>
      <c r="J525" s="510"/>
      <c r="K525" s="510"/>
      <c r="L525" s="510"/>
      <c r="M525" s="509"/>
      <c r="N525" s="508"/>
      <c r="O525" s="507"/>
      <c r="P525" s="507"/>
      <c r="Q525" s="505"/>
      <c r="R525" s="506"/>
      <c r="S525" s="506"/>
      <c r="T525" s="506"/>
      <c r="U525" s="505"/>
      <c r="V525" s="505"/>
      <c r="W525" s="505"/>
      <c r="X525" s="504"/>
      <c r="Y525" s="503"/>
      <c r="Z525" s="503"/>
      <c r="AA525" s="503"/>
      <c r="AB525" s="503"/>
      <c r="AC525" s="503"/>
      <c r="AD525" s="503"/>
      <c r="AE525" s="503"/>
      <c r="AF525" s="503"/>
    </row>
    <row r="526" spans="1:32" ht="15.75" customHeight="1">
      <c r="A526" s="503"/>
      <c r="B526" s="503"/>
      <c r="C526" s="510"/>
      <c r="D526" s="510"/>
      <c r="E526" s="510"/>
      <c r="F526" s="746"/>
      <c r="G526" s="510"/>
      <c r="H526" s="510"/>
      <c r="I526" s="510"/>
      <c r="J526" s="510"/>
      <c r="K526" s="510"/>
      <c r="L526" s="510"/>
      <c r="M526" s="509"/>
      <c r="N526" s="508"/>
      <c r="O526" s="507"/>
      <c r="P526" s="507"/>
      <c r="Q526" s="505"/>
      <c r="R526" s="506"/>
      <c r="S526" s="506"/>
      <c r="T526" s="506"/>
      <c r="U526" s="505"/>
      <c r="V526" s="505"/>
      <c r="W526" s="505"/>
      <c r="X526" s="504"/>
      <c r="Y526" s="503"/>
      <c r="Z526" s="503"/>
      <c r="AA526" s="503"/>
      <c r="AB526" s="503"/>
      <c r="AC526" s="503"/>
      <c r="AD526" s="503"/>
      <c r="AE526" s="503"/>
      <c r="AF526" s="503"/>
    </row>
    <row r="527" spans="1:32" ht="15.75" customHeight="1">
      <c r="A527" s="503"/>
      <c r="B527" s="503"/>
      <c r="C527" s="510"/>
      <c r="D527" s="510"/>
      <c r="E527" s="510"/>
      <c r="F527" s="746"/>
      <c r="G527" s="510"/>
      <c r="H527" s="510"/>
      <c r="I527" s="510"/>
      <c r="J527" s="510"/>
      <c r="K527" s="510"/>
      <c r="L527" s="510"/>
      <c r="M527" s="509"/>
      <c r="N527" s="508"/>
      <c r="O527" s="507"/>
      <c r="P527" s="507"/>
      <c r="Q527" s="505"/>
      <c r="R527" s="506"/>
      <c r="S527" s="506"/>
      <c r="T527" s="506"/>
      <c r="U527" s="505"/>
      <c r="V527" s="505"/>
      <c r="W527" s="505"/>
      <c r="X527" s="504"/>
      <c r="Y527" s="503"/>
      <c r="Z527" s="503"/>
      <c r="AA527" s="503"/>
      <c r="AB527" s="503"/>
      <c r="AC527" s="503"/>
      <c r="AD527" s="503"/>
      <c r="AE527" s="503"/>
      <c r="AF527" s="503"/>
    </row>
    <row r="528" spans="1:32" ht="15.75" customHeight="1">
      <c r="A528" s="503"/>
      <c r="B528" s="503"/>
      <c r="C528" s="510"/>
      <c r="D528" s="510"/>
      <c r="E528" s="510"/>
      <c r="F528" s="746"/>
      <c r="G528" s="510"/>
      <c r="H528" s="510"/>
      <c r="I528" s="510"/>
      <c r="J528" s="510"/>
      <c r="K528" s="510"/>
      <c r="L528" s="510"/>
      <c r="M528" s="509"/>
      <c r="N528" s="508"/>
      <c r="O528" s="507"/>
      <c r="P528" s="507"/>
      <c r="Q528" s="505"/>
      <c r="R528" s="506"/>
      <c r="S528" s="506"/>
      <c r="T528" s="506"/>
      <c r="U528" s="505"/>
      <c r="V528" s="505"/>
      <c r="W528" s="505"/>
      <c r="X528" s="504"/>
      <c r="Y528" s="503"/>
      <c r="Z528" s="503"/>
      <c r="AA528" s="503"/>
      <c r="AB528" s="503"/>
      <c r="AC528" s="503"/>
      <c r="AD528" s="503"/>
      <c r="AE528" s="503"/>
      <c r="AF528" s="503"/>
    </row>
    <row r="529" spans="1:32" ht="15.75" customHeight="1">
      <c r="A529" s="503"/>
      <c r="B529" s="503"/>
      <c r="C529" s="510"/>
      <c r="D529" s="510"/>
      <c r="E529" s="510"/>
      <c r="F529" s="746"/>
      <c r="G529" s="510"/>
      <c r="H529" s="510"/>
      <c r="I529" s="510"/>
      <c r="J529" s="510"/>
      <c r="K529" s="510"/>
      <c r="L529" s="510"/>
      <c r="M529" s="509"/>
      <c r="N529" s="508"/>
      <c r="O529" s="507"/>
      <c r="P529" s="507"/>
      <c r="Q529" s="505"/>
      <c r="R529" s="506"/>
      <c r="S529" s="506"/>
      <c r="T529" s="506"/>
      <c r="U529" s="505"/>
      <c r="V529" s="505"/>
      <c r="W529" s="505"/>
      <c r="X529" s="504"/>
      <c r="Y529" s="503"/>
      <c r="Z529" s="503"/>
      <c r="AA529" s="503"/>
      <c r="AB529" s="503"/>
      <c r="AC529" s="503"/>
      <c r="AD529" s="503"/>
      <c r="AE529" s="503"/>
      <c r="AF529" s="503"/>
    </row>
    <row r="530" spans="1:32" ht="15.75" customHeight="1">
      <c r="A530" s="503"/>
      <c r="B530" s="503"/>
      <c r="C530" s="510"/>
      <c r="D530" s="510"/>
      <c r="E530" s="510"/>
      <c r="F530" s="746"/>
      <c r="G530" s="510"/>
      <c r="H530" s="510"/>
      <c r="I530" s="510"/>
      <c r="J530" s="510"/>
      <c r="K530" s="510"/>
      <c r="L530" s="510"/>
      <c r="M530" s="509"/>
      <c r="N530" s="508"/>
      <c r="O530" s="507"/>
      <c r="P530" s="507"/>
      <c r="Q530" s="505"/>
      <c r="R530" s="506"/>
      <c r="S530" s="506"/>
      <c r="T530" s="506"/>
      <c r="U530" s="505"/>
      <c r="V530" s="505"/>
      <c r="W530" s="505"/>
      <c r="X530" s="504"/>
      <c r="Y530" s="503"/>
      <c r="Z530" s="503"/>
      <c r="AA530" s="503"/>
      <c r="AB530" s="503"/>
      <c r="AC530" s="503"/>
      <c r="AD530" s="503"/>
      <c r="AE530" s="503"/>
      <c r="AF530" s="503"/>
    </row>
    <row r="531" spans="1:32" ht="15.75" customHeight="1">
      <c r="A531" s="503"/>
      <c r="B531" s="503"/>
      <c r="C531" s="510"/>
      <c r="D531" s="510"/>
      <c r="E531" s="510"/>
      <c r="F531" s="746"/>
      <c r="G531" s="510"/>
      <c r="H531" s="510"/>
      <c r="I531" s="510"/>
      <c r="J531" s="510"/>
      <c r="K531" s="510"/>
      <c r="L531" s="510"/>
      <c r="M531" s="509"/>
      <c r="N531" s="508"/>
      <c r="O531" s="507"/>
      <c r="P531" s="507"/>
      <c r="Q531" s="505"/>
      <c r="R531" s="506"/>
      <c r="S531" s="506"/>
      <c r="T531" s="506"/>
      <c r="U531" s="505"/>
      <c r="V531" s="505"/>
      <c r="W531" s="505"/>
      <c r="X531" s="504"/>
      <c r="Y531" s="503"/>
      <c r="Z531" s="503"/>
      <c r="AA531" s="503"/>
      <c r="AB531" s="503"/>
      <c r="AC531" s="503"/>
      <c r="AD531" s="503"/>
      <c r="AE531" s="503"/>
      <c r="AF531" s="503"/>
    </row>
    <row r="532" spans="1:32" ht="15.75" customHeight="1">
      <c r="A532" s="503"/>
      <c r="B532" s="503"/>
      <c r="C532" s="510"/>
      <c r="D532" s="510"/>
      <c r="E532" s="510"/>
      <c r="F532" s="746"/>
      <c r="G532" s="510"/>
      <c r="H532" s="510"/>
      <c r="I532" s="510"/>
      <c r="J532" s="510"/>
      <c r="K532" s="510"/>
      <c r="L532" s="510"/>
      <c r="M532" s="509"/>
      <c r="N532" s="508"/>
      <c r="O532" s="507"/>
      <c r="P532" s="507"/>
      <c r="Q532" s="505"/>
      <c r="R532" s="506"/>
      <c r="S532" s="506"/>
      <c r="T532" s="506"/>
      <c r="U532" s="505"/>
      <c r="V532" s="505"/>
      <c r="W532" s="505"/>
      <c r="X532" s="504"/>
      <c r="Y532" s="503"/>
      <c r="Z532" s="503"/>
      <c r="AA532" s="503"/>
      <c r="AB532" s="503"/>
      <c r="AC532" s="503"/>
      <c r="AD532" s="503"/>
      <c r="AE532" s="503"/>
      <c r="AF532" s="503"/>
    </row>
    <row r="533" spans="1:32" ht="15.75" customHeight="1">
      <c r="A533" s="503"/>
      <c r="B533" s="503"/>
      <c r="C533" s="510"/>
      <c r="D533" s="510"/>
      <c r="E533" s="510"/>
      <c r="F533" s="746"/>
      <c r="G533" s="510"/>
      <c r="H533" s="510"/>
      <c r="I533" s="510"/>
      <c r="J533" s="510"/>
      <c r="K533" s="510"/>
      <c r="L533" s="510"/>
      <c r="M533" s="509"/>
      <c r="N533" s="508"/>
      <c r="O533" s="507"/>
      <c r="P533" s="507"/>
      <c r="Q533" s="505"/>
      <c r="R533" s="506"/>
      <c r="S533" s="506"/>
      <c r="T533" s="506"/>
      <c r="U533" s="505"/>
      <c r="V533" s="505"/>
      <c r="W533" s="505"/>
      <c r="X533" s="504"/>
      <c r="Y533" s="503"/>
      <c r="Z533" s="503"/>
      <c r="AA533" s="503"/>
      <c r="AB533" s="503"/>
      <c r="AC533" s="503"/>
      <c r="AD533" s="503"/>
      <c r="AE533" s="503"/>
      <c r="AF533" s="503"/>
    </row>
    <row r="534" spans="1:32" ht="15.75" customHeight="1">
      <c r="A534" s="503"/>
      <c r="B534" s="503"/>
      <c r="C534" s="510"/>
      <c r="D534" s="510"/>
      <c r="E534" s="510"/>
      <c r="F534" s="746"/>
      <c r="G534" s="510"/>
      <c r="H534" s="510"/>
      <c r="I534" s="510"/>
      <c r="J534" s="510"/>
      <c r="K534" s="510"/>
      <c r="L534" s="510"/>
      <c r="M534" s="509"/>
      <c r="N534" s="508"/>
      <c r="O534" s="507"/>
      <c r="P534" s="507"/>
      <c r="Q534" s="505"/>
      <c r="R534" s="506"/>
      <c r="S534" s="506"/>
      <c r="T534" s="506"/>
      <c r="U534" s="505"/>
      <c r="V534" s="505"/>
      <c r="W534" s="505"/>
      <c r="X534" s="504"/>
      <c r="Y534" s="503"/>
      <c r="Z534" s="503"/>
      <c r="AA534" s="503"/>
      <c r="AB534" s="503"/>
      <c r="AC534" s="503"/>
      <c r="AD534" s="503"/>
      <c r="AE534" s="503"/>
      <c r="AF534" s="503"/>
    </row>
    <row r="535" spans="1:32" ht="15.75" customHeight="1">
      <c r="A535" s="503"/>
      <c r="B535" s="503"/>
      <c r="C535" s="510"/>
      <c r="D535" s="510"/>
      <c r="E535" s="510"/>
      <c r="F535" s="746"/>
      <c r="G535" s="510"/>
      <c r="H535" s="510"/>
      <c r="I535" s="510"/>
      <c r="J535" s="510"/>
      <c r="K535" s="510"/>
      <c r="L535" s="510"/>
      <c r="M535" s="509"/>
      <c r="N535" s="508"/>
      <c r="O535" s="507"/>
      <c r="P535" s="507"/>
      <c r="Q535" s="505"/>
      <c r="R535" s="506"/>
      <c r="S535" s="506"/>
      <c r="T535" s="506"/>
      <c r="U535" s="505"/>
      <c r="V535" s="505"/>
      <c r="W535" s="505"/>
      <c r="X535" s="504"/>
      <c r="Y535" s="503"/>
      <c r="Z535" s="503"/>
      <c r="AA535" s="503"/>
      <c r="AB535" s="503"/>
      <c r="AC535" s="503"/>
      <c r="AD535" s="503"/>
      <c r="AE535" s="503"/>
      <c r="AF535" s="503"/>
    </row>
    <row r="536" spans="1:32" ht="15.75" customHeight="1">
      <c r="A536" s="503"/>
      <c r="B536" s="503"/>
      <c r="C536" s="510"/>
      <c r="D536" s="510"/>
      <c r="E536" s="510"/>
      <c r="F536" s="746"/>
      <c r="G536" s="510"/>
      <c r="H536" s="510"/>
      <c r="I536" s="510"/>
      <c r="J536" s="510"/>
      <c r="K536" s="510"/>
      <c r="L536" s="510"/>
      <c r="M536" s="509"/>
      <c r="N536" s="508"/>
      <c r="O536" s="507"/>
      <c r="P536" s="507"/>
      <c r="Q536" s="505"/>
      <c r="R536" s="506"/>
      <c r="S536" s="506"/>
      <c r="T536" s="506"/>
      <c r="U536" s="505"/>
      <c r="V536" s="505"/>
      <c r="W536" s="505"/>
      <c r="X536" s="504"/>
      <c r="Y536" s="503"/>
      <c r="Z536" s="503"/>
      <c r="AA536" s="503"/>
      <c r="AB536" s="503"/>
      <c r="AC536" s="503"/>
      <c r="AD536" s="503"/>
      <c r="AE536" s="503"/>
      <c r="AF536" s="503"/>
    </row>
    <row r="537" spans="1:32" ht="15.75" customHeight="1">
      <c r="A537" s="503"/>
      <c r="B537" s="503"/>
      <c r="C537" s="510"/>
      <c r="D537" s="510"/>
      <c r="E537" s="510"/>
      <c r="F537" s="746"/>
      <c r="G537" s="510"/>
      <c r="H537" s="510"/>
      <c r="I537" s="510"/>
      <c r="J537" s="510"/>
      <c r="K537" s="510"/>
      <c r="L537" s="510"/>
      <c r="M537" s="509"/>
      <c r="N537" s="508"/>
      <c r="O537" s="507"/>
      <c r="P537" s="507"/>
      <c r="Q537" s="505"/>
      <c r="R537" s="506"/>
      <c r="S537" s="506"/>
      <c r="T537" s="506"/>
      <c r="U537" s="505"/>
      <c r="V537" s="505"/>
      <c r="W537" s="505"/>
      <c r="X537" s="504"/>
      <c r="Y537" s="503"/>
      <c r="Z537" s="503"/>
      <c r="AA537" s="503"/>
      <c r="AB537" s="503"/>
      <c r="AC537" s="503"/>
      <c r="AD537" s="503"/>
      <c r="AE537" s="503"/>
      <c r="AF537" s="503"/>
    </row>
    <row r="538" spans="1:32" ht="15.75" customHeight="1">
      <c r="A538" s="503"/>
      <c r="B538" s="503"/>
      <c r="C538" s="510"/>
      <c r="D538" s="510"/>
      <c r="E538" s="510"/>
      <c r="F538" s="746"/>
      <c r="G538" s="510"/>
      <c r="H538" s="510"/>
      <c r="I538" s="510"/>
      <c r="J538" s="510"/>
      <c r="K538" s="510"/>
      <c r="L538" s="510"/>
      <c r="M538" s="509"/>
      <c r="N538" s="508"/>
      <c r="O538" s="507"/>
      <c r="P538" s="507"/>
      <c r="Q538" s="505"/>
      <c r="R538" s="506"/>
      <c r="S538" s="506"/>
      <c r="T538" s="506"/>
      <c r="U538" s="505"/>
      <c r="V538" s="505"/>
      <c r="W538" s="505"/>
      <c r="X538" s="504"/>
      <c r="Y538" s="503"/>
      <c r="Z538" s="503"/>
      <c r="AA538" s="503"/>
      <c r="AB538" s="503"/>
      <c r="AC538" s="503"/>
      <c r="AD538" s="503"/>
      <c r="AE538" s="503"/>
      <c r="AF538" s="503"/>
    </row>
    <row r="539" spans="1:32" ht="15.75" customHeight="1">
      <c r="A539" s="503"/>
      <c r="B539" s="503"/>
      <c r="C539" s="510"/>
      <c r="D539" s="510"/>
      <c r="E539" s="510"/>
      <c r="F539" s="746"/>
      <c r="G539" s="510"/>
      <c r="H539" s="510"/>
      <c r="I539" s="510"/>
      <c r="J539" s="510"/>
      <c r="K539" s="510"/>
      <c r="L539" s="510"/>
      <c r="M539" s="509"/>
      <c r="N539" s="508"/>
      <c r="O539" s="507"/>
      <c r="P539" s="507"/>
      <c r="Q539" s="505"/>
      <c r="R539" s="506"/>
      <c r="S539" s="506"/>
      <c r="T539" s="506"/>
      <c r="U539" s="505"/>
      <c r="V539" s="505"/>
      <c r="W539" s="505"/>
      <c r="X539" s="504"/>
      <c r="Y539" s="503"/>
      <c r="Z539" s="503"/>
      <c r="AA539" s="503"/>
      <c r="AB539" s="503"/>
      <c r="AC539" s="503"/>
      <c r="AD539" s="503"/>
      <c r="AE539" s="503"/>
      <c r="AF539" s="503"/>
    </row>
    <row r="540" spans="1:32" ht="15.75" customHeight="1">
      <c r="A540" s="503"/>
      <c r="B540" s="503"/>
      <c r="C540" s="510"/>
      <c r="D540" s="510"/>
      <c r="E540" s="510"/>
      <c r="F540" s="746"/>
      <c r="G540" s="510"/>
      <c r="H540" s="510"/>
      <c r="I540" s="510"/>
      <c r="J540" s="510"/>
      <c r="K540" s="510"/>
      <c r="L540" s="510"/>
      <c r="M540" s="509"/>
      <c r="N540" s="508"/>
      <c r="O540" s="507"/>
      <c r="P540" s="507"/>
      <c r="Q540" s="505"/>
      <c r="R540" s="506"/>
      <c r="S540" s="506"/>
      <c r="T540" s="506"/>
      <c r="U540" s="505"/>
      <c r="V540" s="505"/>
      <c r="W540" s="505"/>
      <c r="X540" s="504"/>
      <c r="Y540" s="503"/>
      <c r="Z540" s="503"/>
      <c r="AA540" s="503"/>
      <c r="AB540" s="503"/>
      <c r="AC540" s="503"/>
      <c r="AD540" s="503"/>
      <c r="AE540" s="503"/>
      <c r="AF540" s="503"/>
    </row>
    <row r="541" spans="1:32" ht="15.75" customHeight="1">
      <c r="A541" s="503"/>
      <c r="B541" s="503"/>
      <c r="C541" s="510"/>
      <c r="D541" s="510"/>
      <c r="E541" s="510"/>
      <c r="F541" s="746"/>
      <c r="G541" s="510"/>
      <c r="H541" s="510"/>
      <c r="I541" s="510"/>
      <c r="J541" s="510"/>
      <c r="K541" s="510"/>
      <c r="L541" s="510"/>
      <c r="M541" s="509"/>
      <c r="N541" s="508"/>
      <c r="O541" s="507"/>
      <c r="P541" s="507"/>
      <c r="Q541" s="505"/>
      <c r="R541" s="506"/>
      <c r="S541" s="506"/>
      <c r="T541" s="506"/>
      <c r="U541" s="505"/>
      <c r="V541" s="505"/>
      <c r="W541" s="505"/>
      <c r="X541" s="504"/>
      <c r="Y541" s="503"/>
      <c r="Z541" s="503"/>
      <c r="AA541" s="503"/>
      <c r="AB541" s="503"/>
      <c r="AC541" s="503"/>
      <c r="AD541" s="503"/>
      <c r="AE541" s="503"/>
      <c r="AF541" s="503"/>
    </row>
    <row r="542" spans="1:32" ht="15.75" customHeight="1">
      <c r="A542" s="503"/>
      <c r="B542" s="503"/>
      <c r="C542" s="510"/>
      <c r="D542" s="510"/>
      <c r="E542" s="510"/>
      <c r="F542" s="746"/>
      <c r="G542" s="510"/>
      <c r="H542" s="510"/>
      <c r="I542" s="510"/>
      <c r="J542" s="510"/>
      <c r="K542" s="510"/>
      <c r="L542" s="510"/>
      <c r="M542" s="509"/>
      <c r="N542" s="508"/>
      <c r="O542" s="507"/>
      <c r="P542" s="507"/>
      <c r="Q542" s="505"/>
      <c r="R542" s="506"/>
      <c r="S542" s="506"/>
      <c r="T542" s="506"/>
      <c r="U542" s="505"/>
      <c r="V542" s="505"/>
      <c r="W542" s="505"/>
      <c r="X542" s="504"/>
      <c r="Y542" s="503"/>
      <c r="Z542" s="503"/>
      <c r="AA542" s="503"/>
      <c r="AB542" s="503"/>
      <c r="AC542" s="503"/>
      <c r="AD542" s="503"/>
      <c r="AE542" s="503"/>
      <c r="AF542" s="503"/>
    </row>
    <row r="543" spans="1:32" ht="15.75" customHeight="1">
      <c r="A543" s="503"/>
      <c r="B543" s="503"/>
      <c r="C543" s="510"/>
      <c r="D543" s="510"/>
      <c r="E543" s="510"/>
      <c r="F543" s="746"/>
      <c r="G543" s="510"/>
      <c r="H543" s="510"/>
      <c r="I543" s="510"/>
      <c r="J543" s="510"/>
      <c r="K543" s="510"/>
      <c r="L543" s="510"/>
      <c r="M543" s="509"/>
      <c r="N543" s="508"/>
      <c r="O543" s="507"/>
      <c r="P543" s="507"/>
      <c r="Q543" s="505"/>
      <c r="R543" s="506"/>
      <c r="S543" s="506"/>
      <c r="T543" s="506"/>
      <c r="U543" s="505"/>
      <c r="V543" s="505"/>
      <c r="W543" s="505"/>
      <c r="X543" s="504"/>
      <c r="Y543" s="503"/>
      <c r="Z543" s="503"/>
      <c r="AA543" s="503"/>
      <c r="AB543" s="503"/>
      <c r="AC543" s="503"/>
      <c r="AD543" s="503"/>
      <c r="AE543" s="503"/>
      <c r="AF543" s="503"/>
    </row>
    <row r="544" spans="1:32" ht="15.75" customHeight="1">
      <c r="A544" s="503"/>
      <c r="B544" s="503"/>
      <c r="C544" s="510"/>
      <c r="D544" s="510"/>
      <c r="E544" s="510"/>
      <c r="F544" s="746"/>
      <c r="G544" s="510"/>
      <c r="H544" s="510"/>
      <c r="I544" s="510"/>
      <c r="J544" s="510"/>
      <c r="K544" s="510"/>
      <c r="L544" s="510"/>
      <c r="M544" s="509"/>
      <c r="N544" s="508"/>
      <c r="O544" s="507"/>
      <c r="P544" s="507"/>
      <c r="Q544" s="505"/>
      <c r="R544" s="506"/>
      <c r="S544" s="506"/>
      <c r="T544" s="506"/>
      <c r="U544" s="505"/>
      <c r="V544" s="505"/>
      <c r="W544" s="505"/>
      <c r="X544" s="504"/>
      <c r="Y544" s="503"/>
      <c r="Z544" s="503"/>
      <c r="AA544" s="503"/>
      <c r="AB544" s="503"/>
      <c r="AC544" s="503"/>
      <c r="AD544" s="503"/>
      <c r="AE544" s="503"/>
      <c r="AF544" s="503"/>
    </row>
    <row r="545" spans="1:32" ht="15.75" customHeight="1">
      <c r="A545" s="503"/>
      <c r="B545" s="503"/>
      <c r="C545" s="510"/>
      <c r="D545" s="510"/>
      <c r="E545" s="510"/>
      <c r="F545" s="746"/>
      <c r="G545" s="510"/>
      <c r="H545" s="510"/>
      <c r="I545" s="510"/>
      <c r="J545" s="510"/>
      <c r="K545" s="510"/>
      <c r="L545" s="510"/>
      <c r="M545" s="509"/>
      <c r="N545" s="508"/>
      <c r="O545" s="507"/>
      <c r="P545" s="507"/>
      <c r="Q545" s="505"/>
      <c r="R545" s="506"/>
      <c r="S545" s="506"/>
      <c r="T545" s="506"/>
      <c r="U545" s="505"/>
      <c r="V545" s="505"/>
      <c r="W545" s="505"/>
      <c r="X545" s="504"/>
      <c r="Y545" s="503"/>
      <c r="Z545" s="503"/>
      <c r="AA545" s="503"/>
      <c r="AB545" s="503"/>
      <c r="AC545" s="503"/>
      <c r="AD545" s="503"/>
      <c r="AE545" s="503"/>
      <c r="AF545" s="503"/>
    </row>
    <row r="546" spans="1:32" ht="15.75" customHeight="1">
      <c r="A546" s="503"/>
      <c r="B546" s="503"/>
      <c r="C546" s="510"/>
      <c r="D546" s="510"/>
      <c r="E546" s="510"/>
      <c r="F546" s="746"/>
      <c r="G546" s="510"/>
      <c r="H546" s="510"/>
      <c r="I546" s="510"/>
      <c r="J546" s="510"/>
      <c r="K546" s="510"/>
      <c r="L546" s="510"/>
      <c r="M546" s="509"/>
      <c r="N546" s="508"/>
      <c r="O546" s="507"/>
      <c r="P546" s="507"/>
      <c r="Q546" s="505"/>
      <c r="R546" s="506"/>
      <c r="S546" s="506"/>
      <c r="T546" s="506"/>
      <c r="U546" s="505"/>
      <c r="V546" s="505"/>
      <c r="W546" s="505"/>
      <c r="X546" s="504"/>
      <c r="Y546" s="503"/>
      <c r="Z546" s="503"/>
      <c r="AA546" s="503"/>
      <c r="AB546" s="503"/>
      <c r="AC546" s="503"/>
      <c r="AD546" s="503"/>
      <c r="AE546" s="503"/>
      <c r="AF546" s="503"/>
    </row>
    <row r="547" spans="1:32" ht="15.75" customHeight="1">
      <c r="A547" s="503"/>
      <c r="B547" s="503"/>
      <c r="C547" s="510"/>
      <c r="D547" s="510"/>
      <c r="E547" s="510"/>
      <c r="F547" s="746"/>
      <c r="G547" s="510"/>
      <c r="H547" s="510"/>
      <c r="I547" s="510"/>
      <c r="J547" s="510"/>
      <c r="K547" s="510"/>
      <c r="L547" s="510"/>
      <c r="M547" s="509"/>
      <c r="N547" s="508"/>
      <c r="O547" s="507"/>
      <c r="P547" s="507"/>
      <c r="Q547" s="505"/>
      <c r="R547" s="506"/>
      <c r="S547" s="506"/>
      <c r="T547" s="506"/>
      <c r="U547" s="505"/>
      <c r="V547" s="505"/>
      <c r="W547" s="505"/>
      <c r="X547" s="504"/>
      <c r="Y547" s="503"/>
      <c r="Z547" s="503"/>
      <c r="AA547" s="503"/>
      <c r="AB547" s="503"/>
      <c r="AC547" s="503"/>
      <c r="AD547" s="503"/>
      <c r="AE547" s="503"/>
      <c r="AF547" s="503"/>
    </row>
    <row r="548" spans="1:32" ht="15.75" customHeight="1">
      <c r="A548" s="503"/>
      <c r="B548" s="503"/>
      <c r="C548" s="510"/>
      <c r="D548" s="510"/>
      <c r="E548" s="510"/>
      <c r="F548" s="746"/>
      <c r="G548" s="510"/>
      <c r="H548" s="510"/>
      <c r="I548" s="510"/>
      <c r="J548" s="510"/>
      <c r="K548" s="510"/>
      <c r="L548" s="510"/>
      <c r="M548" s="509"/>
      <c r="N548" s="508"/>
      <c r="O548" s="507"/>
      <c r="P548" s="507"/>
      <c r="Q548" s="505"/>
      <c r="R548" s="506"/>
      <c r="S548" s="506"/>
      <c r="T548" s="506"/>
      <c r="U548" s="505"/>
      <c r="V548" s="505"/>
      <c r="W548" s="505"/>
      <c r="X548" s="504"/>
      <c r="Y548" s="503"/>
      <c r="Z548" s="503"/>
      <c r="AA548" s="503"/>
      <c r="AB548" s="503"/>
      <c r="AC548" s="503"/>
      <c r="AD548" s="503"/>
      <c r="AE548" s="503"/>
      <c r="AF548" s="503"/>
    </row>
    <row r="549" spans="1:32" ht="15.75" customHeight="1">
      <c r="A549" s="503"/>
      <c r="B549" s="503"/>
      <c r="C549" s="510"/>
      <c r="D549" s="510"/>
      <c r="E549" s="510"/>
      <c r="F549" s="746"/>
      <c r="G549" s="510"/>
      <c r="H549" s="510"/>
      <c r="I549" s="510"/>
      <c r="J549" s="510"/>
      <c r="K549" s="510"/>
      <c r="L549" s="510"/>
      <c r="M549" s="509"/>
      <c r="N549" s="508"/>
      <c r="O549" s="507"/>
      <c r="P549" s="507"/>
      <c r="Q549" s="505"/>
      <c r="R549" s="506"/>
      <c r="S549" s="506"/>
      <c r="T549" s="506"/>
      <c r="U549" s="505"/>
      <c r="V549" s="505"/>
      <c r="W549" s="505"/>
      <c r="X549" s="504"/>
      <c r="Y549" s="503"/>
      <c r="Z549" s="503"/>
      <c r="AA549" s="503"/>
      <c r="AB549" s="503"/>
      <c r="AC549" s="503"/>
      <c r="AD549" s="503"/>
      <c r="AE549" s="503"/>
      <c r="AF549" s="503"/>
    </row>
    <row r="550" spans="1:32" ht="15.75" customHeight="1">
      <c r="A550" s="503"/>
      <c r="B550" s="503"/>
      <c r="C550" s="510"/>
      <c r="D550" s="510"/>
      <c r="E550" s="510"/>
      <c r="F550" s="746"/>
      <c r="G550" s="510"/>
      <c r="H550" s="510"/>
      <c r="I550" s="510"/>
      <c r="J550" s="510"/>
      <c r="K550" s="510"/>
      <c r="L550" s="510"/>
      <c r="M550" s="509"/>
      <c r="N550" s="508"/>
      <c r="O550" s="507"/>
      <c r="P550" s="507"/>
      <c r="Q550" s="505"/>
      <c r="R550" s="506"/>
      <c r="S550" s="506"/>
      <c r="T550" s="506"/>
      <c r="U550" s="505"/>
      <c r="V550" s="505"/>
      <c r="W550" s="505"/>
      <c r="X550" s="504"/>
      <c r="Y550" s="503"/>
      <c r="Z550" s="503"/>
      <c r="AA550" s="503"/>
      <c r="AB550" s="503"/>
      <c r="AC550" s="503"/>
      <c r="AD550" s="503"/>
      <c r="AE550" s="503"/>
      <c r="AF550" s="503"/>
    </row>
    <row r="551" spans="1:32" ht="15.75" customHeight="1">
      <c r="A551" s="503"/>
      <c r="B551" s="503"/>
      <c r="C551" s="510"/>
      <c r="D551" s="510"/>
      <c r="E551" s="510"/>
      <c r="F551" s="746"/>
      <c r="G551" s="510"/>
      <c r="H551" s="510"/>
      <c r="I551" s="510"/>
      <c r="J551" s="510"/>
      <c r="K551" s="510"/>
      <c r="L551" s="510"/>
      <c r="M551" s="509"/>
      <c r="N551" s="508"/>
      <c r="O551" s="507"/>
      <c r="P551" s="507"/>
      <c r="Q551" s="505"/>
      <c r="R551" s="506"/>
      <c r="S551" s="506"/>
      <c r="T551" s="506"/>
      <c r="U551" s="505"/>
      <c r="V551" s="505"/>
      <c r="W551" s="505"/>
      <c r="X551" s="504"/>
      <c r="Y551" s="503"/>
      <c r="Z551" s="503"/>
      <c r="AA551" s="503"/>
      <c r="AB551" s="503"/>
      <c r="AC551" s="503"/>
      <c r="AD551" s="503"/>
      <c r="AE551" s="503"/>
      <c r="AF551" s="503"/>
    </row>
    <row r="552" spans="1:32" ht="15.75" customHeight="1">
      <c r="A552" s="503"/>
      <c r="B552" s="503"/>
      <c r="C552" s="510"/>
      <c r="D552" s="510"/>
      <c r="E552" s="510"/>
      <c r="F552" s="746"/>
      <c r="G552" s="510"/>
      <c r="H552" s="510"/>
      <c r="I552" s="510"/>
      <c r="J552" s="510"/>
      <c r="K552" s="510"/>
      <c r="L552" s="510"/>
      <c r="M552" s="509"/>
      <c r="N552" s="508"/>
      <c r="O552" s="507"/>
      <c r="P552" s="507"/>
      <c r="Q552" s="505"/>
      <c r="R552" s="506"/>
      <c r="S552" s="506"/>
      <c r="T552" s="506"/>
      <c r="U552" s="505"/>
      <c r="V552" s="505"/>
      <c r="W552" s="505"/>
      <c r="X552" s="504"/>
      <c r="Y552" s="503"/>
      <c r="Z552" s="503"/>
      <c r="AA552" s="503"/>
      <c r="AB552" s="503"/>
      <c r="AC552" s="503"/>
      <c r="AD552" s="503"/>
      <c r="AE552" s="503"/>
      <c r="AF552" s="503"/>
    </row>
    <row r="553" spans="1:32" ht="15.75" customHeight="1">
      <c r="A553" s="503"/>
      <c r="B553" s="503"/>
      <c r="C553" s="510"/>
      <c r="D553" s="510"/>
      <c r="E553" s="510"/>
      <c r="F553" s="746"/>
      <c r="G553" s="510"/>
      <c r="H553" s="510"/>
      <c r="I553" s="510"/>
      <c r="J553" s="510"/>
      <c r="K553" s="510"/>
      <c r="L553" s="510"/>
      <c r="M553" s="509"/>
      <c r="N553" s="508"/>
      <c r="O553" s="507"/>
      <c r="P553" s="507"/>
      <c r="Q553" s="505"/>
      <c r="R553" s="506"/>
      <c r="S553" s="506"/>
      <c r="T553" s="506"/>
      <c r="U553" s="505"/>
      <c r="V553" s="505"/>
      <c r="W553" s="505"/>
      <c r="X553" s="504"/>
      <c r="Y553" s="503"/>
      <c r="Z553" s="503"/>
      <c r="AA553" s="503"/>
      <c r="AB553" s="503"/>
      <c r="AC553" s="503"/>
      <c r="AD553" s="503"/>
      <c r="AE553" s="503"/>
      <c r="AF553" s="503"/>
    </row>
    <row r="554" spans="1:32" ht="15.75" customHeight="1">
      <c r="A554" s="503"/>
      <c r="B554" s="503"/>
      <c r="C554" s="510"/>
      <c r="D554" s="510"/>
      <c r="E554" s="510"/>
      <c r="F554" s="746"/>
      <c r="G554" s="510"/>
      <c r="H554" s="510"/>
      <c r="I554" s="510"/>
      <c r="J554" s="510"/>
      <c r="K554" s="510"/>
      <c r="L554" s="510"/>
      <c r="M554" s="509"/>
      <c r="N554" s="508"/>
      <c r="O554" s="507"/>
      <c r="P554" s="507"/>
      <c r="Q554" s="505"/>
      <c r="R554" s="506"/>
      <c r="S554" s="506"/>
      <c r="T554" s="506"/>
      <c r="U554" s="505"/>
      <c r="V554" s="505"/>
      <c r="W554" s="505"/>
      <c r="X554" s="504"/>
      <c r="Y554" s="503"/>
      <c r="Z554" s="503"/>
      <c r="AA554" s="503"/>
      <c r="AB554" s="503"/>
      <c r="AC554" s="503"/>
      <c r="AD554" s="503"/>
      <c r="AE554" s="503"/>
      <c r="AF554" s="503"/>
    </row>
    <row r="555" spans="1:32" ht="15.75" customHeight="1">
      <c r="A555" s="503"/>
      <c r="B555" s="503"/>
      <c r="C555" s="510"/>
      <c r="D555" s="510"/>
      <c r="E555" s="510"/>
      <c r="F555" s="746"/>
      <c r="G555" s="510"/>
      <c r="H555" s="510"/>
      <c r="I555" s="510"/>
      <c r="J555" s="510"/>
      <c r="K555" s="510"/>
      <c r="L555" s="510"/>
      <c r="M555" s="509"/>
      <c r="N555" s="508"/>
      <c r="O555" s="507"/>
      <c r="P555" s="507"/>
      <c r="Q555" s="505"/>
      <c r="R555" s="506"/>
      <c r="S555" s="506"/>
      <c r="T555" s="506"/>
      <c r="U555" s="505"/>
      <c r="V555" s="505"/>
      <c r="W555" s="505"/>
      <c r="X555" s="504"/>
      <c r="Y555" s="503"/>
      <c r="Z555" s="503"/>
      <c r="AA555" s="503"/>
      <c r="AB555" s="503"/>
      <c r="AC555" s="503"/>
      <c r="AD555" s="503"/>
      <c r="AE555" s="503"/>
      <c r="AF555" s="503"/>
    </row>
    <row r="556" spans="1:32" ht="15.75" customHeight="1">
      <c r="A556" s="503"/>
      <c r="B556" s="503"/>
      <c r="C556" s="510"/>
      <c r="D556" s="510"/>
      <c r="E556" s="510"/>
      <c r="F556" s="746"/>
      <c r="G556" s="510"/>
      <c r="H556" s="510"/>
      <c r="I556" s="510"/>
      <c r="J556" s="510"/>
      <c r="K556" s="510"/>
      <c r="L556" s="510"/>
      <c r="M556" s="509"/>
      <c r="N556" s="508"/>
      <c r="O556" s="507"/>
      <c r="P556" s="507"/>
      <c r="Q556" s="505"/>
      <c r="R556" s="506"/>
      <c r="S556" s="506"/>
      <c r="T556" s="506"/>
      <c r="U556" s="505"/>
      <c r="V556" s="505"/>
      <c r="W556" s="505"/>
      <c r="X556" s="504"/>
      <c r="Y556" s="503"/>
      <c r="Z556" s="503"/>
      <c r="AA556" s="503"/>
      <c r="AB556" s="503"/>
      <c r="AC556" s="503"/>
      <c r="AD556" s="503"/>
      <c r="AE556" s="503"/>
      <c r="AF556" s="503"/>
    </row>
    <row r="557" spans="1:32" ht="15.75" customHeight="1">
      <c r="A557" s="503"/>
      <c r="B557" s="503"/>
      <c r="C557" s="510"/>
      <c r="D557" s="510"/>
      <c r="E557" s="510"/>
      <c r="F557" s="746"/>
      <c r="G557" s="510"/>
      <c r="H557" s="510"/>
      <c r="I557" s="510"/>
      <c r="J557" s="510"/>
      <c r="K557" s="510"/>
      <c r="L557" s="510"/>
      <c r="M557" s="509"/>
      <c r="N557" s="508"/>
      <c r="O557" s="507"/>
      <c r="P557" s="507"/>
      <c r="Q557" s="505"/>
      <c r="R557" s="506"/>
      <c r="S557" s="506"/>
      <c r="T557" s="506"/>
      <c r="U557" s="505"/>
      <c r="V557" s="505"/>
      <c r="W557" s="505"/>
      <c r="X557" s="504"/>
      <c r="Y557" s="503"/>
      <c r="Z557" s="503"/>
      <c r="AA557" s="503"/>
      <c r="AB557" s="503"/>
      <c r="AC557" s="503"/>
      <c r="AD557" s="503"/>
      <c r="AE557" s="503"/>
      <c r="AF557" s="503"/>
    </row>
    <row r="558" spans="1:32" ht="15.75" customHeight="1">
      <c r="A558" s="503"/>
      <c r="B558" s="503"/>
      <c r="C558" s="510"/>
      <c r="D558" s="510"/>
      <c r="E558" s="510"/>
      <c r="F558" s="746"/>
      <c r="G558" s="510"/>
      <c r="H558" s="510"/>
      <c r="I558" s="510"/>
      <c r="J558" s="510"/>
      <c r="K558" s="510"/>
      <c r="L558" s="510"/>
      <c r="M558" s="509"/>
      <c r="N558" s="508"/>
      <c r="O558" s="507"/>
      <c r="P558" s="507"/>
      <c r="Q558" s="505"/>
      <c r="R558" s="506"/>
      <c r="S558" s="506"/>
      <c r="T558" s="506"/>
      <c r="U558" s="505"/>
      <c r="V558" s="505"/>
      <c r="W558" s="505"/>
      <c r="X558" s="504"/>
      <c r="Y558" s="503"/>
      <c r="Z558" s="503"/>
      <c r="AA558" s="503"/>
      <c r="AB558" s="503"/>
      <c r="AC558" s="503"/>
      <c r="AD558" s="503"/>
      <c r="AE558" s="503"/>
      <c r="AF558" s="503"/>
    </row>
    <row r="559" spans="1:32" ht="15.75" customHeight="1">
      <c r="A559" s="503"/>
      <c r="B559" s="503"/>
      <c r="C559" s="510"/>
      <c r="D559" s="510"/>
      <c r="E559" s="510"/>
      <c r="F559" s="746"/>
      <c r="G559" s="510"/>
      <c r="H559" s="510"/>
      <c r="I559" s="510"/>
      <c r="J559" s="510"/>
      <c r="K559" s="510"/>
      <c r="L559" s="510"/>
      <c r="M559" s="509"/>
      <c r="N559" s="508"/>
      <c r="O559" s="507"/>
      <c r="P559" s="507"/>
      <c r="Q559" s="505"/>
      <c r="R559" s="506"/>
      <c r="S559" s="506"/>
      <c r="T559" s="506"/>
      <c r="U559" s="505"/>
      <c r="V559" s="505"/>
      <c r="W559" s="505"/>
      <c r="X559" s="504"/>
      <c r="Y559" s="503"/>
      <c r="Z559" s="503"/>
      <c r="AA559" s="503"/>
      <c r="AB559" s="503"/>
      <c r="AC559" s="503"/>
      <c r="AD559" s="503"/>
      <c r="AE559" s="503"/>
      <c r="AF559" s="503"/>
    </row>
    <row r="560" spans="1:32" ht="15.75" customHeight="1">
      <c r="A560" s="503"/>
      <c r="B560" s="503"/>
      <c r="C560" s="510"/>
      <c r="D560" s="510"/>
      <c r="E560" s="510"/>
      <c r="F560" s="746"/>
      <c r="G560" s="510"/>
      <c r="H560" s="510"/>
      <c r="I560" s="510"/>
      <c r="J560" s="510"/>
      <c r="K560" s="510"/>
      <c r="L560" s="510"/>
      <c r="M560" s="509"/>
      <c r="N560" s="508"/>
      <c r="O560" s="507"/>
      <c r="P560" s="507"/>
      <c r="Q560" s="505"/>
      <c r="R560" s="506"/>
      <c r="S560" s="506"/>
      <c r="T560" s="506"/>
      <c r="U560" s="505"/>
      <c r="V560" s="505"/>
      <c r="W560" s="505"/>
      <c r="X560" s="504"/>
      <c r="Y560" s="503"/>
      <c r="Z560" s="503"/>
      <c r="AA560" s="503"/>
      <c r="AB560" s="503"/>
      <c r="AC560" s="503"/>
      <c r="AD560" s="503"/>
      <c r="AE560" s="503"/>
      <c r="AF560" s="503"/>
    </row>
    <row r="561" spans="1:32" ht="15.75" customHeight="1">
      <c r="A561" s="503"/>
      <c r="B561" s="503"/>
      <c r="C561" s="510"/>
      <c r="D561" s="510"/>
      <c r="E561" s="510"/>
      <c r="F561" s="746"/>
      <c r="G561" s="510"/>
      <c r="H561" s="510"/>
      <c r="I561" s="510"/>
      <c r="J561" s="510"/>
      <c r="K561" s="510"/>
      <c r="L561" s="510"/>
      <c r="M561" s="509"/>
      <c r="N561" s="508"/>
      <c r="O561" s="507"/>
      <c r="P561" s="507"/>
      <c r="Q561" s="505"/>
      <c r="R561" s="506"/>
      <c r="S561" s="506"/>
      <c r="T561" s="506"/>
      <c r="U561" s="505"/>
      <c r="V561" s="505"/>
      <c r="W561" s="505"/>
      <c r="X561" s="504"/>
      <c r="Y561" s="503"/>
      <c r="Z561" s="503"/>
      <c r="AA561" s="503"/>
      <c r="AB561" s="503"/>
      <c r="AC561" s="503"/>
      <c r="AD561" s="503"/>
      <c r="AE561" s="503"/>
      <c r="AF561" s="503"/>
    </row>
    <row r="562" spans="1:32" ht="15.75" customHeight="1">
      <c r="A562" s="503"/>
      <c r="B562" s="503"/>
      <c r="C562" s="510"/>
      <c r="D562" s="510"/>
      <c r="E562" s="510"/>
      <c r="F562" s="746"/>
      <c r="G562" s="510"/>
      <c r="H562" s="510"/>
      <c r="I562" s="510"/>
      <c r="J562" s="510"/>
      <c r="K562" s="510"/>
      <c r="L562" s="510"/>
      <c r="M562" s="509"/>
      <c r="N562" s="508"/>
      <c r="O562" s="507"/>
      <c r="P562" s="507"/>
      <c r="Q562" s="505"/>
      <c r="R562" s="506"/>
      <c r="S562" s="506"/>
      <c r="T562" s="506"/>
      <c r="U562" s="505"/>
      <c r="V562" s="505"/>
      <c r="W562" s="505"/>
      <c r="X562" s="504"/>
      <c r="Y562" s="503"/>
      <c r="Z562" s="503"/>
      <c r="AA562" s="503"/>
      <c r="AB562" s="503"/>
      <c r="AC562" s="503"/>
      <c r="AD562" s="503"/>
      <c r="AE562" s="503"/>
      <c r="AF562" s="503"/>
    </row>
    <row r="563" spans="1:32" ht="15.75" customHeight="1">
      <c r="A563" s="503"/>
      <c r="B563" s="503"/>
      <c r="C563" s="510"/>
      <c r="D563" s="510"/>
      <c r="E563" s="510"/>
      <c r="F563" s="746"/>
      <c r="G563" s="510"/>
      <c r="H563" s="510"/>
      <c r="I563" s="510"/>
      <c r="J563" s="510"/>
      <c r="K563" s="510"/>
      <c r="L563" s="510"/>
      <c r="M563" s="509"/>
      <c r="N563" s="508"/>
      <c r="O563" s="507"/>
      <c r="P563" s="507"/>
      <c r="Q563" s="505"/>
      <c r="R563" s="506"/>
      <c r="S563" s="506"/>
      <c r="T563" s="506"/>
      <c r="U563" s="505"/>
      <c r="V563" s="505"/>
      <c r="W563" s="505"/>
      <c r="X563" s="504"/>
      <c r="Y563" s="503"/>
      <c r="Z563" s="503"/>
      <c r="AA563" s="503"/>
      <c r="AB563" s="503"/>
      <c r="AC563" s="503"/>
      <c r="AD563" s="503"/>
      <c r="AE563" s="503"/>
      <c r="AF563" s="503"/>
    </row>
    <row r="564" spans="1:32" ht="15.75" customHeight="1">
      <c r="A564" s="503"/>
      <c r="B564" s="503"/>
      <c r="C564" s="510"/>
      <c r="D564" s="510"/>
      <c r="E564" s="510"/>
      <c r="F564" s="746"/>
      <c r="G564" s="510"/>
      <c r="H564" s="510"/>
      <c r="I564" s="510"/>
      <c r="J564" s="510"/>
      <c r="K564" s="510"/>
      <c r="L564" s="510"/>
      <c r="M564" s="509"/>
      <c r="N564" s="508"/>
      <c r="O564" s="507"/>
      <c r="P564" s="507"/>
      <c r="Q564" s="505"/>
      <c r="R564" s="506"/>
      <c r="S564" s="506"/>
      <c r="T564" s="506"/>
      <c r="U564" s="505"/>
      <c r="V564" s="505"/>
      <c r="W564" s="505"/>
      <c r="X564" s="504"/>
      <c r="Y564" s="503"/>
      <c r="Z564" s="503"/>
      <c r="AA564" s="503"/>
      <c r="AB564" s="503"/>
      <c r="AC564" s="503"/>
      <c r="AD564" s="503"/>
      <c r="AE564" s="503"/>
      <c r="AF564" s="503"/>
    </row>
    <row r="565" spans="1:32" ht="15.75" customHeight="1">
      <c r="A565" s="503"/>
      <c r="B565" s="503"/>
      <c r="C565" s="510"/>
      <c r="D565" s="510"/>
      <c r="E565" s="510"/>
      <c r="F565" s="746"/>
      <c r="G565" s="510"/>
      <c r="H565" s="510"/>
      <c r="I565" s="510"/>
      <c r="J565" s="510"/>
      <c r="K565" s="510"/>
      <c r="L565" s="510"/>
      <c r="M565" s="509"/>
      <c r="N565" s="508"/>
      <c r="O565" s="507"/>
      <c r="P565" s="507"/>
      <c r="Q565" s="505"/>
      <c r="R565" s="506"/>
      <c r="S565" s="506"/>
      <c r="T565" s="506"/>
      <c r="U565" s="505"/>
      <c r="V565" s="505"/>
      <c r="W565" s="505"/>
      <c r="X565" s="504"/>
      <c r="Y565" s="503"/>
      <c r="Z565" s="503"/>
      <c r="AA565" s="503"/>
      <c r="AB565" s="503"/>
      <c r="AC565" s="503"/>
      <c r="AD565" s="503"/>
      <c r="AE565" s="503"/>
      <c r="AF565" s="503"/>
    </row>
    <row r="566" spans="1:32" ht="15.75" customHeight="1">
      <c r="A566" s="503"/>
      <c r="B566" s="503"/>
      <c r="C566" s="510"/>
      <c r="D566" s="510"/>
      <c r="E566" s="510"/>
      <c r="F566" s="746"/>
      <c r="G566" s="510"/>
      <c r="H566" s="510"/>
      <c r="I566" s="510"/>
      <c r="J566" s="510"/>
      <c r="K566" s="510"/>
      <c r="L566" s="510"/>
      <c r="M566" s="509"/>
      <c r="N566" s="508"/>
      <c r="O566" s="507"/>
      <c r="P566" s="507"/>
      <c r="Q566" s="505"/>
      <c r="R566" s="506"/>
      <c r="S566" s="506"/>
      <c r="T566" s="506"/>
      <c r="U566" s="505"/>
      <c r="V566" s="505"/>
      <c r="W566" s="505"/>
      <c r="X566" s="504"/>
      <c r="Y566" s="503"/>
      <c r="Z566" s="503"/>
      <c r="AA566" s="503"/>
      <c r="AB566" s="503"/>
      <c r="AC566" s="503"/>
      <c r="AD566" s="503"/>
      <c r="AE566" s="503"/>
      <c r="AF566" s="503"/>
    </row>
    <row r="567" spans="1:32" ht="15.75" customHeight="1">
      <c r="A567" s="503"/>
      <c r="B567" s="503"/>
      <c r="C567" s="510"/>
      <c r="D567" s="510"/>
      <c r="E567" s="510"/>
      <c r="F567" s="746"/>
      <c r="G567" s="510"/>
      <c r="H567" s="510"/>
      <c r="I567" s="510"/>
      <c r="J567" s="510"/>
      <c r="K567" s="510"/>
      <c r="L567" s="510"/>
      <c r="M567" s="509"/>
      <c r="N567" s="508"/>
      <c r="O567" s="507"/>
      <c r="P567" s="507"/>
      <c r="Q567" s="505"/>
      <c r="R567" s="506"/>
      <c r="S567" s="506"/>
      <c r="T567" s="506"/>
      <c r="U567" s="505"/>
      <c r="V567" s="505"/>
      <c r="W567" s="505"/>
      <c r="X567" s="504"/>
      <c r="Y567" s="503"/>
      <c r="Z567" s="503"/>
      <c r="AA567" s="503"/>
      <c r="AB567" s="503"/>
      <c r="AC567" s="503"/>
      <c r="AD567" s="503"/>
      <c r="AE567" s="503"/>
      <c r="AF567" s="503"/>
    </row>
    <row r="568" spans="1:32" ht="15.75" customHeight="1">
      <c r="A568" s="503"/>
      <c r="B568" s="503"/>
      <c r="C568" s="510"/>
      <c r="D568" s="510"/>
      <c r="E568" s="510"/>
      <c r="F568" s="746"/>
      <c r="G568" s="510"/>
      <c r="H568" s="510"/>
      <c r="I568" s="510"/>
      <c r="J568" s="510"/>
      <c r="K568" s="510"/>
      <c r="L568" s="510"/>
      <c r="M568" s="509"/>
      <c r="N568" s="508"/>
      <c r="O568" s="507"/>
      <c r="P568" s="507"/>
      <c r="Q568" s="505"/>
      <c r="R568" s="506"/>
      <c r="S568" s="506"/>
      <c r="T568" s="506"/>
      <c r="U568" s="505"/>
      <c r="V568" s="505"/>
      <c r="W568" s="505"/>
      <c r="X568" s="504"/>
      <c r="Y568" s="503"/>
      <c r="Z568" s="503"/>
      <c r="AA568" s="503"/>
      <c r="AB568" s="503"/>
      <c r="AC568" s="503"/>
      <c r="AD568" s="503"/>
      <c r="AE568" s="503"/>
      <c r="AF568" s="503"/>
    </row>
    <row r="569" spans="1:32" ht="15.75" customHeight="1">
      <c r="A569" s="503"/>
      <c r="B569" s="503"/>
      <c r="C569" s="510"/>
      <c r="D569" s="510"/>
      <c r="E569" s="510"/>
      <c r="F569" s="746"/>
      <c r="G569" s="510"/>
      <c r="H569" s="510"/>
      <c r="I569" s="510"/>
      <c r="J569" s="510"/>
      <c r="K569" s="510"/>
      <c r="L569" s="510"/>
      <c r="M569" s="509"/>
      <c r="N569" s="508"/>
      <c r="O569" s="507"/>
      <c r="P569" s="507"/>
      <c r="Q569" s="505"/>
      <c r="R569" s="506"/>
      <c r="S569" s="506"/>
      <c r="T569" s="506"/>
      <c r="U569" s="505"/>
      <c r="V569" s="505"/>
      <c r="W569" s="505"/>
      <c r="X569" s="504"/>
      <c r="Y569" s="503"/>
      <c r="Z569" s="503"/>
      <c r="AA569" s="503"/>
      <c r="AB569" s="503"/>
      <c r="AC569" s="503"/>
      <c r="AD569" s="503"/>
      <c r="AE569" s="503"/>
      <c r="AF569" s="503"/>
    </row>
    <row r="570" spans="1:32" ht="15.75" customHeight="1">
      <c r="A570" s="503"/>
      <c r="B570" s="503"/>
      <c r="C570" s="510"/>
      <c r="D570" s="510"/>
      <c r="E570" s="510"/>
      <c r="F570" s="746"/>
      <c r="G570" s="510"/>
      <c r="H570" s="510"/>
      <c r="I570" s="510"/>
      <c r="J570" s="510"/>
      <c r="K570" s="510"/>
      <c r="L570" s="510"/>
      <c r="M570" s="509"/>
      <c r="N570" s="508"/>
      <c r="O570" s="507"/>
      <c r="P570" s="507"/>
      <c r="Q570" s="505"/>
      <c r="R570" s="506"/>
      <c r="S570" s="506"/>
      <c r="T570" s="506"/>
      <c r="U570" s="505"/>
      <c r="V570" s="505"/>
      <c r="W570" s="505"/>
      <c r="X570" s="504"/>
      <c r="Y570" s="503"/>
      <c r="Z570" s="503"/>
      <c r="AA570" s="503"/>
      <c r="AB570" s="503"/>
      <c r="AC570" s="503"/>
      <c r="AD570" s="503"/>
      <c r="AE570" s="503"/>
      <c r="AF570" s="503"/>
    </row>
    <row r="571" spans="1:32" ht="15.75" customHeight="1">
      <c r="A571" s="503"/>
      <c r="B571" s="503"/>
      <c r="C571" s="510"/>
      <c r="D571" s="510"/>
      <c r="E571" s="510"/>
      <c r="F571" s="746"/>
      <c r="G571" s="510"/>
      <c r="H571" s="510"/>
      <c r="I571" s="510"/>
      <c r="J571" s="510"/>
      <c r="K571" s="510"/>
      <c r="L571" s="510"/>
      <c r="M571" s="509"/>
      <c r="N571" s="508"/>
      <c r="O571" s="507"/>
      <c r="P571" s="507"/>
      <c r="Q571" s="505"/>
      <c r="R571" s="506"/>
      <c r="S571" s="506"/>
      <c r="T571" s="506"/>
      <c r="U571" s="505"/>
      <c r="V571" s="505"/>
      <c r="W571" s="505"/>
      <c r="X571" s="504"/>
      <c r="Y571" s="503"/>
      <c r="Z571" s="503"/>
      <c r="AA571" s="503"/>
      <c r="AB571" s="503"/>
      <c r="AC571" s="503"/>
      <c r="AD571" s="503"/>
      <c r="AE571" s="503"/>
      <c r="AF571" s="503"/>
    </row>
    <row r="572" spans="1:32" ht="15.75" customHeight="1">
      <c r="A572" s="503"/>
      <c r="B572" s="503"/>
      <c r="C572" s="510"/>
      <c r="D572" s="510"/>
      <c r="E572" s="510"/>
      <c r="F572" s="746"/>
      <c r="G572" s="510"/>
      <c r="H572" s="510"/>
      <c r="I572" s="510"/>
      <c r="J572" s="510"/>
      <c r="K572" s="510"/>
      <c r="L572" s="510"/>
      <c r="M572" s="509"/>
      <c r="N572" s="508"/>
      <c r="O572" s="507"/>
      <c r="P572" s="507"/>
      <c r="Q572" s="505"/>
      <c r="R572" s="506"/>
      <c r="S572" s="506"/>
      <c r="T572" s="506"/>
      <c r="U572" s="505"/>
      <c r="V572" s="505"/>
      <c r="W572" s="505"/>
      <c r="X572" s="504"/>
      <c r="Y572" s="503"/>
      <c r="Z572" s="503"/>
      <c r="AA572" s="503"/>
      <c r="AB572" s="503"/>
      <c r="AC572" s="503"/>
      <c r="AD572" s="503"/>
      <c r="AE572" s="503"/>
      <c r="AF572" s="503"/>
    </row>
    <row r="573" spans="1:32" ht="15.75" customHeight="1">
      <c r="A573" s="503"/>
      <c r="B573" s="503"/>
      <c r="C573" s="510"/>
      <c r="D573" s="510"/>
      <c r="E573" s="510"/>
      <c r="F573" s="746"/>
      <c r="G573" s="510"/>
      <c r="H573" s="510"/>
      <c r="I573" s="510"/>
      <c r="J573" s="510"/>
      <c r="K573" s="510"/>
      <c r="L573" s="510"/>
      <c r="M573" s="509"/>
      <c r="N573" s="508"/>
      <c r="O573" s="507"/>
      <c r="P573" s="507"/>
      <c r="Q573" s="505"/>
      <c r="R573" s="506"/>
      <c r="S573" s="506"/>
      <c r="T573" s="506"/>
      <c r="U573" s="505"/>
      <c r="V573" s="505"/>
      <c r="W573" s="505"/>
      <c r="X573" s="504"/>
      <c r="Y573" s="503"/>
      <c r="Z573" s="503"/>
      <c r="AA573" s="503"/>
      <c r="AB573" s="503"/>
      <c r="AC573" s="503"/>
      <c r="AD573" s="503"/>
      <c r="AE573" s="503"/>
      <c r="AF573" s="503"/>
    </row>
    <row r="574" spans="1:32" ht="15.75" customHeight="1">
      <c r="A574" s="503"/>
      <c r="B574" s="503"/>
      <c r="C574" s="510"/>
      <c r="D574" s="510"/>
      <c r="E574" s="510"/>
      <c r="F574" s="746"/>
      <c r="G574" s="510"/>
      <c r="H574" s="510"/>
      <c r="I574" s="510"/>
      <c r="J574" s="510"/>
      <c r="K574" s="510"/>
      <c r="L574" s="510"/>
      <c r="M574" s="509"/>
      <c r="N574" s="508"/>
      <c r="O574" s="507"/>
      <c r="P574" s="507"/>
      <c r="Q574" s="505"/>
      <c r="R574" s="506"/>
      <c r="S574" s="506"/>
      <c r="T574" s="506"/>
      <c r="U574" s="505"/>
      <c r="V574" s="505"/>
      <c r="W574" s="505"/>
      <c r="X574" s="504"/>
      <c r="Y574" s="503"/>
      <c r="Z574" s="503"/>
      <c r="AA574" s="503"/>
      <c r="AB574" s="503"/>
      <c r="AC574" s="503"/>
      <c r="AD574" s="503"/>
      <c r="AE574" s="503"/>
      <c r="AF574" s="503"/>
    </row>
    <row r="575" spans="1:32" ht="15.75" customHeight="1">
      <c r="A575" s="503"/>
      <c r="B575" s="503"/>
      <c r="C575" s="510"/>
      <c r="D575" s="510"/>
      <c r="E575" s="510"/>
      <c r="F575" s="746"/>
      <c r="G575" s="510"/>
      <c r="H575" s="510"/>
      <c r="I575" s="510"/>
      <c r="J575" s="510"/>
      <c r="K575" s="510"/>
      <c r="L575" s="510"/>
      <c r="M575" s="509"/>
      <c r="N575" s="508"/>
      <c r="O575" s="507"/>
      <c r="P575" s="507"/>
      <c r="Q575" s="505"/>
      <c r="R575" s="506"/>
      <c r="S575" s="506"/>
      <c r="T575" s="506"/>
      <c r="U575" s="505"/>
      <c r="V575" s="505"/>
      <c r="W575" s="505"/>
      <c r="X575" s="504"/>
      <c r="Y575" s="503"/>
      <c r="Z575" s="503"/>
      <c r="AA575" s="503"/>
      <c r="AB575" s="503"/>
      <c r="AC575" s="503"/>
      <c r="AD575" s="503"/>
      <c r="AE575" s="503"/>
      <c r="AF575" s="503"/>
    </row>
    <row r="576" spans="1:32" ht="15.75" customHeight="1">
      <c r="A576" s="503"/>
      <c r="B576" s="503"/>
      <c r="C576" s="510"/>
      <c r="D576" s="510"/>
      <c r="E576" s="510"/>
      <c r="F576" s="746"/>
      <c r="G576" s="510"/>
      <c r="H576" s="510"/>
      <c r="I576" s="510"/>
      <c r="J576" s="510"/>
      <c r="K576" s="510"/>
      <c r="L576" s="510"/>
      <c r="M576" s="509"/>
      <c r="N576" s="508"/>
      <c r="O576" s="507"/>
      <c r="P576" s="507"/>
      <c r="Q576" s="505"/>
      <c r="R576" s="506"/>
      <c r="S576" s="506"/>
      <c r="T576" s="506"/>
      <c r="U576" s="505"/>
      <c r="V576" s="505"/>
      <c r="W576" s="505"/>
      <c r="X576" s="504"/>
      <c r="Y576" s="503"/>
      <c r="Z576" s="503"/>
      <c r="AA576" s="503"/>
      <c r="AB576" s="503"/>
      <c r="AC576" s="503"/>
      <c r="AD576" s="503"/>
      <c r="AE576" s="503"/>
      <c r="AF576" s="503"/>
    </row>
    <row r="577" spans="1:32" ht="15.75" customHeight="1">
      <c r="A577" s="503"/>
      <c r="B577" s="503"/>
      <c r="C577" s="510"/>
      <c r="D577" s="510"/>
      <c r="E577" s="510"/>
      <c r="F577" s="746"/>
      <c r="G577" s="510"/>
      <c r="H577" s="510"/>
      <c r="I577" s="510"/>
      <c r="J577" s="510"/>
      <c r="K577" s="510"/>
      <c r="L577" s="510"/>
      <c r="M577" s="509"/>
      <c r="N577" s="508"/>
      <c r="O577" s="507"/>
      <c r="P577" s="507"/>
      <c r="Q577" s="505"/>
      <c r="R577" s="506"/>
      <c r="S577" s="506"/>
      <c r="T577" s="506"/>
      <c r="U577" s="505"/>
      <c r="V577" s="505"/>
      <c r="W577" s="505"/>
      <c r="X577" s="504"/>
      <c r="Y577" s="503"/>
      <c r="Z577" s="503"/>
      <c r="AA577" s="503"/>
      <c r="AB577" s="503"/>
      <c r="AC577" s="503"/>
      <c r="AD577" s="503"/>
      <c r="AE577" s="503"/>
      <c r="AF577" s="503"/>
    </row>
    <row r="578" spans="1:32" ht="15.75" customHeight="1">
      <c r="A578" s="503"/>
      <c r="B578" s="503"/>
      <c r="C578" s="510"/>
      <c r="D578" s="510"/>
      <c r="E578" s="510"/>
      <c r="F578" s="746"/>
      <c r="G578" s="510"/>
      <c r="H578" s="510"/>
      <c r="I578" s="510"/>
      <c r="J578" s="510"/>
      <c r="K578" s="510"/>
      <c r="L578" s="510"/>
      <c r="M578" s="509"/>
      <c r="N578" s="508"/>
      <c r="O578" s="507"/>
      <c r="P578" s="507"/>
      <c r="Q578" s="505"/>
      <c r="R578" s="506"/>
      <c r="S578" s="506"/>
      <c r="T578" s="506"/>
      <c r="U578" s="505"/>
      <c r="V578" s="505"/>
      <c r="W578" s="505"/>
      <c r="X578" s="504"/>
      <c r="Y578" s="503"/>
      <c r="Z578" s="503"/>
      <c r="AA578" s="503"/>
      <c r="AB578" s="503"/>
      <c r="AC578" s="503"/>
      <c r="AD578" s="503"/>
      <c r="AE578" s="503"/>
      <c r="AF578" s="503"/>
    </row>
    <row r="579" spans="1:32" ht="15.75" customHeight="1">
      <c r="A579" s="503"/>
      <c r="B579" s="503"/>
      <c r="C579" s="510"/>
      <c r="D579" s="510"/>
      <c r="E579" s="510"/>
      <c r="F579" s="746"/>
      <c r="G579" s="510"/>
      <c r="H579" s="510"/>
      <c r="I579" s="510"/>
      <c r="J579" s="510"/>
      <c r="K579" s="510"/>
      <c r="L579" s="510"/>
      <c r="M579" s="509"/>
      <c r="N579" s="508"/>
      <c r="O579" s="507"/>
      <c r="P579" s="507"/>
      <c r="Q579" s="505"/>
      <c r="R579" s="506"/>
      <c r="S579" s="506"/>
      <c r="T579" s="506"/>
      <c r="U579" s="505"/>
      <c r="V579" s="505"/>
      <c r="W579" s="505"/>
      <c r="X579" s="504"/>
      <c r="Y579" s="503"/>
      <c r="Z579" s="503"/>
      <c r="AA579" s="503"/>
      <c r="AB579" s="503"/>
      <c r="AC579" s="503"/>
      <c r="AD579" s="503"/>
      <c r="AE579" s="503"/>
      <c r="AF579" s="503"/>
    </row>
    <row r="580" spans="1:32" ht="15.75" customHeight="1">
      <c r="A580" s="503"/>
      <c r="B580" s="503"/>
      <c r="C580" s="510"/>
      <c r="D580" s="510"/>
      <c r="E580" s="510"/>
      <c r="F580" s="746"/>
      <c r="G580" s="510"/>
      <c r="H580" s="510"/>
      <c r="I580" s="510"/>
      <c r="J580" s="510"/>
      <c r="K580" s="510"/>
      <c r="L580" s="510"/>
      <c r="M580" s="509"/>
      <c r="N580" s="508"/>
      <c r="O580" s="507"/>
      <c r="P580" s="507"/>
      <c r="Q580" s="505"/>
      <c r="R580" s="506"/>
      <c r="S580" s="506"/>
      <c r="T580" s="506"/>
      <c r="U580" s="505"/>
      <c r="V580" s="505"/>
      <c r="W580" s="505"/>
      <c r="X580" s="504"/>
      <c r="Y580" s="503"/>
      <c r="Z580" s="503"/>
      <c r="AA580" s="503"/>
      <c r="AB580" s="503"/>
      <c r="AC580" s="503"/>
      <c r="AD580" s="503"/>
      <c r="AE580" s="503"/>
      <c r="AF580" s="503"/>
    </row>
    <row r="581" spans="1:32" ht="15.75" customHeight="1">
      <c r="A581" s="503"/>
      <c r="B581" s="503"/>
      <c r="C581" s="510"/>
      <c r="D581" s="510"/>
      <c r="E581" s="510"/>
      <c r="F581" s="746"/>
      <c r="G581" s="510"/>
      <c r="H581" s="510"/>
      <c r="I581" s="510"/>
      <c r="J581" s="510"/>
      <c r="K581" s="510"/>
      <c r="L581" s="510"/>
      <c r="M581" s="509"/>
      <c r="N581" s="508"/>
      <c r="O581" s="507"/>
      <c r="P581" s="507"/>
      <c r="Q581" s="505"/>
      <c r="R581" s="506"/>
      <c r="S581" s="506"/>
      <c r="T581" s="506"/>
      <c r="U581" s="505"/>
      <c r="V581" s="505"/>
      <c r="W581" s="505"/>
      <c r="X581" s="504"/>
      <c r="Y581" s="503"/>
      <c r="Z581" s="503"/>
      <c r="AA581" s="503"/>
      <c r="AB581" s="503"/>
      <c r="AC581" s="503"/>
      <c r="AD581" s="503"/>
      <c r="AE581" s="503"/>
      <c r="AF581" s="503"/>
    </row>
    <row r="582" spans="1:32" ht="15.75" customHeight="1">
      <c r="A582" s="503"/>
      <c r="B582" s="503"/>
      <c r="C582" s="510"/>
      <c r="D582" s="510"/>
      <c r="E582" s="510"/>
      <c r="F582" s="746"/>
      <c r="G582" s="510"/>
      <c r="H582" s="510"/>
      <c r="I582" s="510"/>
      <c r="J582" s="510"/>
      <c r="K582" s="510"/>
      <c r="L582" s="510"/>
      <c r="M582" s="509"/>
      <c r="N582" s="508"/>
      <c r="O582" s="507"/>
      <c r="P582" s="507"/>
      <c r="Q582" s="505"/>
      <c r="R582" s="506"/>
      <c r="S582" s="506"/>
      <c r="T582" s="506"/>
      <c r="U582" s="505"/>
      <c r="V582" s="505"/>
      <c r="W582" s="505"/>
      <c r="X582" s="504"/>
      <c r="Y582" s="503"/>
      <c r="Z582" s="503"/>
      <c r="AA582" s="503"/>
      <c r="AB582" s="503"/>
      <c r="AC582" s="503"/>
      <c r="AD582" s="503"/>
      <c r="AE582" s="503"/>
      <c r="AF582" s="503"/>
    </row>
    <row r="583" spans="1:32" ht="15.75" customHeight="1">
      <c r="A583" s="503"/>
      <c r="B583" s="503"/>
      <c r="C583" s="510"/>
      <c r="D583" s="510"/>
      <c r="E583" s="510"/>
      <c r="F583" s="746"/>
      <c r="G583" s="510"/>
      <c r="H583" s="510"/>
      <c r="I583" s="510"/>
      <c r="J583" s="510"/>
      <c r="K583" s="510"/>
      <c r="L583" s="510"/>
      <c r="M583" s="509"/>
      <c r="N583" s="508"/>
      <c r="O583" s="507"/>
      <c r="P583" s="507"/>
      <c r="Q583" s="505"/>
      <c r="R583" s="506"/>
      <c r="S583" s="506"/>
      <c r="T583" s="506"/>
      <c r="U583" s="505"/>
      <c r="V583" s="505"/>
      <c r="W583" s="505"/>
      <c r="X583" s="504"/>
      <c r="Y583" s="503"/>
      <c r="Z583" s="503"/>
      <c r="AA583" s="503"/>
      <c r="AB583" s="503"/>
      <c r="AC583" s="503"/>
      <c r="AD583" s="503"/>
      <c r="AE583" s="503"/>
      <c r="AF583" s="503"/>
    </row>
    <row r="584" spans="1:32" ht="15.75" customHeight="1">
      <c r="A584" s="503"/>
      <c r="B584" s="503"/>
      <c r="C584" s="510"/>
      <c r="D584" s="510"/>
      <c r="E584" s="510"/>
      <c r="F584" s="746"/>
      <c r="G584" s="510"/>
      <c r="H584" s="510"/>
      <c r="I584" s="510"/>
      <c r="J584" s="510"/>
      <c r="K584" s="510"/>
      <c r="L584" s="510"/>
      <c r="M584" s="509"/>
      <c r="N584" s="508"/>
      <c r="O584" s="507"/>
      <c r="P584" s="507"/>
      <c r="Q584" s="505"/>
      <c r="R584" s="506"/>
      <c r="S584" s="506"/>
      <c r="T584" s="506"/>
      <c r="U584" s="505"/>
      <c r="V584" s="505"/>
      <c r="W584" s="505"/>
      <c r="X584" s="504"/>
      <c r="Y584" s="503"/>
      <c r="Z584" s="503"/>
      <c r="AA584" s="503"/>
      <c r="AB584" s="503"/>
      <c r="AC584" s="503"/>
      <c r="AD584" s="503"/>
      <c r="AE584" s="503"/>
      <c r="AF584" s="503"/>
    </row>
    <row r="585" spans="1:32" ht="15.75" customHeight="1">
      <c r="A585" s="503"/>
      <c r="B585" s="503"/>
      <c r="C585" s="510"/>
      <c r="D585" s="510"/>
      <c r="E585" s="510"/>
      <c r="F585" s="746"/>
      <c r="G585" s="510"/>
      <c r="H585" s="510"/>
      <c r="I585" s="510"/>
      <c r="J585" s="510"/>
      <c r="K585" s="510"/>
      <c r="L585" s="510"/>
      <c r="M585" s="509"/>
      <c r="N585" s="508"/>
      <c r="O585" s="507"/>
      <c r="P585" s="507"/>
      <c r="Q585" s="505"/>
      <c r="R585" s="506"/>
      <c r="S585" s="506"/>
      <c r="T585" s="506"/>
      <c r="U585" s="505"/>
      <c r="V585" s="505"/>
      <c r="W585" s="505"/>
      <c r="X585" s="504"/>
      <c r="Y585" s="503"/>
      <c r="Z585" s="503"/>
      <c r="AA585" s="503"/>
      <c r="AB585" s="503"/>
      <c r="AC585" s="503"/>
      <c r="AD585" s="503"/>
      <c r="AE585" s="503"/>
      <c r="AF585" s="503"/>
    </row>
    <row r="586" spans="1:32" ht="15.75" customHeight="1">
      <c r="A586" s="503"/>
      <c r="B586" s="503"/>
      <c r="C586" s="510"/>
      <c r="D586" s="510"/>
      <c r="E586" s="510"/>
      <c r="F586" s="746"/>
      <c r="G586" s="510"/>
      <c r="H586" s="510"/>
      <c r="I586" s="510"/>
      <c r="J586" s="510"/>
      <c r="K586" s="510"/>
      <c r="L586" s="510"/>
      <c r="M586" s="509"/>
      <c r="N586" s="508"/>
      <c r="O586" s="507"/>
      <c r="P586" s="507"/>
      <c r="Q586" s="505"/>
      <c r="R586" s="506"/>
      <c r="S586" s="506"/>
      <c r="T586" s="506"/>
      <c r="U586" s="505"/>
      <c r="V586" s="505"/>
      <c r="W586" s="505"/>
      <c r="X586" s="504"/>
      <c r="Y586" s="503"/>
      <c r="Z586" s="503"/>
      <c r="AA586" s="503"/>
      <c r="AB586" s="503"/>
      <c r="AC586" s="503"/>
      <c r="AD586" s="503"/>
      <c r="AE586" s="503"/>
      <c r="AF586" s="503"/>
    </row>
    <row r="587" spans="1:32" ht="15.75" customHeight="1">
      <c r="A587" s="503"/>
      <c r="B587" s="503"/>
      <c r="C587" s="510"/>
      <c r="D587" s="510"/>
      <c r="E587" s="510"/>
      <c r="F587" s="746"/>
      <c r="G587" s="510"/>
      <c r="H587" s="510"/>
      <c r="I587" s="510"/>
      <c r="J587" s="510"/>
      <c r="K587" s="510"/>
      <c r="L587" s="510"/>
      <c r="M587" s="509"/>
      <c r="N587" s="508"/>
      <c r="O587" s="507"/>
      <c r="P587" s="507"/>
      <c r="Q587" s="505"/>
      <c r="R587" s="506"/>
      <c r="S587" s="506"/>
      <c r="T587" s="506"/>
      <c r="U587" s="505"/>
      <c r="V587" s="505"/>
      <c r="W587" s="505"/>
      <c r="X587" s="504"/>
      <c r="Y587" s="503"/>
      <c r="Z587" s="503"/>
      <c r="AA587" s="503"/>
      <c r="AB587" s="503"/>
      <c r="AC587" s="503"/>
      <c r="AD587" s="503"/>
      <c r="AE587" s="503"/>
      <c r="AF587" s="503"/>
    </row>
    <row r="588" spans="1:32" ht="15.75" customHeight="1">
      <c r="A588" s="503"/>
      <c r="B588" s="503"/>
      <c r="C588" s="510"/>
      <c r="D588" s="510"/>
      <c r="E588" s="510"/>
      <c r="F588" s="746"/>
      <c r="G588" s="510"/>
      <c r="H588" s="510"/>
      <c r="I588" s="510"/>
      <c r="J588" s="510"/>
      <c r="K588" s="510"/>
      <c r="L588" s="510"/>
      <c r="M588" s="509"/>
      <c r="N588" s="508"/>
      <c r="O588" s="507"/>
      <c r="P588" s="507"/>
      <c r="Q588" s="505"/>
      <c r="R588" s="506"/>
      <c r="S588" s="506"/>
      <c r="T588" s="506"/>
      <c r="U588" s="505"/>
      <c r="V588" s="505"/>
      <c r="W588" s="505"/>
      <c r="X588" s="504"/>
      <c r="Y588" s="503"/>
      <c r="Z588" s="503"/>
      <c r="AA588" s="503"/>
      <c r="AB588" s="503"/>
      <c r="AC588" s="503"/>
      <c r="AD588" s="503"/>
      <c r="AE588" s="503"/>
      <c r="AF588" s="503"/>
    </row>
    <row r="589" spans="1:32" ht="15.75" customHeight="1">
      <c r="A589" s="503"/>
      <c r="B589" s="503"/>
      <c r="C589" s="510"/>
      <c r="D589" s="510"/>
      <c r="E589" s="510"/>
      <c r="F589" s="746"/>
      <c r="G589" s="510"/>
      <c r="H589" s="510"/>
      <c r="I589" s="510"/>
      <c r="J589" s="510"/>
      <c r="K589" s="510"/>
      <c r="L589" s="510"/>
      <c r="M589" s="509"/>
      <c r="N589" s="508"/>
      <c r="O589" s="507"/>
      <c r="P589" s="507"/>
      <c r="Q589" s="505"/>
      <c r="R589" s="506"/>
      <c r="S589" s="506"/>
      <c r="T589" s="506"/>
      <c r="U589" s="505"/>
      <c r="V589" s="505"/>
      <c r="W589" s="505"/>
      <c r="X589" s="504"/>
      <c r="Y589" s="503"/>
      <c r="Z589" s="503"/>
      <c r="AA589" s="503"/>
      <c r="AB589" s="503"/>
      <c r="AC589" s="503"/>
      <c r="AD589" s="503"/>
      <c r="AE589" s="503"/>
      <c r="AF589" s="503"/>
    </row>
    <row r="590" spans="1:32" ht="15.75" customHeight="1">
      <c r="A590" s="503"/>
      <c r="B590" s="503"/>
      <c r="C590" s="510"/>
      <c r="D590" s="510"/>
      <c r="E590" s="510"/>
      <c r="F590" s="746"/>
      <c r="G590" s="510"/>
      <c r="H590" s="510"/>
      <c r="I590" s="510"/>
      <c r="J590" s="510"/>
      <c r="K590" s="510"/>
      <c r="L590" s="510"/>
      <c r="M590" s="509"/>
      <c r="N590" s="508"/>
      <c r="O590" s="507"/>
      <c r="P590" s="507"/>
      <c r="Q590" s="505"/>
      <c r="R590" s="506"/>
      <c r="S590" s="506"/>
      <c r="T590" s="506"/>
      <c r="U590" s="505"/>
      <c r="V590" s="505"/>
      <c r="W590" s="505"/>
      <c r="X590" s="504"/>
      <c r="Y590" s="503"/>
      <c r="Z590" s="503"/>
      <c r="AA590" s="503"/>
      <c r="AB590" s="503"/>
      <c r="AC590" s="503"/>
      <c r="AD590" s="503"/>
      <c r="AE590" s="503"/>
      <c r="AF590" s="503"/>
    </row>
    <row r="591" spans="1:32" ht="15.75" customHeight="1">
      <c r="A591" s="503"/>
      <c r="B591" s="503"/>
      <c r="C591" s="510"/>
      <c r="D591" s="510"/>
      <c r="E591" s="510"/>
      <c r="F591" s="746"/>
      <c r="G591" s="510"/>
      <c r="H591" s="510"/>
      <c r="I591" s="510"/>
      <c r="J591" s="510"/>
      <c r="K591" s="510"/>
      <c r="L591" s="510"/>
      <c r="M591" s="509"/>
      <c r="N591" s="508"/>
      <c r="O591" s="507"/>
      <c r="P591" s="507"/>
      <c r="Q591" s="505"/>
      <c r="R591" s="506"/>
      <c r="S591" s="506"/>
      <c r="T591" s="506"/>
      <c r="U591" s="505"/>
      <c r="V591" s="505"/>
      <c r="W591" s="505"/>
      <c r="X591" s="504"/>
      <c r="Y591" s="503"/>
      <c r="Z591" s="503"/>
      <c r="AA591" s="503"/>
      <c r="AB591" s="503"/>
      <c r="AC591" s="503"/>
      <c r="AD591" s="503"/>
      <c r="AE591" s="503"/>
      <c r="AF591" s="503"/>
    </row>
    <row r="592" spans="1:32" ht="15.75" customHeight="1">
      <c r="A592" s="503"/>
      <c r="B592" s="503"/>
      <c r="C592" s="510"/>
      <c r="D592" s="510"/>
      <c r="E592" s="510"/>
      <c r="F592" s="746"/>
      <c r="G592" s="510"/>
      <c r="H592" s="510"/>
      <c r="I592" s="510"/>
      <c r="J592" s="510"/>
      <c r="K592" s="510"/>
      <c r="L592" s="510"/>
      <c r="M592" s="509"/>
      <c r="N592" s="508"/>
      <c r="O592" s="507"/>
      <c r="P592" s="507"/>
      <c r="Q592" s="505"/>
      <c r="R592" s="506"/>
      <c r="S592" s="506"/>
      <c r="T592" s="506"/>
      <c r="U592" s="505"/>
      <c r="V592" s="505"/>
      <c r="W592" s="505"/>
      <c r="X592" s="504"/>
      <c r="Y592" s="503"/>
      <c r="Z592" s="503"/>
      <c r="AA592" s="503"/>
      <c r="AB592" s="503"/>
      <c r="AC592" s="503"/>
      <c r="AD592" s="503"/>
      <c r="AE592" s="503"/>
      <c r="AF592" s="503"/>
    </row>
    <row r="593" spans="1:32" ht="15.75" customHeight="1">
      <c r="A593" s="503"/>
      <c r="B593" s="503"/>
      <c r="C593" s="510"/>
      <c r="D593" s="510"/>
      <c r="E593" s="510"/>
      <c r="F593" s="746"/>
      <c r="G593" s="510"/>
      <c r="H593" s="510"/>
      <c r="I593" s="510"/>
      <c r="J593" s="510"/>
      <c r="K593" s="510"/>
      <c r="L593" s="510"/>
      <c r="M593" s="509"/>
      <c r="N593" s="508"/>
      <c r="O593" s="507"/>
      <c r="P593" s="507"/>
      <c r="Q593" s="505"/>
      <c r="R593" s="506"/>
      <c r="S593" s="506"/>
      <c r="T593" s="506"/>
      <c r="U593" s="505"/>
      <c r="V593" s="505"/>
      <c r="W593" s="505"/>
      <c r="X593" s="504"/>
      <c r="Y593" s="503"/>
      <c r="Z593" s="503"/>
      <c r="AA593" s="503"/>
      <c r="AB593" s="503"/>
      <c r="AC593" s="503"/>
      <c r="AD593" s="503"/>
      <c r="AE593" s="503"/>
      <c r="AF593" s="503"/>
    </row>
    <row r="594" spans="1:32" ht="15.75" customHeight="1">
      <c r="A594" s="503"/>
      <c r="B594" s="503"/>
      <c r="C594" s="510"/>
      <c r="D594" s="510"/>
      <c r="E594" s="510"/>
      <c r="F594" s="746"/>
      <c r="G594" s="510"/>
      <c r="H594" s="510"/>
      <c r="I594" s="510"/>
      <c r="J594" s="510"/>
      <c r="K594" s="510"/>
      <c r="L594" s="510"/>
      <c r="M594" s="509"/>
      <c r="N594" s="508"/>
      <c r="O594" s="507"/>
      <c r="P594" s="507"/>
      <c r="Q594" s="505"/>
      <c r="R594" s="506"/>
      <c r="S594" s="506"/>
      <c r="T594" s="506"/>
      <c r="U594" s="505"/>
      <c r="V594" s="505"/>
      <c r="W594" s="505"/>
      <c r="X594" s="504"/>
      <c r="Y594" s="503"/>
      <c r="Z594" s="503"/>
      <c r="AA594" s="503"/>
      <c r="AB594" s="503"/>
      <c r="AC594" s="503"/>
      <c r="AD594" s="503"/>
      <c r="AE594" s="503"/>
      <c r="AF594" s="503"/>
    </row>
    <row r="595" spans="1:32" ht="15.75" customHeight="1">
      <c r="A595" s="503"/>
      <c r="B595" s="503"/>
      <c r="C595" s="510"/>
      <c r="D595" s="510"/>
      <c r="E595" s="510"/>
      <c r="F595" s="746"/>
      <c r="G595" s="510"/>
      <c r="H595" s="510"/>
      <c r="I595" s="510"/>
      <c r="J595" s="510"/>
      <c r="K595" s="510"/>
      <c r="L595" s="510"/>
      <c r="M595" s="509"/>
      <c r="N595" s="508"/>
      <c r="O595" s="507"/>
      <c r="P595" s="507"/>
      <c r="Q595" s="505"/>
      <c r="R595" s="506"/>
      <c r="S595" s="506"/>
      <c r="T595" s="506"/>
      <c r="U595" s="505"/>
      <c r="V595" s="505"/>
      <c r="W595" s="505"/>
      <c r="X595" s="504"/>
      <c r="Y595" s="503"/>
      <c r="Z595" s="503"/>
      <c r="AA595" s="503"/>
      <c r="AB595" s="503"/>
      <c r="AC595" s="503"/>
      <c r="AD595" s="503"/>
      <c r="AE595" s="503"/>
      <c r="AF595" s="503"/>
    </row>
    <row r="596" spans="1:32" ht="15.75" customHeight="1">
      <c r="A596" s="503"/>
      <c r="B596" s="503"/>
      <c r="C596" s="510"/>
      <c r="D596" s="510"/>
      <c r="E596" s="510"/>
      <c r="F596" s="746"/>
      <c r="G596" s="510"/>
      <c r="H596" s="510"/>
      <c r="I596" s="510"/>
      <c r="J596" s="510"/>
      <c r="K596" s="510"/>
      <c r="L596" s="510"/>
      <c r="M596" s="509"/>
      <c r="N596" s="508"/>
      <c r="O596" s="507"/>
      <c r="P596" s="507"/>
      <c r="Q596" s="505"/>
      <c r="R596" s="506"/>
      <c r="S596" s="506"/>
      <c r="T596" s="506"/>
      <c r="U596" s="505"/>
      <c r="V596" s="505"/>
      <c r="W596" s="505"/>
      <c r="X596" s="504"/>
      <c r="Y596" s="503"/>
      <c r="Z596" s="503"/>
      <c r="AA596" s="503"/>
      <c r="AB596" s="503"/>
      <c r="AC596" s="503"/>
      <c r="AD596" s="503"/>
      <c r="AE596" s="503"/>
      <c r="AF596" s="503"/>
    </row>
    <row r="597" spans="1:32" ht="15.75" customHeight="1">
      <c r="A597" s="503"/>
      <c r="B597" s="503"/>
      <c r="C597" s="510"/>
      <c r="D597" s="510"/>
      <c r="E597" s="510"/>
      <c r="F597" s="746"/>
      <c r="G597" s="510"/>
      <c r="H597" s="510"/>
      <c r="I597" s="510"/>
      <c r="J597" s="510"/>
      <c r="K597" s="510"/>
      <c r="L597" s="510"/>
      <c r="M597" s="509"/>
      <c r="N597" s="508"/>
      <c r="O597" s="507"/>
      <c r="P597" s="507"/>
      <c r="Q597" s="505"/>
      <c r="R597" s="506"/>
      <c r="S597" s="506"/>
      <c r="T597" s="506"/>
      <c r="U597" s="505"/>
      <c r="V597" s="505"/>
      <c r="W597" s="505"/>
      <c r="X597" s="504"/>
      <c r="Y597" s="503"/>
      <c r="Z597" s="503"/>
      <c r="AA597" s="503"/>
      <c r="AB597" s="503"/>
      <c r="AC597" s="503"/>
      <c r="AD597" s="503"/>
      <c r="AE597" s="503"/>
      <c r="AF597" s="503"/>
    </row>
    <row r="598" spans="1:32" ht="15.75" customHeight="1">
      <c r="A598" s="503"/>
      <c r="B598" s="503"/>
      <c r="C598" s="510"/>
      <c r="D598" s="510"/>
      <c r="E598" s="510"/>
      <c r="F598" s="746"/>
      <c r="G598" s="510"/>
      <c r="H598" s="510"/>
      <c r="I598" s="510"/>
      <c r="J598" s="510"/>
      <c r="K598" s="510"/>
      <c r="L598" s="510"/>
      <c r="M598" s="509"/>
      <c r="N598" s="508"/>
      <c r="O598" s="507"/>
      <c r="P598" s="507"/>
      <c r="Q598" s="505"/>
      <c r="R598" s="506"/>
      <c r="S598" s="506"/>
      <c r="T598" s="506"/>
      <c r="U598" s="505"/>
      <c r="V598" s="505"/>
      <c r="W598" s="505"/>
      <c r="X598" s="504"/>
      <c r="Y598" s="503"/>
      <c r="Z598" s="503"/>
      <c r="AA598" s="503"/>
      <c r="AB598" s="503"/>
      <c r="AC598" s="503"/>
      <c r="AD598" s="503"/>
      <c r="AE598" s="503"/>
      <c r="AF598" s="503"/>
    </row>
    <row r="599" spans="1:32" ht="15.75" customHeight="1">
      <c r="A599" s="503"/>
      <c r="B599" s="503"/>
      <c r="C599" s="510"/>
      <c r="D599" s="510"/>
      <c r="E599" s="510"/>
      <c r="F599" s="746"/>
      <c r="G599" s="510"/>
      <c r="H599" s="510"/>
      <c r="I599" s="510"/>
      <c r="J599" s="510"/>
      <c r="K599" s="510"/>
      <c r="L599" s="510"/>
      <c r="M599" s="509"/>
      <c r="N599" s="508"/>
      <c r="O599" s="507"/>
      <c r="P599" s="507"/>
      <c r="Q599" s="505"/>
      <c r="R599" s="506"/>
      <c r="S599" s="506"/>
      <c r="T599" s="506"/>
      <c r="U599" s="505"/>
      <c r="V599" s="505"/>
      <c r="W599" s="505"/>
      <c r="X599" s="504"/>
      <c r="Y599" s="503"/>
      <c r="Z599" s="503"/>
      <c r="AA599" s="503"/>
      <c r="AB599" s="503"/>
      <c r="AC599" s="503"/>
      <c r="AD599" s="503"/>
      <c r="AE599" s="503"/>
      <c r="AF599" s="503"/>
    </row>
    <row r="600" spans="1:32" ht="15.75" customHeight="1">
      <c r="A600" s="503"/>
      <c r="B600" s="503"/>
      <c r="C600" s="510"/>
      <c r="D600" s="510"/>
      <c r="E600" s="510"/>
      <c r="F600" s="746"/>
      <c r="G600" s="510"/>
      <c r="H600" s="510"/>
      <c r="I600" s="510"/>
      <c r="J600" s="510"/>
      <c r="K600" s="510"/>
      <c r="L600" s="510"/>
      <c r="M600" s="509"/>
      <c r="N600" s="508"/>
      <c r="O600" s="507"/>
      <c r="P600" s="507"/>
      <c r="Q600" s="505"/>
      <c r="R600" s="506"/>
      <c r="S600" s="506"/>
      <c r="T600" s="506"/>
      <c r="U600" s="505"/>
      <c r="V600" s="505"/>
      <c r="W600" s="505"/>
      <c r="X600" s="504"/>
      <c r="Y600" s="503"/>
      <c r="Z600" s="503"/>
      <c r="AA600" s="503"/>
      <c r="AB600" s="503"/>
      <c r="AC600" s="503"/>
      <c r="AD600" s="503"/>
      <c r="AE600" s="503"/>
      <c r="AF600" s="503"/>
    </row>
    <row r="601" spans="1:32" ht="15.75" customHeight="1">
      <c r="A601" s="503"/>
      <c r="B601" s="503"/>
      <c r="C601" s="510"/>
      <c r="D601" s="510"/>
      <c r="E601" s="510"/>
      <c r="F601" s="746"/>
      <c r="G601" s="510"/>
      <c r="H601" s="510"/>
      <c r="I601" s="510"/>
      <c r="J601" s="510"/>
      <c r="K601" s="510"/>
      <c r="L601" s="510"/>
      <c r="M601" s="509"/>
      <c r="N601" s="508"/>
      <c r="O601" s="507"/>
      <c r="P601" s="507"/>
      <c r="Q601" s="505"/>
      <c r="R601" s="506"/>
      <c r="S601" s="506"/>
      <c r="T601" s="506"/>
      <c r="U601" s="505"/>
      <c r="V601" s="505"/>
      <c r="W601" s="505"/>
      <c r="X601" s="504"/>
      <c r="Y601" s="503"/>
      <c r="Z601" s="503"/>
      <c r="AA601" s="503"/>
      <c r="AB601" s="503"/>
      <c r="AC601" s="503"/>
      <c r="AD601" s="503"/>
      <c r="AE601" s="503"/>
      <c r="AF601" s="503"/>
    </row>
    <row r="602" spans="1:32" ht="15.75" customHeight="1">
      <c r="A602" s="503"/>
      <c r="B602" s="503"/>
      <c r="C602" s="510"/>
      <c r="D602" s="510"/>
      <c r="E602" s="510"/>
      <c r="F602" s="746"/>
      <c r="G602" s="510"/>
      <c r="H602" s="510"/>
      <c r="I602" s="510"/>
      <c r="J602" s="510"/>
      <c r="K602" s="510"/>
      <c r="L602" s="510"/>
      <c r="M602" s="509"/>
      <c r="N602" s="508"/>
      <c r="O602" s="507"/>
      <c r="P602" s="507"/>
      <c r="Q602" s="505"/>
      <c r="R602" s="506"/>
      <c r="S602" s="506"/>
      <c r="T602" s="506"/>
      <c r="U602" s="505"/>
      <c r="V602" s="505"/>
      <c r="W602" s="505"/>
      <c r="X602" s="504"/>
      <c r="Y602" s="503"/>
      <c r="Z602" s="503"/>
      <c r="AA602" s="503"/>
      <c r="AB602" s="503"/>
      <c r="AC602" s="503"/>
      <c r="AD602" s="503"/>
      <c r="AE602" s="503"/>
      <c r="AF602" s="503"/>
    </row>
    <row r="603" spans="1:32" ht="15.75" customHeight="1">
      <c r="A603" s="503"/>
      <c r="B603" s="503"/>
      <c r="C603" s="510"/>
      <c r="D603" s="510"/>
      <c r="E603" s="510"/>
      <c r="F603" s="746"/>
      <c r="G603" s="510"/>
      <c r="H603" s="510"/>
      <c r="I603" s="510"/>
      <c r="J603" s="510"/>
      <c r="K603" s="510"/>
      <c r="L603" s="510"/>
      <c r="M603" s="509"/>
      <c r="N603" s="508"/>
      <c r="O603" s="507"/>
      <c r="P603" s="507"/>
      <c r="Q603" s="505"/>
      <c r="R603" s="506"/>
      <c r="S603" s="506"/>
      <c r="T603" s="506"/>
      <c r="U603" s="505"/>
      <c r="V603" s="505"/>
      <c r="W603" s="505"/>
      <c r="X603" s="504"/>
      <c r="Y603" s="503"/>
      <c r="Z603" s="503"/>
      <c r="AA603" s="503"/>
      <c r="AB603" s="503"/>
      <c r="AC603" s="503"/>
      <c r="AD603" s="503"/>
      <c r="AE603" s="503"/>
      <c r="AF603" s="503"/>
    </row>
    <row r="604" spans="1:32" ht="15.75" customHeight="1">
      <c r="A604" s="503"/>
      <c r="B604" s="503"/>
      <c r="C604" s="510"/>
      <c r="D604" s="510"/>
      <c r="E604" s="510"/>
      <c r="F604" s="746"/>
      <c r="G604" s="510"/>
      <c r="H604" s="510"/>
      <c r="I604" s="510"/>
      <c r="J604" s="510"/>
      <c r="K604" s="510"/>
      <c r="L604" s="510"/>
      <c r="M604" s="509"/>
      <c r="N604" s="508"/>
      <c r="O604" s="507"/>
      <c r="P604" s="507"/>
      <c r="Q604" s="505"/>
      <c r="R604" s="506"/>
      <c r="S604" s="506"/>
      <c r="T604" s="506"/>
      <c r="U604" s="505"/>
      <c r="V604" s="505"/>
      <c r="W604" s="505"/>
      <c r="X604" s="504"/>
      <c r="Y604" s="503"/>
      <c r="Z604" s="503"/>
      <c r="AA604" s="503"/>
      <c r="AB604" s="503"/>
      <c r="AC604" s="503"/>
      <c r="AD604" s="503"/>
      <c r="AE604" s="503"/>
      <c r="AF604" s="503"/>
    </row>
    <row r="605" spans="1:32" ht="15.75" customHeight="1">
      <c r="A605" s="503"/>
      <c r="B605" s="503"/>
      <c r="C605" s="510"/>
      <c r="D605" s="510"/>
      <c r="E605" s="510"/>
      <c r="F605" s="746"/>
      <c r="G605" s="510"/>
      <c r="H605" s="510"/>
      <c r="I605" s="510"/>
      <c r="J605" s="510"/>
      <c r="K605" s="510"/>
      <c r="L605" s="510"/>
      <c r="M605" s="509"/>
      <c r="N605" s="508"/>
      <c r="O605" s="507"/>
      <c r="P605" s="507"/>
      <c r="Q605" s="505"/>
      <c r="R605" s="506"/>
      <c r="S605" s="506"/>
      <c r="T605" s="506"/>
      <c r="U605" s="505"/>
      <c r="V605" s="505"/>
      <c r="W605" s="505"/>
      <c r="X605" s="504"/>
      <c r="Y605" s="503"/>
      <c r="Z605" s="503"/>
      <c r="AA605" s="503"/>
      <c r="AB605" s="503"/>
      <c r="AC605" s="503"/>
      <c r="AD605" s="503"/>
      <c r="AE605" s="503"/>
      <c r="AF605" s="503"/>
    </row>
    <row r="606" spans="1:32" ht="15.75" customHeight="1">
      <c r="A606" s="503"/>
      <c r="B606" s="503"/>
      <c r="C606" s="510"/>
      <c r="D606" s="510"/>
      <c r="E606" s="510"/>
      <c r="F606" s="746"/>
      <c r="G606" s="510"/>
      <c r="H606" s="510"/>
      <c r="I606" s="510"/>
      <c r="J606" s="510"/>
      <c r="K606" s="510"/>
      <c r="L606" s="510"/>
      <c r="M606" s="509"/>
      <c r="N606" s="508"/>
      <c r="O606" s="507"/>
      <c r="P606" s="507"/>
      <c r="Q606" s="505"/>
      <c r="R606" s="506"/>
      <c r="S606" s="506"/>
      <c r="T606" s="506"/>
      <c r="U606" s="505"/>
      <c r="V606" s="505"/>
      <c r="W606" s="505"/>
      <c r="X606" s="504"/>
      <c r="Y606" s="503"/>
      <c r="Z606" s="503"/>
      <c r="AA606" s="503"/>
      <c r="AB606" s="503"/>
      <c r="AC606" s="503"/>
      <c r="AD606" s="503"/>
      <c r="AE606" s="503"/>
      <c r="AF606" s="503"/>
    </row>
    <row r="607" spans="1:32" ht="15.75" customHeight="1">
      <c r="A607" s="503"/>
      <c r="B607" s="503"/>
      <c r="C607" s="510"/>
      <c r="D607" s="510"/>
      <c r="E607" s="510"/>
      <c r="F607" s="746"/>
      <c r="G607" s="510"/>
      <c r="H607" s="510"/>
      <c r="I607" s="510"/>
      <c r="J607" s="510"/>
      <c r="K607" s="510"/>
      <c r="L607" s="510"/>
      <c r="M607" s="509"/>
      <c r="N607" s="508"/>
      <c r="O607" s="507"/>
      <c r="P607" s="507"/>
      <c r="Q607" s="505"/>
      <c r="R607" s="506"/>
      <c r="S607" s="506"/>
      <c r="T607" s="506"/>
      <c r="U607" s="505"/>
      <c r="V607" s="505"/>
      <c r="W607" s="505"/>
      <c r="X607" s="504"/>
      <c r="Y607" s="503"/>
      <c r="Z607" s="503"/>
      <c r="AA607" s="503"/>
      <c r="AB607" s="503"/>
      <c r="AC607" s="503"/>
      <c r="AD607" s="503"/>
      <c r="AE607" s="503"/>
      <c r="AF607" s="503"/>
    </row>
    <row r="608" spans="1:32" ht="15.75" customHeight="1">
      <c r="A608" s="503"/>
      <c r="B608" s="503"/>
      <c r="C608" s="510"/>
      <c r="D608" s="510"/>
      <c r="E608" s="510"/>
      <c r="F608" s="746"/>
      <c r="G608" s="510"/>
      <c r="H608" s="510"/>
      <c r="I608" s="510"/>
      <c r="J608" s="510"/>
      <c r="K608" s="510"/>
      <c r="L608" s="510"/>
      <c r="M608" s="509"/>
      <c r="N608" s="508"/>
      <c r="O608" s="507"/>
      <c r="P608" s="507"/>
      <c r="Q608" s="505"/>
      <c r="R608" s="506"/>
      <c r="S608" s="506"/>
      <c r="T608" s="506"/>
      <c r="U608" s="505"/>
      <c r="V608" s="505"/>
      <c r="W608" s="505"/>
      <c r="X608" s="504"/>
      <c r="Y608" s="503"/>
      <c r="Z608" s="503"/>
      <c r="AA608" s="503"/>
      <c r="AB608" s="503"/>
      <c r="AC608" s="503"/>
      <c r="AD608" s="503"/>
      <c r="AE608" s="503"/>
      <c r="AF608" s="503"/>
    </row>
    <row r="609" spans="1:32" ht="15.75" customHeight="1">
      <c r="A609" s="503"/>
      <c r="B609" s="503"/>
      <c r="C609" s="510"/>
      <c r="D609" s="510"/>
      <c r="E609" s="510"/>
      <c r="F609" s="746"/>
      <c r="G609" s="510"/>
      <c r="H609" s="510"/>
      <c r="I609" s="510"/>
      <c r="J609" s="510"/>
      <c r="K609" s="510"/>
      <c r="L609" s="510"/>
      <c r="M609" s="509"/>
      <c r="N609" s="508"/>
      <c r="O609" s="507"/>
      <c r="P609" s="507"/>
      <c r="Q609" s="505"/>
      <c r="R609" s="506"/>
      <c r="S609" s="506"/>
      <c r="T609" s="506"/>
      <c r="U609" s="505"/>
      <c r="V609" s="505"/>
      <c r="W609" s="505"/>
      <c r="X609" s="504"/>
      <c r="Y609" s="503"/>
      <c r="Z609" s="503"/>
      <c r="AA609" s="503"/>
      <c r="AB609" s="503"/>
      <c r="AC609" s="503"/>
      <c r="AD609" s="503"/>
      <c r="AE609" s="503"/>
      <c r="AF609" s="503"/>
    </row>
    <row r="610" spans="1:32" ht="15.75" customHeight="1">
      <c r="A610" s="503"/>
      <c r="B610" s="503"/>
      <c r="C610" s="510"/>
      <c r="D610" s="510"/>
      <c r="E610" s="510"/>
      <c r="F610" s="746"/>
      <c r="G610" s="510"/>
      <c r="H610" s="510"/>
      <c r="I610" s="510"/>
      <c r="J610" s="510"/>
      <c r="K610" s="510"/>
      <c r="L610" s="510"/>
      <c r="M610" s="509"/>
      <c r="N610" s="508"/>
      <c r="O610" s="507"/>
      <c r="P610" s="507"/>
      <c r="Q610" s="505"/>
      <c r="R610" s="506"/>
      <c r="S610" s="506"/>
      <c r="T610" s="506"/>
      <c r="U610" s="505"/>
      <c r="V610" s="505"/>
      <c r="W610" s="505"/>
      <c r="X610" s="504"/>
      <c r="Y610" s="503"/>
      <c r="Z610" s="503"/>
      <c r="AA610" s="503"/>
      <c r="AB610" s="503"/>
      <c r="AC610" s="503"/>
      <c r="AD610" s="503"/>
      <c r="AE610" s="503"/>
      <c r="AF610" s="503"/>
    </row>
    <row r="611" spans="1:32" ht="15.75" customHeight="1">
      <c r="A611" s="503"/>
      <c r="B611" s="503"/>
      <c r="C611" s="510"/>
      <c r="D611" s="510"/>
      <c r="E611" s="510"/>
      <c r="F611" s="746"/>
      <c r="G611" s="510"/>
      <c r="H611" s="510"/>
      <c r="I611" s="510"/>
      <c r="J611" s="510"/>
      <c r="K611" s="510"/>
      <c r="L611" s="510"/>
      <c r="M611" s="509"/>
      <c r="N611" s="508"/>
      <c r="O611" s="507"/>
      <c r="P611" s="507"/>
      <c r="Q611" s="505"/>
      <c r="R611" s="506"/>
      <c r="S611" s="506"/>
      <c r="T611" s="506"/>
      <c r="U611" s="505"/>
      <c r="V611" s="505"/>
      <c r="W611" s="505"/>
      <c r="X611" s="504"/>
      <c r="Y611" s="503"/>
      <c r="Z611" s="503"/>
      <c r="AA611" s="503"/>
      <c r="AB611" s="503"/>
      <c r="AC611" s="503"/>
      <c r="AD611" s="503"/>
      <c r="AE611" s="503"/>
      <c r="AF611" s="503"/>
    </row>
    <row r="612" spans="1:32" ht="15.75" customHeight="1">
      <c r="A612" s="503"/>
      <c r="B612" s="503"/>
      <c r="C612" s="510"/>
      <c r="D612" s="510"/>
      <c r="E612" s="510"/>
      <c r="F612" s="746"/>
      <c r="G612" s="510"/>
      <c r="H612" s="510"/>
      <c r="I612" s="510"/>
      <c r="J612" s="510"/>
      <c r="K612" s="510"/>
      <c r="L612" s="510"/>
      <c r="M612" s="509"/>
      <c r="N612" s="508"/>
      <c r="O612" s="507"/>
      <c r="P612" s="507"/>
      <c r="Q612" s="505"/>
      <c r="R612" s="506"/>
      <c r="S612" s="506"/>
      <c r="T612" s="506"/>
      <c r="U612" s="505"/>
      <c r="V612" s="505"/>
      <c r="W612" s="505"/>
      <c r="X612" s="504"/>
      <c r="Y612" s="503"/>
      <c r="Z612" s="503"/>
      <c r="AA612" s="503"/>
      <c r="AB612" s="503"/>
      <c r="AC612" s="503"/>
      <c r="AD612" s="503"/>
      <c r="AE612" s="503"/>
      <c r="AF612" s="503"/>
    </row>
    <row r="613" spans="1:32" ht="15.75" customHeight="1">
      <c r="A613" s="503"/>
      <c r="B613" s="503"/>
      <c r="C613" s="510"/>
      <c r="D613" s="510"/>
      <c r="E613" s="510"/>
      <c r="F613" s="746"/>
      <c r="G613" s="510"/>
      <c r="H613" s="510"/>
      <c r="I613" s="510"/>
      <c r="J613" s="510"/>
      <c r="K613" s="510"/>
      <c r="L613" s="510"/>
      <c r="M613" s="509"/>
      <c r="N613" s="508"/>
      <c r="O613" s="507"/>
      <c r="P613" s="507"/>
      <c r="Q613" s="505"/>
      <c r="R613" s="506"/>
      <c r="S613" s="506"/>
      <c r="T613" s="506"/>
      <c r="U613" s="505"/>
      <c r="V613" s="505"/>
      <c r="W613" s="505"/>
      <c r="X613" s="504"/>
      <c r="Y613" s="503"/>
      <c r="Z613" s="503"/>
      <c r="AA613" s="503"/>
      <c r="AB613" s="503"/>
      <c r="AC613" s="503"/>
      <c r="AD613" s="503"/>
      <c r="AE613" s="503"/>
      <c r="AF613" s="503"/>
    </row>
    <row r="614" spans="1:32" ht="15.75" customHeight="1">
      <c r="A614" s="503"/>
      <c r="B614" s="503"/>
      <c r="C614" s="510"/>
      <c r="D614" s="510"/>
      <c r="E614" s="510"/>
      <c r="F614" s="746"/>
      <c r="G614" s="510"/>
      <c r="H614" s="510"/>
      <c r="I614" s="510"/>
      <c r="J614" s="510"/>
      <c r="K614" s="510"/>
      <c r="L614" s="510"/>
      <c r="M614" s="509"/>
      <c r="N614" s="508"/>
      <c r="O614" s="507"/>
      <c r="P614" s="507"/>
      <c r="Q614" s="505"/>
      <c r="R614" s="506"/>
      <c r="S614" s="506"/>
      <c r="T614" s="506"/>
      <c r="U614" s="505"/>
      <c r="V614" s="505"/>
      <c r="W614" s="505"/>
      <c r="X614" s="504"/>
      <c r="Y614" s="503"/>
      <c r="Z614" s="503"/>
      <c r="AA614" s="503"/>
      <c r="AB614" s="503"/>
      <c r="AC614" s="503"/>
      <c r="AD614" s="503"/>
      <c r="AE614" s="503"/>
      <c r="AF614" s="503"/>
    </row>
    <row r="615" spans="1:32" ht="15.75" customHeight="1">
      <c r="A615" s="503"/>
      <c r="B615" s="503"/>
      <c r="C615" s="510"/>
      <c r="D615" s="510"/>
      <c r="E615" s="510"/>
      <c r="F615" s="746"/>
      <c r="G615" s="510"/>
      <c r="H615" s="510"/>
      <c r="I615" s="510"/>
      <c r="J615" s="510"/>
      <c r="K615" s="510"/>
      <c r="L615" s="510"/>
      <c r="M615" s="509"/>
      <c r="N615" s="508"/>
      <c r="O615" s="507"/>
      <c r="P615" s="507"/>
      <c r="Q615" s="505"/>
      <c r="R615" s="506"/>
      <c r="S615" s="506"/>
      <c r="T615" s="506"/>
      <c r="U615" s="505"/>
      <c r="V615" s="505"/>
      <c r="W615" s="505"/>
      <c r="X615" s="504"/>
      <c r="Y615" s="503"/>
      <c r="Z615" s="503"/>
      <c r="AA615" s="503"/>
      <c r="AB615" s="503"/>
      <c r="AC615" s="503"/>
      <c r="AD615" s="503"/>
      <c r="AE615" s="503"/>
      <c r="AF615" s="503"/>
    </row>
    <row r="616" spans="1:32" ht="15.75" customHeight="1">
      <c r="A616" s="503"/>
      <c r="B616" s="503"/>
      <c r="C616" s="510"/>
      <c r="D616" s="510"/>
      <c r="E616" s="510"/>
      <c r="F616" s="746"/>
      <c r="G616" s="510"/>
      <c r="H616" s="510"/>
      <c r="I616" s="510"/>
      <c r="J616" s="510"/>
      <c r="K616" s="510"/>
      <c r="L616" s="510"/>
      <c r="M616" s="509"/>
      <c r="N616" s="508"/>
      <c r="O616" s="507"/>
      <c r="P616" s="507"/>
      <c r="Q616" s="505"/>
      <c r="R616" s="506"/>
      <c r="S616" s="506"/>
      <c r="T616" s="506"/>
      <c r="U616" s="505"/>
      <c r="V616" s="505"/>
      <c r="W616" s="505"/>
      <c r="X616" s="504"/>
      <c r="Y616" s="503"/>
      <c r="Z616" s="503"/>
      <c r="AA616" s="503"/>
      <c r="AB616" s="503"/>
      <c r="AC616" s="503"/>
      <c r="AD616" s="503"/>
      <c r="AE616" s="503"/>
      <c r="AF616" s="503"/>
    </row>
    <row r="617" spans="1:32" ht="15.75" customHeight="1">
      <c r="A617" s="503"/>
      <c r="B617" s="503"/>
      <c r="C617" s="510"/>
      <c r="D617" s="510"/>
      <c r="E617" s="510"/>
      <c r="F617" s="746"/>
      <c r="G617" s="510"/>
      <c r="H617" s="510"/>
      <c r="I617" s="510"/>
      <c r="J617" s="510"/>
      <c r="K617" s="510"/>
      <c r="L617" s="510"/>
      <c r="M617" s="509"/>
      <c r="N617" s="508"/>
      <c r="O617" s="507"/>
      <c r="P617" s="507"/>
      <c r="Q617" s="505"/>
      <c r="R617" s="506"/>
      <c r="S617" s="506"/>
      <c r="T617" s="506"/>
      <c r="U617" s="505"/>
      <c r="V617" s="505"/>
      <c r="W617" s="505"/>
      <c r="X617" s="504"/>
      <c r="Y617" s="503"/>
      <c r="Z617" s="503"/>
      <c r="AA617" s="503"/>
      <c r="AB617" s="503"/>
      <c r="AC617" s="503"/>
      <c r="AD617" s="503"/>
      <c r="AE617" s="503"/>
      <c r="AF617" s="503"/>
    </row>
    <row r="618" spans="1:32" ht="15.75" customHeight="1">
      <c r="A618" s="503"/>
      <c r="B618" s="503"/>
      <c r="C618" s="510"/>
      <c r="D618" s="510"/>
      <c r="E618" s="510"/>
      <c r="F618" s="746"/>
      <c r="G618" s="510"/>
      <c r="H618" s="510"/>
      <c r="I618" s="510"/>
      <c r="J618" s="510"/>
      <c r="K618" s="510"/>
      <c r="L618" s="510"/>
      <c r="M618" s="509"/>
      <c r="N618" s="508"/>
      <c r="O618" s="507"/>
      <c r="P618" s="507"/>
      <c r="Q618" s="505"/>
      <c r="R618" s="506"/>
      <c r="S618" s="506"/>
      <c r="T618" s="506"/>
      <c r="U618" s="505"/>
      <c r="V618" s="505"/>
      <c r="W618" s="505"/>
      <c r="X618" s="504"/>
      <c r="Y618" s="503"/>
      <c r="Z618" s="503"/>
      <c r="AA618" s="503"/>
      <c r="AB618" s="503"/>
      <c r="AC618" s="503"/>
      <c r="AD618" s="503"/>
      <c r="AE618" s="503"/>
      <c r="AF618" s="503"/>
    </row>
    <row r="619" spans="1:32" ht="15.75" customHeight="1">
      <c r="A619" s="503"/>
      <c r="B619" s="503"/>
      <c r="C619" s="510"/>
      <c r="D619" s="510"/>
      <c r="E619" s="510"/>
      <c r="F619" s="746"/>
      <c r="G619" s="510"/>
      <c r="H619" s="510"/>
      <c r="I619" s="510"/>
      <c r="J619" s="510"/>
      <c r="K619" s="510"/>
      <c r="L619" s="510"/>
      <c r="M619" s="509"/>
      <c r="N619" s="508"/>
      <c r="O619" s="507"/>
      <c r="P619" s="507"/>
      <c r="Q619" s="505"/>
      <c r="R619" s="506"/>
      <c r="S619" s="506"/>
      <c r="T619" s="506"/>
      <c r="U619" s="505"/>
      <c r="V619" s="505"/>
      <c r="W619" s="505"/>
      <c r="X619" s="504"/>
      <c r="Y619" s="503"/>
      <c r="Z619" s="503"/>
      <c r="AA619" s="503"/>
      <c r="AB619" s="503"/>
      <c r="AC619" s="503"/>
      <c r="AD619" s="503"/>
      <c r="AE619" s="503"/>
      <c r="AF619" s="503"/>
    </row>
    <row r="620" spans="1:32" ht="15.75" customHeight="1">
      <c r="A620" s="503"/>
      <c r="B620" s="503"/>
      <c r="C620" s="510"/>
      <c r="D620" s="510"/>
      <c r="E620" s="510"/>
      <c r="F620" s="746"/>
      <c r="G620" s="510"/>
      <c r="H620" s="510"/>
      <c r="I620" s="510"/>
      <c r="J620" s="510"/>
      <c r="K620" s="510"/>
      <c r="L620" s="510"/>
      <c r="M620" s="509"/>
      <c r="N620" s="508"/>
      <c r="O620" s="507"/>
      <c r="P620" s="507"/>
      <c r="Q620" s="505"/>
      <c r="R620" s="506"/>
      <c r="S620" s="506"/>
      <c r="T620" s="506"/>
      <c r="U620" s="505"/>
      <c r="V620" s="505"/>
      <c r="W620" s="505"/>
      <c r="X620" s="504"/>
      <c r="Y620" s="503"/>
      <c r="Z620" s="503"/>
      <c r="AA620" s="503"/>
      <c r="AB620" s="503"/>
      <c r="AC620" s="503"/>
      <c r="AD620" s="503"/>
      <c r="AE620" s="503"/>
      <c r="AF620" s="503"/>
    </row>
    <row r="621" spans="1:32" ht="15.75" customHeight="1">
      <c r="A621" s="503"/>
      <c r="B621" s="503"/>
      <c r="C621" s="510"/>
      <c r="D621" s="510"/>
      <c r="E621" s="510"/>
      <c r="F621" s="746"/>
      <c r="G621" s="510"/>
      <c r="H621" s="510"/>
      <c r="I621" s="510"/>
      <c r="J621" s="510"/>
      <c r="K621" s="510"/>
      <c r="L621" s="510"/>
      <c r="M621" s="509"/>
      <c r="N621" s="508"/>
      <c r="O621" s="507"/>
      <c r="P621" s="507"/>
      <c r="Q621" s="505"/>
      <c r="R621" s="506"/>
      <c r="S621" s="506"/>
      <c r="T621" s="506"/>
      <c r="U621" s="505"/>
      <c r="V621" s="505"/>
      <c r="W621" s="505"/>
      <c r="X621" s="504"/>
      <c r="Y621" s="503"/>
      <c r="Z621" s="503"/>
      <c r="AA621" s="503"/>
      <c r="AB621" s="503"/>
      <c r="AC621" s="503"/>
      <c r="AD621" s="503"/>
      <c r="AE621" s="503"/>
      <c r="AF621" s="503"/>
    </row>
    <row r="622" spans="1:32" ht="15.75" customHeight="1">
      <c r="A622" s="503"/>
      <c r="B622" s="503"/>
      <c r="C622" s="510"/>
      <c r="D622" s="510"/>
      <c r="E622" s="510"/>
      <c r="F622" s="746"/>
      <c r="G622" s="510"/>
      <c r="H622" s="510"/>
      <c r="I622" s="510"/>
      <c r="J622" s="510"/>
      <c r="K622" s="510"/>
      <c r="L622" s="510"/>
      <c r="M622" s="509"/>
      <c r="N622" s="508"/>
      <c r="O622" s="507"/>
      <c r="P622" s="507"/>
      <c r="Q622" s="505"/>
      <c r="R622" s="506"/>
      <c r="S622" s="506"/>
      <c r="T622" s="506"/>
      <c r="U622" s="505"/>
      <c r="V622" s="505"/>
      <c r="W622" s="505"/>
      <c r="X622" s="504"/>
      <c r="Y622" s="503"/>
      <c r="Z622" s="503"/>
      <c r="AA622" s="503"/>
      <c r="AB622" s="503"/>
      <c r="AC622" s="503"/>
      <c r="AD622" s="503"/>
      <c r="AE622" s="503"/>
      <c r="AF622" s="503"/>
    </row>
    <row r="623" spans="1:32" ht="15.75" customHeight="1">
      <c r="A623" s="503"/>
      <c r="B623" s="503"/>
      <c r="C623" s="510"/>
      <c r="D623" s="510"/>
      <c r="E623" s="510"/>
      <c r="F623" s="746"/>
      <c r="G623" s="510"/>
      <c r="H623" s="510"/>
      <c r="I623" s="510"/>
      <c r="J623" s="510"/>
      <c r="K623" s="510"/>
      <c r="L623" s="510"/>
      <c r="M623" s="509"/>
      <c r="N623" s="508"/>
      <c r="O623" s="507"/>
      <c r="P623" s="507"/>
      <c r="Q623" s="505"/>
      <c r="R623" s="506"/>
      <c r="S623" s="506"/>
      <c r="T623" s="506"/>
      <c r="U623" s="505"/>
      <c r="V623" s="505"/>
      <c r="W623" s="505"/>
      <c r="X623" s="504"/>
      <c r="Y623" s="503"/>
      <c r="Z623" s="503"/>
      <c r="AA623" s="503"/>
      <c r="AB623" s="503"/>
      <c r="AC623" s="503"/>
      <c r="AD623" s="503"/>
      <c r="AE623" s="503"/>
      <c r="AF623" s="503"/>
    </row>
    <row r="624" spans="1:32" ht="15.75" customHeight="1">
      <c r="A624" s="503"/>
      <c r="B624" s="503"/>
      <c r="C624" s="510"/>
      <c r="D624" s="510"/>
      <c r="E624" s="510"/>
      <c r="F624" s="746"/>
      <c r="G624" s="510"/>
      <c r="H624" s="510"/>
      <c r="I624" s="510"/>
      <c r="J624" s="510"/>
      <c r="K624" s="510"/>
      <c r="L624" s="510"/>
      <c r="M624" s="509"/>
      <c r="N624" s="508"/>
      <c r="O624" s="507"/>
      <c r="P624" s="507"/>
      <c r="Q624" s="505"/>
      <c r="R624" s="506"/>
      <c r="S624" s="506"/>
      <c r="T624" s="506"/>
      <c r="U624" s="505"/>
      <c r="V624" s="505"/>
      <c r="W624" s="505"/>
      <c r="X624" s="504"/>
      <c r="Y624" s="503"/>
      <c r="Z624" s="503"/>
      <c r="AA624" s="503"/>
      <c r="AB624" s="503"/>
      <c r="AC624" s="503"/>
      <c r="AD624" s="503"/>
      <c r="AE624" s="503"/>
      <c r="AF624" s="503"/>
    </row>
    <row r="625" spans="1:32" ht="15.75" customHeight="1">
      <c r="A625" s="503"/>
      <c r="B625" s="503"/>
      <c r="C625" s="510"/>
      <c r="D625" s="510"/>
      <c r="E625" s="510"/>
      <c r="F625" s="746"/>
      <c r="G625" s="510"/>
      <c r="H625" s="510"/>
      <c r="I625" s="510"/>
      <c r="J625" s="510"/>
      <c r="K625" s="510"/>
      <c r="L625" s="510"/>
      <c r="M625" s="509"/>
      <c r="N625" s="508"/>
      <c r="O625" s="507"/>
      <c r="P625" s="507"/>
      <c r="Q625" s="505"/>
      <c r="R625" s="506"/>
      <c r="S625" s="506"/>
      <c r="T625" s="506"/>
      <c r="U625" s="505"/>
      <c r="V625" s="505"/>
      <c r="W625" s="505"/>
      <c r="X625" s="504"/>
      <c r="Y625" s="503"/>
      <c r="Z625" s="503"/>
      <c r="AA625" s="503"/>
      <c r="AB625" s="503"/>
      <c r="AC625" s="503"/>
      <c r="AD625" s="503"/>
      <c r="AE625" s="503"/>
      <c r="AF625" s="503"/>
    </row>
    <row r="626" spans="1:32" ht="15.75" customHeight="1">
      <c r="A626" s="503"/>
      <c r="B626" s="503"/>
      <c r="C626" s="510"/>
      <c r="D626" s="510"/>
      <c r="E626" s="510"/>
      <c r="F626" s="746"/>
      <c r="G626" s="510"/>
      <c r="H626" s="510"/>
      <c r="I626" s="510"/>
      <c r="J626" s="510"/>
      <c r="K626" s="510"/>
      <c r="L626" s="510"/>
      <c r="M626" s="509"/>
      <c r="N626" s="508"/>
      <c r="O626" s="507"/>
      <c r="P626" s="507"/>
      <c r="Q626" s="505"/>
      <c r="R626" s="506"/>
      <c r="S626" s="506"/>
      <c r="T626" s="506"/>
      <c r="U626" s="505"/>
      <c r="V626" s="505"/>
      <c r="W626" s="505"/>
      <c r="X626" s="504"/>
      <c r="Y626" s="503"/>
      <c r="Z626" s="503"/>
      <c r="AA626" s="503"/>
      <c r="AB626" s="503"/>
      <c r="AC626" s="503"/>
      <c r="AD626" s="503"/>
      <c r="AE626" s="503"/>
      <c r="AF626" s="503"/>
    </row>
    <row r="627" spans="1:32" ht="15.75" customHeight="1">
      <c r="A627" s="503"/>
      <c r="B627" s="503"/>
      <c r="C627" s="510"/>
      <c r="D627" s="510"/>
      <c r="E627" s="510"/>
      <c r="F627" s="746"/>
      <c r="G627" s="510"/>
      <c r="H627" s="510"/>
      <c r="I627" s="510"/>
      <c r="J627" s="510"/>
      <c r="K627" s="510"/>
      <c r="L627" s="510"/>
      <c r="M627" s="509"/>
      <c r="N627" s="508"/>
      <c r="O627" s="507"/>
      <c r="P627" s="507"/>
      <c r="Q627" s="505"/>
      <c r="R627" s="506"/>
      <c r="S627" s="506"/>
      <c r="T627" s="506"/>
      <c r="U627" s="505"/>
      <c r="V627" s="505"/>
      <c r="W627" s="505"/>
      <c r="X627" s="504"/>
      <c r="Y627" s="503"/>
      <c r="Z627" s="503"/>
      <c r="AA627" s="503"/>
      <c r="AB627" s="503"/>
      <c r="AC627" s="503"/>
      <c r="AD627" s="503"/>
      <c r="AE627" s="503"/>
      <c r="AF627" s="503"/>
    </row>
    <row r="628" spans="1:32" ht="15.75" customHeight="1">
      <c r="A628" s="503"/>
      <c r="B628" s="503"/>
      <c r="C628" s="510"/>
      <c r="D628" s="510"/>
      <c r="E628" s="510"/>
      <c r="F628" s="746"/>
      <c r="G628" s="510"/>
      <c r="H628" s="510"/>
      <c r="I628" s="510"/>
      <c r="J628" s="510"/>
      <c r="K628" s="510"/>
      <c r="L628" s="510"/>
      <c r="M628" s="509"/>
      <c r="N628" s="508"/>
      <c r="O628" s="507"/>
      <c r="P628" s="507"/>
      <c r="Q628" s="505"/>
      <c r="R628" s="506"/>
      <c r="S628" s="506"/>
      <c r="T628" s="506"/>
      <c r="U628" s="505"/>
      <c r="V628" s="505"/>
      <c r="W628" s="505"/>
      <c r="X628" s="504"/>
      <c r="Y628" s="503"/>
      <c r="Z628" s="503"/>
      <c r="AA628" s="503"/>
      <c r="AB628" s="503"/>
      <c r="AC628" s="503"/>
      <c r="AD628" s="503"/>
      <c r="AE628" s="503"/>
      <c r="AF628" s="503"/>
    </row>
    <row r="629" spans="1:32" ht="15.75" customHeight="1">
      <c r="A629" s="503"/>
      <c r="B629" s="503"/>
      <c r="C629" s="510"/>
      <c r="D629" s="510"/>
      <c r="E629" s="510"/>
      <c r="F629" s="746"/>
      <c r="G629" s="510"/>
      <c r="H629" s="510"/>
      <c r="I629" s="510"/>
      <c r="J629" s="510"/>
      <c r="K629" s="510"/>
      <c r="L629" s="510"/>
      <c r="M629" s="509"/>
      <c r="N629" s="508"/>
      <c r="O629" s="507"/>
      <c r="P629" s="507"/>
      <c r="Q629" s="505"/>
      <c r="R629" s="506"/>
      <c r="S629" s="506"/>
      <c r="T629" s="506"/>
      <c r="U629" s="505"/>
      <c r="V629" s="505"/>
      <c r="W629" s="505"/>
      <c r="X629" s="504"/>
      <c r="Y629" s="503"/>
      <c r="Z629" s="503"/>
      <c r="AA629" s="503"/>
      <c r="AB629" s="503"/>
      <c r="AC629" s="503"/>
      <c r="AD629" s="503"/>
      <c r="AE629" s="503"/>
      <c r="AF629" s="503"/>
    </row>
    <row r="630" spans="1:32" ht="15.75" customHeight="1">
      <c r="A630" s="503"/>
      <c r="B630" s="503"/>
      <c r="C630" s="510"/>
      <c r="D630" s="510"/>
      <c r="E630" s="510"/>
      <c r="F630" s="746"/>
      <c r="G630" s="510"/>
      <c r="H630" s="510"/>
      <c r="I630" s="510"/>
      <c r="J630" s="510"/>
      <c r="K630" s="510"/>
      <c r="L630" s="510"/>
      <c r="M630" s="509"/>
      <c r="N630" s="508"/>
      <c r="O630" s="507"/>
      <c r="P630" s="507"/>
      <c r="Q630" s="505"/>
      <c r="R630" s="506"/>
      <c r="S630" s="506"/>
      <c r="T630" s="506"/>
      <c r="U630" s="505"/>
      <c r="V630" s="505"/>
      <c r="W630" s="505"/>
      <c r="X630" s="504"/>
      <c r="Y630" s="503"/>
      <c r="Z630" s="503"/>
      <c r="AA630" s="503"/>
      <c r="AB630" s="503"/>
      <c r="AC630" s="503"/>
      <c r="AD630" s="503"/>
      <c r="AE630" s="503"/>
      <c r="AF630" s="503"/>
    </row>
    <row r="631" spans="1:32" ht="15.75" customHeight="1">
      <c r="A631" s="503"/>
      <c r="B631" s="503"/>
      <c r="C631" s="510"/>
      <c r="D631" s="510"/>
      <c r="E631" s="510"/>
      <c r="F631" s="746"/>
      <c r="G631" s="510"/>
      <c r="H631" s="510"/>
      <c r="I631" s="510"/>
      <c r="J631" s="510"/>
      <c r="K631" s="510"/>
      <c r="L631" s="510"/>
      <c r="M631" s="509"/>
      <c r="N631" s="508"/>
      <c r="O631" s="507"/>
      <c r="P631" s="507"/>
      <c r="Q631" s="505"/>
      <c r="R631" s="506"/>
      <c r="S631" s="506"/>
      <c r="T631" s="506"/>
      <c r="U631" s="505"/>
      <c r="V631" s="505"/>
      <c r="W631" s="505"/>
      <c r="X631" s="504"/>
      <c r="Y631" s="503"/>
      <c r="Z631" s="503"/>
      <c r="AA631" s="503"/>
      <c r="AB631" s="503"/>
      <c r="AC631" s="503"/>
      <c r="AD631" s="503"/>
      <c r="AE631" s="503"/>
      <c r="AF631" s="503"/>
    </row>
    <row r="632" spans="1:32" ht="15.75" customHeight="1">
      <c r="A632" s="503"/>
      <c r="B632" s="503"/>
      <c r="C632" s="510"/>
      <c r="D632" s="510"/>
      <c r="E632" s="510"/>
      <c r="F632" s="746"/>
      <c r="G632" s="510"/>
      <c r="H632" s="510"/>
      <c r="I632" s="510"/>
      <c r="J632" s="510"/>
      <c r="K632" s="510"/>
      <c r="L632" s="510"/>
      <c r="M632" s="509"/>
      <c r="N632" s="508"/>
      <c r="O632" s="507"/>
      <c r="P632" s="507"/>
      <c r="Q632" s="505"/>
      <c r="R632" s="506"/>
      <c r="S632" s="506"/>
      <c r="T632" s="506"/>
      <c r="U632" s="505"/>
      <c r="V632" s="505"/>
      <c r="W632" s="505"/>
      <c r="X632" s="504"/>
      <c r="Y632" s="503"/>
      <c r="Z632" s="503"/>
      <c r="AA632" s="503"/>
      <c r="AB632" s="503"/>
      <c r="AC632" s="503"/>
      <c r="AD632" s="503"/>
      <c r="AE632" s="503"/>
      <c r="AF632" s="503"/>
    </row>
    <row r="633" spans="1:32" ht="15.75" customHeight="1">
      <c r="A633" s="503"/>
      <c r="B633" s="503"/>
      <c r="C633" s="510"/>
      <c r="D633" s="510"/>
      <c r="E633" s="510"/>
      <c r="F633" s="746"/>
      <c r="G633" s="510"/>
      <c r="H633" s="510"/>
      <c r="I633" s="510"/>
      <c r="J633" s="510"/>
      <c r="K633" s="510"/>
      <c r="L633" s="510"/>
      <c r="M633" s="509"/>
      <c r="N633" s="508"/>
      <c r="O633" s="507"/>
      <c r="P633" s="507"/>
      <c r="Q633" s="505"/>
      <c r="R633" s="506"/>
      <c r="S633" s="506"/>
      <c r="T633" s="506"/>
      <c r="U633" s="505"/>
      <c r="V633" s="505"/>
      <c r="W633" s="505"/>
      <c r="X633" s="504"/>
      <c r="Y633" s="503"/>
      <c r="Z633" s="503"/>
      <c r="AA633" s="503"/>
      <c r="AB633" s="503"/>
      <c r="AC633" s="503"/>
      <c r="AD633" s="503"/>
      <c r="AE633" s="503"/>
      <c r="AF633" s="503"/>
    </row>
    <row r="634" spans="1:32" ht="15.75" customHeight="1">
      <c r="A634" s="503"/>
      <c r="B634" s="503"/>
      <c r="C634" s="510"/>
      <c r="D634" s="510"/>
      <c r="E634" s="510"/>
      <c r="F634" s="746"/>
      <c r="G634" s="510"/>
      <c r="H634" s="510"/>
      <c r="I634" s="510"/>
      <c r="J634" s="510"/>
      <c r="K634" s="510"/>
      <c r="L634" s="510"/>
      <c r="M634" s="509"/>
      <c r="N634" s="508"/>
      <c r="O634" s="507"/>
      <c r="P634" s="507"/>
      <c r="Q634" s="505"/>
      <c r="R634" s="506"/>
      <c r="S634" s="506"/>
      <c r="T634" s="506"/>
      <c r="U634" s="505"/>
      <c r="V634" s="505"/>
      <c r="W634" s="505"/>
      <c r="X634" s="504"/>
      <c r="Y634" s="503"/>
      <c r="Z634" s="503"/>
      <c r="AA634" s="503"/>
      <c r="AB634" s="503"/>
      <c r="AC634" s="503"/>
      <c r="AD634" s="503"/>
      <c r="AE634" s="503"/>
      <c r="AF634" s="503"/>
    </row>
    <row r="635" spans="1:32" ht="15.75" customHeight="1">
      <c r="A635" s="503"/>
      <c r="B635" s="503"/>
      <c r="C635" s="510"/>
      <c r="D635" s="510"/>
      <c r="E635" s="510"/>
      <c r="F635" s="746"/>
      <c r="G635" s="510"/>
      <c r="H635" s="510"/>
      <c r="I635" s="510"/>
      <c r="J635" s="510"/>
      <c r="K635" s="510"/>
      <c r="L635" s="510"/>
      <c r="M635" s="509"/>
      <c r="N635" s="508"/>
      <c r="O635" s="507"/>
      <c r="P635" s="507"/>
      <c r="Q635" s="505"/>
      <c r="R635" s="506"/>
      <c r="S635" s="506"/>
      <c r="T635" s="506"/>
      <c r="U635" s="505"/>
      <c r="V635" s="505"/>
      <c r="W635" s="505"/>
      <c r="X635" s="504"/>
      <c r="Y635" s="503"/>
      <c r="Z635" s="503"/>
      <c r="AA635" s="503"/>
      <c r="AB635" s="503"/>
      <c r="AC635" s="503"/>
      <c r="AD635" s="503"/>
      <c r="AE635" s="503"/>
      <c r="AF635" s="503"/>
    </row>
    <row r="636" spans="1:32" ht="15.75" customHeight="1">
      <c r="A636" s="503"/>
      <c r="B636" s="503"/>
      <c r="C636" s="510"/>
      <c r="D636" s="510"/>
      <c r="E636" s="510"/>
      <c r="F636" s="746"/>
      <c r="G636" s="510"/>
      <c r="H636" s="510"/>
      <c r="I636" s="510"/>
      <c r="J636" s="510"/>
      <c r="K636" s="510"/>
      <c r="L636" s="510"/>
      <c r="M636" s="509"/>
      <c r="N636" s="508"/>
      <c r="O636" s="507"/>
      <c r="P636" s="507"/>
      <c r="Q636" s="505"/>
      <c r="R636" s="506"/>
      <c r="S636" s="506"/>
      <c r="T636" s="506"/>
      <c r="U636" s="505"/>
      <c r="V636" s="505"/>
      <c r="W636" s="505"/>
      <c r="X636" s="504"/>
      <c r="Y636" s="503"/>
      <c r="Z636" s="503"/>
      <c r="AA636" s="503"/>
      <c r="AB636" s="503"/>
      <c r="AC636" s="503"/>
      <c r="AD636" s="503"/>
      <c r="AE636" s="503"/>
      <c r="AF636" s="503"/>
    </row>
    <row r="637" spans="1:32" ht="15.75" customHeight="1">
      <c r="A637" s="503"/>
      <c r="B637" s="503"/>
      <c r="C637" s="510"/>
      <c r="D637" s="510"/>
      <c r="E637" s="510"/>
      <c r="F637" s="746"/>
      <c r="G637" s="510"/>
      <c r="H637" s="510"/>
      <c r="I637" s="510"/>
      <c r="J637" s="510"/>
      <c r="K637" s="510"/>
      <c r="L637" s="510"/>
      <c r="M637" s="509"/>
      <c r="N637" s="508"/>
      <c r="O637" s="507"/>
      <c r="P637" s="507"/>
      <c r="Q637" s="505"/>
      <c r="R637" s="506"/>
      <c r="S637" s="506"/>
      <c r="T637" s="506"/>
      <c r="U637" s="505"/>
      <c r="V637" s="505"/>
      <c r="W637" s="505"/>
      <c r="X637" s="504"/>
      <c r="Y637" s="503"/>
      <c r="Z637" s="503"/>
      <c r="AA637" s="503"/>
      <c r="AB637" s="503"/>
      <c r="AC637" s="503"/>
      <c r="AD637" s="503"/>
      <c r="AE637" s="503"/>
      <c r="AF637" s="503"/>
    </row>
    <row r="638" spans="1:32" ht="15.75" customHeight="1">
      <c r="A638" s="503"/>
      <c r="B638" s="503"/>
      <c r="C638" s="510"/>
      <c r="D638" s="510"/>
      <c r="E638" s="510"/>
      <c r="F638" s="746"/>
      <c r="G638" s="510"/>
      <c r="H638" s="510"/>
      <c r="I638" s="510"/>
      <c r="J638" s="510"/>
      <c r="K638" s="510"/>
      <c r="L638" s="510"/>
      <c r="M638" s="509"/>
      <c r="N638" s="508"/>
      <c r="O638" s="507"/>
      <c r="P638" s="507"/>
      <c r="Q638" s="505"/>
      <c r="R638" s="506"/>
      <c r="S638" s="506"/>
      <c r="T638" s="506"/>
      <c r="U638" s="505"/>
      <c r="V638" s="505"/>
      <c r="W638" s="505"/>
      <c r="X638" s="504"/>
      <c r="Y638" s="503"/>
      <c r="Z638" s="503"/>
      <c r="AA638" s="503"/>
      <c r="AB638" s="503"/>
      <c r="AC638" s="503"/>
      <c r="AD638" s="503"/>
      <c r="AE638" s="503"/>
      <c r="AF638" s="503"/>
    </row>
    <row r="639" spans="1:32" ht="15.75" customHeight="1">
      <c r="A639" s="503"/>
      <c r="B639" s="503"/>
      <c r="C639" s="510"/>
      <c r="D639" s="510"/>
      <c r="E639" s="510"/>
      <c r="F639" s="746"/>
      <c r="G639" s="510"/>
      <c r="H639" s="510"/>
      <c r="I639" s="510"/>
      <c r="J639" s="510"/>
      <c r="K639" s="510"/>
      <c r="L639" s="510"/>
      <c r="M639" s="509"/>
      <c r="N639" s="508"/>
      <c r="O639" s="507"/>
      <c r="P639" s="507"/>
      <c r="Q639" s="505"/>
      <c r="R639" s="506"/>
      <c r="S639" s="506"/>
      <c r="T639" s="506"/>
      <c r="U639" s="505"/>
      <c r="V639" s="505"/>
      <c r="W639" s="505"/>
      <c r="X639" s="504"/>
      <c r="Y639" s="503"/>
      <c r="Z639" s="503"/>
      <c r="AA639" s="503"/>
      <c r="AB639" s="503"/>
      <c r="AC639" s="503"/>
      <c r="AD639" s="503"/>
      <c r="AE639" s="503"/>
      <c r="AF639" s="503"/>
    </row>
    <row r="640" spans="1:32" ht="15.75" customHeight="1">
      <c r="A640" s="503"/>
      <c r="B640" s="503"/>
      <c r="C640" s="510"/>
      <c r="D640" s="510"/>
      <c r="E640" s="510"/>
      <c r="F640" s="746"/>
      <c r="G640" s="510"/>
      <c r="H640" s="510"/>
      <c r="I640" s="510"/>
      <c r="J640" s="510"/>
      <c r="K640" s="510"/>
      <c r="L640" s="510"/>
      <c r="M640" s="509"/>
      <c r="N640" s="508"/>
      <c r="O640" s="507"/>
      <c r="P640" s="507"/>
      <c r="Q640" s="505"/>
      <c r="R640" s="506"/>
      <c r="S640" s="506"/>
      <c r="T640" s="506"/>
      <c r="U640" s="505"/>
      <c r="V640" s="505"/>
      <c r="W640" s="505"/>
      <c r="X640" s="504"/>
      <c r="Y640" s="503"/>
      <c r="Z640" s="503"/>
      <c r="AA640" s="503"/>
      <c r="AB640" s="503"/>
      <c r="AC640" s="503"/>
      <c r="AD640" s="503"/>
      <c r="AE640" s="503"/>
      <c r="AF640" s="503"/>
    </row>
    <row r="641" spans="1:32" ht="15.75" customHeight="1">
      <c r="A641" s="503"/>
      <c r="B641" s="503"/>
      <c r="C641" s="510"/>
      <c r="D641" s="510"/>
      <c r="E641" s="510"/>
      <c r="F641" s="746"/>
      <c r="G641" s="510"/>
      <c r="H641" s="510"/>
      <c r="I641" s="510"/>
      <c r="J641" s="510"/>
      <c r="K641" s="510"/>
      <c r="L641" s="510"/>
      <c r="M641" s="509"/>
      <c r="N641" s="508"/>
      <c r="O641" s="507"/>
      <c r="P641" s="507"/>
      <c r="Q641" s="505"/>
      <c r="R641" s="506"/>
      <c r="S641" s="506"/>
      <c r="T641" s="506"/>
      <c r="U641" s="505"/>
      <c r="V641" s="505"/>
      <c r="W641" s="505"/>
      <c r="X641" s="504"/>
      <c r="Y641" s="503"/>
      <c r="Z641" s="503"/>
      <c r="AA641" s="503"/>
      <c r="AB641" s="503"/>
      <c r="AC641" s="503"/>
      <c r="AD641" s="503"/>
      <c r="AE641" s="503"/>
      <c r="AF641" s="503"/>
    </row>
    <row r="642" spans="1:32" ht="15.75" customHeight="1">
      <c r="A642" s="503"/>
      <c r="B642" s="503"/>
      <c r="C642" s="510"/>
      <c r="D642" s="510"/>
      <c r="E642" s="510"/>
      <c r="F642" s="746"/>
      <c r="G642" s="510"/>
      <c r="H642" s="510"/>
      <c r="I642" s="510"/>
      <c r="J642" s="510"/>
      <c r="K642" s="510"/>
      <c r="L642" s="510"/>
      <c r="M642" s="509"/>
      <c r="N642" s="508"/>
      <c r="O642" s="507"/>
      <c r="P642" s="507"/>
      <c r="Q642" s="505"/>
      <c r="R642" s="506"/>
      <c r="S642" s="506"/>
      <c r="T642" s="506"/>
      <c r="U642" s="505"/>
      <c r="V642" s="505"/>
      <c r="W642" s="505"/>
      <c r="X642" s="504"/>
      <c r="Y642" s="503"/>
      <c r="Z642" s="503"/>
      <c r="AA642" s="503"/>
      <c r="AB642" s="503"/>
      <c r="AC642" s="503"/>
      <c r="AD642" s="503"/>
      <c r="AE642" s="503"/>
      <c r="AF642" s="503"/>
    </row>
    <row r="643" spans="1:32" ht="15.75" customHeight="1">
      <c r="A643" s="503"/>
      <c r="B643" s="503"/>
      <c r="C643" s="510"/>
      <c r="D643" s="510"/>
      <c r="E643" s="510"/>
      <c r="F643" s="746"/>
      <c r="G643" s="510"/>
      <c r="H643" s="510"/>
      <c r="I643" s="510"/>
      <c r="J643" s="510"/>
      <c r="K643" s="510"/>
      <c r="L643" s="510"/>
      <c r="M643" s="509"/>
      <c r="N643" s="508"/>
      <c r="O643" s="507"/>
      <c r="P643" s="507"/>
      <c r="Q643" s="505"/>
      <c r="R643" s="506"/>
      <c r="S643" s="506"/>
      <c r="T643" s="506"/>
      <c r="U643" s="505"/>
      <c r="V643" s="505"/>
      <c r="W643" s="505"/>
      <c r="X643" s="504"/>
      <c r="Y643" s="503"/>
      <c r="Z643" s="503"/>
      <c r="AA643" s="503"/>
      <c r="AB643" s="503"/>
      <c r="AC643" s="503"/>
      <c r="AD643" s="503"/>
      <c r="AE643" s="503"/>
      <c r="AF643" s="503"/>
    </row>
    <row r="644" spans="1:32" ht="15.75" customHeight="1">
      <c r="A644" s="503"/>
      <c r="B644" s="503"/>
      <c r="C644" s="510"/>
      <c r="D644" s="510"/>
      <c r="E644" s="510"/>
      <c r="F644" s="746"/>
      <c r="G644" s="510"/>
      <c r="H644" s="510"/>
      <c r="I644" s="510"/>
      <c r="J644" s="510"/>
      <c r="K644" s="510"/>
      <c r="L644" s="510"/>
      <c r="M644" s="509"/>
      <c r="N644" s="508"/>
      <c r="O644" s="507"/>
      <c r="P644" s="507"/>
      <c r="Q644" s="505"/>
      <c r="R644" s="506"/>
      <c r="S644" s="506"/>
      <c r="T644" s="506"/>
      <c r="U644" s="505"/>
      <c r="V644" s="505"/>
      <c r="W644" s="505"/>
      <c r="X644" s="504"/>
      <c r="Y644" s="503"/>
      <c r="Z644" s="503"/>
      <c r="AA644" s="503"/>
      <c r="AB644" s="503"/>
      <c r="AC644" s="503"/>
      <c r="AD644" s="503"/>
      <c r="AE644" s="503"/>
      <c r="AF644" s="503"/>
    </row>
    <row r="645" spans="1:32" ht="15.75" customHeight="1">
      <c r="A645" s="503"/>
      <c r="B645" s="503"/>
      <c r="C645" s="510"/>
      <c r="D645" s="510"/>
      <c r="E645" s="510"/>
      <c r="F645" s="746"/>
      <c r="G645" s="510"/>
      <c r="H645" s="510"/>
      <c r="I645" s="510"/>
      <c r="J645" s="510"/>
      <c r="K645" s="510"/>
      <c r="L645" s="510"/>
      <c r="M645" s="509"/>
      <c r="N645" s="508"/>
      <c r="O645" s="507"/>
      <c r="P645" s="507"/>
      <c r="Q645" s="505"/>
      <c r="R645" s="506"/>
      <c r="S645" s="506"/>
      <c r="T645" s="506"/>
      <c r="U645" s="505"/>
      <c r="V645" s="505"/>
      <c r="W645" s="505"/>
      <c r="X645" s="504"/>
      <c r="Y645" s="503"/>
      <c r="Z645" s="503"/>
      <c r="AA645" s="503"/>
      <c r="AB645" s="503"/>
      <c r="AC645" s="503"/>
      <c r="AD645" s="503"/>
      <c r="AE645" s="503"/>
      <c r="AF645" s="503"/>
    </row>
    <row r="646" spans="1:32" ht="15.75" customHeight="1">
      <c r="A646" s="503"/>
      <c r="B646" s="503"/>
      <c r="C646" s="510"/>
      <c r="D646" s="510"/>
      <c r="E646" s="510"/>
      <c r="F646" s="746"/>
      <c r="G646" s="510"/>
      <c r="H646" s="510"/>
      <c r="I646" s="510"/>
      <c r="J646" s="510"/>
      <c r="K646" s="510"/>
      <c r="L646" s="510"/>
      <c r="M646" s="509"/>
      <c r="N646" s="508"/>
      <c r="O646" s="507"/>
      <c r="P646" s="507"/>
      <c r="Q646" s="505"/>
      <c r="R646" s="506"/>
      <c r="S646" s="506"/>
      <c r="T646" s="506"/>
      <c r="U646" s="505"/>
      <c r="V646" s="505"/>
      <c r="W646" s="505"/>
      <c r="X646" s="504"/>
      <c r="Y646" s="503"/>
      <c r="Z646" s="503"/>
      <c r="AA646" s="503"/>
      <c r="AB646" s="503"/>
      <c r="AC646" s="503"/>
      <c r="AD646" s="503"/>
      <c r="AE646" s="503"/>
      <c r="AF646" s="503"/>
    </row>
    <row r="647" spans="1:32" ht="15.75" customHeight="1">
      <c r="A647" s="503"/>
      <c r="B647" s="503"/>
      <c r="C647" s="510"/>
      <c r="D647" s="510"/>
      <c r="E647" s="510"/>
      <c r="F647" s="746"/>
      <c r="G647" s="510"/>
      <c r="H647" s="510"/>
      <c r="I647" s="510"/>
      <c r="J647" s="510"/>
      <c r="K647" s="510"/>
      <c r="L647" s="510"/>
      <c r="M647" s="509"/>
      <c r="N647" s="508"/>
      <c r="O647" s="507"/>
      <c r="P647" s="507"/>
      <c r="Q647" s="505"/>
      <c r="R647" s="506"/>
      <c r="S647" s="506"/>
      <c r="T647" s="506"/>
      <c r="U647" s="505"/>
      <c r="V647" s="505"/>
      <c r="W647" s="505"/>
      <c r="X647" s="504"/>
      <c r="Y647" s="503"/>
      <c r="Z647" s="503"/>
      <c r="AA647" s="503"/>
      <c r="AB647" s="503"/>
      <c r="AC647" s="503"/>
      <c r="AD647" s="503"/>
      <c r="AE647" s="503"/>
      <c r="AF647" s="503"/>
    </row>
    <row r="648" spans="1:32" ht="15.75" customHeight="1">
      <c r="A648" s="503"/>
      <c r="B648" s="503"/>
      <c r="C648" s="510"/>
      <c r="D648" s="510"/>
      <c r="E648" s="510"/>
      <c r="F648" s="746"/>
      <c r="G648" s="510"/>
      <c r="H648" s="510"/>
      <c r="I648" s="510"/>
      <c r="J648" s="510"/>
      <c r="K648" s="510"/>
      <c r="L648" s="510"/>
      <c r="M648" s="509"/>
      <c r="N648" s="508"/>
      <c r="O648" s="507"/>
      <c r="P648" s="507"/>
      <c r="Q648" s="505"/>
      <c r="R648" s="506"/>
      <c r="S648" s="506"/>
      <c r="T648" s="506"/>
      <c r="U648" s="505"/>
      <c r="V648" s="505"/>
      <c r="W648" s="505"/>
      <c r="X648" s="504"/>
      <c r="Y648" s="503"/>
      <c r="Z648" s="503"/>
      <c r="AA648" s="503"/>
      <c r="AB648" s="503"/>
      <c r="AC648" s="503"/>
      <c r="AD648" s="503"/>
      <c r="AE648" s="503"/>
      <c r="AF648" s="503"/>
    </row>
    <row r="649" spans="1:32" ht="15.75" customHeight="1">
      <c r="A649" s="503"/>
      <c r="B649" s="503"/>
      <c r="C649" s="510"/>
      <c r="D649" s="510"/>
      <c r="E649" s="510"/>
      <c r="F649" s="746"/>
      <c r="G649" s="510"/>
      <c r="H649" s="510"/>
      <c r="I649" s="510"/>
      <c r="J649" s="510"/>
      <c r="K649" s="510"/>
      <c r="L649" s="510"/>
      <c r="M649" s="509"/>
      <c r="N649" s="508"/>
      <c r="O649" s="507"/>
      <c r="P649" s="507"/>
      <c r="Q649" s="505"/>
      <c r="R649" s="506"/>
      <c r="S649" s="506"/>
      <c r="T649" s="506"/>
      <c r="U649" s="505"/>
      <c r="V649" s="505"/>
      <c r="W649" s="505"/>
      <c r="X649" s="504"/>
      <c r="Y649" s="503"/>
      <c r="Z649" s="503"/>
      <c r="AA649" s="503"/>
      <c r="AB649" s="503"/>
      <c r="AC649" s="503"/>
      <c r="AD649" s="503"/>
      <c r="AE649" s="503"/>
      <c r="AF649" s="503"/>
    </row>
    <row r="650" spans="1:32" ht="15.75" customHeight="1">
      <c r="A650" s="503"/>
      <c r="B650" s="503"/>
      <c r="C650" s="510"/>
      <c r="D650" s="510"/>
      <c r="E650" s="510"/>
      <c r="F650" s="746"/>
      <c r="G650" s="510"/>
      <c r="H650" s="510"/>
      <c r="I650" s="510"/>
      <c r="J650" s="510"/>
      <c r="K650" s="510"/>
      <c r="L650" s="510"/>
      <c r="M650" s="509"/>
      <c r="N650" s="508"/>
      <c r="O650" s="507"/>
      <c r="P650" s="507"/>
      <c r="Q650" s="505"/>
      <c r="R650" s="506"/>
      <c r="S650" s="506"/>
      <c r="T650" s="506"/>
      <c r="U650" s="505"/>
      <c r="V650" s="505"/>
      <c r="W650" s="505"/>
      <c r="X650" s="504"/>
      <c r="Y650" s="503"/>
      <c r="Z650" s="503"/>
      <c r="AA650" s="503"/>
      <c r="AB650" s="503"/>
      <c r="AC650" s="503"/>
      <c r="AD650" s="503"/>
      <c r="AE650" s="503"/>
      <c r="AF650" s="503"/>
    </row>
    <row r="651" spans="1:32" ht="15.75" customHeight="1">
      <c r="A651" s="503"/>
      <c r="B651" s="503"/>
      <c r="C651" s="510"/>
      <c r="D651" s="510"/>
      <c r="E651" s="510"/>
      <c r="F651" s="746"/>
      <c r="G651" s="510"/>
      <c r="H651" s="510"/>
      <c r="I651" s="510"/>
      <c r="J651" s="510"/>
      <c r="K651" s="510"/>
      <c r="L651" s="510"/>
      <c r="M651" s="509"/>
      <c r="N651" s="508"/>
      <c r="O651" s="507"/>
      <c r="P651" s="507"/>
      <c r="Q651" s="505"/>
      <c r="R651" s="506"/>
      <c r="S651" s="506"/>
      <c r="T651" s="506"/>
      <c r="U651" s="505"/>
      <c r="V651" s="505"/>
      <c r="W651" s="505"/>
      <c r="X651" s="504"/>
      <c r="Y651" s="503"/>
      <c r="Z651" s="503"/>
      <c r="AA651" s="503"/>
      <c r="AB651" s="503"/>
      <c r="AC651" s="503"/>
      <c r="AD651" s="503"/>
      <c r="AE651" s="503"/>
      <c r="AF651" s="503"/>
    </row>
    <row r="652" spans="1:32" ht="15.75" customHeight="1">
      <c r="A652" s="503"/>
      <c r="B652" s="503"/>
      <c r="C652" s="510"/>
      <c r="D652" s="510"/>
      <c r="E652" s="510"/>
      <c r="F652" s="746"/>
      <c r="G652" s="510"/>
      <c r="H652" s="510"/>
      <c r="I652" s="510"/>
      <c r="J652" s="510"/>
      <c r="K652" s="510"/>
      <c r="L652" s="510"/>
      <c r="M652" s="509"/>
      <c r="N652" s="508"/>
      <c r="O652" s="507"/>
      <c r="P652" s="507"/>
      <c r="Q652" s="505"/>
      <c r="R652" s="506"/>
      <c r="S652" s="506"/>
      <c r="T652" s="506"/>
      <c r="U652" s="505"/>
      <c r="V652" s="505"/>
      <c r="W652" s="505"/>
      <c r="X652" s="504"/>
      <c r="Y652" s="503"/>
      <c r="Z652" s="503"/>
      <c r="AA652" s="503"/>
      <c r="AB652" s="503"/>
      <c r="AC652" s="503"/>
      <c r="AD652" s="503"/>
      <c r="AE652" s="503"/>
      <c r="AF652" s="503"/>
    </row>
    <row r="653" spans="1:32" ht="15.75" customHeight="1">
      <c r="A653" s="503"/>
      <c r="B653" s="503"/>
      <c r="C653" s="510"/>
      <c r="D653" s="510"/>
      <c r="E653" s="510"/>
      <c r="F653" s="746"/>
      <c r="G653" s="510"/>
      <c r="H653" s="510"/>
      <c r="I653" s="510"/>
      <c r="J653" s="510"/>
      <c r="K653" s="510"/>
      <c r="L653" s="510"/>
      <c r="M653" s="509"/>
      <c r="N653" s="508"/>
      <c r="O653" s="507"/>
      <c r="P653" s="507"/>
      <c r="Q653" s="505"/>
      <c r="R653" s="506"/>
      <c r="S653" s="506"/>
      <c r="T653" s="506"/>
      <c r="U653" s="505"/>
      <c r="V653" s="505"/>
      <c r="W653" s="505"/>
      <c r="X653" s="504"/>
      <c r="Y653" s="503"/>
      <c r="Z653" s="503"/>
      <c r="AA653" s="503"/>
      <c r="AB653" s="503"/>
      <c r="AC653" s="503"/>
      <c r="AD653" s="503"/>
      <c r="AE653" s="503"/>
      <c r="AF653" s="503"/>
    </row>
    <row r="654" spans="1:32" ht="15.75" customHeight="1">
      <c r="A654" s="503"/>
      <c r="B654" s="503"/>
      <c r="C654" s="510"/>
      <c r="D654" s="510"/>
      <c r="E654" s="510"/>
      <c r="F654" s="746"/>
      <c r="G654" s="510"/>
      <c r="H654" s="510"/>
      <c r="I654" s="510"/>
      <c r="J654" s="510"/>
      <c r="K654" s="510"/>
      <c r="L654" s="510"/>
      <c r="M654" s="509"/>
      <c r="N654" s="508"/>
      <c r="O654" s="507"/>
      <c r="P654" s="507"/>
      <c r="Q654" s="505"/>
      <c r="R654" s="506"/>
      <c r="S654" s="506"/>
      <c r="T654" s="506"/>
      <c r="U654" s="505"/>
      <c r="V654" s="505"/>
      <c r="W654" s="505"/>
      <c r="X654" s="504"/>
      <c r="Y654" s="503"/>
      <c r="Z654" s="503"/>
      <c r="AA654" s="503"/>
      <c r="AB654" s="503"/>
      <c r="AC654" s="503"/>
      <c r="AD654" s="503"/>
      <c r="AE654" s="503"/>
      <c r="AF654" s="503"/>
    </row>
    <row r="655" spans="1:32" ht="15.75" customHeight="1">
      <c r="A655" s="503"/>
      <c r="B655" s="503"/>
      <c r="C655" s="510"/>
      <c r="D655" s="510"/>
      <c r="E655" s="510"/>
      <c r="F655" s="746"/>
      <c r="G655" s="510"/>
      <c r="H655" s="510"/>
      <c r="I655" s="510"/>
      <c r="J655" s="510"/>
      <c r="K655" s="510"/>
      <c r="L655" s="510"/>
      <c r="M655" s="509"/>
      <c r="N655" s="508"/>
      <c r="O655" s="507"/>
      <c r="P655" s="507"/>
      <c r="Q655" s="505"/>
      <c r="R655" s="506"/>
      <c r="S655" s="506"/>
      <c r="T655" s="506"/>
      <c r="U655" s="505"/>
      <c r="V655" s="505"/>
      <c r="W655" s="505"/>
      <c r="X655" s="504"/>
      <c r="Y655" s="503"/>
      <c r="Z655" s="503"/>
      <c r="AA655" s="503"/>
      <c r="AB655" s="503"/>
      <c r="AC655" s="503"/>
      <c r="AD655" s="503"/>
      <c r="AE655" s="503"/>
      <c r="AF655" s="503"/>
    </row>
    <row r="656" spans="1:32" ht="15.75" customHeight="1">
      <c r="A656" s="503"/>
      <c r="B656" s="503"/>
      <c r="C656" s="510"/>
      <c r="D656" s="510"/>
      <c r="E656" s="510"/>
      <c r="F656" s="746"/>
      <c r="G656" s="510"/>
      <c r="H656" s="510"/>
      <c r="I656" s="510"/>
      <c r="J656" s="510"/>
      <c r="K656" s="510"/>
      <c r="L656" s="510"/>
      <c r="M656" s="509"/>
      <c r="N656" s="508"/>
      <c r="O656" s="507"/>
      <c r="P656" s="507"/>
      <c r="Q656" s="505"/>
      <c r="R656" s="506"/>
      <c r="S656" s="506"/>
      <c r="T656" s="506"/>
      <c r="U656" s="505"/>
      <c r="V656" s="505"/>
      <c r="W656" s="505"/>
      <c r="X656" s="504"/>
      <c r="Y656" s="503"/>
      <c r="Z656" s="503"/>
      <c r="AA656" s="503"/>
      <c r="AB656" s="503"/>
      <c r="AC656" s="503"/>
      <c r="AD656" s="503"/>
      <c r="AE656" s="503"/>
      <c r="AF656" s="503"/>
    </row>
    <row r="657" spans="1:32" ht="15.75" customHeight="1">
      <c r="A657" s="503"/>
      <c r="B657" s="503"/>
      <c r="C657" s="510"/>
      <c r="D657" s="510"/>
      <c r="E657" s="510"/>
      <c r="F657" s="746"/>
      <c r="G657" s="510"/>
      <c r="H657" s="510"/>
      <c r="I657" s="510"/>
      <c r="J657" s="510"/>
      <c r="K657" s="510"/>
      <c r="L657" s="510"/>
      <c r="M657" s="509"/>
      <c r="N657" s="508"/>
      <c r="O657" s="507"/>
      <c r="P657" s="507"/>
      <c r="Q657" s="505"/>
      <c r="R657" s="506"/>
      <c r="S657" s="506"/>
      <c r="T657" s="506"/>
      <c r="U657" s="505"/>
      <c r="V657" s="505"/>
      <c r="W657" s="505"/>
      <c r="X657" s="504"/>
      <c r="Y657" s="503"/>
      <c r="Z657" s="503"/>
      <c r="AA657" s="503"/>
      <c r="AB657" s="503"/>
      <c r="AC657" s="503"/>
      <c r="AD657" s="503"/>
      <c r="AE657" s="503"/>
      <c r="AF657" s="503"/>
    </row>
    <row r="658" spans="1:32" ht="15.75" customHeight="1">
      <c r="A658" s="503"/>
      <c r="B658" s="503"/>
      <c r="C658" s="510"/>
      <c r="D658" s="510"/>
      <c r="E658" s="510"/>
      <c r="F658" s="746"/>
      <c r="G658" s="510"/>
      <c r="H658" s="510"/>
      <c r="I658" s="510"/>
      <c r="J658" s="510"/>
      <c r="K658" s="510"/>
      <c r="L658" s="510"/>
      <c r="M658" s="509"/>
      <c r="N658" s="508"/>
      <c r="O658" s="507"/>
      <c r="P658" s="507"/>
      <c r="Q658" s="505"/>
      <c r="R658" s="506"/>
      <c r="S658" s="506"/>
      <c r="T658" s="506"/>
      <c r="U658" s="505"/>
      <c r="V658" s="505"/>
      <c r="W658" s="505"/>
      <c r="X658" s="504"/>
      <c r="Y658" s="503"/>
      <c r="Z658" s="503"/>
      <c r="AA658" s="503"/>
      <c r="AB658" s="503"/>
      <c r="AC658" s="503"/>
      <c r="AD658" s="503"/>
      <c r="AE658" s="503"/>
      <c r="AF658" s="503"/>
    </row>
    <row r="659" spans="1:32" ht="15.75" customHeight="1">
      <c r="A659" s="503"/>
      <c r="B659" s="503"/>
      <c r="C659" s="510"/>
      <c r="D659" s="510"/>
      <c r="E659" s="510"/>
      <c r="F659" s="746"/>
      <c r="G659" s="510"/>
      <c r="H659" s="510"/>
      <c r="I659" s="510"/>
      <c r="J659" s="510"/>
      <c r="K659" s="510"/>
      <c r="L659" s="510"/>
      <c r="M659" s="509"/>
      <c r="N659" s="508"/>
      <c r="O659" s="507"/>
      <c r="P659" s="507"/>
      <c r="Q659" s="505"/>
      <c r="R659" s="506"/>
      <c r="S659" s="506"/>
      <c r="T659" s="506"/>
      <c r="U659" s="505"/>
      <c r="V659" s="505"/>
      <c r="W659" s="505"/>
      <c r="X659" s="504"/>
      <c r="Y659" s="503"/>
      <c r="Z659" s="503"/>
      <c r="AA659" s="503"/>
      <c r="AB659" s="503"/>
      <c r="AC659" s="503"/>
      <c r="AD659" s="503"/>
      <c r="AE659" s="503"/>
      <c r="AF659" s="503"/>
    </row>
    <row r="660" spans="1:32" ht="15.75" customHeight="1">
      <c r="A660" s="503"/>
      <c r="B660" s="503"/>
      <c r="C660" s="510"/>
      <c r="D660" s="510"/>
      <c r="E660" s="510"/>
      <c r="F660" s="746"/>
      <c r="G660" s="510"/>
      <c r="H660" s="510"/>
      <c r="I660" s="510"/>
      <c r="J660" s="510"/>
      <c r="K660" s="510"/>
      <c r="L660" s="510"/>
      <c r="M660" s="509"/>
      <c r="N660" s="508"/>
      <c r="O660" s="507"/>
      <c r="P660" s="507"/>
      <c r="Q660" s="505"/>
      <c r="R660" s="506"/>
      <c r="S660" s="506"/>
      <c r="T660" s="506"/>
      <c r="U660" s="505"/>
      <c r="V660" s="505"/>
      <c r="W660" s="505"/>
      <c r="X660" s="504"/>
      <c r="Y660" s="503"/>
      <c r="Z660" s="503"/>
      <c r="AA660" s="503"/>
      <c r="AB660" s="503"/>
      <c r="AC660" s="503"/>
      <c r="AD660" s="503"/>
      <c r="AE660" s="503"/>
      <c r="AF660" s="503"/>
    </row>
    <row r="661" spans="1:32" ht="15.75" customHeight="1">
      <c r="A661" s="503"/>
      <c r="B661" s="503"/>
      <c r="C661" s="510"/>
      <c r="D661" s="510"/>
      <c r="E661" s="510"/>
      <c r="F661" s="746"/>
      <c r="G661" s="510"/>
      <c r="H661" s="510"/>
      <c r="I661" s="510"/>
      <c r="J661" s="510"/>
      <c r="K661" s="510"/>
      <c r="L661" s="510"/>
      <c r="M661" s="509"/>
      <c r="N661" s="508"/>
      <c r="O661" s="507"/>
      <c r="P661" s="507"/>
      <c r="Q661" s="505"/>
      <c r="R661" s="506"/>
      <c r="S661" s="506"/>
      <c r="T661" s="506"/>
      <c r="U661" s="505"/>
      <c r="V661" s="505"/>
      <c r="W661" s="505"/>
      <c r="X661" s="504"/>
      <c r="Y661" s="503"/>
      <c r="Z661" s="503"/>
      <c r="AA661" s="503"/>
      <c r="AB661" s="503"/>
      <c r="AC661" s="503"/>
      <c r="AD661" s="503"/>
      <c r="AE661" s="503"/>
      <c r="AF661" s="503"/>
    </row>
    <row r="662" spans="1:32" ht="15.75" customHeight="1">
      <c r="A662" s="503"/>
      <c r="B662" s="503"/>
      <c r="C662" s="510"/>
      <c r="D662" s="510"/>
      <c r="E662" s="510"/>
      <c r="F662" s="746"/>
      <c r="G662" s="510"/>
      <c r="H662" s="510"/>
      <c r="I662" s="510"/>
      <c r="J662" s="510"/>
      <c r="K662" s="510"/>
      <c r="L662" s="510"/>
      <c r="M662" s="509"/>
      <c r="N662" s="508"/>
      <c r="O662" s="507"/>
      <c r="P662" s="507"/>
      <c r="Q662" s="505"/>
      <c r="R662" s="506"/>
      <c r="S662" s="506"/>
      <c r="T662" s="506"/>
      <c r="U662" s="505"/>
      <c r="V662" s="505"/>
      <c r="W662" s="505"/>
      <c r="X662" s="504"/>
      <c r="Y662" s="503"/>
      <c r="Z662" s="503"/>
      <c r="AA662" s="503"/>
      <c r="AB662" s="503"/>
      <c r="AC662" s="503"/>
      <c r="AD662" s="503"/>
      <c r="AE662" s="503"/>
      <c r="AF662" s="503"/>
    </row>
    <row r="663" spans="1:32" ht="15.75" customHeight="1">
      <c r="A663" s="503"/>
      <c r="B663" s="503"/>
      <c r="C663" s="510"/>
      <c r="D663" s="510"/>
      <c r="E663" s="510"/>
      <c r="F663" s="746"/>
      <c r="G663" s="510"/>
      <c r="H663" s="510"/>
      <c r="I663" s="510"/>
      <c r="J663" s="510"/>
      <c r="K663" s="510"/>
      <c r="L663" s="510"/>
      <c r="M663" s="509"/>
      <c r="N663" s="508"/>
      <c r="O663" s="507"/>
      <c r="P663" s="507"/>
      <c r="Q663" s="505"/>
      <c r="R663" s="506"/>
      <c r="S663" s="506"/>
      <c r="T663" s="506"/>
      <c r="U663" s="505"/>
      <c r="V663" s="505"/>
      <c r="W663" s="505"/>
      <c r="X663" s="504"/>
      <c r="Y663" s="503"/>
      <c r="Z663" s="503"/>
      <c r="AA663" s="503"/>
      <c r="AB663" s="503"/>
      <c r="AC663" s="503"/>
      <c r="AD663" s="503"/>
      <c r="AE663" s="503"/>
      <c r="AF663" s="503"/>
    </row>
    <row r="664" spans="1:32" ht="15.75" customHeight="1">
      <c r="A664" s="503"/>
      <c r="B664" s="503"/>
      <c r="C664" s="510"/>
      <c r="D664" s="510"/>
      <c r="E664" s="510"/>
      <c r="F664" s="746"/>
      <c r="G664" s="510"/>
      <c r="H664" s="510"/>
      <c r="I664" s="510"/>
      <c r="J664" s="510"/>
      <c r="K664" s="510"/>
      <c r="L664" s="510"/>
      <c r="M664" s="509"/>
      <c r="N664" s="508"/>
      <c r="O664" s="507"/>
      <c r="P664" s="507"/>
      <c r="Q664" s="505"/>
      <c r="R664" s="506"/>
      <c r="S664" s="506"/>
      <c r="T664" s="506"/>
      <c r="U664" s="505"/>
      <c r="V664" s="505"/>
      <c r="W664" s="505"/>
      <c r="X664" s="504"/>
      <c r="Y664" s="503"/>
      <c r="Z664" s="503"/>
      <c r="AA664" s="503"/>
      <c r="AB664" s="503"/>
      <c r="AC664" s="503"/>
      <c r="AD664" s="503"/>
      <c r="AE664" s="503"/>
      <c r="AF664" s="503"/>
    </row>
    <row r="665" spans="1:32" ht="15.75" customHeight="1">
      <c r="A665" s="503"/>
      <c r="B665" s="503"/>
      <c r="C665" s="510"/>
      <c r="D665" s="510"/>
      <c r="E665" s="510"/>
      <c r="F665" s="746"/>
      <c r="G665" s="510"/>
      <c r="H665" s="510"/>
      <c r="I665" s="510"/>
      <c r="J665" s="510"/>
      <c r="K665" s="510"/>
      <c r="L665" s="510"/>
      <c r="M665" s="509"/>
      <c r="N665" s="508"/>
      <c r="O665" s="507"/>
      <c r="P665" s="507"/>
      <c r="Q665" s="505"/>
      <c r="R665" s="506"/>
      <c r="S665" s="506"/>
      <c r="T665" s="506"/>
      <c r="U665" s="505"/>
      <c r="V665" s="505"/>
      <c r="W665" s="505"/>
      <c r="X665" s="504"/>
      <c r="Y665" s="503"/>
      <c r="Z665" s="503"/>
      <c r="AA665" s="503"/>
      <c r="AB665" s="503"/>
      <c r="AC665" s="503"/>
      <c r="AD665" s="503"/>
      <c r="AE665" s="503"/>
      <c r="AF665" s="503"/>
    </row>
    <row r="666" spans="1:32" ht="15.75" customHeight="1">
      <c r="A666" s="503"/>
      <c r="B666" s="503"/>
      <c r="C666" s="510"/>
      <c r="D666" s="510"/>
      <c r="E666" s="510"/>
      <c r="F666" s="746"/>
      <c r="G666" s="510"/>
      <c r="H666" s="510"/>
      <c r="I666" s="510"/>
      <c r="J666" s="510"/>
      <c r="K666" s="510"/>
      <c r="L666" s="510"/>
      <c r="M666" s="509"/>
      <c r="N666" s="508"/>
      <c r="O666" s="507"/>
      <c r="P666" s="507"/>
      <c r="Q666" s="505"/>
      <c r="R666" s="506"/>
      <c r="S666" s="506"/>
      <c r="T666" s="506"/>
      <c r="U666" s="505"/>
      <c r="V666" s="505"/>
      <c r="W666" s="505"/>
      <c r="X666" s="504"/>
      <c r="Y666" s="503"/>
      <c r="Z666" s="503"/>
      <c r="AA666" s="503"/>
      <c r="AB666" s="503"/>
      <c r="AC666" s="503"/>
      <c r="AD666" s="503"/>
      <c r="AE666" s="503"/>
      <c r="AF666" s="503"/>
    </row>
    <row r="667" spans="1:32" ht="15.75" customHeight="1">
      <c r="A667" s="503"/>
      <c r="B667" s="503"/>
      <c r="C667" s="510"/>
      <c r="D667" s="510"/>
      <c r="E667" s="510"/>
      <c r="F667" s="746"/>
      <c r="G667" s="510"/>
      <c r="H667" s="510"/>
      <c r="I667" s="510"/>
      <c r="J667" s="510"/>
      <c r="K667" s="510"/>
      <c r="L667" s="510"/>
      <c r="M667" s="509"/>
      <c r="N667" s="508"/>
      <c r="O667" s="507"/>
      <c r="P667" s="507"/>
      <c r="Q667" s="505"/>
      <c r="R667" s="506"/>
      <c r="S667" s="506"/>
      <c r="T667" s="506"/>
      <c r="U667" s="505"/>
      <c r="V667" s="505"/>
      <c r="W667" s="505"/>
      <c r="X667" s="504"/>
      <c r="Y667" s="503"/>
      <c r="Z667" s="503"/>
      <c r="AA667" s="503"/>
      <c r="AB667" s="503"/>
      <c r="AC667" s="503"/>
      <c r="AD667" s="503"/>
      <c r="AE667" s="503"/>
      <c r="AF667" s="503"/>
    </row>
    <row r="668" spans="1:32" ht="15.75" customHeight="1">
      <c r="A668" s="503"/>
      <c r="B668" s="503"/>
      <c r="C668" s="510"/>
      <c r="D668" s="510"/>
      <c r="E668" s="510"/>
      <c r="F668" s="746"/>
      <c r="G668" s="510"/>
      <c r="H668" s="510"/>
      <c r="I668" s="510"/>
      <c r="J668" s="510"/>
      <c r="K668" s="510"/>
      <c r="L668" s="510"/>
      <c r="M668" s="509"/>
      <c r="N668" s="508"/>
      <c r="O668" s="507"/>
      <c r="P668" s="507"/>
      <c r="Q668" s="505"/>
      <c r="R668" s="506"/>
      <c r="S668" s="506"/>
      <c r="T668" s="506"/>
      <c r="U668" s="505"/>
      <c r="V668" s="505"/>
      <c r="W668" s="505"/>
      <c r="X668" s="504"/>
      <c r="Y668" s="503"/>
      <c r="Z668" s="503"/>
      <c r="AA668" s="503"/>
      <c r="AB668" s="503"/>
      <c r="AC668" s="503"/>
      <c r="AD668" s="503"/>
      <c r="AE668" s="503"/>
      <c r="AF668" s="503"/>
    </row>
    <row r="669" spans="1:32" ht="15.75" customHeight="1">
      <c r="A669" s="503"/>
      <c r="B669" s="503"/>
      <c r="C669" s="510"/>
      <c r="D669" s="510"/>
      <c r="E669" s="510"/>
      <c r="F669" s="746"/>
      <c r="G669" s="510"/>
      <c r="H669" s="510"/>
      <c r="I669" s="510"/>
      <c r="J669" s="510"/>
      <c r="K669" s="510"/>
      <c r="L669" s="510"/>
      <c r="M669" s="509"/>
      <c r="N669" s="508"/>
      <c r="O669" s="507"/>
      <c r="P669" s="507"/>
      <c r="Q669" s="505"/>
      <c r="R669" s="506"/>
      <c r="S669" s="506"/>
      <c r="T669" s="506"/>
      <c r="U669" s="505"/>
      <c r="V669" s="505"/>
      <c r="W669" s="505"/>
      <c r="X669" s="504"/>
      <c r="Y669" s="503"/>
      <c r="Z669" s="503"/>
      <c r="AA669" s="503"/>
      <c r="AB669" s="503"/>
      <c r="AC669" s="503"/>
      <c r="AD669" s="503"/>
      <c r="AE669" s="503"/>
      <c r="AF669" s="503"/>
    </row>
    <row r="670" spans="1:32" ht="15.75" customHeight="1">
      <c r="A670" s="503"/>
      <c r="B670" s="503"/>
      <c r="C670" s="510"/>
      <c r="D670" s="510"/>
      <c r="E670" s="510"/>
      <c r="F670" s="746"/>
      <c r="G670" s="510"/>
      <c r="H670" s="510"/>
      <c r="I670" s="510"/>
      <c r="J670" s="510"/>
      <c r="K670" s="510"/>
      <c r="L670" s="510"/>
      <c r="M670" s="509"/>
      <c r="N670" s="508"/>
      <c r="O670" s="507"/>
      <c r="P670" s="507"/>
      <c r="Q670" s="505"/>
      <c r="R670" s="506"/>
      <c r="S670" s="506"/>
      <c r="T670" s="506"/>
      <c r="U670" s="505"/>
      <c r="V670" s="505"/>
      <c r="W670" s="505"/>
      <c r="X670" s="504"/>
      <c r="Y670" s="503"/>
      <c r="Z670" s="503"/>
      <c r="AA670" s="503"/>
      <c r="AB670" s="503"/>
      <c r="AC670" s="503"/>
      <c r="AD670" s="503"/>
      <c r="AE670" s="503"/>
      <c r="AF670" s="503"/>
    </row>
    <row r="671" spans="1:32" ht="15.75" customHeight="1">
      <c r="A671" s="503"/>
      <c r="B671" s="503"/>
      <c r="C671" s="510"/>
      <c r="D671" s="510"/>
      <c r="E671" s="510"/>
      <c r="F671" s="746"/>
      <c r="G671" s="510"/>
      <c r="H671" s="510"/>
      <c r="I671" s="510"/>
      <c r="J671" s="510"/>
      <c r="K671" s="510"/>
      <c r="L671" s="510"/>
      <c r="M671" s="509"/>
      <c r="N671" s="508"/>
      <c r="O671" s="507"/>
      <c r="P671" s="507"/>
      <c r="Q671" s="505"/>
      <c r="R671" s="506"/>
      <c r="S671" s="506"/>
      <c r="T671" s="506"/>
      <c r="U671" s="505"/>
      <c r="V671" s="505"/>
      <c r="W671" s="505"/>
      <c r="X671" s="504"/>
      <c r="Y671" s="503"/>
      <c r="Z671" s="503"/>
      <c r="AA671" s="503"/>
      <c r="AB671" s="503"/>
      <c r="AC671" s="503"/>
      <c r="AD671" s="503"/>
      <c r="AE671" s="503"/>
      <c r="AF671" s="503"/>
    </row>
    <row r="672" spans="1:32" ht="15.75" customHeight="1">
      <c r="A672" s="503"/>
      <c r="B672" s="503"/>
      <c r="C672" s="510"/>
      <c r="D672" s="510"/>
      <c r="E672" s="510"/>
      <c r="F672" s="746"/>
      <c r="G672" s="510"/>
      <c r="H672" s="510"/>
      <c r="I672" s="510"/>
      <c r="J672" s="510"/>
      <c r="K672" s="510"/>
      <c r="L672" s="510"/>
      <c r="M672" s="509"/>
      <c r="N672" s="508"/>
      <c r="O672" s="507"/>
      <c r="P672" s="507"/>
      <c r="Q672" s="505"/>
      <c r="R672" s="506"/>
      <c r="S672" s="506"/>
      <c r="T672" s="506"/>
      <c r="U672" s="505"/>
      <c r="V672" s="505"/>
      <c r="W672" s="505"/>
      <c r="X672" s="504"/>
      <c r="Y672" s="503"/>
      <c r="Z672" s="503"/>
      <c r="AA672" s="503"/>
      <c r="AB672" s="503"/>
      <c r="AC672" s="503"/>
      <c r="AD672" s="503"/>
      <c r="AE672" s="503"/>
      <c r="AF672" s="503"/>
    </row>
    <row r="673" spans="1:32" ht="15.75" customHeight="1">
      <c r="A673" s="503"/>
      <c r="B673" s="503"/>
      <c r="C673" s="510"/>
      <c r="D673" s="510"/>
      <c r="E673" s="510"/>
      <c r="F673" s="746"/>
      <c r="G673" s="510"/>
      <c r="H673" s="510"/>
      <c r="I673" s="510"/>
      <c r="J673" s="510"/>
      <c r="K673" s="510"/>
      <c r="L673" s="510"/>
      <c r="M673" s="509"/>
      <c r="N673" s="508"/>
      <c r="O673" s="507"/>
      <c r="P673" s="507"/>
      <c r="Q673" s="505"/>
      <c r="R673" s="506"/>
      <c r="S673" s="506"/>
      <c r="T673" s="506"/>
      <c r="U673" s="505"/>
      <c r="V673" s="505"/>
      <c r="W673" s="505"/>
      <c r="X673" s="504"/>
      <c r="Y673" s="503"/>
      <c r="Z673" s="503"/>
      <c r="AA673" s="503"/>
      <c r="AB673" s="503"/>
      <c r="AC673" s="503"/>
      <c r="AD673" s="503"/>
      <c r="AE673" s="503"/>
      <c r="AF673" s="503"/>
    </row>
    <row r="674" spans="1:32" ht="15.75" customHeight="1">
      <c r="A674" s="503"/>
      <c r="B674" s="503"/>
      <c r="C674" s="510"/>
      <c r="D674" s="510"/>
      <c r="E674" s="510"/>
      <c r="F674" s="746"/>
      <c r="G674" s="510"/>
      <c r="H674" s="510"/>
      <c r="I674" s="510"/>
      <c r="J674" s="510"/>
      <c r="K674" s="510"/>
      <c r="L674" s="510"/>
      <c r="M674" s="509"/>
      <c r="N674" s="508"/>
      <c r="O674" s="507"/>
      <c r="P674" s="507"/>
      <c r="Q674" s="505"/>
      <c r="R674" s="506"/>
      <c r="S674" s="506"/>
      <c r="T674" s="506"/>
      <c r="U674" s="505"/>
      <c r="V674" s="505"/>
      <c r="W674" s="505"/>
      <c r="X674" s="504"/>
      <c r="Y674" s="503"/>
      <c r="Z674" s="503"/>
      <c r="AA674" s="503"/>
      <c r="AB674" s="503"/>
      <c r="AC674" s="503"/>
      <c r="AD674" s="503"/>
      <c r="AE674" s="503"/>
      <c r="AF674" s="503"/>
    </row>
    <row r="675" spans="1:32" ht="15.75" customHeight="1">
      <c r="A675" s="503"/>
      <c r="B675" s="503"/>
      <c r="C675" s="510"/>
      <c r="D675" s="510"/>
      <c r="E675" s="510"/>
      <c r="F675" s="746"/>
      <c r="G675" s="510"/>
      <c r="H675" s="510"/>
      <c r="I675" s="510"/>
      <c r="J675" s="510"/>
      <c r="K675" s="510"/>
      <c r="L675" s="510"/>
      <c r="M675" s="509"/>
      <c r="N675" s="508"/>
      <c r="O675" s="507"/>
      <c r="P675" s="507"/>
      <c r="Q675" s="505"/>
      <c r="R675" s="506"/>
      <c r="S675" s="506"/>
      <c r="T675" s="506"/>
      <c r="U675" s="505"/>
      <c r="V675" s="505"/>
      <c r="W675" s="505"/>
      <c r="X675" s="504"/>
      <c r="Y675" s="503"/>
      <c r="Z675" s="503"/>
      <c r="AA675" s="503"/>
      <c r="AB675" s="503"/>
      <c r="AC675" s="503"/>
      <c r="AD675" s="503"/>
      <c r="AE675" s="503"/>
      <c r="AF675" s="503"/>
    </row>
    <row r="676" spans="1:32" ht="15.75" customHeight="1">
      <c r="A676" s="503"/>
      <c r="B676" s="503"/>
      <c r="C676" s="510"/>
      <c r="D676" s="510"/>
      <c r="E676" s="510"/>
      <c r="F676" s="746"/>
      <c r="G676" s="510"/>
      <c r="H676" s="510"/>
      <c r="I676" s="510"/>
      <c r="J676" s="510"/>
      <c r="K676" s="510"/>
      <c r="L676" s="510"/>
      <c r="M676" s="509"/>
      <c r="N676" s="508"/>
      <c r="O676" s="507"/>
      <c r="P676" s="507"/>
      <c r="Q676" s="505"/>
      <c r="R676" s="506"/>
      <c r="S676" s="506"/>
      <c r="T676" s="506"/>
      <c r="U676" s="505"/>
      <c r="V676" s="505"/>
      <c r="W676" s="505"/>
      <c r="X676" s="504"/>
      <c r="Y676" s="503"/>
      <c r="Z676" s="503"/>
      <c r="AA676" s="503"/>
      <c r="AB676" s="503"/>
      <c r="AC676" s="503"/>
      <c r="AD676" s="503"/>
      <c r="AE676" s="503"/>
      <c r="AF676" s="503"/>
    </row>
    <row r="677" spans="1:32" ht="15.75" customHeight="1">
      <c r="A677" s="503"/>
      <c r="B677" s="503"/>
      <c r="C677" s="510"/>
      <c r="D677" s="510"/>
      <c r="E677" s="510"/>
      <c r="F677" s="746"/>
      <c r="G677" s="510"/>
      <c r="H677" s="510"/>
      <c r="I677" s="510"/>
      <c r="J677" s="510"/>
      <c r="K677" s="510"/>
      <c r="L677" s="510"/>
      <c r="M677" s="509"/>
      <c r="N677" s="508"/>
      <c r="O677" s="507"/>
      <c r="P677" s="507"/>
      <c r="Q677" s="505"/>
      <c r="R677" s="506"/>
      <c r="S677" s="506"/>
      <c r="T677" s="506"/>
      <c r="U677" s="505"/>
      <c r="V677" s="505"/>
      <c r="W677" s="505"/>
      <c r="X677" s="504"/>
      <c r="Y677" s="503"/>
      <c r="Z677" s="503"/>
      <c r="AA677" s="503"/>
      <c r="AB677" s="503"/>
      <c r="AC677" s="503"/>
      <c r="AD677" s="503"/>
      <c r="AE677" s="503"/>
      <c r="AF677" s="503"/>
    </row>
    <row r="678" spans="1:32" ht="15.75" customHeight="1">
      <c r="A678" s="503"/>
      <c r="B678" s="503"/>
      <c r="C678" s="510"/>
      <c r="D678" s="510"/>
      <c r="E678" s="510"/>
      <c r="F678" s="746"/>
      <c r="G678" s="510"/>
      <c r="H678" s="510"/>
      <c r="I678" s="510"/>
      <c r="J678" s="510"/>
      <c r="K678" s="510"/>
      <c r="L678" s="510"/>
      <c r="M678" s="509"/>
      <c r="N678" s="508"/>
      <c r="O678" s="507"/>
      <c r="P678" s="507"/>
      <c r="Q678" s="505"/>
      <c r="R678" s="506"/>
      <c r="S678" s="506"/>
      <c r="T678" s="506"/>
      <c r="U678" s="505"/>
      <c r="V678" s="505"/>
      <c r="W678" s="505"/>
      <c r="X678" s="504"/>
      <c r="Y678" s="503"/>
      <c r="Z678" s="503"/>
      <c r="AA678" s="503"/>
      <c r="AB678" s="503"/>
      <c r="AC678" s="503"/>
      <c r="AD678" s="503"/>
      <c r="AE678" s="503"/>
      <c r="AF678" s="503"/>
    </row>
    <row r="679" spans="1:32" ht="15.75" customHeight="1">
      <c r="A679" s="503"/>
      <c r="B679" s="503"/>
      <c r="C679" s="510"/>
      <c r="D679" s="510"/>
      <c r="E679" s="510"/>
      <c r="F679" s="746"/>
      <c r="G679" s="510"/>
      <c r="H679" s="510"/>
      <c r="I679" s="510"/>
      <c r="J679" s="510"/>
      <c r="K679" s="510"/>
      <c r="L679" s="510"/>
      <c r="M679" s="509"/>
      <c r="N679" s="508"/>
      <c r="O679" s="507"/>
      <c r="P679" s="507"/>
      <c r="Q679" s="505"/>
      <c r="R679" s="506"/>
      <c r="S679" s="506"/>
      <c r="T679" s="506"/>
      <c r="U679" s="505"/>
      <c r="V679" s="505"/>
      <c r="W679" s="505"/>
      <c r="X679" s="504"/>
      <c r="Y679" s="503"/>
      <c r="Z679" s="503"/>
      <c r="AA679" s="503"/>
      <c r="AB679" s="503"/>
      <c r="AC679" s="503"/>
      <c r="AD679" s="503"/>
      <c r="AE679" s="503"/>
      <c r="AF679" s="503"/>
    </row>
    <row r="680" spans="1:32" ht="15.75" customHeight="1">
      <c r="A680" s="503"/>
      <c r="B680" s="503"/>
      <c r="C680" s="510"/>
      <c r="D680" s="510"/>
      <c r="E680" s="510"/>
      <c r="F680" s="746"/>
      <c r="G680" s="510"/>
      <c r="H680" s="510"/>
      <c r="I680" s="510"/>
      <c r="J680" s="510"/>
      <c r="K680" s="510"/>
      <c r="L680" s="510"/>
      <c r="M680" s="509"/>
      <c r="N680" s="508"/>
      <c r="O680" s="507"/>
      <c r="P680" s="507"/>
      <c r="Q680" s="505"/>
      <c r="R680" s="506"/>
      <c r="S680" s="506"/>
      <c r="T680" s="506"/>
      <c r="U680" s="505"/>
      <c r="V680" s="505"/>
      <c r="W680" s="505"/>
      <c r="X680" s="504"/>
      <c r="Y680" s="503"/>
      <c r="Z680" s="503"/>
      <c r="AA680" s="503"/>
      <c r="AB680" s="503"/>
      <c r="AC680" s="503"/>
      <c r="AD680" s="503"/>
      <c r="AE680" s="503"/>
      <c r="AF680" s="503"/>
    </row>
    <row r="681" spans="1:32" ht="15.75" customHeight="1">
      <c r="A681" s="503"/>
      <c r="B681" s="503"/>
      <c r="C681" s="510"/>
      <c r="D681" s="510"/>
      <c r="E681" s="510"/>
      <c r="F681" s="746"/>
      <c r="G681" s="510"/>
      <c r="H681" s="510"/>
      <c r="I681" s="510"/>
      <c r="J681" s="510"/>
      <c r="K681" s="510"/>
      <c r="L681" s="510"/>
      <c r="M681" s="509"/>
      <c r="N681" s="508"/>
      <c r="O681" s="507"/>
      <c r="P681" s="507"/>
      <c r="Q681" s="505"/>
      <c r="R681" s="506"/>
      <c r="S681" s="506"/>
      <c r="T681" s="506"/>
      <c r="U681" s="505"/>
      <c r="V681" s="505"/>
      <c r="W681" s="505"/>
      <c r="X681" s="504"/>
      <c r="Y681" s="503"/>
      <c r="Z681" s="503"/>
      <c r="AA681" s="503"/>
      <c r="AB681" s="503"/>
      <c r="AC681" s="503"/>
      <c r="AD681" s="503"/>
      <c r="AE681" s="503"/>
      <c r="AF681" s="503"/>
    </row>
    <row r="682" spans="1:32" ht="15.75" customHeight="1">
      <c r="A682" s="503"/>
      <c r="B682" s="503"/>
      <c r="C682" s="510"/>
      <c r="D682" s="510"/>
      <c r="E682" s="510"/>
      <c r="F682" s="746"/>
      <c r="G682" s="510"/>
      <c r="H682" s="510"/>
      <c r="I682" s="510"/>
      <c r="J682" s="510"/>
      <c r="K682" s="510"/>
      <c r="L682" s="510"/>
      <c r="M682" s="509"/>
      <c r="N682" s="508"/>
      <c r="O682" s="507"/>
      <c r="P682" s="507"/>
      <c r="Q682" s="505"/>
      <c r="R682" s="506"/>
      <c r="S682" s="506"/>
      <c r="T682" s="506"/>
      <c r="U682" s="505"/>
      <c r="V682" s="505"/>
      <c r="W682" s="505"/>
      <c r="X682" s="504"/>
      <c r="Y682" s="503"/>
      <c r="Z682" s="503"/>
      <c r="AA682" s="503"/>
      <c r="AB682" s="503"/>
      <c r="AC682" s="503"/>
      <c r="AD682" s="503"/>
      <c r="AE682" s="503"/>
      <c r="AF682" s="503"/>
    </row>
    <row r="683" spans="1:32" ht="15.75" customHeight="1">
      <c r="A683" s="503"/>
      <c r="B683" s="503"/>
      <c r="C683" s="510"/>
      <c r="D683" s="510"/>
      <c r="E683" s="510"/>
      <c r="F683" s="746"/>
      <c r="G683" s="510"/>
      <c r="H683" s="510"/>
      <c r="I683" s="510"/>
      <c r="J683" s="510"/>
      <c r="K683" s="510"/>
      <c r="L683" s="510"/>
      <c r="M683" s="509"/>
      <c r="N683" s="508"/>
      <c r="O683" s="507"/>
      <c r="P683" s="507"/>
      <c r="Q683" s="505"/>
      <c r="R683" s="506"/>
      <c r="S683" s="506"/>
      <c r="T683" s="506"/>
      <c r="U683" s="505"/>
      <c r="V683" s="505"/>
      <c r="W683" s="505"/>
      <c r="X683" s="504"/>
      <c r="Y683" s="503"/>
      <c r="Z683" s="503"/>
      <c r="AA683" s="503"/>
      <c r="AB683" s="503"/>
      <c r="AC683" s="503"/>
      <c r="AD683" s="503"/>
      <c r="AE683" s="503"/>
      <c r="AF683" s="503"/>
    </row>
    <row r="684" spans="1:32" ht="15.75" customHeight="1">
      <c r="A684" s="503"/>
      <c r="B684" s="503"/>
      <c r="C684" s="510"/>
      <c r="D684" s="510"/>
      <c r="E684" s="510"/>
      <c r="F684" s="746"/>
      <c r="G684" s="510"/>
      <c r="H684" s="510"/>
      <c r="I684" s="510"/>
      <c r="J684" s="510"/>
      <c r="K684" s="510"/>
      <c r="L684" s="510"/>
      <c r="M684" s="509"/>
      <c r="N684" s="508"/>
      <c r="O684" s="507"/>
      <c r="P684" s="507"/>
      <c r="Q684" s="505"/>
      <c r="R684" s="506"/>
      <c r="S684" s="506"/>
      <c r="T684" s="506"/>
      <c r="U684" s="505"/>
      <c r="V684" s="505"/>
      <c r="W684" s="505"/>
      <c r="X684" s="504"/>
      <c r="Y684" s="503"/>
      <c r="Z684" s="503"/>
      <c r="AA684" s="503"/>
      <c r="AB684" s="503"/>
      <c r="AC684" s="503"/>
      <c r="AD684" s="503"/>
      <c r="AE684" s="503"/>
      <c r="AF684" s="503"/>
    </row>
    <row r="685" spans="1:32" ht="15.75" customHeight="1">
      <c r="A685" s="503"/>
      <c r="B685" s="503"/>
      <c r="C685" s="510"/>
      <c r="D685" s="510"/>
      <c r="E685" s="510"/>
      <c r="F685" s="746"/>
      <c r="G685" s="510"/>
      <c r="H685" s="510"/>
      <c r="I685" s="510"/>
      <c r="J685" s="510"/>
      <c r="K685" s="510"/>
      <c r="L685" s="510"/>
      <c r="M685" s="509"/>
      <c r="N685" s="508"/>
      <c r="O685" s="507"/>
      <c r="P685" s="507"/>
      <c r="Q685" s="505"/>
      <c r="R685" s="506"/>
      <c r="S685" s="506"/>
      <c r="T685" s="506"/>
      <c r="U685" s="505"/>
      <c r="V685" s="505"/>
      <c r="W685" s="505"/>
      <c r="X685" s="504"/>
      <c r="Y685" s="503"/>
      <c r="Z685" s="503"/>
      <c r="AA685" s="503"/>
      <c r="AB685" s="503"/>
      <c r="AC685" s="503"/>
      <c r="AD685" s="503"/>
      <c r="AE685" s="503"/>
      <c r="AF685" s="503"/>
    </row>
    <row r="686" spans="1:32" ht="15.75" customHeight="1">
      <c r="A686" s="503"/>
      <c r="B686" s="503"/>
      <c r="C686" s="510"/>
      <c r="D686" s="510"/>
      <c r="E686" s="510"/>
      <c r="F686" s="746"/>
      <c r="G686" s="510"/>
      <c r="H686" s="510"/>
      <c r="I686" s="510"/>
      <c r="J686" s="510"/>
      <c r="K686" s="510"/>
      <c r="L686" s="510"/>
      <c r="M686" s="509"/>
      <c r="N686" s="508"/>
      <c r="O686" s="507"/>
      <c r="P686" s="507"/>
      <c r="Q686" s="505"/>
      <c r="R686" s="506"/>
      <c r="S686" s="506"/>
      <c r="T686" s="506"/>
      <c r="U686" s="505"/>
      <c r="V686" s="505"/>
      <c r="W686" s="505"/>
      <c r="X686" s="504"/>
      <c r="Y686" s="503"/>
      <c r="Z686" s="503"/>
      <c r="AA686" s="503"/>
      <c r="AB686" s="503"/>
      <c r="AC686" s="503"/>
      <c r="AD686" s="503"/>
      <c r="AE686" s="503"/>
      <c r="AF686" s="503"/>
    </row>
    <row r="687" spans="1:32" ht="15.75" customHeight="1">
      <c r="A687" s="503"/>
      <c r="B687" s="503"/>
      <c r="C687" s="510"/>
      <c r="D687" s="510"/>
      <c r="E687" s="510"/>
      <c r="F687" s="746"/>
      <c r="G687" s="510"/>
      <c r="H687" s="510"/>
      <c r="I687" s="510"/>
      <c r="J687" s="510"/>
      <c r="K687" s="510"/>
      <c r="L687" s="510"/>
      <c r="M687" s="509"/>
      <c r="N687" s="508"/>
      <c r="O687" s="507"/>
      <c r="P687" s="507"/>
      <c r="Q687" s="505"/>
      <c r="R687" s="506"/>
      <c r="S687" s="506"/>
      <c r="T687" s="506"/>
      <c r="U687" s="505"/>
      <c r="V687" s="505"/>
      <c r="W687" s="505"/>
      <c r="X687" s="504"/>
      <c r="Y687" s="503"/>
      <c r="Z687" s="503"/>
      <c r="AA687" s="503"/>
      <c r="AB687" s="503"/>
      <c r="AC687" s="503"/>
      <c r="AD687" s="503"/>
      <c r="AE687" s="503"/>
      <c r="AF687" s="503"/>
    </row>
    <row r="688" spans="1:32" ht="15.75" customHeight="1">
      <c r="A688" s="503"/>
      <c r="B688" s="503"/>
      <c r="C688" s="510"/>
      <c r="D688" s="510"/>
      <c r="E688" s="510"/>
      <c r="F688" s="746"/>
      <c r="G688" s="510"/>
      <c r="H688" s="510"/>
      <c r="I688" s="510"/>
      <c r="J688" s="510"/>
      <c r="K688" s="510"/>
      <c r="L688" s="510"/>
      <c r="M688" s="509"/>
      <c r="N688" s="508"/>
      <c r="O688" s="507"/>
      <c r="P688" s="507"/>
      <c r="Q688" s="505"/>
      <c r="R688" s="506"/>
      <c r="S688" s="506"/>
      <c r="T688" s="506"/>
      <c r="U688" s="505"/>
      <c r="V688" s="505"/>
      <c r="W688" s="505"/>
      <c r="X688" s="504"/>
      <c r="Y688" s="503"/>
      <c r="Z688" s="503"/>
      <c r="AA688" s="503"/>
      <c r="AB688" s="503"/>
      <c r="AC688" s="503"/>
      <c r="AD688" s="503"/>
      <c r="AE688" s="503"/>
      <c r="AF688" s="503"/>
    </row>
    <row r="689" spans="1:32" ht="15.75" customHeight="1">
      <c r="A689" s="503"/>
      <c r="B689" s="503"/>
      <c r="C689" s="510"/>
      <c r="D689" s="510"/>
      <c r="E689" s="510"/>
      <c r="F689" s="746"/>
      <c r="G689" s="510"/>
      <c r="H689" s="510"/>
      <c r="I689" s="510"/>
      <c r="J689" s="510"/>
      <c r="K689" s="510"/>
      <c r="L689" s="510"/>
      <c r="M689" s="509"/>
      <c r="N689" s="508"/>
      <c r="O689" s="507"/>
      <c r="P689" s="507"/>
      <c r="Q689" s="505"/>
      <c r="R689" s="506"/>
      <c r="S689" s="506"/>
      <c r="T689" s="506"/>
      <c r="U689" s="505"/>
      <c r="V689" s="505"/>
      <c r="W689" s="505"/>
      <c r="X689" s="504"/>
      <c r="Y689" s="503"/>
      <c r="Z689" s="503"/>
      <c r="AA689" s="503"/>
      <c r="AB689" s="503"/>
      <c r="AC689" s="503"/>
      <c r="AD689" s="503"/>
      <c r="AE689" s="503"/>
      <c r="AF689" s="503"/>
    </row>
    <row r="690" spans="1:32" ht="15.75" customHeight="1">
      <c r="A690" s="503"/>
      <c r="B690" s="503"/>
      <c r="C690" s="510"/>
      <c r="D690" s="510"/>
      <c r="E690" s="510"/>
      <c r="F690" s="746"/>
      <c r="G690" s="510"/>
      <c r="H690" s="510"/>
      <c r="I690" s="510"/>
      <c r="J690" s="510"/>
      <c r="K690" s="510"/>
      <c r="L690" s="510"/>
      <c r="M690" s="509"/>
      <c r="N690" s="508"/>
      <c r="O690" s="507"/>
      <c r="P690" s="507"/>
      <c r="Q690" s="505"/>
      <c r="R690" s="506"/>
      <c r="S690" s="506"/>
      <c r="T690" s="506"/>
      <c r="U690" s="505"/>
      <c r="V690" s="505"/>
      <c r="W690" s="505"/>
      <c r="X690" s="504"/>
      <c r="Y690" s="503"/>
      <c r="Z690" s="503"/>
      <c r="AA690" s="503"/>
      <c r="AB690" s="503"/>
      <c r="AC690" s="503"/>
      <c r="AD690" s="503"/>
      <c r="AE690" s="503"/>
      <c r="AF690" s="503"/>
    </row>
    <row r="691" spans="1:32" ht="15.75" customHeight="1">
      <c r="A691" s="503"/>
      <c r="B691" s="503"/>
      <c r="C691" s="510"/>
      <c r="D691" s="510"/>
      <c r="E691" s="510"/>
      <c r="F691" s="746"/>
      <c r="G691" s="510"/>
      <c r="H691" s="510"/>
      <c r="I691" s="510"/>
      <c r="J691" s="510"/>
      <c r="K691" s="510"/>
      <c r="L691" s="510"/>
      <c r="M691" s="509"/>
      <c r="N691" s="508"/>
      <c r="O691" s="507"/>
      <c r="P691" s="507"/>
      <c r="Q691" s="505"/>
      <c r="R691" s="506"/>
      <c r="S691" s="506"/>
      <c r="T691" s="506"/>
      <c r="U691" s="505"/>
      <c r="V691" s="505"/>
      <c r="W691" s="505"/>
      <c r="X691" s="504"/>
      <c r="Y691" s="503"/>
      <c r="Z691" s="503"/>
      <c r="AA691" s="503"/>
      <c r="AB691" s="503"/>
      <c r="AC691" s="503"/>
      <c r="AD691" s="503"/>
      <c r="AE691" s="503"/>
      <c r="AF691" s="503"/>
    </row>
    <row r="692" spans="1:32" ht="15.75" customHeight="1">
      <c r="A692" s="503"/>
      <c r="B692" s="503"/>
      <c r="C692" s="510"/>
      <c r="D692" s="510"/>
      <c r="E692" s="510"/>
      <c r="F692" s="746"/>
      <c r="G692" s="510"/>
      <c r="H692" s="510"/>
      <c r="I692" s="510"/>
      <c r="J692" s="510"/>
      <c r="K692" s="510"/>
      <c r="L692" s="510"/>
      <c r="M692" s="509"/>
      <c r="N692" s="508"/>
      <c r="O692" s="507"/>
      <c r="P692" s="507"/>
      <c r="Q692" s="505"/>
      <c r="R692" s="506"/>
      <c r="S692" s="506"/>
      <c r="T692" s="506"/>
      <c r="U692" s="505"/>
      <c r="V692" s="505"/>
      <c r="W692" s="505"/>
      <c r="X692" s="504"/>
      <c r="Y692" s="503"/>
      <c r="Z692" s="503"/>
      <c r="AA692" s="503"/>
      <c r="AB692" s="503"/>
      <c r="AC692" s="503"/>
      <c r="AD692" s="503"/>
      <c r="AE692" s="503"/>
      <c r="AF692" s="503"/>
    </row>
    <row r="693" spans="1:32" ht="15.75" customHeight="1">
      <c r="A693" s="503"/>
      <c r="B693" s="503"/>
      <c r="C693" s="510"/>
      <c r="D693" s="510"/>
      <c r="E693" s="510"/>
      <c r="F693" s="746"/>
      <c r="G693" s="510"/>
      <c r="H693" s="510"/>
      <c r="I693" s="510"/>
      <c r="J693" s="510"/>
      <c r="K693" s="510"/>
      <c r="L693" s="510"/>
      <c r="M693" s="509"/>
      <c r="N693" s="508"/>
      <c r="O693" s="507"/>
      <c r="P693" s="507"/>
      <c r="Q693" s="505"/>
      <c r="R693" s="506"/>
      <c r="S693" s="506"/>
      <c r="T693" s="506"/>
      <c r="U693" s="505"/>
      <c r="V693" s="505"/>
      <c r="W693" s="505"/>
      <c r="X693" s="504"/>
      <c r="Y693" s="503"/>
      <c r="Z693" s="503"/>
      <c r="AA693" s="503"/>
      <c r="AB693" s="503"/>
      <c r="AC693" s="503"/>
      <c r="AD693" s="503"/>
      <c r="AE693" s="503"/>
      <c r="AF693" s="503"/>
    </row>
    <row r="694" spans="1:32" ht="15.75" customHeight="1">
      <c r="A694" s="503"/>
      <c r="B694" s="503"/>
      <c r="C694" s="510"/>
      <c r="D694" s="510"/>
      <c r="E694" s="510"/>
      <c r="F694" s="746"/>
      <c r="G694" s="510"/>
      <c r="H694" s="510"/>
      <c r="I694" s="510"/>
      <c r="J694" s="510"/>
      <c r="K694" s="510"/>
      <c r="L694" s="510"/>
      <c r="M694" s="509"/>
      <c r="N694" s="508"/>
      <c r="O694" s="507"/>
      <c r="P694" s="507"/>
      <c r="Q694" s="505"/>
      <c r="R694" s="506"/>
      <c r="S694" s="506"/>
      <c r="T694" s="506"/>
      <c r="U694" s="505"/>
      <c r="V694" s="505"/>
      <c r="W694" s="505"/>
      <c r="X694" s="504"/>
      <c r="Y694" s="503"/>
      <c r="Z694" s="503"/>
      <c r="AA694" s="503"/>
      <c r="AB694" s="503"/>
      <c r="AC694" s="503"/>
      <c r="AD694" s="503"/>
      <c r="AE694" s="503"/>
      <c r="AF694" s="503"/>
    </row>
    <row r="695" spans="1:32" ht="15.75" customHeight="1">
      <c r="A695" s="503"/>
      <c r="B695" s="503"/>
      <c r="C695" s="510"/>
      <c r="D695" s="510"/>
      <c r="E695" s="510"/>
      <c r="F695" s="746"/>
      <c r="G695" s="510"/>
      <c r="H695" s="510"/>
      <c r="I695" s="510"/>
      <c r="J695" s="510"/>
      <c r="K695" s="510"/>
      <c r="L695" s="510"/>
      <c r="M695" s="509"/>
      <c r="N695" s="508"/>
      <c r="O695" s="507"/>
      <c r="P695" s="507"/>
      <c r="Q695" s="505"/>
      <c r="R695" s="506"/>
      <c r="S695" s="506"/>
      <c r="T695" s="506"/>
      <c r="U695" s="505"/>
      <c r="V695" s="505"/>
      <c r="W695" s="505"/>
      <c r="X695" s="504"/>
      <c r="Y695" s="503"/>
      <c r="Z695" s="503"/>
      <c r="AA695" s="503"/>
      <c r="AB695" s="503"/>
      <c r="AC695" s="503"/>
      <c r="AD695" s="503"/>
      <c r="AE695" s="503"/>
      <c r="AF695" s="503"/>
    </row>
    <row r="696" spans="1:32" ht="15.75" customHeight="1">
      <c r="A696" s="503"/>
      <c r="B696" s="503"/>
      <c r="C696" s="510"/>
      <c r="D696" s="510"/>
      <c r="E696" s="510"/>
      <c r="F696" s="746"/>
      <c r="G696" s="510"/>
      <c r="H696" s="510"/>
      <c r="I696" s="510"/>
      <c r="J696" s="510"/>
      <c r="K696" s="510"/>
      <c r="L696" s="510"/>
      <c r="M696" s="509"/>
      <c r="N696" s="508"/>
      <c r="O696" s="507"/>
      <c r="P696" s="507"/>
      <c r="Q696" s="505"/>
      <c r="R696" s="506"/>
      <c r="S696" s="506"/>
      <c r="T696" s="506"/>
      <c r="U696" s="505"/>
      <c r="V696" s="505"/>
      <c r="W696" s="505"/>
      <c r="X696" s="504"/>
      <c r="Y696" s="503"/>
      <c r="Z696" s="503"/>
      <c r="AA696" s="503"/>
      <c r="AB696" s="503"/>
      <c r="AC696" s="503"/>
      <c r="AD696" s="503"/>
      <c r="AE696" s="503"/>
      <c r="AF696" s="503"/>
    </row>
    <row r="697" spans="1:32" ht="15.75" customHeight="1">
      <c r="A697" s="503"/>
      <c r="B697" s="503"/>
      <c r="C697" s="510"/>
      <c r="D697" s="510"/>
      <c r="E697" s="510"/>
      <c r="F697" s="746"/>
      <c r="G697" s="510"/>
      <c r="H697" s="510"/>
      <c r="I697" s="510"/>
      <c r="J697" s="510"/>
      <c r="K697" s="510"/>
      <c r="L697" s="510"/>
      <c r="M697" s="509"/>
      <c r="N697" s="508"/>
      <c r="O697" s="507"/>
      <c r="P697" s="507"/>
      <c r="Q697" s="505"/>
      <c r="R697" s="506"/>
      <c r="S697" s="506"/>
      <c r="T697" s="506"/>
      <c r="U697" s="505"/>
      <c r="V697" s="505"/>
      <c r="W697" s="505"/>
      <c r="X697" s="504"/>
      <c r="Y697" s="503"/>
      <c r="Z697" s="503"/>
      <c r="AA697" s="503"/>
      <c r="AB697" s="503"/>
      <c r="AC697" s="503"/>
      <c r="AD697" s="503"/>
      <c r="AE697" s="503"/>
      <c r="AF697" s="503"/>
    </row>
    <row r="698" spans="1:32" ht="15.75" customHeight="1">
      <c r="A698" s="503"/>
      <c r="B698" s="503"/>
      <c r="C698" s="510"/>
      <c r="D698" s="510"/>
      <c r="E698" s="510"/>
      <c r="F698" s="746"/>
      <c r="G698" s="510"/>
      <c r="H698" s="510"/>
      <c r="I698" s="510"/>
      <c r="J698" s="510"/>
      <c r="K698" s="510"/>
      <c r="L698" s="510"/>
      <c r="M698" s="509"/>
      <c r="N698" s="508"/>
      <c r="O698" s="507"/>
      <c r="P698" s="507"/>
      <c r="Q698" s="505"/>
      <c r="R698" s="506"/>
      <c r="S698" s="506"/>
      <c r="T698" s="506"/>
      <c r="U698" s="505"/>
      <c r="V698" s="505"/>
      <c r="W698" s="505"/>
      <c r="X698" s="504"/>
      <c r="Y698" s="503"/>
      <c r="Z698" s="503"/>
      <c r="AA698" s="503"/>
      <c r="AB698" s="503"/>
      <c r="AC698" s="503"/>
      <c r="AD698" s="503"/>
      <c r="AE698" s="503"/>
      <c r="AF698" s="503"/>
    </row>
    <row r="699" spans="1:32" ht="15.75" customHeight="1">
      <c r="A699" s="503"/>
      <c r="B699" s="503"/>
      <c r="C699" s="510"/>
      <c r="D699" s="510"/>
      <c r="E699" s="510"/>
      <c r="F699" s="746"/>
      <c r="G699" s="510"/>
      <c r="H699" s="510"/>
      <c r="I699" s="510"/>
      <c r="J699" s="510"/>
      <c r="K699" s="510"/>
      <c r="L699" s="510"/>
      <c r="M699" s="509"/>
      <c r="N699" s="508"/>
      <c r="O699" s="507"/>
      <c r="P699" s="507"/>
      <c r="Q699" s="505"/>
      <c r="R699" s="506"/>
      <c r="S699" s="506"/>
      <c r="T699" s="506"/>
      <c r="U699" s="505"/>
      <c r="V699" s="505"/>
      <c r="W699" s="505"/>
      <c r="X699" s="504"/>
      <c r="Y699" s="503"/>
      <c r="Z699" s="503"/>
      <c r="AA699" s="503"/>
      <c r="AB699" s="503"/>
      <c r="AC699" s="503"/>
      <c r="AD699" s="503"/>
      <c r="AE699" s="503"/>
      <c r="AF699" s="503"/>
    </row>
    <row r="700" spans="1:32" ht="15.75" customHeight="1">
      <c r="A700" s="503"/>
      <c r="B700" s="503"/>
      <c r="C700" s="510"/>
      <c r="D700" s="510"/>
      <c r="E700" s="510"/>
      <c r="F700" s="746"/>
      <c r="G700" s="510"/>
      <c r="H700" s="510"/>
      <c r="I700" s="510"/>
      <c r="J700" s="510"/>
      <c r="K700" s="510"/>
      <c r="L700" s="510"/>
      <c r="M700" s="509"/>
      <c r="N700" s="508"/>
      <c r="O700" s="507"/>
      <c r="P700" s="507"/>
      <c r="Q700" s="505"/>
      <c r="R700" s="506"/>
      <c r="S700" s="506"/>
      <c r="T700" s="506"/>
      <c r="U700" s="505"/>
      <c r="V700" s="505"/>
      <c r="W700" s="505"/>
      <c r="X700" s="504"/>
      <c r="Y700" s="503"/>
      <c r="Z700" s="503"/>
      <c r="AA700" s="503"/>
      <c r="AB700" s="503"/>
      <c r="AC700" s="503"/>
      <c r="AD700" s="503"/>
      <c r="AE700" s="503"/>
      <c r="AF700" s="503"/>
    </row>
    <row r="701" spans="1:32" ht="15.75" customHeight="1">
      <c r="A701" s="503"/>
      <c r="B701" s="503"/>
      <c r="C701" s="510"/>
      <c r="D701" s="510"/>
      <c r="E701" s="510"/>
      <c r="F701" s="746"/>
      <c r="G701" s="510"/>
      <c r="H701" s="510"/>
      <c r="I701" s="510"/>
      <c r="J701" s="510"/>
      <c r="K701" s="510"/>
      <c r="L701" s="510"/>
      <c r="M701" s="509"/>
      <c r="N701" s="508"/>
      <c r="O701" s="507"/>
      <c r="P701" s="507"/>
      <c r="Q701" s="505"/>
      <c r="R701" s="506"/>
      <c r="S701" s="506"/>
      <c r="T701" s="506"/>
      <c r="U701" s="505"/>
      <c r="V701" s="505"/>
      <c r="W701" s="505"/>
      <c r="X701" s="504"/>
      <c r="Y701" s="503"/>
      <c r="Z701" s="503"/>
      <c r="AA701" s="503"/>
      <c r="AB701" s="503"/>
      <c r="AC701" s="503"/>
      <c r="AD701" s="503"/>
      <c r="AE701" s="503"/>
      <c r="AF701" s="503"/>
    </row>
    <row r="702" spans="1:32" ht="15.75" customHeight="1">
      <c r="A702" s="503"/>
      <c r="B702" s="503"/>
      <c r="C702" s="510"/>
      <c r="D702" s="510"/>
      <c r="E702" s="510"/>
      <c r="F702" s="746"/>
      <c r="G702" s="510"/>
      <c r="H702" s="510"/>
      <c r="I702" s="510"/>
      <c r="J702" s="510"/>
      <c r="K702" s="510"/>
      <c r="L702" s="510"/>
      <c r="M702" s="509"/>
      <c r="N702" s="508"/>
      <c r="O702" s="507"/>
      <c r="P702" s="507"/>
      <c r="Q702" s="505"/>
      <c r="R702" s="506"/>
      <c r="S702" s="506"/>
      <c r="T702" s="506"/>
      <c r="U702" s="505"/>
      <c r="V702" s="505"/>
      <c r="W702" s="505"/>
      <c r="X702" s="504"/>
      <c r="Y702" s="503"/>
      <c r="Z702" s="503"/>
      <c r="AA702" s="503"/>
      <c r="AB702" s="503"/>
      <c r="AC702" s="503"/>
      <c r="AD702" s="503"/>
      <c r="AE702" s="503"/>
      <c r="AF702" s="503"/>
    </row>
    <row r="703" spans="1:32" ht="15.75" customHeight="1">
      <c r="A703" s="503"/>
      <c r="B703" s="503"/>
      <c r="C703" s="510"/>
      <c r="D703" s="510"/>
      <c r="E703" s="510"/>
      <c r="F703" s="746"/>
      <c r="G703" s="510"/>
      <c r="H703" s="510"/>
      <c r="I703" s="510"/>
      <c r="J703" s="510"/>
      <c r="K703" s="510"/>
      <c r="L703" s="510"/>
      <c r="M703" s="509"/>
      <c r="N703" s="508"/>
      <c r="O703" s="507"/>
      <c r="P703" s="507"/>
      <c r="Q703" s="505"/>
      <c r="R703" s="506"/>
      <c r="S703" s="506"/>
      <c r="T703" s="506"/>
      <c r="U703" s="505"/>
      <c r="V703" s="505"/>
      <c r="W703" s="505"/>
      <c r="X703" s="504"/>
      <c r="Y703" s="503"/>
      <c r="Z703" s="503"/>
      <c r="AA703" s="503"/>
      <c r="AB703" s="503"/>
      <c r="AC703" s="503"/>
      <c r="AD703" s="503"/>
      <c r="AE703" s="503"/>
      <c r="AF703" s="503"/>
    </row>
    <row r="704" spans="1:32" ht="15.75" customHeight="1">
      <c r="A704" s="503"/>
      <c r="B704" s="503"/>
      <c r="C704" s="510"/>
      <c r="D704" s="510"/>
      <c r="E704" s="510"/>
      <c r="F704" s="746"/>
      <c r="G704" s="510"/>
      <c r="H704" s="510"/>
      <c r="I704" s="510"/>
      <c r="J704" s="510"/>
      <c r="K704" s="510"/>
      <c r="L704" s="510"/>
      <c r="M704" s="509"/>
      <c r="N704" s="508"/>
      <c r="O704" s="507"/>
      <c r="P704" s="507"/>
      <c r="Q704" s="505"/>
      <c r="R704" s="506"/>
      <c r="S704" s="506"/>
      <c r="T704" s="506"/>
      <c r="U704" s="505"/>
      <c r="V704" s="505"/>
      <c r="W704" s="505"/>
      <c r="X704" s="504"/>
      <c r="Y704" s="503"/>
      <c r="Z704" s="503"/>
      <c r="AA704" s="503"/>
      <c r="AB704" s="503"/>
      <c r="AC704" s="503"/>
      <c r="AD704" s="503"/>
      <c r="AE704" s="503"/>
      <c r="AF704" s="503"/>
    </row>
    <row r="705" spans="1:32" ht="15.75" customHeight="1">
      <c r="A705" s="503"/>
      <c r="B705" s="503"/>
      <c r="C705" s="510"/>
      <c r="D705" s="510"/>
      <c r="E705" s="510"/>
      <c r="F705" s="746"/>
      <c r="G705" s="510"/>
      <c r="H705" s="510"/>
      <c r="I705" s="510"/>
      <c r="J705" s="510"/>
      <c r="K705" s="510"/>
      <c r="L705" s="510"/>
      <c r="M705" s="509"/>
      <c r="N705" s="508"/>
      <c r="O705" s="507"/>
      <c r="P705" s="507"/>
      <c r="Q705" s="505"/>
      <c r="R705" s="506"/>
      <c r="S705" s="506"/>
      <c r="T705" s="506"/>
      <c r="U705" s="505"/>
      <c r="V705" s="505"/>
      <c r="W705" s="505"/>
      <c r="X705" s="504"/>
      <c r="Y705" s="503"/>
      <c r="Z705" s="503"/>
      <c r="AA705" s="503"/>
      <c r="AB705" s="503"/>
      <c r="AC705" s="503"/>
      <c r="AD705" s="503"/>
      <c r="AE705" s="503"/>
      <c r="AF705" s="503"/>
    </row>
    <row r="706" spans="1:32" ht="15.75" customHeight="1">
      <c r="A706" s="503"/>
      <c r="B706" s="503"/>
      <c r="C706" s="510"/>
      <c r="D706" s="510"/>
      <c r="E706" s="510"/>
      <c r="F706" s="746"/>
      <c r="G706" s="510"/>
      <c r="H706" s="510"/>
      <c r="I706" s="510"/>
      <c r="J706" s="510"/>
      <c r="K706" s="510"/>
      <c r="L706" s="510"/>
      <c r="M706" s="509"/>
      <c r="N706" s="508"/>
      <c r="O706" s="507"/>
      <c r="P706" s="507"/>
      <c r="Q706" s="505"/>
      <c r="R706" s="506"/>
      <c r="S706" s="506"/>
      <c r="T706" s="506"/>
      <c r="U706" s="505"/>
      <c r="V706" s="505"/>
      <c r="W706" s="505"/>
      <c r="X706" s="504"/>
      <c r="Y706" s="503"/>
      <c r="Z706" s="503"/>
      <c r="AA706" s="503"/>
      <c r="AB706" s="503"/>
      <c r="AC706" s="503"/>
      <c r="AD706" s="503"/>
      <c r="AE706" s="503"/>
      <c r="AF706" s="503"/>
    </row>
    <row r="707" spans="1:32" ht="15.75" customHeight="1">
      <c r="A707" s="503"/>
      <c r="B707" s="503"/>
      <c r="C707" s="510"/>
      <c r="D707" s="510"/>
      <c r="E707" s="510"/>
      <c r="F707" s="746"/>
      <c r="G707" s="510"/>
      <c r="H707" s="510"/>
      <c r="I707" s="510"/>
      <c r="J707" s="510"/>
      <c r="K707" s="510"/>
      <c r="L707" s="510"/>
      <c r="M707" s="509"/>
      <c r="N707" s="508"/>
      <c r="O707" s="507"/>
      <c r="P707" s="507"/>
      <c r="Q707" s="505"/>
      <c r="R707" s="506"/>
      <c r="S707" s="506"/>
      <c r="T707" s="506"/>
      <c r="U707" s="505"/>
      <c r="V707" s="505"/>
      <c r="W707" s="505"/>
      <c r="X707" s="504"/>
      <c r="Y707" s="503"/>
      <c r="Z707" s="503"/>
      <c r="AA707" s="503"/>
      <c r="AB707" s="503"/>
      <c r="AC707" s="503"/>
      <c r="AD707" s="503"/>
      <c r="AE707" s="503"/>
      <c r="AF707" s="503"/>
    </row>
    <row r="708" spans="1:32" ht="15.75" customHeight="1">
      <c r="A708" s="503"/>
      <c r="B708" s="503"/>
      <c r="C708" s="510"/>
      <c r="D708" s="510"/>
      <c r="E708" s="510"/>
      <c r="F708" s="746"/>
      <c r="G708" s="510"/>
      <c r="H708" s="510"/>
      <c r="I708" s="510"/>
      <c r="J708" s="510"/>
      <c r="K708" s="510"/>
      <c r="L708" s="510"/>
      <c r="M708" s="509"/>
      <c r="N708" s="508"/>
      <c r="O708" s="507"/>
      <c r="P708" s="507"/>
      <c r="Q708" s="505"/>
      <c r="R708" s="506"/>
      <c r="S708" s="506"/>
      <c r="T708" s="506"/>
      <c r="U708" s="505"/>
      <c r="V708" s="505"/>
      <c r="W708" s="505"/>
      <c r="X708" s="504"/>
      <c r="Y708" s="503"/>
      <c r="Z708" s="503"/>
      <c r="AA708" s="503"/>
      <c r="AB708" s="503"/>
      <c r="AC708" s="503"/>
      <c r="AD708" s="503"/>
      <c r="AE708" s="503"/>
      <c r="AF708" s="503"/>
    </row>
    <row r="709" spans="1:32" ht="15.75" customHeight="1">
      <c r="A709" s="503"/>
      <c r="B709" s="503"/>
      <c r="C709" s="510"/>
      <c r="D709" s="510"/>
      <c r="E709" s="510"/>
      <c r="F709" s="746"/>
      <c r="G709" s="510"/>
      <c r="H709" s="510"/>
      <c r="I709" s="510"/>
      <c r="J709" s="510"/>
      <c r="K709" s="510"/>
      <c r="L709" s="510"/>
      <c r="M709" s="509"/>
      <c r="N709" s="508"/>
      <c r="O709" s="507"/>
      <c r="P709" s="507"/>
      <c r="Q709" s="505"/>
      <c r="R709" s="506"/>
      <c r="S709" s="506"/>
      <c r="T709" s="506"/>
      <c r="U709" s="505"/>
      <c r="V709" s="505"/>
      <c r="W709" s="505"/>
      <c r="X709" s="504"/>
      <c r="Y709" s="503"/>
      <c r="Z709" s="503"/>
      <c r="AA709" s="503"/>
      <c r="AB709" s="503"/>
      <c r="AC709" s="503"/>
      <c r="AD709" s="503"/>
      <c r="AE709" s="503"/>
      <c r="AF709" s="503"/>
    </row>
    <row r="710" spans="1:32" ht="15.75" customHeight="1">
      <c r="A710" s="503"/>
      <c r="B710" s="503"/>
      <c r="C710" s="510"/>
      <c r="D710" s="510"/>
      <c r="E710" s="510"/>
      <c r="F710" s="746"/>
      <c r="G710" s="510"/>
      <c r="H710" s="510"/>
      <c r="I710" s="510"/>
      <c r="J710" s="510"/>
      <c r="K710" s="510"/>
      <c r="L710" s="510"/>
      <c r="M710" s="509"/>
      <c r="N710" s="508"/>
      <c r="O710" s="507"/>
      <c r="P710" s="507"/>
      <c r="Q710" s="505"/>
      <c r="R710" s="506"/>
      <c r="S710" s="506"/>
      <c r="T710" s="506"/>
      <c r="U710" s="505"/>
      <c r="V710" s="505"/>
      <c r="W710" s="505"/>
      <c r="X710" s="504"/>
      <c r="Y710" s="503"/>
      <c r="Z710" s="503"/>
      <c r="AA710" s="503"/>
      <c r="AB710" s="503"/>
      <c r="AC710" s="503"/>
      <c r="AD710" s="503"/>
      <c r="AE710" s="503"/>
      <c r="AF710" s="503"/>
    </row>
    <row r="711" spans="1:32" ht="15.75" customHeight="1">
      <c r="A711" s="503"/>
      <c r="B711" s="503"/>
      <c r="C711" s="510"/>
      <c r="D711" s="510"/>
      <c r="E711" s="510"/>
      <c r="F711" s="746"/>
      <c r="G711" s="510"/>
      <c r="H711" s="510"/>
      <c r="I711" s="510"/>
      <c r="J711" s="510"/>
      <c r="K711" s="510"/>
      <c r="L711" s="510"/>
      <c r="M711" s="509"/>
      <c r="N711" s="508"/>
      <c r="O711" s="507"/>
      <c r="P711" s="507"/>
      <c r="Q711" s="505"/>
      <c r="R711" s="506"/>
      <c r="S711" s="506"/>
      <c r="T711" s="506"/>
      <c r="U711" s="505"/>
      <c r="V711" s="505"/>
      <c r="W711" s="505"/>
      <c r="X711" s="504"/>
      <c r="Y711" s="503"/>
      <c r="Z711" s="503"/>
      <c r="AA711" s="503"/>
      <c r="AB711" s="503"/>
      <c r="AC711" s="503"/>
      <c r="AD711" s="503"/>
      <c r="AE711" s="503"/>
      <c r="AF711" s="503"/>
    </row>
    <row r="712" spans="1:32" ht="15.75" customHeight="1">
      <c r="A712" s="503"/>
      <c r="B712" s="503"/>
      <c r="C712" s="510"/>
      <c r="D712" s="510"/>
      <c r="E712" s="510"/>
      <c r="F712" s="746"/>
      <c r="G712" s="510"/>
      <c r="H712" s="510"/>
      <c r="I712" s="510"/>
      <c r="J712" s="510"/>
      <c r="K712" s="510"/>
      <c r="L712" s="510"/>
      <c r="M712" s="509"/>
      <c r="N712" s="508"/>
      <c r="O712" s="507"/>
      <c r="P712" s="507"/>
      <c r="Q712" s="505"/>
      <c r="R712" s="506"/>
      <c r="S712" s="506"/>
      <c r="T712" s="506"/>
      <c r="U712" s="505"/>
      <c r="V712" s="505"/>
      <c r="W712" s="505"/>
      <c r="X712" s="504"/>
      <c r="Y712" s="503"/>
      <c r="Z712" s="503"/>
      <c r="AA712" s="503"/>
      <c r="AB712" s="503"/>
      <c r="AC712" s="503"/>
      <c r="AD712" s="503"/>
      <c r="AE712" s="503"/>
      <c r="AF712" s="503"/>
    </row>
    <row r="713" spans="1:32" ht="15.75" customHeight="1">
      <c r="A713" s="503"/>
      <c r="B713" s="503"/>
      <c r="C713" s="510"/>
      <c r="D713" s="510"/>
      <c r="E713" s="510"/>
      <c r="F713" s="746"/>
      <c r="G713" s="510"/>
      <c r="H713" s="510"/>
      <c r="I713" s="510"/>
      <c r="J713" s="510"/>
      <c r="K713" s="510"/>
      <c r="L713" s="510"/>
      <c r="M713" s="509"/>
      <c r="N713" s="508"/>
      <c r="O713" s="507"/>
      <c r="P713" s="507"/>
      <c r="Q713" s="505"/>
      <c r="R713" s="506"/>
      <c r="S713" s="506"/>
      <c r="T713" s="506"/>
      <c r="U713" s="505"/>
      <c r="V713" s="505"/>
      <c r="W713" s="505"/>
      <c r="X713" s="504"/>
      <c r="Y713" s="503"/>
      <c r="Z713" s="503"/>
      <c r="AA713" s="503"/>
      <c r="AB713" s="503"/>
      <c r="AC713" s="503"/>
      <c r="AD713" s="503"/>
      <c r="AE713" s="503"/>
      <c r="AF713" s="503"/>
    </row>
    <row r="714" spans="1:32" ht="15.75" customHeight="1">
      <c r="A714" s="503"/>
      <c r="B714" s="503"/>
      <c r="C714" s="510"/>
      <c r="D714" s="510"/>
      <c r="E714" s="510"/>
      <c r="F714" s="746"/>
      <c r="G714" s="510"/>
      <c r="H714" s="510"/>
      <c r="I714" s="510"/>
      <c r="J714" s="510"/>
      <c r="K714" s="510"/>
      <c r="L714" s="510"/>
      <c r="M714" s="509"/>
      <c r="N714" s="508"/>
      <c r="O714" s="507"/>
      <c r="P714" s="507"/>
      <c r="Q714" s="505"/>
      <c r="R714" s="506"/>
      <c r="S714" s="506"/>
      <c r="T714" s="506"/>
      <c r="U714" s="505"/>
      <c r="V714" s="505"/>
      <c r="W714" s="505"/>
      <c r="X714" s="504"/>
      <c r="Y714" s="503"/>
      <c r="Z714" s="503"/>
      <c r="AA714" s="503"/>
      <c r="AB714" s="503"/>
      <c r="AC714" s="503"/>
      <c r="AD714" s="503"/>
      <c r="AE714" s="503"/>
      <c r="AF714" s="503"/>
    </row>
    <row r="715" spans="1:32" ht="15.75" customHeight="1">
      <c r="A715" s="503"/>
      <c r="B715" s="503"/>
      <c r="C715" s="510"/>
      <c r="D715" s="510"/>
      <c r="E715" s="510"/>
      <c r="F715" s="746"/>
      <c r="G715" s="510"/>
      <c r="H715" s="510"/>
      <c r="I715" s="510"/>
      <c r="J715" s="510"/>
      <c r="K715" s="510"/>
      <c r="L715" s="510"/>
      <c r="M715" s="509"/>
      <c r="N715" s="508"/>
      <c r="O715" s="507"/>
      <c r="P715" s="507"/>
      <c r="Q715" s="505"/>
      <c r="R715" s="506"/>
      <c r="S715" s="506"/>
      <c r="T715" s="506"/>
      <c r="U715" s="505"/>
      <c r="V715" s="505"/>
      <c r="W715" s="505"/>
      <c r="X715" s="504"/>
      <c r="Y715" s="503"/>
      <c r="Z715" s="503"/>
      <c r="AA715" s="503"/>
      <c r="AB715" s="503"/>
      <c r="AC715" s="503"/>
      <c r="AD715" s="503"/>
      <c r="AE715" s="503"/>
      <c r="AF715" s="503"/>
    </row>
    <row r="716" spans="1:32" ht="15.75" customHeight="1">
      <c r="A716" s="503"/>
      <c r="B716" s="503"/>
      <c r="C716" s="510"/>
      <c r="D716" s="510"/>
      <c r="E716" s="510"/>
      <c r="F716" s="746"/>
      <c r="G716" s="510"/>
      <c r="H716" s="510"/>
      <c r="I716" s="510"/>
      <c r="J716" s="510"/>
      <c r="K716" s="510"/>
      <c r="L716" s="510"/>
      <c r="M716" s="509"/>
      <c r="N716" s="508"/>
      <c r="O716" s="507"/>
      <c r="P716" s="507"/>
      <c r="Q716" s="505"/>
      <c r="R716" s="506"/>
      <c r="S716" s="506"/>
      <c r="T716" s="506"/>
      <c r="U716" s="505"/>
      <c r="V716" s="505"/>
      <c r="W716" s="505"/>
      <c r="X716" s="504"/>
      <c r="Y716" s="503"/>
      <c r="Z716" s="503"/>
      <c r="AA716" s="503"/>
      <c r="AB716" s="503"/>
      <c r="AC716" s="503"/>
      <c r="AD716" s="503"/>
      <c r="AE716" s="503"/>
      <c r="AF716" s="503"/>
    </row>
    <row r="717" spans="1:32" ht="15.75" customHeight="1">
      <c r="A717" s="503"/>
      <c r="B717" s="503"/>
      <c r="C717" s="510"/>
      <c r="D717" s="510"/>
      <c r="E717" s="510"/>
      <c r="F717" s="746"/>
      <c r="G717" s="510"/>
      <c r="H717" s="510"/>
      <c r="I717" s="510"/>
      <c r="J717" s="510"/>
      <c r="K717" s="510"/>
      <c r="L717" s="510"/>
      <c r="M717" s="509"/>
      <c r="N717" s="508"/>
      <c r="O717" s="507"/>
      <c r="P717" s="507"/>
      <c r="Q717" s="505"/>
      <c r="R717" s="506"/>
      <c r="S717" s="506"/>
      <c r="T717" s="506"/>
      <c r="U717" s="505"/>
      <c r="V717" s="505"/>
      <c r="W717" s="505"/>
      <c r="X717" s="504"/>
      <c r="Y717" s="503"/>
      <c r="Z717" s="503"/>
      <c r="AA717" s="503"/>
      <c r="AB717" s="503"/>
      <c r="AC717" s="503"/>
      <c r="AD717" s="503"/>
      <c r="AE717" s="503"/>
      <c r="AF717" s="503"/>
    </row>
    <row r="718" spans="1:32" ht="15.75" customHeight="1">
      <c r="A718" s="503"/>
      <c r="B718" s="503"/>
      <c r="C718" s="510"/>
      <c r="D718" s="510"/>
      <c r="E718" s="510"/>
      <c r="F718" s="746"/>
      <c r="G718" s="510"/>
      <c r="H718" s="510"/>
      <c r="I718" s="510"/>
      <c r="J718" s="510"/>
      <c r="K718" s="510"/>
      <c r="L718" s="510"/>
      <c r="M718" s="509"/>
      <c r="N718" s="508"/>
      <c r="O718" s="507"/>
      <c r="P718" s="507"/>
      <c r="Q718" s="505"/>
      <c r="R718" s="506"/>
      <c r="S718" s="506"/>
      <c r="T718" s="506"/>
      <c r="U718" s="505"/>
      <c r="V718" s="505"/>
      <c r="W718" s="505"/>
      <c r="X718" s="504"/>
      <c r="Y718" s="503"/>
      <c r="Z718" s="503"/>
      <c r="AA718" s="503"/>
      <c r="AB718" s="503"/>
      <c r="AC718" s="503"/>
      <c r="AD718" s="503"/>
      <c r="AE718" s="503"/>
      <c r="AF718" s="503"/>
    </row>
    <row r="719" spans="1:32" ht="15.75" customHeight="1">
      <c r="A719" s="503"/>
      <c r="B719" s="503"/>
      <c r="C719" s="510"/>
      <c r="D719" s="510"/>
      <c r="E719" s="510"/>
      <c r="F719" s="746"/>
      <c r="G719" s="510"/>
      <c r="H719" s="510"/>
      <c r="I719" s="510"/>
      <c r="J719" s="510"/>
      <c r="K719" s="510"/>
      <c r="L719" s="510"/>
      <c r="M719" s="509"/>
      <c r="N719" s="508"/>
      <c r="O719" s="507"/>
      <c r="P719" s="507"/>
      <c r="Q719" s="505"/>
      <c r="R719" s="506"/>
      <c r="S719" s="506"/>
      <c r="T719" s="506"/>
      <c r="U719" s="505"/>
      <c r="V719" s="505"/>
      <c r="W719" s="505"/>
      <c r="X719" s="504"/>
      <c r="Y719" s="503"/>
      <c r="Z719" s="503"/>
      <c r="AA719" s="503"/>
      <c r="AB719" s="503"/>
      <c r="AC719" s="503"/>
      <c r="AD719" s="503"/>
      <c r="AE719" s="503"/>
      <c r="AF719" s="503"/>
    </row>
    <row r="720" spans="1:32" ht="15.75" customHeight="1">
      <c r="A720" s="503"/>
      <c r="B720" s="503"/>
      <c r="C720" s="510"/>
      <c r="D720" s="510"/>
      <c r="E720" s="510"/>
      <c r="F720" s="746"/>
      <c r="G720" s="510"/>
      <c r="H720" s="510"/>
      <c r="I720" s="510"/>
      <c r="J720" s="510"/>
      <c r="K720" s="510"/>
      <c r="L720" s="510"/>
      <c r="M720" s="509"/>
      <c r="N720" s="508"/>
      <c r="O720" s="507"/>
      <c r="P720" s="507"/>
      <c r="Q720" s="505"/>
      <c r="R720" s="506"/>
      <c r="S720" s="506"/>
      <c r="T720" s="506"/>
      <c r="U720" s="505"/>
      <c r="V720" s="505"/>
      <c r="W720" s="505"/>
      <c r="X720" s="504"/>
      <c r="Y720" s="503"/>
      <c r="Z720" s="503"/>
      <c r="AA720" s="503"/>
      <c r="AB720" s="503"/>
      <c r="AC720" s="503"/>
      <c r="AD720" s="503"/>
      <c r="AE720" s="503"/>
      <c r="AF720" s="503"/>
    </row>
    <row r="721" spans="1:32" ht="15.75" customHeight="1">
      <c r="A721" s="503"/>
      <c r="B721" s="503"/>
      <c r="C721" s="510"/>
      <c r="D721" s="510"/>
      <c r="E721" s="510"/>
      <c r="F721" s="746"/>
      <c r="G721" s="510"/>
      <c r="H721" s="510"/>
      <c r="I721" s="510"/>
      <c r="J721" s="510"/>
      <c r="K721" s="510"/>
      <c r="L721" s="510"/>
      <c r="M721" s="509"/>
      <c r="N721" s="508"/>
      <c r="O721" s="507"/>
      <c r="P721" s="507"/>
      <c r="Q721" s="505"/>
      <c r="R721" s="506"/>
      <c r="S721" s="506"/>
      <c r="T721" s="506"/>
      <c r="U721" s="505"/>
      <c r="V721" s="505"/>
      <c r="W721" s="505"/>
      <c r="X721" s="504"/>
      <c r="Y721" s="503"/>
      <c r="Z721" s="503"/>
      <c r="AA721" s="503"/>
      <c r="AB721" s="503"/>
      <c r="AC721" s="503"/>
      <c r="AD721" s="503"/>
      <c r="AE721" s="503"/>
      <c r="AF721" s="503"/>
    </row>
    <row r="722" spans="1:32" ht="15.75" customHeight="1">
      <c r="A722" s="503"/>
      <c r="B722" s="503"/>
      <c r="C722" s="510"/>
      <c r="D722" s="510"/>
      <c r="E722" s="510"/>
      <c r="F722" s="746"/>
      <c r="G722" s="510"/>
      <c r="H722" s="510"/>
      <c r="I722" s="510"/>
      <c r="J722" s="510"/>
      <c r="K722" s="510"/>
      <c r="L722" s="510"/>
      <c r="M722" s="509"/>
      <c r="N722" s="508"/>
      <c r="O722" s="507"/>
      <c r="P722" s="507"/>
      <c r="Q722" s="505"/>
      <c r="R722" s="506"/>
      <c r="S722" s="506"/>
      <c r="T722" s="506"/>
      <c r="U722" s="505"/>
      <c r="V722" s="505"/>
      <c r="W722" s="505"/>
      <c r="X722" s="504"/>
      <c r="Y722" s="503"/>
      <c r="Z722" s="503"/>
      <c r="AA722" s="503"/>
      <c r="AB722" s="503"/>
      <c r="AC722" s="503"/>
      <c r="AD722" s="503"/>
      <c r="AE722" s="503"/>
      <c r="AF722" s="503"/>
    </row>
    <row r="723" spans="1:32" ht="15.75" customHeight="1">
      <c r="A723" s="503"/>
      <c r="B723" s="503"/>
      <c r="C723" s="510"/>
      <c r="D723" s="510"/>
      <c r="E723" s="510"/>
      <c r="F723" s="746"/>
      <c r="G723" s="510"/>
      <c r="H723" s="510"/>
      <c r="I723" s="510"/>
      <c r="J723" s="510"/>
      <c r="K723" s="510"/>
      <c r="L723" s="510"/>
      <c r="M723" s="509"/>
      <c r="N723" s="508"/>
      <c r="O723" s="507"/>
      <c r="P723" s="507"/>
      <c r="Q723" s="505"/>
      <c r="R723" s="506"/>
      <c r="S723" s="506"/>
      <c r="T723" s="506"/>
      <c r="U723" s="505"/>
      <c r="V723" s="505"/>
      <c r="W723" s="505"/>
      <c r="X723" s="504"/>
      <c r="Y723" s="503"/>
      <c r="Z723" s="503"/>
      <c r="AA723" s="503"/>
      <c r="AB723" s="503"/>
      <c r="AC723" s="503"/>
      <c r="AD723" s="503"/>
      <c r="AE723" s="503"/>
      <c r="AF723" s="503"/>
    </row>
    <row r="724" spans="1:32" ht="15.75" customHeight="1">
      <c r="A724" s="503"/>
      <c r="B724" s="503"/>
      <c r="C724" s="510"/>
      <c r="D724" s="510"/>
      <c r="E724" s="510"/>
      <c r="F724" s="746"/>
      <c r="G724" s="510"/>
      <c r="H724" s="510"/>
      <c r="I724" s="510"/>
      <c r="J724" s="510"/>
      <c r="K724" s="510"/>
      <c r="L724" s="510"/>
      <c r="M724" s="509"/>
      <c r="N724" s="508"/>
      <c r="O724" s="507"/>
      <c r="P724" s="507"/>
      <c r="Q724" s="505"/>
      <c r="R724" s="506"/>
      <c r="S724" s="506"/>
      <c r="T724" s="506"/>
      <c r="U724" s="505"/>
      <c r="V724" s="505"/>
      <c r="W724" s="505"/>
      <c r="X724" s="504"/>
      <c r="Y724" s="503"/>
      <c r="Z724" s="503"/>
      <c r="AA724" s="503"/>
      <c r="AB724" s="503"/>
      <c r="AC724" s="503"/>
      <c r="AD724" s="503"/>
      <c r="AE724" s="503"/>
      <c r="AF724" s="503"/>
    </row>
    <row r="725" spans="1:32" ht="15.75" customHeight="1">
      <c r="A725" s="503"/>
      <c r="B725" s="503"/>
      <c r="C725" s="510"/>
      <c r="D725" s="510"/>
      <c r="E725" s="510"/>
      <c r="F725" s="746"/>
      <c r="G725" s="510"/>
      <c r="H725" s="510"/>
      <c r="I725" s="510"/>
      <c r="J725" s="510"/>
      <c r="K725" s="510"/>
      <c r="L725" s="510"/>
      <c r="M725" s="509"/>
      <c r="N725" s="508"/>
      <c r="O725" s="507"/>
      <c r="P725" s="507"/>
      <c r="Q725" s="505"/>
      <c r="R725" s="506"/>
      <c r="S725" s="506"/>
      <c r="T725" s="506"/>
      <c r="U725" s="505"/>
      <c r="V725" s="505"/>
      <c r="W725" s="505"/>
      <c r="X725" s="504"/>
      <c r="Y725" s="503"/>
      <c r="Z725" s="503"/>
      <c r="AA725" s="503"/>
      <c r="AB725" s="503"/>
      <c r="AC725" s="503"/>
      <c r="AD725" s="503"/>
      <c r="AE725" s="503"/>
      <c r="AF725" s="503"/>
    </row>
    <row r="726" spans="1:32" ht="15.75" customHeight="1">
      <c r="A726" s="503"/>
      <c r="B726" s="503"/>
      <c r="C726" s="510"/>
      <c r="D726" s="510"/>
      <c r="E726" s="510"/>
      <c r="F726" s="746"/>
      <c r="G726" s="510"/>
      <c r="H726" s="510"/>
      <c r="I726" s="510"/>
      <c r="J726" s="510"/>
      <c r="K726" s="510"/>
      <c r="L726" s="510"/>
      <c r="M726" s="509"/>
      <c r="N726" s="508"/>
      <c r="O726" s="507"/>
      <c r="P726" s="507"/>
      <c r="Q726" s="505"/>
      <c r="R726" s="506"/>
      <c r="S726" s="506"/>
      <c r="T726" s="506"/>
      <c r="U726" s="505"/>
      <c r="V726" s="505"/>
      <c r="W726" s="505"/>
      <c r="X726" s="504"/>
      <c r="Y726" s="503"/>
      <c r="Z726" s="503"/>
      <c r="AA726" s="503"/>
      <c r="AB726" s="503"/>
      <c r="AC726" s="503"/>
      <c r="AD726" s="503"/>
      <c r="AE726" s="503"/>
      <c r="AF726" s="503"/>
    </row>
    <row r="727" spans="1:32" ht="15.75" customHeight="1">
      <c r="A727" s="503"/>
      <c r="B727" s="503"/>
      <c r="C727" s="510"/>
      <c r="D727" s="510"/>
      <c r="E727" s="510"/>
      <c r="F727" s="746"/>
      <c r="G727" s="510"/>
      <c r="H727" s="510"/>
      <c r="I727" s="510"/>
      <c r="J727" s="510"/>
      <c r="K727" s="510"/>
      <c r="L727" s="510"/>
      <c r="M727" s="509"/>
      <c r="N727" s="508"/>
      <c r="O727" s="507"/>
      <c r="P727" s="507"/>
      <c r="Q727" s="505"/>
      <c r="R727" s="506"/>
      <c r="S727" s="506"/>
      <c r="T727" s="506"/>
      <c r="U727" s="505"/>
      <c r="V727" s="505"/>
      <c r="W727" s="505"/>
      <c r="X727" s="504"/>
      <c r="Y727" s="503"/>
      <c r="Z727" s="503"/>
      <c r="AA727" s="503"/>
      <c r="AB727" s="503"/>
      <c r="AC727" s="503"/>
      <c r="AD727" s="503"/>
      <c r="AE727" s="503"/>
      <c r="AF727" s="503"/>
    </row>
    <row r="728" spans="1:32" ht="15.75" customHeight="1">
      <c r="A728" s="503"/>
      <c r="B728" s="503"/>
      <c r="C728" s="510"/>
      <c r="D728" s="510"/>
      <c r="E728" s="510"/>
      <c r="F728" s="746"/>
      <c r="G728" s="510"/>
      <c r="H728" s="510"/>
      <c r="I728" s="510"/>
      <c r="J728" s="510"/>
      <c r="K728" s="510"/>
      <c r="L728" s="510"/>
      <c r="M728" s="509"/>
      <c r="N728" s="508"/>
      <c r="O728" s="507"/>
      <c r="P728" s="507"/>
      <c r="Q728" s="505"/>
      <c r="R728" s="506"/>
      <c r="S728" s="506"/>
      <c r="T728" s="506"/>
      <c r="U728" s="505"/>
      <c r="V728" s="505"/>
      <c r="W728" s="505"/>
      <c r="X728" s="504"/>
      <c r="Y728" s="503"/>
      <c r="Z728" s="503"/>
      <c r="AA728" s="503"/>
      <c r="AB728" s="503"/>
      <c r="AC728" s="503"/>
      <c r="AD728" s="503"/>
      <c r="AE728" s="503"/>
      <c r="AF728" s="503"/>
    </row>
    <row r="729" spans="1:32" ht="15.75" customHeight="1">
      <c r="A729" s="503"/>
      <c r="B729" s="503"/>
      <c r="C729" s="510"/>
      <c r="D729" s="510"/>
      <c r="E729" s="510"/>
      <c r="F729" s="746"/>
      <c r="G729" s="510"/>
      <c r="H729" s="510"/>
      <c r="I729" s="510"/>
      <c r="J729" s="510"/>
      <c r="K729" s="510"/>
      <c r="L729" s="510"/>
      <c r="M729" s="509"/>
      <c r="N729" s="508"/>
      <c r="O729" s="507"/>
      <c r="P729" s="507"/>
      <c r="Q729" s="505"/>
      <c r="R729" s="506"/>
      <c r="S729" s="506"/>
      <c r="T729" s="506"/>
      <c r="U729" s="505"/>
      <c r="V729" s="505"/>
      <c r="W729" s="505"/>
      <c r="X729" s="504"/>
      <c r="Y729" s="503"/>
      <c r="Z729" s="503"/>
      <c r="AA729" s="503"/>
      <c r="AB729" s="503"/>
      <c r="AC729" s="503"/>
      <c r="AD729" s="503"/>
      <c r="AE729" s="503"/>
      <c r="AF729" s="503"/>
    </row>
    <row r="730" spans="1:32" ht="15.75" customHeight="1">
      <c r="A730" s="503"/>
      <c r="B730" s="503"/>
      <c r="C730" s="510"/>
      <c r="D730" s="510"/>
      <c r="E730" s="510"/>
      <c r="F730" s="746"/>
      <c r="G730" s="510"/>
      <c r="H730" s="510"/>
      <c r="I730" s="510"/>
      <c r="J730" s="510"/>
      <c r="K730" s="510"/>
      <c r="L730" s="510"/>
      <c r="M730" s="509"/>
      <c r="N730" s="508"/>
      <c r="O730" s="507"/>
      <c r="P730" s="507"/>
      <c r="Q730" s="505"/>
      <c r="R730" s="506"/>
      <c r="S730" s="506"/>
      <c r="T730" s="506"/>
      <c r="U730" s="505"/>
      <c r="V730" s="505"/>
      <c r="W730" s="505"/>
      <c r="X730" s="504"/>
      <c r="Y730" s="503"/>
      <c r="Z730" s="503"/>
      <c r="AA730" s="503"/>
      <c r="AB730" s="503"/>
      <c r="AC730" s="503"/>
      <c r="AD730" s="503"/>
      <c r="AE730" s="503"/>
      <c r="AF730" s="503"/>
    </row>
    <row r="731" spans="1:32" ht="15.75" customHeight="1">
      <c r="A731" s="503"/>
      <c r="B731" s="503"/>
      <c r="C731" s="510"/>
      <c r="D731" s="510"/>
      <c r="E731" s="510"/>
      <c r="F731" s="746"/>
      <c r="G731" s="510"/>
      <c r="H731" s="510"/>
      <c r="I731" s="510"/>
      <c r="J731" s="510"/>
      <c r="K731" s="510"/>
      <c r="L731" s="510"/>
      <c r="M731" s="509"/>
      <c r="N731" s="508"/>
      <c r="O731" s="507"/>
      <c r="P731" s="507"/>
      <c r="Q731" s="505"/>
      <c r="R731" s="506"/>
      <c r="S731" s="506"/>
      <c r="T731" s="506"/>
      <c r="U731" s="505"/>
      <c r="V731" s="505"/>
      <c r="W731" s="505"/>
      <c r="X731" s="504"/>
      <c r="Y731" s="503"/>
      <c r="Z731" s="503"/>
      <c r="AA731" s="503"/>
      <c r="AB731" s="503"/>
      <c r="AC731" s="503"/>
      <c r="AD731" s="503"/>
      <c r="AE731" s="503"/>
      <c r="AF731" s="503"/>
    </row>
    <row r="732" spans="1:32" ht="15.75" customHeight="1">
      <c r="A732" s="503"/>
      <c r="B732" s="503"/>
      <c r="C732" s="510"/>
      <c r="D732" s="510"/>
      <c r="E732" s="510"/>
      <c r="F732" s="746"/>
      <c r="G732" s="510"/>
      <c r="H732" s="510"/>
      <c r="I732" s="510"/>
      <c r="J732" s="510"/>
      <c r="K732" s="510"/>
      <c r="L732" s="510"/>
      <c r="M732" s="509"/>
      <c r="N732" s="508"/>
      <c r="O732" s="507"/>
      <c r="P732" s="507"/>
      <c r="Q732" s="505"/>
      <c r="R732" s="506"/>
      <c r="S732" s="506"/>
      <c r="T732" s="506"/>
      <c r="U732" s="505"/>
      <c r="V732" s="505"/>
      <c r="W732" s="505"/>
      <c r="X732" s="504"/>
      <c r="Y732" s="503"/>
      <c r="Z732" s="503"/>
      <c r="AA732" s="503"/>
      <c r="AB732" s="503"/>
      <c r="AC732" s="503"/>
      <c r="AD732" s="503"/>
      <c r="AE732" s="503"/>
      <c r="AF732" s="503"/>
    </row>
    <row r="733" spans="1:32" ht="15.75" customHeight="1">
      <c r="A733" s="503"/>
      <c r="B733" s="503"/>
      <c r="C733" s="510"/>
      <c r="D733" s="510"/>
      <c r="E733" s="510"/>
      <c r="F733" s="746"/>
      <c r="G733" s="510"/>
      <c r="H733" s="510"/>
      <c r="I733" s="510"/>
      <c r="J733" s="510"/>
      <c r="K733" s="510"/>
      <c r="L733" s="510"/>
      <c r="M733" s="509"/>
      <c r="N733" s="508"/>
      <c r="O733" s="507"/>
      <c r="P733" s="507"/>
      <c r="Q733" s="505"/>
      <c r="R733" s="506"/>
      <c r="S733" s="506"/>
      <c r="T733" s="506"/>
      <c r="U733" s="505"/>
      <c r="V733" s="505"/>
      <c r="W733" s="505"/>
      <c r="X733" s="504"/>
      <c r="Y733" s="503"/>
      <c r="Z733" s="503"/>
      <c r="AA733" s="503"/>
      <c r="AB733" s="503"/>
      <c r="AC733" s="503"/>
      <c r="AD733" s="503"/>
      <c r="AE733" s="503"/>
      <c r="AF733" s="503"/>
    </row>
    <row r="734" spans="1:32" ht="15.75" customHeight="1">
      <c r="A734" s="503"/>
      <c r="B734" s="503"/>
      <c r="C734" s="510"/>
      <c r="D734" s="510"/>
      <c r="E734" s="510"/>
      <c r="F734" s="746"/>
      <c r="G734" s="510"/>
      <c r="H734" s="510"/>
      <c r="I734" s="510"/>
      <c r="J734" s="510"/>
      <c r="K734" s="510"/>
      <c r="L734" s="510"/>
      <c r="M734" s="509"/>
      <c r="N734" s="508"/>
      <c r="O734" s="507"/>
      <c r="P734" s="507"/>
      <c r="Q734" s="505"/>
      <c r="R734" s="506"/>
      <c r="S734" s="506"/>
      <c r="T734" s="506"/>
      <c r="U734" s="505"/>
      <c r="V734" s="505"/>
      <c r="W734" s="505"/>
      <c r="X734" s="504"/>
      <c r="Y734" s="503"/>
      <c r="Z734" s="503"/>
      <c r="AA734" s="503"/>
      <c r="AB734" s="503"/>
      <c r="AC734" s="503"/>
      <c r="AD734" s="503"/>
      <c r="AE734" s="503"/>
      <c r="AF734" s="503"/>
    </row>
    <row r="735" spans="1:32" ht="15.75" customHeight="1">
      <c r="A735" s="503"/>
      <c r="B735" s="503"/>
      <c r="C735" s="510"/>
      <c r="D735" s="510"/>
      <c r="E735" s="510"/>
      <c r="F735" s="746"/>
      <c r="G735" s="510"/>
      <c r="H735" s="510"/>
      <c r="I735" s="510"/>
      <c r="J735" s="510"/>
      <c r="K735" s="510"/>
      <c r="L735" s="510"/>
      <c r="M735" s="509"/>
      <c r="N735" s="508"/>
      <c r="O735" s="507"/>
      <c r="P735" s="507"/>
      <c r="Q735" s="505"/>
      <c r="R735" s="506"/>
      <c r="S735" s="506"/>
      <c r="T735" s="506"/>
      <c r="U735" s="505"/>
      <c r="V735" s="505"/>
      <c r="W735" s="505"/>
      <c r="X735" s="504"/>
      <c r="Y735" s="503"/>
      <c r="Z735" s="503"/>
      <c r="AA735" s="503"/>
      <c r="AB735" s="503"/>
      <c r="AC735" s="503"/>
      <c r="AD735" s="503"/>
      <c r="AE735" s="503"/>
      <c r="AF735" s="503"/>
    </row>
    <row r="736" spans="1:32" ht="15.75" customHeight="1">
      <c r="A736" s="503"/>
      <c r="B736" s="503"/>
      <c r="C736" s="510"/>
      <c r="D736" s="510"/>
      <c r="E736" s="510"/>
      <c r="F736" s="746"/>
      <c r="G736" s="510"/>
      <c r="H736" s="510"/>
      <c r="I736" s="510"/>
      <c r="J736" s="510"/>
      <c r="K736" s="510"/>
      <c r="L736" s="510"/>
      <c r="M736" s="509"/>
      <c r="N736" s="508"/>
      <c r="O736" s="507"/>
      <c r="P736" s="507"/>
      <c r="Q736" s="505"/>
      <c r="R736" s="506"/>
      <c r="S736" s="506"/>
      <c r="T736" s="506"/>
      <c r="U736" s="505"/>
      <c r="V736" s="505"/>
      <c r="W736" s="505"/>
      <c r="X736" s="504"/>
      <c r="Y736" s="503"/>
      <c r="Z736" s="503"/>
      <c r="AA736" s="503"/>
      <c r="AB736" s="503"/>
      <c r="AC736" s="503"/>
      <c r="AD736" s="503"/>
      <c r="AE736" s="503"/>
      <c r="AF736" s="503"/>
    </row>
    <row r="737" spans="1:32" ht="15.75" customHeight="1">
      <c r="A737" s="503"/>
      <c r="B737" s="503"/>
      <c r="C737" s="510"/>
      <c r="D737" s="510"/>
      <c r="E737" s="510"/>
      <c r="F737" s="746"/>
      <c r="G737" s="510"/>
      <c r="H737" s="510"/>
      <c r="I737" s="510"/>
      <c r="J737" s="510"/>
      <c r="K737" s="510"/>
      <c r="L737" s="510"/>
      <c r="M737" s="509"/>
      <c r="N737" s="508"/>
      <c r="O737" s="507"/>
      <c r="P737" s="507"/>
      <c r="Q737" s="505"/>
      <c r="R737" s="506"/>
      <c r="S737" s="506"/>
      <c r="T737" s="506"/>
      <c r="U737" s="505"/>
      <c r="V737" s="505"/>
      <c r="W737" s="505"/>
      <c r="X737" s="504"/>
      <c r="Y737" s="503"/>
      <c r="Z737" s="503"/>
      <c r="AA737" s="503"/>
      <c r="AB737" s="503"/>
      <c r="AC737" s="503"/>
      <c r="AD737" s="503"/>
      <c r="AE737" s="503"/>
      <c r="AF737" s="503"/>
    </row>
    <row r="738" spans="1:32" ht="15.75" customHeight="1">
      <c r="A738" s="503"/>
      <c r="B738" s="503"/>
      <c r="C738" s="510"/>
      <c r="D738" s="510"/>
      <c r="E738" s="510"/>
      <c r="F738" s="746"/>
      <c r="G738" s="510"/>
      <c r="H738" s="510"/>
      <c r="I738" s="510"/>
      <c r="J738" s="510"/>
      <c r="K738" s="510"/>
      <c r="L738" s="510"/>
      <c r="M738" s="509"/>
      <c r="N738" s="508"/>
      <c r="O738" s="507"/>
      <c r="P738" s="507"/>
      <c r="Q738" s="505"/>
      <c r="R738" s="506"/>
      <c r="S738" s="506"/>
      <c r="T738" s="506"/>
      <c r="U738" s="505"/>
      <c r="V738" s="505"/>
      <c r="W738" s="505"/>
      <c r="X738" s="504"/>
      <c r="Y738" s="503"/>
      <c r="Z738" s="503"/>
      <c r="AA738" s="503"/>
      <c r="AB738" s="503"/>
      <c r="AC738" s="503"/>
      <c r="AD738" s="503"/>
      <c r="AE738" s="503"/>
      <c r="AF738" s="503"/>
    </row>
    <row r="739" spans="1:32" ht="15.75" customHeight="1">
      <c r="A739" s="503"/>
      <c r="B739" s="503"/>
      <c r="C739" s="510"/>
      <c r="D739" s="510"/>
      <c r="E739" s="510"/>
      <c r="F739" s="746"/>
      <c r="G739" s="510"/>
      <c r="H739" s="510"/>
      <c r="I739" s="510"/>
      <c r="J739" s="510"/>
      <c r="K739" s="510"/>
      <c r="L739" s="510"/>
      <c r="M739" s="509"/>
      <c r="N739" s="508"/>
      <c r="O739" s="507"/>
      <c r="P739" s="507"/>
      <c r="Q739" s="505"/>
      <c r="R739" s="506"/>
      <c r="S739" s="506"/>
      <c r="T739" s="506"/>
      <c r="U739" s="505"/>
      <c r="V739" s="505"/>
      <c r="W739" s="505"/>
      <c r="X739" s="504"/>
      <c r="Y739" s="503"/>
      <c r="Z739" s="503"/>
      <c r="AA739" s="503"/>
      <c r="AB739" s="503"/>
      <c r="AC739" s="503"/>
      <c r="AD739" s="503"/>
      <c r="AE739" s="503"/>
      <c r="AF739" s="503"/>
    </row>
    <row r="740" spans="1:32" ht="15.75" customHeight="1">
      <c r="A740" s="503"/>
      <c r="B740" s="503"/>
      <c r="C740" s="510"/>
      <c r="D740" s="510"/>
      <c r="E740" s="510"/>
      <c r="F740" s="746"/>
      <c r="G740" s="510"/>
      <c r="H740" s="510"/>
      <c r="I740" s="510"/>
      <c r="J740" s="510"/>
      <c r="K740" s="510"/>
      <c r="L740" s="510"/>
      <c r="M740" s="509"/>
      <c r="N740" s="508"/>
      <c r="O740" s="507"/>
      <c r="P740" s="507"/>
      <c r="Q740" s="505"/>
      <c r="R740" s="506"/>
      <c r="S740" s="506"/>
      <c r="T740" s="506"/>
      <c r="U740" s="505"/>
      <c r="V740" s="505"/>
      <c r="W740" s="505"/>
      <c r="X740" s="504"/>
      <c r="Y740" s="503"/>
      <c r="Z740" s="503"/>
      <c r="AA740" s="503"/>
      <c r="AB740" s="503"/>
      <c r="AC740" s="503"/>
      <c r="AD740" s="503"/>
      <c r="AE740" s="503"/>
      <c r="AF740" s="503"/>
    </row>
    <row r="741" spans="1:32" ht="15.75" customHeight="1">
      <c r="A741" s="503"/>
      <c r="B741" s="503"/>
      <c r="C741" s="510"/>
      <c r="D741" s="510"/>
      <c r="E741" s="510"/>
      <c r="F741" s="746"/>
      <c r="G741" s="510"/>
      <c r="H741" s="510"/>
      <c r="I741" s="510"/>
      <c r="J741" s="510"/>
      <c r="K741" s="510"/>
      <c r="L741" s="510"/>
      <c r="M741" s="509"/>
      <c r="N741" s="508"/>
      <c r="O741" s="507"/>
      <c r="P741" s="507"/>
      <c r="Q741" s="505"/>
      <c r="R741" s="506"/>
      <c r="S741" s="506"/>
      <c r="T741" s="506"/>
      <c r="U741" s="505"/>
      <c r="V741" s="505"/>
      <c r="W741" s="505"/>
      <c r="X741" s="504"/>
      <c r="Y741" s="503"/>
      <c r="Z741" s="503"/>
      <c r="AA741" s="503"/>
      <c r="AB741" s="503"/>
      <c r="AC741" s="503"/>
      <c r="AD741" s="503"/>
      <c r="AE741" s="503"/>
      <c r="AF741" s="503"/>
    </row>
    <row r="742" spans="1:32" ht="15.75" customHeight="1">
      <c r="A742" s="503"/>
      <c r="B742" s="503"/>
      <c r="C742" s="510"/>
      <c r="D742" s="510"/>
      <c r="E742" s="510"/>
      <c r="F742" s="746"/>
      <c r="G742" s="510"/>
      <c r="H742" s="510"/>
      <c r="I742" s="510"/>
      <c r="J742" s="510"/>
      <c r="K742" s="510"/>
      <c r="L742" s="510"/>
      <c r="M742" s="509"/>
      <c r="N742" s="508"/>
      <c r="O742" s="507"/>
      <c r="P742" s="507"/>
      <c r="Q742" s="505"/>
      <c r="R742" s="506"/>
      <c r="S742" s="506"/>
      <c r="T742" s="506"/>
      <c r="U742" s="505"/>
      <c r="V742" s="505"/>
      <c r="W742" s="505"/>
      <c r="X742" s="504"/>
      <c r="Y742" s="503"/>
      <c r="Z742" s="503"/>
      <c r="AA742" s="503"/>
      <c r="AB742" s="503"/>
      <c r="AC742" s="503"/>
      <c r="AD742" s="503"/>
      <c r="AE742" s="503"/>
      <c r="AF742" s="503"/>
    </row>
    <row r="743" spans="1:32" ht="15.75" customHeight="1">
      <c r="A743" s="503"/>
      <c r="B743" s="503"/>
      <c r="C743" s="510"/>
      <c r="D743" s="510"/>
      <c r="E743" s="510"/>
      <c r="F743" s="746"/>
      <c r="G743" s="510"/>
      <c r="H743" s="510"/>
      <c r="I743" s="510"/>
      <c r="J743" s="510"/>
      <c r="K743" s="510"/>
      <c r="L743" s="510"/>
      <c r="M743" s="509"/>
      <c r="N743" s="508"/>
      <c r="O743" s="507"/>
      <c r="P743" s="507"/>
      <c r="Q743" s="505"/>
      <c r="R743" s="506"/>
      <c r="S743" s="506"/>
      <c r="T743" s="506"/>
      <c r="U743" s="505"/>
      <c r="V743" s="505"/>
      <c r="W743" s="505"/>
      <c r="X743" s="504"/>
      <c r="Y743" s="503"/>
      <c r="Z743" s="503"/>
      <c r="AA743" s="503"/>
      <c r="AB743" s="503"/>
      <c r="AC743" s="503"/>
      <c r="AD743" s="503"/>
      <c r="AE743" s="503"/>
      <c r="AF743" s="503"/>
    </row>
    <row r="744" spans="1:32" ht="15.75" customHeight="1">
      <c r="A744" s="503"/>
      <c r="B744" s="503"/>
      <c r="C744" s="510"/>
      <c r="D744" s="510"/>
      <c r="E744" s="510"/>
      <c r="F744" s="746"/>
      <c r="G744" s="510"/>
      <c r="H744" s="510"/>
      <c r="I744" s="510"/>
      <c r="J744" s="510"/>
      <c r="K744" s="510"/>
      <c r="L744" s="510"/>
      <c r="M744" s="509"/>
      <c r="N744" s="508"/>
      <c r="O744" s="507"/>
      <c r="P744" s="507"/>
      <c r="Q744" s="505"/>
      <c r="R744" s="506"/>
      <c r="S744" s="506"/>
      <c r="T744" s="506"/>
      <c r="U744" s="505"/>
      <c r="V744" s="505"/>
      <c r="W744" s="505"/>
      <c r="X744" s="504"/>
      <c r="Y744" s="503"/>
      <c r="Z744" s="503"/>
      <c r="AA744" s="503"/>
      <c r="AB744" s="503"/>
      <c r="AC744" s="503"/>
      <c r="AD744" s="503"/>
      <c r="AE744" s="503"/>
      <c r="AF744" s="503"/>
    </row>
    <row r="745" spans="1:32" ht="15.75" customHeight="1">
      <c r="A745" s="503"/>
      <c r="B745" s="503"/>
      <c r="C745" s="510"/>
      <c r="D745" s="510"/>
      <c r="E745" s="510"/>
      <c r="F745" s="746"/>
      <c r="G745" s="510"/>
      <c r="H745" s="510"/>
      <c r="I745" s="510"/>
      <c r="J745" s="510"/>
      <c r="K745" s="510"/>
      <c r="L745" s="510"/>
      <c r="M745" s="509"/>
      <c r="N745" s="508"/>
      <c r="O745" s="507"/>
      <c r="P745" s="507"/>
      <c r="Q745" s="505"/>
      <c r="R745" s="506"/>
      <c r="S745" s="506"/>
      <c r="T745" s="506"/>
      <c r="U745" s="505"/>
      <c r="V745" s="505"/>
      <c r="W745" s="505"/>
      <c r="X745" s="504"/>
      <c r="Y745" s="503"/>
      <c r="Z745" s="503"/>
      <c r="AA745" s="503"/>
      <c r="AB745" s="503"/>
      <c r="AC745" s="503"/>
      <c r="AD745" s="503"/>
      <c r="AE745" s="503"/>
      <c r="AF745" s="503"/>
    </row>
    <row r="746" spans="1:32" ht="15.75" customHeight="1">
      <c r="A746" s="503"/>
      <c r="B746" s="503"/>
      <c r="C746" s="510"/>
      <c r="D746" s="510"/>
      <c r="E746" s="510"/>
      <c r="F746" s="746"/>
      <c r="G746" s="510"/>
      <c r="H746" s="510"/>
      <c r="I746" s="510"/>
      <c r="J746" s="510"/>
      <c r="K746" s="510"/>
      <c r="L746" s="510"/>
      <c r="M746" s="509"/>
      <c r="N746" s="508"/>
      <c r="O746" s="507"/>
      <c r="P746" s="507"/>
      <c r="Q746" s="505"/>
      <c r="R746" s="506"/>
      <c r="S746" s="506"/>
      <c r="T746" s="506"/>
      <c r="U746" s="505"/>
      <c r="V746" s="505"/>
      <c r="W746" s="505"/>
      <c r="X746" s="504"/>
      <c r="Y746" s="503"/>
      <c r="Z746" s="503"/>
      <c r="AA746" s="503"/>
      <c r="AB746" s="503"/>
      <c r="AC746" s="503"/>
      <c r="AD746" s="503"/>
      <c r="AE746" s="503"/>
      <c r="AF746" s="503"/>
    </row>
    <row r="747" spans="1:32" ht="15.75" customHeight="1">
      <c r="A747" s="503"/>
      <c r="B747" s="503"/>
      <c r="C747" s="510"/>
      <c r="D747" s="510"/>
      <c r="E747" s="510"/>
      <c r="F747" s="746"/>
      <c r="G747" s="510"/>
      <c r="H747" s="510"/>
      <c r="I747" s="510"/>
      <c r="J747" s="510"/>
      <c r="K747" s="510"/>
      <c r="L747" s="510"/>
      <c r="M747" s="509"/>
      <c r="N747" s="508"/>
      <c r="O747" s="507"/>
      <c r="P747" s="507"/>
      <c r="Q747" s="505"/>
      <c r="R747" s="506"/>
      <c r="S747" s="506"/>
      <c r="T747" s="506"/>
      <c r="U747" s="505"/>
      <c r="V747" s="505"/>
      <c r="W747" s="505"/>
      <c r="X747" s="504"/>
      <c r="Y747" s="503"/>
      <c r="Z747" s="503"/>
      <c r="AA747" s="503"/>
      <c r="AB747" s="503"/>
      <c r="AC747" s="503"/>
      <c r="AD747" s="503"/>
      <c r="AE747" s="503"/>
      <c r="AF747" s="503"/>
    </row>
    <row r="748" spans="1:32" ht="15.75" customHeight="1">
      <c r="A748" s="503"/>
      <c r="B748" s="503"/>
      <c r="C748" s="510"/>
      <c r="D748" s="510"/>
      <c r="E748" s="510"/>
      <c r="F748" s="746"/>
      <c r="G748" s="510"/>
      <c r="H748" s="510"/>
      <c r="I748" s="510"/>
      <c r="J748" s="510"/>
      <c r="K748" s="510"/>
      <c r="L748" s="510"/>
      <c r="M748" s="509"/>
      <c r="N748" s="508"/>
      <c r="O748" s="507"/>
      <c r="P748" s="507"/>
      <c r="Q748" s="505"/>
      <c r="R748" s="506"/>
      <c r="S748" s="506"/>
      <c r="T748" s="506"/>
      <c r="U748" s="505"/>
      <c r="V748" s="505"/>
      <c r="W748" s="505"/>
      <c r="X748" s="504"/>
      <c r="Y748" s="503"/>
      <c r="Z748" s="503"/>
      <c r="AA748" s="503"/>
      <c r="AB748" s="503"/>
      <c r="AC748" s="503"/>
      <c r="AD748" s="503"/>
      <c r="AE748" s="503"/>
      <c r="AF748" s="503"/>
    </row>
    <row r="749" spans="1:32" ht="15.75" customHeight="1">
      <c r="A749" s="503"/>
      <c r="B749" s="503"/>
      <c r="C749" s="510"/>
      <c r="D749" s="510"/>
      <c r="E749" s="510"/>
      <c r="F749" s="746"/>
      <c r="G749" s="510"/>
      <c r="H749" s="510"/>
      <c r="I749" s="510"/>
      <c r="J749" s="510"/>
      <c r="K749" s="510"/>
      <c r="L749" s="510"/>
      <c r="M749" s="509"/>
      <c r="N749" s="508"/>
      <c r="O749" s="507"/>
      <c r="P749" s="507"/>
      <c r="Q749" s="505"/>
      <c r="R749" s="506"/>
      <c r="S749" s="506"/>
      <c r="T749" s="506"/>
      <c r="U749" s="505"/>
      <c r="V749" s="505"/>
      <c r="W749" s="505"/>
      <c r="X749" s="504"/>
      <c r="Y749" s="503"/>
      <c r="Z749" s="503"/>
      <c r="AA749" s="503"/>
      <c r="AB749" s="503"/>
      <c r="AC749" s="503"/>
      <c r="AD749" s="503"/>
      <c r="AE749" s="503"/>
      <c r="AF749" s="503"/>
    </row>
    <row r="750" spans="1:32" ht="15.75" customHeight="1">
      <c r="A750" s="503"/>
      <c r="B750" s="503"/>
      <c r="C750" s="510"/>
      <c r="D750" s="510"/>
      <c r="E750" s="510"/>
      <c r="F750" s="746"/>
      <c r="G750" s="510"/>
      <c r="H750" s="510"/>
      <c r="I750" s="510"/>
      <c r="J750" s="510"/>
      <c r="K750" s="510"/>
      <c r="L750" s="510"/>
      <c r="M750" s="509"/>
      <c r="N750" s="508"/>
      <c r="O750" s="507"/>
      <c r="P750" s="507"/>
      <c r="Q750" s="505"/>
      <c r="R750" s="506"/>
      <c r="S750" s="506"/>
      <c r="T750" s="506"/>
      <c r="U750" s="505"/>
      <c r="V750" s="505"/>
      <c r="W750" s="505"/>
      <c r="X750" s="504"/>
      <c r="Y750" s="503"/>
      <c r="Z750" s="503"/>
      <c r="AA750" s="503"/>
      <c r="AB750" s="503"/>
      <c r="AC750" s="503"/>
      <c r="AD750" s="503"/>
      <c r="AE750" s="503"/>
      <c r="AF750" s="503"/>
    </row>
    <row r="751" spans="1:32" ht="15.75" customHeight="1">
      <c r="A751" s="503"/>
      <c r="B751" s="503"/>
      <c r="C751" s="510"/>
      <c r="D751" s="510"/>
      <c r="E751" s="510"/>
      <c r="F751" s="746"/>
      <c r="G751" s="510"/>
      <c r="H751" s="510"/>
      <c r="I751" s="510"/>
      <c r="J751" s="510"/>
      <c r="K751" s="510"/>
      <c r="L751" s="510"/>
      <c r="M751" s="509"/>
      <c r="N751" s="508"/>
      <c r="O751" s="507"/>
      <c r="P751" s="507"/>
      <c r="Q751" s="505"/>
      <c r="R751" s="506"/>
      <c r="S751" s="506"/>
      <c r="T751" s="506"/>
      <c r="U751" s="505"/>
      <c r="V751" s="505"/>
      <c r="W751" s="505"/>
      <c r="X751" s="504"/>
      <c r="Y751" s="503"/>
      <c r="Z751" s="503"/>
      <c r="AA751" s="503"/>
      <c r="AB751" s="503"/>
      <c r="AC751" s="503"/>
      <c r="AD751" s="503"/>
      <c r="AE751" s="503"/>
      <c r="AF751" s="503"/>
    </row>
    <row r="752" spans="1:32" ht="15.75" customHeight="1">
      <c r="A752" s="503"/>
      <c r="B752" s="503"/>
      <c r="C752" s="510"/>
      <c r="D752" s="510"/>
      <c r="E752" s="510"/>
      <c r="F752" s="746"/>
      <c r="G752" s="510"/>
      <c r="H752" s="510"/>
      <c r="I752" s="510"/>
      <c r="J752" s="510"/>
      <c r="K752" s="510"/>
      <c r="L752" s="510"/>
      <c r="M752" s="509"/>
      <c r="N752" s="508"/>
      <c r="O752" s="507"/>
      <c r="P752" s="507"/>
      <c r="Q752" s="505"/>
      <c r="R752" s="506"/>
      <c r="S752" s="506"/>
      <c r="T752" s="506"/>
      <c r="U752" s="505"/>
      <c r="V752" s="505"/>
      <c r="W752" s="505"/>
      <c r="X752" s="504"/>
      <c r="Y752" s="503"/>
      <c r="Z752" s="503"/>
      <c r="AA752" s="503"/>
      <c r="AB752" s="503"/>
      <c r="AC752" s="503"/>
      <c r="AD752" s="503"/>
      <c r="AE752" s="503"/>
      <c r="AF752" s="503"/>
    </row>
    <row r="753" spans="1:32" ht="15.75" customHeight="1">
      <c r="A753" s="503"/>
      <c r="B753" s="503"/>
      <c r="C753" s="510"/>
      <c r="D753" s="510"/>
      <c r="E753" s="510"/>
      <c r="F753" s="746"/>
      <c r="G753" s="510"/>
      <c r="H753" s="510"/>
      <c r="I753" s="510"/>
      <c r="J753" s="510"/>
      <c r="K753" s="510"/>
      <c r="L753" s="510"/>
      <c r="M753" s="509"/>
      <c r="N753" s="508"/>
      <c r="O753" s="507"/>
      <c r="P753" s="507"/>
      <c r="Q753" s="505"/>
      <c r="R753" s="506"/>
      <c r="S753" s="506"/>
      <c r="T753" s="506"/>
      <c r="U753" s="505"/>
      <c r="V753" s="505"/>
      <c r="W753" s="505"/>
      <c r="X753" s="504"/>
      <c r="Y753" s="503"/>
      <c r="Z753" s="503"/>
      <c r="AA753" s="503"/>
      <c r="AB753" s="503"/>
      <c r="AC753" s="503"/>
      <c r="AD753" s="503"/>
      <c r="AE753" s="503"/>
      <c r="AF753" s="503"/>
    </row>
    <row r="754" spans="1:32" ht="15.75" customHeight="1">
      <c r="A754" s="503"/>
      <c r="B754" s="503"/>
      <c r="C754" s="510"/>
      <c r="D754" s="510"/>
      <c r="E754" s="510"/>
      <c r="F754" s="746"/>
      <c r="G754" s="510"/>
      <c r="H754" s="510"/>
      <c r="I754" s="510"/>
      <c r="J754" s="510"/>
      <c r="K754" s="510"/>
      <c r="L754" s="510"/>
      <c r="M754" s="509"/>
      <c r="N754" s="508"/>
      <c r="O754" s="507"/>
      <c r="P754" s="507"/>
      <c r="Q754" s="505"/>
      <c r="R754" s="506"/>
      <c r="S754" s="506"/>
      <c r="T754" s="506"/>
      <c r="U754" s="505"/>
      <c r="V754" s="505"/>
      <c r="W754" s="505"/>
      <c r="X754" s="504"/>
      <c r="Y754" s="503"/>
      <c r="Z754" s="503"/>
      <c r="AA754" s="503"/>
      <c r="AB754" s="503"/>
      <c r="AC754" s="503"/>
      <c r="AD754" s="503"/>
      <c r="AE754" s="503"/>
      <c r="AF754" s="503"/>
    </row>
    <row r="755" spans="1:32" ht="15.75" customHeight="1">
      <c r="A755" s="503"/>
      <c r="B755" s="503"/>
      <c r="C755" s="510"/>
      <c r="D755" s="510"/>
      <c r="E755" s="510"/>
      <c r="F755" s="746"/>
      <c r="G755" s="510"/>
      <c r="H755" s="510"/>
      <c r="I755" s="510"/>
      <c r="J755" s="510"/>
      <c r="K755" s="510"/>
      <c r="L755" s="510"/>
      <c r="M755" s="509"/>
      <c r="N755" s="508"/>
      <c r="O755" s="507"/>
      <c r="P755" s="507"/>
      <c r="Q755" s="505"/>
      <c r="R755" s="506"/>
      <c r="S755" s="506"/>
      <c r="T755" s="506"/>
      <c r="U755" s="505"/>
      <c r="V755" s="505"/>
      <c r="W755" s="505"/>
      <c r="X755" s="504"/>
      <c r="Y755" s="503"/>
      <c r="Z755" s="503"/>
      <c r="AA755" s="503"/>
      <c r="AB755" s="503"/>
      <c r="AC755" s="503"/>
      <c r="AD755" s="503"/>
      <c r="AE755" s="503"/>
      <c r="AF755" s="503"/>
    </row>
    <row r="756" spans="1:32" ht="15.75" customHeight="1">
      <c r="A756" s="503"/>
      <c r="B756" s="503"/>
      <c r="C756" s="510"/>
      <c r="D756" s="510"/>
      <c r="E756" s="510"/>
      <c r="F756" s="746"/>
      <c r="G756" s="510"/>
      <c r="H756" s="510"/>
      <c r="I756" s="510"/>
      <c r="J756" s="510"/>
      <c r="K756" s="510"/>
      <c r="L756" s="510"/>
      <c r="M756" s="509"/>
      <c r="N756" s="508"/>
      <c r="O756" s="507"/>
      <c r="P756" s="507"/>
      <c r="Q756" s="505"/>
      <c r="R756" s="506"/>
      <c r="S756" s="506"/>
      <c r="T756" s="506"/>
      <c r="U756" s="505"/>
      <c r="V756" s="505"/>
      <c r="W756" s="505"/>
      <c r="X756" s="504"/>
      <c r="Y756" s="503"/>
      <c r="Z756" s="503"/>
      <c r="AA756" s="503"/>
      <c r="AB756" s="503"/>
      <c r="AC756" s="503"/>
      <c r="AD756" s="503"/>
      <c r="AE756" s="503"/>
      <c r="AF756" s="503"/>
    </row>
    <row r="757" spans="1:32" ht="15.75" customHeight="1">
      <c r="A757" s="503"/>
      <c r="B757" s="503"/>
      <c r="C757" s="510"/>
      <c r="D757" s="510"/>
      <c r="E757" s="510"/>
      <c r="F757" s="746"/>
      <c r="G757" s="510"/>
      <c r="H757" s="510"/>
      <c r="I757" s="510"/>
      <c r="J757" s="510"/>
      <c r="K757" s="510"/>
      <c r="L757" s="510"/>
      <c r="M757" s="509"/>
      <c r="N757" s="508"/>
      <c r="O757" s="507"/>
      <c r="P757" s="507"/>
      <c r="Q757" s="505"/>
      <c r="R757" s="506"/>
      <c r="S757" s="506"/>
      <c r="T757" s="506"/>
      <c r="U757" s="505"/>
      <c r="V757" s="505"/>
      <c r="W757" s="505"/>
      <c r="X757" s="504"/>
      <c r="Y757" s="503"/>
      <c r="Z757" s="503"/>
      <c r="AA757" s="503"/>
      <c r="AB757" s="503"/>
      <c r="AC757" s="503"/>
      <c r="AD757" s="503"/>
      <c r="AE757" s="503"/>
      <c r="AF757" s="503"/>
    </row>
    <row r="758" spans="1:32" ht="15.75" customHeight="1">
      <c r="A758" s="503"/>
      <c r="B758" s="503"/>
      <c r="C758" s="510"/>
      <c r="D758" s="510"/>
      <c r="E758" s="510"/>
      <c r="F758" s="746"/>
      <c r="G758" s="510"/>
      <c r="H758" s="510"/>
      <c r="I758" s="510"/>
      <c r="J758" s="510"/>
      <c r="K758" s="510"/>
      <c r="L758" s="510"/>
      <c r="M758" s="509"/>
      <c r="N758" s="508"/>
      <c r="O758" s="507"/>
      <c r="P758" s="507"/>
      <c r="Q758" s="505"/>
      <c r="R758" s="506"/>
      <c r="S758" s="506"/>
      <c r="T758" s="506"/>
      <c r="U758" s="505"/>
      <c r="V758" s="505"/>
      <c r="W758" s="505"/>
      <c r="X758" s="504"/>
      <c r="Y758" s="503"/>
      <c r="Z758" s="503"/>
      <c r="AA758" s="503"/>
      <c r="AB758" s="503"/>
      <c r="AC758" s="503"/>
      <c r="AD758" s="503"/>
      <c r="AE758" s="503"/>
      <c r="AF758" s="503"/>
    </row>
    <row r="759" spans="1:32" ht="15.75" customHeight="1">
      <c r="A759" s="503"/>
      <c r="B759" s="503"/>
      <c r="C759" s="510"/>
      <c r="D759" s="510"/>
      <c r="E759" s="510"/>
      <c r="F759" s="746"/>
      <c r="G759" s="510"/>
      <c r="H759" s="510"/>
      <c r="I759" s="510"/>
      <c r="J759" s="510"/>
      <c r="K759" s="510"/>
      <c r="L759" s="510"/>
      <c r="M759" s="509"/>
      <c r="N759" s="508"/>
      <c r="O759" s="507"/>
      <c r="P759" s="507"/>
      <c r="Q759" s="505"/>
      <c r="R759" s="506"/>
      <c r="S759" s="506"/>
      <c r="T759" s="506"/>
      <c r="U759" s="505"/>
      <c r="V759" s="505"/>
      <c r="W759" s="505"/>
      <c r="X759" s="504"/>
      <c r="Y759" s="503"/>
      <c r="Z759" s="503"/>
      <c r="AA759" s="503"/>
      <c r="AB759" s="503"/>
      <c r="AC759" s="503"/>
      <c r="AD759" s="503"/>
      <c r="AE759" s="503"/>
      <c r="AF759" s="503"/>
    </row>
    <row r="760" spans="1:32" ht="15.75" customHeight="1">
      <c r="A760" s="503"/>
      <c r="B760" s="503"/>
      <c r="C760" s="510"/>
      <c r="D760" s="510"/>
      <c r="E760" s="510"/>
      <c r="F760" s="746"/>
      <c r="G760" s="510"/>
      <c r="H760" s="510"/>
      <c r="I760" s="510"/>
      <c r="J760" s="510"/>
      <c r="K760" s="510"/>
      <c r="L760" s="510"/>
      <c r="M760" s="509"/>
      <c r="N760" s="508"/>
      <c r="O760" s="507"/>
      <c r="P760" s="507"/>
      <c r="Q760" s="505"/>
      <c r="R760" s="506"/>
      <c r="S760" s="506"/>
      <c r="T760" s="506"/>
      <c r="U760" s="505"/>
      <c r="V760" s="505"/>
      <c r="W760" s="505"/>
      <c r="X760" s="504"/>
      <c r="Y760" s="503"/>
      <c r="Z760" s="503"/>
      <c r="AA760" s="503"/>
      <c r="AB760" s="503"/>
      <c r="AC760" s="503"/>
      <c r="AD760" s="503"/>
      <c r="AE760" s="503"/>
      <c r="AF760" s="503"/>
    </row>
    <row r="761" spans="1:32" ht="15.75" customHeight="1">
      <c r="A761" s="503"/>
      <c r="B761" s="503"/>
      <c r="C761" s="510"/>
      <c r="D761" s="510"/>
      <c r="E761" s="510"/>
      <c r="F761" s="746"/>
      <c r="G761" s="510"/>
      <c r="H761" s="510"/>
      <c r="I761" s="510"/>
      <c r="J761" s="510"/>
      <c r="K761" s="510"/>
      <c r="L761" s="510"/>
      <c r="M761" s="509"/>
      <c r="N761" s="508"/>
      <c r="O761" s="507"/>
      <c r="P761" s="507"/>
      <c r="Q761" s="505"/>
      <c r="R761" s="506"/>
      <c r="S761" s="506"/>
      <c r="T761" s="506"/>
      <c r="U761" s="505"/>
      <c r="V761" s="505"/>
      <c r="W761" s="505"/>
      <c r="X761" s="504"/>
      <c r="Y761" s="503"/>
      <c r="Z761" s="503"/>
      <c r="AA761" s="503"/>
      <c r="AB761" s="503"/>
      <c r="AC761" s="503"/>
      <c r="AD761" s="503"/>
      <c r="AE761" s="503"/>
      <c r="AF761" s="503"/>
    </row>
    <row r="762" spans="1:32" ht="15.75" customHeight="1">
      <c r="A762" s="503"/>
      <c r="B762" s="503"/>
      <c r="C762" s="510"/>
      <c r="D762" s="510"/>
      <c r="E762" s="510"/>
      <c r="F762" s="746"/>
      <c r="G762" s="510"/>
      <c r="H762" s="510"/>
      <c r="I762" s="510"/>
      <c r="J762" s="510"/>
      <c r="K762" s="510"/>
      <c r="L762" s="510"/>
      <c r="M762" s="509"/>
      <c r="N762" s="508"/>
      <c r="O762" s="507"/>
      <c r="P762" s="507"/>
      <c r="Q762" s="505"/>
      <c r="R762" s="506"/>
      <c r="S762" s="506"/>
      <c r="T762" s="506"/>
      <c r="U762" s="505"/>
      <c r="V762" s="505"/>
      <c r="W762" s="505"/>
      <c r="X762" s="504"/>
      <c r="Y762" s="503"/>
      <c r="Z762" s="503"/>
      <c r="AA762" s="503"/>
      <c r="AB762" s="503"/>
      <c r="AC762" s="503"/>
      <c r="AD762" s="503"/>
      <c r="AE762" s="503"/>
      <c r="AF762" s="503"/>
    </row>
    <row r="763" spans="1:32" ht="15.75" customHeight="1">
      <c r="A763" s="503"/>
      <c r="B763" s="503"/>
      <c r="C763" s="510"/>
      <c r="D763" s="510"/>
      <c r="E763" s="510"/>
      <c r="F763" s="746"/>
      <c r="G763" s="510"/>
      <c r="H763" s="510"/>
      <c r="I763" s="510"/>
      <c r="J763" s="510"/>
      <c r="K763" s="510"/>
      <c r="L763" s="510"/>
      <c r="M763" s="509"/>
      <c r="N763" s="508"/>
      <c r="O763" s="507"/>
      <c r="P763" s="507"/>
      <c r="Q763" s="505"/>
      <c r="R763" s="506"/>
      <c r="S763" s="506"/>
      <c r="T763" s="506"/>
      <c r="U763" s="505"/>
      <c r="V763" s="505"/>
      <c r="W763" s="505"/>
      <c r="X763" s="504"/>
      <c r="Y763" s="503"/>
      <c r="Z763" s="503"/>
      <c r="AA763" s="503"/>
      <c r="AB763" s="503"/>
      <c r="AC763" s="503"/>
      <c r="AD763" s="503"/>
      <c r="AE763" s="503"/>
      <c r="AF763" s="503"/>
    </row>
    <row r="764" spans="1:32" ht="15.75" customHeight="1">
      <c r="A764" s="503"/>
      <c r="B764" s="503"/>
      <c r="C764" s="510"/>
      <c r="D764" s="510"/>
      <c r="E764" s="510"/>
      <c r="F764" s="746"/>
      <c r="G764" s="510"/>
      <c r="H764" s="510"/>
      <c r="I764" s="510"/>
      <c r="J764" s="510"/>
      <c r="K764" s="510"/>
      <c r="L764" s="510"/>
      <c r="M764" s="509"/>
      <c r="N764" s="508"/>
      <c r="O764" s="507"/>
      <c r="P764" s="507"/>
      <c r="Q764" s="505"/>
      <c r="R764" s="506"/>
      <c r="S764" s="506"/>
      <c r="T764" s="506"/>
      <c r="U764" s="505"/>
      <c r="V764" s="505"/>
      <c r="W764" s="505"/>
      <c r="X764" s="504"/>
      <c r="Y764" s="503"/>
      <c r="Z764" s="503"/>
      <c r="AA764" s="503"/>
      <c r="AB764" s="503"/>
      <c r="AC764" s="503"/>
      <c r="AD764" s="503"/>
      <c r="AE764" s="503"/>
      <c r="AF764" s="503"/>
    </row>
    <row r="765" spans="1:32" ht="15.75" customHeight="1">
      <c r="A765" s="503"/>
      <c r="B765" s="503"/>
      <c r="C765" s="510"/>
      <c r="D765" s="510"/>
      <c r="E765" s="510"/>
      <c r="F765" s="746"/>
      <c r="G765" s="510"/>
      <c r="H765" s="510"/>
      <c r="I765" s="510"/>
      <c r="J765" s="510"/>
      <c r="K765" s="510"/>
      <c r="L765" s="510"/>
      <c r="M765" s="509"/>
      <c r="N765" s="508"/>
      <c r="O765" s="507"/>
      <c r="P765" s="507"/>
      <c r="Q765" s="505"/>
      <c r="R765" s="506"/>
      <c r="S765" s="506"/>
      <c r="T765" s="506"/>
      <c r="U765" s="505"/>
      <c r="V765" s="505"/>
      <c r="W765" s="505"/>
      <c r="X765" s="504"/>
      <c r="Y765" s="503"/>
      <c r="Z765" s="503"/>
      <c r="AA765" s="503"/>
      <c r="AB765" s="503"/>
      <c r="AC765" s="503"/>
      <c r="AD765" s="503"/>
      <c r="AE765" s="503"/>
      <c r="AF765" s="503"/>
    </row>
    <row r="766" spans="1:32" ht="15.75" customHeight="1">
      <c r="A766" s="503"/>
      <c r="B766" s="503"/>
      <c r="C766" s="510"/>
      <c r="D766" s="510"/>
      <c r="E766" s="510"/>
      <c r="F766" s="746"/>
      <c r="G766" s="510"/>
      <c r="H766" s="510"/>
      <c r="I766" s="510"/>
      <c r="J766" s="510"/>
      <c r="K766" s="510"/>
      <c r="L766" s="510"/>
      <c r="M766" s="509"/>
      <c r="N766" s="508"/>
      <c r="O766" s="507"/>
      <c r="P766" s="507"/>
      <c r="Q766" s="505"/>
      <c r="R766" s="506"/>
      <c r="S766" s="506"/>
      <c r="T766" s="506"/>
      <c r="U766" s="505"/>
      <c r="V766" s="505"/>
      <c r="W766" s="505"/>
      <c r="X766" s="504"/>
      <c r="Y766" s="503"/>
      <c r="Z766" s="503"/>
      <c r="AA766" s="503"/>
      <c r="AB766" s="503"/>
      <c r="AC766" s="503"/>
      <c r="AD766" s="503"/>
      <c r="AE766" s="503"/>
      <c r="AF766" s="503"/>
    </row>
    <row r="767" spans="1:32" ht="15.75" customHeight="1">
      <c r="A767" s="503"/>
      <c r="B767" s="503"/>
      <c r="C767" s="510"/>
      <c r="D767" s="510"/>
      <c r="E767" s="510"/>
      <c r="F767" s="746"/>
      <c r="G767" s="510"/>
      <c r="H767" s="510"/>
      <c r="I767" s="510"/>
      <c r="J767" s="510"/>
      <c r="K767" s="510"/>
      <c r="L767" s="510"/>
      <c r="M767" s="509"/>
      <c r="N767" s="508"/>
      <c r="O767" s="507"/>
      <c r="P767" s="507"/>
      <c r="Q767" s="505"/>
      <c r="R767" s="506"/>
      <c r="S767" s="506"/>
      <c r="T767" s="506"/>
      <c r="U767" s="505"/>
      <c r="V767" s="505"/>
      <c r="W767" s="505"/>
      <c r="X767" s="504"/>
      <c r="Y767" s="503"/>
      <c r="Z767" s="503"/>
      <c r="AA767" s="503"/>
      <c r="AB767" s="503"/>
      <c r="AC767" s="503"/>
      <c r="AD767" s="503"/>
      <c r="AE767" s="503"/>
      <c r="AF767" s="503"/>
    </row>
    <row r="768" spans="1:32" ht="15.75" customHeight="1">
      <c r="A768" s="503"/>
      <c r="B768" s="503"/>
      <c r="C768" s="510"/>
      <c r="D768" s="510"/>
      <c r="E768" s="510"/>
      <c r="F768" s="746"/>
      <c r="G768" s="510"/>
      <c r="H768" s="510"/>
      <c r="I768" s="510"/>
      <c r="J768" s="510"/>
      <c r="K768" s="510"/>
      <c r="L768" s="510"/>
      <c r="M768" s="509"/>
      <c r="N768" s="508"/>
      <c r="O768" s="507"/>
      <c r="P768" s="507"/>
      <c r="Q768" s="505"/>
      <c r="R768" s="506"/>
      <c r="S768" s="506"/>
      <c r="T768" s="506"/>
      <c r="U768" s="505"/>
      <c r="V768" s="505"/>
      <c r="W768" s="505"/>
      <c r="X768" s="504"/>
      <c r="Y768" s="503"/>
      <c r="Z768" s="503"/>
      <c r="AA768" s="503"/>
      <c r="AB768" s="503"/>
      <c r="AC768" s="503"/>
      <c r="AD768" s="503"/>
      <c r="AE768" s="503"/>
      <c r="AF768" s="503"/>
    </row>
    <row r="769" spans="1:32" ht="15.75" customHeight="1">
      <c r="A769" s="503"/>
      <c r="B769" s="503"/>
      <c r="C769" s="510"/>
      <c r="D769" s="510"/>
      <c r="E769" s="510"/>
      <c r="F769" s="746"/>
      <c r="G769" s="510"/>
      <c r="H769" s="510"/>
      <c r="I769" s="510"/>
      <c r="J769" s="510"/>
      <c r="K769" s="510"/>
      <c r="L769" s="510"/>
      <c r="M769" s="509"/>
      <c r="N769" s="508"/>
      <c r="O769" s="507"/>
      <c r="P769" s="507"/>
      <c r="Q769" s="505"/>
      <c r="R769" s="506"/>
      <c r="S769" s="506"/>
      <c r="T769" s="506"/>
      <c r="U769" s="505"/>
      <c r="V769" s="505"/>
      <c r="W769" s="505"/>
      <c r="X769" s="504"/>
      <c r="Y769" s="503"/>
      <c r="Z769" s="503"/>
      <c r="AA769" s="503"/>
      <c r="AB769" s="503"/>
      <c r="AC769" s="503"/>
      <c r="AD769" s="503"/>
      <c r="AE769" s="503"/>
      <c r="AF769" s="503"/>
    </row>
    <row r="770" spans="1:32" ht="15.75" customHeight="1">
      <c r="A770" s="503"/>
      <c r="B770" s="503"/>
      <c r="C770" s="510"/>
      <c r="D770" s="510"/>
      <c r="E770" s="510"/>
      <c r="F770" s="746"/>
      <c r="G770" s="510"/>
      <c r="H770" s="510"/>
      <c r="I770" s="510"/>
      <c r="J770" s="510"/>
      <c r="K770" s="510"/>
      <c r="L770" s="510"/>
      <c r="M770" s="509"/>
      <c r="N770" s="508"/>
      <c r="O770" s="507"/>
      <c r="P770" s="507"/>
      <c r="Q770" s="505"/>
      <c r="R770" s="506"/>
      <c r="S770" s="506"/>
      <c r="T770" s="506"/>
      <c r="U770" s="505"/>
      <c r="V770" s="505"/>
      <c r="W770" s="505"/>
      <c r="X770" s="504"/>
      <c r="Y770" s="503"/>
      <c r="Z770" s="503"/>
      <c r="AA770" s="503"/>
      <c r="AB770" s="503"/>
      <c r="AC770" s="503"/>
      <c r="AD770" s="503"/>
      <c r="AE770" s="503"/>
      <c r="AF770" s="503"/>
    </row>
    <row r="771" spans="1:32" ht="15.75" customHeight="1">
      <c r="A771" s="503"/>
      <c r="B771" s="503"/>
      <c r="C771" s="510"/>
      <c r="D771" s="510"/>
      <c r="E771" s="510"/>
      <c r="F771" s="746"/>
      <c r="G771" s="510"/>
      <c r="H771" s="510"/>
      <c r="I771" s="510"/>
      <c r="J771" s="510"/>
      <c r="K771" s="510"/>
      <c r="L771" s="510"/>
      <c r="M771" s="509"/>
      <c r="N771" s="508"/>
      <c r="O771" s="507"/>
      <c r="P771" s="507"/>
      <c r="Q771" s="505"/>
      <c r="R771" s="506"/>
      <c r="S771" s="506"/>
      <c r="T771" s="506"/>
      <c r="U771" s="505"/>
      <c r="V771" s="505"/>
      <c r="W771" s="505"/>
      <c r="X771" s="504"/>
      <c r="Y771" s="503"/>
      <c r="Z771" s="503"/>
      <c r="AA771" s="503"/>
      <c r="AB771" s="503"/>
      <c r="AC771" s="503"/>
      <c r="AD771" s="503"/>
      <c r="AE771" s="503"/>
      <c r="AF771" s="503"/>
    </row>
    <row r="772" spans="1:32" ht="15.75" customHeight="1">
      <c r="A772" s="503"/>
      <c r="B772" s="503"/>
      <c r="C772" s="510"/>
      <c r="D772" s="510"/>
      <c r="E772" s="510"/>
      <c r="F772" s="746"/>
      <c r="G772" s="510"/>
      <c r="H772" s="510"/>
      <c r="I772" s="510"/>
      <c r="J772" s="510"/>
      <c r="K772" s="510"/>
      <c r="L772" s="510"/>
      <c r="M772" s="509"/>
      <c r="N772" s="508"/>
      <c r="O772" s="507"/>
      <c r="P772" s="507"/>
      <c r="Q772" s="505"/>
      <c r="R772" s="506"/>
      <c r="S772" s="506"/>
      <c r="T772" s="506"/>
      <c r="U772" s="505"/>
      <c r="V772" s="505"/>
      <c r="W772" s="505"/>
      <c r="X772" s="504"/>
      <c r="Y772" s="503"/>
      <c r="Z772" s="503"/>
      <c r="AA772" s="503"/>
      <c r="AB772" s="503"/>
      <c r="AC772" s="503"/>
      <c r="AD772" s="503"/>
      <c r="AE772" s="503"/>
      <c r="AF772" s="503"/>
    </row>
    <row r="773" spans="1:32" ht="15.75" customHeight="1">
      <c r="A773" s="503"/>
      <c r="B773" s="503"/>
      <c r="C773" s="510"/>
      <c r="D773" s="510"/>
      <c r="E773" s="510"/>
      <c r="F773" s="746"/>
      <c r="G773" s="510"/>
      <c r="H773" s="510"/>
      <c r="I773" s="510"/>
      <c r="J773" s="510"/>
      <c r="K773" s="510"/>
      <c r="L773" s="510"/>
      <c r="M773" s="509"/>
      <c r="N773" s="508"/>
      <c r="O773" s="507"/>
      <c r="P773" s="507"/>
      <c r="Q773" s="505"/>
      <c r="R773" s="506"/>
      <c r="S773" s="506"/>
      <c r="T773" s="506"/>
      <c r="U773" s="505"/>
      <c r="V773" s="505"/>
      <c r="W773" s="505"/>
      <c r="X773" s="504"/>
      <c r="Y773" s="503"/>
      <c r="Z773" s="503"/>
      <c r="AA773" s="503"/>
      <c r="AB773" s="503"/>
      <c r="AC773" s="503"/>
      <c r="AD773" s="503"/>
      <c r="AE773" s="503"/>
      <c r="AF773" s="503"/>
    </row>
    <row r="774" spans="1:32" ht="15.75" customHeight="1">
      <c r="A774" s="503"/>
      <c r="B774" s="503"/>
      <c r="C774" s="510"/>
      <c r="D774" s="510"/>
      <c r="E774" s="510"/>
      <c r="F774" s="746"/>
      <c r="G774" s="510"/>
      <c r="H774" s="510"/>
      <c r="I774" s="510"/>
      <c r="J774" s="510"/>
      <c r="K774" s="510"/>
      <c r="L774" s="510"/>
      <c r="M774" s="509"/>
      <c r="N774" s="508"/>
      <c r="O774" s="507"/>
      <c r="P774" s="507"/>
      <c r="Q774" s="505"/>
      <c r="R774" s="506"/>
      <c r="S774" s="506"/>
      <c r="T774" s="506"/>
      <c r="U774" s="505"/>
      <c r="V774" s="505"/>
      <c r="W774" s="505"/>
      <c r="X774" s="504"/>
      <c r="Y774" s="503"/>
      <c r="Z774" s="503"/>
      <c r="AA774" s="503"/>
      <c r="AB774" s="503"/>
      <c r="AC774" s="503"/>
      <c r="AD774" s="503"/>
      <c r="AE774" s="503"/>
      <c r="AF774" s="503"/>
    </row>
    <row r="775" spans="1:32" ht="15.75" customHeight="1">
      <c r="A775" s="503"/>
      <c r="B775" s="503"/>
      <c r="C775" s="510"/>
      <c r="D775" s="510"/>
      <c r="E775" s="510"/>
      <c r="F775" s="746"/>
      <c r="G775" s="510"/>
      <c r="H775" s="510"/>
      <c r="I775" s="510"/>
      <c r="J775" s="510"/>
      <c r="K775" s="510"/>
      <c r="L775" s="510"/>
      <c r="M775" s="509"/>
      <c r="N775" s="508"/>
      <c r="O775" s="507"/>
      <c r="P775" s="507"/>
      <c r="Q775" s="505"/>
      <c r="R775" s="506"/>
      <c r="S775" s="506"/>
      <c r="T775" s="506"/>
      <c r="U775" s="505"/>
      <c r="V775" s="505"/>
      <c r="W775" s="505"/>
      <c r="X775" s="504"/>
      <c r="Y775" s="503"/>
      <c r="Z775" s="503"/>
      <c r="AA775" s="503"/>
      <c r="AB775" s="503"/>
      <c r="AC775" s="503"/>
      <c r="AD775" s="503"/>
      <c r="AE775" s="503"/>
      <c r="AF775" s="503"/>
    </row>
    <row r="776" spans="1:32" ht="15.75" customHeight="1">
      <c r="A776" s="503"/>
      <c r="B776" s="503"/>
      <c r="C776" s="510"/>
      <c r="D776" s="510"/>
      <c r="E776" s="510"/>
      <c r="F776" s="746"/>
      <c r="G776" s="510"/>
      <c r="H776" s="510"/>
      <c r="I776" s="510"/>
      <c r="J776" s="510"/>
      <c r="K776" s="510"/>
      <c r="L776" s="510"/>
      <c r="M776" s="509"/>
      <c r="N776" s="508"/>
      <c r="O776" s="507"/>
      <c r="P776" s="507"/>
      <c r="Q776" s="505"/>
      <c r="R776" s="506"/>
      <c r="S776" s="506"/>
      <c r="T776" s="506"/>
      <c r="U776" s="505"/>
      <c r="V776" s="505"/>
      <c r="W776" s="505"/>
      <c r="X776" s="504"/>
      <c r="Y776" s="503"/>
      <c r="Z776" s="503"/>
      <c r="AA776" s="503"/>
      <c r="AB776" s="503"/>
      <c r="AC776" s="503"/>
      <c r="AD776" s="503"/>
      <c r="AE776" s="503"/>
      <c r="AF776" s="503"/>
    </row>
    <row r="777" spans="1:32" ht="15.75" customHeight="1">
      <c r="A777" s="503"/>
      <c r="B777" s="503"/>
      <c r="C777" s="510"/>
      <c r="D777" s="510"/>
      <c r="E777" s="510"/>
      <c r="F777" s="746"/>
      <c r="G777" s="510"/>
      <c r="H777" s="510"/>
      <c r="I777" s="510"/>
      <c r="J777" s="510"/>
      <c r="K777" s="510"/>
      <c r="L777" s="510"/>
      <c r="M777" s="509"/>
      <c r="N777" s="508"/>
      <c r="O777" s="507"/>
      <c r="P777" s="507"/>
      <c r="Q777" s="505"/>
      <c r="R777" s="506"/>
      <c r="S777" s="506"/>
      <c r="T777" s="506"/>
      <c r="U777" s="505"/>
      <c r="V777" s="505"/>
      <c r="W777" s="505"/>
      <c r="X777" s="504"/>
      <c r="Y777" s="503"/>
      <c r="Z777" s="503"/>
      <c r="AA777" s="503"/>
      <c r="AB777" s="503"/>
      <c r="AC777" s="503"/>
      <c r="AD777" s="503"/>
      <c r="AE777" s="503"/>
      <c r="AF777" s="503"/>
    </row>
    <row r="778" spans="1:32" ht="15.75" customHeight="1">
      <c r="A778" s="503"/>
      <c r="B778" s="503"/>
      <c r="C778" s="510"/>
      <c r="D778" s="510"/>
      <c r="E778" s="510"/>
      <c r="F778" s="746"/>
      <c r="G778" s="510"/>
      <c r="H778" s="510"/>
      <c r="I778" s="510"/>
      <c r="J778" s="510"/>
      <c r="K778" s="510"/>
      <c r="L778" s="510"/>
      <c r="M778" s="509"/>
      <c r="N778" s="508"/>
      <c r="O778" s="507"/>
      <c r="P778" s="507"/>
      <c r="Q778" s="505"/>
      <c r="R778" s="506"/>
      <c r="S778" s="506"/>
      <c r="T778" s="506"/>
      <c r="U778" s="505"/>
      <c r="V778" s="505"/>
      <c r="W778" s="505"/>
      <c r="X778" s="504"/>
      <c r="Y778" s="503"/>
      <c r="Z778" s="503"/>
      <c r="AA778" s="503"/>
      <c r="AB778" s="503"/>
      <c r="AC778" s="503"/>
      <c r="AD778" s="503"/>
      <c r="AE778" s="503"/>
      <c r="AF778" s="503"/>
    </row>
    <row r="779" spans="1:32" ht="15.75" customHeight="1">
      <c r="A779" s="503"/>
      <c r="B779" s="503"/>
      <c r="C779" s="510"/>
      <c r="D779" s="510"/>
      <c r="E779" s="510"/>
      <c r="F779" s="746"/>
      <c r="G779" s="510"/>
      <c r="H779" s="510"/>
      <c r="I779" s="510"/>
      <c r="J779" s="510"/>
      <c r="K779" s="510"/>
      <c r="L779" s="510"/>
      <c r="M779" s="509"/>
      <c r="N779" s="508"/>
      <c r="O779" s="507"/>
      <c r="P779" s="507"/>
      <c r="Q779" s="505"/>
      <c r="R779" s="506"/>
      <c r="S779" s="506"/>
      <c r="T779" s="506"/>
      <c r="U779" s="505"/>
      <c r="V779" s="505"/>
      <c r="W779" s="505"/>
      <c r="X779" s="504"/>
      <c r="Y779" s="503"/>
      <c r="Z779" s="503"/>
      <c r="AA779" s="503"/>
      <c r="AB779" s="503"/>
      <c r="AC779" s="503"/>
      <c r="AD779" s="503"/>
      <c r="AE779" s="503"/>
      <c r="AF779" s="503"/>
    </row>
    <row r="780" spans="1:32" ht="15.75" customHeight="1">
      <c r="A780" s="503"/>
      <c r="B780" s="503"/>
      <c r="C780" s="510"/>
      <c r="D780" s="510"/>
      <c r="E780" s="510"/>
      <c r="F780" s="746"/>
      <c r="G780" s="510"/>
      <c r="H780" s="510"/>
      <c r="I780" s="510"/>
      <c r="J780" s="510"/>
      <c r="K780" s="510"/>
      <c r="L780" s="510"/>
      <c r="M780" s="509"/>
      <c r="N780" s="508"/>
      <c r="O780" s="507"/>
      <c r="P780" s="507"/>
      <c r="Q780" s="505"/>
      <c r="R780" s="506"/>
      <c r="S780" s="506"/>
      <c r="T780" s="506"/>
      <c r="U780" s="505"/>
      <c r="V780" s="505"/>
      <c r="W780" s="505"/>
      <c r="X780" s="504"/>
      <c r="Y780" s="503"/>
      <c r="Z780" s="503"/>
      <c r="AA780" s="503"/>
      <c r="AB780" s="503"/>
      <c r="AC780" s="503"/>
      <c r="AD780" s="503"/>
      <c r="AE780" s="503"/>
      <c r="AF780" s="503"/>
    </row>
    <row r="781" spans="1:32" ht="15.75" customHeight="1">
      <c r="A781" s="503"/>
      <c r="B781" s="503"/>
      <c r="C781" s="510"/>
      <c r="D781" s="510"/>
      <c r="E781" s="510"/>
      <c r="F781" s="746"/>
      <c r="G781" s="510"/>
      <c r="H781" s="510"/>
      <c r="I781" s="510"/>
      <c r="J781" s="510"/>
      <c r="K781" s="510"/>
      <c r="L781" s="510"/>
      <c r="M781" s="509"/>
      <c r="N781" s="508"/>
      <c r="O781" s="507"/>
      <c r="P781" s="507"/>
      <c r="Q781" s="505"/>
      <c r="R781" s="506"/>
      <c r="S781" s="506"/>
      <c r="T781" s="506"/>
      <c r="U781" s="505"/>
      <c r="V781" s="505"/>
      <c r="W781" s="505"/>
      <c r="X781" s="504"/>
      <c r="Y781" s="503"/>
      <c r="Z781" s="503"/>
      <c r="AA781" s="503"/>
      <c r="AB781" s="503"/>
      <c r="AC781" s="503"/>
      <c r="AD781" s="503"/>
      <c r="AE781" s="503"/>
      <c r="AF781" s="503"/>
    </row>
    <row r="782" spans="1:32" ht="15.75" customHeight="1">
      <c r="A782" s="503"/>
      <c r="B782" s="503"/>
      <c r="C782" s="510"/>
      <c r="D782" s="510"/>
      <c r="E782" s="510"/>
      <c r="F782" s="746"/>
      <c r="G782" s="510"/>
      <c r="H782" s="510"/>
      <c r="I782" s="510"/>
      <c r="J782" s="510"/>
      <c r="K782" s="510"/>
      <c r="L782" s="510"/>
      <c r="M782" s="509"/>
      <c r="N782" s="508"/>
      <c r="O782" s="507"/>
      <c r="P782" s="507"/>
      <c r="Q782" s="505"/>
      <c r="R782" s="506"/>
      <c r="S782" s="506"/>
      <c r="T782" s="506"/>
      <c r="U782" s="505"/>
      <c r="V782" s="505"/>
      <c r="W782" s="505"/>
      <c r="X782" s="504"/>
      <c r="Y782" s="503"/>
      <c r="Z782" s="503"/>
      <c r="AA782" s="503"/>
      <c r="AB782" s="503"/>
      <c r="AC782" s="503"/>
      <c r="AD782" s="503"/>
      <c r="AE782" s="503"/>
      <c r="AF782" s="503"/>
    </row>
    <row r="783" spans="1:32" ht="15.75" customHeight="1">
      <c r="A783" s="503"/>
      <c r="B783" s="503"/>
      <c r="C783" s="510"/>
      <c r="D783" s="510"/>
      <c r="E783" s="510"/>
      <c r="F783" s="746"/>
      <c r="G783" s="510"/>
      <c r="H783" s="510"/>
      <c r="I783" s="510"/>
      <c r="J783" s="510"/>
      <c r="K783" s="510"/>
      <c r="L783" s="510"/>
      <c r="M783" s="509"/>
      <c r="N783" s="508"/>
      <c r="O783" s="507"/>
      <c r="P783" s="507"/>
      <c r="Q783" s="505"/>
      <c r="R783" s="506"/>
      <c r="S783" s="506"/>
      <c r="T783" s="506"/>
      <c r="U783" s="505"/>
      <c r="V783" s="505"/>
      <c r="W783" s="505"/>
      <c r="X783" s="504"/>
      <c r="Y783" s="503"/>
      <c r="Z783" s="503"/>
      <c r="AA783" s="503"/>
      <c r="AB783" s="503"/>
      <c r="AC783" s="503"/>
      <c r="AD783" s="503"/>
      <c r="AE783" s="503"/>
      <c r="AF783" s="503"/>
    </row>
    <row r="784" spans="1:32" ht="15.75" customHeight="1">
      <c r="A784" s="503"/>
      <c r="B784" s="503"/>
      <c r="C784" s="510"/>
      <c r="D784" s="510"/>
      <c r="E784" s="510"/>
      <c r="F784" s="746"/>
      <c r="G784" s="510"/>
      <c r="H784" s="510"/>
      <c r="I784" s="510"/>
      <c r="J784" s="510"/>
      <c r="K784" s="510"/>
      <c r="L784" s="510"/>
      <c r="M784" s="509"/>
      <c r="N784" s="508"/>
      <c r="O784" s="507"/>
      <c r="P784" s="507"/>
      <c r="Q784" s="505"/>
      <c r="R784" s="506"/>
      <c r="S784" s="506"/>
      <c r="T784" s="506"/>
      <c r="U784" s="505"/>
      <c r="V784" s="505"/>
      <c r="W784" s="505"/>
      <c r="X784" s="504"/>
      <c r="Y784" s="503"/>
      <c r="Z784" s="503"/>
      <c r="AA784" s="503"/>
      <c r="AB784" s="503"/>
      <c r="AC784" s="503"/>
      <c r="AD784" s="503"/>
      <c r="AE784" s="503"/>
      <c r="AF784" s="503"/>
    </row>
    <row r="785" spans="1:32" ht="15.75" customHeight="1">
      <c r="A785" s="503"/>
      <c r="B785" s="503"/>
      <c r="C785" s="510"/>
      <c r="D785" s="510"/>
      <c r="E785" s="510"/>
      <c r="F785" s="746"/>
      <c r="G785" s="510"/>
      <c r="H785" s="510"/>
      <c r="I785" s="510"/>
      <c r="J785" s="510"/>
      <c r="K785" s="510"/>
      <c r="L785" s="510"/>
      <c r="M785" s="509"/>
      <c r="N785" s="508"/>
      <c r="O785" s="507"/>
      <c r="P785" s="507"/>
      <c r="Q785" s="505"/>
      <c r="R785" s="506"/>
      <c r="S785" s="506"/>
      <c r="T785" s="506"/>
      <c r="U785" s="505"/>
      <c r="V785" s="505"/>
      <c r="W785" s="505"/>
      <c r="X785" s="504"/>
      <c r="Y785" s="503"/>
      <c r="Z785" s="503"/>
      <c r="AA785" s="503"/>
      <c r="AB785" s="503"/>
      <c r="AC785" s="503"/>
      <c r="AD785" s="503"/>
      <c r="AE785" s="503"/>
      <c r="AF785" s="503"/>
    </row>
    <row r="786" spans="1:32" ht="15.75" customHeight="1">
      <c r="A786" s="503"/>
      <c r="B786" s="503"/>
      <c r="C786" s="510"/>
      <c r="D786" s="510"/>
      <c r="E786" s="510"/>
      <c r="F786" s="746"/>
      <c r="G786" s="510"/>
      <c r="H786" s="510"/>
      <c r="I786" s="510"/>
      <c r="J786" s="510"/>
      <c r="K786" s="510"/>
      <c r="L786" s="510"/>
      <c r="M786" s="509"/>
      <c r="N786" s="508"/>
      <c r="O786" s="507"/>
      <c r="P786" s="507"/>
      <c r="Q786" s="505"/>
      <c r="R786" s="506"/>
      <c r="S786" s="506"/>
      <c r="T786" s="506"/>
      <c r="U786" s="505"/>
      <c r="V786" s="505"/>
      <c r="W786" s="505"/>
      <c r="X786" s="504"/>
      <c r="Y786" s="503"/>
      <c r="Z786" s="503"/>
      <c r="AA786" s="503"/>
      <c r="AB786" s="503"/>
      <c r="AC786" s="503"/>
      <c r="AD786" s="503"/>
      <c r="AE786" s="503"/>
      <c r="AF786" s="503"/>
    </row>
    <row r="787" spans="1:32" ht="15.75" customHeight="1">
      <c r="A787" s="503"/>
      <c r="B787" s="503"/>
      <c r="C787" s="510"/>
      <c r="D787" s="510"/>
      <c r="E787" s="510"/>
      <c r="F787" s="746"/>
      <c r="G787" s="510"/>
      <c r="H787" s="510"/>
      <c r="I787" s="510"/>
      <c r="J787" s="510"/>
      <c r="K787" s="510"/>
      <c r="L787" s="510"/>
      <c r="M787" s="509"/>
      <c r="N787" s="508"/>
      <c r="O787" s="507"/>
      <c r="P787" s="507"/>
      <c r="Q787" s="505"/>
      <c r="R787" s="506"/>
      <c r="S787" s="506"/>
      <c r="T787" s="506"/>
      <c r="U787" s="505"/>
      <c r="V787" s="505"/>
      <c r="W787" s="505"/>
      <c r="X787" s="504"/>
      <c r="Y787" s="503"/>
      <c r="Z787" s="503"/>
      <c r="AA787" s="503"/>
      <c r="AB787" s="503"/>
      <c r="AC787" s="503"/>
      <c r="AD787" s="503"/>
      <c r="AE787" s="503"/>
      <c r="AF787" s="503"/>
    </row>
    <row r="788" spans="1:32" ht="15.75" customHeight="1">
      <c r="A788" s="503"/>
      <c r="B788" s="503"/>
      <c r="C788" s="510"/>
      <c r="D788" s="510"/>
      <c r="E788" s="510"/>
      <c r="F788" s="746"/>
      <c r="G788" s="510"/>
      <c r="H788" s="510"/>
      <c r="I788" s="510"/>
      <c r="J788" s="510"/>
      <c r="K788" s="510"/>
      <c r="L788" s="510"/>
      <c r="M788" s="509"/>
      <c r="N788" s="508"/>
      <c r="O788" s="507"/>
      <c r="P788" s="507"/>
      <c r="Q788" s="505"/>
      <c r="R788" s="506"/>
      <c r="S788" s="506"/>
      <c r="T788" s="506"/>
      <c r="U788" s="505"/>
      <c r="V788" s="505"/>
      <c r="W788" s="505"/>
      <c r="X788" s="504"/>
      <c r="Y788" s="503"/>
      <c r="Z788" s="503"/>
      <c r="AA788" s="503"/>
      <c r="AB788" s="503"/>
      <c r="AC788" s="503"/>
      <c r="AD788" s="503"/>
      <c r="AE788" s="503"/>
      <c r="AF788" s="503"/>
    </row>
    <row r="789" spans="1:32" ht="15.75" customHeight="1">
      <c r="A789" s="503"/>
      <c r="B789" s="503"/>
      <c r="C789" s="510"/>
      <c r="D789" s="510"/>
      <c r="E789" s="510"/>
      <c r="F789" s="746"/>
      <c r="G789" s="510"/>
      <c r="H789" s="510"/>
      <c r="I789" s="510"/>
      <c r="J789" s="510"/>
      <c r="K789" s="510"/>
      <c r="L789" s="510"/>
      <c r="M789" s="509"/>
      <c r="N789" s="508"/>
      <c r="O789" s="507"/>
      <c r="P789" s="507"/>
      <c r="Q789" s="505"/>
      <c r="R789" s="506"/>
      <c r="S789" s="506"/>
      <c r="T789" s="506"/>
      <c r="U789" s="505"/>
      <c r="V789" s="505"/>
      <c r="W789" s="505"/>
      <c r="X789" s="504"/>
      <c r="Y789" s="503"/>
      <c r="Z789" s="503"/>
      <c r="AA789" s="503"/>
      <c r="AB789" s="503"/>
      <c r="AC789" s="503"/>
      <c r="AD789" s="503"/>
      <c r="AE789" s="503"/>
      <c r="AF789" s="503"/>
    </row>
    <row r="790" spans="1:32" ht="15.75" customHeight="1">
      <c r="A790" s="503"/>
      <c r="B790" s="503"/>
      <c r="C790" s="510"/>
      <c r="D790" s="510"/>
      <c r="E790" s="510"/>
      <c r="F790" s="746"/>
      <c r="G790" s="510"/>
      <c r="H790" s="510"/>
      <c r="I790" s="510"/>
      <c r="J790" s="510"/>
      <c r="K790" s="510"/>
      <c r="L790" s="510"/>
      <c r="M790" s="509"/>
      <c r="N790" s="508"/>
      <c r="O790" s="507"/>
      <c r="P790" s="507"/>
      <c r="Q790" s="505"/>
      <c r="R790" s="506"/>
      <c r="S790" s="506"/>
      <c r="T790" s="506"/>
      <c r="U790" s="505"/>
      <c r="V790" s="505"/>
      <c r="W790" s="505"/>
      <c r="X790" s="504"/>
      <c r="Y790" s="503"/>
      <c r="Z790" s="503"/>
      <c r="AA790" s="503"/>
      <c r="AB790" s="503"/>
      <c r="AC790" s="503"/>
      <c r="AD790" s="503"/>
      <c r="AE790" s="503"/>
      <c r="AF790" s="503"/>
    </row>
    <row r="791" spans="1:32" ht="15.75" customHeight="1">
      <c r="A791" s="503"/>
      <c r="B791" s="503"/>
      <c r="C791" s="510"/>
      <c r="D791" s="510"/>
      <c r="E791" s="510"/>
      <c r="F791" s="746"/>
      <c r="G791" s="510"/>
      <c r="H791" s="510"/>
      <c r="I791" s="510"/>
      <c r="J791" s="510"/>
      <c r="K791" s="510"/>
      <c r="L791" s="510"/>
      <c r="M791" s="509"/>
      <c r="N791" s="508"/>
      <c r="O791" s="507"/>
      <c r="P791" s="507"/>
      <c r="Q791" s="505"/>
      <c r="R791" s="506"/>
      <c r="S791" s="506"/>
      <c r="T791" s="506"/>
      <c r="U791" s="505"/>
      <c r="V791" s="505"/>
      <c r="W791" s="505"/>
      <c r="X791" s="504"/>
      <c r="Y791" s="503"/>
      <c r="Z791" s="503"/>
      <c r="AA791" s="503"/>
      <c r="AB791" s="503"/>
      <c r="AC791" s="503"/>
      <c r="AD791" s="503"/>
      <c r="AE791" s="503"/>
      <c r="AF791" s="503"/>
    </row>
    <row r="792" spans="1:32" ht="15.75" customHeight="1">
      <c r="A792" s="503"/>
      <c r="B792" s="503"/>
      <c r="C792" s="510"/>
      <c r="D792" s="510"/>
      <c r="E792" s="510"/>
      <c r="F792" s="746"/>
      <c r="G792" s="510"/>
      <c r="H792" s="510"/>
      <c r="I792" s="510"/>
      <c r="J792" s="510"/>
      <c r="K792" s="510"/>
      <c r="L792" s="510"/>
      <c r="M792" s="509"/>
      <c r="N792" s="508"/>
      <c r="O792" s="507"/>
      <c r="P792" s="507"/>
      <c r="Q792" s="505"/>
      <c r="R792" s="506"/>
      <c r="S792" s="506"/>
      <c r="T792" s="506"/>
      <c r="U792" s="505"/>
      <c r="V792" s="505"/>
      <c r="W792" s="505"/>
      <c r="X792" s="504"/>
      <c r="Y792" s="503"/>
      <c r="Z792" s="503"/>
      <c r="AA792" s="503"/>
      <c r="AB792" s="503"/>
      <c r="AC792" s="503"/>
      <c r="AD792" s="503"/>
      <c r="AE792" s="503"/>
      <c r="AF792" s="503"/>
    </row>
    <row r="793" spans="1:32" ht="15.75" customHeight="1">
      <c r="A793" s="503"/>
      <c r="B793" s="503"/>
      <c r="C793" s="510"/>
      <c r="D793" s="510"/>
      <c r="E793" s="510"/>
      <c r="F793" s="746"/>
      <c r="G793" s="510"/>
      <c r="H793" s="510"/>
      <c r="I793" s="510"/>
      <c r="J793" s="510"/>
      <c r="K793" s="510"/>
      <c r="L793" s="510"/>
      <c r="M793" s="509"/>
      <c r="N793" s="508"/>
      <c r="O793" s="507"/>
      <c r="P793" s="507"/>
      <c r="Q793" s="505"/>
      <c r="R793" s="506"/>
      <c r="S793" s="506"/>
      <c r="T793" s="506"/>
      <c r="U793" s="505"/>
      <c r="V793" s="505"/>
      <c r="W793" s="505"/>
      <c r="X793" s="504"/>
      <c r="Y793" s="503"/>
      <c r="Z793" s="503"/>
      <c r="AA793" s="503"/>
      <c r="AB793" s="503"/>
      <c r="AC793" s="503"/>
      <c r="AD793" s="503"/>
      <c r="AE793" s="503"/>
      <c r="AF793" s="503"/>
    </row>
    <row r="794" spans="1:32" ht="15.75" customHeight="1">
      <c r="A794" s="503"/>
      <c r="B794" s="503"/>
      <c r="C794" s="510"/>
      <c r="D794" s="510"/>
      <c r="E794" s="510"/>
      <c r="F794" s="746"/>
      <c r="G794" s="510"/>
      <c r="H794" s="510"/>
      <c r="I794" s="510"/>
      <c r="J794" s="510"/>
      <c r="K794" s="510"/>
      <c r="L794" s="510"/>
      <c r="M794" s="509"/>
      <c r="N794" s="508"/>
      <c r="O794" s="507"/>
      <c r="P794" s="507"/>
      <c r="Q794" s="505"/>
      <c r="R794" s="506"/>
      <c r="S794" s="506"/>
      <c r="T794" s="506"/>
      <c r="U794" s="505"/>
      <c r="V794" s="505"/>
      <c r="W794" s="505"/>
      <c r="X794" s="504"/>
      <c r="Y794" s="503"/>
      <c r="Z794" s="503"/>
      <c r="AA794" s="503"/>
      <c r="AB794" s="503"/>
      <c r="AC794" s="503"/>
      <c r="AD794" s="503"/>
      <c r="AE794" s="503"/>
      <c r="AF794" s="503"/>
    </row>
    <row r="795" spans="1:32" ht="15.75" customHeight="1">
      <c r="A795" s="503"/>
      <c r="B795" s="503"/>
      <c r="C795" s="510"/>
      <c r="D795" s="510"/>
      <c r="E795" s="510"/>
      <c r="F795" s="746"/>
      <c r="G795" s="510"/>
      <c r="H795" s="510"/>
      <c r="I795" s="510"/>
      <c r="J795" s="510"/>
      <c r="K795" s="510"/>
      <c r="L795" s="510"/>
      <c r="M795" s="509"/>
      <c r="N795" s="508"/>
      <c r="O795" s="507"/>
      <c r="P795" s="507"/>
      <c r="Q795" s="505"/>
      <c r="R795" s="506"/>
      <c r="S795" s="506"/>
      <c r="T795" s="506"/>
      <c r="U795" s="505"/>
      <c r="V795" s="505"/>
      <c r="W795" s="505"/>
      <c r="X795" s="504"/>
      <c r="Y795" s="503"/>
      <c r="Z795" s="503"/>
      <c r="AA795" s="503"/>
      <c r="AB795" s="503"/>
      <c r="AC795" s="503"/>
      <c r="AD795" s="503"/>
      <c r="AE795" s="503"/>
      <c r="AF795" s="503"/>
    </row>
    <row r="796" spans="1:32" ht="15.75" customHeight="1">
      <c r="A796" s="503"/>
      <c r="B796" s="503"/>
      <c r="C796" s="510"/>
      <c r="D796" s="510"/>
      <c r="E796" s="510"/>
      <c r="F796" s="746"/>
      <c r="G796" s="510"/>
      <c r="H796" s="510"/>
      <c r="I796" s="510"/>
      <c r="J796" s="510"/>
      <c r="K796" s="510"/>
      <c r="L796" s="510"/>
      <c r="M796" s="509"/>
      <c r="N796" s="508"/>
      <c r="O796" s="507"/>
      <c r="P796" s="507"/>
      <c r="Q796" s="505"/>
      <c r="R796" s="506"/>
      <c r="S796" s="506"/>
      <c r="T796" s="506"/>
      <c r="U796" s="505"/>
      <c r="V796" s="505"/>
      <c r="W796" s="505"/>
      <c r="X796" s="504"/>
      <c r="Y796" s="503"/>
      <c r="Z796" s="503"/>
      <c r="AA796" s="503"/>
      <c r="AB796" s="503"/>
      <c r="AC796" s="503"/>
      <c r="AD796" s="503"/>
      <c r="AE796" s="503"/>
      <c r="AF796" s="503"/>
    </row>
    <row r="797" spans="1:32" ht="15.75" customHeight="1">
      <c r="A797" s="503"/>
      <c r="B797" s="503"/>
      <c r="C797" s="510"/>
      <c r="D797" s="510"/>
      <c r="E797" s="510"/>
      <c r="F797" s="746"/>
      <c r="G797" s="510"/>
      <c r="H797" s="510"/>
      <c r="I797" s="510"/>
      <c r="J797" s="510"/>
      <c r="K797" s="510"/>
      <c r="L797" s="510"/>
      <c r="M797" s="509"/>
      <c r="N797" s="508"/>
      <c r="O797" s="507"/>
      <c r="P797" s="507"/>
      <c r="Q797" s="505"/>
      <c r="R797" s="506"/>
      <c r="S797" s="506"/>
      <c r="T797" s="506"/>
      <c r="U797" s="505"/>
      <c r="V797" s="505"/>
      <c r="W797" s="505"/>
      <c r="X797" s="504"/>
      <c r="Y797" s="503"/>
      <c r="Z797" s="503"/>
      <c r="AA797" s="503"/>
      <c r="AB797" s="503"/>
      <c r="AC797" s="503"/>
      <c r="AD797" s="503"/>
      <c r="AE797" s="503"/>
      <c r="AF797" s="503"/>
    </row>
    <row r="798" spans="1:32" ht="15.75" customHeight="1">
      <c r="A798" s="503"/>
      <c r="B798" s="503"/>
      <c r="C798" s="510"/>
      <c r="D798" s="510"/>
      <c r="E798" s="510"/>
      <c r="F798" s="746"/>
      <c r="G798" s="510"/>
      <c r="H798" s="510"/>
      <c r="I798" s="510"/>
      <c r="J798" s="510"/>
      <c r="K798" s="510"/>
      <c r="L798" s="510"/>
      <c r="M798" s="509"/>
      <c r="N798" s="508"/>
      <c r="O798" s="507"/>
      <c r="P798" s="507"/>
      <c r="Q798" s="505"/>
      <c r="R798" s="506"/>
      <c r="S798" s="506"/>
      <c r="T798" s="506"/>
      <c r="U798" s="505"/>
      <c r="V798" s="505"/>
      <c r="W798" s="505"/>
      <c r="X798" s="504"/>
      <c r="Y798" s="503"/>
      <c r="Z798" s="503"/>
      <c r="AA798" s="503"/>
      <c r="AB798" s="503"/>
      <c r="AC798" s="503"/>
      <c r="AD798" s="503"/>
      <c r="AE798" s="503"/>
      <c r="AF798" s="503"/>
    </row>
    <row r="799" spans="1:32" ht="15.75" customHeight="1">
      <c r="A799" s="503"/>
      <c r="B799" s="503"/>
      <c r="C799" s="510"/>
      <c r="D799" s="510"/>
      <c r="E799" s="510"/>
      <c r="F799" s="746"/>
      <c r="G799" s="510"/>
      <c r="H799" s="510"/>
      <c r="I799" s="510"/>
      <c r="J799" s="510"/>
      <c r="K799" s="510"/>
      <c r="L799" s="510"/>
      <c r="M799" s="509"/>
      <c r="N799" s="508"/>
      <c r="O799" s="507"/>
      <c r="P799" s="507"/>
      <c r="Q799" s="505"/>
      <c r="R799" s="506"/>
      <c r="S799" s="506"/>
      <c r="T799" s="506"/>
      <c r="U799" s="505"/>
      <c r="V799" s="505"/>
      <c r="W799" s="505"/>
      <c r="X799" s="504"/>
      <c r="Y799" s="503"/>
      <c r="Z799" s="503"/>
      <c r="AA799" s="503"/>
      <c r="AB799" s="503"/>
      <c r="AC799" s="503"/>
      <c r="AD799" s="503"/>
      <c r="AE799" s="503"/>
      <c r="AF799" s="503"/>
    </row>
    <row r="800" spans="1:32" ht="15.75" customHeight="1">
      <c r="A800" s="503"/>
      <c r="B800" s="503"/>
      <c r="C800" s="510"/>
      <c r="D800" s="510"/>
      <c r="E800" s="510"/>
      <c r="F800" s="746"/>
      <c r="G800" s="510"/>
      <c r="H800" s="510"/>
      <c r="I800" s="510"/>
      <c r="J800" s="510"/>
      <c r="K800" s="510"/>
      <c r="L800" s="510"/>
      <c r="M800" s="509"/>
      <c r="N800" s="508"/>
      <c r="O800" s="507"/>
      <c r="P800" s="507"/>
      <c r="Q800" s="505"/>
      <c r="R800" s="506"/>
      <c r="S800" s="506"/>
      <c r="T800" s="506"/>
      <c r="U800" s="505"/>
      <c r="V800" s="505"/>
      <c r="W800" s="505"/>
      <c r="X800" s="504"/>
      <c r="Y800" s="503"/>
      <c r="Z800" s="503"/>
      <c r="AA800" s="503"/>
      <c r="AB800" s="503"/>
      <c r="AC800" s="503"/>
      <c r="AD800" s="503"/>
      <c r="AE800" s="503"/>
      <c r="AF800" s="503"/>
    </row>
    <row r="801" spans="1:32" ht="15.75" customHeight="1">
      <c r="A801" s="503"/>
      <c r="B801" s="503"/>
      <c r="C801" s="510"/>
      <c r="D801" s="510"/>
      <c r="E801" s="510"/>
      <c r="F801" s="746"/>
      <c r="G801" s="510"/>
      <c r="H801" s="510"/>
      <c r="I801" s="510"/>
      <c r="J801" s="510"/>
      <c r="K801" s="510"/>
      <c r="L801" s="510"/>
      <c r="M801" s="509"/>
      <c r="N801" s="508"/>
      <c r="O801" s="507"/>
      <c r="P801" s="507"/>
      <c r="Q801" s="505"/>
      <c r="R801" s="506"/>
      <c r="S801" s="506"/>
      <c r="T801" s="506"/>
      <c r="U801" s="505"/>
      <c r="V801" s="505"/>
      <c r="W801" s="505"/>
      <c r="X801" s="504"/>
      <c r="Y801" s="503"/>
      <c r="Z801" s="503"/>
      <c r="AA801" s="503"/>
      <c r="AB801" s="503"/>
      <c r="AC801" s="503"/>
      <c r="AD801" s="503"/>
      <c r="AE801" s="503"/>
      <c r="AF801" s="503"/>
    </row>
    <row r="802" spans="1:32" ht="15.75" customHeight="1">
      <c r="A802" s="503"/>
      <c r="B802" s="503"/>
      <c r="C802" s="510"/>
      <c r="D802" s="510"/>
      <c r="E802" s="510"/>
      <c r="F802" s="746"/>
      <c r="G802" s="510"/>
      <c r="H802" s="510"/>
      <c r="I802" s="510"/>
      <c r="J802" s="510"/>
      <c r="K802" s="510"/>
      <c r="L802" s="510"/>
      <c r="M802" s="509"/>
      <c r="N802" s="508"/>
      <c r="O802" s="507"/>
      <c r="P802" s="507"/>
      <c r="Q802" s="505"/>
      <c r="R802" s="506"/>
      <c r="S802" s="506"/>
      <c r="T802" s="506"/>
      <c r="U802" s="505"/>
      <c r="V802" s="505"/>
      <c r="W802" s="505"/>
      <c r="X802" s="504"/>
      <c r="Y802" s="503"/>
      <c r="Z802" s="503"/>
      <c r="AA802" s="503"/>
      <c r="AB802" s="503"/>
      <c r="AC802" s="503"/>
      <c r="AD802" s="503"/>
      <c r="AE802" s="503"/>
      <c r="AF802" s="503"/>
    </row>
    <row r="803" spans="1:32" ht="15.75" customHeight="1">
      <c r="A803" s="503"/>
      <c r="B803" s="503"/>
      <c r="C803" s="510"/>
      <c r="D803" s="510"/>
      <c r="E803" s="510"/>
      <c r="F803" s="746"/>
      <c r="G803" s="510"/>
      <c r="H803" s="510"/>
      <c r="I803" s="510"/>
      <c r="J803" s="510"/>
      <c r="K803" s="510"/>
      <c r="L803" s="510"/>
      <c r="M803" s="509"/>
      <c r="N803" s="508"/>
      <c r="O803" s="507"/>
      <c r="P803" s="507"/>
      <c r="Q803" s="505"/>
      <c r="R803" s="506"/>
      <c r="S803" s="506"/>
      <c r="T803" s="506"/>
      <c r="U803" s="505"/>
      <c r="V803" s="505"/>
      <c r="W803" s="505"/>
      <c r="X803" s="504"/>
      <c r="Y803" s="503"/>
      <c r="Z803" s="503"/>
      <c r="AA803" s="503"/>
      <c r="AB803" s="503"/>
      <c r="AC803" s="503"/>
      <c r="AD803" s="503"/>
      <c r="AE803" s="503"/>
      <c r="AF803" s="503"/>
    </row>
    <row r="804" spans="1:32" ht="15.75" customHeight="1">
      <c r="A804" s="503"/>
      <c r="B804" s="503"/>
      <c r="C804" s="510"/>
      <c r="D804" s="510"/>
      <c r="E804" s="510"/>
      <c r="F804" s="746"/>
      <c r="G804" s="510"/>
      <c r="H804" s="510"/>
      <c r="I804" s="510"/>
      <c r="J804" s="510"/>
      <c r="K804" s="510"/>
      <c r="L804" s="510"/>
      <c r="M804" s="509"/>
      <c r="N804" s="508"/>
      <c r="O804" s="507"/>
      <c r="P804" s="507"/>
      <c r="Q804" s="505"/>
      <c r="R804" s="506"/>
      <c r="S804" s="506"/>
      <c r="T804" s="506"/>
      <c r="U804" s="505"/>
      <c r="V804" s="505"/>
      <c r="W804" s="505"/>
      <c r="X804" s="504"/>
      <c r="Y804" s="503"/>
      <c r="Z804" s="503"/>
      <c r="AA804" s="503"/>
      <c r="AB804" s="503"/>
      <c r="AC804" s="503"/>
      <c r="AD804" s="503"/>
      <c r="AE804" s="503"/>
      <c r="AF804" s="503"/>
    </row>
    <row r="805" spans="1:32" ht="15.75" customHeight="1">
      <c r="A805" s="503"/>
      <c r="B805" s="503"/>
      <c r="C805" s="510"/>
      <c r="D805" s="510"/>
      <c r="E805" s="510"/>
      <c r="F805" s="746"/>
      <c r="G805" s="510"/>
      <c r="H805" s="510"/>
      <c r="I805" s="510"/>
      <c r="J805" s="510"/>
      <c r="K805" s="510"/>
      <c r="L805" s="510"/>
      <c r="M805" s="509"/>
      <c r="N805" s="508"/>
      <c r="O805" s="507"/>
      <c r="P805" s="507"/>
      <c r="Q805" s="505"/>
      <c r="R805" s="506"/>
      <c r="S805" s="506"/>
      <c r="T805" s="506"/>
      <c r="U805" s="505"/>
      <c r="V805" s="505"/>
      <c r="W805" s="505"/>
      <c r="X805" s="504"/>
      <c r="Y805" s="503"/>
      <c r="Z805" s="503"/>
      <c r="AA805" s="503"/>
      <c r="AB805" s="503"/>
      <c r="AC805" s="503"/>
      <c r="AD805" s="503"/>
      <c r="AE805" s="503"/>
      <c r="AF805" s="503"/>
    </row>
    <row r="806" spans="1:32" ht="15.75" customHeight="1">
      <c r="A806" s="503"/>
      <c r="B806" s="503"/>
      <c r="C806" s="510"/>
      <c r="D806" s="510"/>
      <c r="E806" s="510"/>
      <c r="F806" s="746"/>
      <c r="G806" s="510"/>
      <c r="H806" s="510"/>
      <c r="I806" s="510"/>
      <c r="J806" s="510"/>
      <c r="K806" s="510"/>
      <c r="L806" s="510"/>
      <c r="M806" s="509"/>
      <c r="N806" s="508"/>
      <c r="O806" s="507"/>
      <c r="P806" s="507"/>
      <c r="Q806" s="505"/>
      <c r="R806" s="506"/>
      <c r="S806" s="506"/>
      <c r="T806" s="506"/>
      <c r="U806" s="505"/>
      <c r="V806" s="505"/>
      <c r="W806" s="505"/>
      <c r="X806" s="504"/>
      <c r="Y806" s="503"/>
      <c r="Z806" s="503"/>
      <c r="AA806" s="503"/>
      <c r="AB806" s="503"/>
      <c r="AC806" s="503"/>
      <c r="AD806" s="503"/>
      <c r="AE806" s="503"/>
      <c r="AF806" s="503"/>
    </row>
    <row r="807" spans="1:32" ht="15.75" customHeight="1">
      <c r="A807" s="503"/>
      <c r="B807" s="503"/>
      <c r="C807" s="510"/>
      <c r="D807" s="510"/>
      <c r="E807" s="510"/>
      <c r="F807" s="746"/>
      <c r="G807" s="510"/>
      <c r="H807" s="510"/>
      <c r="I807" s="510"/>
      <c r="J807" s="510"/>
      <c r="K807" s="510"/>
      <c r="L807" s="510"/>
      <c r="M807" s="509"/>
      <c r="N807" s="508"/>
      <c r="O807" s="507"/>
      <c r="P807" s="507"/>
      <c r="Q807" s="505"/>
      <c r="R807" s="506"/>
      <c r="S807" s="506"/>
      <c r="T807" s="506"/>
      <c r="U807" s="505"/>
      <c r="V807" s="505"/>
      <c r="W807" s="505"/>
      <c r="X807" s="504"/>
      <c r="Y807" s="503"/>
      <c r="Z807" s="503"/>
      <c r="AA807" s="503"/>
      <c r="AB807" s="503"/>
      <c r="AC807" s="503"/>
      <c r="AD807" s="503"/>
      <c r="AE807" s="503"/>
      <c r="AF807" s="503"/>
    </row>
    <row r="808" spans="1:32" ht="15.75" customHeight="1">
      <c r="A808" s="503"/>
      <c r="B808" s="503"/>
      <c r="C808" s="510"/>
      <c r="D808" s="510"/>
      <c r="E808" s="510"/>
      <c r="F808" s="746"/>
      <c r="G808" s="510"/>
      <c r="H808" s="510"/>
      <c r="I808" s="510"/>
      <c r="J808" s="510"/>
      <c r="K808" s="510"/>
      <c r="L808" s="510"/>
      <c r="M808" s="509"/>
      <c r="N808" s="508"/>
      <c r="O808" s="507"/>
      <c r="P808" s="507"/>
      <c r="Q808" s="505"/>
      <c r="R808" s="506"/>
      <c r="S808" s="506"/>
      <c r="T808" s="506"/>
      <c r="U808" s="505"/>
      <c r="V808" s="505"/>
      <c r="W808" s="505"/>
      <c r="X808" s="504"/>
      <c r="Y808" s="503"/>
      <c r="Z808" s="503"/>
      <c r="AA808" s="503"/>
      <c r="AB808" s="503"/>
      <c r="AC808" s="503"/>
      <c r="AD808" s="503"/>
      <c r="AE808" s="503"/>
      <c r="AF808" s="503"/>
    </row>
    <row r="809" spans="1:32" ht="15.75" customHeight="1">
      <c r="A809" s="503"/>
      <c r="B809" s="503"/>
      <c r="C809" s="510"/>
      <c r="D809" s="510"/>
      <c r="E809" s="510"/>
      <c r="F809" s="746"/>
      <c r="G809" s="510"/>
      <c r="H809" s="510"/>
      <c r="I809" s="510"/>
      <c r="J809" s="510"/>
      <c r="K809" s="510"/>
      <c r="L809" s="510"/>
      <c r="M809" s="509"/>
      <c r="N809" s="508"/>
      <c r="O809" s="507"/>
      <c r="P809" s="507"/>
      <c r="Q809" s="505"/>
      <c r="R809" s="506"/>
      <c r="S809" s="506"/>
      <c r="T809" s="506"/>
      <c r="U809" s="505"/>
      <c r="V809" s="505"/>
      <c r="W809" s="505"/>
      <c r="X809" s="504"/>
      <c r="Y809" s="503"/>
      <c r="Z809" s="503"/>
      <c r="AA809" s="503"/>
      <c r="AB809" s="503"/>
      <c r="AC809" s="503"/>
      <c r="AD809" s="503"/>
      <c r="AE809" s="503"/>
      <c r="AF809" s="503"/>
    </row>
    <row r="810" spans="1:32" ht="15.75" customHeight="1">
      <c r="A810" s="503"/>
      <c r="B810" s="503"/>
      <c r="C810" s="510"/>
      <c r="D810" s="510"/>
      <c r="E810" s="510"/>
      <c r="F810" s="746"/>
      <c r="G810" s="510"/>
      <c r="H810" s="510"/>
      <c r="I810" s="510"/>
      <c r="J810" s="510"/>
      <c r="K810" s="510"/>
      <c r="L810" s="510"/>
      <c r="M810" s="509"/>
      <c r="N810" s="508"/>
      <c r="O810" s="507"/>
      <c r="P810" s="507"/>
      <c r="Q810" s="505"/>
      <c r="R810" s="506"/>
      <c r="S810" s="506"/>
      <c r="T810" s="506"/>
      <c r="U810" s="505"/>
      <c r="V810" s="505"/>
      <c r="W810" s="505"/>
      <c r="X810" s="504"/>
      <c r="Y810" s="503"/>
      <c r="Z810" s="503"/>
      <c r="AA810" s="503"/>
      <c r="AB810" s="503"/>
      <c r="AC810" s="503"/>
      <c r="AD810" s="503"/>
      <c r="AE810" s="503"/>
      <c r="AF810" s="503"/>
    </row>
    <row r="811" spans="1:32" ht="15.75" customHeight="1">
      <c r="A811" s="503"/>
      <c r="B811" s="503"/>
      <c r="C811" s="510"/>
      <c r="D811" s="510"/>
      <c r="E811" s="510"/>
      <c r="F811" s="746"/>
      <c r="G811" s="510"/>
      <c r="H811" s="510"/>
      <c r="I811" s="510"/>
      <c r="J811" s="510"/>
      <c r="K811" s="510"/>
      <c r="L811" s="510"/>
      <c r="M811" s="509"/>
      <c r="N811" s="508"/>
      <c r="O811" s="507"/>
      <c r="P811" s="507"/>
      <c r="Q811" s="505"/>
      <c r="R811" s="506"/>
      <c r="S811" s="506"/>
      <c r="T811" s="506"/>
      <c r="U811" s="505"/>
      <c r="V811" s="505"/>
      <c r="W811" s="505"/>
      <c r="X811" s="504"/>
      <c r="Y811" s="503"/>
      <c r="Z811" s="503"/>
      <c r="AA811" s="503"/>
      <c r="AB811" s="503"/>
      <c r="AC811" s="503"/>
      <c r="AD811" s="503"/>
      <c r="AE811" s="503"/>
      <c r="AF811" s="503"/>
    </row>
    <row r="812" spans="1:32" ht="15.75" customHeight="1">
      <c r="A812" s="503"/>
      <c r="B812" s="503"/>
      <c r="C812" s="510"/>
      <c r="D812" s="510"/>
      <c r="E812" s="510"/>
      <c r="F812" s="746"/>
      <c r="G812" s="510"/>
      <c r="H812" s="510"/>
      <c r="I812" s="510"/>
      <c r="J812" s="510"/>
      <c r="K812" s="510"/>
      <c r="L812" s="510"/>
      <c r="M812" s="509"/>
      <c r="N812" s="508"/>
      <c r="O812" s="507"/>
      <c r="P812" s="507"/>
      <c r="Q812" s="505"/>
      <c r="R812" s="506"/>
      <c r="S812" s="506"/>
      <c r="T812" s="506"/>
      <c r="U812" s="505"/>
      <c r="V812" s="505"/>
      <c r="W812" s="505"/>
      <c r="X812" s="504"/>
      <c r="Y812" s="503"/>
      <c r="Z812" s="503"/>
      <c r="AA812" s="503"/>
      <c r="AB812" s="503"/>
      <c r="AC812" s="503"/>
      <c r="AD812" s="503"/>
      <c r="AE812" s="503"/>
      <c r="AF812" s="503"/>
    </row>
    <row r="813" spans="1:32" ht="15.75" customHeight="1">
      <c r="A813" s="503"/>
      <c r="B813" s="503"/>
      <c r="C813" s="510"/>
      <c r="D813" s="510"/>
      <c r="E813" s="510"/>
      <c r="F813" s="746"/>
      <c r="G813" s="510"/>
      <c r="H813" s="510"/>
      <c r="I813" s="510"/>
      <c r="J813" s="510"/>
      <c r="K813" s="510"/>
      <c r="L813" s="510"/>
      <c r="M813" s="509"/>
      <c r="N813" s="508"/>
      <c r="O813" s="507"/>
      <c r="P813" s="507"/>
      <c r="Q813" s="505"/>
      <c r="R813" s="506"/>
      <c r="S813" s="506"/>
      <c r="T813" s="506"/>
      <c r="U813" s="505"/>
      <c r="V813" s="505"/>
      <c r="W813" s="505"/>
      <c r="X813" s="504"/>
      <c r="Y813" s="503"/>
      <c r="Z813" s="503"/>
      <c r="AA813" s="503"/>
      <c r="AB813" s="503"/>
      <c r="AC813" s="503"/>
      <c r="AD813" s="503"/>
      <c r="AE813" s="503"/>
      <c r="AF813" s="503"/>
    </row>
    <row r="814" spans="1:32" ht="15.75" customHeight="1">
      <c r="A814" s="503"/>
      <c r="B814" s="503"/>
      <c r="C814" s="510"/>
      <c r="D814" s="510"/>
      <c r="E814" s="510"/>
      <c r="F814" s="746"/>
      <c r="G814" s="510"/>
      <c r="H814" s="510"/>
      <c r="I814" s="510"/>
      <c r="J814" s="510"/>
      <c r="K814" s="510"/>
      <c r="L814" s="510"/>
      <c r="M814" s="509"/>
      <c r="N814" s="508"/>
      <c r="O814" s="507"/>
      <c r="P814" s="507"/>
      <c r="Q814" s="505"/>
      <c r="R814" s="506"/>
      <c r="S814" s="506"/>
      <c r="T814" s="506"/>
      <c r="U814" s="505"/>
      <c r="V814" s="505"/>
      <c r="W814" s="505"/>
      <c r="X814" s="504"/>
      <c r="Y814" s="503"/>
      <c r="Z814" s="503"/>
      <c r="AA814" s="503"/>
      <c r="AB814" s="503"/>
      <c r="AC814" s="503"/>
      <c r="AD814" s="503"/>
      <c r="AE814" s="503"/>
      <c r="AF814" s="503"/>
    </row>
    <row r="815" spans="1:32" ht="15.75" customHeight="1">
      <c r="A815" s="503"/>
      <c r="B815" s="503"/>
      <c r="C815" s="510"/>
      <c r="D815" s="510"/>
      <c r="E815" s="510"/>
      <c r="F815" s="746"/>
      <c r="G815" s="510"/>
      <c r="H815" s="510"/>
      <c r="I815" s="510"/>
      <c r="J815" s="510"/>
      <c r="K815" s="510"/>
      <c r="L815" s="510"/>
      <c r="M815" s="509"/>
      <c r="N815" s="508"/>
      <c r="O815" s="507"/>
      <c r="P815" s="507"/>
      <c r="Q815" s="505"/>
      <c r="R815" s="506"/>
      <c r="S815" s="506"/>
      <c r="T815" s="506"/>
      <c r="U815" s="505"/>
      <c r="V815" s="505"/>
      <c r="W815" s="505"/>
      <c r="X815" s="504"/>
      <c r="Y815" s="503"/>
      <c r="Z815" s="503"/>
      <c r="AA815" s="503"/>
      <c r="AB815" s="503"/>
      <c r="AC815" s="503"/>
      <c r="AD815" s="503"/>
      <c r="AE815" s="503"/>
      <c r="AF815" s="503"/>
    </row>
    <row r="816" spans="1:32" ht="15.75" customHeight="1">
      <c r="A816" s="503"/>
      <c r="B816" s="503"/>
      <c r="C816" s="510"/>
      <c r="D816" s="510"/>
      <c r="E816" s="510"/>
      <c r="F816" s="746"/>
      <c r="G816" s="510"/>
      <c r="H816" s="510"/>
      <c r="I816" s="510"/>
      <c r="J816" s="510"/>
      <c r="K816" s="510"/>
      <c r="L816" s="510"/>
      <c r="M816" s="509"/>
      <c r="N816" s="508"/>
      <c r="O816" s="507"/>
      <c r="P816" s="507"/>
      <c r="Q816" s="505"/>
      <c r="R816" s="506"/>
      <c r="S816" s="506"/>
      <c r="T816" s="506"/>
      <c r="U816" s="505"/>
      <c r="V816" s="505"/>
      <c r="W816" s="505"/>
      <c r="X816" s="504"/>
      <c r="Y816" s="503"/>
      <c r="Z816" s="503"/>
      <c r="AA816" s="503"/>
      <c r="AB816" s="503"/>
      <c r="AC816" s="503"/>
      <c r="AD816" s="503"/>
      <c r="AE816" s="503"/>
      <c r="AF816" s="503"/>
    </row>
    <row r="817" spans="1:32" ht="15.75" customHeight="1">
      <c r="A817" s="503"/>
      <c r="B817" s="503"/>
      <c r="C817" s="510"/>
      <c r="D817" s="510"/>
      <c r="E817" s="510"/>
      <c r="F817" s="746"/>
      <c r="G817" s="510"/>
      <c r="H817" s="510"/>
      <c r="I817" s="510"/>
      <c r="J817" s="510"/>
      <c r="K817" s="510"/>
      <c r="L817" s="510"/>
      <c r="M817" s="509"/>
      <c r="N817" s="508"/>
      <c r="O817" s="507"/>
      <c r="P817" s="507"/>
      <c r="Q817" s="505"/>
      <c r="R817" s="506"/>
      <c r="S817" s="506"/>
      <c r="T817" s="506"/>
      <c r="U817" s="505"/>
      <c r="V817" s="505"/>
      <c r="W817" s="505"/>
      <c r="X817" s="504"/>
      <c r="Y817" s="503"/>
      <c r="Z817" s="503"/>
      <c r="AA817" s="503"/>
      <c r="AB817" s="503"/>
      <c r="AC817" s="503"/>
      <c r="AD817" s="503"/>
      <c r="AE817" s="503"/>
      <c r="AF817" s="503"/>
    </row>
    <row r="818" spans="1:32" ht="15.75" customHeight="1">
      <c r="A818" s="503"/>
      <c r="B818" s="503"/>
      <c r="C818" s="510"/>
      <c r="D818" s="510"/>
      <c r="E818" s="510"/>
      <c r="F818" s="746"/>
      <c r="G818" s="510"/>
      <c r="H818" s="510"/>
      <c r="I818" s="510"/>
      <c r="J818" s="510"/>
      <c r="K818" s="510"/>
      <c r="L818" s="510"/>
      <c r="M818" s="509"/>
      <c r="N818" s="508"/>
      <c r="O818" s="507"/>
      <c r="P818" s="507"/>
      <c r="Q818" s="505"/>
      <c r="R818" s="506"/>
      <c r="S818" s="506"/>
      <c r="T818" s="506"/>
      <c r="U818" s="505"/>
      <c r="V818" s="505"/>
      <c r="W818" s="505"/>
      <c r="X818" s="504"/>
      <c r="Y818" s="503"/>
      <c r="Z818" s="503"/>
      <c r="AA818" s="503"/>
      <c r="AB818" s="503"/>
      <c r="AC818" s="503"/>
      <c r="AD818" s="503"/>
      <c r="AE818" s="503"/>
      <c r="AF818" s="503"/>
    </row>
    <row r="819" spans="1:32" ht="15.75" customHeight="1">
      <c r="A819" s="503"/>
      <c r="B819" s="503"/>
      <c r="C819" s="510"/>
      <c r="D819" s="510"/>
      <c r="E819" s="510"/>
      <c r="F819" s="746"/>
      <c r="G819" s="510"/>
      <c r="H819" s="510"/>
      <c r="I819" s="510"/>
      <c r="J819" s="510"/>
      <c r="K819" s="510"/>
      <c r="L819" s="510"/>
      <c r="M819" s="509"/>
      <c r="N819" s="508"/>
      <c r="O819" s="507"/>
      <c r="P819" s="507"/>
      <c r="Q819" s="505"/>
      <c r="R819" s="506"/>
      <c r="S819" s="506"/>
      <c r="T819" s="506"/>
      <c r="U819" s="505"/>
      <c r="V819" s="505"/>
      <c r="W819" s="505"/>
      <c r="X819" s="504"/>
      <c r="Y819" s="503"/>
      <c r="Z819" s="503"/>
      <c r="AA819" s="503"/>
      <c r="AB819" s="503"/>
      <c r="AC819" s="503"/>
      <c r="AD819" s="503"/>
      <c r="AE819" s="503"/>
      <c r="AF819" s="503"/>
    </row>
    <row r="820" spans="1:32" ht="15.75" customHeight="1">
      <c r="A820" s="503"/>
      <c r="B820" s="503"/>
      <c r="C820" s="510"/>
      <c r="D820" s="510"/>
      <c r="E820" s="510"/>
      <c r="F820" s="746"/>
      <c r="G820" s="510"/>
      <c r="H820" s="510"/>
      <c r="I820" s="510"/>
      <c r="J820" s="510"/>
      <c r="K820" s="510"/>
      <c r="L820" s="510"/>
      <c r="M820" s="509"/>
      <c r="N820" s="508"/>
      <c r="O820" s="507"/>
      <c r="P820" s="507"/>
      <c r="Q820" s="505"/>
      <c r="R820" s="506"/>
      <c r="S820" s="506"/>
      <c r="T820" s="506"/>
      <c r="U820" s="505"/>
      <c r="V820" s="505"/>
      <c r="W820" s="505"/>
      <c r="X820" s="504"/>
      <c r="Y820" s="503"/>
      <c r="Z820" s="503"/>
      <c r="AA820" s="503"/>
      <c r="AB820" s="503"/>
      <c r="AC820" s="503"/>
      <c r="AD820" s="503"/>
      <c r="AE820" s="503"/>
      <c r="AF820" s="503"/>
    </row>
    <row r="821" spans="1:32" ht="15.75" customHeight="1">
      <c r="A821" s="503"/>
      <c r="B821" s="503"/>
      <c r="C821" s="510"/>
      <c r="D821" s="510"/>
      <c r="E821" s="510"/>
      <c r="F821" s="746"/>
      <c r="G821" s="510"/>
      <c r="H821" s="510"/>
      <c r="I821" s="510"/>
      <c r="J821" s="510"/>
      <c r="K821" s="510"/>
      <c r="L821" s="510"/>
      <c r="M821" s="509"/>
      <c r="N821" s="508"/>
      <c r="O821" s="507"/>
      <c r="P821" s="507"/>
      <c r="Q821" s="505"/>
      <c r="R821" s="506"/>
      <c r="S821" s="506"/>
      <c r="T821" s="506"/>
      <c r="U821" s="505"/>
      <c r="V821" s="505"/>
      <c r="W821" s="505"/>
      <c r="X821" s="504"/>
      <c r="Y821" s="503"/>
      <c r="Z821" s="503"/>
      <c r="AA821" s="503"/>
      <c r="AB821" s="503"/>
      <c r="AC821" s="503"/>
      <c r="AD821" s="503"/>
      <c r="AE821" s="503"/>
      <c r="AF821" s="503"/>
    </row>
    <row r="822" spans="1:32" ht="15.75" customHeight="1">
      <c r="A822" s="503"/>
      <c r="B822" s="503"/>
      <c r="C822" s="510"/>
      <c r="D822" s="510"/>
      <c r="E822" s="510"/>
      <c r="F822" s="746"/>
      <c r="G822" s="510"/>
      <c r="H822" s="510"/>
      <c r="I822" s="510"/>
      <c r="J822" s="510"/>
      <c r="K822" s="510"/>
      <c r="L822" s="510"/>
      <c r="M822" s="509"/>
      <c r="N822" s="508"/>
      <c r="O822" s="507"/>
      <c r="P822" s="507"/>
      <c r="Q822" s="505"/>
      <c r="R822" s="506"/>
      <c r="S822" s="506"/>
      <c r="T822" s="506"/>
      <c r="U822" s="505"/>
      <c r="V822" s="505"/>
      <c r="W822" s="505"/>
      <c r="X822" s="504"/>
      <c r="Y822" s="503"/>
      <c r="Z822" s="503"/>
      <c r="AA822" s="503"/>
      <c r="AB822" s="503"/>
      <c r="AC822" s="503"/>
      <c r="AD822" s="503"/>
      <c r="AE822" s="503"/>
      <c r="AF822" s="503"/>
    </row>
    <row r="823" spans="1:32" ht="15.75" customHeight="1">
      <c r="A823" s="503"/>
      <c r="B823" s="503"/>
      <c r="C823" s="510"/>
      <c r="D823" s="510"/>
      <c r="E823" s="510"/>
      <c r="F823" s="746"/>
      <c r="G823" s="510"/>
      <c r="H823" s="510"/>
      <c r="I823" s="510"/>
      <c r="J823" s="510"/>
      <c r="K823" s="510"/>
      <c r="L823" s="510"/>
      <c r="M823" s="509"/>
      <c r="N823" s="508"/>
      <c r="O823" s="507"/>
      <c r="P823" s="507"/>
      <c r="Q823" s="505"/>
      <c r="R823" s="506"/>
      <c r="S823" s="506"/>
      <c r="T823" s="506"/>
      <c r="U823" s="505"/>
      <c r="V823" s="505"/>
      <c r="W823" s="505"/>
      <c r="X823" s="504"/>
      <c r="Y823" s="503"/>
      <c r="Z823" s="503"/>
      <c r="AA823" s="503"/>
      <c r="AB823" s="503"/>
      <c r="AC823" s="503"/>
      <c r="AD823" s="503"/>
      <c r="AE823" s="503"/>
      <c r="AF823" s="503"/>
    </row>
    <row r="824" spans="1:32" ht="15.75" customHeight="1">
      <c r="A824" s="503"/>
      <c r="B824" s="503"/>
      <c r="C824" s="510"/>
      <c r="D824" s="510"/>
      <c r="E824" s="510"/>
      <c r="F824" s="746"/>
      <c r="G824" s="510"/>
      <c r="H824" s="510"/>
      <c r="I824" s="510"/>
      <c r="J824" s="510"/>
      <c r="K824" s="510"/>
      <c r="L824" s="510"/>
      <c r="M824" s="509"/>
      <c r="N824" s="508"/>
      <c r="O824" s="507"/>
      <c r="P824" s="507"/>
      <c r="Q824" s="505"/>
      <c r="R824" s="506"/>
      <c r="S824" s="506"/>
      <c r="T824" s="506"/>
      <c r="U824" s="505"/>
      <c r="V824" s="505"/>
      <c r="W824" s="505"/>
      <c r="X824" s="504"/>
      <c r="Y824" s="503"/>
      <c r="Z824" s="503"/>
      <c r="AA824" s="503"/>
      <c r="AB824" s="503"/>
      <c r="AC824" s="503"/>
      <c r="AD824" s="503"/>
      <c r="AE824" s="503"/>
      <c r="AF824" s="503"/>
    </row>
    <row r="825" spans="1:32" ht="15.75" customHeight="1">
      <c r="A825" s="503"/>
      <c r="B825" s="503"/>
      <c r="C825" s="510"/>
      <c r="D825" s="510"/>
      <c r="E825" s="510"/>
      <c r="F825" s="746"/>
      <c r="G825" s="510"/>
      <c r="H825" s="510"/>
      <c r="I825" s="510"/>
      <c r="J825" s="510"/>
      <c r="K825" s="510"/>
      <c r="L825" s="510"/>
      <c r="M825" s="509"/>
      <c r="N825" s="508"/>
      <c r="O825" s="507"/>
      <c r="P825" s="507"/>
      <c r="Q825" s="505"/>
      <c r="R825" s="506"/>
      <c r="S825" s="506"/>
      <c r="T825" s="506"/>
      <c r="U825" s="505"/>
      <c r="V825" s="505"/>
      <c r="W825" s="505"/>
      <c r="X825" s="504"/>
      <c r="Y825" s="503"/>
      <c r="Z825" s="503"/>
      <c r="AA825" s="503"/>
      <c r="AB825" s="503"/>
      <c r="AC825" s="503"/>
      <c r="AD825" s="503"/>
      <c r="AE825" s="503"/>
      <c r="AF825" s="503"/>
    </row>
    <row r="826" spans="1:32" ht="15.75" customHeight="1">
      <c r="A826" s="503"/>
      <c r="B826" s="503"/>
      <c r="C826" s="510"/>
      <c r="D826" s="510"/>
      <c r="E826" s="510"/>
      <c r="F826" s="746"/>
      <c r="G826" s="510"/>
      <c r="H826" s="510"/>
      <c r="I826" s="510"/>
      <c r="J826" s="510"/>
      <c r="K826" s="510"/>
      <c r="L826" s="510"/>
      <c r="M826" s="509"/>
      <c r="N826" s="508"/>
      <c r="O826" s="507"/>
      <c r="P826" s="507"/>
      <c r="Q826" s="505"/>
      <c r="R826" s="506"/>
      <c r="S826" s="506"/>
      <c r="T826" s="506"/>
      <c r="U826" s="505"/>
      <c r="V826" s="505"/>
      <c r="W826" s="505"/>
      <c r="X826" s="504"/>
      <c r="Y826" s="503"/>
      <c r="Z826" s="503"/>
      <c r="AA826" s="503"/>
      <c r="AB826" s="503"/>
      <c r="AC826" s="503"/>
      <c r="AD826" s="503"/>
      <c r="AE826" s="503"/>
      <c r="AF826" s="503"/>
    </row>
    <row r="827" spans="1:32" ht="15.75" customHeight="1">
      <c r="A827" s="503"/>
      <c r="B827" s="503"/>
      <c r="C827" s="510"/>
      <c r="D827" s="510"/>
      <c r="E827" s="510"/>
      <c r="F827" s="746"/>
      <c r="G827" s="510"/>
      <c r="H827" s="510"/>
      <c r="I827" s="510"/>
      <c r="J827" s="510"/>
      <c r="K827" s="510"/>
      <c r="L827" s="510"/>
      <c r="M827" s="509"/>
      <c r="N827" s="508"/>
      <c r="O827" s="507"/>
      <c r="P827" s="507"/>
      <c r="Q827" s="505"/>
      <c r="R827" s="506"/>
      <c r="S827" s="506"/>
      <c r="T827" s="506"/>
      <c r="U827" s="505"/>
      <c r="V827" s="505"/>
      <c r="W827" s="505"/>
      <c r="X827" s="504"/>
      <c r="Y827" s="503"/>
      <c r="Z827" s="503"/>
      <c r="AA827" s="503"/>
      <c r="AB827" s="503"/>
      <c r="AC827" s="503"/>
      <c r="AD827" s="503"/>
      <c r="AE827" s="503"/>
      <c r="AF827" s="503"/>
    </row>
    <row r="828" spans="1:32" ht="15.75" customHeight="1">
      <c r="A828" s="503"/>
      <c r="B828" s="503"/>
      <c r="C828" s="510"/>
      <c r="D828" s="510"/>
      <c r="E828" s="510"/>
      <c r="F828" s="746"/>
      <c r="G828" s="510"/>
      <c r="H828" s="510"/>
      <c r="I828" s="510"/>
      <c r="J828" s="510"/>
      <c r="K828" s="510"/>
      <c r="L828" s="510"/>
      <c r="M828" s="509"/>
      <c r="N828" s="508"/>
      <c r="O828" s="507"/>
      <c r="P828" s="507"/>
      <c r="Q828" s="505"/>
      <c r="R828" s="506"/>
      <c r="S828" s="506"/>
      <c r="T828" s="506"/>
      <c r="U828" s="505"/>
      <c r="V828" s="505"/>
      <c r="W828" s="505"/>
      <c r="X828" s="504"/>
      <c r="Y828" s="503"/>
      <c r="Z828" s="503"/>
      <c r="AA828" s="503"/>
      <c r="AB828" s="503"/>
      <c r="AC828" s="503"/>
      <c r="AD828" s="503"/>
      <c r="AE828" s="503"/>
      <c r="AF828" s="503"/>
    </row>
    <row r="829" spans="1:32" ht="15.75" customHeight="1">
      <c r="A829" s="503"/>
      <c r="B829" s="503"/>
      <c r="C829" s="510"/>
      <c r="D829" s="510"/>
      <c r="E829" s="510"/>
      <c r="F829" s="746"/>
      <c r="G829" s="510"/>
      <c r="H829" s="510"/>
      <c r="I829" s="510"/>
      <c r="J829" s="510"/>
      <c r="K829" s="510"/>
      <c r="L829" s="510"/>
      <c r="M829" s="509"/>
      <c r="N829" s="508"/>
      <c r="O829" s="507"/>
      <c r="P829" s="507"/>
      <c r="Q829" s="505"/>
      <c r="R829" s="506"/>
      <c r="S829" s="506"/>
      <c r="T829" s="506"/>
      <c r="U829" s="505"/>
      <c r="V829" s="505"/>
      <c r="W829" s="505"/>
      <c r="X829" s="504"/>
      <c r="Y829" s="503"/>
      <c r="Z829" s="503"/>
      <c r="AA829" s="503"/>
      <c r="AB829" s="503"/>
      <c r="AC829" s="503"/>
      <c r="AD829" s="503"/>
      <c r="AE829" s="503"/>
      <c r="AF829" s="503"/>
    </row>
    <row r="830" spans="1:32" ht="15.75" customHeight="1">
      <c r="A830" s="503"/>
      <c r="B830" s="503"/>
      <c r="C830" s="510"/>
      <c r="D830" s="510"/>
      <c r="E830" s="510"/>
      <c r="F830" s="746"/>
      <c r="G830" s="510"/>
      <c r="H830" s="510"/>
      <c r="I830" s="510"/>
      <c r="J830" s="510"/>
      <c r="K830" s="510"/>
      <c r="L830" s="510"/>
      <c r="M830" s="509"/>
      <c r="N830" s="508"/>
      <c r="O830" s="507"/>
      <c r="P830" s="507"/>
      <c r="Q830" s="505"/>
      <c r="R830" s="506"/>
      <c r="S830" s="506"/>
      <c r="T830" s="506"/>
      <c r="U830" s="505"/>
      <c r="V830" s="505"/>
      <c r="W830" s="505"/>
      <c r="X830" s="504"/>
      <c r="Y830" s="503"/>
      <c r="Z830" s="503"/>
      <c r="AA830" s="503"/>
      <c r="AB830" s="503"/>
      <c r="AC830" s="503"/>
      <c r="AD830" s="503"/>
      <c r="AE830" s="503"/>
      <c r="AF830" s="503"/>
    </row>
    <row r="831" spans="1:32" ht="15.75" customHeight="1">
      <c r="A831" s="503"/>
      <c r="B831" s="503"/>
      <c r="C831" s="510"/>
      <c r="D831" s="510"/>
      <c r="E831" s="510"/>
      <c r="F831" s="746"/>
      <c r="G831" s="510"/>
      <c r="H831" s="510"/>
      <c r="I831" s="510"/>
      <c r="J831" s="510"/>
      <c r="K831" s="510"/>
      <c r="L831" s="510"/>
      <c r="M831" s="509"/>
      <c r="N831" s="508"/>
      <c r="O831" s="507"/>
      <c r="P831" s="507"/>
      <c r="Q831" s="505"/>
      <c r="R831" s="506"/>
      <c r="S831" s="506"/>
      <c r="T831" s="506"/>
      <c r="U831" s="505"/>
      <c r="V831" s="505"/>
      <c r="W831" s="505"/>
      <c r="X831" s="504"/>
      <c r="Y831" s="503"/>
      <c r="Z831" s="503"/>
      <c r="AA831" s="503"/>
      <c r="AB831" s="503"/>
      <c r="AC831" s="503"/>
      <c r="AD831" s="503"/>
      <c r="AE831" s="503"/>
      <c r="AF831" s="503"/>
    </row>
    <row r="832" spans="1:32" ht="15.75" customHeight="1">
      <c r="A832" s="503"/>
      <c r="B832" s="503"/>
      <c r="C832" s="510"/>
      <c r="D832" s="510"/>
      <c r="E832" s="510"/>
      <c r="F832" s="746"/>
      <c r="G832" s="510"/>
      <c r="H832" s="510"/>
      <c r="I832" s="510"/>
      <c r="J832" s="510"/>
      <c r="K832" s="510"/>
      <c r="L832" s="510"/>
      <c r="M832" s="509"/>
      <c r="N832" s="508"/>
      <c r="O832" s="507"/>
      <c r="P832" s="507"/>
      <c r="Q832" s="505"/>
      <c r="R832" s="506"/>
      <c r="S832" s="506"/>
      <c r="T832" s="506"/>
      <c r="U832" s="505"/>
      <c r="V832" s="505"/>
      <c r="W832" s="505"/>
      <c r="X832" s="504"/>
      <c r="Y832" s="503"/>
      <c r="Z832" s="503"/>
      <c r="AA832" s="503"/>
      <c r="AB832" s="503"/>
      <c r="AC832" s="503"/>
      <c r="AD832" s="503"/>
      <c r="AE832" s="503"/>
      <c r="AF832" s="503"/>
    </row>
    <row r="833" spans="1:32" ht="15.75" customHeight="1">
      <c r="A833" s="503"/>
      <c r="B833" s="503"/>
      <c r="C833" s="510"/>
      <c r="D833" s="510"/>
      <c r="E833" s="510"/>
      <c r="F833" s="746"/>
      <c r="G833" s="510"/>
      <c r="H833" s="510"/>
      <c r="I833" s="510"/>
      <c r="J833" s="510"/>
      <c r="K833" s="510"/>
      <c r="L833" s="510"/>
      <c r="M833" s="509"/>
      <c r="N833" s="508"/>
      <c r="O833" s="507"/>
      <c r="P833" s="507"/>
      <c r="Q833" s="505"/>
      <c r="R833" s="506"/>
      <c r="S833" s="506"/>
      <c r="T833" s="506"/>
      <c r="U833" s="505"/>
      <c r="V833" s="505"/>
      <c r="W833" s="505"/>
      <c r="X833" s="504"/>
      <c r="Y833" s="503"/>
      <c r="Z833" s="503"/>
      <c r="AA833" s="503"/>
      <c r="AB833" s="503"/>
      <c r="AC833" s="503"/>
      <c r="AD833" s="503"/>
      <c r="AE833" s="503"/>
      <c r="AF833" s="503"/>
    </row>
    <row r="834" spans="1:32" ht="15.75" customHeight="1">
      <c r="A834" s="503"/>
      <c r="B834" s="503"/>
      <c r="C834" s="510"/>
      <c r="D834" s="510"/>
      <c r="E834" s="510"/>
      <c r="F834" s="746"/>
      <c r="G834" s="510"/>
      <c r="H834" s="510"/>
      <c r="I834" s="510"/>
      <c r="J834" s="510"/>
      <c r="K834" s="510"/>
      <c r="L834" s="510"/>
      <c r="M834" s="509"/>
      <c r="N834" s="508"/>
      <c r="O834" s="507"/>
      <c r="P834" s="507"/>
      <c r="Q834" s="505"/>
      <c r="R834" s="506"/>
      <c r="S834" s="506"/>
      <c r="T834" s="506"/>
      <c r="U834" s="505"/>
      <c r="V834" s="505"/>
      <c r="W834" s="505"/>
      <c r="X834" s="504"/>
      <c r="Y834" s="503"/>
      <c r="Z834" s="503"/>
      <c r="AA834" s="503"/>
      <c r="AB834" s="503"/>
      <c r="AC834" s="503"/>
      <c r="AD834" s="503"/>
      <c r="AE834" s="503"/>
      <c r="AF834" s="503"/>
    </row>
    <row r="835" spans="1:32" ht="15.75" customHeight="1">
      <c r="A835" s="503"/>
      <c r="B835" s="503"/>
      <c r="C835" s="510"/>
      <c r="D835" s="510"/>
      <c r="E835" s="510"/>
      <c r="F835" s="746"/>
      <c r="G835" s="510"/>
      <c r="H835" s="510"/>
      <c r="I835" s="510"/>
      <c r="J835" s="510"/>
      <c r="K835" s="510"/>
      <c r="L835" s="510"/>
      <c r="M835" s="509"/>
      <c r="N835" s="508"/>
      <c r="O835" s="507"/>
      <c r="P835" s="507"/>
      <c r="Q835" s="505"/>
      <c r="R835" s="506"/>
      <c r="S835" s="506"/>
      <c r="T835" s="506"/>
      <c r="U835" s="505"/>
      <c r="V835" s="505"/>
      <c r="W835" s="505"/>
      <c r="X835" s="504"/>
      <c r="Y835" s="503"/>
      <c r="Z835" s="503"/>
      <c r="AA835" s="503"/>
      <c r="AB835" s="503"/>
      <c r="AC835" s="503"/>
      <c r="AD835" s="503"/>
      <c r="AE835" s="503"/>
      <c r="AF835" s="503"/>
    </row>
    <row r="836" spans="1:32" ht="15.75" customHeight="1">
      <c r="A836" s="503"/>
      <c r="B836" s="503"/>
      <c r="C836" s="510"/>
      <c r="D836" s="510"/>
      <c r="E836" s="510"/>
      <c r="F836" s="746"/>
      <c r="G836" s="510"/>
      <c r="H836" s="510"/>
      <c r="I836" s="510"/>
      <c r="J836" s="510"/>
      <c r="K836" s="510"/>
      <c r="L836" s="510"/>
      <c r="M836" s="509"/>
      <c r="N836" s="508"/>
      <c r="O836" s="507"/>
      <c r="P836" s="507"/>
      <c r="Q836" s="505"/>
      <c r="R836" s="506"/>
      <c r="S836" s="506"/>
      <c r="T836" s="506"/>
      <c r="U836" s="505"/>
      <c r="V836" s="505"/>
      <c r="W836" s="505"/>
      <c r="X836" s="504"/>
      <c r="Y836" s="503"/>
      <c r="Z836" s="503"/>
      <c r="AA836" s="503"/>
      <c r="AB836" s="503"/>
      <c r="AC836" s="503"/>
      <c r="AD836" s="503"/>
      <c r="AE836" s="503"/>
      <c r="AF836" s="503"/>
    </row>
    <row r="837" spans="1:32" ht="15.75" customHeight="1">
      <c r="A837" s="503"/>
      <c r="B837" s="503"/>
      <c r="C837" s="510"/>
      <c r="D837" s="510"/>
      <c r="E837" s="510"/>
      <c r="F837" s="746"/>
      <c r="G837" s="510"/>
      <c r="H837" s="510"/>
      <c r="I837" s="510"/>
      <c r="J837" s="510"/>
      <c r="K837" s="510"/>
      <c r="L837" s="510"/>
      <c r="M837" s="509"/>
      <c r="N837" s="508"/>
      <c r="O837" s="507"/>
      <c r="P837" s="507"/>
      <c r="Q837" s="505"/>
      <c r="R837" s="506"/>
      <c r="S837" s="506"/>
      <c r="T837" s="506"/>
      <c r="U837" s="505"/>
      <c r="V837" s="505"/>
      <c r="W837" s="505"/>
      <c r="X837" s="504"/>
      <c r="Y837" s="503"/>
      <c r="Z837" s="503"/>
      <c r="AA837" s="503"/>
      <c r="AB837" s="503"/>
      <c r="AC837" s="503"/>
      <c r="AD837" s="503"/>
      <c r="AE837" s="503"/>
      <c r="AF837" s="503"/>
    </row>
    <row r="838" spans="1:32" ht="15.75" customHeight="1">
      <c r="A838" s="503"/>
      <c r="B838" s="503"/>
      <c r="C838" s="510"/>
      <c r="D838" s="510"/>
      <c r="E838" s="510"/>
      <c r="F838" s="746"/>
      <c r="G838" s="510"/>
      <c r="H838" s="510"/>
      <c r="I838" s="510"/>
      <c r="J838" s="510"/>
      <c r="K838" s="510"/>
      <c r="L838" s="510"/>
      <c r="M838" s="509"/>
      <c r="N838" s="508"/>
      <c r="O838" s="507"/>
      <c r="P838" s="507"/>
      <c r="Q838" s="505"/>
      <c r="R838" s="506"/>
      <c r="S838" s="506"/>
      <c r="T838" s="506"/>
      <c r="U838" s="505"/>
      <c r="V838" s="505"/>
      <c r="W838" s="505"/>
      <c r="X838" s="504"/>
      <c r="Y838" s="503"/>
      <c r="Z838" s="503"/>
      <c r="AA838" s="503"/>
      <c r="AB838" s="503"/>
      <c r="AC838" s="503"/>
      <c r="AD838" s="503"/>
      <c r="AE838" s="503"/>
      <c r="AF838" s="503"/>
    </row>
    <row r="839" spans="1:32" ht="15.75" customHeight="1">
      <c r="A839" s="503"/>
      <c r="B839" s="503"/>
      <c r="C839" s="510"/>
      <c r="D839" s="510"/>
      <c r="E839" s="510"/>
      <c r="F839" s="746"/>
      <c r="G839" s="510"/>
      <c r="H839" s="510"/>
      <c r="I839" s="510"/>
      <c r="J839" s="510"/>
      <c r="K839" s="510"/>
      <c r="L839" s="510"/>
      <c r="M839" s="509"/>
      <c r="N839" s="508"/>
      <c r="O839" s="507"/>
      <c r="P839" s="507"/>
      <c r="Q839" s="505"/>
      <c r="R839" s="506"/>
      <c r="S839" s="506"/>
      <c r="T839" s="506"/>
      <c r="U839" s="505"/>
      <c r="V839" s="505"/>
      <c r="W839" s="505"/>
      <c r="X839" s="504"/>
      <c r="Y839" s="503"/>
      <c r="Z839" s="503"/>
      <c r="AA839" s="503"/>
      <c r="AB839" s="503"/>
      <c r="AC839" s="503"/>
      <c r="AD839" s="503"/>
      <c r="AE839" s="503"/>
      <c r="AF839" s="503"/>
    </row>
    <row r="840" spans="1:32" ht="15.75" customHeight="1">
      <c r="A840" s="503"/>
      <c r="B840" s="503"/>
      <c r="C840" s="510"/>
      <c r="D840" s="510"/>
      <c r="E840" s="510"/>
      <c r="F840" s="746"/>
      <c r="G840" s="510"/>
      <c r="H840" s="510"/>
      <c r="I840" s="510"/>
      <c r="J840" s="510"/>
      <c r="K840" s="510"/>
      <c r="L840" s="510"/>
      <c r="M840" s="509"/>
      <c r="N840" s="508"/>
      <c r="O840" s="507"/>
      <c r="P840" s="507"/>
      <c r="Q840" s="505"/>
      <c r="R840" s="506"/>
      <c r="S840" s="506"/>
      <c r="T840" s="506"/>
      <c r="U840" s="505"/>
      <c r="V840" s="505"/>
      <c r="W840" s="505"/>
      <c r="X840" s="504"/>
      <c r="Y840" s="503"/>
      <c r="Z840" s="503"/>
      <c r="AA840" s="503"/>
      <c r="AB840" s="503"/>
      <c r="AC840" s="503"/>
      <c r="AD840" s="503"/>
      <c r="AE840" s="503"/>
      <c r="AF840" s="503"/>
    </row>
    <row r="841" spans="1:32" ht="15.75" customHeight="1">
      <c r="A841" s="503"/>
      <c r="B841" s="503"/>
      <c r="C841" s="510"/>
      <c r="D841" s="510"/>
      <c r="E841" s="510"/>
      <c r="F841" s="746"/>
      <c r="G841" s="510"/>
      <c r="H841" s="510"/>
      <c r="I841" s="510"/>
      <c r="J841" s="510"/>
      <c r="K841" s="510"/>
      <c r="L841" s="510"/>
      <c r="M841" s="509"/>
      <c r="N841" s="508"/>
      <c r="O841" s="507"/>
      <c r="P841" s="507"/>
      <c r="Q841" s="505"/>
      <c r="R841" s="506"/>
      <c r="S841" s="506"/>
      <c r="T841" s="506"/>
      <c r="U841" s="505"/>
      <c r="V841" s="505"/>
      <c r="W841" s="505"/>
      <c r="X841" s="504"/>
      <c r="Y841" s="503"/>
      <c r="Z841" s="503"/>
      <c r="AA841" s="503"/>
      <c r="AB841" s="503"/>
      <c r="AC841" s="503"/>
      <c r="AD841" s="503"/>
      <c r="AE841" s="503"/>
      <c r="AF841" s="503"/>
    </row>
    <row r="842" spans="1:32" ht="15.75" customHeight="1">
      <c r="A842" s="503"/>
      <c r="B842" s="503"/>
      <c r="C842" s="510"/>
      <c r="D842" s="510"/>
      <c r="E842" s="510"/>
      <c r="F842" s="746"/>
      <c r="G842" s="510"/>
      <c r="H842" s="510"/>
      <c r="I842" s="510"/>
      <c r="J842" s="510"/>
      <c r="K842" s="510"/>
      <c r="L842" s="510"/>
      <c r="M842" s="509"/>
      <c r="N842" s="508"/>
      <c r="O842" s="507"/>
      <c r="P842" s="507"/>
      <c r="Q842" s="505"/>
      <c r="R842" s="506"/>
      <c r="S842" s="506"/>
      <c r="T842" s="506"/>
      <c r="U842" s="505"/>
      <c r="V842" s="505"/>
      <c r="W842" s="505"/>
      <c r="X842" s="504"/>
      <c r="Y842" s="503"/>
      <c r="Z842" s="503"/>
      <c r="AA842" s="503"/>
      <c r="AB842" s="503"/>
      <c r="AC842" s="503"/>
      <c r="AD842" s="503"/>
      <c r="AE842" s="503"/>
      <c r="AF842" s="503"/>
    </row>
    <row r="843" spans="1:32" ht="15.75" customHeight="1">
      <c r="A843" s="503"/>
      <c r="B843" s="503"/>
      <c r="C843" s="510"/>
      <c r="D843" s="510"/>
      <c r="E843" s="510"/>
      <c r="F843" s="746"/>
      <c r="G843" s="510"/>
      <c r="H843" s="510"/>
      <c r="I843" s="510"/>
      <c r="J843" s="510"/>
      <c r="K843" s="510"/>
      <c r="L843" s="510"/>
      <c r="M843" s="509"/>
      <c r="N843" s="508"/>
      <c r="O843" s="507"/>
      <c r="P843" s="507"/>
      <c r="Q843" s="505"/>
      <c r="R843" s="506"/>
      <c r="S843" s="506"/>
      <c r="T843" s="506"/>
      <c r="U843" s="505"/>
      <c r="V843" s="505"/>
      <c r="W843" s="505"/>
      <c r="X843" s="504"/>
      <c r="Y843" s="503"/>
      <c r="Z843" s="503"/>
      <c r="AA843" s="503"/>
      <c r="AB843" s="503"/>
      <c r="AC843" s="503"/>
      <c r="AD843" s="503"/>
      <c r="AE843" s="503"/>
      <c r="AF843" s="503"/>
    </row>
    <row r="844" spans="1:32" ht="15.75" customHeight="1">
      <c r="A844" s="503"/>
      <c r="B844" s="503"/>
      <c r="C844" s="510"/>
      <c r="D844" s="510"/>
      <c r="E844" s="510"/>
      <c r="F844" s="746"/>
      <c r="G844" s="510"/>
      <c r="H844" s="510"/>
      <c r="I844" s="510"/>
      <c r="J844" s="510"/>
      <c r="K844" s="510"/>
      <c r="L844" s="510"/>
      <c r="M844" s="509"/>
      <c r="N844" s="508"/>
      <c r="O844" s="507"/>
      <c r="P844" s="507"/>
      <c r="Q844" s="505"/>
      <c r="R844" s="506"/>
      <c r="S844" s="506"/>
      <c r="T844" s="506"/>
      <c r="U844" s="505"/>
      <c r="V844" s="505"/>
      <c r="W844" s="505"/>
      <c r="X844" s="504"/>
      <c r="Y844" s="503"/>
      <c r="Z844" s="503"/>
      <c r="AA844" s="503"/>
      <c r="AB844" s="503"/>
      <c r="AC844" s="503"/>
      <c r="AD844" s="503"/>
      <c r="AE844" s="503"/>
      <c r="AF844" s="503"/>
    </row>
    <row r="845" spans="1:32" ht="15.75" customHeight="1">
      <c r="A845" s="503"/>
      <c r="B845" s="503"/>
      <c r="C845" s="510"/>
      <c r="D845" s="510"/>
      <c r="E845" s="510"/>
      <c r="F845" s="746"/>
      <c r="G845" s="510"/>
      <c r="H845" s="510"/>
      <c r="I845" s="510"/>
      <c r="J845" s="510"/>
      <c r="K845" s="510"/>
      <c r="L845" s="510"/>
      <c r="M845" s="509"/>
      <c r="N845" s="508"/>
      <c r="O845" s="507"/>
      <c r="P845" s="507"/>
      <c r="Q845" s="505"/>
      <c r="R845" s="506"/>
      <c r="S845" s="506"/>
      <c r="T845" s="506"/>
      <c r="U845" s="505"/>
      <c r="V845" s="505"/>
      <c r="W845" s="505"/>
      <c r="X845" s="504"/>
      <c r="Y845" s="503"/>
      <c r="Z845" s="503"/>
      <c r="AA845" s="503"/>
      <c r="AB845" s="503"/>
      <c r="AC845" s="503"/>
      <c r="AD845" s="503"/>
      <c r="AE845" s="503"/>
      <c r="AF845" s="503"/>
    </row>
    <row r="846" spans="1:32" ht="15.75" customHeight="1">
      <c r="A846" s="503"/>
      <c r="B846" s="503"/>
      <c r="C846" s="510"/>
      <c r="D846" s="510"/>
      <c r="E846" s="510"/>
      <c r="F846" s="746"/>
      <c r="G846" s="510"/>
      <c r="H846" s="510"/>
      <c r="I846" s="510"/>
      <c r="J846" s="510"/>
      <c r="K846" s="510"/>
      <c r="L846" s="510"/>
      <c r="M846" s="509"/>
      <c r="N846" s="508"/>
      <c r="O846" s="507"/>
      <c r="P846" s="507"/>
      <c r="Q846" s="505"/>
      <c r="R846" s="506"/>
      <c r="S846" s="506"/>
      <c r="T846" s="506"/>
      <c r="U846" s="505"/>
      <c r="V846" s="505"/>
      <c r="W846" s="505"/>
      <c r="X846" s="504"/>
      <c r="Y846" s="503"/>
      <c r="Z846" s="503"/>
      <c r="AA846" s="503"/>
      <c r="AB846" s="503"/>
      <c r="AC846" s="503"/>
      <c r="AD846" s="503"/>
      <c r="AE846" s="503"/>
      <c r="AF846" s="503"/>
    </row>
    <row r="847" spans="1:32" ht="15.75" customHeight="1">
      <c r="A847" s="503"/>
      <c r="B847" s="503"/>
      <c r="C847" s="510"/>
      <c r="D847" s="510"/>
      <c r="E847" s="510"/>
      <c r="F847" s="746"/>
      <c r="G847" s="510"/>
      <c r="H847" s="510"/>
      <c r="I847" s="510"/>
      <c r="J847" s="510"/>
      <c r="K847" s="510"/>
      <c r="L847" s="510"/>
      <c r="M847" s="509"/>
      <c r="N847" s="508"/>
      <c r="O847" s="507"/>
      <c r="P847" s="507"/>
      <c r="Q847" s="505"/>
      <c r="R847" s="506"/>
      <c r="S847" s="506"/>
      <c r="T847" s="506"/>
      <c r="U847" s="505"/>
      <c r="V847" s="505"/>
      <c r="W847" s="505"/>
      <c r="X847" s="504"/>
      <c r="Y847" s="503"/>
      <c r="Z847" s="503"/>
      <c r="AA847" s="503"/>
      <c r="AB847" s="503"/>
      <c r="AC847" s="503"/>
      <c r="AD847" s="503"/>
      <c r="AE847" s="503"/>
      <c r="AF847" s="503"/>
    </row>
    <row r="848" spans="1:32" ht="15.75" customHeight="1">
      <c r="A848" s="503"/>
      <c r="B848" s="503"/>
      <c r="C848" s="510"/>
      <c r="D848" s="510"/>
      <c r="E848" s="510"/>
      <c r="F848" s="746"/>
      <c r="G848" s="510"/>
      <c r="H848" s="510"/>
      <c r="I848" s="510"/>
      <c r="J848" s="510"/>
      <c r="K848" s="510"/>
      <c r="L848" s="510"/>
      <c r="M848" s="509"/>
      <c r="N848" s="508"/>
      <c r="O848" s="507"/>
      <c r="P848" s="507"/>
      <c r="Q848" s="505"/>
      <c r="R848" s="506"/>
      <c r="S848" s="506"/>
      <c r="T848" s="506"/>
      <c r="U848" s="505"/>
      <c r="V848" s="505"/>
      <c r="W848" s="505"/>
      <c r="X848" s="504"/>
      <c r="Y848" s="503"/>
      <c r="Z848" s="503"/>
      <c r="AA848" s="503"/>
      <c r="AB848" s="503"/>
      <c r="AC848" s="503"/>
      <c r="AD848" s="503"/>
      <c r="AE848" s="503"/>
      <c r="AF848" s="503"/>
    </row>
    <row r="849" spans="1:32" ht="15.75" customHeight="1">
      <c r="A849" s="503"/>
      <c r="B849" s="503"/>
      <c r="C849" s="510"/>
      <c r="D849" s="510"/>
      <c r="E849" s="510"/>
      <c r="F849" s="746"/>
      <c r="G849" s="510"/>
      <c r="H849" s="510"/>
      <c r="I849" s="510"/>
      <c r="J849" s="510"/>
      <c r="K849" s="510"/>
      <c r="L849" s="510"/>
      <c r="M849" s="509"/>
      <c r="N849" s="508"/>
      <c r="O849" s="507"/>
      <c r="P849" s="507"/>
      <c r="Q849" s="505"/>
      <c r="R849" s="506"/>
      <c r="S849" s="506"/>
      <c r="T849" s="506"/>
      <c r="U849" s="505"/>
      <c r="V849" s="505"/>
      <c r="W849" s="505"/>
      <c r="X849" s="504"/>
      <c r="Y849" s="503"/>
      <c r="Z849" s="503"/>
      <c r="AA849" s="503"/>
      <c r="AB849" s="503"/>
      <c r="AC849" s="503"/>
      <c r="AD849" s="503"/>
      <c r="AE849" s="503"/>
      <c r="AF849" s="503"/>
    </row>
    <row r="850" spans="1:32" ht="15.75" customHeight="1">
      <c r="A850" s="503"/>
      <c r="B850" s="503"/>
      <c r="C850" s="510"/>
      <c r="D850" s="510"/>
      <c r="E850" s="510"/>
      <c r="F850" s="746"/>
      <c r="G850" s="510"/>
      <c r="H850" s="510"/>
      <c r="I850" s="510"/>
      <c r="J850" s="510"/>
      <c r="K850" s="510"/>
      <c r="L850" s="510"/>
      <c r="M850" s="509"/>
      <c r="N850" s="508"/>
      <c r="O850" s="507"/>
      <c r="P850" s="507"/>
      <c r="Q850" s="505"/>
      <c r="R850" s="506"/>
      <c r="S850" s="506"/>
      <c r="T850" s="506"/>
      <c r="U850" s="505"/>
      <c r="V850" s="505"/>
      <c r="W850" s="505"/>
      <c r="X850" s="504"/>
      <c r="Y850" s="503"/>
      <c r="Z850" s="503"/>
      <c r="AA850" s="503"/>
      <c r="AB850" s="503"/>
      <c r="AC850" s="503"/>
      <c r="AD850" s="503"/>
      <c r="AE850" s="503"/>
      <c r="AF850" s="503"/>
    </row>
    <row r="851" spans="1:32" ht="15.75" customHeight="1">
      <c r="A851" s="503"/>
      <c r="B851" s="503"/>
      <c r="C851" s="510"/>
      <c r="D851" s="510"/>
      <c r="E851" s="510"/>
      <c r="F851" s="746"/>
      <c r="G851" s="510"/>
      <c r="H851" s="510"/>
      <c r="I851" s="510"/>
      <c r="J851" s="510"/>
      <c r="K851" s="510"/>
      <c r="L851" s="510"/>
      <c r="M851" s="509"/>
      <c r="N851" s="508"/>
      <c r="O851" s="507"/>
      <c r="P851" s="507"/>
      <c r="Q851" s="505"/>
      <c r="R851" s="506"/>
      <c r="S851" s="506"/>
      <c r="T851" s="506"/>
      <c r="U851" s="505"/>
      <c r="V851" s="505"/>
      <c r="W851" s="505"/>
      <c r="X851" s="504"/>
      <c r="Y851" s="503"/>
      <c r="Z851" s="503"/>
      <c r="AA851" s="503"/>
      <c r="AB851" s="503"/>
      <c r="AC851" s="503"/>
      <c r="AD851" s="503"/>
      <c r="AE851" s="503"/>
      <c r="AF851" s="503"/>
    </row>
    <row r="852" spans="1:32" ht="15.75" customHeight="1">
      <c r="A852" s="503"/>
      <c r="B852" s="503"/>
      <c r="C852" s="510"/>
      <c r="D852" s="510"/>
      <c r="E852" s="510"/>
      <c r="F852" s="746"/>
      <c r="G852" s="510"/>
      <c r="H852" s="510"/>
      <c r="I852" s="510"/>
      <c r="J852" s="510"/>
      <c r="K852" s="510"/>
      <c r="L852" s="510"/>
      <c r="M852" s="509"/>
      <c r="N852" s="508"/>
      <c r="O852" s="507"/>
      <c r="P852" s="507"/>
      <c r="Q852" s="505"/>
      <c r="R852" s="506"/>
      <c r="S852" s="506"/>
      <c r="T852" s="506"/>
      <c r="U852" s="505"/>
      <c r="V852" s="505"/>
      <c r="W852" s="505"/>
      <c r="X852" s="504"/>
      <c r="Y852" s="503"/>
      <c r="Z852" s="503"/>
      <c r="AA852" s="503"/>
      <c r="AB852" s="503"/>
      <c r="AC852" s="503"/>
      <c r="AD852" s="503"/>
      <c r="AE852" s="503"/>
      <c r="AF852" s="503"/>
    </row>
    <row r="853" spans="1:32" ht="15.75" customHeight="1">
      <c r="A853" s="503"/>
      <c r="B853" s="503"/>
      <c r="C853" s="510"/>
      <c r="D853" s="510"/>
      <c r="E853" s="510"/>
      <c r="F853" s="746"/>
      <c r="G853" s="510"/>
      <c r="H853" s="510"/>
      <c r="I853" s="510"/>
      <c r="J853" s="510"/>
      <c r="K853" s="510"/>
      <c r="L853" s="510"/>
      <c r="M853" s="509"/>
      <c r="N853" s="508"/>
      <c r="O853" s="507"/>
      <c r="P853" s="507"/>
      <c r="Q853" s="505"/>
      <c r="R853" s="506"/>
      <c r="S853" s="506"/>
      <c r="T853" s="506"/>
      <c r="U853" s="505"/>
      <c r="V853" s="505"/>
      <c r="W853" s="505"/>
      <c r="X853" s="504"/>
      <c r="Y853" s="503"/>
      <c r="Z853" s="503"/>
      <c r="AA853" s="503"/>
      <c r="AB853" s="503"/>
      <c r="AC853" s="503"/>
      <c r="AD853" s="503"/>
      <c r="AE853" s="503"/>
      <c r="AF853" s="503"/>
    </row>
    <row r="854" spans="1:32" ht="15.75" customHeight="1">
      <c r="A854" s="503"/>
      <c r="B854" s="503"/>
      <c r="C854" s="510"/>
      <c r="D854" s="510"/>
      <c r="E854" s="510"/>
      <c r="F854" s="746"/>
      <c r="G854" s="510"/>
      <c r="H854" s="510"/>
      <c r="I854" s="510"/>
      <c r="J854" s="510"/>
      <c r="K854" s="510"/>
      <c r="L854" s="510"/>
      <c r="M854" s="509"/>
      <c r="N854" s="508"/>
      <c r="O854" s="507"/>
      <c r="P854" s="507"/>
      <c r="Q854" s="505"/>
      <c r="R854" s="506"/>
      <c r="S854" s="506"/>
      <c r="T854" s="506"/>
      <c r="U854" s="505"/>
      <c r="V854" s="505"/>
      <c r="W854" s="505"/>
      <c r="X854" s="504"/>
      <c r="Y854" s="503"/>
      <c r="Z854" s="503"/>
      <c r="AA854" s="503"/>
      <c r="AB854" s="503"/>
      <c r="AC854" s="503"/>
      <c r="AD854" s="503"/>
      <c r="AE854" s="503"/>
      <c r="AF854" s="503"/>
    </row>
    <row r="855" spans="1:32" ht="15.75" customHeight="1">
      <c r="A855" s="503"/>
      <c r="B855" s="503"/>
      <c r="C855" s="510"/>
      <c r="D855" s="510"/>
      <c r="E855" s="510"/>
      <c r="F855" s="746"/>
      <c r="G855" s="510"/>
      <c r="H855" s="510"/>
      <c r="I855" s="510"/>
      <c r="J855" s="510"/>
      <c r="K855" s="510"/>
      <c r="L855" s="510"/>
      <c r="M855" s="509"/>
      <c r="N855" s="508"/>
      <c r="O855" s="507"/>
      <c r="P855" s="507"/>
      <c r="Q855" s="505"/>
      <c r="R855" s="506"/>
      <c r="S855" s="506"/>
      <c r="T855" s="506"/>
      <c r="U855" s="505"/>
      <c r="V855" s="505"/>
      <c r="W855" s="505"/>
      <c r="X855" s="504"/>
      <c r="Y855" s="503"/>
      <c r="Z855" s="503"/>
      <c r="AA855" s="503"/>
      <c r="AB855" s="503"/>
      <c r="AC855" s="503"/>
      <c r="AD855" s="503"/>
      <c r="AE855" s="503"/>
      <c r="AF855" s="503"/>
    </row>
    <row r="856" spans="1:32" ht="15.75" customHeight="1">
      <c r="A856" s="503"/>
      <c r="B856" s="503"/>
      <c r="C856" s="510"/>
      <c r="D856" s="510"/>
      <c r="E856" s="510"/>
      <c r="F856" s="746"/>
      <c r="G856" s="510"/>
      <c r="H856" s="510"/>
      <c r="I856" s="510"/>
      <c r="J856" s="510"/>
      <c r="K856" s="510"/>
      <c r="L856" s="510"/>
      <c r="M856" s="509"/>
      <c r="N856" s="508"/>
      <c r="O856" s="507"/>
      <c r="P856" s="507"/>
      <c r="Q856" s="505"/>
      <c r="R856" s="506"/>
      <c r="S856" s="506"/>
      <c r="T856" s="506"/>
      <c r="U856" s="505"/>
      <c r="V856" s="505"/>
      <c r="W856" s="505"/>
      <c r="X856" s="504"/>
      <c r="Y856" s="503"/>
      <c r="Z856" s="503"/>
      <c r="AA856" s="503"/>
      <c r="AB856" s="503"/>
      <c r="AC856" s="503"/>
      <c r="AD856" s="503"/>
      <c r="AE856" s="503"/>
      <c r="AF856" s="503"/>
    </row>
    <row r="857" spans="1:32" ht="15.75" customHeight="1">
      <c r="A857" s="503"/>
      <c r="B857" s="503"/>
      <c r="C857" s="510"/>
      <c r="D857" s="510"/>
      <c r="E857" s="510"/>
      <c r="F857" s="746"/>
      <c r="G857" s="510"/>
      <c r="H857" s="510"/>
      <c r="I857" s="510"/>
      <c r="J857" s="510"/>
      <c r="K857" s="510"/>
      <c r="L857" s="510"/>
      <c r="M857" s="509"/>
      <c r="N857" s="508"/>
      <c r="O857" s="507"/>
      <c r="P857" s="507"/>
      <c r="Q857" s="505"/>
      <c r="R857" s="506"/>
      <c r="S857" s="506"/>
      <c r="T857" s="506"/>
      <c r="U857" s="505"/>
      <c r="V857" s="505"/>
      <c r="W857" s="505"/>
      <c r="X857" s="504"/>
      <c r="Y857" s="503"/>
      <c r="Z857" s="503"/>
      <c r="AA857" s="503"/>
      <c r="AB857" s="503"/>
      <c r="AC857" s="503"/>
      <c r="AD857" s="503"/>
      <c r="AE857" s="503"/>
      <c r="AF857" s="503"/>
    </row>
    <row r="858" spans="1:32" ht="15.75" customHeight="1">
      <c r="A858" s="503"/>
      <c r="B858" s="503"/>
      <c r="C858" s="510"/>
      <c r="D858" s="510"/>
      <c r="E858" s="510"/>
      <c r="F858" s="746"/>
      <c r="G858" s="510"/>
      <c r="H858" s="510"/>
      <c r="I858" s="510"/>
      <c r="J858" s="510"/>
      <c r="K858" s="510"/>
      <c r="L858" s="510"/>
      <c r="M858" s="509"/>
      <c r="N858" s="508"/>
      <c r="O858" s="507"/>
      <c r="P858" s="507"/>
      <c r="Q858" s="505"/>
      <c r="R858" s="506"/>
      <c r="S858" s="506"/>
      <c r="T858" s="506"/>
      <c r="U858" s="505"/>
      <c r="V858" s="505"/>
      <c r="W858" s="505"/>
      <c r="X858" s="504"/>
      <c r="Y858" s="503"/>
      <c r="Z858" s="503"/>
      <c r="AA858" s="503"/>
      <c r="AB858" s="503"/>
      <c r="AC858" s="503"/>
      <c r="AD858" s="503"/>
      <c r="AE858" s="503"/>
      <c r="AF858" s="503"/>
    </row>
    <row r="859" spans="1:32" ht="15.75" customHeight="1">
      <c r="A859" s="503"/>
      <c r="B859" s="503"/>
      <c r="C859" s="510"/>
      <c r="D859" s="510"/>
      <c r="E859" s="510"/>
      <c r="F859" s="746"/>
      <c r="G859" s="510"/>
      <c r="H859" s="510"/>
      <c r="I859" s="510"/>
      <c r="J859" s="510"/>
      <c r="K859" s="510"/>
      <c r="L859" s="510"/>
      <c r="M859" s="509"/>
      <c r="N859" s="508"/>
      <c r="O859" s="507"/>
      <c r="P859" s="507"/>
      <c r="Q859" s="505"/>
      <c r="R859" s="506"/>
      <c r="S859" s="506"/>
      <c r="T859" s="506"/>
      <c r="U859" s="505"/>
      <c r="V859" s="505"/>
      <c r="W859" s="505"/>
      <c r="X859" s="504"/>
      <c r="Y859" s="503"/>
      <c r="Z859" s="503"/>
      <c r="AA859" s="503"/>
      <c r="AB859" s="503"/>
      <c r="AC859" s="503"/>
      <c r="AD859" s="503"/>
      <c r="AE859" s="503"/>
      <c r="AF859" s="503"/>
    </row>
    <row r="860" spans="1:32" ht="15.75" customHeight="1">
      <c r="A860" s="503"/>
      <c r="B860" s="503"/>
      <c r="C860" s="510"/>
      <c r="D860" s="510"/>
      <c r="E860" s="510"/>
      <c r="F860" s="746"/>
      <c r="G860" s="510"/>
      <c r="H860" s="510"/>
      <c r="I860" s="510"/>
      <c r="J860" s="510"/>
      <c r="K860" s="510"/>
      <c r="L860" s="510"/>
      <c r="M860" s="509"/>
      <c r="N860" s="508"/>
      <c r="O860" s="507"/>
      <c r="P860" s="507"/>
      <c r="Q860" s="505"/>
      <c r="R860" s="506"/>
      <c r="S860" s="506"/>
      <c r="T860" s="506"/>
      <c r="U860" s="505"/>
      <c r="V860" s="505"/>
      <c r="W860" s="505"/>
      <c r="X860" s="504"/>
      <c r="Y860" s="503"/>
      <c r="Z860" s="503"/>
      <c r="AA860" s="503"/>
      <c r="AB860" s="503"/>
      <c r="AC860" s="503"/>
      <c r="AD860" s="503"/>
      <c r="AE860" s="503"/>
      <c r="AF860" s="503"/>
    </row>
    <row r="861" spans="1:32" ht="15.75" customHeight="1">
      <c r="A861" s="503"/>
      <c r="B861" s="503"/>
      <c r="C861" s="510"/>
      <c r="D861" s="510"/>
      <c r="E861" s="510"/>
      <c r="F861" s="746"/>
      <c r="G861" s="510"/>
      <c r="H861" s="510"/>
      <c r="I861" s="510"/>
      <c r="J861" s="510"/>
      <c r="K861" s="510"/>
      <c r="L861" s="510"/>
      <c r="M861" s="509"/>
      <c r="N861" s="508"/>
      <c r="O861" s="507"/>
      <c r="P861" s="507"/>
      <c r="Q861" s="505"/>
      <c r="R861" s="506"/>
      <c r="S861" s="506"/>
      <c r="T861" s="506"/>
      <c r="U861" s="505"/>
      <c r="V861" s="505"/>
      <c r="W861" s="505"/>
      <c r="X861" s="504"/>
      <c r="Y861" s="503"/>
      <c r="Z861" s="503"/>
      <c r="AA861" s="503"/>
      <c r="AB861" s="503"/>
      <c r="AC861" s="503"/>
      <c r="AD861" s="503"/>
      <c r="AE861" s="503"/>
      <c r="AF861" s="503"/>
    </row>
    <row r="862" spans="1:32" ht="15.75" customHeight="1">
      <c r="A862" s="503"/>
      <c r="B862" s="503"/>
      <c r="C862" s="510"/>
      <c r="D862" s="510"/>
      <c r="E862" s="510"/>
      <c r="F862" s="746"/>
      <c r="G862" s="510"/>
      <c r="H862" s="510"/>
      <c r="I862" s="510"/>
      <c r="J862" s="510"/>
      <c r="K862" s="510"/>
      <c r="L862" s="510"/>
      <c r="M862" s="509"/>
      <c r="N862" s="508"/>
      <c r="O862" s="507"/>
      <c r="P862" s="507"/>
      <c r="Q862" s="505"/>
      <c r="R862" s="506"/>
      <c r="S862" s="506"/>
      <c r="T862" s="506"/>
      <c r="U862" s="505"/>
      <c r="V862" s="505"/>
      <c r="W862" s="505"/>
      <c r="X862" s="504"/>
      <c r="Y862" s="503"/>
      <c r="Z862" s="503"/>
      <c r="AA862" s="503"/>
      <c r="AB862" s="503"/>
      <c r="AC862" s="503"/>
      <c r="AD862" s="503"/>
      <c r="AE862" s="503"/>
      <c r="AF862" s="503"/>
    </row>
    <row r="863" spans="1:32" ht="15.75" customHeight="1">
      <c r="A863" s="503"/>
      <c r="B863" s="503"/>
      <c r="C863" s="510"/>
      <c r="D863" s="510"/>
      <c r="E863" s="510"/>
      <c r="F863" s="746"/>
      <c r="G863" s="510"/>
      <c r="H863" s="510"/>
      <c r="I863" s="510"/>
      <c r="J863" s="510"/>
      <c r="K863" s="510"/>
      <c r="L863" s="510"/>
      <c r="M863" s="509"/>
      <c r="N863" s="508"/>
      <c r="O863" s="507"/>
      <c r="P863" s="507"/>
      <c r="Q863" s="505"/>
      <c r="R863" s="506"/>
      <c r="S863" s="506"/>
      <c r="T863" s="506"/>
      <c r="U863" s="505"/>
      <c r="V863" s="505"/>
      <c r="W863" s="505"/>
      <c r="X863" s="504"/>
      <c r="Y863" s="503"/>
      <c r="Z863" s="503"/>
      <c r="AA863" s="503"/>
      <c r="AB863" s="503"/>
      <c r="AC863" s="503"/>
      <c r="AD863" s="503"/>
      <c r="AE863" s="503"/>
      <c r="AF863" s="503"/>
    </row>
    <row r="864" spans="1:32" ht="15.75" customHeight="1">
      <c r="A864" s="503"/>
      <c r="B864" s="503"/>
      <c r="C864" s="510"/>
      <c r="D864" s="510"/>
      <c r="E864" s="510"/>
      <c r="F864" s="746"/>
      <c r="G864" s="510"/>
      <c r="H864" s="510"/>
      <c r="I864" s="510"/>
      <c r="J864" s="510"/>
      <c r="K864" s="510"/>
      <c r="L864" s="510"/>
      <c r="M864" s="509"/>
      <c r="N864" s="508"/>
      <c r="O864" s="507"/>
      <c r="P864" s="507"/>
      <c r="Q864" s="505"/>
      <c r="R864" s="506"/>
      <c r="S864" s="506"/>
      <c r="T864" s="506"/>
      <c r="U864" s="505"/>
      <c r="V864" s="505"/>
      <c r="W864" s="505"/>
      <c r="X864" s="504"/>
      <c r="Y864" s="503"/>
      <c r="Z864" s="503"/>
      <c r="AA864" s="503"/>
      <c r="AB864" s="503"/>
      <c r="AC864" s="503"/>
      <c r="AD864" s="503"/>
      <c r="AE864" s="503"/>
      <c r="AF864" s="503"/>
    </row>
    <row r="865" spans="1:32" ht="15.75" customHeight="1">
      <c r="A865" s="503"/>
      <c r="B865" s="503"/>
      <c r="C865" s="510"/>
      <c r="D865" s="510"/>
      <c r="E865" s="510"/>
      <c r="F865" s="746"/>
      <c r="G865" s="510"/>
      <c r="H865" s="510"/>
      <c r="I865" s="510"/>
      <c r="J865" s="510"/>
      <c r="K865" s="510"/>
      <c r="L865" s="510"/>
      <c r="M865" s="509"/>
      <c r="N865" s="508"/>
      <c r="O865" s="507"/>
      <c r="P865" s="507"/>
      <c r="Q865" s="505"/>
      <c r="R865" s="506"/>
      <c r="S865" s="506"/>
      <c r="T865" s="506"/>
      <c r="U865" s="505"/>
      <c r="V865" s="505"/>
      <c r="W865" s="505"/>
      <c r="X865" s="504"/>
      <c r="Y865" s="503"/>
      <c r="Z865" s="503"/>
      <c r="AA865" s="503"/>
      <c r="AB865" s="503"/>
      <c r="AC865" s="503"/>
      <c r="AD865" s="503"/>
      <c r="AE865" s="503"/>
      <c r="AF865" s="503"/>
    </row>
    <row r="866" spans="1:32" ht="15.75" customHeight="1">
      <c r="A866" s="503"/>
      <c r="B866" s="503"/>
      <c r="C866" s="510"/>
      <c r="D866" s="510"/>
      <c r="E866" s="510"/>
      <c r="F866" s="746"/>
      <c r="G866" s="510"/>
      <c r="H866" s="510"/>
      <c r="I866" s="510"/>
      <c r="J866" s="510"/>
      <c r="K866" s="510"/>
      <c r="L866" s="510"/>
      <c r="M866" s="509"/>
      <c r="N866" s="508"/>
      <c r="O866" s="507"/>
      <c r="P866" s="507"/>
      <c r="Q866" s="505"/>
      <c r="R866" s="506"/>
      <c r="S866" s="506"/>
      <c r="T866" s="506"/>
      <c r="U866" s="505"/>
      <c r="V866" s="505"/>
      <c r="W866" s="505"/>
      <c r="X866" s="504"/>
      <c r="Y866" s="503"/>
      <c r="Z866" s="503"/>
      <c r="AA866" s="503"/>
      <c r="AB866" s="503"/>
      <c r="AC866" s="503"/>
      <c r="AD866" s="503"/>
      <c r="AE866" s="503"/>
      <c r="AF866" s="503"/>
    </row>
    <row r="867" spans="1:32" ht="15.75" customHeight="1">
      <c r="A867" s="503"/>
      <c r="B867" s="503"/>
      <c r="C867" s="510"/>
      <c r="D867" s="510"/>
      <c r="E867" s="510"/>
      <c r="F867" s="746"/>
      <c r="G867" s="510"/>
      <c r="H867" s="510"/>
      <c r="I867" s="510"/>
      <c r="J867" s="510"/>
      <c r="K867" s="510"/>
      <c r="L867" s="510"/>
      <c r="M867" s="509"/>
      <c r="N867" s="508"/>
      <c r="O867" s="507"/>
      <c r="P867" s="507"/>
      <c r="Q867" s="505"/>
      <c r="R867" s="506"/>
      <c r="S867" s="506"/>
      <c r="T867" s="506"/>
      <c r="U867" s="505"/>
      <c r="V867" s="505"/>
      <c r="W867" s="505"/>
      <c r="X867" s="504"/>
      <c r="Y867" s="503"/>
      <c r="Z867" s="503"/>
      <c r="AA867" s="503"/>
      <c r="AB867" s="503"/>
      <c r="AC867" s="503"/>
      <c r="AD867" s="503"/>
      <c r="AE867" s="503"/>
      <c r="AF867" s="503"/>
    </row>
    <row r="868" spans="1:32" ht="15.75" customHeight="1">
      <c r="A868" s="503"/>
      <c r="B868" s="503"/>
      <c r="C868" s="510"/>
      <c r="D868" s="510"/>
      <c r="E868" s="510"/>
      <c r="F868" s="746"/>
      <c r="G868" s="510"/>
      <c r="H868" s="510"/>
      <c r="I868" s="510"/>
      <c r="J868" s="510"/>
      <c r="K868" s="510"/>
      <c r="L868" s="510"/>
      <c r="M868" s="509"/>
      <c r="N868" s="508"/>
      <c r="O868" s="507"/>
      <c r="P868" s="507"/>
      <c r="Q868" s="505"/>
      <c r="R868" s="506"/>
      <c r="S868" s="506"/>
      <c r="T868" s="506"/>
      <c r="U868" s="505"/>
      <c r="V868" s="505"/>
      <c r="W868" s="505"/>
      <c r="X868" s="504"/>
      <c r="Y868" s="503"/>
      <c r="Z868" s="503"/>
      <c r="AA868" s="503"/>
      <c r="AB868" s="503"/>
      <c r="AC868" s="503"/>
      <c r="AD868" s="503"/>
      <c r="AE868" s="503"/>
      <c r="AF868" s="503"/>
    </row>
    <row r="869" spans="1:32" ht="15.75" customHeight="1">
      <c r="A869" s="503"/>
      <c r="B869" s="503"/>
      <c r="C869" s="510"/>
      <c r="D869" s="510"/>
      <c r="E869" s="510"/>
      <c r="F869" s="746"/>
      <c r="G869" s="510"/>
      <c r="H869" s="510"/>
      <c r="I869" s="510"/>
      <c r="J869" s="510"/>
      <c r="K869" s="510"/>
      <c r="L869" s="510"/>
      <c r="M869" s="509"/>
      <c r="N869" s="508"/>
      <c r="O869" s="507"/>
      <c r="P869" s="507"/>
      <c r="Q869" s="505"/>
      <c r="R869" s="506"/>
      <c r="S869" s="506"/>
      <c r="T869" s="506"/>
      <c r="U869" s="505"/>
      <c r="V869" s="505"/>
      <c r="W869" s="505"/>
      <c r="X869" s="504"/>
      <c r="Y869" s="503"/>
      <c r="Z869" s="503"/>
      <c r="AA869" s="503"/>
      <c r="AB869" s="503"/>
      <c r="AC869" s="503"/>
      <c r="AD869" s="503"/>
      <c r="AE869" s="503"/>
      <c r="AF869" s="503"/>
    </row>
    <row r="870" spans="1:32" ht="15.75" customHeight="1">
      <c r="A870" s="503"/>
      <c r="B870" s="503"/>
      <c r="C870" s="510"/>
      <c r="D870" s="510"/>
      <c r="E870" s="510"/>
      <c r="F870" s="746"/>
      <c r="G870" s="510"/>
      <c r="H870" s="510"/>
      <c r="I870" s="510"/>
      <c r="J870" s="510"/>
      <c r="K870" s="510"/>
      <c r="L870" s="510"/>
      <c r="M870" s="509"/>
      <c r="N870" s="508"/>
      <c r="O870" s="507"/>
      <c r="P870" s="507"/>
      <c r="Q870" s="505"/>
      <c r="R870" s="506"/>
      <c r="S870" s="506"/>
      <c r="T870" s="506"/>
      <c r="U870" s="505"/>
      <c r="V870" s="505"/>
      <c r="W870" s="505"/>
      <c r="X870" s="504"/>
      <c r="Y870" s="503"/>
      <c r="Z870" s="503"/>
      <c r="AA870" s="503"/>
      <c r="AB870" s="503"/>
      <c r="AC870" s="503"/>
      <c r="AD870" s="503"/>
      <c r="AE870" s="503"/>
      <c r="AF870" s="503"/>
    </row>
    <row r="871" spans="1:32" ht="15.75" customHeight="1">
      <c r="A871" s="503"/>
      <c r="B871" s="503"/>
      <c r="C871" s="510"/>
      <c r="D871" s="510"/>
      <c r="E871" s="510"/>
      <c r="F871" s="746"/>
      <c r="G871" s="510"/>
      <c r="H871" s="510"/>
      <c r="I871" s="510"/>
      <c r="J871" s="510"/>
      <c r="K871" s="510"/>
      <c r="L871" s="510"/>
      <c r="M871" s="509"/>
      <c r="N871" s="508"/>
      <c r="O871" s="507"/>
      <c r="P871" s="507"/>
      <c r="Q871" s="505"/>
      <c r="R871" s="506"/>
      <c r="S871" s="506"/>
      <c r="T871" s="506"/>
      <c r="U871" s="505"/>
      <c r="V871" s="505"/>
      <c r="W871" s="505"/>
      <c r="X871" s="504"/>
      <c r="Y871" s="503"/>
      <c r="Z871" s="503"/>
      <c r="AA871" s="503"/>
      <c r="AB871" s="503"/>
      <c r="AC871" s="503"/>
      <c r="AD871" s="503"/>
      <c r="AE871" s="503"/>
      <c r="AF871" s="503"/>
    </row>
    <row r="872" spans="1:32" ht="15.75" customHeight="1">
      <c r="A872" s="503"/>
      <c r="B872" s="503"/>
      <c r="C872" s="510"/>
      <c r="D872" s="510"/>
      <c r="E872" s="510"/>
      <c r="F872" s="746"/>
      <c r="G872" s="510"/>
      <c r="H872" s="510"/>
      <c r="I872" s="510"/>
      <c r="J872" s="510"/>
      <c r="K872" s="510"/>
      <c r="L872" s="510"/>
      <c r="M872" s="509"/>
      <c r="N872" s="508"/>
      <c r="O872" s="507"/>
      <c r="P872" s="507"/>
      <c r="Q872" s="505"/>
      <c r="R872" s="506"/>
      <c r="S872" s="506"/>
      <c r="T872" s="506"/>
      <c r="U872" s="505"/>
      <c r="V872" s="505"/>
      <c r="W872" s="505"/>
      <c r="X872" s="504"/>
      <c r="Y872" s="503"/>
      <c r="Z872" s="503"/>
      <c r="AA872" s="503"/>
      <c r="AB872" s="503"/>
      <c r="AC872" s="503"/>
      <c r="AD872" s="503"/>
      <c r="AE872" s="503"/>
      <c r="AF872" s="503"/>
    </row>
    <row r="873" spans="1:32" ht="15.75" customHeight="1">
      <c r="A873" s="503"/>
      <c r="B873" s="503"/>
      <c r="C873" s="510"/>
      <c r="D873" s="510"/>
      <c r="E873" s="510"/>
      <c r="F873" s="746"/>
      <c r="G873" s="510"/>
      <c r="H873" s="510"/>
      <c r="I873" s="510"/>
      <c r="J873" s="510"/>
      <c r="K873" s="510"/>
      <c r="L873" s="510"/>
      <c r="M873" s="509"/>
      <c r="N873" s="508"/>
      <c r="O873" s="507"/>
      <c r="P873" s="507"/>
      <c r="Q873" s="505"/>
      <c r="R873" s="506"/>
      <c r="S873" s="506"/>
      <c r="T873" s="506"/>
      <c r="U873" s="505"/>
      <c r="V873" s="505"/>
      <c r="W873" s="505"/>
      <c r="X873" s="504"/>
      <c r="Y873" s="503"/>
      <c r="Z873" s="503"/>
      <c r="AA873" s="503"/>
      <c r="AB873" s="503"/>
      <c r="AC873" s="503"/>
      <c r="AD873" s="503"/>
      <c r="AE873" s="503"/>
      <c r="AF873" s="503"/>
    </row>
    <row r="874" spans="1:32" ht="15.75" customHeight="1">
      <c r="A874" s="503"/>
      <c r="B874" s="503"/>
      <c r="C874" s="510"/>
      <c r="D874" s="510"/>
      <c r="E874" s="510"/>
      <c r="F874" s="746"/>
      <c r="G874" s="510"/>
      <c r="H874" s="510"/>
      <c r="I874" s="510"/>
      <c r="J874" s="510"/>
      <c r="K874" s="510"/>
      <c r="L874" s="510"/>
      <c r="M874" s="509"/>
      <c r="N874" s="508"/>
      <c r="O874" s="507"/>
      <c r="P874" s="507"/>
      <c r="Q874" s="505"/>
      <c r="R874" s="506"/>
      <c r="S874" s="506"/>
      <c r="T874" s="506"/>
      <c r="U874" s="505"/>
      <c r="V874" s="505"/>
      <c r="W874" s="505"/>
      <c r="X874" s="504"/>
      <c r="Y874" s="503"/>
      <c r="Z874" s="503"/>
      <c r="AA874" s="503"/>
      <c r="AB874" s="503"/>
      <c r="AC874" s="503"/>
      <c r="AD874" s="503"/>
      <c r="AE874" s="503"/>
      <c r="AF874" s="503"/>
    </row>
    <row r="875" spans="1:32" ht="15.75" customHeight="1">
      <c r="A875" s="503"/>
      <c r="B875" s="503"/>
      <c r="C875" s="510"/>
      <c r="D875" s="510"/>
      <c r="E875" s="510"/>
      <c r="F875" s="746"/>
      <c r="G875" s="510"/>
      <c r="H875" s="510"/>
      <c r="I875" s="510"/>
      <c r="J875" s="510"/>
      <c r="K875" s="510"/>
      <c r="L875" s="510"/>
      <c r="M875" s="509"/>
      <c r="N875" s="508"/>
      <c r="O875" s="507"/>
      <c r="P875" s="507"/>
      <c r="Q875" s="505"/>
      <c r="R875" s="506"/>
      <c r="S875" s="506"/>
      <c r="T875" s="506"/>
      <c r="U875" s="505"/>
      <c r="V875" s="505"/>
      <c r="W875" s="505"/>
      <c r="X875" s="504"/>
      <c r="Y875" s="503"/>
      <c r="Z875" s="503"/>
      <c r="AA875" s="503"/>
      <c r="AB875" s="503"/>
      <c r="AC875" s="503"/>
      <c r="AD875" s="503"/>
      <c r="AE875" s="503"/>
      <c r="AF875" s="503"/>
    </row>
    <row r="876" spans="1:32" ht="15.75" customHeight="1">
      <c r="A876" s="503"/>
      <c r="B876" s="503"/>
      <c r="C876" s="510"/>
      <c r="D876" s="510"/>
      <c r="E876" s="510"/>
      <c r="F876" s="746"/>
      <c r="G876" s="510"/>
      <c r="H876" s="510"/>
      <c r="I876" s="510"/>
      <c r="J876" s="510"/>
      <c r="K876" s="510"/>
      <c r="L876" s="510"/>
      <c r="M876" s="509"/>
      <c r="N876" s="508"/>
      <c r="O876" s="507"/>
      <c r="P876" s="507"/>
      <c r="Q876" s="505"/>
      <c r="R876" s="506"/>
      <c r="S876" s="506"/>
      <c r="T876" s="506"/>
      <c r="U876" s="505"/>
      <c r="V876" s="505"/>
      <c r="W876" s="505"/>
      <c r="X876" s="504"/>
      <c r="Y876" s="503"/>
      <c r="Z876" s="503"/>
      <c r="AA876" s="503"/>
      <c r="AB876" s="503"/>
      <c r="AC876" s="503"/>
      <c r="AD876" s="503"/>
      <c r="AE876" s="503"/>
      <c r="AF876" s="503"/>
    </row>
    <row r="877" spans="1:32" ht="15.75" customHeight="1">
      <c r="A877" s="503"/>
      <c r="B877" s="503"/>
      <c r="C877" s="510"/>
      <c r="D877" s="510"/>
      <c r="E877" s="510"/>
      <c r="F877" s="746"/>
      <c r="G877" s="510"/>
      <c r="H877" s="510"/>
      <c r="I877" s="510"/>
      <c r="J877" s="510"/>
      <c r="K877" s="510"/>
      <c r="L877" s="510"/>
      <c r="M877" s="509"/>
      <c r="N877" s="508"/>
      <c r="O877" s="507"/>
      <c r="P877" s="507"/>
      <c r="Q877" s="505"/>
      <c r="R877" s="506"/>
      <c r="S877" s="506"/>
      <c r="T877" s="506"/>
      <c r="U877" s="505"/>
      <c r="V877" s="505"/>
      <c r="W877" s="505"/>
      <c r="X877" s="504"/>
      <c r="Y877" s="503"/>
      <c r="Z877" s="503"/>
      <c r="AA877" s="503"/>
      <c r="AB877" s="503"/>
      <c r="AC877" s="503"/>
      <c r="AD877" s="503"/>
      <c r="AE877" s="503"/>
      <c r="AF877" s="503"/>
    </row>
    <row r="878" spans="1:32" ht="15.75" customHeight="1">
      <c r="A878" s="503"/>
      <c r="B878" s="503"/>
      <c r="C878" s="510"/>
      <c r="D878" s="510"/>
      <c r="E878" s="510"/>
      <c r="F878" s="746"/>
      <c r="G878" s="510"/>
      <c r="H878" s="510"/>
      <c r="I878" s="510"/>
      <c r="J878" s="510"/>
      <c r="K878" s="510"/>
      <c r="L878" s="510"/>
      <c r="M878" s="509"/>
      <c r="N878" s="508"/>
      <c r="O878" s="507"/>
      <c r="P878" s="507"/>
      <c r="Q878" s="505"/>
      <c r="R878" s="506"/>
      <c r="S878" s="506"/>
      <c r="T878" s="506"/>
      <c r="U878" s="505"/>
      <c r="V878" s="505"/>
      <c r="W878" s="505"/>
      <c r="X878" s="504"/>
      <c r="Y878" s="503"/>
      <c r="Z878" s="503"/>
      <c r="AA878" s="503"/>
      <c r="AB878" s="503"/>
      <c r="AC878" s="503"/>
      <c r="AD878" s="503"/>
      <c r="AE878" s="503"/>
      <c r="AF878" s="503"/>
    </row>
    <row r="879" spans="1:32" ht="15.75" customHeight="1">
      <c r="A879" s="503"/>
      <c r="B879" s="503"/>
      <c r="C879" s="510"/>
      <c r="D879" s="510"/>
      <c r="E879" s="510"/>
      <c r="F879" s="746"/>
      <c r="G879" s="510"/>
      <c r="H879" s="510"/>
      <c r="I879" s="510"/>
      <c r="J879" s="510"/>
      <c r="K879" s="510"/>
      <c r="L879" s="510"/>
      <c r="M879" s="509"/>
      <c r="N879" s="508"/>
      <c r="O879" s="507"/>
      <c r="P879" s="507"/>
      <c r="Q879" s="505"/>
      <c r="R879" s="506"/>
      <c r="S879" s="506"/>
      <c r="T879" s="506"/>
      <c r="U879" s="505"/>
      <c r="V879" s="505"/>
      <c r="W879" s="505"/>
      <c r="X879" s="504"/>
      <c r="Y879" s="503"/>
      <c r="Z879" s="503"/>
      <c r="AA879" s="503"/>
      <c r="AB879" s="503"/>
      <c r="AC879" s="503"/>
      <c r="AD879" s="503"/>
      <c r="AE879" s="503"/>
      <c r="AF879" s="503"/>
    </row>
    <row r="880" spans="1:32" ht="15.75" customHeight="1">
      <c r="A880" s="503"/>
      <c r="B880" s="503"/>
      <c r="C880" s="510"/>
      <c r="D880" s="510"/>
      <c r="E880" s="510"/>
      <c r="F880" s="746"/>
      <c r="G880" s="510"/>
      <c r="H880" s="510"/>
      <c r="I880" s="510"/>
      <c r="J880" s="510"/>
      <c r="K880" s="510"/>
      <c r="L880" s="510"/>
      <c r="M880" s="509"/>
      <c r="N880" s="508"/>
      <c r="O880" s="507"/>
      <c r="P880" s="507"/>
      <c r="Q880" s="505"/>
      <c r="R880" s="506"/>
      <c r="S880" s="506"/>
      <c r="T880" s="506"/>
      <c r="U880" s="505"/>
      <c r="V880" s="505"/>
      <c r="W880" s="505"/>
      <c r="X880" s="504"/>
      <c r="Y880" s="503"/>
      <c r="Z880" s="503"/>
      <c r="AA880" s="503"/>
      <c r="AB880" s="503"/>
      <c r="AC880" s="503"/>
      <c r="AD880" s="503"/>
      <c r="AE880" s="503"/>
      <c r="AF880" s="503"/>
    </row>
    <row r="881" spans="1:32" ht="15.75" customHeight="1">
      <c r="A881" s="503"/>
      <c r="B881" s="503"/>
      <c r="C881" s="510"/>
      <c r="D881" s="510"/>
      <c r="E881" s="510"/>
      <c r="F881" s="746"/>
      <c r="G881" s="510"/>
      <c r="H881" s="510"/>
      <c r="I881" s="510"/>
      <c r="J881" s="510"/>
      <c r="K881" s="510"/>
      <c r="L881" s="510"/>
      <c r="M881" s="509"/>
      <c r="N881" s="508"/>
      <c r="O881" s="507"/>
      <c r="P881" s="507"/>
      <c r="Q881" s="505"/>
      <c r="R881" s="506"/>
      <c r="S881" s="506"/>
      <c r="T881" s="506"/>
      <c r="U881" s="505"/>
      <c r="V881" s="505"/>
      <c r="W881" s="505"/>
      <c r="X881" s="504"/>
      <c r="Y881" s="503"/>
      <c r="Z881" s="503"/>
      <c r="AA881" s="503"/>
      <c r="AB881" s="503"/>
      <c r="AC881" s="503"/>
      <c r="AD881" s="503"/>
      <c r="AE881" s="503"/>
      <c r="AF881" s="503"/>
    </row>
    <row r="882" spans="1:32" ht="15.75" customHeight="1">
      <c r="A882" s="503"/>
      <c r="B882" s="503"/>
      <c r="C882" s="510"/>
      <c r="D882" s="510"/>
      <c r="E882" s="510"/>
      <c r="F882" s="746"/>
      <c r="G882" s="510"/>
      <c r="H882" s="510"/>
      <c r="I882" s="510"/>
      <c r="J882" s="510"/>
      <c r="K882" s="510"/>
      <c r="L882" s="510"/>
      <c r="M882" s="509"/>
      <c r="N882" s="508"/>
      <c r="O882" s="507"/>
      <c r="P882" s="507"/>
      <c r="Q882" s="505"/>
      <c r="R882" s="506"/>
      <c r="S882" s="506"/>
      <c r="T882" s="506"/>
      <c r="U882" s="505"/>
      <c r="V882" s="505"/>
      <c r="W882" s="505"/>
      <c r="X882" s="504"/>
      <c r="Y882" s="503"/>
      <c r="Z882" s="503"/>
      <c r="AA882" s="503"/>
      <c r="AB882" s="503"/>
      <c r="AC882" s="503"/>
      <c r="AD882" s="503"/>
      <c r="AE882" s="503"/>
      <c r="AF882" s="503"/>
    </row>
    <row r="883" spans="1:32" ht="15.75" customHeight="1">
      <c r="A883" s="503"/>
      <c r="B883" s="503"/>
      <c r="C883" s="510"/>
      <c r="D883" s="510"/>
      <c r="E883" s="510"/>
      <c r="F883" s="746"/>
      <c r="G883" s="510"/>
      <c r="H883" s="510"/>
      <c r="I883" s="510"/>
      <c r="J883" s="510"/>
      <c r="K883" s="510"/>
      <c r="L883" s="510"/>
      <c r="M883" s="509"/>
      <c r="N883" s="508"/>
      <c r="O883" s="507"/>
      <c r="P883" s="507"/>
      <c r="Q883" s="505"/>
      <c r="R883" s="506"/>
      <c r="S883" s="506"/>
      <c r="T883" s="506"/>
      <c r="U883" s="505"/>
      <c r="V883" s="505"/>
      <c r="W883" s="505"/>
      <c r="X883" s="504"/>
      <c r="Y883" s="503"/>
      <c r="Z883" s="503"/>
      <c r="AA883" s="503"/>
      <c r="AB883" s="503"/>
      <c r="AC883" s="503"/>
      <c r="AD883" s="503"/>
      <c r="AE883" s="503"/>
      <c r="AF883" s="503"/>
    </row>
    <row r="884" spans="1:32" ht="15.75" customHeight="1">
      <c r="A884" s="503"/>
      <c r="B884" s="503"/>
      <c r="C884" s="510"/>
      <c r="D884" s="510"/>
      <c r="E884" s="510"/>
      <c r="F884" s="746"/>
      <c r="G884" s="510"/>
      <c r="H884" s="510"/>
      <c r="I884" s="510"/>
      <c r="J884" s="510"/>
      <c r="K884" s="510"/>
      <c r="L884" s="510"/>
      <c r="M884" s="509"/>
      <c r="N884" s="508"/>
      <c r="O884" s="507"/>
      <c r="P884" s="507"/>
      <c r="Q884" s="505"/>
      <c r="R884" s="506"/>
      <c r="S884" s="506"/>
      <c r="T884" s="506"/>
      <c r="U884" s="505"/>
      <c r="V884" s="505"/>
      <c r="W884" s="505"/>
      <c r="X884" s="504"/>
      <c r="Y884" s="503"/>
      <c r="Z884" s="503"/>
      <c r="AA884" s="503"/>
      <c r="AB884" s="503"/>
      <c r="AC884" s="503"/>
      <c r="AD884" s="503"/>
      <c r="AE884" s="503"/>
      <c r="AF884" s="503"/>
    </row>
    <row r="885" spans="1:32" ht="15.75" customHeight="1">
      <c r="A885" s="503"/>
      <c r="B885" s="503"/>
      <c r="C885" s="510"/>
      <c r="D885" s="510"/>
      <c r="E885" s="510"/>
      <c r="F885" s="746"/>
      <c r="G885" s="510"/>
      <c r="H885" s="510"/>
      <c r="I885" s="510"/>
      <c r="J885" s="510"/>
      <c r="K885" s="510"/>
      <c r="L885" s="510"/>
      <c r="M885" s="509"/>
      <c r="N885" s="508"/>
      <c r="O885" s="507"/>
      <c r="P885" s="507"/>
      <c r="Q885" s="505"/>
      <c r="R885" s="506"/>
      <c r="S885" s="506"/>
      <c r="T885" s="506"/>
      <c r="U885" s="505"/>
      <c r="V885" s="505"/>
      <c r="W885" s="505"/>
      <c r="X885" s="504"/>
      <c r="Y885" s="503"/>
      <c r="Z885" s="503"/>
      <c r="AA885" s="503"/>
      <c r="AB885" s="503"/>
      <c r="AC885" s="503"/>
      <c r="AD885" s="503"/>
      <c r="AE885" s="503"/>
      <c r="AF885" s="503"/>
    </row>
    <row r="886" spans="1:32" ht="15.75" customHeight="1">
      <c r="A886" s="503"/>
      <c r="B886" s="503"/>
      <c r="C886" s="510"/>
      <c r="D886" s="510"/>
      <c r="E886" s="510"/>
      <c r="F886" s="746"/>
      <c r="G886" s="510"/>
      <c r="H886" s="510"/>
      <c r="I886" s="510"/>
      <c r="J886" s="510"/>
      <c r="K886" s="510"/>
      <c r="L886" s="510"/>
      <c r="M886" s="509"/>
      <c r="N886" s="508"/>
      <c r="O886" s="507"/>
      <c r="P886" s="507"/>
      <c r="Q886" s="505"/>
      <c r="R886" s="506"/>
      <c r="S886" s="506"/>
      <c r="T886" s="506"/>
      <c r="U886" s="505"/>
      <c r="V886" s="505"/>
      <c r="W886" s="505"/>
      <c r="X886" s="504"/>
      <c r="Y886" s="503"/>
      <c r="Z886" s="503"/>
      <c r="AA886" s="503"/>
      <c r="AB886" s="503"/>
      <c r="AC886" s="503"/>
      <c r="AD886" s="503"/>
      <c r="AE886" s="503"/>
      <c r="AF886" s="503"/>
    </row>
    <row r="887" spans="1:32" ht="15.75" customHeight="1">
      <c r="A887" s="503"/>
      <c r="B887" s="503"/>
      <c r="C887" s="510"/>
      <c r="D887" s="510"/>
      <c r="E887" s="510"/>
      <c r="F887" s="746"/>
      <c r="G887" s="510"/>
      <c r="H887" s="510"/>
      <c r="I887" s="510"/>
      <c r="J887" s="510"/>
      <c r="K887" s="510"/>
      <c r="L887" s="510"/>
      <c r="M887" s="509"/>
      <c r="N887" s="508"/>
      <c r="O887" s="507"/>
      <c r="P887" s="507"/>
      <c r="Q887" s="505"/>
      <c r="R887" s="506"/>
      <c r="S887" s="506"/>
      <c r="T887" s="506"/>
      <c r="U887" s="505"/>
      <c r="V887" s="505"/>
      <c r="W887" s="505"/>
      <c r="X887" s="504"/>
      <c r="Y887" s="503"/>
      <c r="Z887" s="503"/>
      <c r="AA887" s="503"/>
      <c r="AB887" s="503"/>
      <c r="AC887" s="503"/>
      <c r="AD887" s="503"/>
      <c r="AE887" s="503"/>
      <c r="AF887" s="503"/>
    </row>
    <row r="888" spans="1:32" ht="15.75" customHeight="1">
      <c r="A888" s="503"/>
      <c r="B888" s="503"/>
      <c r="C888" s="510"/>
      <c r="D888" s="510"/>
      <c r="E888" s="510"/>
      <c r="F888" s="746"/>
      <c r="G888" s="510"/>
      <c r="H888" s="510"/>
      <c r="I888" s="510"/>
      <c r="J888" s="510"/>
      <c r="K888" s="510"/>
      <c r="L888" s="510"/>
      <c r="M888" s="509"/>
      <c r="N888" s="508"/>
      <c r="O888" s="507"/>
      <c r="P888" s="507"/>
      <c r="Q888" s="505"/>
      <c r="R888" s="506"/>
      <c r="S888" s="506"/>
      <c r="T888" s="506"/>
      <c r="U888" s="505"/>
      <c r="V888" s="505"/>
      <c r="W888" s="505"/>
      <c r="X888" s="504"/>
      <c r="Y888" s="503"/>
      <c r="Z888" s="503"/>
      <c r="AA888" s="503"/>
      <c r="AB888" s="503"/>
      <c r="AC888" s="503"/>
      <c r="AD888" s="503"/>
      <c r="AE888" s="503"/>
      <c r="AF888" s="503"/>
    </row>
    <row r="889" spans="1:32" ht="15.75" customHeight="1">
      <c r="A889" s="503"/>
      <c r="B889" s="503"/>
      <c r="C889" s="510"/>
      <c r="D889" s="510"/>
      <c r="E889" s="510"/>
      <c r="F889" s="746"/>
      <c r="G889" s="510"/>
      <c r="H889" s="510"/>
      <c r="I889" s="510"/>
      <c r="J889" s="510"/>
      <c r="K889" s="510"/>
      <c r="L889" s="510"/>
      <c r="M889" s="509"/>
      <c r="N889" s="508"/>
      <c r="O889" s="507"/>
      <c r="P889" s="507"/>
      <c r="Q889" s="505"/>
      <c r="R889" s="506"/>
      <c r="S889" s="506"/>
      <c r="T889" s="506"/>
      <c r="U889" s="505"/>
      <c r="V889" s="505"/>
      <c r="W889" s="505"/>
      <c r="X889" s="504"/>
      <c r="Y889" s="503"/>
      <c r="Z889" s="503"/>
      <c r="AA889" s="503"/>
      <c r="AB889" s="503"/>
      <c r="AC889" s="503"/>
      <c r="AD889" s="503"/>
      <c r="AE889" s="503"/>
      <c r="AF889" s="503"/>
    </row>
    <row r="890" spans="1:32" ht="15.75" customHeight="1">
      <c r="A890" s="503"/>
      <c r="B890" s="503"/>
      <c r="C890" s="510"/>
      <c r="D890" s="510"/>
      <c r="E890" s="510"/>
      <c r="F890" s="746"/>
      <c r="G890" s="510"/>
      <c r="H890" s="510"/>
      <c r="I890" s="510"/>
      <c r="J890" s="510"/>
      <c r="K890" s="510"/>
      <c r="L890" s="510"/>
      <c r="M890" s="509"/>
      <c r="N890" s="508"/>
      <c r="O890" s="507"/>
      <c r="P890" s="507"/>
      <c r="Q890" s="505"/>
      <c r="R890" s="506"/>
      <c r="S890" s="506"/>
      <c r="T890" s="506"/>
      <c r="U890" s="505"/>
      <c r="V890" s="505"/>
      <c r="W890" s="505"/>
      <c r="X890" s="504"/>
      <c r="Y890" s="503"/>
      <c r="Z890" s="503"/>
      <c r="AA890" s="503"/>
      <c r="AB890" s="503"/>
      <c r="AC890" s="503"/>
      <c r="AD890" s="503"/>
      <c r="AE890" s="503"/>
      <c r="AF890" s="503"/>
    </row>
    <row r="891" spans="1:32" ht="15.75" customHeight="1">
      <c r="A891" s="503"/>
      <c r="B891" s="503"/>
      <c r="C891" s="510"/>
      <c r="D891" s="510"/>
      <c r="E891" s="510"/>
      <c r="F891" s="746"/>
      <c r="G891" s="510"/>
      <c r="H891" s="510"/>
      <c r="I891" s="510"/>
      <c r="J891" s="510"/>
      <c r="K891" s="510"/>
      <c r="L891" s="510"/>
      <c r="M891" s="509"/>
      <c r="N891" s="508"/>
      <c r="O891" s="507"/>
      <c r="P891" s="507"/>
      <c r="Q891" s="505"/>
      <c r="R891" s="506"/>
      <c r="S891" s="506"/>
      <c r="T891" s="506"/>
      <c r="U891" s="505"/>
      <c r="V891" s="505"/>
      <c r="W891" s="505"/>
      <c r="X891" s="504"/>
      <c r="Y891" s="503"/>
      <c r="Z891" s="503"/>
      <c r="AA891" s="503"/>
      <c r="AB891" s="503"/>
      <c r="AC891" s="503"/>
      <c r="AD891" s="503"/>
      <c r="AE891" s="503"/>
      <c r="AF891" s="503"/>
    </row>
    <row r="892" spans="1:32" ht="15.75" customHeight="1">
      <c r="A892" s="503"/>
      <c r="B892" s="503"/>
      <c r="C892" s="510"/>
      <c r="D892" s="510"/>
      <c r="E892" s="510"/>
      <c r="F892" s="746"/>
      <c r="G892" s="510"/>
      <c r="H892" s="510"/>
      <c r="I892" s="510"/>
      <c r="J892" s="510"/>
      <c r="K892" s="510"/>
      <c r="L892" s="510"/>
      <c r="M892" s="509"/>
      <c r="N892" s="508"/>
      <c r="O892" s="507"/>
      <c r="P892" s="507"/>
      <c r="Q892" s="505"/>
      <c r="R892" s="506"/>
      <c r="S892" s="506"/>
      <c r="T892" s="506"/>
      <c r="U892" s="505"/>
      <c r="V892" s="505"/>
      <c r="W892" s="505"/>
      <c r="X892" s="504"/>
      <c r="Y892" s="503"/>
      <c r="Z892" s="503"/>
      <c r="AA892" s="503"/>
      <c r="AB892" s="503"/>
      <c r="AC892" s="503"/>
      <c r="AD892" s="503"/>
      <c r="AE892" s="503"/>
      <c r="AF892" s="503"/>
    </row>
    <row r="893" spans="1:32" ht="15.75" customHeight="1">
      <c r="A893" s="503"/>
      <c r="B893" s="503"/>
      <c r="C893" s="510"/>
      <c r="D893" s="510"/>
      <c r="E893" s="510"/>
      <c r="F893" s="746"/>
      <c r="G893" s="510"/>
      <c r="H893" s="510"/>
      <c r="I893" s="510"/>
      <c r="J893" s="510"/>
      <c r="K893" s="510"/>
      <c r="L893" s="510"/>
      <c r="M893" s="509"/>
      <c r="N893" s="508"/>
      <c r="O893" s="507"/>
      <c r="P893" s="507"/>
      <c r="Q893" s="505"/>
      <c r="R893" s="506"/>
      <c r="S893" s="506"/>
      <c r="T893" s="506"/>
      <c r="U893" s="505"/>
      <c r="V893" s="505"/>
      <c r="W893" s="505"/>
      <c r="X893" s="504"/>
      <c r="Y893" s="503"/>
      <c r="Z893" s="503"/>
      <c r="AA893" s="503"/>
      <c r="AB893" s="503"/>
      <c r="AC893" s="503"/>
      <c r="AD893" s="503"/>
      <c r="AE893" s="503"/>
      <c r="AF893" s="503"/>
    </row>
    <row r="894" spans="1:32" ht="15.75" customHeight="1">
      <c r="A894" s="503"/>
      <c r="B894" s="503"/>
      <c r="C894" s="510"/>
      <c r="D894" s="510"/>
      <c r="E894" s="510"/>
      <c r="F894" s="746"/>
      <c r="G894" s="510"/>
      <c r="H894" s="510"/>
      <c r="I894" s="510"/>
      <c r="J894" s="510"/>
      <c r="K894" s="510"/>
      <c r="L894" s="510"/>
      <c r="M894" s="509"/>
      <c r="N894" s="508"/>
      <c r="O894" s="507"/>
      <c r="P894" s="507"/>
      <c r="Q894" s="505"/>
      <c r="R894" s="506"/>
      <c r="S894" s="506"/>
      <c r="T894" s="506"/>
      <c r="U894" s="505"/>
      <c r="V894" s="505"/>
      <c r="W894" s="505"/>
      <c r="X894" s="504"/>
      <c r="Y894" s="503"/>
      <c r="Z894" s="503"/>
      <c r="AA894" s="503"/>
      <c r="AB894" s="503"/>
      <c r="AC894" s="503"/>
      <c r="AD894" s="503"/>
      <c r="AE894" s="503"/>
      <c r="AF894" s="503"/>
    </row>
    <row r="895" spans="1:32" ht="15.75" customHeight="1">
      <c r="A895" s="503"/>
      <c r="B895" s="503"/>
      <c r="C895" s="510"/>
      <c r="D895" s="510"/>
      <c r="E895" s="510"/>
      <c r="F895" s="746"/>
      <c r="G895" s="510"/>
      <c r="H895" s="510"/>
      <c r="I895" s="510"/>
      <c r="J895" s="510"/>
      <c r="K895" s="510"/>
      <c r="L895" s="510"/>
      <c r="M895" s="509"/>
      <c r="N895" s="508"/>
      <c r="O895" s="507"/>
      <c r="P895" s="507"/>
      <c r="Q895" s="505"/>
      <c r="R895" s="506"/>
      <c r="S895" s="506"/>
      <c r="T895" s="506"/>
      <c r="U895" s="505"/>
      <c r="V895" s="505"/>
      <c r="W895" s="505"/>
      <c r="X895" s="504"/>
      <c r="Y895" s="503"/>
      <c r="Z895" s="503"/>
      <c r="AA895" s="503"/>
      <c r="AB895" s="503"/>
      <c r="AC895" s="503"/>
      <c r="AD895" s="503"/>
      <c r="AE895" s="503"/>
      <c r="AF895" s="503"/>
    </row>
    <row r="896" spans="1:32" ht="15.75" customHeight="1">
      <c r="A896" s="503"/>
      <c r="B896" s="503"/>
      <c r="C896" s="510"/>
      <c r="D896" s="510"/>
      <c r="E896" s="510"/>
      <c r="F896" s="746"/>
      <c r="G896" s="510"/>
      <c r="H896" s="510"/>
      <c r="I896" s="510"/>
      <c r="J896" s="510"/>
      <c r="K896" s="510"/>
      <c r="L896" s="510"/>
      <c r="M896" s="509"/>
      <c r="N896" s="508"/>
      <c r="O896" s="507"/>
      <c r="P896" s="507"/>
      <c r="Q896" s="505"/>
      <c r="R896" s="506"/>
      <c r="S896" s="506"/>
      <c r="T896" s="506"/>
      <c r="U896" s="505"/>
      <c r="V896" s="505"/>
      <c r="W896" s="505"/>
      <c r="X896" s="504"/>
      <c r="Y896" s="503"/>
      <c r="Z896" s="503"/>
      <c r="AA896" s="503"/>
      <c r="AB896" s="503"/>
      <c r="AC896" s="503"/>
      <c r="AD896" s="503"/>
      <c r="AE896" s="503"/>
      <c r="AF896" s="503"/>
    </row>
    <row r="897" spans="1:32" ht="15.75" customHeight="1">
      <c r="A897" s="503"/>
      <c r="B897" s="503"/>
      <c r="C897" s="510"/>
      <c r="D897" s="510"/>
      <c r="E897" s="510"/>
      <c r="F897" s="746"/>
      <c r="G897" s="510"/>
      <c r="H897" s="510"/>
      <c r="I897" s="510"/>
      <c r="J897" s="510"/>
      <c r="K897" s="510"/>
      <c r="L897" s="510"/>
      <c r="M897" s="509"/>
      <c r="N897" s="508"/>
      <c r="O897" s="507"/>
      <c r="P897" s="507"/>
      <c r="Q897" s="505"/>
      <c r="R897" s="506"/>
      <c r="S897" s="506"/>
      <c r="T897" s="506"/>
      <c r="U897" s="505"/>
      <c r="V897" s="505"/>
      <c r="W897" s="505"/>
      <c r="X897" s="504"/>
      <c r="Y897" s="503"/>
      <c r="Z897" s="503"/>
      <c r="AA897" s="503"/>
      <c r="AB897" s="503"/>
      <c r="AC897" s="503"/>
      <c r="AD897" s="503"/>
      <c r="AE897" s="503"/>
      <c r="AF897" s="503"/>
    </row>
    <row r="898" spans="1:32" ht="15.75" customHeight="1">
      <c r="A898" s="503"/>
      <c r="B898" s="503"/>
      <c r="C898" s="510"/>
      <c r="D898" s="510"/>
      <c r="E898" s="510"/>
      <c r="F898" s="746"/>
      <c r="G898" s="510"/>
      <c r="H898" s="510"/>
      <c r="I898" s="510"/>
      <c r="J898" s="510"/>
      <c r="K898" s="510"/>
      <c r="L898" s="510"/>
      <c r="M898" s="509"/>
      <c r="N898" s="508"/>
      <c r="O898" s="507"/>
      <c r="P898" s="507"/>
      <c r="Q898" s="505"/>
      <c r="R898" s="506"/>
      <c r="S898" s="506"/>
      <c r="T898" s="506"/>
      <c r="U898" s="505"/>
      <c r="V898" s="505"/>
      <c r="W898" s="505"/>
      <c r="X898" s="504"/>
      <c r="Y898" s="503"/>
      <c r="Z898" s="503"/>
      <c r="AA898" s="503"/>
      <c r="AB898" s="503"/>
      <c r="AC898" s="503"/>
      <c r="AD898" s="503"/>
      <c r="AE898" s="503"/>
      <c r="AF898" s="503"/>
    </row>
    <row r="899" spans="1:32" ht="15.75" customHeight="1">
      <c r="A899" s="503"/>
      <c r="B899" s="503"/>
      <c r="C899" s="510"/>
      <c r="D899" s="510"/>
      <c r="E899" s="510"/>
      <c r="F899" s="746"/>
      <c r="G899" s="510"/>
      <c r="H899" s="510"/>
      <c r="I899" s="510"/>
      <c r="J899" s="510"/>
      <c r="K899" s="510"/>
      <c r="L899" s="510"/>
      <c r="M899" s="509"/>
      <c r="N899" s="508"/>
      <c r="O899" s="507"/>
      <c r="P899" s="507"/>
      <c r="Q899" s="505"/>
      <c r="R899" s="506"/>
      <c r="S899" s="506"/>
      <c r="T899" s="506"/>
      <c r="U899" s="505"/>
      <c r="V899" s="505"/>
      <c r="W899" s="505"/>
      <c r="X899" s="504"/>
      <c r="Y899" s="503"/>
      <c r="Z899" s="503"/>
      <c r="AA899" s="503"/>
      <c r="AB899" s="503"/>
      <c r="AC899" s="503"/>
      <c r="AD899" s="503"/>
      <c r="AE899" s="503"/>
      <c r="AF899" s="503"/>
    </row>
    <row r="900" spans="1:32" ht="15.75" customHeight="1">
      <c r="A900" s="503"/>
      <c r="B900" s="503"/>
      <c r="C900" s="510"/>
      <c r="D900" s="510"/>
      <c r="E900" s="510"/>
      <c r="F900" s="746"/>
      <c r="G900" s="510"/>
      <c r="H900" s="510"/>
      <c r="I900" s="510"/>
      <c r="J900" s="510"/>
      <c r="K900" s="510"/>
      <c r="L900" s="510"/>
      <c r="M900" s="509"/>
      <c r="N900" s="508"/>
      <c r="O900" s="507"/>
      <c r="P900" s="507"/>
      <c r="Q900" s="505"/>
      <c r="R900" s="506"/>
      <c r="S900" s="506"/>
      <c r="T900" s="506"/>
      <c r="U900" s="505"/>
      <c r="V900" s="505"/>
      <c r="W900" s="505"/>
      <c r="X900" s="504"/>
      <c r="Y900" s="503"/>
      <c r="Z900" s="503"/>
      <c r="AA900" s="503"/>
      <c r="AB900" s="503"/>
      <c r="AC900" s="503"/>
      <c r="AD900" s="503"/>
      <c r="AE900" s="503"/>
      <c r="AF900" s="503"/>
    </row>
    <row r="901" spans="1:32" ht="15.75" customHeight="1">
      <c r="A901" s="503"/>
      <c r="B901" s="503"/>
      <c r="C901" s="510"/>
      <c r="D901" s="510"/>
      <c r="E901" s="510"/>
      <c r="F901" s="746"/>
      <c r="G901" s="510"/>
      <c r="H901" s="510"/>
      <c r="I901" s="510"/>
      <c r="J901" s="510"/>
      <c r="K901" s="510"/>
      <c r="L901" s="510"/>
      <c r="M901" s="509"/>
      <c r="N901" s="508"/>
      <c r="O901" s="507"/>
      <c r="P901" s="507"/>
      <c r="Q901" s="505"/>
      <c r="R901" s="506"/>
      <c r="S901" s="506"/>
      <c r="T901" s="506"/>
      <c r="U901" s="505"/>
      <c r="V901" s="505"/>
      <c r="W901" s="505"/>
      <c r="X901" s="504"/>
      <c r="Y901" s="503"/>
      <c r="Z901" s="503"/>
      <c r="AA901" s="503"/>
      <c r="AB901" s="503"/>
      <c r="AC901" s="503"/>
      <c r="AD901" s="503"/>
      <c r="AE901" s="503"/>
      <c r="AF901" s="503"/>
    </row>
    <row r="902" spans="1:32" ht="15.75" customHeight="1">
      <c r="A902" s="503"/>
      <c r="B902" s="503"/>
      <c r="C902" s="510"/>
      <c r="D902" s="510"/>
      <c r="E902" s="510"/>
      <c r="F902" s="746"/>
      <c r="G902" s="510"/>
      <c r="H902" s="510"/>
      <c r="I902" s="510"/>
      <c r="J902" s="510"/>
      <c r="K902" s="510"/>
      <c r="L902" s="510"/>
      <c r="M902" s="509"/>
      <c r="N902" s="508"/>
      <c r="O902" s="507"/>
      <c r="P902" s="507"/>
      <c r="Q902" s="505"/>
      <c r="R902" s="506"/>
      <c r="S902" s="506"/>
      <c r="T902" s="506"/>
      <c r="U902" s="505"/>
      <c r="V902" s="505"/>
      <c r="W902" s="505"/>
      <c r="X902" s="504"/>
      <c r="Y902" s="503"/>
      <c r="Z902" s="503"/>
      <c r="AA902" s="503"/>
      <c r="AB902" s="503"/>
      <c r="AC902" s="503"/>
      <c r="AD902" s="503"/>
      <c r="AE902" s="503"/>
      <c r="AF902" s="503"/>
    </row>
    <row r="903" spans="1:32" ht="15.75" customHeight="1">
      <c r="A903" s="503"/>
      <c r="B903" s="503"/>
      <c r="C903" s="510"/>
      <c r="D903" s="510"/>
      <c r="E903" s="510"/>
      <c r="F903" s="746"/>
      <c r="G903" s="510"/>
      <c r="H903" s="510"/>
      <c r="I903" s="510"/>
      <c r="J903" s="510"/>
      <c r="K903" s="510"/>
      <c r="L903" s="510"/>
      <c r="M903" s="509"/>
      <c r="N903" s="508"/>
      <c r="O903" s="507"/>
      <c r="P903" s="507"/>
      <c r="Q903" s="505"/>
      <c r="R903" s="506"/>
      <c r="S903" s="506"/>
      <c r="T903" s="506"/>
      <c r="U903" s="505"/>
      <c r="V903" s="505"/>
      <c r="W903" s="505"/>
      <c r="X903" s="504"/>
      <c r="Y903" s="503"/>
      <c r="Z903" s="503"/>
      <c r="AA903" s="503"/>
      <c r="AB903" s="503"/>
      <c r="AC903" s="503"/>
      <c r="AD903" s="503"/>
      <c r="AE903" s="503"/>
      <c r="AF903" s="503"/>
    </row>
    <row r="904" spans="1:32" ht="15.75" customHeight="1">
      <c r="A904" s="503"/>
      <c r="B904" s="503"/>
      <c r="C904" s="510"/>
      <c r="D904" s="510"/>
      <c r="E904" s="510"/>
      <c r="F904" s="746"/>
      <c r="G904" s="510"/>
      <c r="H904" s="510"/>
      <c r="I904" s="510"/>
      <c r="J904" s="510"/>
      <c r="K904" s="510"/>
      <c r="L904" s="510"/>
      <c r="M904" s="509"/>
      <c r="N904" s="508"/>
      <c r="O904" s="507"/>
      <c r="P904" s="507"/>
      <c r="Q904" s="505"/>
      <c r="R904" s="506"/>
      <c r="S904" s="506"/>
      <c r="T904" s="506"/>
      <c r="U904" s="505"/>
      <c r="V904" s="505"/>
      <c r="W904" s="505"/>
      <c r="X904" s="504"/>
      <c r="Y904" s="503"/>
      <c r="Z904" s="503"/>
      <c r="AA904" s="503"/>
      <c r="AB904" s="503"/>
      <c r="AC904" s="503"/>
      <c r="AD904" s="503"/>
      <c r="AE904" s="503"/>
      <c r="AF904" s="503"/>
    </row>
    <row r="905" spans="1:32" ht="15.75" customHeight="1">
      <c r="A905" s="503"/>
      <c r="B905" s="503"/>
      <c r="C905" s="510"/>
      <c r="D905" s="510"/>
      <c r="E905" s="510"/>
      <c r="F905" s="746"/>
      <c r="G905" s="510"/>
      <c r="H905" s="510"/>
      <c r="I905" s="510"/>
      <c r="J905" s="510"/>
      <c r="K905" s="510"/>
      <c r="L905" s="510"/>
      <c r="M905" s="509"/>
      <c r="N905" s="508"/>
      <c r="O905" s="507"/>
      <c r="P905" s="507"/>
      <c r="Q905" s="505"/>
      <c r="R905" s="506"/>
      <c r="S905" s="506"/>
      <c r="T905" s="506"/>
      <c r="U905" s="505"/>
      <c r="V905" s="505"/>
      <c r="W905" s="505"/>
      <c r="X905" s="504"/>
      <c r="Y905" s="503"/>
      <c r="Z905" s="503"/>
      <c r="AA905" s="503"/>
      <c r="AB905" s="503"/>
      <c r="AC905" s="503"/>
      <c r="AD905" s="503"/>
      <c r="AE905" s="503"/>
      <c r="AF905" s="503"/>
    </row>
    <row r="906" spans="1:32" ht="15.75" customHeight="1">
      <c r="A906" s="503"/>
      <c r="B906" s="503"/>
      <c r="C906" s="510"/>
      <c r="D906" s="510"/>
      <c r="E906" s="510"/>
      <c r="F906" s="746"/>
      <c r="G906" s="510"/>
      <c r="H906" s="510"/>
      <c r="I906" s="510"/>
      <c r="J906" s="510"/>
      <c r="K906" s="510"/>
      <c r="L906" s="510"/>
      <c r="M906" s="509"/>
      <c r="N906" s="508"/>
      <c r="O906" s="507"/>
      <c r="P906" s="507"/>
      <c r="Q906" s="505"/>
      <c r="R906" s="506"/>
      <c r="S906" s="506"/>
      <c r="T906" s="506"/>
      <c r="U906" s="505"/>
      <c r="V906" s="505"/>
      <c r="W906" s="505"/>
      <c r="X906" s="504"/>
      <c r="Y906" s="503"/>
      <c r="Z906" s="503"/>
      <c r="AA906" s="503"/>
      <c r="AB906" s="503"/>
      <c r="AC906" s="503"/>
      <c r="AD906" s="503"/>
      <c r="AE906" s="503"/>
      <c r="AF906" s="503"/>
    </row>
    <row r="907" spans="1:32" ht="15.75" customHeight="1">
      <c r="A907" s="503"/>
      <c r="B907" s="503"/>
      <c r="C907" s="510"/>
      <c r="D907" s="510"/>
      <c r="E907" s="510"/>
      <c r="F907" s="746"/>
      <c r="G907" s="510"/>
      <c r="H907" s="510"/>
      <c r="I907" s="510"/>
      <c r="J907" s="510"/>
      <c r="K907" s="510"/>
      <c r="L907" s="510"/>
      <c r="M907" s="509"/>
      <c r="N907" s="508"/>
      <c r="O907" s="507"/>
      <c r="P907" s="507"/>
      <c r="Q907" s="505"/>
      <c r="R907" s="506"/>
      <c r="S907" s="506"/>
      <c r="T907" s="506"/>
      <c r="U907" s="505"/>
      <c r="V907" s="505"/>
      <c r="W907" s="505"/>
      <c r="X907" s="504"/>
      <c r="Y907" s="503"/>
      <c r="Z907" s="503"/>
      <c r="AA907" s="503"/>
      <c r="AB907" s="503"/>
      <c r="AC907" s="503"/>
      <c r="AD907" s="503"/>
      <c r="AE907" s="503"/>
      <c r="AF907" s="503"/>
    </row>
    <row r="908" spans="1:32" ht="15.75" customHeight="1">
      <c r="A908" s="503"/>
      <c r="B908" s="503"/>
      <c r="C908" s="510"/>
      <c r="D908" s="510"/>
      <c r="E908" s="510"/>
      <c r="F908" s="746"/>
      <c r="G908" s="510"/>
      <c r="H908" s="510"/>
      <c r="I908" s="510"/>
      <c r="J908" s="510"/>
      <c r="K908" s="510"/>
      <c r="L908" s="510"/>
      <c r="M908" s="509"/>
      <c r="N908" s="508"/>
      <c r="O908" s="507"/>
      <c r="P908" s="507"/>
      <c r="Q908" s="505"/>
      <c r="R908" s="506"/>
      <c r="S908" s="506"/>
      <c r="T908" s="506"/>
      <c r="U908" s="505"/>
      <c r="V908" s="505"/>
      <c r="W908" s="505"/>
      <c r="X908" s="504"/>
      <c r="Y908" s="503"/>
      <c r="Z908" s="503"/>
      <c r="AA908" s="503"/>
      <c r="AB908" s="503"/>
      <c r="AC908" s="503"/>
      <c r="AD908" s="503"/>
      <c r="AE908" s="503"/>
      <c r="AF908" s="503"/>
    </row>
    <row r="909" spans="1:32" ht="15.75" customHeight="1">
      <c r="A909" s="503"/>
      <c r="B909" s="503"/>
      <c r="C909" s="510"/>
      <c r="D909" s="510"/>
      <c r="E909" s="510"/>
      <c r="F909" s="746"/>
      <c r="G909" s="510"/>
      <c r="H909" s="510"/>
      <c r="I909" s="510"/>
      <c r="J909" s="510"/>
      <c r="K909" s="510"/>
      <c r="L909" s="510"/>
      <c r="M909" s="509"/>
      <c r="N909" s="508"/>
      <c r="O909" s="507"/>
      <c r="P909" s="507"/>
      <c r="Q909" s="505"/>
      <c r="R909" s="506"/>
      <c r="S909" s="506"/>
      <c r="T909" s="506"/>
      <c r="U909" s="505"/>
      <c r="V909" s="505"/>
      <c r="W909" s="505"/>
      <c r="X909" s="504"/>
      <c r="Y909" s="503"/>
      <c r="Z909" s="503"/>
      <c r="AA909" s="503"/>
      <c r="AB909" s="503"/>
      <c r="AC909" s="503"/>
      <c r="AD909" s="503"/>
      <c r="AE909" s="503"/>
      <c r="AF909" s="503"/>
    </row>
    <row r="910" spans="1:32" ht="15.75" customHeight="1">
      <c r="A910" s="503"/>
      <c r="B910" s="503"/>
      <c r="C910" s="510"/>
      <c r="D910" s="510"/>
      <c r="E910" s="510"/>
      <c r="F910" s="746"/>
      <c r="G910" s="510"/>
      <c r="H910" s="510"/>
      <c r="I910" s="510"/>
      <c r="J910" s="510"/>
      <c r="K910" s="510"/>
      <c r="L910" s="510"/>
      <c r="M910" s="509"/>
      <c r="N910" s="508"/>
      <c r="O910" s="507"/>
      <c r="P910" s="507"/>
      <c r="Q910" s="505"/>
      <c r="R910" s="506"/>
      <c r="S910" s="506"/>
      <c r="T910" s="506"/>
      <c r="U910" s="505"/>
      <c r="V910" s="505"/>
      <c r="W910" s="505"/>
      <c r="X910" s="504"/>
      <c r="Y910" s="503"/>
      <c r="Z910" s="503"/>
      <c r="AA910" s="503"/>
      <c r="AB910" s="503"/>
      <c r="AC910" s="503"/>
      <c r="AD910" s="503"/>
      <c r="AE910" s="503"/>
      <c r="AF910" s="503"/>
    </row>
    <row r="911" spans="1:32" ht="15.75" customHeight="1">
      <c r="A911" s="503"/>
      <c r="B911" s="503"/>
      <c r="C911" s="510"/>
      <c r="D911" s="510"/>
      <c r="E911" s="510"/>
      <c r="F911" s="746"/>
      <c r="G911" s="510"/>
      <c r="H911" s="510"/>
      <c r="I911" s="510"/>
      <c r="J911" s="510"/>
      <c r="K911" s="510"/>
      <c r="L911" s="510"/>
      <c r="M911" s="509"/>
      <c r="N911" s="508"/>
      <c r="O911" s="507"/>
      <c r="P911" s="507"/>
      <c r="Q911" s="505"/>
      <c r="R911" s="506"/>
      <c r="S911" s="506"/>
      <c r="T911" s="506"/>
      <c r="U911" s="505"/>
      <c r="V911" s="505"/>
      <c r="W911" s="505"/>
      <c r="X911" s="504"/>
      <c r="Y911" s="503"/>
      <c r="Z911" s="503"/>
      <c r="AA911" s="503"/>
      <c r="AB911" s="503"/>
      <c r="AC911" s="503"/>
      <c r="AD911" s="503"/>
      <c r="AE911" s="503"/>
      <c r="AF911" s="503"/>
    </row>
    <row r="912" spans="1:32" ht="15.75" customHeight="1">
      <c r="A912" s="503"/>
      <c r="B912" s="503"/>
      <c r="C912" s="510"/>
      <c r="D912" s="510"/>
      <c r="E912" s="510"/>
      <c r="F912" s="746"/>
      <c r="G912" s="510"/>
      <c r="H912" s="510"/>
      <c r="I912" s="510"/>
      <c r="J912" s="510"/>
      <c r="K912" s="510"/>
      <c r="L912" s="510"/>
      <c r="M912" s="509"/>
      <c r="N912" s="508"/>
      <c r="O912" s="507"/>
      <c r="P912" s="507"/>
      <c r="Q912" s="505"/>
      <c r="R912" s="506"/>
      <c r="S912" s="506"/>
      <c r="T912" s="506"/>
      <c r="U912" s="505"/>
      <c r="V912" s="505"/>
      <c r="W912" s="505"/>
      <c r="X912" s="504"/>
      <c r="Y912" s="503"/>
      <c r="Z912" s="503"/>
      <c r="AA912" s="503"/>
      <c r="AB912" s="503"/>
      <c r="AC912" s="503"/>
      <c r="AD912" s="503"/>
      <c r="AE912" s="503"/>
      <c r="AF912" s="503"/>
    </row>
    <row r="913" spans="1:32" ht="15.75" customHeight="1">
      <c r="A913" s="503"/>
      <c r="B913" s="503"/>
      <c r="C913" s="510"/>
      <c r="D913" s="510"/>
      <c r="E913" s="510"/>
      <c r="F913" s="746"/>
      <c r="G913" s="510"/>
      <c r="H913" s="510"/>
      <c r="I913" s="510"/>
      <c r="J913" s="510"/>
      <c r="K913" s="510"/>
      <c r="L913" s="510"/>
      <c r="M913" s="509"/>
      <c r="N913" s="508"/>
      <c r="O913" s="507"/>
      <c r="P913" s="507"/>
      <c r="Q913" s="505"/>
      <c r="R913" s="506"/>
      <c r="S913" s="506"/>
      <c r="T913" s="506"/>
      <c r="U913" s="505"/>
      <c r="V913" s="505"/>
      <c r="W913" s="505"/>
      <c r="X913" s="504"/>
      <c r="Y913" s="503"/>
      <c r="Z913" s="503"/>
      <c r="AA913" s="503"/>
      <c r="AB913" s="503"/>
      <c r="AC913" s="503"/>
      <c r="AD913" s="503"/>
      <c r="AE913" s="503"/>
      <c r="AF913" s="503"/>
    </row>
    <row r="914" spans="1:32" ht="15.75" customHeight="1">
      <c r="A914" s="503"/>
      <c r="B914" s="503"/>
      <c r="C914" s="510"/>
      <c r="D914" s="510"/>
      <c r="E914" s="510"/>
      <c r="F914" s="746"/>
      <c r="G914" s="510"/>
      <c r="H914" s="510"/>
      <c r="I914" s="510"/>
      <c r="J914" s="510"/>
      <c r="K914" s="510"/>
      <c r="L914" s="510"/>
      <c r="M914" s="509"/>
      <c r="N914" s="508"/>
      <c r="O914" s="507"/>
      <c r="P914" s="507"/>
      <c r="Q914" s="505"/>
      <c r="R914" s="506"/>
      <c r="S914" s="506"/>
      <c r="T914" s="506"/>
      <c r="U914" s="505"/>
      <c r="V914" s="505"/>
      <c r="W914" s="505"/>
      <c r="X914" s="504"/>
      <c r="Y914" s="503"/>
      <c r="Z914" s="503"/>
      <c r="AA914" s="503"/>
      <c r="AB914" s="503"/>
      <c r="AC914" s="503"/>
      <c r="AD914" s="503"/>
      <c r="AE914" s="503"/>
      <c r="AF914" s="503"/>
    </row>
    <row r="915" spans="1:32" ht="15.75" customHeight="1">
      <c r="A915" s="503"/>
      <c r="B915" s="503"/>
      <c r="C915" s="510"/>
      <c r="D915" s="510"/>
      <c r="E915" s="510"/>
      <c r="F915" s="746"/>
      <c r="G915" s="510"/>
      <c r="H915" s="510"/>
      <c r="I915" s="510"/>
      <c r="J915" s="510"/>
      <c r="K915" s="510"/>
      <c r="L915" s="510"/>
      <c r="M915" s="509"/>
      <c r="N915" s="508"/>
      <c r="O915" s="507"/>
      <c r="P915" s="507"/>
      <c r="Q915" s="505"/>
      <c r="R915" s="506"/>
      <c r="S915" s="506"/>
      <c r="T915" s="506"/>
      <c r="U915" s="505"/>
      <c r="V915" s="505"/>
      <c r="W915" s="505"/>
      <c r="X915" s="504"/>
      <c r="Y915" s="503"/>
      <c r="Z915" s="503"/>
      <c r="AA915" s="503"/>
      <c r="AB915" s="503"/>
      <c r="AC915" s="503"/>
      <c r="AD915" s="503"/>
      <c r="AE915" s="503"/>
      <c r="AF915" s="503"/>
    </row>
    <row r="916" spans="1:32" ht="15.75" customHeight="1">
      <c r="A916" s="503"/>
      <c r="B916" s="503"/>
      <c r="C916" s="510"/>
      <c r="D916" s="510"/>
      <c r="E916" s="510"/>
      <c r="F916" s="746"/>
      <c r="G916" s="510"/>
      <c r="H916" s="510"/>
      <c r="I916" s="510"/>
      <c r="J916" s="510"/>
      <c r="K916" s="510"/>
      <c r="L916" s="510"/>
      <c r="M916" s="509"/>
      <c r="N916" s="508"/>
      <c r="O916" s="507"/>
      <c r="P916" s="507"/>
      <c r="Q916" s="505"/>
      <c r="R916" s="506"/>
      <c r="S916" s="506"/>
      <c r="T916" s="506"/>
      <c r="U916" s="505"/>
      <c r="V916" s="505"/>
      <c r="W916" s="505"/>
      <c r="X916" s="504"/>
      <c r="Y916" s="503"/>
      <c r="Z916" s="503"/>
      <c r="AA916" s="503"/>
      <c r="AB916" s="503"/>
      <c r="AC916" s="503"/>
      <c r="AD916" s="503"/>
      <c r="AE916" s="503"/>
      <c r="AF916" s="503"/>
    </row>
    <row r="917" spans="1:32" ht="15.75" customHeight="1">
      <c r="A917" s="503"/>
      <c r="B917" s="503"/>
      <c r="C917" s="510"/>
      <c r="D917" s="510"/>
      <c r="E917" s="510"/>
      <c r="F917" s="746"/>
      <c r="G917" s="510"/>
      <c r="H917" s="510"/>
      <c r="I917" s="510"/>
      <c r="J917" s="510"/>
      <c r="K917" s="510"/>
      <c r="L917" s="510"/>
      <c r="M917" s="509"/>
      <c r="N917" s="508"/>
      <c r="O917" s="507"/>
      <c r="P917" s="507"/>
      <c r="Q917" s="505"/>
      <c r="R917" s="506"/>
      <c r="S917" s="506"/>
      <c r="T917" s="506"/>
      <c r="U917" s="505"/>
      <c r="V917" s="505"/>
      <c r="W917" s="505"/>
      <c r="X917" s="504"/>
      <c r="Y917" s="503"/>
      <c r="Z917" s="503"/>
      <c r="AA917" s="503"/>
      <c r="AB917" s="503"/>
      <c r="AC917" s="503"/>
      <c r="AD917" s="503"/>
      <c r="AE917" s="503"/>
      <c r="AF917" s="503"/>
    </row>
    <row r="918" spans="1:32" ht="15.75" customHeight="1">
      <c r="A918" s="503"/>
      <c r="B918" s="503"/>
      <c r="C918" s="510"/>
      <c r="D918" s="510"/>
      <c r="E918" s="510"/>
      <c r="F918" s="746"/>
      <c r="G918" s="510"/>
      <c r="H918" s="510"/>
      <c r="I918" s="510"/>
      <c r="J918" s="510"/>
      <c r="K918" s="510"/>
      <c r="L918" s="510"/>
      <c r="M918" s="509"/>
      <c r="N918" s="508"/>
      <c r="O918" s="507"/>
      <c r="P918" s="507"/>
      <c r="Q918" s="505"/>
      <c r="R918" s="506"/>
      <c r="S918" s="506"/>
      <c r="T918" s="506"/>
      <c r="U918" s="505"/>
      <c r="V918" s="505"/>
      <c r="W918" s="505"/>
      <c r="X918" s="504"/>
      <c r="Y918" s="503"/>
      <c r="Z918" s="503"/>
      <c r="AA918" s="503"/>
      <c r="AB918" s="503"/>
      <c r="AC918" s="503"/>
      <c r="AD918" s="503"/>
      <c r="AE918" s="503"/>
      <c r="AF918" s="503"/>
    </row>
    <row r="919" spans="1:32" ht="15.75" customHeight="1">
      <c r="A919" s="503"/>
      <c r="B919" s="503"/>
      <c r="C919" s="510"/>
      <c r="D919" s="510"/>
      <c r="E919" s="510"/>
      <c r="F919" s="746"/>
      <c r="G919" s="510"/>
      <c r="H919" s="510"/>
      <c r="I919" s="510"/>
      <c r="J919" s="510"/>
      <c r="K919" s="510"/>
      <c r="L919" s="510"/>
      <c r="M919" s="509"/>
      <c r="N919" s="508"/>
      <c r="O919" s="507"/>
      <c r="P919" s="507"/>
      <c r="Q919" s="505"/>
      <c r="R919" s="506"/>
      <c r="S919" s="506"/>
      <c r="T919" s="506"/>
      <c r="U919" s="505"/>
      <c r="V919" s="505"/>
      <c r="W919" s="505"/>
      <c r="X919" s="504"/>
      <c r="Y919" s="503"/>
      <c r="Z919" s="503"/>
      <c r="AA919" s="503"/>
      <c r="AB919" s="503"/>
      <c r="AC919" s="503"/>
      <c r="AD919" s="503"/>
      <c r="AE919" s="503"/>
      <c r="AF919" s="503"/>
    </row>
    <row r="920" spans="1:32" ht="15.75" customHeight="1">
      <c r="A920" s="503"/>
      <c r="B920" s="503"/>
      <c r="C920" s="510"/>
      <c r="D920" s="510"/>
      <c r="E920" s="510"/>
      <c r="F920" s="746"/>
      <c r="G920" s="510"/>
      <c r="H920" s="510"/>
      <c r="I920" s="510"/>
      <c r="J920" s="510"/>
      <c r="K920" s="510"/>
      <c r="L920" s="510"/>
      <c r="M920" s="509"/>
      <c r="N920" s="508"/>
      <c r="O920" s="507"/>
      <c r="P920" s="507"/>
      <c r="Q920" s="505"/>
      <c r="R920" s="506"/>
      <c r="S920" s="506"/>
      <c r="T920" s="506"/>
      <c r="U920" s="505"/>
      <c r="V920" s="505"/>
      <c r="W920" s="505"/>
      <c r="X920" s="504"/>
      <c r="Y920" s="503"/>
      <c r="Z920" s="503"/>
      <c r="AA920" s="503"/>
      <c r="AB920" s="503"/>
      <c r="AC920" s="503"/>
      <c r="AD920" s="503"/>
      <c r="AE920" s="503"/>
      <c r="AF920" s="503"/>
    </row>
    <row r="921" spans="1:32" ht="15.75" customHeight="1">
      <c r="A921" s="503"/>
      <c r="B921" s="503"/>
      <c r="C921" s="510"/>
      <c r="D921" s="510"/>
      <c r="E921" s="510"/>
      <c r="F921" s="746"/>
      <c r="G921" s="510"/>
      <c r="H921" s="510"/>
      <c r="I921" s="510"/>
      <c r="J921" s="510"/>
      <c r="K921" s="510"/>
      <c r="L921" s="510"/>
      <c r="M921" s="509"/>
      <c r="N921" s="508"/>
      <c r="O921" s="507"/>
      <c r="P921" s="507"/>
      <c r="Q921" s="505"/>
      <c r="R921" s="506"/>
      <c r="S921" s="506"/>
      <c r="T921" s="506"/>
      <c r="U921" s="505"/>
      <c r="V921" s="505"/>
      <c r="W921" s="505"/>
      <c r="X921" s="504"/>
      <c r="Y921" s="503"/>
      <c r="Z921" s="503"/>
      <c r="AA921" s="503"/>
      <c r="AB921" s="503"/>
      <c r="AC921" s="503"/>
      <c r="AD921" s="503"/>
      <c r="AE921" s="503"/>
      <c r="AF921" s="503"/>
    </row>
    <row r="922" spans="1:32" ht="15.75" customHeight="1">
      <c r="A922" s="503"/>
      <c r="B922" s="503"/>
      <c r="C922" s="510"/>
      <c r="D922" s="510"/>
      <c r="E922" s="510"/>
      <c r="F922" s="746"/>
      <c r="G922" s="510"/>
      <c r="H922" s="510"/>
      <c r="I922" s="510"/>
      <c r="J922" s="510"/>
      <c r="K922" s="510"/>
      <c r="L922" s="510"/>
      <c r="M922" s="509"/>
      <c r="N922" s="508"/>
      <c r="O922" s="507"/>
      <c r="P922" s="507"/>
      <c r="Q922" s="505"/>
      <c r="R922" s="506"/>
      <c r="S922" s="506"/>
      <c r="T922" s="506"/>
      <c r="U922" s="505"/>
      <c r="V922" s="505"/>
      <c r="W922" s="505"/>
      <c r="X922" s="504"/>
      <c r="Y922" s="503"/>
      <c r="Z922" s="503"/>
      <c r="AA922" s="503"/>
      <c r="AB922" s="503"/>
      <c r="AC922" s="503"/>
      <c r="AD922" s="503"/>
      <c r="AE922" s="503"/>
      <c r="AF922" s="503"/>
    </row>
    <row r="923" spans="1:32" ht="15.75" customHeight="1">
      <c r="A923" s="503"/>
      <c r="B923" s="503"/>
      <c r="C923" s="510"/>
      <c r="D923" s="510"/>
      <c r="E923" s="510"/>
      <c r="F923" s="746"/>
      <c r="G923" s="510"/>
      <c r="H923" s="510"/>
      <c r="I923" s="510"/>
      <c r="J923" s="510"/>
      <c r="K923" s="510"/>
      <c r="L923" s="510"/>
      <c r="M923" s="509"/>
      <c r="N923" s="508"/>
      <c r="O923" s="507"/>
      <c r="P923" s="507"/>
      <c r="Q923" s="505"/>
      <c r="R923" s="506"/>
      <c r="S923" s="506"/>
      <c r="T923" s="506"/>
      <c r="U923" s="505"/>
      <c r="V923" s="505"/>
      <c r="W923" s="505"/>
      <c r="X923" s="504"/>
      <c r="Y923" s="503"/>
      <c r="Z923" s="503"/>
      <c r="AA923" s="503"/>
      <c r="AB923" s="503"/>
      <c r="AC923" s="503"/>
      <c r="AD923" s="503"/>
      <c r="AE923" s="503"/>
      <c r="AF923" s="503"/>
    </row>
    <row r="924" spans="1:32" ht="15.75" customHeight="1">
      <c r="A924" s="503"/>
      <c r="B924" s="503"/>
      <c r="C924" s="510"/>
      <c r="D924" s="510"/>
      <c r="E924" s="510"/>
      <c r="F924" s="746"/>
      <c r="G924" s="510"/>
      <c r="H924" s="510"/>
      <c r="I924" s="510"/>
      <c r="J924" s="510"/>
      <c r="K924" s="510"/>
      <c r="L924" s="510"/>
      <c r="M924" s="509"/>
      <c r="N924" s="508"/>
      <c r="O924" s="507"/>
      <c r="P924" s="507"/>
      <c r="Q924" s="505"/>
      <c r="R924" s="506"/>
      <c r="S924" s="506"/>
      <c r="T924" s="506"/>
      <c r="U924" s="505"/>
      <c r="V924" s="505"/>
      <c r="W924" s="505"/>
      <c r="X924" s="504"/>
      <c r="Y924" s="503"/>
      <c r="Z924" s="503"/>
      <c r="AA924" s="503"/>
      <c r="AB924" s="503"/>
      <c r="AC924" s="503"/>
      <c r="AD924" s="503"/>
      <c r="AE924" s="503"/>
      <c r="AF924" s="503"/>
    </row>
    <row r="925" spans="1:32" ht="15.75" customHeight="1">
      <c r="A925" s="503"/>
      <c r="B925" s="503"/>
      <c r="C925" s="510"/>
      <c r="D925" s="510"/>
      <c r="E925" s="510"/>
      <c r="F925" s="746"/>
      <c r="G925" s="510"/>
      <c r="H925" s="510"/>
      <c r="I925" s="510"/>
      <c r="J925" s="510"/>
      <c r="K925" s="510"/>
      <c r="L925" s="510"/>
      <c r="M925" s="509"/>
      <c r="N925" s="508"/>
      <c r="O925" s="507"/>
      <c r="P925" s="507"/>
      <c r="Q925" s="505"/>
      <c r="R925" s="506"/>
      <c r="S925" s="506"/>
      <c r="T925" s="506"/>
      <c r="U925" s="505"/>
      <c r="V925" s="505"/>
      <c r="W925" s="505"/>
      <c r="X925" s="504"/>
      <c r="Y925" s="503"/>
      <c r="Z925" s="503"/>
      <c r="AA925" s="503"/>
      <c r="AB925" s="503"/>
      <c r="AC925" s="503"/>
      <c r="AD925" s="503"/>
      <c r="AE925" s="503"/>
      <c r="AF925" s="503"/>
    </row>
    <row r="926" spans="1:32" ht="15.75" customHeight="1">
      <c r="A926" s="503"/>
      <c r="B926" s="503"/>
      <c r="C926" s="510"/>
      <c r="D926" s="510"/>
      <c r="E926" s="510"/>
      <c r="F926" s="746"/>
      <c r="G926" s="510"/>
      <c r="H926" s="510"/>
      <c r="I926" s="510"/>
      <c r="J926" s="510"/>
      <c r="K926" s="510"/>
      <c r="L926" s="510"/>
      <c r="M926" s="509"/>
      <c r="N926" s="508"/>
      <c r="O926" s="507"/>
      <c r="P926" s="507"/>
      <c r="Q926" s="505"/>
      <c r="R926" s="506"/>
      <c r="S926" s="506"/>
      <c r="T926" s="506"/>
      <c r="U926" s="505"/>
      <c r="V926" s="505"/>
      <c r="W926" s="505"/>
      <c r="X926" s="504"/>
      <c r="Y926" s="503"/>
      <c r="Z926" s="503"/>
      <c r="AA926" s="503"/>
      <c r="AB926" s="503"/>
      <c r="AC926" s="503"/>
      <c r="AD926" s="503"/>
      <c r="AE926" s="503"/>
      <c r="AF926" s="503"/>
    </row>
    <row r="927" spans="1:32" ht="15.75" customHeight="1">
      <c r="A927" s="503"/>
      <c r="B927" s="503"/>
      <c r="C927" s="510"/>
      <c r="D927" s="510"/>
      <c r="E927" s="510"/>
      <c r="F927" s="746"/>
      <c r="G927" s="510"/>
      <c r="H927" s="510"/>
      <c r="I927" s="510"/>
      <c r="J927" s="510"/>
      <c r="K927" s="510"/>
      <c r="L927" s="510"/>
      <c r="M927" s="509"/>
      <c r="N927" s="508"/>
      <c r="O927" s="507"/>
      <c r="P927" s="507"/>
      <c r="Q927" s="505"/>
      <c r="R927" s="506"/>
      <c r="S927" s="506"/>
      <c r="T927" s="506"/>
      <c r="U927" s="505"/>
      <c r="V927" s="505"/>
      <c r="W927" s="505"/>
      <c r="X927" s="504"/>
      <c r="Y927" s="503"/>
      <c r="Z927" s="503"/>
      <c r="AA927" s="503"/>
      <c r="AB927" s="503"/>
      <c r="AC927" s="503"/>
      <c r="AD927" s="503"/>
      <c r="AE927" s="503"/>
      <c r="AF927" s="503"/>
    </row>
    <row r="928" spans="1:32" ht="15.75" customHeight="1">
      <c r="A928" s="503"/>
      <c r="B928" s="503"/>
      <c r="C928" s="510"/>
      <c r="D928" s="510"/>
      <c r="E928" s="510"/>
      <c r="F928" s="746"/>
      <c r="G928" s="510"/>
      <c r="H928" s="510"/>
      <c r="I928" s="510"/>
      <c r="J928" s="510"/>
      <c r="K928" s="510"/>
      <c r="L928" s="510"/>
      <c r="M928" s="509"/>
      <c r="N928" s="508"/>
      <c r="O928" s="507"/>
      <c r="P928" s="507"/>
      <c r="Q928" s="505"/>
      <c r="R928" s="506"/>
      <c r="S928" s="506"/>
      <c r="T928" s="506"/>
      <c r="U928" s="505"/>
      <c r="V928" s="505"/>
      <c r="W928" s="505"/>
      <c r="X928" s="504"/>
      <c r="Y928" s="503"/>
      <c r="Z928" s="503"/>
      <c r="AA928" s="503"/>
      <c r="AB928" s="503"/>
      <c r="AC928" s="503"/>
      <c r="AD928" s="503"/>
      <c r="AE928" s="503"/>
      <c r="AF928" s="503"/>
    </row>
    <row r="929" spans="1:32" ht="15.75" customHeight="1">
      <c r="A929" s="503"/>
      <c r="B929" s="503"/>
      <c r="C929" s="510"/>
      <c r="D929" s="510"/>
      <c r="E929" s="510"/>
      <c r="F929" s="746"/>
      <c r="G929" s="510"/>
      <c r="H929" s="510"/>
      <c r="I929" s="510"/>
      <c r="J929" s="510"/>
      <c r="K929" s="510"/>
      <c r="L929" s="510"/>
      <c r="M929" s="509"/>
      <c r="N929" s="508"/>
      <c r="O929" s="507"/>
      <c r="P929" s="507"/>
      <c r="Q929" s="505"/>
      <c r="R929" s="506"/>
      <c r="S929" s="506"/>
      <c r="T929" s="506"/>
      <c r="U929" s="505"/>
      <c r="V929" s="505"/>
      <c r="W929" s="505"/>
      <c r="X929" s="504"/>
      <c r="Y929" s="503"/>
      <c r="Z929" s="503"/>
      <c r="AA929" s="503"/>
      <c r="AB929" s="503"/>
      <c r="AC929" s="503"/>
      <c r="AD929" s="503"/>
      <c r="AE929" s="503"/>
      <c r="AF929" s="503"/>
    </row>
    <row r="930" spans="1:32" ht="15.75" customHeight="1">
      <c r="A930" s="503"/>
      <c r="B930" s="503"/>
      <c r="C930" s="510"/>
      <c r="D930" s="510"/>
      <c r="E930" s="510"/>
      <c r="F930" s="746"/>
      <c r="G930" s="510"/>
      <c r="H930" s="510"/>
      <c r="I930" s="510"/>
      <c r="J930" s="510"/>
      <c r="K930" s="510"/>
      <c r="L930" s="510"/>
      <c r="M930" s="509"/>
      <c r="N930" s="508"/>
      <c r="O930" s="507"/>
      <c r="P930" s="507"/>
      <c r="Q930" s="505"/>
      <c r="R930" s="506"/>
      <c r="S930" s="506"/>
      <c r="T930" s="506"/>
      <c r="U930" s="505"/>
      <c r="V930" s="505"/>
      <c r="W930" s="505"/>
      <c r="X930" s="504"/>
      <c r="Y930" s="503"/>
      <c r="Z930" s="503"/>
      <c r="AA930" s="503"/>
      <c r="AB930" s="503"/>
      <c r="AC930" s="503"/>
      <c r="AD930" s="503"/>
      <c r="AE930" s="503"/>
      <c r="AF930" s="503"/>
    </row>
    <row r="931" spans="1:32" ht="15.75" customHeight="1">
      <c r="A931" s="503"/>
      <c r="B931" s="503"/>
      <c r="C931" s="510"/>
      <c r="D931" s="510"/>
      <c r="E931" s="510"/>
      <c r="F931" s="746"/>
      <c r="G931" s="510"/>
      <c r="H931" s="510"/>
      <c r="I931" s="510"/>
      <c r="J931" s="510"/>
      <c r="K931" s="510"/>
      <c r="L931" s="510"/>
      <c r="M931" s="509"/>
      <c r="N931" s="508"/>
      <c r="O931" s="507"/>
      <c r="P931" s="507"/>
      <c r="Q931" s="505"/>
      <c r="R931" s="506"/>
      <c r="S931" s="506"/>
      <c r="T931" s="506"/>
      <c r="U931" s="505"/>
      <c r="V931" s="505"/>
      <c r="W931" s="505"/>
      <c r="X931" s="504"/>
      <c r="Y931" s="503"/>
      <c r="Z931" s="503"/>
      <c r="AA931" s="503"/>
      <c r="AB931" s="503"/>
      <c r="AC931" s="503"/>
      <c r="AD931" s="503"/>
      <c r="AE931" s="503"/>
      <c r="AF931" s="503"/>
    </row>
    <row r="932" spans="1:32" ht="15.75" customHeight="1">
      <c r="A932" s="503"/>
      <c r="B932" s="503"/>
      <c r="C932" s="510"/>
      <c r="D932" s="510"/>
      <c r="E932" s="510"/>
      <c r="F932" s="746"/>
      <c r="G932" s="510"/>
      <c r="H932" s="510"/>
      <c r="I932" s="510"/>
      <c r="J932" s="510"/>
      <c r="K932" s="510"/>
      <c r="L932" s="510"/>
      <c r="M932" s="509"/>
      <c r="N932" s="508"/>
      <c r="O932" s="507"/>
      <c r="P932" s="507"/>
      <c r="Q932" s="505"/>
      <c r="R932" s="506"/>
      <c r="S932" s="506"/>
      <c r="T932" s="506"/>
      <c r="U932" s="505"/>
      <c r="V932" s="505"/>
      <c r="W932" s="505"/>
      <c r="X932" s="504"/>
      <c r="Y932" s="503"/>
      <c r="Z932" s="503"/>
      <c r="AA932" s="503"/>
      <c r="AB932" s="503"/>
      <c r="AC932" s="503"/>
      <c r="AD932" s="503"/>
      <c r="AE932" s="503"/>
      <c r="AF932" s="503"/>
    </row>
    <row r="933" spans="1:32" ht="15.75" customHeight="1">
      <c r="A933" s="503"/>
      <c r="B933" s="503"/>
      <c r="C933" s="510"/>
      <c r="D933" s="510"/>
      <c r="E933" s="510"/>
      <c r="F933" s="746"/>
      <c r="G933" s="510"/>
      <c r="H933" s="510"/>
      <c r="I933" s="510"/>
      <c r="J933" s="510"/>
      <c r="K933" s="510"/>
      <c r="L933" s="510"/>
      <c r="M933" s="509"/>
      <c r="N933" s="508"/>
      <c r="O933" s="507"/>
      <c r="P933" s="507"/>
      <c r="Q933" s="505"/>
      <c r="R933" s="506"/>
      <c r="S933" s="506"/>
      <c r="T933" s="506"/>
      <c r="U933" s="505"/>
      <c r="V933" s="505"/>
      <c r="W933" s="505"/>
      <c r="X933" s="504"/>
      <c r="Y933" s="503"/>
      <c r="Z933" s="503"/>
      <c r="AA933" s="503"/>
      <c r="AB933" s="503"/>
      <c r="AC933" s="503"/>
      <c r="AD933" s="503"/>
      <c r="AE933" s="503"/>
      <c r="AF933" s="503"/>
    </row>
    <row r="934" spans="1:32" ht="15.75" customHeight="1">
      <c r="A934" s="503"/>
      <c r="B934" s="503"/>
      <c r="C934" s="510"/>
      <c r="D934" s="510"/>
      <c r="E934" s="510"/>
      <c r="F934" s="746"/>
      <c r="G934" s="510"/>
      <c r="H934" s="510"/>
      <c r="I934" s="510"/>
      <c r="J934" s="510"/>
      <c r="K934" s="510"/>
      <c r="L934" s="510"/>
      <c r="M934" s="509"/>
      <c r="N934" s="508"/>
      <c r="O934" s="507"/>
      <c r="P934" s="507"/>
      <c r="Q934" s="505"/>
      <c r="R934" s="506"/>
      <c r="S934" s="506"/>
      <c r="T934" s="506"/>
      <c r="U934" s="505"/>
      <c r="V934" s="505"/>
      <c r="W934" s="505"/>
      <c r="X934" s="504"/>
      <c r="Y934" s="503"/>
      <c r="Z934" s="503"/>
      <c r="AA934" s="503"/>
      <c r="AB934" s="503"/>
      <c r="AC934" s="503"/>
      <c r="AD934" s="503"/>
      <c r="AE934" s="503"/>
      <c r="AF934" s="503"/>
    </row>
    <row r="935" spans="1:32" ht="15.75" customHeight="1">
      <c r="A935" s="503"/>
      <c r="B935" s="503"/>
      <c r="C935" s="510"/>
      <c r="D935" s="510"/>
      <c r="E935" s="510"/>
      <c r="F935" s="746"/>
      <c r="G935" s="510"/>
      <c r="H935" s="510"/>
      <c r="I935" s="510"/>
      <c r="J935" s="510"/>
      <c r="K935" s="510"/>
      <c r="L935" s="510"/>
      <c r="M935" s="509"/>
      <c r="N935" s="508"/>
      <c r="O935" s="507"/>
      <c r="P935" s="507"/>
      <c r="Q935" s="505"/>
      <c r="R935" s="506"/>
      <c r="S935" s="506"/>
      <c r="T935" s="506"/>
      <c r="U935" s="505"/>
      <c r="V935" s="505"/>
      <c r="W935" s="505"/>
      <c r="X935" s="504"/>
      <c r="Y935" s="503"/>
      <c r="Z935" s="503"/>
      <c r="AA935" s="503"/>
      <c r="AB935" s="503"/>
      <c r="AC935" s="503"/>
      <c r="AD935" s="503"/>
      <c r="AE935" s="503"/>
      <c r="AF935" s="503"/>
    </row>
    <row r="936" spans="1:32" ht="15.75" customHeight="1">
      <c r="A936" s="503"/>
      <c r="B936" s="503"/>
      <c r="C936" s="510"/>
      <c r="D936" s="510"/>
      <c r="E936" s="510"/>
      <c r="F936" s="746"/>
      <c r="G936" s="510"/>
      <c r="H936" s="510"/>
      <c r="I936" s="510"/>
      <c r="J936" s="510"/>
      <c r="K936" s="510"/>
      <c r="L936" s="510"/>
      <c r="M936" s="509"/>
      <c r="N936" s="508"/>
      <c r="O936" s="507"/>
      <c r="P936" s="507"/>
      <c r="Q936" s="505"/>
      <c r="R936" s="506"/>
      <c r="S936" s="506"/>
      <c r="T936" s="506"/>
      <c r="U936" s="505"/>
      <c r="V936" s="505"/>
      <c r="W936" s="505"/>
      <c r="X936" s="504"/>
      <c r="Y936" s="503"/>
      <c r="Z936" s="503"/>
      <c r="AA936" s="503"/>
      <c r="AB936" s="503"/>
      <c r="AC936" s="503"/>
      <c r="AD936" s="503"/>
      <c r="AE936" s="503"/>
      <c r="AF936" s="503"/>
    </row>
    <row r="937" spans="1:32" ht="15.75" customHeight="1">
      <c r="A937" s="503"/>
      <c r="B937" s="503"/>
      <c r="C937" s="510"/>
      <c r="D937" s="510"/>
      <c r="E937" s="510"/>
      <c r="F937" s="746"/>
      <c r="G937" s="510"/>
      <c r="H937" s="510"/>
      <c r="I937" s="510"/>
      <c r="J937" s="510"/>
      <c r="K937" s="510"/>
      <c r="L937" s="510"/>
      <c r="M937" s="509"/>
      <c r="N937" s="508"/>
      <c r="O937" s="507"/>
      <c r="P937" s="507"/>
      <c r="Q937" s="505"/>
      <c r="R937" s="506"/>
      <c r="S937" s="506"/>
      <c r="T937" s="506"/>
      <c r="U937" s="505"/>
      <c r="V937" s="505"/>
      <c r="W937" s="505"/>
      <c r="X937" s="504"/>
      <c r="Y937" s="503"/>
      <c r="Z937" s="503"/>
      <c r="AA937" s="503"/>
      <c r="AB937" s="503"/>
      <c r="AC937" s="503"/>
      <c r="AD937" s="503"/>
      <c r="AE937" s="503"/>
      <c r="AF937" s="503"/>
    </row>
    <row r="938" spans="1:32" ht="15.75" customHeight="1">
      <c r="A938" s="503"/>
      <c r="B938" s="503"/>
      <c r="C938" s="510"/>
      <c r="D938" s="510"/>
      <c r="E938" s="510"/>
      <c r="F938" s="746"/>
      <c r="G938" s="510"/>
      <c r="H938" s="510"/>
      <c r="I938" s="510"/>
      <c r="J938" s="510"/>
      <c r="K938" s="510"/>
      <c r="L938" s="510"/>
      <c r="M938" s="509"/>
      <c r="N938" s="508"/>
      <c r="O938" s="507"/>
      <c r="P938" s="507"/>
      <c r="Q938" s="505"/>
      <c r="R938" s="506"/>
      <c r="S938" s="506"/>
      <c r="T938" s="506"/>
      <c r="U938" s="505"/>
      <c r="V938" s="505"/>
      <c r="W938" s="505"/>
      <c r="X938" s="504"/>
      <c r="Y938" s="503"/>
      <c r="Z938" s="503"/>
      <c r="AA938" s="503"/>
      <c r="AB938" s="503"/>
      <c r="AC938" s="503"/>
      <c r="AD938" s="503"/>
      <c r="AE938" s="503"/>
      <c r="AF938" s="503"/>
    </row>
    <row r="939" spans="1:32" ht="15.75" customHeight="1">
      <c r="A939" s="503"/>
      <c r="B939" s="503"/>
      <c r="C939" s="510"/>
      <c r="D939" s="510"/>
      <c r="E939" s="510"/>
      <c r="F939" s="746"/>
      <c r="G939" s="510"/>
      <c r="H939" s="510"/>
      <c r="I939" s="510"/>
      <c r="J939" s="510"/>
      <c r="K939" s="510"/>
      <c r="L939" s="510"/>
      <c r="M939" s="509"/>
      <c r="N939" s="508"/>
      <c r="O939" s="507"/>
      <c r="P939" s="507"/>
      <c r="Q939" s="505"/>
      <c r="R939" s="506"/>
      <c r="S939" s="506"/>
      <c r="T939" s="506"/>
      <c r="U939" s="505"/>
      <c r="V939" s="505"/>
      <c r="W939" s="505"/>
      <c r="X939" s="504"/>
      <c r="Y939" s="503"/>
      <c r="Z939" s="503"/>
      <c r="AA939" s="503"/>
      <c r="AB939" s="503"/>
      <c r="AC939" s="503"/>
      <c r="AD939" s="503"/>
      <c r="AE939" s="503"/>
      <c r="AF939" s="503"/>
    </row>
    <row r="940" spans="1:32" ht="15.75" customHeight="1">
      <c r="A940" s="503"/>
      <c r="B940" s="503"/>
      <c r="C940" s="510"/>
      <c r="D940" s="510"/>
      <c r="E940" s="510"/>
      <c r="F940" s="746"/>
      <c r="G940" s="510"/>
      <c r="H940" s="510"/>
      <c r="I940" s="510"/>
      <c r="J940" s="510"/>
      <c r="K940" s="510"/>
      <c r="L940" s="510"/>
      <c r="M940" s="509"/>
      <c r="N940" s="508"/>
      <c r="O940" s="507"/>
      <c r="P940" s="507"/>
      <c r="Q940" s="505"/>
      <c r="R940" s="506"/>
      <c r="S940" s="506"/>
      <c r="T940" s="506"/>
      <c r="U940" s="505"/>
      <c r="V940" s="505"/>
      <c r="W940" s="505"/>
      <c r="X940" s="504"/>
      <c r="Y940" s="503"/>
      <c r="Z940" s="503"/>
      <c r="AA940" s="503"/>
      <c r="AB940" s="503"/>
      <c r="AC940" s="503"/>
      <c r="AD940" s="503"/>
      <c r="AE940" s="503"/>
      <c r="AF940" s="503"/>
    </row>
    <row r="941" spans="1:32" ht="15.75" customHeight="1">
      <c r="A941" s="503"/>
      <c r="B941" s="503"/>
      <c r="C941" s="510"/>
      <c r="D941" s="510"/>
      <c r="E941" s="510"/>
      <c r="F941" s="746"/>
      <c r="G941" s="510"/>
      <c r="H941" s="510"/>
      <c r="I941" s="510"/>
      <c r="J941" s="510"/>
      <c r="K941" s="510"/>
      <c r="L941" s="510"/>
      <c r="M941" s="509"/>
      <c r="N941" s="508"/>
      <c r="O941" s="507"/>
      <c r="P941" s="507"/>
      <c r="Q941" s="505"/>
      <c r="R941" s="506"/>
      <c r="S941" s="506"/>
      <c r="T941" s="506"/>
      <c r="U941" s="505"/>
      <c r="V941" s="505"/>
      <c r="W941" s="505"/>
      <c r="X941" s="504"/>
      <c r="Y941" s="503"/>
      <c r="Z941" s="503"/>
      <c r="AA941" s="503"/>
      <c r="AB941" s="503"/>
      <c r="AC941" s="503"/>
      <c r="AD941" s="503"/>
      <c r="AE941" s="503"/>
      <c r="AF941" s="503"/>
    </row>
    <row r="942" spans="1:32" ht="15.75" customHeight="1">
      <c r="A942" s="503"/>
      <c r="B942" s="503"/>
      <c r="C942" s="510"/>
      <c r="D942" s="510"/>
      <c r="E942" s="510"/>
      <c r="F942" s="746"/>
      <c r="G942" s="510"/>
      <c r="H942" s="510"/>
      <c r="I942" s="510"/>
      <c r="J942" s="510"/>
      <c r="K942" s="510"/>
      <c r="L942" s="510"/>
      <c r="M942" s="509"/>
      <c r="N942" s="508"/>
      <c r="O942" s="507"/>
      <c r="P942" s="507"/>
      <c r="Q942" s="505"/>
      <c r="R942" s="506"/>
      <c r="S942" s="506"/>
      <c r="T942" s="506"/>
      <c r="U942" s="505"/>
      <c r="V942" s="505"/>
      <c r="W942" s="505"/>
      <c r="X942" s="504"/>
      <c r="Y942" s="503"/>
      <c r="Z942" s="503"/>
      <c r="AA942" s="503"/>
      <c r="AB942" s="503"/>
      <c r="AC942" s="503"/>
      <c r="AD942" s="503"/>
      <c r="AE942" s="503"/>
      <c r="AF942" s="503"/>
    </row>
    <row r="943" spans="1:32" ht="15.75" customHeight="1">
      <c r="A943" s="503"/>
      <c r="B943" s="503"/>
      <c r="C943" s="510"/>
      <c r="D943" s="510"/>
      <c r="E943" s="510"/>
      <c r="F943" s="746"/>
      <c r="G943" s="510"/>
      <c r="H943" s="510"/>
      <c r="I943" s="510"/>
      <c r="J943" s="510"/>
      <c r="K943" s="510"/>
      <c r="L943" s="510"/>
      <c r="M943" s="509"/>
      <c r="N943" s="508"/>
      <c r="O943" s="507"/>
      <c r="P943" s="507"/>
      <c r="Q943" s="505"/>
      <c r="R943" s="506"/>
      <c r="S943" s="506"/>
      <c r="T943" s="506"/>
      <c r="U943" s="505"/>
      <c r="V943" s="505"/>
      <c r="W943" s="505"/>
      <c r="X943" s="504"/>
      <c r="Y943" s="503"/>
      <c r="Z943" s="503"/>
      <c r="AA943" s="503"/>
      <c r="AB943" s="503"/>
      <c r="AC943" s="503"/>
      <c r="AD943" s="503"/>
      <c r="AE943" s="503"/>
      <c r="AF943" s="503"/>
    </row>
    <row r="944" spans="1:32" ht="15.75" customHeight="1">
      <c r="A944" s="503"/>
      <c r="B944" s="503"/>
      <c r="C944" s="510"/>
      <c r="D944" s="510"/>
      <c r="E944" s="510"/>
      <c r="F944" s="746"/>
      <c r="G944" s="510"/>
      <c r="H944" s="510"/>
      <c r="I944" s="510"/>
      <c r="J944" s="510"/>
      <c r="K944" s="510"/>
      <c r="L944" s="510"/>
      <c r="M944" s="509"/>
      <c r="N944" s="508"/>
      <c r="O944" s="507"/>
      <c r="P944" s="507"/>
      <c r="Q944" s="505"/>
      <c r="R944" s="506"/>
      <c r="S944" s="506"/>
      <c r="T944" s="506"/>
      <c r="U944" s="505"/>
      <c r="V944" s="505"/>
      <c r="W944" s="505"/>
      <c r="X944" s="504"/>
      <c r="Y944" s="503"/>
      <c r="Z944" s="503"/>
      <c r="AA944" s="503"/>
      <c r="AB944" s="503"/>
      <c r="AC944" s="503"/>
      <c r="AD944" s="503"/>
      <c r="AE944" s="503"/>
      <c r="AF944" s="503"/>
    </row>
    <row r="945" spans="1:32" ht="15.75" customHeight="1">
      <c r="A945" s="503"/>
      <c r="B945" s="503"/>
      <c r="C945" s="510"/>
      <c r="D945" s="510"/>
      <c r="E945" s="510"/>
      <c r="F945" s="746"/>
      <c r="G945" s="510"/>
      <c r="H945" s="510"/>
      <c r="I945" s="510"/>
      <c r="J945" s="510"/>
      <c r="K945" s="510"/>
      <c r="L945" s="510"/>
      <c r="M945" s="509"/>
      <c r="N945" s="508"/>
      <c r="O945" s="507"/>
      <c r="P945" s="507"/>
      <c r="Q945" s="505"/>
      <c r="R945" s="506"/>
      <c r="S945" s="506"/>
      <c r="T945" s="506"/>
      <c r="U945" s="505"/>
      <c r="V945" s="505"/>
      <c r="W945" s="505"/>
      <c r="X945" s="504"/>
      <c r="Y945" s="503"/>
      <c r="Z945" s="503"/>
      <c r="AA945" s="503"/>
      <c r="AB945" s="503"/>
      <c r="AC945" s="503"/>
      <c r="AD945" s="503"/>
      <c r="AE945" s="503"/>
      <c r="AF945" s="503"/>
    </row>
    <row r="946" spans="1:32" ht="15.75" customHeight="1">
      <c r="A946" s="503"/>
      <c r="B946" s="503"/>
      <c r="C946" s="510"/>
      <c r="D946" s="510"/>
      <c r="E946" s="510"/>
      <c r="F946" s="746"/>
      <c r="G946" s="510"/>
      <c r="H946" s="510"/>
      <c r="I946" s="510"/>
      <c r="J946" s="510"/>
      <c r="K946" s="510"/>
      <c r="L946" s="510"/>
      <c r="M946" s="509"/>
      <c r="N946" s="508"/>
      <c r="O946" s="507"/>
      <c r="P946" s="507"/>
      <c r="Q946" s="505"/>
      <c r="R946" s="506"/>
      <c r="S946" s="506"/>
      <c r="T946" s="506"/>
      <c r="U946" s="505"/>
      <c r="V946" s="505"/>
      <c r="W946" s="505"/>
      <c r="X946" s="504"/>
      <c r="Y946" s="503"/>
      <c r="Z946" s="503"/>
      <c r="AA946" s="503"/>
      <c r="AB946" s="503"/>
      <c r="AC946" s="503"/>
      <c r="AD946" s="503"/>
      <c r="AE946" s="503"/>
      <c r="AF946" s="503"/>
    </row>
    <row r="947" spans="1:32" ht="15.75" customHeight="1">
      <c r="A947" s="503"/>
      <c r="B947" s="503"/>
      <c r="C947" s="510"/>
      <c r="D947" s="510"/>
      <c r="E947" s="510"/>
      <c r="F947" s="746"/>
      <c r="G947" s="510"/>
      <c r="H947" s="510"/>
      <c r="I947" s="510"/>
      <c r="J947" s="510"/>
      <c r="K947" s="510"/>
      <c r="L947" s="510"/>
      <c r="M947" s="509"/>
      <c r="N947" s="508"/>
      <c r="O947" s="507"/>
      <c r="P947" s="507"/>
      <c r="Q947" s="505"/>
      <c r="R947" s="506"/>
      <c r="S947" s="506"/>
      <c r="T947" s="506"/>
      <c r="U947" s="505"/>
      <c r="V947" s="505"/>
      <c r="W947" s="505"/>
      <c r="X947" s="504"/>
      <c r="Y947" s="503"/>
      <c r="Z947" s="503"/>
      <c r="AA947" s="503"/>
      <c r="AB947" s="503"/>
      <c r="AC947" s="503"/>
      <c r="AD947" s="503"/>
      <c r="AE947" s="503"/>
      <c r="AF947" s="503"/>
    </row>
    <row r="948" spans="1:32" ht="15.75" customHeight="1">
      <c r="A948" s="503"/>
      <c r="B948" s="503"/>
      <c r="C948" s="510"/>
      <c r="D948" s="510"/>
      <c r="E948" s="510"/>
      <c r="F948" s="746"/>
      <c r="G948" s="510"/>
      <c r="H948" s="510"/>
      <c r="I948" s="510"/>
      <c r="J948" s="510"/>
      <c r="K948" s="510"/>
      <c r="L948" s="510"/>
      <c r="M948" s="509"/>
      <c r="N948" s="508"/>
      <c r="O948" s="507"/>
      <c r="P948" s="507"/>
      <c r="Q948" s="505"/>
      <c r="R948" s="506"/>
      <c r="S948" s="506"/>
      <c r="T948" s="506"/>
      <c r="U948" s="505"/>
      <c r="V948" s="505"/>
      <c r="W948" s="505"/>
      <c r="X948" s="504"/>
      <c r="Y948" s="503"/>
      <c r="Z948" s="503"/>
      <c r="AA948" s="503"/>
      <c r="AB948" s="503"/>
      <c r="AC948" s="503"/>
      <c r="AD948" s="503"/>
      <c r="AE948" s="503"/>
      <c r="AF948" s="503"/>
    </row>
    <row r="949" spans="1:32" ht="15.75" customHeight="1">
      <c r="A949" s="503"/>
      <c r="B949" s="503"/>
      <c r="C949" s="510"/>
      <c r="D949" s="510"/>
      <c r="E949" s="510"/>
      <c r="F949" s="746"/>
      <c r="G949" s="510"/>
      <c r="H949" s="510"/>
      <c r="I949" s="510"/>
      <c r="J949" s="510"/>
      <c r="K949" s="510"/>
      <c r="L949" s="510"/>
      <c r="M949" s="509"/>
      <c r="N949" s="508"/>
      <c r="O949" s="507"/>
      <c r="P949" s="507"/>
      <c r="Q949" s="505"/>
      <c r="R949" s="506"/>
      <c r="S949" s="506"/>
      <c r="T949" s="506"/>
      <c r="U949" s="505"/>
      <c r="V949" s="505"/>
      <c r="W949" s="505"/>
      <c r="X949" s="504"/>
      <c r="Y949" s="503"/>
      <c r="Z949" s="503"/>
      <c r="AA949" s="503"/>
      <c r="AB949" s="503"/>
      <c r="AC949" s="503"/>
      <c r="AD949" s="503"/>
      <c r="AE949" s="503"/>
      <c r="AF949" s="503"/>
    </row>
    <row r="950" spans="1:32" ht="15.75" customHeight="1">
      <c r="A950" s="503"/>
      <c r="B950" s="503"/>
      <c r="C950" s="510"/>
      <c r="D950" s="510"/>
      <c r="E950" s="510"/>
      <c r="F950" s="746"/>
      <c r="G950" s="510"/>
      <c r="H950" s="510"/>
      <c r="I950" s="510"/>
      <c r="J950" s="510"/>
      <c r="K950" s="510"/>
      <c r="L950" s="510"/>
      <c r="M950" s="509"/>
      <c r="N950" s="508"/>
      <c r="O950" s="507"/>
      <c r="P950" s="507"/>
      <c r="Q950" s="505"/>
      <c r="R950" s="506"/>
      <c r="S950" s="506"/>
      <c r="T950" s="506"/>
      <c r="U950" s="505"/>
      <c r="V950" s="505"/>
      <c r="W950" s="505"/>
      <c r="X950" s="504"/>
      <c r="Y950" s="503"/>
      <c r="Z950" s="503"/>
      <c r="AA950" s="503"/>
      <c r="AB950" s="503"/>
      <c r="AC950" s="503"/>
      <c r="AD950" s="503"/>
      <c r="AE950" s="503"/>
      <c r="AF950" s="503"/>
    </row>
    <row r="951" spans="1:32" ht="15.75" customHeight="1">
      <c r="A951" s="503"/>
      <c r="B951" s="503"/>
      <c r="C951" s="510"/>
      <c r="D951" s="510"/>
      <c r="E951" s="510"/>
      <c r="F951" s="746"/>
      <c r="G951" s="510"/>
      <c r="H951" s="510"/>
      <c r="I951" s="510"/>
      <c r="J951" s="510"/>
      <c r="K951" s="510"/>
      <c r="L951" s="510"/>
      <c r="M951" s="509"/>
      <c r="N951" s="508"/>
      <c r="O951" s="507"/>
      <c r="P951" s="507"/>
      <c r="Q951" s="505"/>
      <c r="R951" s="506"/>
      <c r="S951" s="506"/>
      <c r="T951" s="506"/>
      <c r="U951" s="505"/>
      <c r="V951" s="505"/>
      <c r="W951" s="505"/>
      <c r="X951" s="504"/>
      <c r="Y951" s="503"/>
      <c r="Z951" s="503"/>
      <c r="AA951" s="503"/>
      <c r="AB951" s="503"/>
      <c r="AC951" s="503"/>
      <c r="AD951" s="503"/>
      <c r="AE951" s="503"/>
      <c r="AF951" s="503"/>
    </row>
    <row r="952" spans="1:32" ht="15.75" customHeight="1">
      <c r="A952" s="503"/>
      <c r="B952" s="503"/>
      <c r="C952" s="510"/>
      <c r="D952" s="510"/>
      <c r="E952" s="510"/>
      <c r="F952" s="746"/>
      <c r="G952" s="510"/>
      <c r="H952" s="510"/>
      <c r="I952" s="510"/>
      <c r="J952" s="510"/>
      <c r="K952" s="510"/>
      <c r="L952" s="510"/>
      <c r="M952" s="509"/>
      <c r="N952" s="508"/>
      <c r="O952" s="507"/>
      <c r="P952" s="507"/>
      <c r="Q952" s="505"/>
      <c r="R952" s="506"/>
      <c r="S952" s="506"/>
      <c r="T952" s="506"/>
      <c r="U952" s="505"/>
      <c r="V952" s="505"/>
      <c r="W952" s="505"/>
      <c r="X952" s="504"/>
      <c r="Y952" s="503"/>
      <c r="Z952" s="503"/>
      <c r="AA952" s="503"/>
      <c r="AB952" s="503"/>
      <c r="AC952" s="503"/>
      <c r="AD952" s="503"/>
      <c r="AE952" s="503"/>
      <c r="AF952" s="503"/>
    </row>
    <row r="953" spans="1:32" ht="15.75" customHeight="1">
      <c r="A953" s="503"/>
      <c r="B953" s="503"/>
      <c r="C953" s="510"/>
      <c r="D953" s="510"/>
      <c r="E953" s="510"/>
      <c r="F953" s="746"/>
      <c r="G953" s="510"/>
      <c r="H953" s="510"/>
      <c r="I953" s="510"/>
      <c r="J953" s="510"/>
      <c r="K953" s="510"/>
      <c r="L953" s="510"/>
      <c r="M953" s="509"/>
      <c r="N953" s="508"/>
      <c r="O953" s="507"/>
      <c r="P953" s="507"/>
      <c r="Q953" s="505"/>
      <c r="R953" s="506"/>
      <c r="S953" s="506"/>
      <c r="T953" s="506"/>
      <c r="U953" s="505"/>
      <c r="V953" s="505"/>
      <c r="W953" s="505"/>
      <c r="X953" s="504"/>
      <c r="Y953" s="503"/>
      <c r="Z953" s="503"/>
      <c r="AA953" s="503"/>
      <c r="AB953" s="503"/>
      <c r="AC953" s="503"/>
      <c r="AD953" s="503"/>
      <c r="AE953" s="503"/>
      <c r="AF953" s="503"/>
    </row>
    <row r="954" spans="1:32" ht="15.75" customHeight="1">
      <c r="A954" s="503"/>
      <c r="B954" s="503"/>
      <c r="C954" s="510"/>
      <c r="D954" s="510"/>
      <c r="E954" s="510"/>
      <c r="F954" s="746"/>
      <c r="G954" s="510"/>
      <c r="H954" s="510"/>
      <c r="I954" s="510"/>
      <c r="J954" s="510"/>
      <c r="K954" s="510"/>
      <c r="L954" s="510"/>
      <c r="M954" s="509"/>
      <c r="N954" s="508"/>
      <c r="O954" s="507"/>
      <c r="P954" s="507"/>
      <c r="Q954" s="505"/>
      <c r="R954" s="506"/>
      <c r="S954" s="506"/>
      <c r="T954" s="506"/>
      <c r="U954" s="505"/>
      <c r="V954" s="505"/>
      <c r="W954" s="505"/>
      <c r="X954" s="504"/>
      <c r="Y954" s="503"/>
      <c r="Z954" s="503"/>
      <c r="AA954" s="503"/>
      <c r="AB954" s="503"/>
      <c r="AC954" s="503"/>
      <c r="AD954" s="503"/>
      <c r="AE954" s="503"/>
      <c r="AF954" s="503"/>
    </row>
    <row r="955" spans="1:32" ht="15.75" customHeight="1">
      <c r="A955" s="503"/>
      <c r="B955" s="503"/>
      <c r="C955" s="510"/>
      <c r="D955" s="510"/>
      <c r="E955" s="510"/>
      <c r="F955" s="746"/>
      <c r="G955" s="510"/>
      <c r="H955" s="510"/>
      <c r="I955" s="510"/>
      <c r="J955" s="510"/>
      <c r="K955" s="510"/>
      <c r="L955" s="510"/>
      <c r="M955" s="509"/>
      <c r="N955" s="508"/>
      <c r="O955" s="507"/>
      <c r="P955" s="507"/>
      <c r="Q955" s="505"/>
      <c r="R955" s="506"/>
      <c r="S955" s="506"/>
      <c r="T955" s="506"/>
      <c r="U955" s="505"/>
      <c r="V955" s="505"/>
      <c r="W955" s="505"/>
      <c r="X955" s="504"/>
      <c r="Y955" s="503"/>
      <c r="Z955" s="503"/>
      <c r="AA955" s="503"/>
      <c r="AB955" s="503"/>
      <c r="AC955" s="503"/>
      <c r="AD955" s="503"/>
      <c r="AE955" s="503"/>
      <c r="AF955" s="503"/>
    </row>
    <row r="956" spans="1:32" ht="15.75" customHeight="1">
      <c r="A956" s="503"/>
      <c r="B956" s="503"/>
      <c r="C956" s="510"/>
      <c r="D956" s="510"/>
      <c r="E956" s="510"/>
      <c r="F956" s="746"/>
      <c r="G956" s="510"/>
      <c r="H956" s="510"/>
      <c r="I956" s="510"/>
      <c r="J956" s="510"/>
      <c r="K956" s="510"/>
      <c r="L956" s="510"/>
      <c r="M956" s="509"/>
      <c r="N956" s="508"/>
      <c r="O956" s="507"/>
      <c r="P956" s="507"/>
      <c r="Q956" s="505"/>
      <c r="R956" s="506"/>
      <c r="S956" s="506"/>
      <c r="T956" s="506"/>
      <c r="U956" s="505"/>
      <c r="V956" s="505"/>
      <c r="W956" s="505"/>
      <c r="X956" s="504"/>
      <c r="Y956" s="503"/>
      <c r="Z956" s="503"/>
      <c r="AA956" s="503"/>
      <c r="AB956" s="503"/>
      <c r="AC956" s="503"/>
      <c r="AD956" s="503"/>
      <c r="AE956" s="503"/>
      <c r="AF956" s="503"/>
    </row>
    <row r="957" spans="1:32" ht="15.75" customHeight="1">
      <c r="A957" s="503"/>
      <c r="B957" s="503"/>
      <c r="C957" s="510"/>
      <c r="D957" s="510"/>
      <c r="E957" s="510"/>
      <c r="F957" s="746"/>
      <c r="G957" s="510"/>
      <c r="H957" s="510"/>
      <c r="I957" s="510"/>
      <c r="J957" s="510"/>
      <c r="K957" s="510"/>
      <c r="L957" s="510"/>
      <c r="M957" s="509"/>
      <c r="N957" s="508"/>
      <c r="O957" s="507"/>
      <c r="P957" s="507"/>
      <c r="Q957" s="505"/>
      <c r="R957" s="506"/>
      <c r="S957" s="506"/>
      <c r="T957" s="506"/>
      <c r="U957" s="505"/>
      <c r="V957" s="505"/>
      <c r="W957" s="505"/>
      <c r="X957" s="504"/>
      <c r="Y957" s="503"/>
      <c r="Z957" s="503"/>
      <c r="AA957" s="503"/>
      <c r="AB957" s="503"/>
      <c r="AC957" s="503"/>
      <c r="AD957" s="503"/>
      <c r="AE957" s="503"/>
      <c r="AF957" s="503"/>
    </row>
    <row r="958" spans="1:32" ht="15.75" customHeight="1">
      <c r="A958" s="503"/>
      <c r="B958" s="503"/>
      <c r="C958" s="510"/>
      <c r="D958" s="510"/>
      <c r="E958" s="510"/>
      <c r="F958" s="746"/>
      <c r="G958" s="510"/>
      <c r="H958" s="510"/>
      <c r="I958" s="510"/>
      <c r="J958" s="510"/>
      <c r="K958" s="510"/>
      <c r="L958" s="510"/>
      <c r="M958" s="509"/>
      <c r="N958" s="508"/>
      <c r="O958" s="507"/>
      <c r="P958" s="507"/>
      <c r="Q958" s="505"/>
      <c r="R958" s="506"/>
      <c r="S958" s="506"/>
      <c r="T958" s="506"/>
      <c r="U958" s="505"/>
      <c r="V958" s="505"/>
      <c r="W958" s="505"/>
      <c r="X958" s="504"/>
      <c r="Y958" s="503"/>
      <c r="Z958" s="503"/>
      <c r="AA958" s="503"/>
      <c r="AB958" s="503"/>
      <c r="AC958" s="503"/>
      <c r="AD958" s="503"/>
      <c r="AE958" s="503"/>
      <c r="AF958" s="503"/>
    </row>
    <row r="959" spans="1:32" ht="15.75" customHeight="1">
      <c r="A959" s="503"/>
      <c r="B959" s="503"/>
      <c r="C959" s="510"/>
      <c r="D959" s="510"/>
      <c r="E959" s="510"/>
      <c r="F959" s="746"/>
      <c r="G959" s="510"/>
      <c r="H959" s="510"/>
      <c r="I959" s="510"/>
      <c r="J959" s="510"/>
      <c r="K959" s="510"/>
      <c r="L959" s="510"/>
      <c r="M959" s="509"/>
      <c r="N959" s="508"/>
      <c r="O959" s="507"/>
      <c r="P959" s="507"/>
      <c r="Q959" s="505"/>
      <c r="R959" s="506"/>
      <c r="S959" s="506"/>
      <c r="T959" s="506"/>
      <c r="U959" s="505"/>
      <c r="V959" s="505"/>
      <c r="W959" s="505"/>
      <c r="X959" s="504"/>
      <c r="Y959" s="503"/>
      <c r="Z959" s="503"/>
      <c r="AA959" s="503"/>
      <c r="AB959" s="503"/>
      <c r="AC959" s="503"/>
      <c r="AD959" s="503"/>
      <c r="AE959" s="503"/>
      <c r="AF959" s="503"/>
    </row>
    <row r="960" spans="1:32" ht="15.75" customHeight="1">
      <c r="A960" s="503"/>
      <c r="B960" s="503"/>
      <c r="C960" s="510"/>
      <c r="D960" s="510"/>
      <c r="E960" s="510"/>
      <c r="F960" s="746"/>
      <c r="G960" s="510"/>
      <c r="H960" s="510"/>
      <c r="I960" s="510"/>
      <c r="J960" s="510"/>
      <c r="K960" s="510"/>
      <c r="L960" s="510"/>
      <c r="M960" s="509"/>
      <c r="N960" s="508"/>
      <c r="O960" s="507"/>
      <c r="P960" s="507"/>
      <c r="Q960" s="505"/>
      <c r="R960" s="506"/>
      <c r="S960" s="506"/>
      <c r="T960" s="506"/>
      <c r="U960" s="505"/>
      <c r="V960" s="505"/>
      <c r="W960" s="505"/>
      <c r="X960" s="504"/>
      <c r="Y960" s="503"/>
      <c r="Z960" s="503"/>
      <c r="AA960" s="503"/>
      <c r="AB960" s="503"/>
      <c r="AC960" s="503"/>
      <c r="AD960" s="503"/>
      <c r="AE960" s="503"/>
      <c r="AF960" s="503"/>
    </row>
    <row r="961" spans="1:32" ht="15.75" customHeight="1">
      <c r="A961" s="503"/>
      <c r="B961" s="503"/>
      <c r="C961" s="510"/>
      <c r="D961" s="510"/>
      <c r="E961" s="510"/>
      <c r="F961" s="746"/>
      <c r="G961" s="510"/>
      <c r="H961" s="510"/>
      <c r="I961" s="510"/>
      <c r="J961" s="510"/>
      <c r="K961" s="510"/>
      <c r="L961" s="510"/>
      <c r="M961" s="509"/>
      <c r="N961" s="508"/>
      <c r="O961" s="507"/>
      <c r="P961" s="507"/>
      <c r="Q961" s="505"/>
      <c r="R961" s="506"/>
      <c r="S961" s="506"/>
      <c r="T961" s="506"/>
      <c r="U961" s="505"/>
      <c r="V961" s="505"/>
      <c r="W961" s="505"/>
      <c r="X961" s="504"/>
      <c r="Y961" s="503"/>
      <c r="Z961" s="503"/>
      <c r="AA961" s="503"/>
      <c r="AB961" s="503"/>
      <c r="AC961" s="503"/>
      <c r="AD961" s="503"/>
      <c r="AE961" s="503"/>
      <c r="AF961" s="503"/>
    </row>
    <row r="962" spans="1:32" ht="15.75" customHeight="1">
      <c r="A962" s="503"/>
      <c r="B962" s="503"/>
      <c r="C962" s="510"/>
      <c r="D962" s="510"/>
      <c r="E962" s="510"/>
      <c r="F962" s="746"/>
      <c r="G962" s="510"/>
      <c r="H962" s="510"/>
      <c r="I962" s="510"/>
      <c r="J962" s="510"/>
      <c r="K962" s="510"/>
      <c r="L962" s="510"/>
      <c r="M962" s="509"/>
      <c r="N962" s="508"/>
      <c r="O962" s="507"/>
      <c r="P962" s="507"/>
      <c r="Q962" s="505"/>
      <c r="R962" s="506"/>
      <c r="S962" s="506"/>
      <c r="T962" s="506"/>
      <c r="U962" s="505"/>
      <c r="V962" s="505"/>
      <c r="W962" s="505"/>
      <c r="X962" s="504"/>
      <c r="Y962" s="503"/>
      <c r="Z962" s="503"/>
      <c r="AA962" s="503"/>
      <c r="AB962" s="503"/>
      <c r="AC962" s="503"/>
      <c r="AD962" s="503"/>
      <c r="AE962" s="503"/>
      <c r="AF962" s="503"/>
    </row>
    <row r="963" spans="1:32" ht="15.75" customHeight="1">
      <c r="A963" s="503"/>
      <c r="B963" s="503"/>
      <c r="C963" s="510"/>
      <c r="D963" s="510"/>
      <c r="E963" s="510"/>
      <c r="F963" s="746"/>
      <c r="G963" s="510"/>
      <c r="H963" s="510"/>
      <c r="I963" s="510"/>
      <c r="J963" s="510"/>
      <c r="K963" s="510"/>
      <c r="L963" s="510"/>
      <c r="M963" s="509"/>
      <c r="N963" s="508"/>
      <c r="O963" s="507"/>
      <c r="P963" s="507"/>
      <c r="Q963" s="505"/>
      <c r="R963" s="506"/>
      <c r="S963" s="506"/>
      <c r="T963" s="506"/>
      <c r="U963" s="505"/>
      <c r="V963" s="505"/>
      <c r="W963" s="505"/>
      <c r="X963" s="504"/>
      <c r="Y963" s="503"/>
      <c r="Z963" s="503"/>
      <c r="AA963" s="503"/>
      <c r="AB963" s="503"/>
      <c r="AC963" s="503"/>
      <c r="AD963" s="503"/>
      <c r="AE963" s="503"/>
      <c r="AF963" s="503"/>
    </row>
    <row r="964" spans="1:32" ht="15.75" customHeight="1">
      <c r="A964" s="503"/>
      <c r="B964" s="503"/>
      <c r="C964" s="510"/>
      <c r="D964" s="510"/>
      <c r="E964" s="510"/>
      <c r="F964" s="746"/>
      <c r="G964" s="510"/>
      <c r="H964" s="510"/>
      <c r="I964" s="510"/>
      <c r="J964" s="510"/>
      <c r="K964" s="510"/>
      <c r="L964" s="510"/>
      <c r="M964" s="509"/>
      <c r="N964" s="508"/>
      <c r="O964" s="507"/>
      <c r="P964" s="507"/>
      <c r="Q964" s="505"/>
      <c r="R964" s="506"/>
      <c r="S964" s="506"/>
      <c r="T964" s="506"/>
      <c r="U964" s="505"/>
      <c r="V964" s="505"/>
      <c r="W964" s="505"/>
      <c r="X964" s="504"/>
      <c r="Y964" s="503"/>
      <c r="Z964" s="503"/>
      <c r="AA964" s="503"/>
      <c r="AB964" s="503"/>
      <c r="AC964" s="503"/>
      <c r="AD964" s="503"/>
      <c r="AE964" s="503"/>
      <c r="AF964" s="503"/>
    </row>
    <row r="965" spans="1:32" ht="15.75" customHeight="1">
      <c r="A965" s="503"/>
      <c r="B965" s="503"/>
      <c r="C965" s="510"/>
      <c r="D965" s="510"/>
      <c r="E965" s="510"/>
      <c r="F965" s="746"/>
      <c r="G965" s="510"/>
      <c r="H965" s="510"/>
      <c r="I965" s="510"/>
      <c r="J965" s="510"/>
      <c r="K965" s="510"/>
      <c r="L965" s="510"/>
      <c r="M965" s="509"/>
      <c r="N965" s="508"/>
      <c r="O965" s="507"/>
      <c r="P965" s="507"/>
      <c r="Q965" s="505"/>
      <c r="R965" s="506"/>
      <c r="S965" s="506"/>
      <c r="T965" s="506"/>
      <c r="U965" s="505"/>
      <c r="V965" s="505"/>
      <c r="W965" s="505"/>
      <c r="X965" s="504"/>
      <c r="Y965" s="503"/>
      <c r="Z965" s="503"/>
      <c r="AA965" s="503"/>
      <c r="AB965" s="503"/>
      <c r="AC965" s="503"/>
      <c r="AD965" s="503"/>
      <c r="AE965" s="503"/>
      <c r="AF965" s="503"/>
    </row>
    <row r="966" spans="1:32" ht="15.75" customHeight="1">
      <c r="A966" s="503"/>
      <c r="B966" s="503"/>
      <c r="C966" s="510"/>
      <c r="D966" s="510"/>
      <c r="E966" s="510"/>
      <c r="F966" s="746"/>
      <c r="G966" s="510"/>
      <c r="H966" s="510"/>
      <c r="I966" s="510"/>
      <c r="J966" s="510"/>
      <c r="K966" s="510"/>
      <c r="L966" s="510"/>
      <c r="M966" s="509"/>
      <c r="N966" s="508"/>
      <c r="O966" s="507"/>
      <c r="P966" s="507"/>
      <c r="Q966" s="505"/>
      <c r="R966" s="506"/>
      <c r="S966" s="506"/>
      <c r="T966" s="506"/>
      <c r="U966" s="505"/>
      <c r="V966" s="505"/>
      <c r="W966" s="505"/>
      <c r="X966" s="504"/>
      <c r="Y966" s="503"/>
      <c r="Z966" s="503"/>
      <c r="AA966" s="503"/>
      <c r="AB966" s="503"/>
      <c r="AC966" s="503"/>
      <c r="AD966" s="503"/>
      <c r="AE966" s="503"/>
      <c r="AF966" s="503"/>
    </row>
    <row r="967" spans="1:32" ht="15.75" customHeight="1">
      <c r="A967" s="503"/>
      <c r="B967" s="503"/>
      <c r="C967" s="510"/>
      <c r="D967" s="510"/>
      <c r="E967" s="510"/>
      <c r="F967" s="746"/>
      <c r="G967" s="510"/>
      <c r="H967" s="510"/>
      <c r="I967" s="510"/>
      <c r="J967" s="510"/>
      <c r="K967" s="510"/>
      <c r="L967" s="510"/>
      <c r="M967" s="509"/>
      <c r="N967" s="508"/>
      <c r="O967" s="507"/>
      <c r="P967" s="507"/>
      <c r="Q967" s="505"/>
      <c r="R967" s="506"/>
      <c r="S967" s="506"/>
      <c r="T967" s="506"/>
      <c r="U967" s="505"/>
      <c r="V967" s="505"/>
      <c r="W967" s="505"/>
      <c r="X967" s="504"/>
      <c r="Y967" s="503"/>
      <c r="Z967" s="503"/>
      <c r="AA967" s="503"/>
      <c r="AB967" s="503"/>
      <c r="AC967" s="503"/>
      <c r="AD967" s="503"/>
      <c r="AE967" s="503"/>
      <c r="AF967" s="503"/>
    </row>
    <row r="968" spans="1:32" ht="15.75" customHeight="1">
      <c r="A968" s="503"/>
      <c r="B968" s="503"/>
      <c r="C968" s="510"/>
      <c r="D968" s="510"/>
      <c r="E968" s="510"/>
      <c r="F968" s="746"/>
      <c r="G968" s="510"/>
      <c r="H968" s="510"/>
      <c r="I968" s="510"/>
      <c r="J968" s="510"/>
      <c r="K968" s="510"/>
      <c r="L968" s="510"/>
      <c r="M968" s="509"/>
      <c r="N968" s="508"/>
      <c r="O968" s="507"/>
      <c r="P968" s="507"/>
      <c r="Q968" s="505"/>
      <c r="R968" s="506"/>
      <c r="S968" s="506"/>
      <c r="T968" s="506"/>
      <c r="U968" s="505"/>
      <c r="V968" s="505"/>
      <c r="W968" s="505"/>
      <c r="X968" s="504"/>
      <c r="Y968" s="503"/>
      <c r="Z968" s="503"/>
      <c r="AA968" s="503"/>
      <c r="AB968" s="503"/>
      <c r="AC968" s="503"/>
      <c r="AD968" s="503"/>
      <c r="AE968" s="503"/>
      <c r="AF968" s="503"/>
    </row>
    <row r="969" spans="1:32" ht="15.75" customHeight="1">
      <c r="A969" s="503"/>
      <c r="B969" s="503"/>
      <c r="C969" s="510"/>
      <c r="D969" s="510"/>
      <c r="E969" s="510"/>
      <c r="F969" s="746"/>
      <c r="G969" s="510"/>
      <c r="H969" s="510"/>
      <c r="I969" s="510"/>
      <c r="J969" s="510"/>
      <c r="K969" s="510"/>
      <c r="L969" s="510"/>
      <c r="M969" s="509"/>
      <c r="N969" s="508"/>
      <c r="O969" s="507"/>
      <c r="P969" s="507"/>
      <c r="Q969" s="505"/>
      <c r="R969" s="506"/>
      <c r="S969" s="506"/>
      <c r="T969" s="506"/>
      <c r="U969" s="505"/>
      <c r="V969" s="505"/>
      <c r="W969" s="505"/>
      <c r="X969" s="504"/>
      <c r="Y969" s="503"/>
      <c r="Z969" s="503"/>
      <c r="AA969" s="503"/>
      <c r="AB969" s="503"/>
      <c r="AC969" s="503"/>
      <c r="AD969" s="503"/>
      <c r="AE969" s="503"/>
      <c r="AF969" s="503"/>
    </row>
    <row r="970" spans="1:32" ht="15.75" customHeight="1">
      <c r="A970" s="503"/>
      <c r="B970" s="503"/>
      <c r="C970" s="510"/>
      <c r="D970" s="510"/>
      <c r="E970" s="510"/>
      <c r="F970" s="746"/>
      <c r="G970" s="510"/>
      <c r="H970" s="510"/>
      <c r="I970" s="510"/>
      <c r="J970" s="510"/>
      <c r="K970" s="510"/>
      <c r="L970" s="510"/>
      <c r="M970" s="509"/>
      <c r="N970" s="508"/>
      <c r="O970" s="507"/>
      <c r="P970" s="507"/>
      <c r="Q970" s="505"/>
      <c r="R970" s="506"/>
      <c r="S970" s="506"/>
      <c r="T970" s="506"/>
      <c r="U970" s="505"/>
      <c r="V970" s="505"/>
      <c r="W970" s="505"/>
      <c r="X970" s="504"/>
      <c r="Y970" s="503"/>
      <c r="Z970" s="503"/>
      <c r="AA970" s="503"/>
      <c r="AB970" s="503"/>
      <c r="AC970" s="503"/>
      <c r="AD970" s="503"/>
      <c r="AE970" s="503"/>
      <c r="AF970" s="503"/>
    </row>
    <row r="971" spans="1:32" ht="15.75" customHeight="1">
      <c r="A971" s="503"/>
      <c r="B971" s="503"/>
      <c r="C971" s="510"/>
      <c r="D971" s="510"/>
      <c r="E971" s="510"/>
      <c r="F971" s="746"/>
      <c r="G971" s="510"/>
      <c r="H971" s="510"/>
      <c r="I971" s="510"/>
      <c r="J971" s="510"/>
      <c r="K971" s="510"/>
      <c r="L971" s="510"/>
      <c r="M971" s="509"/>
      <c r="N971" s="508"/>
      <c r="O971" s="507"/>
      <c r="P971" s="507"/>
      <c r="Q971" s="505"/>
      <c r="R971" s="506"/>
      <c r="S971" s="506"/>
      <c r="T971" s="506"/>
      <c r="U971" s="505"/>
      <c r="V971" s="505"/>
      <c r="W971" s="505"/>
      <c r="X971" s="504"/>
      <c r="Y971" s="503"/>
      <c r="Z971" s="503"/>
      <c r="AA971" s="503"/>
      <c r="AB971" s="503"/>
      <c r="AC971" s="503"/>
      <c r="AD971" s="503"/>
      <c r="AE971" s="503"/>
      <c r="AF971" s="503"/>
    </row>
    <row r="972" spans="1:32" ht="15.75" customHeight="1">
      <c r="A972" s="503"/>
      <c r="B972" s="503"/>
      <c r="C972" s="510"/>
      <c r="D972" s="510"/>
      <c r="E972" s="510"/>
      <c r="F972" s="746"/>
      <c r="G972" s="510"/>
      <c r="H972" s="510"/>
      <c r="I972" s="510"/>
      <c r="J972" s="510"/>
      <c r="K972" s="510"/>
      <c r="L972" s="510"/>
      <c r="M972" s="509"/>
      <c r="N972" s="508"/>
      <c r="O972" s="507"/>
      <c r="P972" s="507"/>
      <c r="Q972" s="505"/>
      <c r="R972" s="506"/>
      <c r="S972" s="506"/>
      <c r="T972" s="506"/>
      <c r="U972" s="505"/>
      <c r="V972" s="505"/>
      <c r="W972" s="505"/>
      <c r="X972" s="504"/>
      <c r="Y972" s="503"/>
      <c r="Z972" s="503"/>
      <c r="AA972" s="503"/>
      <c r="AB972" s="503"/>
      <c r="AC972" s="503"/>
      <c r="AD972" s="503"/>
      <c r="AE972" s="503"/>
      <c r="AF972" s="503"/>
    </row>
    <row r="973" spans="1:32" ht="15.75" customHeight="1">
      <c r="A973" s="503"/>
      <c r="B973" s="503"/>
      <c r="C973" s="510"/>
      <c r="D973" s="510"/>
      <c r="E973" s="510"/>
      <c r="F973" s="746"/>
      <c r="G973" s="510"/>
      <c r="H973" s="510"/>
      <c r="I973" s="510"/>
      <c r="J973" s="510"/>
      <c r="K973" s="510"/>
      <c r="L973" s="510"/>
      <c r="M973" s="509"/>
      <c r="N973" s="508"/>
      <c r="O973" s="507"/>
      <c r="P973" s="507"/>
      <c r="Q973" s="505"/>
      <c r="R973" s="506"/>
      <c r="S973" s="506"/>
      <c r="T973" s="506"/>
      <c r="U973" s="505"/>
      <c r="V973" s="505"/>
      <c r="W973" s="505"/>
      <c r="X973" s="504"/>
      <c r="Y973" s="503"/>
      <c r="Z973" s="503"/>
      <c r="AA973" s="503"/>
      <c r="AB973" s="503"/>
      <c r="AC973" s="503"/>
      <c r="AD973" s="503"/>
      <c r="AE973" s="503"/>
      <c r="AF973" s="503"/>
    </row>
    <row r="974" spans="1:32" ht="15.75" customHeight="1">
      <c r="A974" s="503"/>
      <c r="B974" s="503"/>
      <c r="C974" s="510"/>
      <c r="D974" s="510"/>
      <c r="E974" s="510"/>
      <c r="F974" s="746"/>
      <c r="G974" s="510"/>
      <c r="H974" s="510"/>
      <c r="I974" s="510"/>
      <c r="J974" s="510"/>
      <c r="K974" s="510"/>
      <c r="L974" s="510"/>
      <c r="M974" s="509"/>
      <c r="N974" s="508"/>
      <c r="O974" s="507"/>
      <c r="P974" s="507"/>
      <c r="Q974" s="505"/>
      <c r="R974" s="506"/>
      <c r="S974" s="506"/>
      <c r="T974" s="506"/>
      <c r="U974" s="505"/>
      <c r="V974" s="505"/>
      <c r="W974" s="505"/>
      <c r="X974" s="504"/>
      <c r="Y974" s="503"/>
      <c r="Z974" s="503"/>
      <c r="AA974" s="503"/>
      <c r="AB974" s="503"/>
      <c r="AC974" s="503"/>
      <c r="AD974" s="503"/>
      <c r="AE974" s="503"/>
      <c r="AF974" s="503"/>
    </row>
    <row r="975" spans="1:32" ht="15.75" customHeight="1">
      <c r="A975" s="503"/>
      <c r="B975" s="503"/>
      <c r="C975" s="510"/>
      <c r="D975" s="510"/>
      <c r="E975" s="510"/>
      <c r="F975" s="746"/>
      <c r="G975" s="510"/>
      <c r="H975" s="510"/>
      <c r="I975" s="510"/>
      <c r="J975" s="510"/>
      <c r="K975" s="510"/>
      <c r="L975" s="510"/>
      <c r="M975" s="509"/>
      <c r="N975" s="508"/>
      <c r="O975" s="507"/>
      <c r="P975" s="507"/>
      <c r="Q975" s="505"/>
      <c r="R975" s="506"/>
      <c r="S975" s="506"/>
      <c r="T975" s="506"/>
      <c r="U975" s="505"/>
      <c r="V975" s="505"/>
      <c r="W975" s="505"/>
      <c r="X975" s="504"/>
      <c r="Y975" s="503"/>
      <c r="Z975" s="503"/>
      <c r="AA975" s="503"/>
      <c r="AB975" s="503"/>
      <c r="AC975" s="503"/>
      <c r="AD975" s="503"/>
      <c r="AE975" s="503"/>
      <c r="AF975" s="503"/>
    </row>
    <row r="976" spans="1:32" ht="15.75" customHeight="1">
      <c r="A976" s="503"/>
      <c r="B976" s="503"/>
      <c r="C976" s="510"/>
      <c r="D976" s="510"/>
      <c r="E976" s="510"/>
      <c r="F976" s="746"/>
      <c r="G976" s="510"/>
      <c r="H976" s="510"/>
      <c r="I976" s="510"/>
      <c r="J976" s="510"/>
      <c r="K976" s="510"/>
      <c r="L976" s="510"/>
      <c r="M976" s="509"/>
      <c r="N976" s="508"/>
      <c r="O976" s="507"/>
      <c r="P976" s="507"/>
      <c r="Q976" s="505"/>
      <c r="R976" s="506"/>
      <c r="S976" s="506"/>
      <c r="T976" s="506"/>
      <c r="U976" s="505"/>
      <c r="V976" s="505"/>
      <c r="W976" s="505"/>
      <c r="X976" s="504"/>
      <c r="Y976" s="503"/>
      <c r="Z976" s="503"/>
      <c r="AA976" s="503"/>
      <c r="AB976" s="503"/>
      <c r="AC976" s="503"/>
      <c r="AD976" s="503"/>
      <c r="AE976" s="503"/>
      <c r="AF976" s="503"/>
    </row>
    <row r="977" spans="1:32" ht="15.75" customHeight="1">
      <c r="A977" s="503"/>
      <c r="B977" s="503"/>
      <c r="C977" s="510"/>
      <c r="D977" s="510"/>
      <c r="E977" s="510"/>
      <c r="F977" s="746"/>
      <c r="G977" s="510"/>
      <c r="H977" s="510"/>
      <c r="I977" s="510"/>
      <c r="J977" s="510"/>
      <c r="K977" s="510"/>
      <c r="L977" s="510"/>
      <c r="M977" s="509"/>
      <c r="N977" s="508"/>
      <c r="O977" s="507"/>
      <c r="P977" s="507"/>
      <c r="Q977" s="505"/>
      <c r="R977" s="506"/>
      <c r="S977" s="506"/>
      <c r="T977" s="506"/>
      <c r="U977" s="505"/>
      <c r="V977" s="505"/>
      <c r="W977" s="505"/>
      <c r="X977" s="504"/>
      <c r="Y977" s="503"/>
      <c r="Z977" s="503"/>
      <c r="AA977" s="503"/>
      <c r="AB977" s="503"/>
      <c r="AC977" s="503"/>
      <c r="AD977" s="503"/>
      <c r="AE977" s="503"/>
      <c r="AF977" s="503"/>
    </row>
    <row r="978" spans="1:32" ht="15.75" customHeight="1">
      <c r="A978" s="503"/>
      <c r="B978" s="503"/>
      <c r="C978" s="510"/>
      <c r="D978" s="510"/>
      <c r="E978" s="510"/>
      <c r="F978" s="746"/>
      <c r="G978" s="510"/>
      <c r="H978" s="510"/>
      <c r="I978" s="510"/>
      <c r="J978" s="510"/>
      <c r="K978" s="510"/>
      <c r="L978" s="510"/>
      <c r="M978" s="509"/>
      <c r="N978" s="508"/>
      <c r="O978" s="507"/>
      <c r="P978" s="507"/>
      <c r="Q978" s="505"/>
      <c r="R978" s="506"/>
      <c r="S978" s="506"/>
      <c r="T978" s="506"/>
      <c r="U978" s="505"/>
      <c r="V978" s="505"/>
      <c r="W978" s="505"/>
      <c r="X978" s="504"/>
      <c r="Y978" s="503"/>
      <c r="Z978" s="503"/>
      <c r="AA978" s="503"/>
      <c r="AB978" s="503"/>
      <c r="AC978" s="503"/>
      <c r="AD978" s="503"/>
      <c r="AE978" s="503"/>
      <c r="AF978" s="503"/>
    </row>
    <row r="979" spans="1:32" ht="15.75" customHeight="1">
      <c r="A979" s="503"/>
      <c r="B979" s="503"/>
      <c r="C979" s="510"/>
      <c r="D979" s="510"/>
      <c r="E979" s="510"/>
      <c r="F979" s="746"/>
      <c r="G979" s="510"/>
      <c r="H979" s="510"/>
      <c r="I979" s="510"/>
      <c r="J979" s="510"/>
      <c r="K979" s="510"/>
      <c r="L979" s="510"/>
      <c r="M979" s="509"/>
      <c r="N979" s="508"/>
      <c r="O979" s="507"/>
      <c r="P979" s="507"/>
      <c r="Q979" s="505"/>
      <c r="R979" s="506"/>
      <c r="S979" s="506"/>
      <c r="T979" s="506"/>
      <c r="U979" s="505"/>
      <c r="V979" s="505"/>
      <c r="W979" s="505"/>
      <c r="X979" s="504"/>
      <c r="Y979" s="503"/>
      <c r="Z979" s="503"/>
      <c r="AA979" s="503"/>
      <c r="AB979" s="503"/>
      <c r="AC979" s="503"/>
      <c r="AD979" s="503"/>
      <c r="AE979" s="503"/>
      <c r="AF979" s="503"/>
    </row>
    <row r="980" spans="1:32" ht="15.75" customHeight="1">
      <c r="A980" s="503"/>
      <c r="B980" s="503"/>
      <c r="C980" s="510"/>
      <c r="D980" s="510"/>
      <c r="E980" s="510"/>
      <c r="F980" s="746"/>
      <c r="G980" s="510"/>
      <c r="H980" s="510"/>
      <c r="I980" s="510"/>
      <c r="J980" s="510"/>
      <c r="K980" s="510"/>
      <c r="L980" s="510"/>
      <c r="M980" s="509"/>
      <c r="N980" s="508"/>
      <c r="O980" s="507"/>
      <c r="P980" s="507"/>
      <c r="Q980" s="505"/>
      <c r="R980" s="506"/>
      <c r="S980" s="506"/>
      <c r="T980" s="506"/>
      <c r="U980" s="505"/>
      <c r="V980" s="505"/>
      <c r="W980" s="505"/>
      <c r="X980" s="504"/>
      <c r="Y980" s="503"/>
      <c r="Z980" s="503"/>
      <c r="AA980" s="503"/>
      <c r="AB980" s="503"/>
      <c r="AC980" s="503"/>
      <c r="AD980" s="503"/>
      <c r="AE980" s="503"/>
      <c r="AF980" s="503"/>
    </row>
    <row r="981" spans="1:32" ht="15.75" customHeight="1">
      <c r="A981" s="503"/>
      <c r="B981" s="503"/>
      <c r="C981" s="510"/>
      <c r="D981" s="510"/>
      <c r="E981" s="510"/>
      <c r="F981" s="746"/>
      <c r="G981" s="510"/>
      <c r="H981" s="510"/>
      <c r="I981" s="510"/>
      <c r="J981" s="510"/>
      <c r="K981" s="510"/>
      <c r="L981" s="510"/>
      <c r="M981" s="509"/>
      <c r="N981" s="508"/>
      <c r="O981" s="507"/>
      <c r="P981" s="507"/>
      <c r="Q981" s="505"/>
      <c r="R981" s="506"/>
      <c r="S981" s="506"/>
      <c r="T981" s="506"/>
      <c r="U981" s="505"/>
      <c r="V981" s="505"/>
      <c r="W981" s="505"/>
      <c r="X981" s="504"/>
      <c r="Y981" s="503"/>
      <c r="Z981" s="503"/>
      <c r="AA981" s="503"/>
      <c r="AB981" s="503"/>
      <c r="AC981" s="503"/>
      <c r="AD981" s="503"/>
      <c r="AE981" s="503"/>
      <c r="AF981" s="503"/>
    </row>
    <row r="982" spans="1:32" ht="15.75" customHeight="1">
      <c r="A982" s="503"/>
      <c r="B982" s="503"/>
      <c r="C982" s="510"/>
      <c r="D982" s="510"/>
      <c r="E982" s="510"/>
      <c r="F982" s="746"/>
      <c r="G982" s="510"/>
      <c r="H982" s="510"/>
      <c r="I982" s="510"/>
      <c r="J982" s="510"/>
      <c r="K982" s="510"/>
      <c r="L982" s="510"/>
      <c r="M982" s="509"/>
      <c r="N982" s="508"/>
      <c r="O982" s="507"/>
      <c r="P982" s="507"/>
      <c r="Q982" s="505"/>
      <c r="R982" s="506"/>
      <c r="S982" s="506"/>
      <c r="T982" s="506"/>
      <c r="U982" s="505"/>
      <c r="V982" s="505"/>
      <c r="W982" s="505"/>
      <c r="X982" s="504"/>
      <c r="Y982" s="503"/>
      <c r="Z982" s="503"/>
      <c r="AA982" s="503"/>
      <c r="AB982" s="503"/>
      <c r="AC982" s="503"/>
      <c r="AD982" s="503"/>
      <c r="AE982" s="503"/>
      <c r="AF982" s="503"/>
    </row>
    <row r="983" spans="1:32" ht="15.75" customHeight="1">
      <c r="A983" s="503"/>
      <c r="B983" s="503"/>
      <c r="C983" s="510"/>
      <c r="D983" s="510"/>
      <c r="E983" s="510"/>
      <c r="F983" s="746"/>
      <c r="G983" s="510"/>
      <c r="H983" s="510"/>
      <c r="I983" s="510"/>
      <c r="J983" s="510"/>
      <c r="K983" s="510"/>
      <c r="L983" s="510"/>
      <c r="M983" s="509"/>
      <c r="N983" s="508"/>
      <c r="O983" s="507"/>
      <c r="P983" s="507"/>
      <c r="Q983" s="505"/>
      <c r="R983" s="506"/>
      <c r="S983" s="506"/>
      <c r="T983" s="506"/>
      <c r="U983" s="505"/>
      <c r="V983" s="505"/>
      <c r="W983" s="505"/>
      <c r="X983" s="504"/>
      <c r="Y983" s="503"/>
      <c r="Z983" s="503"/>
      <c r="AA983" s="503"/>
      <c r="AB983" s="503"/>
      <c r="AC983" s="503"/>
      <c r="AD983" s="503"/>
      <c r="AE983" s="503"/>
      <c r="AF983" s="503"/>
    </row>
    <row r="984" spans="1:32" ht="15.75" customHeight="1">
      <c r="A984" s="503"/>
      <c r="B984" s="503"/>
      <c r="C984" s="510"/>
      <c r="D984" s="510"/>
      <c r="E984" s="510"/>
      <c r="F984" s="746"/>
      <c r="G984" s="510"/>
      <c r="H984" s="510"/>
      <c r="I984" s="510"/>
      <c r="J984" s="510"/>
      <c r="K984" s="510"/>
      <c r="L984" s="510"/>
      <c r="M984" s="509"/>
      <c r="N984" s="508"/>
      <c r="O984" s="507"/>
      <c r="P984" s="507"/>
      <c r="Q984" s="505"/>
      <c r="R984" s="506"/>
      <c r="S984" s="506"/>
      <c r="T984" s="506"/>
      <c r="U984" s="505"/>
      <c r="V984" s="505"/>
      <c r="W984" s="505"/>
      <c r="X984" s="504"/>
      <c r="Y984" s="503"/>
      <c r="Z984" s="503"/>
      <c r="AA984" s="503"/>
      <c r="AB984" s="503"/>
      <c r="AC984" s="503"/>
      <c r="AD984" s="503"/>
      <c r="AE984" s="503"/>
      <c r="AF984" s="503"/>
    </row>
    <row r="985" spans="1:32" ht="15.75" customHeight="1">
      <c r="A985" s="503"/>
      <c r="B985" s="503"/>
      <c r="C985" s="510"/>
      <c r="D985" s="510"/>
      <c r="E985" s="510"/>
      <c r="F985" s="746"/>
      <c r="G985" s="510"/>
      <c r="H985" s="510"/>
      <c r="I985" s="510"/>
      <c r="J985" s="510"/>
      <c r="K985" s="510"/>
      <c r="L985" s="510"/>
      <c r="M985" s="509"/>
      <c r="N985" s="508"/>
      <c r="O985" s="507"/>
      <c r="P985" s="507"/>
      <c r="Q985" s="505"/>
      <c r="R985" s="506"/>
      <c r="S985" s="506"/>
      <c r="T985" s="506"/>
      <c r="U985" s="505"/>
      <c r="V985" s="505"/>
      <c r="W985" s="505"/>
      <c r="X985" s="504"/>
      <c r="Y985" s="503"/>
      <c r="Z985" s="503"/>
      <c r="AA985" s="503"/>
      <c r="AB985" s="503"/>
      <c r="AC985" s="503"/>
      <c r="AD985" s="503"/>
      <c r="AE985" s="503"/>
      <c r="AF985" s="503"/>
    </row>
    <row r="986" spans="1:32" ht="15.75" customHeight="1">
      <c r="A986" s="503"/>
      <c r="B986" s="503"/>
      <c r="C986" s="510"/>
      <c r="D986" s="510"/>
      <c r="E986" s="510"/>
      <c r="F986" s="746"/>
      <c r="G986" s="510"/>
      <c r="H986" s="510"/>
      <c r="I986" s="510"/>
      <c r="J986" s="510"/>
      <c r="K986" s="510"/>
      <c r="L986" s="510"/>
      <c r="M986" s="509"/>
      <c r="N986" s="508"/>
      <c r="O986" s="507"/>
      <c r="P986" s="507"/>
      <c r="Q986" s="505"/>
      <c r="R986" s="506"/>
      <c r="S986" s="506"/>
      <c r="T986" s="506"/>
      <c r="U986" s="505"/>
      <c r="V986" s="505"/>
      <c r="W986" s="505"/>
      <c r="X986" s="504"/>
      <c r="Y986" s="503"/>
      <c r="Z986" s="503"/>
      <c r="AA986" s="503"/>
      <c r="AB986" s="503"/>
      <c r="AC986" s="503"/>
      <c r="AD986" s="503"/>
      <c r="AE986" s="503"/>
      <c r="AF986" s="503"/>
    </row>
    <row r="987" spans="1:32" ht="15.75" customHeight="1">
      <c r="A987" s="503"/>
      <c r="B987" s="503"/>
      <c r="C987" s="510"/>
      <c r="D987" s="510"/>
      <c r="E987" s="510"/>
      <c r="F987" s="746"/>
      <c r="G987" s="510"/>
      <c r="H987" s="510"/>
      <c r="I987" s="510"/>
      <c r="J987" s="510"/>
      <c r="K987" s="510"/>
      <c r="L987" s="510"/>
      <c r="M987" s="509"/>
      <c r="N987" s="508"/>
      <c r="O987" s="507"/>
      <c r="P987" s="507"/>
      <c r="Q987" s="505"/>
      <c r="R987" s="506"/>
      <c r="S987" s="506"/>
      <c r="T987" s="506"/>
      <c r="U987" s="505"/>
      <c r="V987" s="505"/>
      <c r="W987" s="505"/>
      <c r="X987" s="504"/>
      <c r="Y987" s="503"/>
      <c r="Z987" s="503"/>
      <c r="AA987" s="503"/>
      <c r="AB987" s="503"/>
      <c r="AC987" s="503"/>
      <c r="AD987" s="503"/>
      <c r="AE987" s="503"/>
      <c r="AF987" s="503"/>
    </row>
    <row r="988" spans="1:32" ht="15.75" customHeight="1">
      <c r="A988" s="503"/>
      <c r="B988" s="503"/>
      <c r="C988" s="510"/>
      <c r="D988" s="510"/>
      <c r="E988" s="510"/>
      <c r="F988" s="746"/>
      <c r="G988" s="510"/>
      <c r="H988" s="510"/>
      <c r="I988" s="510"/>
      <c r="J988" s="510"/>
      <c r="K988" s="510"/>
      <c r="L988" s="510"/>
      <c r="M988" s="509"/>
      <c r="N988" s="508"/>
      <c r="O988" s="507"/>
      <c r="P988" s="507"/>
      <c r="Q988" s="505"/>
      <c r="R988" s="506"/>
      <c r="S988" s="506"/>
      <c r="T988" s="506"/>
      <c r="U988" s="505"/>
      <c r="V988" s="505"/>
      <c r="W988" s="505"/>
      <c r="X988" s="504"/>
      <c r="Y988" s="503"/>
      <c r="Z988" s="503"/>
      <c r="AA988" s="503"/>
      <c r="AB988" s="503"/>
      <c r="AC988" s="503"/>
      <c r="AD988" s="503"/>
      <c r="AE988" s="503"/>
      <c r="AF988" s="503"/>
    </row>
    <row r="989" spans="1:32" ht="15.75" customHeight="1">
      <c r="A989" s="503"/>
      <c r="B989" s="503"/>
      <c r="C989" s="510"/>
      <c r="D989" s="510"/>
      <c r="E989" s="510"/>
      <c r="F989" s="746"/>
      <c r="G989" s="510"/>
      <c r="H989" s="510"/>
      <c r="I989" s="510"/>
      <c r="J989" s="510"/>
      <c r="K989" s="510"/>
      <c r="L989" s="510"/>
      <c r="M989" s="509"/>
      <c r="N989" s="508"/>
      <c r="O989" s="507"/>
      <c r="P989" s="507"/>
      <c r="Q989" s="505"/>
      <c r="R989" s="506"/>
      <c r="S989" s="506"/>
      <c r="T989" s="506"/>
      <c r="U989" s="505"/>
      <c r="V989" s="505"/>
      <c r="W989" s="505"/>
      <c r="X989" s="504"/>
      <c r="Y989" s="503"/>
      <c r="Z989" s="503"/>
      <c r="AA989" s="503"/>
      <c r="AB989" s="503"/>
      <c r="AC989" s="503"/>
      <c r="AD989" s="503"/>
      <c r="AE989" s="503"/>
      <c r="AF989" s="503"/>
    </row>
    <row r="990" spans="1:32" ht="15.75" customHeight="1">
      <c r="A990" s="503"/>
      <c r="B990" s="503"/>
      <c r="C990" s="510"/>
      <c r="D990" s="510"/>
      <c r="E990" s="510"/>
      <c r="F990" s="746"/>
      <c r="G990" s="510"/>
      <c r="H990" s="510"/>
      <c r="I990" s="510"/>
      <c r="J990" s="510"/>
      <c r="K990" s="510"/>
      <c r="L990" s="510"/>
      <c r="M990" s="509"/>
      <c r="N990" s="508"/>
      <c r="O990" s="507"/>
      <c r="P990" s="507"/>
      <c r="Q990" s="505"/>
      <c r="R990" s="506"/>
      <c r="S990" s="506"/>
      <c r="T990" s="506"/>
      <c r="U990" s="505"/>
      <c r="V990" s="505"/>
      <c r="W990" s="505"/>
      <c r="X990" s="504"/>
      <c r="Y990" s="503"/>
      <c r="Z990" s="503"/>
      <c r="AA990" s="503"/>
      <c r="AB990" s="503"/>
      <c r="AC990" s="503"/>
      <c r="AD990" s="503"/>
      <c r="AE990" s="503"/>
      <c r="AF990" s="503"/>
    </row>
    <row r="991" spans="1:32" ht="15.75" customHeight="1">
      <c r="A991" s="503"/>
      <c r="B991" s="503"/>
      <c r="C991" s="510"/>
      <c r="D991" s="510"/>
      <c r="E991" s="510"/>
      <c r="F991" s="746"/>
      <c r="G991" s="510"/>
      <c r="H991" s="510"/>
      <c r="I991" s="510"/>
      <c r="J991" s="510"/>
      <c r="K991" s="510"/>
      <c r="L991" s="510"/>
      <c r="M991" s="509"/>
      <c r="N991" s="508"/>
      <c r="O991" s="507"/>
      <c r="P991" s="507"/>
      <c r="Q991" s="505"/>
      <c r="R991" s="506"/>
      <c r="S991" s="506"/>
      <c r="T991" s="506"/>
      <c r="U991" s="505"/>
      <c r="V991" s="505"/>
      <c r="W991" s="505"/>
      <c r="X991" s="504"/>
      <c r="Y991" s="503"/>
      <c r="Z991" s="503"/>
      <c r="AA991" s="503"/>
      <c r="AB991" s="503"/>
      <c r="AC991" s="503"/>
      <c r="AD991" s="503"/>
      <c r="AE991" s="503"/>
      <c r="AF991" s="503"/>
    </row>
    <row r="992" spans="1:32" ht="15.75" customHeight="1">
      <c r="A992" s="503"/>
      <c r="B992" s="503"/>
      <c r="C992" s="510"/>
      <c r="D992" s="510"/>
      <c r="E992" s="510"/>
      <c r="F992" s="746"/>
      <c r="G992" s="510"/>
      <c r="H992" s="510"/>
      <c r="I992" s="510"/>
      <c r="J992" s="510"/>
      <c r="K992" s="510"/>
      <c r="L992" s="510"/>
      <c r="M992" s="509"/>
      <c r="N992" s="508"/>
      <c r="O992" s="507"/>
      <c r="P992" s="507"/>
      <c r="Q992" s="505"/>
      <c r="R992" s="506"/>
      <c r="S992" s="506"/>
      <c r="T992" s="506"/>
      <c r="U992" s="505"/>
      <c r="V992" s="505"/>
      <c r="W992" s="505"/>
      <c r="X992" s="504"/>
      <c r="Y992" s="503"/>
      <c r="Z992" s="503"/>
      <c r="AA992" s="503"/>
      <c r="AB992" s="503"/>
      <c r="AC992" s="503"/>
      <c r="AD992" s="503"/>
      <c r="AE992" s="503"/>
      <c r="AF992" s="503"/>
    </row>
    <row r="993" spans="1:32" ht="15.75" customHeight="1">
      <c r="A993" s="503"/>
      <c r="B993" s="503"/>
      <c r="C993" s="510"/>
      <c r="D993" s="510"/>
      <c r="E993" s="510"/>
      <c r="F993" s="746"/>
      <c r="G993" s="510"/>
      <c r="H993" s="510"/>
      <c r="I993" s="510"/>
      <c r="J993" s="510"/>
      <c r="K993" s="510"/>
      <c r="L993" s="510"/>
      <c r="M993" s="509"/>
      <c r="N993" s="508"/>
      <c r="O993" s="507"/>
      <c r="P993" s="507"/>
      <c r="Q993" s="505"/>
      <c r="R993" s="506"/>
      <c r="S993" s="506"/>
      <c r="T993" s="506"/>
      <c r="U993" s="505"/>
      <c r="V993" s="505"/>
      <c r="W993" s="505"/>
      <c r="X993" s="504"/>
      <c r="Y993" s="503"/>
      <c r="Z993" s="503"/>
      <c r="AA993" s="503"/>
      <c r="AB993" s="503"/>
      <c r="AC993" s="503"/>
      <c r="AD993" s="503"/>
      <c r="AE993" s="503"/>
      <c r="AF993" s="503"/>
    </row>
    <row r="994" spans="1:32" ht="15.75" customHeight="1">
      <c r="A994" s="503"/>
      <c r="B994" s="503"/>
      <c r="C994" s="510"/>
      <c r="D994" s="510"/>
      <c r="E994" s="510"/>
      <c r="F994" s="746"/>
      <c r="G994" s="510"/>
      <c r="H994" s="510"/>
      <c r="I994" s="510"/>
      <c r="J994" s="510"/>
      <c r="K994" s="510"/>
      <c r="L994" s="510"/>
      <c r="M994" s="509"/>
      <c r="N994" s="508"/>
      <c r="O994" s="507"/>
      <c r="P994" s="507"/>
      <c r="Q994" s="505"/>
      <c r="R994" s="506"/>
      <c r="S994" s="506"/>
      <c r="T994" s="506"/>
      <c r="U994" s="505"/>
      <c r="V994" s="505"/>
      <c r="W994" s="505"/>
      <c r="X994" s="504"/>
      <c r="Y994" s="503"/>
      <c r="Z994" s="503"/>
      <c r="AA994" s="503"/>
      <c r="AB994" s="503"/>
      <c r="AC994" s="503"/>
      <c r="AD994" s="503"/>
      <c r="AE994" s="503"/>
      <c r="AF994" s="503"/>
    </row>
    <row r="995" spans="1:32" ht="15.75" customHeight="1">
      <c r="A995" s="503"/>
      <c r="B995" s="503"/>
      <c r="C995" s="510"/>
      <c r="D995" s="510"/>
      <c r="E995" s="510"/>
      <c r="F995" s="746"/>
      <c r="G995" s="510"/>
      <c r="H995" s="510"/>
      <c r="I995" s="510"/>
      <c r="J995" s="510"/>
      <c r="K995" s="510"/>
      <c r="L995" s="510"/>
      <c r="M995" s="509"/>
      <c r="N995" s="508"/>
      <c r="O995" s="507"/>
      <c r="P995" s="507"/>
      <c r="Q995" s="505"/>
      <c r="R995" s="506"/>
      <c r="S995" s="506"/>
      <c r="T995" s="506"/>
      <c r="U995" s="505"/>
      <c r="V995" s="505"/>
      <c r="W995" s="505"/>
      <c r="X995" s="504"/>
      <c r="Y995" s="503"/>
      <c r="Z995" s="503"/>
      <c r="AA995" s="503"/>
      <c r="AB995" s="503"/>
      <c r="AC995" s="503"/>
      <c r="AD995" s="503"/>
      <c r="AE995" s="503"/>
      <c r="AF995" s="503"/>
    </row>
    <row r="996" spans="1:32" ht="15.75" customHeight="1">
      <c r="A996" s="503"/>
      <c r="B996" s="503"/>
      <c r="C996" s="510"/>
      <c r="D996" s="510"/>
      <c r="E996" s="510"/>
      <c r="F996" s="746"/>
      <c r="G996" s="510"/>
      <c r="H996" s="510"/>
      <c r="I996" s="510"/>
      <c r="J996" s="510"/>
      <c r="K996" s="510"/>
      <c r="L996" s="510"/>
      <c r="M996" s="509"/>
      <c r="N996" s="508"/>
      <c r="O996" s="507"/>
      <c r="P996" s="507"/>
      <c r="Q996" s="505"/>
      <c r="R996" s="506"/>
      <c r="S996" s="506"/>
      <c r="T996" s="506"/>
      <c r="U996" s="505"/>
      <c r="V996" s="505"/>
      <c r="W996" s="505"/>
      <c r="X996" s="504"/>
      <c r="Y996" s="503"/>
      <c r="Z996" s="503"/>
      <c r="AA996" s="503"/>
      <c r="AB996" s="503"/>
      <c r="AC996" s="503"/>
      <c r="AD996" s="503"/>
      <c r="AE996" s="503"/>
      <c r="AF996" s="503"/>
    </row>
    <row r="997" spans="1:32" ht="15.75" customHeight="1">
      <c r="A997" s="503"/>
      <c r="B997" s="503"/>
      <c r="C997" s="510"/>
      <c r="D997" s="510"/>
      <c r="E997" s="510"/>
      <c r="F997" s="746"/>
      <c r="G997" s="510"/>
      <c r="H997" s="510"/>
      <c r="I997" s="510"/>
      <c r="J997" s="510"/>
      <c r="K997" s="510"/>
      <c r="L997" s="510"/>
      <c r="M997" s="509"/>
      <c r="N997" s="508"/>
      <c r="O997" s="507"/>
      <c r="P997" s="507"/>
      <c r="Q997" s="505"/>
      <c r="R997" s="506"/>
      <c r="S997" s="506"/>
      <c r="T997" s="506"/>
      <c r="U997" s="505"/>
      <c r="V997" s="505"/>
      <c r="W997" s="505"/>
      <c r="X997" s="504"/>
      <c r="Y997" s="503"/>
      <c r="Z997" s="503"/>
      <c r="AA997" s="503"/>
      <c r="AB997" s="503"/>
      <c r="AC997" s="503"/>
      <c r="AD997" s="503"/>
      <c r="AE997" s="503"/>
      <c r="AF997" s="503"/>
    </row>
    <row r="998" spans="1:32" ht="15.75" customHeight="1">
      <c r="A998" s="503"/>
      <c r="B998" s="503"/>
      <c r="C998" s="510"/>
      <c r="D998" s="510"/>
      <c r="E998" s="510"/>
      <c r="F998" s="746"/>
      <c r="G998" s="510"/>
      <c r="H998" s="510"/>
      <c r="I998" s="510"/>
      <c r="J998" s="510"/>
      <c r="K998" s="510"/>
      <c r="L998" s="510"/>
      <c r="M998" s="509"/>
      <c r="N998" s="508"/>
      <c r="O998" s="507"/>
      <c r="P998" s="507"/>
      <c r="Q998" s="505"/>
      <c r="R998" s="506"/>
      <c r="S998" s="506"/>
      <c r="T998" s="506"/>
      <c r="U998" s="505"/>
      <c r="V998" s="505"/>
      <c r="W998" s="505"/>
      <c r="X998" s="504"/>
      <c r="Y998" s="503"/>
      <c r="Z998" s="503"/>
      <c r="AA998" s="503"/>
      <c r="AB998" s="503"/>
      <c r="AC998" s="503"/>
      <c r="AD998" s="503"/>
      <c r="AE998" s="503"/>
      <c r="AF998" s="503"/>
    </row>
    <row r="999" spans="1:32" ht="15.75" customHeight="1">
      <c r="A999" s="503"/>
      <c r="B999" s="503"/>
      <c r="C999" s="510"/>
      <c r="D999" s="510"/>
      <c r="E999" s="510"/>
      <c r="F999" s="746"/>
      <c r="G999" s="510"/>
      <c r="H999" s="510"/>
      <c r="I999" s="510"/>
      <c r="J999" s="510"/>
      <c r="K999" s="510"/>
      <c r="L999" s="510"/>
      <c r="M999" s="509"/>
      <c r="N999" s="508"/>
      <c r="O999" s="507"/>
      <c r="P999" s="507"/>
      <c r="Q999" s="505"/>
      <c r="R999" s="506"/>
      <c r="S999" s="506"/>
      <c r="T999" s="506"/>
      <c r="U999" s="505"/>
      <c r="V999" s="505"/>
      <c r="W999" s="505"/>
      <c r="X999" s="504"/>
      <c r="Y999" s="503"/>
      <c r="Z999" s="503"/>
      <c r="AA999" s="503"/>
      <c r="AB999" s="503"/>
      <c r="AC999" s="503"/>
      <c r="AD999" s="503"/>
      <c r="AE999" s="503"/>
      <c r="AF999" s="503"/>
    </row>
    <row r="1000" spans="1:32" ht="15.75" customHeight="1">
      <c r="A1000" s="503"/>
      <c r="B1000" s="503"/>
      <c r="C1000" s="510"/>
      <c r="D1000" s="510"/>
      <c r="E1000" s="510"/>
      <c r="F1000" s="746"/>
      <c r="G1000" s="510"/>
      <c r="H1000" s="510"/>
      <c r="I1000" s="510"/>
      <c r="J1000" s="510"/>
      <c r="K1000" s="510"/>
      <c r="L1000" s="510"/>
      <c r="M1000" s="509"/>
      <c r="N1000" s="508"/>
      <c r="O1000" s="507"/>
      <c r="P1000" s="507"/>
      <c r="Q1000" s="505"/>
      <c r="R1000" s="506"/>
      <c r="S1000" s="506"/>
      <c r="T1000" s="506"/>
      <c r="U1000" s="505"/>
      <c r="V1000" s="505"/>
      <c r="W1000" s="505"/>
      <c r="X1000" s="504"/>
      <c r="Y1000" s="503"/>
      <c r="Z1000" s="503"/>
      <c r="AA1000" s="503"/>
      <c r="AB1000" s="503"/>
      <c r="AC1000" s="503"/>
      <c r="AD1000" s="503"/>
      <c r="AE1000" s="503"/>
      <c r="AF1000" s="503"/>
    </row>
    <row r="1001" spans="1:32" ht="15.75" customHeight="1">
      <c r="A1001" s="503"/>
      <c r="B1001" s="503"/>
      <c r="C1001" s="510"/>
      <c r="D1001" s="510"/>
      <c r="E1001" s="510"/>
      <c r="F1001" s="746"/>
      <c r="G1001" s="510"/>
      <c r="H1001" s="510"/>
      <c r="I1001" s="510"/>
      <c r="J1001" s="510"/>
      <c r="K1001" s="510"/>
      <c r="L1001" s="510"/>
      <c r="M1001" s="509"/>
      <c r="N1001" s="508"/>
      <c r="O1001" s="507"/>
      <c r="P1001" s="507"/>
      <c r="Q1001" s="505"/>
      <c r="R1001" s="506"/>
      <c r="S1001" s="506"/>
      <c r="T1001" s="506"/>
      <c r="U1001" s="505"/>
      <c r="V1001" s="505"/>
      <c r="W1001" s="505"/>
      <c r="X1001" s="504"/>
      <c r="Y1001" s="503"/>
      <c r="Z1001" s="503"/>
      <c r="AA1001" s="503"/>
      <c r="AB1001" s="503"/>
      <c r="AC1001" s="503"/>
      <c r="AD1001" s="503"/>
      <c r="AE1001" s="503"/>
      <c r="AF1001" s="503"/>
    </row>
    <row r="1002" spans="1:32" ht="15.75" customHeight="1">
      <c r="A1002" s="503"/>
      <c r="B1002" s="503"/>
      <c r="C1002" s="510"/>
      <c r="D1002" s="510"/>
      <c r="E1002" s="510"/>
      <c r="F1002" s="746"/>
      <c r="G1002" s="510"/>
      <c r="H1002" s="510"/>
      <c r="I1002" s="510"/>
      <c r="J1002" s="510"/>
      <c r="K1002" s="510"/>
      <c r="L1002" s="510"/>
      <c r="M1002" s="509"/>
      <c r="N1002" s="508"/>
      <c r="O1002" s="507"/>
      <c r="P1002" s="507"/>
      <c r="Q1002" s="505"/>
      <c r="R1002" s="506"/>
      <c r="S1002" s="506"/>
      <c r="T1002" s="506"/>
      <c r="U1002" s="505"/>
      <c r="V1002" s="505"/>
      <c r="W1002" s="505"/>
      <c r="X1002" s="504"/>
      <c r="Y1002" s="503"/>
      <c r="Z1002" s="503"/>
      <c r="AA1002" s="503"/>
      <c r="AB1002" s="503"/>
      <c r="AC1002" s="503"/>
      <c r="AD1002" s="503"/>
      <c r="AE1002" s="503"/>
      <c r="AF1002" s="503"/>
    </row>
    <row r="1003" spans="1:32" ht="15.75" customHeight="1">
      <c r="A1003" s="503"/>
      <c r="B1003" s="503"/>
      <c r="C1003" s="510"/>
      <c r="D1003" s="510"/>
      <c r="E1003" s="510"/>
      <c r="F1003" s="746"/>
      <c r="G1003" s="510"/>
      <c r="H1003" s="510"/>
      <c r="I1003" s="510"/>
      <c r="J1003" s="510"/>
      <c r="K1003" s="510"/>
      <c r="L1003" s="510"/>
      <c r="M1003" s="509"/>
      <c r="N1003" s="508"/>
      <c r="O1003" s="507"/>
      <c r="P1003" s="507"/>
      <c r="Q1003" s="505"/>
      <c r="R1003" s="506"/>
      <c r="S1003" s="506"/>
      <c r="T1003" s="506"/>
      <c r="U1003" s="505"/>
      <c r="V1003" s="505"/>
      <c r="W1003" s="505"/>
      <c r="X1003" s="504"/>
      <c r="Y1003" s="503"/>
      <c r="Z1003" s="503"/>
      <c r="AA1003" s="503"/>
      <c r="AB1003" s="503"/>
      <c r="AC1003" s="503"/>
      <c r="AD1003" s="503"/>
      <c r="AE1003" s="503"/>
      <c r="AF1003" s="503"/>
    </row>
    <row r="1004" spans="1:32" ht="15.75" customHeight="1">
      <c r="A1004" s="503"/>
      <c r="B1004" s="503"/>
      <c r="C1004" s="510"/>
      <c r="D1004" s="510"/>
      <c r="E1004" s="510"/>
      <c r="F1004" s="746"/>
      <c r="G1004" s="510"/>
      <c r="H1004" s="510"/>
      <c r="I1004" s="510"/>
      <c r="J1004" s="510"/>
      <c r="K1004" s="510"/>
      <c r="L1004" s="510"/>
      <c r="M1004" s="509"/>
      <c r="N1004" s="508"/>
      <c r="O1004" s="507"/>
      <c r="P1004" s="507"/>
      <c r="Q1004" s="505"/>
      <c r="R1004" s="506"/>
      <c r="S1004" s="506"/>
      <c r="T1004" s="506"/>
      <c r="U1004" s="505"/>
      <c r="V1004" s="505"/>
      <c r="W1004" s="505"/>
      <c r="X1004" s="504"/>
      <c r="Y1004" s="503"/>
      <c r="Z1004" s="503"/>
      <c r="AA1004" s="503"/>
      <c r="AB1004" s="503"/>
      <c r="AC1004" s="503"/>
      <c r="AD1004" s="503"/>
      <c r="AE1004" s="503"/>
      <c r="AF1004" s="503"/>
    </row>
    <row r="1005" spans="1:32" ht="15.75" customHeight="1">
      <c r="A1005" s="503"/>
      <c r="B1005" s="503"/>
      <c r="C1005" s="510"/>
      <c r="D1005" s="510"/>
      <c r="E1005" s="510"/>
      <c r="F1005" s="746"/>
      <c r="G1005" s="510"/>
      <c r="H1005" s="510"/>
      <c r="I1005" s="510"/>
      <c r="J1005" s="510"/>
      <c r="K1005" s="510"/>
      <c r="L1005" s="510"/>
      <c r="M1005" s="509"/>
      <c r="N1005" s="508"/>
      <c r="O1005" s="507"/>
      <c r="P1005" s="507"/>
      <c r="Q1005" s="505"/>
      <c r="R1005" s="506"/>
      <c r="S1005" s="506"/>
      <c r="T1005" s="506"/>
      <c r="U1005" s="505"/>
      <c r="V1005" s="505"/>
      <c r="W1005" s="505"/>
      <c r="X1005" s="504"/>
      <c r="Y1005" s="503"/>
      <c r="Z1005" s="503"/>
      <c r="AA1005" s="503"/>
      <c r="AB1005" s="503"/>
      <c r="AC1005" s="503"/>
      <c r="AD1005" s="503"/>
      <c r="AE1005" s="503"/>
      <c r="AF1005" s="503"/>
    </row>
    <row r="1006" spans="1:32" ht="15.75" customHeight="1">
      <c r="A1006" s="503"/>
      <c r="B1006" s="503"/>
      <c r="C1006" s="510"/>
      <c r="D1006" s="510"/>
      <c r="E1006" s="510"/>
      <c r="F1006" s="746"/>
      <c r="G1006" s="510"/>
      <c r="H1006" s="510"/>
      <c r="I1006" s="510"/>
      <c r="J1006" s="510"/>
      <c r="K1006" s="510"/>
      <c r="L1006" s="510"/>
      <c r="M1006" s="509"/>
      <c r="N1006" s="508"/>
      <c r="O1006" s="507"/>
      <c r="P1006" s="507"/>
      <c r="Q1006" s="505"/>
      <c r="R1006" s="506"/>
      <c r="S1006" s="506"/>
      <c r="T1006" s="506"/>
      <c r="U1006" s="505"/>
      <c r="V1006" s="505"/>
      <c r="W1006" s="505"/>
      <c r="X1006" s="504"/>
      <c r="Y1006" s="503"/>
      <c r="Z1006" s="503"/>
      <c r="AA1006" s="503"/>
      <c r="AB1006" s="503"/>
      <c r="AC1006" s="503"/>
      <c r="AD1006" s="503"/>
      <c r="AE1006" s="503"/>
      <c r="AF1006" s="503"/>
    </row>
    <row r="1007" spans="1:32" ht="15.75" customHeight="1">
      <c r="A1007" s="503"/>
      <c r="B1007" s="503"/>
      <c r="C1007" s="510"/>
      <c r="D1007" s="510"/>
      <c r="E1007" s="510"/>
      <c r="F1007" s="746"/>
      <c r="G1007" s="510"/>
      <c r="H1007" s="510"/>
      <c r="I1007" s="510"/>
      <c r="J1007" s="510"/>
      <c r="K1007" s="510"/>
      <c r="L1007" s="510"/>
      <c r="M1007" s="509"/>
      <c r="N1007" s="508"/>
      <c r="O1007" s="507"/>
      <c r="P1007" s="507"/>
      <c r="Q1007" s="505"/>
      <c r="R1007" s="506"/>
      <c r="S1007" s="506"/>
      <c r="T1007" s="506"/>
      <c r="U1007" s="505"/>
      <c r="V1007" s="505"/>
      <c r="W1007" s="505"/>
      <c r="X1007" s="504"/>
      <c r="Y1007" s="503"/>
      <c r="Z1007" s="503"/>
      <c r="AA1007" s="503"/>
      <c r="AB1007" s="503"/>
      <c r="AC1007" s="503"/>
      <c r="AD1007" s="503"/>
      <c r="AE1007" s="503"/>
      <c r="AF1007" s="503"/>
    </row>
    <row r="1008" spans="1:32" ht="15.75" customHeight="1">
      <c r="A1008" s="503"/>
      <c r="B1008" s="503"/>
      <c r="C1008" s="510"/>
      <c r="D1008" s="510"/>
      <c r="E1008" s="510"/>
      <c r="F1008" s="746"/>
      <c r="G1008" s="510"/>
      <c r="H1008" s="510"/>
      <c r="I1008" s="510"/>
      <c r="J1008" s="510"/>
      <c r="K1008" s="510"/>
      <c r="L1008" s="510"/>
      <c r="M1008" s="509"/>
      <c r="N1008" s="508"/>
      <c r="O1008" s="507"/>
      <c r="P1008" s="507"/>
      <c r="Q1008" s="505"/>
      <c r="R1008" s="506"/>
      <c r="S1008" s="506"/>
      <c r="T1008" s="506"/>
      <c r="U1008" s="505"/>
      <c r="V1008" s="505"/>
      <c r="W1008" s="505"/>
      <c r="X1008" s="504"/>
      <c r="Y1008" s="503"/>
      <c r="Z1008" s="503"/>
      <c r="AA1008" s="503"/>
      <c r="AB1008" s="503"/>
      <c r="AC1008" s="503"/>
      <c r="AD1008" s="503"/>
      <c r="AE1008" s="503"/>
      <c r="AF1008" s="503"/>
    </row>
    <row r="1009" spans="1:32" ht="15.75" customHeight="1">
      <c r="A1009" s="503"/>
      <c r="B1009" s="503"/>
      <c r="C1009" s="510"/>
      <c r="D1009" s="510"/>
      <c r="E1009" s="510"/>
      <c r="F1009" s="746"/>
      <c r="G1009" s="510"/>
      <c r="H1009" s="510"/>
      <c r="I1009" s="510"/>
      <c r="J1009" s="510"/>
      <c r="K1009" s="510"/>
      <c r="L1009" s="510"/>
      <c r="M1009" s="509"/>
      <c r="N1009" s="508"/>
      <c r="O1009" s="507"/>
      <c r="P1009" s="507"/>
      <c r="Q1009" s="505"/>
      <c r="R1009" s="506"/>
      <c r="S1009" s="506"/>
      <c r="T1009" s="506"/>
      <c r="U1009" s="505"/>
      <c r="V1009" s="505"/>
      <c r="W1009" s="505"/>
      <c r="X1009" s="504"/>
      <c r="Y1009" s="503"/>
      <c r="Z1009" s="503"/>
      <c r="AA1009" s="503"/>
      <c r="AB1009" s="503"/>
      <c r="AC1009" s="503"/>
      <c r="AD1009" s="503"/>
      <c r="AE1009" s="503"/>
      <c r="AF1009" s="503"/>
    </row>
    <row r="1010" spans="1:32" ht="15.75" customHeight="1">
      <c r="A1010" s="503"/>
      <c r="B1010" s="503"/>
      <c r="C1010" s="510"/>
      <c r="D1010" s="510"/>
      <c r="E1010" s="510"/>
      <c r="F1010" s="746"/>
      <c r="G1010" s="510"/>
      <c r="H1010" s="510"/>
      <c r="I1010" s="510"/>
      <c r="J1010" s="510"/>
      <c r="K1010" s="510"/>
      <c r="L1010" s="510"/>
      <c r="M1010" s="509"/>
      <c r="N1010" s="508"/>
      <c r="O1010" s="507"/>
      <c r="P1010" s="507"/>
      <c r="Q1010" s="505"/>
      <c r="R1010" s="506"/>
      <c r="S1010" s="506"/>
      <c r="T1010" s="506"/>
      <c r="U1010" s="505"/>
      <c r="V1010" s="505"/>
      <c r="W1010" s="505"/>
      <c r="X1010" s="504"/>
      <c r="Y1010" s="503"/>
      <c r="Z1010" s="503"/>
      <c r="AA1010" s="503"/>
      <c r="AB1010" s="503"/>
      <c r="AC1010" s="503"/>
      <c r="AD1010" s="503"/>
      <c r="AE1010" s="503"/>
      <c r="AF1010" s="503"/>
    </row>
    <row r="1011" spans="1:32" ht="15.75" customHeight="1">
      <c r="A1011" s="503"/>
      <c r="B1011" s="503"/>
      <c r="C1011" s="510"/>
      <c r="D1011" s="510"/>
      <c r="E1011" s="510"/>
      <c r="F1011" s="746"/>
      <c r="G1011" s="510"/>
      <c r="H1011" s="510"/>
      <c r="I1011" s="510"/>
      <c r="J1011" s="510"/>
      <c r="K1011" s="510"/>
      <c r="L1011" s="510"/>
      <c r="M1011" s="509"/>
      <c r="N1011" s="508"/>
      <c r="O1011" s="507"/>
      <c r="P1011" s="507"/>
      <c r="Q1011" s="505"/>
      <c r="R1011" s="506"/>
      <c r="S1011" s="506"/>
      <c r="T1011" s="506"/>
      <c r="U1011" s="505"/>
      <c r="V1011" s="505"/>
      <c r="W1011" s="505"/>
      <c r="X1011" s="504"/>
      <c r="Y1011" s="503"/>
      <c r="Z1011" s="503"/>
      <c r="AA1011" s="503"/>
      <c r="AB1011" s="503"/>
      <c r="AC1011" s="503"/>
      <c r="AD1011" s="503"/>
      <c r="AE1011" s="503"/>
      <c r="AF1011" s="503"/>
    </row>
    <row r="1012" spans="1:32" ht="15.75" customHeight="1">
      <c r="A1012" s="503"/>
      <c r="B1012" s="503"/>
      <c r="C1012" s="510"/>
      <c r="D1012" s="510"/>
      <c r="E1012" s="510"/>
      <c r="F1012" s="746"/>
      <c r="G1012" s="510"/>
      <c r="H1012" s="510"/>
      <c r="I1012" s="510"/>
      <c r="J1012" s="510"/>
      <c r="K1012" s="510"/>
      <c r="L1012" s="510"/>
      <c r="M1012" s="509"/>
      <c r="N1012" s="508"/>
      <c r="O1012" s="507"/>
      <c r="P1012" s="507"/>
      <c r="Q1012" s="505"/>
      <c r="R1012" s="506"/>
      <c r="S1012" s="506"/>
      <c r="T1012" s="506"/>
      <c r="U1012" s="505"/>
      <c r="V1012" s="505"/>
      <c r="W1012" s="505"/>
      <c r="X1012" s="504"/>
      <c r="Y1012" s="503"/>
      <c r="Z1012" s="503"/>
      <c r="AA1012" s="503"/>
      <c r="AB1012" s="503"/>
      <c r="AC1012" s="503"/>
      <c r="AD1012" s="503"/>
      <c r="AE1012" s="503"/>
      <c r="AF1012" s="503"/>
    </row>
    <row r="1013" spans="1:32" ht="15.75" customHeight="1">
      <c r="A1013" s="503"/>
      <c r="B1013" s="503"/>
      <c r="C1013" s="510"/>
      <c r="D1013" s="510"/>
      <c r="E1013" s="510"/>
      <c r="F1013" s="746"/>
      <c r="G1013" s="510"/>
      <c r="H1013" s="510"/>
      <c r="I1013" s="510"/>
      <c r="J1013" s="510"/>
      <c r="K1013" s="510"/>
      <c r="L1013" s="510"/>
      <c r="M1013" s="509"/>
      <c r="N1013" s="508"/>
      <c r="O1013" s="507"/>
      <c r="P1013" s="507"/>
      <c r="Q1013" s="505"/>
      <c r="R1013" s="506"/>
      <c r="S1013" s="506"/>
      <c r="T1013" s="506"/>
      <c r="U1013" s="505"/>
      <c r="V1013" s="505"/>
      <c r="W1013" s="505"/>
      <c r="X1013" s="504"/>
      <c r="Y1013" s="503"/>
      <c r="Z1013" s="503"/>
      <c r="AA1013" s="503"/>
      <c r="AB1013" s="503"/>
      <c r="AC1013" s="503"/>
      <c r="AD1013" s="503"/>
      <c r="AE1013" s="503"/>
      <c r="AF1013" s="503"/>
    </row>
    <row r="1014" spans="1:32" ht="15.75" customHeight="1">
      <c r="A1014" s="503"/>
      <c r="B1014" s="503"/>
      <c r="C1014" s="510"/>
      <c r="D1014" s="510"/>
      <c r="E1014" s="510"/>
      <c r="F1014" s="746"/>
      <c r="G1014" s="510"/>
      <c r="H1014" s="510"/>
      <c r="I1014" s="510"/>
      <c r="J1014" s="510"/>
      <c r="K1014" s="510"/>
      <c r="L1014" s="510"/>
      <c r="M1014" s="509"/>
      <c r="N1014" s="508"/>
      <c r="O1014" s="507"/>
      <c r="P1014" s="507"/>
      <c r="Q1014" s="505"/>
      <c r="R1014" s="506"/>
      <c r="S1014" s="506"/>
      <c r="T1014" s="506"/>
      <c r="U1014" s="505"/>
      <c r="V1014" s="505"/>
      <c r="W1014" s="505"/>
      <c r="X1014" s="504"/>
      <c r="Y1014" s="503"/>
      <c r="Z1014" s="503"/>
      <c r="AA1014" s="503"/>
      <c r="AB1014" s="503"/>
      <c r="AC1014" s="503"/>
      <c r="AD1014" s="503"/>
      <c r="AE1014" s="503"/>
      <c r="AF1014" s="503"/>
    </row>
    <row r="1015" spans="1:32" ht="15.75" customHeight="1">
      <c r="A1015" s="503"/>
      <c r="B1015" s="503"/>
      <c r="C1015" s="510"/>
      <c r="D1015" s="510"/>
      <c r="E1015" s="510"/>
      <c r="F1015" s="746"/>
      <c r="G1015" s="510"/>
      <c r="H1015" s="510"/>
      <c r="I1015" s="510"/>
      <c r="J1015" s="510"/>
      <c r="K1015" s="510"/>
      <c r="L1015" s="510"/>
      <c r="M1015" s="509"/>
      <c r="N1015" s="508"/>
      <c r="O1015" s="507"/>
      <c r="P1015" s="507"/>
      <c r="Q1015" s="505"/>
      <c r="R1015" s="506"/>
      <c r="S1015" s="506"/>
      <c r="T1015" s="506"/>
      <c r="U1015" s="505"/>
      <c r="V1015" s="505"/>
      <c r="W1015" s="505"/>
      <c r="X1015" s="504"/>
      <c r="Y1015" s="503"/>
      <c r="Z1015" s="503"/>
      <c r="AA1015" s="503"/>
      <c r="AB1015" s="503"/>
      <c r="AC1015" s="503"/>
      <c r="AD1015" s="503"/>
      <c r="AE1015" s="503"/>
      <c r="AF1015" s="503"/>
    </row>
    <row r="1016" spans="1:32" ht="15.75" customHeight="1">
      <c r="A1016" s="503"/>
      <c r="B1016" s="503"/>
      <c r="C1016" s="510"/>
      <c r="D1016" s="510"/>
      <c r="E1016" s="510"/>
      <c r="F1016" s="746"/>
      <c r="G1016" s="510"/>
      <c r="H1016" s="510"/>
      <c r="I1016" s="510"/>
      <c r="J1016" s="510"/>
      <c r="K1016" s="510"/>
      <c r="L1016" s="510"/>
      <c r="M1016" s="509"/>
      <c r="N1016" s="508"/>
      <c r="O1016" s="507"/>
      <c r="P1016" s="507"/>
      <c r="Q1016" s="505"/>
      <c r="R1016" s="506"/>
      <c r="S1016" s="506"/>
      <c r="T1016" s="506"/>
      <c r="U1016" s="505"/>
      <c r="V1016" s="505"/>
      <c r="W1016" s="505"/>
      <c r="X1016" s="504"/>
      <c r="Y1016" s="503"/>
      <c r="Z1016" s="503"/>
      <c r="AA1016" s="503"/>
      <c r="AB1016" s="503"/>
      <c r="AC1016" s="503"/>
      <c r="AD1016" s="503"/>
      <c r="AE1016" s="503"/>
      <c r="AF1016" s="503"/>
    </row>
    <row r="1017" spans="1:32" ht="15.75" customHeight="1">
      <c r="A1017" s="503"/>
      <c r="B1017" s="503"/>
      <c r="C1017" s="510"/>
      <c r="D1017" s="510"/>
      <c r="E1017" s="510"/>
      <c r="F1017" s="746"/>
      <c r="G1017" s="510"/>
      <c r="H1017" s="510"/>
      <c r="I1017" s="510"/>
      <c r="J1017" s="510"/>
      <c r="K1017" s="510"/>
      <c r="L1017" s="510"/>
      <c r="M1017" s="509"/>
      <c r="N1017" s="508"/>
      <c r="O1017" s="507"/>
      <c r="P1017" s="507"/>
      <c r="Q1017" s="505"/>
      <c r="R1017" s="506"/>
      <c r="S1017" s="506"/>
      <c r="T1017" s="506"/>
      <c r="U1017" s="505"/>
      <c r="V1017" s="505"/>
      <c r="W1017" s="505"/>
      <c r="X1017" s="504"/>
      <c r="Y1017" s="503"/>
      <c r="Z1017" s="503"/>
      <c r="AA1017" s="503"/>
      <c r="AB1017" s="503"/>
      <c r="AC1017" s="503"/>
      <c r="AD1017" s="503"/>
      <c r="AE1017" s="503"/>
      <c r="AF1017" s="503"/>
    </row>
    <row r="1018" spans="1:32" ht="15.75" customHeight="1">
      <c r="A1018" s="503"/>
      <c r="B1018" s="503"/>
      <c r="C1018" s="510"/>
      <c r="D1018" s="510"/>
      <c r="E1018" s="510"/>
      <c r="F1018" s="746"/>
      <c r="G1018" s="510"/>
      <c r="H1018" s="510"/>
      <c r="I1018" s="510"/>
      <c r="J1018" s="510"/>
      <c r="K1018" s="510"/>
      <c r="L1018" s="510"/>
      <c r="M1018" s="509"/>
      <c r="N1018" s="508"/>
      <c r="O1018" s="507"/>
      <c r="P1018" s="507"/>
      <c r="Q1018" s="505"/>
      <c r="R1018" s="506"/>
      <c r="S1018" s="506"/>
      <c r="T1018" s="506"/>
      <c r="U1018" s="505"/>
      <c r="V1018" s="505"/>
      <c r="W1018" s="505"/>
      <c r="X1018" s="504"/>
      <c r="Y1018" s="503"/>
      <c r="Z1018" s="503"/>
      <c r="AA1018" s="503"/>
      <c r="AB1018" s="503"/>
      <c r="AC1018" s="503"/>
      <c r="AD1018" s="503"/>
      <c r="AE1018" s="503"/>
      <c r="AF1018" s="503"/>
    </row>
    <row r="1019" spans="1:32" ht="15.75" customHeight="1">
      <c r="A1019" s="503"/>
      <c r="B1019" s="503"/>
      <c r="C1019" s="510"/>
      <c r="D1019" s="510"/>
      <c r="E1019" s="510"/>
      <c r="F1019" s="746"/>
      <c r="G1019" s="510"/>
      <c r="H1019" s="510"/>
      <c r="I1019" s="510"/>
      <c r="J1019" s="510"/>
      <c r="K1019" s="510"/>
      <c r="L1019" s="510"/>
      <c r="M1019" s="509"/>
      <c r="N1019" s="508"/>
      <c r="O1019" s="507"/>
      <c r="P1019" s="507"/>
      <c r="Q1019" s="505"/>
      <c r="R1019" s="506"/>
      <c r="S1019" s="506"/>
      <c r="T1019" s="506"/>
      <c r="U1019" s="505"/>
      <c r="V1019" s="505"/>
      <c r="W1019" s="505"/>
      <c r="X1019" s="504"/>
      <c r="Y1019" s="503"/>
      <c r="Z1019" s="503"/>
      <c r="AA1019" s="503"/>
      <c r="AB1019" s="503"/>
      <c r="AC1019" s="503"/>
      <c r="AD1019" s="503"/>
      <c r="AE1019" s="503"/>
      <c r="AF1019" s="503"/>
    </row>
    <row r="1020" spans="1:32" ht="15.75" customHeight="1">
      <c r="A1020" s="503"/>
      <c r="B1020" s="503"/>
      <c r="C1020" s="510"/>
      <c r="D1020" s="510"/>
      <c r="E1020" s="510"/>
      <c r="F1020" s="746"/>
      <c r="G1020" s="510"/>
      <c r="H1020" s="510"/>
      <c r="I1020" s="510"/>
      <c r="J1020" s="510"/>
      <c r="K1020" s="510"/>
      <c r="L1020" s="510"/>
      <c r="M1020" s="509"/>
      <c r="N1020" s="508"/>
      <c r="O1020" s="507"/>
      <c r="P1020" s="507"/>
      <c r="Q1020" s="505"/>
      <c r="R1020" s="506"/>
      <c r="S1020" s="506"/>
      <c r="T1020" s="506"/>
      <c r="U1020" s="505"/>
      <c r="V1020" s="505"/>
      <c r="W1020" s="505"/>
      <c r="X1020" s="504"/>
      <c r="Y1020" s="503"/>
      <c r="Z1020" s="503"/>
      <c r="AA1020" s="503"/>
      <c r="AB1020" s="503"/>
      <c r="AC1020" s="503"/>
      <c r="AD1020" s="503"/>
      <c r="AE1020" s="503"/>
      <c r="AF1020" s="503"/>
    </row>
    <row r="1021" spans="1:32" ht="15.75" customHeight="1">
      <c r="A1021" s="503"/>
      <c r="B1021" s="503"/>
      <c r="C1021" s="510"/>
      <c r="D1021" s="510"/>
      <c r="E1021" s="510"/>
      <c r="F1021" s="746"/>
      <c r="G1021" s="510"/>
      <c r="H1021" s="510"/>
      <c r="I1021" s="510"/>
      <c r="J1021" s="510"/>
      <c r="K1021" s="510"/>
      <c r="L1021" s="510"/>
      <c r="M1021" s="509"/>
      <c r="N1021" s="508"/>
      <c r="O1021" s="507"/>
      <c r="P1021" s="507"/>
      <c r="Q1021" s="505"/>
      <c r="R1021" s="506"/>
      <c r="S1021" s="506"/>
      <c r="T1021" s="506"/>
      <c r="U1021" s="505"/>
      <c r="V1021" s="505"/>
      <c r="W1021" s="505"/>
      <c r="X1021" s="504"/>
      <c r="Y1021" s="503"/>
      <c r="Z1021" s="503"/>
      <c r="AA1021" s="503"/>
      <c r="AB1021" s="503"/>
      <c r="AC1021" s="503"/>
      <c r="AD1021" s="503"/>
      <c r="AE1021" s="503"/>
      <c r="AF1021" s="503"/>
    </row>
    <row r="1022" spans="1:32" ht="15.75" customHeight="1">
      <c r="A1022" s="503"/>
      <c r="B1022" s="503"/>
      <c r="C1022" s="510"/>
      <c r="D1022" s="510"/>
      <c r="E1022" s="510"/>
      <c r="F1022" s="746"/>
      <c r="G1022" s="510"/>
      <c r="H1022" s="510"/>
      <c r="I1022" s="510"/>
      <c r="J1022" s="510"/>
      <c r="K1022" s="510"/>
      <c r="L1022" s="510"/>
      <c r="M1022" s="509"/>
      <c r="N1022" s="508"/>
      <c r="O1022" s="507"/>
      <c r="P1022" s="507"/>
      <c r="Q1022" s="505"/>
      <c r="R1022" s="506"/>
      <c r="S1022" s="506"/>
      <c r="T1022" s="506"/>
      <c r="U1022" s="505"/>
      <c r="V1022" s="505"/>
      <c r="W1022" s="505"/>
      <c r="X1022" s="504"/>
      <c r="Y1022" s="503"/>
      <c r="Z1022" s="503"/>
      <c r="AA1022" s="503"/>
      <c r="AB1022" s="503"/>
      <c r="AC1022" s="503"/>
      <c r="AD1022" s="503"/>
      <c r="AE1022" s="503"/>
      <c r="AF1022" s="503"/>
    </row>
    <row r="1023" spans="1:32" ht="15.75" customHeight="1">
      <c r="A1023" s="503"/>
      <c r="B1023" s="503"/>
      <c r="C1023" s="510"/>
      <c r="D1023" s="510"/>
      <c r="E1023" s="510"/>
      <c r="F1023" s="746"/>
      <c r="G1023" s="510"/>
      <c r="H1023" s="510"/>
      <c r="I1023" s="510"/>
      <c r="J1023" s="510"/>
      <c r="K1023" s="510"/>
      <c r="L1023" s="510"/>
      <c r="M1023" s="509"/>
      <c r="N1023" s="508"/>
      <c r="O1023" s="507"/>
      <c r="P1023" s="507"/>
      <c r="Q1023" s="505"/>
      <c r="R1023" s="506"/>
      <c r="S1023" s="506"/>
      <c r="T1023" s="506"/>
      <c r="U1023" s="505"/>
      <c r="V1023" s="505"/>
      <c r="W1023" s="505"/>
      <c r="X1023" s="504"/>
      <c r="Y1023" s="503"/>
      <c r="Z1023" s="503"/>
      <c r="AA1023" s="503"/>
      <c r="AB1023" s="503"/>
      <c r="AC1023" s="503"/>
      <c r="AD1023" s="503"/>
      <c r="AE1023" s="503"/>
      <c r="AF1023" s="503"/>
    </row>
    <row r="1024" spans="1:32" ht="15.75" customHeight="1">
      <c r="A1024" s="503"/>
      <c r="B1024" s="503"/>
      <c r="C1024" s="510"/>
      <c r="D1024" s="510"/>
      <c r="E1024" s="510"/>
      <c r="F1024" s="746"/>
      <c r="G1024" s="510"/>
      <c r="H1024" s="510"/>
      <c r="I1024" s="510"/>
      <c r="J1024" s="510"/>
      <c r="K1024" s="510"/>
      <c r="L1024" s="510"/>
      <c r="M1024" s="509"/>
      <c r="N1024" s="508"/>
      <c r="O1024" s="507"/>
      <c r="P1024" s="507"/>
      <c r="Q1024" s="505"/>
      <c r="R1024" s="506"/>
      <c r="S1024" s="506"/>
      <c r="T1024" s="506"/>
      <c r="U1024" s="505"/>
      <c r="V1024" s="505"/>
      <c r="W1024" s="505"/>
      <c r="X1024" s="504"/>
      <c r="Y1024" s="503"/>
      <c r="Z1024" s="503"/>
      <c r="AA1024" s="503"/>
      <c r="AB1024" s="503"/>
      <c r="AC1024" s="503"/>
      <c r="AD1024" s="503"/>
      <c r="AE1024" s="503"/>
      <c r="AF1024" s="503"/>
    </row>
    <row r="1025" spans="1:32" ht="15.75" customHeight="1">
      <c r="A1025" s="503"/>
      <c r="B1025" s="503"/>
      <c r="C1025" s="510"/>
      <c r="D1025" s="510"/>
      <c r="E1025" s="510"/>
      <c r="F1025" s="746"/>
      <c r="G1025" s="510"/>
      <c r="H1025" s="510"/>
      <c r="I1025" s="510"/>
      <c r="J1025" s="510"/>
      <c r="K1025" s="510"/>
      <c r="L1025" s="510"/>
      <c r="M1025" s="509"/>
      <c r="N1025" s="508"/>
      <c r="O1025" s="507"/>
      <c r="P1025" s="507"/>
      <c r="Q1025" s="505"/>
      <c r="R1025" s="506"/>
      <c r="S1025" s="506"/>
      <c r="T1025" s="506"/>
      <c r="U1025" s="505"/>
      <c r="V1025" s="505"/>
      <c r="W1025" s="505"/>
      <c r="X1025" s="504"/>
      <c r="Y1025" s="503"/>
      <c r="Z1025" s="503"/>
      <c r="AA1025" s="503"/>
      <c r="AB1025" s="503"/>
      <c r="AC1025" s="503"/>
      <c r="AD1025" s="503"/>
      <c r="AE1025" s="503"/>
      <c r="AF1025" s="503"/>
    </row>
    <row r="1026" spans="1:32" ht="15.75" customHeight="1">
      <c r="A1026" s="503"/>
      <c r="B1026" s="503"/>
      <c r="C1026" s="510"/>
      <c r="D1026" s="510"/>
      <c r="E1026" s="510"/>
      <c r="F1026" s="746"/>
      <c r="G1026" s="510"/>
      <c r="H1026" s="510"/>
      <c r="I1026" s="510"/>
      <c r="J1026" s="510"/>
      <c r="K1026" s="510"/>
      <c r="L1026" s="510"/>
      <c r="M1026" s="509"/>
      <c r="N1026" s="508"/>
      <c r="O1026" s="507"/>
      <c r="P1026" s="507"/>
      <c r="Q1026" s="505"/>
      <c r="R1026" s="506"/>
      <c r="S1026" s="506"/>
      <c r="T1026" s="506"/>
      <c r="U1026" s="505"/>
      <c r="V1026" s="505"/>
      <c r="W1026" s="505"/>
      <c r="X1026" s="504"/>
      <c r="Y1026" s="503"/>
      <c r="Z1026" s="503"/>
      <c r="AA1026" s="503"/>
      <c r="AB1026" s="503"/>
      <c r="AC1026" s="503"/>
      <c r="AD1026" s="503"/>
      <c r="AE1026" s="503"/>
      <c r="AF1026" s="503"/>
    </row>
    <row r="1027" spans="1:32" ht="15.75" customHeight="1">
      <c r="A1027" s="503"/>
      <c r="B1027" s="503"/>
      <c r="C1027" s="510"/>
      <c r="D1027" s="510"/>
      <c r="E1027" s="510"/>
      <c r="F1027" s="746"/>
      <c r="G1027" s="510"/>
      <c r="H1027" s="510"/>
      <c r="I1027" s="510"/>
      <c r="J1027" s="510"/>
      <c r="K1027" s="510"/>
      <c r="L1027" s="510"/>
      <c r="M1027" s="509"/>
      <c r="N1027" s="508"/>
      <c r="O1027" s="507"/>
      <c r="P1027" s="507"/>
      <c r="Q1027" s="505"/>
      <c r="R1027" s="506"/>
      <c r="S1027" s="506"/>
      <c r="T1027" s="506"/>
      <c r="U1027" s="505"/>
      <c r="V1027" s="505"/>
      <c r="W1027" s="505"/>
      <c r="X1027" s="504"/>
      <c r="Y1027" s="503"/>
      <c r="Z1027" s="503"/>
      <c r="AA1027" s="503"/>
      <c r="AB1027" s="503"/>
      <c r="AC1027" s="503"/>
      <c r="AD1027" s="503"/>
      <c r="AE1027" s="503"/>
      <c r="AF1027" s="503"/>
    </row>
    <row r="1028" spans="1:32" ht="15.75" customHeight="1">
      <c r="A1028" s="503"/>
      <c r="B1028" s="503"/>
      <c r="C1028" s="510"/>
      <c r="D1028" s="510"/>
      <c r="E1028" s="510"/>
      <c r="F1028" s="746"/>
      <c r="G1028" s="510"/>
      <c r="H1028" s="510"/>
      <c r="I1028" s="510"/>
      <c r="J1028" s="510"/>
      <c r="K1028" s="510"/>
      <c r="L1028" s="510"/>
      <c r="M1028" s="509"/>
      <c r="N1028" s="508"/>
      <c r="O1028" s="507"/>
      <c r="P1028" s="507"/>
      <c r="Q1028" s="505"/>
      <c r="R1028" s="506"/>
      <c r="S1028" s="506"/>
      <c r="T1028" s="506"/>
      <c r="U1028" s="505"/>
      <c r="V1028" s="505"/>
      <c r="W1028" s="505"/>
      <c r="X1028" s="504"/>
      <c r="Y1028" s="503"/>
      <c r="Z1028" s="503"/>
      <c r="AA1028" s="503"/>
      <c r="AB1028" s="503"/>
      <c r="AC1028" s="503"/>
      <c r="AD1028" s="503"/>
      <c r="AE1028" s="503"/>
      <c r="AF1028" s="503"/>
    </row>
    <row r="1029" spans="1:32" ht="15.75" customHeight="1">
      <c r="A1029" s="503"/>
      <c r="B1029" s="503"/>
      <c r="C1029" s="510"/>
      <c r="D1029" s="510"/>
      <c r="E1029" s="510"/>
      <c r="F1029" s="746"/>
      <c r="G1029" s="510"/>
      <c r="H1029" s="510"/>
      <c r="I1029" s="510"/>
      <c r="J1029" s="510"/>
      <c r="K1029" s="510"/>
      <c r="L1029" s="510"/>
      <c r="M1029" s="509"/>
      <c r="N1029" s="508"/>
      <c r="O1029" s="507"/>
      <c r="P1029" s="507"/>
      <c r="Q1029" s="505"/>
      <c r="R1029" s="506"/>
      <c r="S1029" s="506"/>
      <c r="T1029" s="506"/>
      <c r="U1029" s="505"/>
      <c r="V1029" s="505"/>
      <c r="W1029" s="505"/>
      <c r="X1029" s="504"/>
      <c r="Y1029" s="503"/>
      <c r="Z1029" s="503"/>
      <c r="AA1029" s="503"/>
      <c r="AB1029" s="503"/>
      <c r="AC1029" s="503"/>
      <c r="AD1029" s="503"/>
      <c r="AE1029" s="503"/>
      <c r="AF1029" s="503"/>
    </row>
    <row r="1030" spans="1:32" ht="15.75" customHeight="1">
      <c r="A1030" s="503"/>
      <c r="B1030" s="503"/>
      <c r="C1030" s="510"/>
      <c r="D1030" s="510"/>
      <c r="E1030" s="510"/>
      <c r="F1030" s="746"/>
      <c r="G1030" s="510"/>
      <c r="H1030" s="510"/>
      <c r="I1030" s="510"/>
      <c r="J1030" s="510"/>
      <c r="K1030" s="510"/>
      <c r="L1030" s="510"/>
      <c r="M1030" s="509"/>
      <c r="N1030" s="508"/>
      <c r="O1030" s="507"/>
      <c r="P1030" s="507"/>
      <c r="Q1030" s="505"/>
      <c r="R1030" s="506"/>
      <c r="S1030" s="506"/>
      <c r="T1030" s="506"/>
      <c r="U1030" s="505"/>
      <c r="V1030" s="505"/>
      <c r="W1030" s="505"/>
      <c r="X1030" s="504"/>
      <c r="Y1030" s="503"/>
      <c r="Z1030" s="503"/>
      <c r="AA1030" s="503"/>
      <c r="AB1030" s="503"/>
      <c r="AC1030" s="503"/>
      <c r="AD1030" s="503"/>
      <c r="AE1030" s="503"/>
      <c r="AF1030" s="503"/>
    </row>
    <row r="1031" spans="1:32" ht="15.75" customHeight="1">
      <c r="A1031" s="503"/>
      <c r="B1031" s="503"/>
      <c r="C1031" s="510"/>
      <c r="D1031" s="510"/>
      <c r="E1031" s="510"/>
      <c r="F1031" s="746"/>
      <c r="G1031" s="510"/>
      <c r="H1031" s="510"/>
      <c r="I1031" s="510"/>
      <c r="J1031" s="510"/>
      <c r="K1031" s="510"/>
      <c r="L1031" s="510"/>
      <c r="M1031" s="509"/>
      <c r="N1031" s="508"/>
      <c r="O1031" s="507"/>
      <c r="P1031" s="507"/>
      <c r="Q1031" s="505"/>
      <c r="R1031" s="506"/>
      <c r="S1031" s="506"/>
      <c r="T1031" s="506"/>
      <c r="U1031" s="505"/>
      <c r="V1031" s="505"/>
      <c r="W1031" s="505"/>
      <c r="X1031" s="504"/>
      <c r="Y1031" s="503"/>
      <c r="Z1031" s="503"/>
      <c r="AA1031" s="503"/>
      <c r="AB1031" s="503"/>
      <c r="AC1031" s="503"/>
      <c r="AD1031" s="503"/>
      <c r="AE1031" s="503"/>
      <c r="AF1031" s="503"/>
    </row>
    <row r="1032" spans="1:32" ht="15.75" customHeight="1">
      <c r="A1032" s="503"/>
      <c r="B1032" s="503"/>
      <c r="C1032" s="510"/>
      <c r="D1032" s="510"/>
      <c r="E1032" s="510"/>
      <c r="F1032" s="746"/>
      <c r="G1032" s="510"/>
      <c r="H1032" s="510"/>
      <c r="I1032" s="510"/>
      <c r="J1032" s="510"/>
      <c r="K1032" s="510"/>
      <c r="L1032" s="510"/>
      <c r="M1032" s="509"/>
      <c r="N1032" s="508"/>
      <c r="O1032" s="507"/>
      <c r="P1032" s="507"/>
      <c r="Q1032" s="505"/>
      <c r="R1032" s="506"/>
      <c r="S1032" s="506"/>
      <c r="T1032" s="506"/>
      <c r="U1032" s="505"/>
      <c r="V1032" s="505"/>
      <c r="W1032" s="505"/>
      <c r="X1032" s="504"/>
      <c r="Y1032" s="503"/>
      <c r="Z1032" s="503"/>
      <c r="AA1032" s="503"/>
      <c r="AB1032" s="503"/>
      <c r="AC1032" s="503"/>
      <c r="AD1032" s="503"/>
      <c r="AE1032" s="503"/>
      <c r="AF1032" s="503"/>
    </row>
    <row r="1033" spans="1:32" ht="15.75" customHeight="1">
      <c r="A1033" s="503"/>
      <c r="B1033" s="503"/>
      <c r="C1033" s="510"/>
      <c r="D1033" s="510"/>
      <c r="E1033" s="510"/>
      <c r="F1033" s="746"/>
      <c r="G1033" s="510"/>
      <c r="H1033" s="510"/>
      <c r="I1033" s="510"/>
      <c r="J1033" s="510"/>
      <c r="K1033" s="510"/>
      <c r="L1033" s="510"/>
      <c r="M1033" s="509"/>
      <c r="N1033" s="508"/>
      <c r="O1033" s="507"/>
      <c r="P1033" s="507"/>
      <c r="Q1033" s="505"/>
      <c r="R1033" s="506"/>
      <c r="S1033" s="506"/>
      <c r="T1033" s="506"/>
      <c r="U1033" s="505"/>
      <c r="V1033" s="505"/>
      <c r="W1033" s="505"/>
      <c r="X1033" s="504"/>
      <c r="Y1033" s="503"/>
      <c r="Z1033" s="503"/>
      <c r="AA1033" s="503"/>
      <c r="AB1033" s="503"/>
      <c r="AC1033" s="503"/>
      <c r="AD1033" s="503"/>
      <c r="AE1033" s="503"/>
      <c r="AF1033" s="503"/>
    </row>
    <row r="1034" spans="1:32" ht="15.75" customHeight="1">
      <c r="A1034" s="503"/>
      <c r="B1034" s="503"/>
      <c r="C1034" s="510"/>
      <c r="D1034" s="510"/>
      <c r="E1034" s="510"/>
      <c r="F1034" s="746"/>
      <c r="G1034" s="510"/>
      <c r="H1034" s="510"/>
      <c r="I1034" s="510"/>
      <c r="J1034" s="510"/>
      <c r="K1034" s="510"/>
      <c r="L1034" s="510"/>
      <c r="M1034" s="509"/>
      <c r="N1034" s="508"/>
      <c r="O1034" s="507"/>
      <c r="P1034" s="507"/>
      <c r="Q1034" s="505"/>
      <c r="R1034" s="506"/>
      <c r="S1034" s="506"/>
      <c r="T1034" s="506"/>
      <c r="U1034" s="505"/>
      <c r="V1034" s="505"/>
      <c r="W1034" s="505"/>
      <c r="X1034" s="504"/>
      <c r="Y1034" s="503"/>
      <c r="Z1034" s="503"/>
      <c r="AA1034" s="503"/>
      <c r="AB1034" s="503"/>
      <c r="AC1034" s="503"/>
      <c r="AD1034" s="503"/>
      <c r="AE1034" s="503"/>
      <c r="AF1034" s="503"/>
    </row>
    <row r="1035" spans="1:32" ht="15.75" customHeight="1">
      <c r="A1035" s="503"/>
      <c r="B1035" s="503"/>
      <c r="C1035" s="510"/>
      <c r="D1035" s="510"/>
      <c r="E1035" s="510"/>
      <c r="F1035" s="746"/>
      <c r="G1035" s="510"/>
      <c r="H1035" s="510"/>
      <c r="I1035" s="510"/>
      <c r="J1035" s="510"/>
      <c r="K1035" s="510"/>
      <c r="L1035" s="510"/>
      <c r="M1035" s="509"/>
      <c r="N1035" s="508"/>
      <c r="O1035" s="507"/>
      <c r="P1035" s="507"/>
      <c r="Q1035" s="505"/>
      <c r="R1035" s="506"/>
      <c r="S1035" s="506"/>
      <c r="T1035" s="506"/>
      <c r="U1035" s="505"/>
      <c r="V1035" s="505"/>
      <c r="W1035" s="505"/>
      <c r="X1035" s="504"/>
      <c r="Y1035" s="503"/>
      <c r="Z1035" s="503"/>
      <c r="AA1035" s="503"/>
      <c r="AB1035" s="503"/>
      <c r="AC1035" s="503"/>
      <c r="AD1035" s="503"/>
      <c r="AE1035" s="503"/>
      <c r="AF1035" s="503"/>
    </row>
    <row r="1036" spans="1:32" ht="15.75" customHeight="1">
      <c r="A1036" s="503"/>
      <c r="B1036" s="503"/>
      <c r="C1036" s="510"/>
      <c r="D1036" s="510"/>
      <c r="E1036" s="510"/>
      <c r="F1036" s="746"/>
      <c r="G1036" s="510"/>
      <c r="H1036" s="510"/>
      <c r="I1036" s="510"/>
      <c r="J1036" s="510"/>
      <c r="K1036" s="510"/>
      <c r="L1036" s="510"/>
      <c r="M1036" s="509"/>
      <c r="N1036" s="508"/>
      <c r="O1036" s="507"/>
      <c r="P1036" s="507"/>
      <c r="Q1036" s="505"/>
      <c r="R1036" s="506"/>
      <c r="S1036" s="506"/>
      <c r="T1036" s="506"/>
      <c r="U1036" s="505"/>
      <c r="V1036" s="505"/>
      <c r="W1036" s="505"/>
      <c r="X1036" s="504"/>
      <c r="Y1036" s="503"/>
      <c r="Z1036" s="503"/>
      <c r="AA1036" s="503"/>
      <c r="AB1036" s="503"/>
      <c r="AC1036" s="503"/>
      <c r="AD1036" s="503"/>
      <c r="AE1036" s="503"/>
      <c r="AF1036" s="503"/>
    </row>
    <row r="1037" spans="1:32" ht="15.75" customHeight="1">
      <c r="A1037" s="503"/>
      <c r="B1037" s="503"/>
      <c r="C1037" s="510"/>
      <c r="D1037" s="510"/>
      <c r="E1037" s="510"/>
      <c r="F1037" s="746"/>
      <c r="G1037" s="510"/>
      <c r="H1037" s="510"/>
      <c r="I1037" s="510"/>
      <c r="J1037" s="510"/>
      <c r="K1037" s="510"/>
      <c r="L1037" s="510"/>
      <c r="M1037" s="509"/>
      <c r="N1037" s="508"/>
      <c r="O1037" s="507"/>
      <c r="P1037" s="507"/>
      <c r="Q1037" s="505"/>
      <c r="R1037" s="506"/>
      <c r="S1037" s="506"/>
      <c r="T1037" s="506"/>
      <c r="U1037" s="505"/>
      <c r="V1037" s="505"/>
      <c r="W1037" s="505"/>
      <c r="X1037" s="504"/>
      <c r="Y1037" s="503"/>
      <c r="Z1037" s="503"/>
      <c r="AA1037" s="503"/>
      <c r="AB1037" s="503"/>
      <c r="AC1037" s="503"/>
      <c r="AD1037" s="503"/>
      <c r="AE1037" s="503"/>
      <c r="AF1037" s="503"/>
    </row>
    <row r="1038" spans="1:32" ht="15.75" customHeight="1">
      <c r="A1038" s="503"/>
      <c r="B1038" s="503"/>
      <c r="C1038" s="510"/>
      <c r="D1038" s="510"/>
      <c r="E1038" s="510"/>
      <c r="F1038" s="746"/>
      <c r="G1038" s="510"/>
      <c r="H1038" s="510"/>
      <c r="I1038" s="510"/>
      <c r="J1038" s="510"/>
      <c r="K1038" s="510"/>
      <c r="L1038" s="510"/>
      <c r="M1038" s="509"/>
      <c r="N1038" s="508"/>
      <c r="O1038" s="507"/>
      <c r="P1038" s="507"/>
      <c r="Q1038" s="505"/>
      <c r="R1038" s="506"/>
      <c r="S1038" s="506"/>
      <c r="T1038" s="506"/>
      <c r="U1038" s="505"/>
      <c r="V1038" s="505"/>
      <c r="W1038" s="505"/>
      <c r="X1038" s="504"/>
      <c r="Y1038" s="503"/>
      <c r="Z1038" s="503"/>
      <c r="AA1038" s="503"/>
      <c r="AB1038" s="503"/>
      <c r="AC1038" s="503"/>
      <c r="AD1038" s="503"/>
      <c r="AE1038" s="503"/>
      <c r="AF1038" s="503"/>
    </row>
    <row r="1039" spans="1:32" ht="15.75" customHeight="1">
      <c r="A1039" s="503"/>
      <c r="B1039" s="503"/>
      <c r="C1039" s="510"/>
      <c r="D1039" s="510"/>
      <c r="E1039" s="510"/>
      <c r="F1039" s="746"/>
      <c r="G1039" s="510"/>
      <c r="H1039" s="510"/>
      <c r="I1039" s="510"/>
      <c r="J1039" s="510"/>
      <c r="K1039" s="510"/>
      <c r="L1039" s="510"/>
      <c r="M1039" s="509"/>
      <c r="N1039" s="508"/>
      <c r="O1039" s="507"/>
      <c r="P1039" s="507"/>
      <c r="Q1039" s="505"/>
      <c r="R1039" s="506"/>
      <c r="S1039" s="506"/>
      <c r="T1039" s="506"/>
      <c r="U1039" s="505"/>
      <c r="V1039" s="505"/>
      <c r="W1039" s="505"/>
      <c r="X1039" s="504"/>
      <c r="Y1039" s="503"/>
      <c r="Z1039" s="503"/>
      <c r="AA1039" s="503"/>
      <c r="AB1039" s="503"/>
      <c r="AC1039" s="503"/>
      <c r="AD1039" s="503"/>
      <c r="AE1039" s="503"/>
      <c r="AF1039" s="503"/>
    </row>
    <row r="1040" spans="1:32" ht="15.75" customHeight="1">
      <c r="A1040" s="503"/>
      <c r="B1040" s="503"/>
      <c r="C1040" s="510"/>
      <c r="D1040" s="510"/>
      <c r="E1040" s="510"/>
      <c r="F1040" s="746"/>
      <c r="G1040" s="510"/>
      <c r="H1040" s="510"/>
      <c r="I1040" s="510"/>
      <c r="J1040" s="510"/>
      <c r="K1040" s="510"/>
      <c r="L1040" s="510"/>
      <c r="M1040" s="509"/>
      <c r="N1040" s="508"/>
      <c r="O1040" s="507"/>
      <c r="P1040" s="507"/>
      <c r="Q1040" s="505"/>
      <c r="R1040" s="506"/>
      <c r="S1040" s="506"/>
      <c r="T1040" s="506"/>
      <c r="U1040" s="505"/>
      <c r="V1040" s="505"/>
      <c r="W1040" s="505"/>
      <c r="X1040" s="504"/>
      <c r="Y1040" s="503"/>
      <c r="Z1040" s="503"/>
      <c r="AA1040" s="503"/>
      <c r="AB1040" s="503"/>
      <c r="AC1040" s="503"/>
      <c r="AD1040" s="503"/>
      <c r="AE1040" s="503"/>
      <c r="AF1040" s="503"/>
    </row>
    <row r="1041" spans="1:32" ht="15.75" customHeight="1">
      <c r="A1041" s="503"/>
      <c r="B1041" s="503"/>
      <c r="C1041" s="510"/>
      <c r="D1041" s="510"/>
      <c r="E1041" s="510"/>
      <c r="F1041" s="746"/>
      <c r="G1041" s="510"/>
      <c r="H1041" s="510"/>
      <c r="I1041" s="510"/>
      <c r="J1041" s="510"/>
      <c r="K1041" s="510"/>
      <c r="L1041" s="510"/>
      <c r="M1041" s="509"/>
      <c r="N1041" s="508"/>
      <c r="O1041" s="507"/>
      <c r="P1041" s="507"/>
      <c r="Q1041" s="505"/>
      <c r="R1041" s="506"/>
      <c r="S1041" s="506"/>
      <c r="T1041" s="506"/>
      <c r="U1041" s="505"/>
      <c r="V1041" s="505"/>
      <c r="W1041" s="505"/>
      <c r="X1041" s="504"/>
      <c r="Y1041" s="503"/>
      <c r="Z1041" s="503"/>
      <c r="AA1041" s="503"/>
      <c r="AB1041" s="503"/>
      <c r="AC1041" s="503"/>
      <c r="AD1041" s="503"/>
      <c r="AE1041" s="503"/>
      <c r="AF1041" s="503"/>
    </row>
    <row r="1042" spans="1:32" ht="15.75" customHeight="1">
      <c r="A1042" s="503"/>
      <c r="B1042" s="503"/>
      <c r="C1042" s="510"/>
      <c r="D1042" s="510"/>
      <c r="E1042" s="510"/>
      <c r="F1042" s="746"/>
      <c r="G1042" s="510"/>
      <c r="H1042" s="510"/>
      <c r="I1042" s="510"/>
      <c r="J1042" s="510"/>
      <c r="K1042" s="510"/>
      <c r="L1042" s="510"/>
      <c r="M1042" s="509"/>
      <c r="N1042" s="508"/>
      <c r="O1042" s="507"/>
      <c r="P1042" s="507"/>
      <c r="Q1042" s="505"/>
      <c r="R1042" s="506"/>
      <c r="S1042" s="506"/>
      <c r="T1042" s="506"/>
      <c r="U1042" s="505"/>
      <c r="V1042" s="505"/>
      <c r="W1042" s="505"/>
      <c r="X1042" s="504"/>
      <c r="Y1042" s="503"/>
      <c r="Z1042" s="503"/>
      <c r="AA1042" s="503"/>
      <c r="AB1042" s="503"/>
      <c r="AC1042" s="503"/>
      <c r="AD1042" s="503"/>
      <c r="AE1042" s="503"/>
      <c r="AF1042" s="503"/>
    </row>
    <row r="1043" spans="1:32" ht="15.75" customHeight="1">
      <c r="A1043" s="503"/>
      <c r="B1043" s="503"/>
      <c r="C1043" s="510"/>
      <c r="D1043" s="510"/>
      <c r="E1043" s="510"/>
      <c r="F1043" s="746"/>
      <c r="G1043" s="510"/>
      <c r="H1043" s="510"/>
      <c r="I1043" s="510"/>
      <c r="J1043" s="510"/>
      <c r="K1043" s="510"/>
      <c r="L1043" s="510"/>
      <c r="M1043" s="509"/>
      <c r="N1043" s="508"/>
      <c r="O1043" s="507"/>
      <c r="P1043" s="507"/>
      <c r="Q1043" s="505"/>
      <c r="R1043" s="506"/>
      <c r="S1043" s="506"/>
      <c r="T1043" s="506"/>
      <c r="U1043" s="505"/>
      <c r="V1043" s="505"/>
      <c r="W1043" s="505"/>
      <c r="X1043" s="504"/>
      <c r="Y1043" s="503"/>
      <c r="Z1043" s="503"/>
      <c r="AA1043" s="503"/>
      <c r="AB1043" s="503"/>
      <c r="AC1043" s="503"/>
      <c r="AD1043" s="503"/>
      <c r="AE1043" s="503"/>
      <c r="AF1043" s="503"/>
    </row>
    <row r="1044" spans="1:32" ht="15.75" customHeight="1">
      <c r="A1044" s="503"/>
      <c r="B1044" s="503"/>
      <c r="C1044" s="510"/>
      <c r="D1044" s="510"/>
      <c r="E1044" s="510"/>
      <c r="F1044" s="746"/>
      <c r="G1044" s="510"/>
      <c r="H1044" s="510"/>
      <c r="I1044" s="510"/>
      <c r="J1044" s="510"/>
      <c r="K1044" s="510"/>
      <c r="L1044" s="510"/>
      <c r="M1044" s="509"/>
      <c r="N1044" s="508"/>
      <c r="O1044" s="507"/>
      <c r="P1044" s="507"/>
      <c r="Q1044" s="505"/>
      <c r="R1044" s="506"/>
      <c r="S1044" s="506"/>
      <c r="T1044" s="506"/>
      <c r="U1044" s="505"/>
      <c r="V1044" s="505"/>
      <c r="W1044" s="505"/>
      <c r="X1044" s="504"/>
      <c r="Y1044" s="503"/>
      <c r="Z1044" s="503"/>
      <c r="AA1044" s="503"/>
      <c r="AB1044" s="503"/>
      <c r="AC1044" s="503"/>
      <c r="AD1044" s="503"/>
      <c r="AE1044" s="503"/>
      <c r="AF1044" s="503"/>
    </row>
    <row r="1045" spans="1:32" ht="15.75" customHeight="1">
      <c r="A1045" s="503"/>
      <c r="B1045" s="503"/>
      <c r="C1045" s="510"/>
      <c r="D1045" s="510"/>
      <c r="E1045" s="510"/>
      <c r="F1045" s="746"/>
      <c r="G1045" s="510"/>
      <c r="H1045" s="510"/>
      <c r="I1045" s="510"/>
      <c r="J1045" s="510"/>
      <c r="K1045" s="510"/>
      <c r="L1045" s="510"/>
      <c r="M1045" s="509"/>
      <c r="N1045" s="508"/>
      <c r="O1045" s="507"/>
      <c r="P1045" s="507"/>
      <c r="Q1045" s="505"/>
      <c r="R1045" s="506"/>
      <c r="S1045" s="506"/>
      <c r="T1045" s="506"/>
      <c r="U1045" s="505"/>
      <c r="V1045" s="505"/>
      <c r="W1045" s="505"/>
      <c r="X1045" s="504"/>
      <c r="Y1045" s="503"/>
      <c r="Z1045" s="503"/>
      <c r="AA1045" s="503"/>
      <c r="AB1045" s="503"/>
      <c r="AC1045" s="503"/>
      <c r="AD1045" s="503"/>
      <c r="AE1045" s="503"/>
      <c r="AF1045" s="503"/>
    </row>
    <row r="1046" spans="1:32" ht="15.75" customHeight="1">
      <c r="A1046" s="503"/>
      <c r="B1046" s="503"/>
      <c r="C1046" s="510"/>
      <c r="D1046" s="510"/>
      <c r="E1046" s="510"/>
      <c r="F1046" s="746"/>
      <c r="G1046" s="510"/>
      <c r="H1046" s="510"/>
      <c r="I1046" s="510"/>
      <c r="J1046" s="510"/>
      <c r="K1046" s="510"/>
      <c r="L1046" s="510"/>
      <c r="M1046" s="509"/>
      <c r="N1046" s="508"/>
      <c r="O1046" s="507"/>
      <c r="P1046" s="507"/>
      <c r="Q1046" s="505"/>
      <c r="R1046" s="506"/>
      <c r="S1046" s="506"/>
      <c r="T1046" s="506"/>
      <c r="U1046" s="505"/>
      <c r="V1046" s="505"/>
      <c r="W1046" s="505"/>
      <c r="X1046" s="504"/>
      <c r="Y1046" s="503"/>
      <c r="Z1046" s="503"/>
      <c r="AA1046" s="503"/>
      <c r="AB1046" s="503"/>
      <c r="AC1046" s="503"/>
      <c r="AD1046" s="503"/>
      <c r="AE1046" s="503"/>
      <c r="AF1046" s="503"/>
    </row>
    <row r="1047" spans="1:32" ht="15.75" customHeight="1">
      <c r="A1047" s="503"/>
      <c r="B1047" s="503"/>
      <c r="C1047" s="510"/>
      <c r="D1047" s="510"/>
      <c r="E1047" s="510"/>
      <c r="F1047" s="746"/>
      <c r="G1047" s="510"/>
      <c r="H1047" s="510"/>
      <c r="I1047" s="510"/>
      <c r="J1047" s="510"/>
      <c r="K1047" s="510"/>
      <c r="L1047" s="510"/>
      <c r="M1047" s="509"/>
      <c r="N1047" s="508"/>
      <c r="O1047" s="507"/>
      <c r="P1047" s="507"/>
      <c r="Q1047" s="505"/>
      <c r="R1047" s="506"/>
      <c r="S1047" s="506"/>
      <c r="T1047" s="506"/>
      <c r="U1047" s="505"/>
      <c r="V1047" s="505"/>
      <c r="W1047" s="505"/>
      <c r="X1047" s="504"/>
      <c r="Y1047" s="503"/>
      <c r="Z1047" s="503"/>
      <c r="AA1047" s="503"/>
      <c r="AB1047" s="503"/>
      <c r="AC1047" s="503"/>
      <c r="AD1047" s="503"/>
      <c r="AE1047" s="503"/>
      <c r="AF1047" s="503"/>
    </row>
    <row r="1048" spans="1:32" ht="15.75" customHeight="1">
      <c r="A1048" s="503"/>
      <c r="B1048" s="503"/>
      <c r="C1048" s="510"/>
      <c r="D1048" s="510"/>
      <c r="E1048" s="510"/>
      <c r="F1048" s="746"/>
      <c r="G1048" s="510"/>
      <c r="H1048" s="510"/>
      <c r="I1048" s="510"/>
      <c r="J1048" s="510"/>
      <c r="K1048" s="510"/>
      <c r="L1048" s="510"/>
      <c r="M1048" s="509"/>
      <c r="N1048" s="508"/>
      <c r="O1048" s="507"/>
      <c r="P1048" s="507"/>
      <c r="Q1048" s="505"/>
      <c r="R1048" s="506"/>
      <c r="S1048" s="506"/>
      <c r="T1048" s="506"/>
      <c r="U1048" s="505"/>
      <c r="V1048" s="505"/>
      <c r="W1048" s="505"/>
      <c r="X1048" s="504"/>
      <c r="Y1048" s="503"/>
      <c r="Z1048" s="503"/>
      <c r="AA1048" s="503"/>
      <c r="AB1048" s="503"/>
      <c r="AC1048" s="503"/>
      <c r="AD1048" s="503"/>
      <c r="AE1048" s="503"/>
      <c r="AF1048" s="503"/>
    </row>
    <row r="1049" spans="1:32" ht="15.75" customHeight="1">
      <c r="A1049" s="503"/>
      <c r="B1049" s="503"/>
      <c r="C1049" s="510"/>
      <c r="D1049" s="510"/>
      <c r="E1049" s="510"/>
      <c r="F1049" s="746"/>
      <c r="G1049" s="510"/>
      <c r="H1049" s="510"/>
      <c r="I1049" s="510"/>
      <c r="J1049" s="510"/>
      <c r="K1049" s="510"/>
      <c r="L1049" s="510"/>
      <c r="M1049" s="509"/>
      <c r="N1049" s="508"/>
      <c r="O1049" s="507"/>
      <c r="P1049" s="507"/>
      <c r="Q1049" s="505"/>
      <c r="R1049" s="506"/>
      <c r="S1049" s="506"/>
      <c r="T1049" s="506"/>
      <c r="U1049" s="505"/>
      <c r="V1049" s="505"/>
      <c r="W1049" s="505"/>
      <c r="X1049" s="504"/>
      <c r="Y1049" s="503"/>
      <c r="Z1049" s="503"/>
      <c r="AA1049" s="503"/>
      <c r="AB1049" s="503"/>
      <c r="AC1049" s="503"/>
      <c r="AD1049" s="503"/>
      <c r="AE1049" s="503"/>
      <c r="AF1049" s="503"/>
    </row>
    <row r="1050" spans="1:32" ht="15.75" customHeight="1">
      <c r="A1050" s="503"/>
      <c r="B1050" s="503"/>
      <c r="C1050" s="510"/>
      <c r="D1050" s="510"/>
      <c r="E1050" s="510"/>
      <c r="F1050" s="746"/>
      <c r="G1050" s="510"/>
      <c r="H1050" s="510"/>
      <c r="I1050" s="510"/>
      <c r="J1050" s="510"/>
      <c r="K1050" s="510"/>
      <c r="L1050" s="510"/>
      <c r="M1050" s="509"/>
      <c r="N1050" s="508"/>
      <c r="O1050" s="507"/>
      <c r="P1050" s="507"/>
      <c r="Q1050" s="505"/>
      <c r="R1050" s="506"/>
      <c r="S1050" s="506"/>
      <c r="T1050" s="506"/>
      <c r="U1050" s="505"/>
      <c r="V1050" s="505"/>
      <c r="W1050" s="505"/>
      <c r="X1050" s="504"/>
      <c r="Y1050" s="503"/>
      <c r="Z1050" s="503"/>
      <c r="AA1050" s="503"/>
      <c r="AB1050" s="503"/>
      <c r="AC1050" s="503"/>
      <c r="AD1050" s="503"/>
      <c r="AE1050" s="503"/>
      <c r="AF1050" s="503"/>
    </row>
    <row r="1051" spans="1:32" ht="15.75" customHeight="1">
      <c r="A1051" s="503"/>
      <c r="B1051" s="503"/>
      <c r="C1051" s="510"/>
      <c r="D1051" s="510"/>
      <c r="E1051" s="510"/>
      <c r="F1051" s="746"/>
      <c r="G1051" s="510"/>
      <c r="H1051" s="510"/>
      <c r="I1051" s="510"/>
      <c r="J1051" s="510"/>
      <c r="K1051" s="510"/>
      <c r="L1051" s="510"/>
      <c r="M1051" s="509"/>
      <c r="N1051" s="508"/>
      <c r="O1051" s="507"/>
      <c r="P1051" s="507"/>
      <c r="Q1051" s="505"/>
      <c r="R1051" s="506"/>
      <c r="S1051" s="506"/>
      <c r="T1051" s="506"/>
      <c r="U1051" s="505"/>
      <c r="V1051" s="505"/>
      <c r="W1051" s="505"/>
      <c r="X1051" s="504"/>
      <c r="Y1051" s="503"/>
      <c r="Z1051" s="503"/>
      <c r="AA1051" s="503"/>
      <c r="AB1051" s="503"/>
      <c r="AC1051" s="503"/>
      <c r="AD1051" s="503"/>
      <c r="AE1051" s="503"/>
      <c r="AF1051" s="503"/>
    </row>
    <row r="1052" spans="1:32" ht="15.75" customHeight="1">
      <c r="A1052" s="503"/>
      <c r="B1052" s="503"/>
      <c r="C1052" s="510"/>
      <c r="D1052" s="510"/>
      <c r="E1052" s="510"/>
      <c r="F1052" s="746"/>
      <c r="G1052" s="510"/>
      <c r="H1052" s="510"/>
      <c r="I1052" s="510"/>
      <c r="J1052" s="510"/>
      <c r="K1052" s="510"/>
      <c r="L1052" s="510"/>
      <c r="M1052" s="509"/>
      <c r="N1052" s="508"/>
      <c r="O1052" s="507"/>
      <c r="P1052" s="507"/>
      <c r="Q1052" s="505"/>
      <c r="R1052" s="506"/>
      <c r="S1052" s="506"/>
      <c r="T1052" s="506"/>
      <c r="U1052" s="505"/>
      <c r="V1052" s="505"/>
      <c r="W1052" s="505"/>
      <c r="X1052" s="504"/>
      <c r="Y1052" s="503"/>
      <c r="Z1052" s="503"/>
      <c r="AA1052" s="503"/>
      <c r="AB1052" s="503"/>
      <c r="AC1052" s="503"/>
      <c r="AD1052" s="503"/>
      <c r="AE1052" s="503"/>
      <c r="AF1052" s="503"/>
    </row>
    <row r="1053" spans="1:32" ht="15.75" customHeight="1">
      <c r="A1053" s="503"/>
      <c r="B1053" s="503"/>
      <c r="C1053" s="510"/>
      <c r="D1053" s="510"/>
      <c r="E1053" s="510"/>
      <c r="F1053" s="746"/>
      <c r="G1053" s="510"/>
      <c r="H1053" s="510"/>
      <c r="I1053" s="510"/>
      <c r="J1053" s="510"/>
      <c r="K1053" s="510"/>
      <c r="L1053" s="510"/>
      <c r="M1053" s="509"/>
      <c r="N1053" s="508"/>
      <c r="O1053" s="507"/>
      <c r="P1053" s="507"/>
      <c r="Q1053" s="505"/>
      <c r="R1053" s="506"/>
      <c r="S1053" s="506"/>
      <c r="T1053" s="506"/>
      <c r="U1053" s="505"/>
      <c r="V1053" s="505"/>
      <c r="W1053" s="505"/>
      <c r="X1053" s="504"/>
      <c r="Y1053" s="503"/>
      <c r="Z1053" s="503"/>
      <c r="AA1053" s="503"/>
      <c r="AB1053" s="503"/>
      <c r="AC1053" s="503"/>
      <c r="AD1053" s="503"/>
      <c r="AE1053" s="503"/>
      <c r="AF1053" s="503"/>
    </row>
    <row r="1054" spans="1:32" ht="15.75" customHeight="1">
      <c r="A1054" s="503"/>
      <c r="B1054" s="503"/>
      <c r="C1054" s="510"/>
      <c r="D1054" s="510"/>
      <c r="E1054" s="510"/>
      <c r="F1054" s="746"/>
      <c r="G1054" s="510"/>
      <c r="H1054" s="510"/>
      <c r="I1054" s="510"/>
      <c r="J1054" s="510"/>
      <c r="K1054" s="510"/>
      <c r="L1054" s="510"/>
      <c r="M1054" s="509"/>
      <c r="N1054" s="508"/>
      <c r="O1054" s="507"/>
      <c r="P1054" s="507"/>
      <c r="Q1054" s="505"/>
      <c r="R1054" s="506"/>
      <c r="S1054" s="506"/>
      <c r="T1054" s="506"/>
      <c r="U1054" s="505"/>
      <c r="V1054" s="505"/>
      <c r="W1054" s="505"/>
      <c r="X1054" s="504"/>
      <c r="Y1054" s="503"/>
      <c r="Z1054" s="503"/>
      <c r="AA1054" s="503"/>
      <c r="AB1054" s="503"/>
      <c r="AC1054" s="503"/>
      <c r="AD1054" s="503"/>
      <c r="AE1054" s="503"/>
      <c r="AF1054" s="503"/>
    </row>
    <row r="1055" spans="1:32" ht="15.75" customHeight="1">
      <c r="A1055" s="503"/>
      <c r="B1055" s="503"/>
      <c r="C1055" s="510"/>
      <c r="D1055" s="510"/>
      <c r="E1055" s="510"/>
      <c r="F1055" s="746"/>
      <c r="G1055" s="510"/>
      <c r="H1055" s="510"/>
      <c r="I1055" s="510"/>
      <c r="J1055" s="510"/>
      <c r="K1055" s="510"/>
      <c r="L1055" s="510"/>
      <c r="M1055" s="509"/>
      <c r="N1055" s="508"/>
      <c r="O1055" s="507"/>
      <c r="P1055" s="507"/>
      <c r="Q1055" s="505"/>
      <c r="R1055" s="506"/>
      <c r="S1055" s="506"/>
      <c r="T1055" s="506"/>
      <c r="U1055" s="505"/>
      <c r="V1055" s="505"/>
      <c r="W1055" s="505"/>
      <c r="X1055" s="504"/>
      <c r="Y1055" s="503"/>
      <c r="Z1055" s="503"/>
      <c r="AA1055" s="503"/>
      <c r="AB1055" s="503"/>
      <c r="AC1055" s="503"/>
      <c r="AD1055" s="503"/>
      <c r="AE1055" s="503"/>
      <c r="AF1055" s="503"/>
    </row>
    <row r="1056" spans="1:32" ht="15.75" customHeight="1">
      <c r="A1056" s="503"/>
      <c r="B1056" s="503"/>
      <c r="C1056" s="510"/>
      <c r="D1056" s="510"/>
      <c r="E1056" s="510"/>
      <c r="F1056" s="746"/>
      <c r="G1056" s="510"/>
      <c r="H1056" s="510"/>
      <c r="I1056" s="510"/>
      <c r="J1056" s="510"/>
      <c r="K1056" s="510"/>
      <c r="L1056" s="510"/>
      <c r="M1056" s="509"/>
      <c r="N1056" s="508"/>
      <c r="O1056" s="507"/>
      <c r="P1056" s="507"/>
      <c r="Q1056" s="505"/>
      <c r="R1056" s="506"/>
      <c r="S1056" s="506"/>
      <c r="T1056" s="506"/>
      <c r="U1056" s="505"/>
      <c r="V1056" s="505"/>
      <c r="W1056" s="505"/>
      <c r="X1056" s="504"/>
      <c r="Y1056" s="503"/>
      <c r="Z1056" s="503"/>
      <c r="AA1056" s="503"/>
      <c r="AB1056" s="503"/>
      <c r="AC1056" s="503"/>
      <c r="AD1056" s="503"/>
      <c r="AE1056" s="503"/>
      <c r="AF1056" s="503"/>
    </row>
    <row r="1057" spans="1:32" ht="15.75" customHeight="1">
      <c r="A1057" s="503"/>
      <c r="B1057" s="503"/>
      <c r="C1057" s="510"/>
      <c r="D1057" s="510"/>
      <c r="E1057" s="510"/>
      <c r="F1057" s="746"/>
      <c r="G1057" s="510"/>
      <c r="H1057" s="510"/>
      <c r="I1057" s="510"/>
      <c r="J1057" s="510"/>
      <c r="K1057" s="510"/>
      <c r="L1057" s="510"/>
      <c r="M1057" s="509"/>
      <c r="N1057" s="508"/>
      <c r="O1057" s="507"/>
      <c r="P1057" s="507"/>
      <c r="Q1057" s="505"/>
      <c r="R1057" s="506"/>
      <c r="S1057" s="506"/>
      <c r="T1057" s="506"/>
      <c r="U1057" s="505"/>
      <c r="V1057" s="505"/>
      <c r="W1057" s="505"/>
      <c r="X1057" s="504"/>
      <c r="Y1057" s="503"/>
      <c r="Z1057" s="503"/>
      <c r="AA1057" s="503"/>
      <c r="AB1057" s="503"/>
      <c r="AC1057" s="503"/>
      <c r="AD1057" s="503"/>
      <c r="AE1057" s="503"/>
      <c r="AF1057" s="503"/>
    </row>
    <row r="1058" spans="1:32" ht="15.75" customHeight="1">
      <c r="A1058" s="503"/>
      <c r="B1058" s="503"/>
      <c r="C1058" s="510"/>
      <c r="D1058" s="510"/>
      <c r="E1058" s="510"/>
      <c r="F1058" s="746"/>
      <c r="G1058" s="510"/>
      <c r="H1058" s="510"/>
      <c r="I1058" s="510"/>
      <c r="J1058" s="510"/>
      <c r="K1058" s="510"/>
      <c r="L1058" s="510"/>
      <c r="M1058" s="509"/>
      <c r="N1058" s="508"/>
      <c r="O1058" s="507"/>
      <c r="P1058" s="507"/>
      <c r="Q1058" s="505"/>
      <c r="R1058" s="506"/>
      <c r="S1058" s="506"/>
      <c r="T1058" s="506"/>
      <c r="U1058" s="505"/>
      <c r="V1058" s="505"/>
      <c r="W1058" s="505"/>
      <c r="X1058" s="504"/>
      <c r="Y1058" s="503"/>
      <c r="Z1058" s="503"/>
      <c r="AA1058" s="503"/>
      <c r="AB1058" s="503"/>
      <c r="AC1058" s="503"/>
      <c r="AD1058" s="503"/>
      <c r="AE1058" s="503"/>
      <c r="AF1058" s="503"/>
    </row>
    <row r="1059" spans="1:32" ht="15.75" customHeight="1">
      <c r="A1059" s="503"/>
      <c r="B1059" s="503"/>
      <c r="C1059" s="510"/>
      <c r="D1059" s="510"/>
      <c r="E1059" s="510"/>
      <c r="F1059" s="746"/>
      <c r="G1059" s="510"/>
      <c r="H1059" s="510"/>
      <c r="I1059" s="510"/>
      <c r="J1059" s="510"/>
      <c r="K1059" s="510"/>
      <c r="L1059" s="510"/>
      <c r="M1059" s="509"/>
      <c r="N1059" s="508"/>
      <c r="O1059" s="507"/>
      <c r="P1059" s="507"/>
      <c r="Q1059" s="505"/>
      <c r="R1059" s="506"/>
      <c r="S1059" s="506"/>
      <c r="T1059" s="506"/>
      <c r="U1059" s="505"/>
      <c r="V1059" s="505"/>
      <c r="W1059" s="505"/>
      <c r="X1059" s="504"/>
      <c r="Y1059" s="503"/>
      <c r="Z1059" s="503"/>
      <c r="AA1059" s="503"/>
      <c r="AB1059" s="503"/>
      <c r="AC1059" s="503"/>
      <c r="AD1059" s="503"/>
      <c r="AE1059" s="503"/>
      <c r="AF1059" s="503"/>
    </row>
    <row r="1060" spans="1:32" ht="15.75" customHeight="1">
      <c r="A1060" s="503"/>
      <c r="B1060" s="503"/>
      <c r="C1060" s="510"/>
      <c r="D1060" s="510"/>
      <c r="E1060" s="510"/>
      <c r="F1060" s="746"/>
      <c r="G1060" s="510"/>
      <c r="H1060" s="510"/>
      <c r="I1060" s="510"/>
      <c r="J1060" s="510"/>
      <c r="K1060" s="510"/>
      <c r="L1060" s="510"/>
      <c r="M1060" s="509"/>
      <c r="N1060" s="508"/>
      <c r="O1060" s="507"/>
      <c r="P1060" s="507"/>
      <c r="Q1060" s="505"/>
      <c r="R1060" s="506"/>
      <c r="S1060" s="506"/>
      <c r="T1060" s="506"/>
      <c r="U1060" s="505"/>
      <c r="V1060" s="505"/>
      <c r="W1060" s="505"/>
      <c r="X1060" s="504"/>
      <c r="Y1060" s="503"/>
      <c r="Z1060" s="503"/>
      <c r="AA1060" s="503"/>
      <c r="AB1060" s="503"/>
      <c r="AC1060" s="503"/>
      <c r="AD1060" s="503"/>
      <c r="AE1060" s="503"/>
      <c r="AF1060" s="503"/>
    </row>
    <row r="1061" spans="1:32" ht="15.75" customHeight="1">
      <c r="A1061" s="503"/>
      <c r="B1061" s="503"/>
      <c r="C1061" s="510"/>
      <c r="D1061" s="510"/>
      <c r="E1061" s="510"/>
      <c r="F1061" s="746"/>
      <c r="G1061" s="510"/>
      <c r="H1061" s="510"/>
      <c r="I1061" s="510"/>
      <c r="J1061" s="510"/>
      <c r="K1061" s="510"/>
      <c r="L1061" s="510"/>
      <c r="M1061" s="509"/>
      <c r="N1061" s="508"/>
      <c r="O1061" s="507"/>
      <c r="P1061" s="507"/>
      <c r="Q1061" s="505"/>
      <c r="R1061" s="506"/>
      <c r="S1061" s="506"/>
      <c r="T1061" s="506"/>
      <c r="U1061" s="505"/>
      <c r="V1061" s="505"/>
      <c r="W1061" s="505"/>
      <c r="X1061" s="504"/>
      <c r="Y1061" s="503"/>
      <c r="Z1061" s="503"/>
      <c r="AA1061" s="503"/>
      <c r="AB1061" s="503"/>
      <c r="AC1061" s="503"/>
      <c r="AD1061" s="503"/>
      <c r="AE1061" s="503"/>
      <c r="AF1061" s="503"/>
    </row>
    <row r="1062" spans="1:32" ht="15.75" customHeight="1">
      <c r="A1062" s="503"/>
      <c r="B1062" s="503"/>
      <c r="C1062" s="510"/>
      <c r="D1062" s="510"/>
      <c r="E1062" s="510"/>
      <c r="F1062" s="746"/>
      <c r="G1062" s="510"/>
      <c r="H1062" s="510"/>
      <c r="I1062" s="510"/>
      <c r="J1062" s="510"/>
      <c r="K1062" s="510"/>
      <c r="L1062" s="510"/>
      <c r="M1062" s="509"/>
      <c r="N1062" s="508"/>
      <c r="O1062" s="507"/>
      <c r="P1062" s="507"/>
      <c r="Q1062" s="505"/>
      <c r="R1062" s="506"/>
      <c r="S1062" s="506"/>
      <c r="T1062" s="506"/>
      <c r="U1062" s="505"/>
      <c r="V1062" s="505"/>
      <c r="W1062" s="505"/>
      <c r="X1062" s="504"/>
      <c r="Y1062" s="503"/>
      <c r="Z1062" s="503"/>
      <c r="AA1062" s="503"/>
      <c r="AB1062" s="503"/>
      <c r="AC1062" s="503"/>
      <c r="AD1062" s="503"/>
      <c r="AE1062" s="503"/>
      <c r="AF1062" s="503"/>
    </row>
    <row r="1063" spans="1:32" ht="15.75" customHeight="1">
      <c r="A1063" s="503"/>
      <c r="B1063" s="503"/>
      <c r="C1063" s="510"/>
      <c r="D1063" s="510"/>
      <c r="E1063" s="510"/>
      <c r="F1063" s="746"/>
      <c r="G1063" s="510"/>
      <c r="H1063" s="510"/>
      <c r="I1063" s="510"/>
      <c r="J1063" s="510"/>
      <c r="K1063" s="510"/>
      <c r="L1063" s="510"/>
      <c r="M1063" s="509"/>
      <c r="N1063" s="508"/>
      <c r="O1063" s="507"/>
      <c r="P1063" s="507"/>
      <c r="Q1063" s="505"/>
      <c r="R1063" s="506"/>
      <c r="S1063" s="506"/>
      <c r="T1063" s="506"/>
      <c r="U1063" s="505"/>
      <c r="V1063" s="505"/>
      <c r="W1063" s="505"/>
      <c r="X1063" s="504"/>
      <c r="Y1063" s="503"/>
      <c r="Z1063" s="503"/>
      <c r="AA1063" s="503"/>
      <c r="AB1063" s="503"/>
      <c r="AC1063" s="503"/>
      <c r="AD1063" s="503"/>
      <c r="AE1063" s="503"/>
      <c r="AF1063" s="503"/>
    </row>
    <row r="1064" spans="1:32" ht="15.75" customHeight="1">
      <c r="A1064" s="503"/>
      <c r="B1064" s="503"/>
      <c r="C1064" s="510"/>
      <c r="D1064" s="510"/>
      <c r="E1064" s="510"/>
      <c r="F1064" s="746"/>
      <c r="G1064" s="510"/>
      <c r="H1064" s="510"/>
      <c r="I1064" s="510"/>
      <c r="J1064" s="510"/>
      <c r="K1064" s="510"/>
      <c r="L1064" s="510"/>
      <c r="M1064" s="509"/>
      <c r="N1064" s="508"/>
      <c r="O1064" s="507"/>
      <c r="P1064" s="507"/>
      <c r="Q1064" s="505"/>
      <c r="R1064" s="506"/>
      <c r="S1064" s="506"/>
      <c r="T1064" s="506"/>
      <c r="U1064" s="505"/>
      <c r="V1064" s="505"/>
      <c r="W1064" s="505"/>
      <c r="X1064" s="504"/>
      <c r="Y1064" s="503"/>
      <c r="Z1064" s="503"/>
      <c r="AA1064" s="503"/>
      <c r="AB1064" s="503"/>
      <c r="AC1064" s="503"/>
      <c r="AD1064" s="503"/>
      <c r="AE1064" s="503"/>
      <c r="AF1064" s="503"/>
    </row>
    <row r="1065" spans="1:32" ht="15.75" customHeight="1">
      <c r="A1065" s="503"/>
      <c r="B1065" s="503"/>
      <c r="C1065" s="510"/>
      <c r="D1065" s="510"/>
      <c r="E1065" s="510"/>
      <c r="F1065" s="746"/>
      <c r="G1065" s="510"/>
      <c r="H1065" s="510"/>
      <c r="I1065" s="510"/>
      <c r="J1065" s="510"/>
      <c r="K1065" s="510"/>
      <c r="L1065" s="510"/>
      <c r="M1065" s="509"/>
      <c r="N1065" s="508"/>
      <c r="O1065" s="507"/>
      <c r="P1065" s="507"/>
      <c r="Q1065" s="505"/>
      <c r="R1065" s="506"/>
      <c r="S1065" s="506"/>
      <c r="T1065" s="506"/>
      <c r="U1065" s="505"/>
      <c r="V1065" s="505"/>
      <c r="W1065" s="505"/>
      <c r="X1065" s="504"/>
      <c r="Y1065" s="503"/>
      <c r="Z1065" s="503"/>
      <c r="AA1065" s="503"/>
      <c r="AB1065" s="503"/>
      <c r="AC1065" s="503"/>
      <c r="AD1065" s="503"/>
      <c r="AE1065" s="503"/>
      <c r="AF1065" s="503"/>
    </row>
    <row r="1066" spans="1:32" ht="15.75" customHeight="1">
      <c r="A1066" s="503"/>
      <c r="B1066" s="503"/>
      <c r="C1066" s="510"/>
      <c r="D1066" s="510"/>
      <c r="E1066" s="510"/>
      <c r="F1066" s="746"/>
      <c r="G1066" s="510"/>
      <c r="H1066" s="510"/>
      <c r="I1066" s="510"/>
      <c r="J1066" s="510"/>
      <c r="K1066" s="510"/>
      <c r="L1066" s="510"/>
      <c r="M1066" s="509"/>
      <c r="N1066" s="508"/>
      <c r="O1066" s="507"/>
      <c r="P1066" s="507"/>
      <c r="Q1066" s="505"/>
      <c r="R1066" s="506"/>
      <c r="S1066" s="506"/>
      <c r="T1066" s="506"/>
      <c r="U1066" s="505"/>
      <c r="V1066" s="505"/>
      <c r="W1066" s="505"/>
      <c r="X1066" s="504"/>
      <c r="Y1066" s="503"/>
      <c r="Z1066" s="503"/>
      <c r="AA1066" s="503"/>
      <c r="AB1066" s="503"/>
      <c r="AC1066" s="503"/>
      <c r="AD1066" s="503"/>
      <c r="AE1066" s="503"/>
      <c r="AF1066" s="503"/>
    </row>
    <row r="1067" spans="1:32" ht="15.75" customHeight="1">
      <c r="A1067" s="503"/>
      <c r="B1067" s="503"/>
      <c r="C1067" s="510"/>
      <c r="D1067" s="510"/>
      <c r="E1067" s="510"/>
      <c r="F1067" s="746"/>
      <c r="G1067" s="510"/>
      <c r="H1067" s="510"/>
      <c r="I1067" s="510"/>
      <c r="J1067" s="510"/>
      <c r="K1067" s="510"/>
      <c r="L1067" s="510"/>
      <c r="M1067" s="509"/>
      <c r="N1067" s="508"/>
      <c r="O1067" s="507"/>
      <c r="P1067" s="507"/>
      <c r="Q1067" s="505"/>
      <c r="R1067" s="506"/>
      <c r="S1067" s="506"/>
      <c r="T1067" s="506"/>
      <c r="U1067" s="505"/>
      <c r="V1067" s="505"/>
      <c r="W1067" s="505"/>
      <c r="X1067" s="504"/>
      <c r="Y1067" s="503"/>
      <c r="Z1067" s="503"/>
      <c r="AA1067" s="503"/>
      <c r="AB1067" s="503"/>
      <c r="AC1067" s="503"/>
      <c r="AD1067" s="503"/>
      <c r="AE1067" s="503"/>
      <c r="AF1067" s="503"/>
    </row>
    <row r="1068" spans="1:32" ht="15.75" customHeight="1">
      <c r="A1068" s="503"/>
      <c r="B1068" s="503"/>
      <c r="C1068" s="510"/>
      <c r="D1068" s="510"/>
      <c r="E1068" s="510"/>
      <c r="F1068" s="746"/>
      <c r="G1068" s="510"/>
      <c r="H1068" s="510"/>
      <c r="I1068" s="510"/>
      <c r="J1068" s="510"/>
      <c r="K1068" s="510"/>
      <c r="L1068" s="510"/>
      <c r="M1068" s="509"/>
      <c r="N1068" s="508"/>
      <c r="O1068" s="507"/>
      <c r="P1068" s="507"/>
      <c r="Q1068" s="505"/>
      <c r="R1068" s="506"/>
      <c r="S1068" s="506"/>
      <c r="T1068" s="506"/>
      <c r="U1068" s="505"/>
      <c r="V1068" s="505"/>
      <c r="W1068" s="505"/>
      <c r="X1068" s="504"/>
      <c r="Y1068" s="503"/>
      <c r="Z1068" s="503"/>
      <c r="AA1068" s="503"/>
      <c r="AB1068" s="503"/>
      <c r="AC1068" s="503"/>
      <c r="AD1068" s="503"/>
      <c r="AE1068" s="503"/>
      <c r="AF1068" s="503"/>
    </row>
    <row r="1069" spans="1:32" ht="15.75" customHeight="1">
      <c r="A1069" s="503"/>
      <c r="B1069" s="503"/>
      <c r="C1069" s="510"/>
      <c r="D1069" s="510"/>
      <c r="E1069" s="510"/>
      <c r="F1069" s="746"/>
      <c r="G1069" s="510"/>
      <c r="H1069" s="510"/>
      <c r="I1069" s="510"/>
      <c r="J1069" s="510"/>
      <c r="K1069" s="510"/>
      <c r="L1069" s="510"/>
      <c r="M1069" s="509"/>
      <c r="N1069" s="508"/>
      <c r="O1069" s="507"/>
      <c r="P1069" s="507"/>
      <c r="Q1069" s="505"/>
      <c r="R1069" s="506"/>
      <c r="S1069" s="506"/>
      <c r="T1069" s="506"/>
      <c r="U1069" s="505"/>
      <c r="V1069" s="505"/>
      <c r="W1069" s="505"/>
      <c r="X1069" s="504"/>
      <c r="Y1069" s="503"/>
      <c r="Z1069" s="503"/>
      <c r="AA1069" s="503"/>
      <c r="AB1069" s="503"/>
      <c r="AC1069" s="503"/>
      <c r="AD1069" s="503"/>
      <c r="AE1069" s="503"/>
      <c r="AF1069" s="503"/>
    </row>
    <row r="1070" spans="1:32" ht="15.75" customHeight="1">
      <c r="A1070" s="503"/>
      <c r="B1070" s="503"/>
      <c r="C1070" s="510"/>
      <c r="D1070" s="510"/>
      <c r="E1070" s="510"/>
      <c r="F1070" s="746"/>
      <c r="G1070" s="510"/>
      <c r="H1070" s="510"/>
      <c r="I1070" s="510"/>
      <c r="J1070" s="510"/>
      <c r="K1070" s="510"/>
      <c r="L1070" s="510"/>
      <c r="M1070" s="509"/>
      <c r="N1070" s="508"/>
      <c r="O1070" s="507"/>
      <c r="P1070" s="507"/>
      <c r="Q1070" s="505"/>
      <c r="R1070" s="506"/>
      <c r="S1070" s="506"/>
      <c r="T1070" s="506"/>
      <c r="U1070" s="505"/>
      <c r="V1070" s="505"/>
      <c r="W1070" s="505"/>
      <c r="X1070" s="504"/>
      <c r="Y1070" s="503"/>
      <c r="Z1070" s="503"/>
      <c r="AA1070" s="503"/>
      <c r="AB1070" s="503"/>
      <c r="AC1070" s="503"/>
      <c r="AD1070" s="503"/>
      <c r="AE1070" s="503"/>
      <c r="AF1070" s="503"/>
    </row>
    <row r="1071" spans="1:32" ht="15.75" customHeight="1">
      <c r="A1071" s="503"/>
      <c r="B1071" s="503"/>
      <c r="C1071" s="510"/>
      <c r="D1071" s="510"/>
      <c r="E1071" s="510"/>
      <c r="F1071" s="746"/>
      <c r="G1071" s="510"/>
      <c r="H1071" s="510"/>
      <c r="I1071" s="510"/>
      <c r="J1071" s="510"/>
      <c r="K1071" s="510"/>
      <c r="L1071" s="510"/>
      <c r="M1071" s="509"/>
      <c r="N1071" s="508"/>
      <c r="O1071" s="507"/>
      <c r="P1071" s="507"/>
      <c r="Q1071" s="505"/>
      <c r="R1071" s="506"/>
      <c r="S1071" s="506"/>
      <c r="T1071" s="506"/>
      <c r="U1071" s="505"/>
      <c r="V1071" s="505"/>
      <c r="W1071" s="505"/>
      <c r="X1071" s="504"/>
      <c r="Y1071" s="503"/>
      <c r="Z1071" s="503"/>
      <c r="AA1071" s="503"/>
      <c r="AB1071" s="503"/>
      <c r="AC1071" s="503"/>
      <c r="AD1071" s="503"/>
      <c r="AE1071" s="503"/>
      <c r="AF1071" s="503"/>
    </row>
    <row r="1072" spans="1:32" ht="15.75" customHeight="1">
      <c r="A1072" s="503"/>
      <c r="B1072" s="503"/>
      <c r="C1072" s="510"/>
      <c r="D1072" s="510"/>
      <c r="E1072" s="510"/>
      <c r="F1072" s="746"/>
      <c r="G1072" s="510"/>
      <c r="H1072" s="510"/>
      <c r="I1072" s="510"/>
      <c r="J1072" s="510"/>
      <c r="K1072" s="510"/>
      <c r="L1072" s="510"/>
      <c r="M1072" s="509"/>
      <c r="N1072" s="508"/>
      <c r="O1072" s="507"/>
      <c r="P1072" s="507"/>
      <c r="Q1072" s="505"/>
      <c r="R1072" s="506"/>
      <c r="S1072" s="506"/>
      <c r="T1072" s="506"/>
      <c r="U1072" s="505"/>
      <c r="V1072" s="505"/>
      <c r="W1072" s="505"/>
      <c r="X1072" s="504"/>
      <c r="Y1072" s="503"/>
      <c r="Z1072" s="503"/>
      <c r="AA1072" s="503"/>
      <c r="AB1072" s="503"/>
      <c r="AC1072" s="503"/>
      <c r="AD1072" s="503"/>
      <c r="AE1072" s="503"/>
      <c r="AF1072" s="503"/>
    </row>
    <row r="1073" spans="1:32" ht="15.75" customHeight="1">
      <c r="A1073" s="503"/>
      <c r="B1073" s="503"/>
      <c r="C1073" s="510"/>
      <c r="D1073" s="510"/>
      <c r="E1073" s="510"/>
      <c r="F1073" s="746"/>
      <c r="G1073" s="510"/>
      <c r="H1073" s="510"/>
      <c r="I1073" s="510"/>
      <c r="J1073" s="510"/>
      <c r="K1073" s="510"/>
      <c r="L1073" s="510"/>
      <c r="M1073" s="509"/>
      <c r="N1073" s="508"/>
      <c r="O1073" s="507"/>
      <c r="P1073" s="507"/>
      <c r="Q1073" s="505"/>
      <c r="R1073" s="506"/>
      <c r="S1073" s="506"/>
      <c r="T1073" s="506"/>
      <c r="U1073" s="505"/>
      <c r="V1073" s="505"/>
      <c r="W1073" s="505"/>
      <c r="X1073" s="504"/>
      <c r="Y1073" s="503"/>
      <c r="Z1073" s="503"/>
      <c r="AA1073" s="503"/>
      <c r="AB1073" s="503"/>
      <c r="AC1073" s="503"/>
      <c r="AD1073" s="503"/>
      <c r="AE1073" s="503"/>
      <c r="AF1073" s="503"/>
    </row>
    <row r="1074" spans="1:32" ht="15.75" customHeight="1">
      <c r="A1074" s="503"/>
      <c r="B1074" s="503"/>
      <c r="C1074" s="510"/>
      <c r="D1074" s="510"/>
      <c r="E1074" s="510"/>
      <c r="F1074" s="746"/>
      <c r="G1074" s="510"/>
      <c r="H1074" s="510"/>
      <c r="I1074" s="510"/>
      <c r="J1074" s="510"/>
      <c r="K1074" s="510"/>
      <c r="L1074" s="510"/>
      <c r="M1074" s="509"/>
      <c r="N1074" s="508"/>
      <c r="O1074" s="507"/>
      <c r="P1074" s="507"/>
      <c r="Q1074" s="505"/>
      <c r="R1074" s="506"/>
      <c r="S1074" s="506"/>
      <c r="T1074" s="506"/>
      <c r="U1074" s="505"/>
      <c r="V1074" s="505"/>
      <c r="W1074" s="505"/>
      <c r="X1074" s="504"/>
      <c r="Y1074" s="503"/>
      <c r="Z1074" s="503"/>
      <c r="AA1074" s="503"/>
      <c r="AB1074" s="503"/>
      <c r="AC1074" s="503"/>
      <c r="AD1074" s="503"/>
      <c r="AE1074" s="503"/>
      <c r="AF1074" s="503"/>
    </row>
    <row r="1075" spans="1:32" ht="15.75" customHeight="1">
      <c r="A1075" s="503"/>
      <c r="B1075" s="503"/>
      <c r="C1075" s="510"/>
      <c r="D1075" s="510"/>
      <c r="E1075" s="510"/>
      <c r="F1075" s="746"/>
      <c r="G1075" s="510"/>
      <c r="H1075" s="510"/>
      <c r="I1075" s="510"/>
      <c r="J1075" s="510"/>
      <c r="K1075" s="510"/>
      <c r="L1075" s="510"/>
      <c r="M1075" s="509"/>
      <c r="N1075" s="508"/>
      <c r="O1075" s="507"/>
      <c r="P1075" s="507"/>
      <c r="Q1075" s="505"/>
      <c r="R1075" s="506"/>
      <c r="S1075" s="506"/>
      <c r="T1075" s="506"/>
      <c r="U1075" s="505"/>
      <c r="V1075" s="505"/>
      <c r="W1075" s="505"/>
      <c r="X1075" s="504"/>
      <c r="Y1075" s="503"/>
      <c r="Z1075" s="503"/>
      <c r="AA1075" s="503"/>
      <c r="AB1075" s="503"/>
      <c r="AC1075" s="503"/>
      <c r="AD1075" s="503"/>
      <c r="AE1075" s="503"/>
      <c r="AF1075" s="503"/>
    </row>
    <row r="1076" spans="1:32" ht="15.75" customHeight="1">
      <c r="A1076" s="503"/>
      <c r="B1076" s="503"/>
      <c r="C1076" s="510"/>
      <c r="D1076" s="510"/>
      <c r="E1076" s="510"/>
      <c r="F1076" s="746"/>
      <c r="G1076" s="510"/>
      <c r="H1076" s="510"/>
      <c r="I1076" s="510"/>
      <c r="J1076" s="510"/>
      <c r="K1076" s="510"/>
      <c r="L1076" s="510"/>
      <c r="M1076" s="509"/>
      <c r="N1076" s="508"/>
      <c r="O1076" s="507"/>
      <c r="P1076" s="507"/>
      <c r="Q1076" s="505"/>
      <c r="R1076" s="506"/>
      <c r="S1076" s="506"/>
      <c r="T1076" s="506"/>
      <c r="U1076" s="505"/>
      <c r="V1076" s="505"/>
      <c r="W1076" s="505"/>
      <c r="X1076" s="504"/>
      <c r="Y1076" s="503"/>
      <c r="Z1076" s="503"/>
      <c r="AA1076" s="503"/>
      <c r="AB1076" s="503"/>
      <c r="AC1076" s="503"/>
      <c r="AD1076" s="503"/>
      <c r="AE1076" s="503"/>
      <c r="AF1076" s="503"/>
    </row>
    <row r="1077" spans="1:32" ht="15.75" customHeight="1">
      <c r="A1077" s="503"/>
      <c r="B1077" s="503"/>
      <c r="C1077" s="510"/>
      <c r="D1077" s="510"/>
      <c r="E1077" s="510"/>
      <c r="F1077" s="746"/>
      <c r="G1077" s="510"/>
      <c r="H1077" s="510"/>
      <c r="I1077" s="510"/>
      <c r="J1077" s="510"/>
      <c r="K1077" s="510"/>
      <c r="L1077" s="510"/>
      <c r="M1077" s="509"/>
      <c r="N1077" s="508"/>
      <c r="O1077" s="507"/>
      <c r="P1077" s="507"/>
      <c r="Q1077" s="505"/>
      <c r="R1077" s="506"/>
      <c r="S1077" s="506"/>
      <c r="T1077" s="506"/>
      <c r="U1077" s="505"/>
      <c r="V1077" s="505"/>
      <c r="W1077" s="505"/>
      <c r="X1077" s="504"/>
      <c r="Y1077" s="503"/>
      <c r="Z1077" s="503"/>
      <c r="AA1077" s="503"/>
      <c r="AB1077" s="503"/>
      <c r="AC1077" s="503"/>
      <c r="AD1077" s="503"/>
      <c r="AE1077" s="503"/>
      <c r="AF1077" s="503"/>
    </row>
    <row r="1078" spans="1:32" ht="15.75" customHeight="1">
      <c r="A1078" s="503"/>
      <c r="B1078" s="503"/>
      <c r="C1078" s="510"/>
      <c r="D1078" s="510"/>
      <c r="E1078" s="510"/>
      <c r="F1078" s="746"/>
      <c r="G1078" s="510"/>
      <c r="H1078" s="510"/>
      <c r="I1078" s="510"/>
      <c r="J1078" s="510"/>
      <c r="K1078" s="510"/>
      <c r="L1078" s="510"/>
      <c r="M1078" s="509"/>
      <c r="N1078" s="508"/>
      <c r="O1078" s="507"/>
      <c r="P1078" s="507"/>
      <c r="Q1078" s="505"/>
      <c r="R1078" s="506"/>
      <c r="S1078" s="506"/>
      <c r="T1078" s="506"/>
      <c r="U1078" s="505"/>
      <c r="V1078" s="505"/>
      <c r="W1078" s="505"/>
      <c r="X1078" s="504"/>
      <c r="Y1078" s="503"/>
      <c r="Z1078" s="503"/>
      <c r="AA1078" s="503"/>
      <c r="AB1078" s="503"/>
      <c r="AC1078" s="503"/>
      <c r="AD1078" s="503"/>
      <c r="AE1078" s="503"/>
      <c r="AF1078" s="503"/>
    </row>
    <row r="1079" spans="1:32" ht="15.75" customHeight="1">
      <c r="A1079" s="503"/>
      <c r="B1079" s="503"/>
      <c r="C1079" s="510"/>
      <c r="D1079" s="510"/>
      <c r="E1079" s="510"/>
      <c r="F1079" s="746"/>
      <c r="G1079" s="510"/>
      <c r="H1079" s="510"/>
      <c r="I1079" s="510"/>
      <c r="J1079" s="510"/>
      <c r="K1079" s="510"/>
      <c r="L1079" s="510"/>
      <c r="M1079" s="509"/>
      <c r="N1079" s="508"/>
      <c r="O1079" s="507"/>
      <c r="P1079" s="507"/>
      <c r="Q1079" s="505"/>
      <c r="R1079" s="506"/>
      <c r="S1079" s="506"/>
      <c r="T1079" s="506"/>
      <c r="U1079" s="505"/>
      <c r="V1079" s="505"/>
      <c r="W1079" s="505"/>
      <c r="X1079" s="504"/>
      <c r="Y1079" s="503"/>
      <c r="Z1079" s="503"/>
      <c r="AA1079" s="503"/>
      <c r="AB1079" s="503"/>
      <c r="AC1079" s="503"/>
      <c r="AD1079" s="503"/>
      <c r="AE1079" s="503"/>
      <c r="AF1079" s="503"/>
    </row>
    <row r="1080" spans="1:32" ht="15.75" customHeight="1">
      <c r="A1080" s="503"/>
      <c r="B1080" s="503"/>
      <c r="C1080" s="510"/>
      <c r="D1080" s="510"/>
      <c r="E1080" s="510"/>
      <c r="F1080" s="746"/>
      <c r="G1080" s="510"/>
      <c r="H1080" s="510"/>
      <c r="I1080" s="510"/>
      <c r="J1080" s="510"/>
      <c r="K1080" s="510"/>
      <c r="L1080" s="510"/>
      <c r="M1080" s="509"/>
      <c r="N1080" s="508"/>
      <c r="O1080" s="507"/>
      <c r="P1080" s="507"/>
      <c r="Q1080" s="505"/>
      <c r="R1080" s="506"/>
      <c r="S1080" s="506"/>
      <c r="T1080" s="506"/>
      <c r="U1080" s="505"/>
      <c r="V1080" s="505"/>
      <c r="W1080" s="505"/>
      <c r="X1080" s="504"/>
      <c r="Y1080" s="503"/>
      <c r="Z1080" s="503"/>
      <c r="AA1080" s="503"/>
      <c r="AB1080" s="503"/>
      <c r="AC1080" s="503"/>
      <c r="AD1080" s="503"/>
      <c r="AE1080" s="503"/>
      <c r="AF1080" s="503"/>
    </row>
    <row r="1081" spans="1:32" ht="15.75" customHeight="1">
      <c r="A1081" s="503"/>
      <c r="B1081" s="503"/>
      <c r="C1081" s="510"/>
      <c r="D1081" s="510"/>
      <c r="E1081" s="510"/>
      <c r="F1081" s="746"/>
      <c r="G1081" s="510"/>
      <c r="H1081" s="510"/>
      <c r="I1081" s="510"/>
      <c r="J1081" s="510"/>
      <c r="K1081" s="510"/>
      <c r="L1081" s="510"/>
      <c r="M1081" s="509"/>
      <c r="N1081" s="508"/>
      <c r="O1081" s="507"/>
      <c r="P1081" s="507"/>
      <c r="Q1081" s="505"/>
      <c r="R1081" s="506"/>
      <c r="S1081" s="506"/>
      <c r="T1081" s="506"/>
      <c r="U1081" s="505"/>
      <c r="V1081" s="505"/>
      <c r="W1081" s="505"/>
      <c r="X1081" s="504"/>
      <c r="Y1081" s="503"/>
      <c r="Z1081" s="503"/>
      <c r="AA1081" s="503"/>
      <c r="AB1081" s="503"/>
      <c r="AC1081" s="503"/>
      <c r="AD1081" s="503"/>
      <c r="AE1081" s="503"/>
      <c r="AF1081" s="503"/>
    </row>
    <row r="1082" spans="1:32" ht="15.75" customHeight="1">
      <c r="A1082" s="503"/>
      <c r="B1082" s="503"/>
      <c r="C1082" s="510"/>
      <c r="D1082" s="510"/>
      <c r="E1082" s="510"/>
      <c r="F1082" s="746"/>
      <c r="G1082" s="510"/>
      <c r="H1082" s="510"/>
      <c r="I1082" s="510"/>
      <c r="J1082" s="510"/>
      <c r="K1082" s="510"/>
      <c r="L1082" s="510"/>
      <c r="M1082" s="509"/>
      <c r="N1082" s="508"/>
      <c r="O1082" s="507"/>
      <c r="P1082" s="507"/>
      <c r="Q1082" s="505"/>
      <c r="R1082" s="506"/>
      <c r="S1082" s="506"/>
      <c r="T1082" s="506"/>
      <c r="U1082" s="505"/>
      <c r="V1082" s="505"/>
      <c r="W1082" s="505"/>
      <c r="X1082" s="504"/>
      <c r="Y1082" s="503"/>
      <c r="Z1082" s="503"/>
      <c r="AA1082" s="503"/>
      <c r="AB1082" s="503"/>
      <c r="AC1082" s="503"/>
      <c r="AD1082" s="503"/>
      <c r="AE1082" s="503"/>
      <c r="AF1082" s="503"/>
    </row>
    <row r="1083" spans="1:32" ht="15.75" customHeight="1">
      <c r="A1083" s="503"/>
      <c r="B1083" s="503"/>
      <c r="C1083" s="510"/>
      <c r="D1083" s="510"/>
      <c r="E1083" s="510"/>
      <c r="F1083" s="746"/>
      <c r="G1083" s="510"/>
      <c r="H1083" s="510"/>
      <c r="I1083" s="510"/>
      <c r="J1083" s="510"/>
      <c r="K1083" s="510"/>
      <c r="L1083" s="510"/>
      <c r="M1083" s="509"/>
      <c r="N1083" s="508"/>
      <c r="O1083" s="507"/>
      <c r="P1083" s="507"/>
      <c r="Q1083" s="505"/>
      <c r="R1083" s="506"/>
      <c r="S1083" s="506"/>
      <c r="T1083" s="506"/>
      <c r="U1083" s="505"/>
      <c r="V1083" s="505"/>
      <c r="W1083" s="505"/>
      <c r="X1083" s="504"/>
      <c r="Y1083" s="503"/>
      <c r="Z1083" s="503"/>
      <c r="AA1083" s="503"/>
      <c r="AB1083" s="503"/>
      <c r="AC1083" s="503"/>
      <c r="AD1083" s="503"/>
      <c r="AE1083" s="503"/>
      <c r="AF1083" s="503"/>
    </row>
    <row r="1084" spans="1:32" ht="15.75" customHeight="1">
      <c r="A1084" s="503"/>
      <c r="B1084" s="503"/>
      <c r="C1084" s="510"/>
      <c r="D1084" s="510"/>
      <c r="E1084" s="510"/>
      <c r="F1084" s="746"/>
      <c r="G1084" s="510"/>
      <c r="H1084" s="510"/>
      <c r="I1084" s="510"/>
      <c r="J1084" s="510"/>
      <c r="K1084" s="510"/>
      <c r="L1084" s="510"/>
      <c r="M1084" s="509"/>
      <c r="N1084" s="508"/>
      <c r="O1084" s="507"/>
      <c r="P1084" s="507"/>
      <c r="Q1084" s="505"/>
      <c r="R1084" s="506"/>
      <c r="S1084" s="506"/>
      <c r="T1084" s="506"/>
      <c r="U1084" s="505"/>
      <c r="V1084" s="505"/>
      <c r="W1084" s="505"/>
      <c r="X1084" s="504"/>
      <c r="Y1084" s="503"/>
      <c r="Z1084" s="503"/>
      <c r="AA1084" s="503"/>
      <c r="AB1084" s="503"/>
      <c r="AC1084" s="503"/>
      <c r="AD1084" s="503"/>
      <c r="AE1084" s="503"/>
      <c r="AF1084" s="503"/>
    </row>
    <row r="1085" spans="1:32" ht="15.75" customHeight="1">
      <c r="A1085" s="503"/>
      <c r="B1085" s="503"/>
      <c r="C1085" s="510"/>
      <c r="D1085" s="510"/>
      <c r="E1085" s="510"/>
      <c r="F1085" s="746"/>
      <c r="G1085" s="510"/>
      <c r="H1085" s="510"/>
      <c r="I1085" s="510"/>
      <c r="J1085" s="510"/>
      <c r="K1085" s="510"/>
      <c r="L1085" s="510"/>
      <c r="M1085" s="509"/>
      <c r="N1085" s="508"/>
      <c r="O1085" s="507"/>
      <c r="P1085" s="507"/>
      <c r="Q1085" s="505"/>
      <c r="R1085" s="506"/>
      <c r="S1085" s="506"/>
      <c r="T1085" s="506"/>
      <c r="U1085" s="505"/>
      <c r="V1085" s="505"/>
      <c r="W1085" s="505"/>
      <c r="X1085" s="504"/>
      <c r="Y1085" s="503"/>
      <c r="Z1085" s="503"/>
      <c r="AA1085" s="503"/>
      <c r="AB1085" s="503"/>
      <c r="AC1085" s="503"/>
      <c r="AD1085" s="503"/>
      <c r="AE1085" s="503"/>
      <c r="AF1085" s="503"/>
    </row>
    <row r="1086" spans="1:32" ht="15.75" customHeight="1">
      <c r="A1086" s="503"/>
      <c r="B1086" s="503"/>
      <c r="C1086" s="510"/>
      <c r="D1086" s="510"/>
      <c r="E1086" s="510"/>
      <c r="F1086" s="746"/>
      <c r="G1086" s="510"/>
      <c r="H1086" s="510"/>
      <c r="I1086" s="510"/>
      <c r="J1086" s="510"/>
      <c r="K1086" s="510"/>
      <c r="L1086" s="510"/>
      <c r="M1086" s="509"/>
      <c r="N1086" s="508"/>
      <c r="O1086" s="507"/>
      <c r="P1086" s="507"/>
      <c r="Q1086" s="505"/>
      <c r="R1086" s="506"/>
      <c r="S1086" s="506"/>
      <c r="T1086" s="506"/>
      <c r="U1086" s="505"/>
      <c r="V1086" s="505"/>
      <c r="W1086" s="505"/>
      <c r="X1086" s="504"/>
      <c r="Y1086" s="503"/>
      <c r="Z1086" s="503"/>
      <c r="AA1086" s="503"/>
      <c r="AB1086" s="503"/>
      <c r="AC1086" s="503"/>
      <c r="AD1086" s="503"/>
      <c r="AE1086" s="503"/>
      <c r="AF1086" s="503"/>
    </row>
    <row r="1087" spans="1:32" ht="15.75" customHeight="1">
      <c r="A1087" s="503"/>
      <c r="B1087" s="503"/>
      <c r="C1087" s="510"/>
      <c r="D1087" s="510"/>
      <c r="E1087" s="510"/>
      <c r="F1087" s="746"/>
      <c r="G1087" s="510"/>
      <c r="H1087" s="510"/>
      <c r="I1087" s="510"/>
      <c r="J1087" s="510"/>
      <c r="K1087" s="510"/>
      <c r="L1087" s="510"/>
      <c r="M1087" s="509"/>
      <c r="N1087" s="508"/>
      <c r="O1087" s="507"/>
      <c r="P1087" s="507"/>
      <c r="Q1087" s="505"/>
      <c r="R1087" s="506"/>
      <c r="S1087" s="506"/>
      <c r="T1087" s="506"/>
      <c r="U1087" s="505"/>
      <c r="V1087" s="505"/>
      <c r="W1087" s="505"/>
      <c r="X1087" s="504"/>
      <c r="Y1087" s="503"/>
      <c r="Z1087" s="503"/>
      <c r="AA1087" s="503"/>
      <c r="AB1087" s="503"/>
      <c r="AC1087" s="503"/>
      <c r="AD1087" s="503"/>
      <c r="AE1087" s="503"/>
      <c r="AF1087" s="503"/>
    </row>
    <row r="1088" spans="1:32" ht="15.75" customHeight="1">
      <c r="A1088" s="503"/>
      <c r="B1088" s="503"/>
      <c r="C1088" s="510"/>
      <c r="D1088" s="510"/>
      <c r="E1088" s="510"/>
      <c r="F1088" s="746"/>
      <c r="G1088" s="510"/>
      <c r="H1088" s="510"/>
      <c r="I1088" s="510"/>
      <c r="J1088" s="510"/>
      <c r="K1088" s="510"/>
      <c r="L1088" s="510"/>
      <c r="M1088" s="509"/>
      <c r="N1088" s="508"/>
      <c r="O1088" s="507"/>
      <c r="P1088" s="507"/>
      <c r="Q1088" s="505"/>
      <c r="R1088" s="506"/>
      <c r="S1088" s="506"/>
      <c r="T1088" s="506"/>
      <c r="U1088" s="505"/>
      <c r="V1088" s="505"/>
      <c r="W1088" s="505"/>
      <c r="X1088" s="504"/>
      <c r="Y1088" s="503"/>
      <c r="Z1088" s="503"/>
      <c r="AA1088" s="503"/>
      <c r="AB1088" s="503"/>
      <c r="AC1088" s="503"/>
      <c r="AD1088" s="503"/>
      <c r="AE1088" s="503"/>
      <c r="AF1088" s="503"/>
    </row>
    <row r="1089" spans="1:32" ht="15.75" customHeight="1">
      <c r="A1089" s="503"/>
      <c r="B1089" s="503"/>
      <c r="C1089" s="510"/>
      <c r="D1089" s="510"/>
      <c r="E1089" s="510"/>
      <c r="F1089" s="746"/>
      <c r="G1089" s="510"/>
      <c r="H1089" s="510"/>
      <c r="I1089" s="510"/>
      <c r="J1089" s="510"/>
      <c r="K1089" s="510"/>
      <c r="L1089" s="510"/>
      <c r="M1089" s="509"/>
      <c r="N1089" s="508"/>
      <c r="O1089" s="507"/>
      <c r="P1089" s="507"/>
      <c r="Q1089" s="505"/>
      <c r="R1089" s="506"/>
      <c r="S1089" s="506"/>
      <c r="T1089" s="506"/>
      <c r="U1089" s="505"/>
      <c r="V1089" s="505"/>
      <c r="W1089" s="505"/>
      <c r="X1089" s="504"/>
      <c r="Y1089" s="503"/>
      <c r="Z1089" s="503"/>
      <c r="AA1089" s="503"/>
      <c r="AB1089" s="503"/>
      <c r="AC1089" s="503"/>
      <c r="AD1089" s="503"/>
      <c r="AE1089" s="503"/>
      <c r="AF1089" s="503"/>
    </row>
    <row r="1090" spans="1:32" ht="15.75" customHeight="1">
      <c r="A1090" s="503"/>
      <c r="B1090" s="503"/>
      <c r="C1090" s="510"/>
      <c r="D1090" s="510"/>
      <c r="E1090" s="510"/>
      <c r="F1090" s="746"/>
      <c r="G1090" s="510"/>
      <c r="H1090" s="510"/>
      <c r="I1090" s="510"/>
      <c r="J1090" s="510"/>
      <c r="K1090" s="510"/>
      <c r="L1090" s="510"/>
      <c r="M1090" s="509"/>
      <c r="N1090" s="508"/>
      <c r="O1090" s="507"/>
      <c r="P1090" s="507"/>
      <c r="Q1090" s="505"/>
      <c r="R1090" s="506"/>
      <c r="S1090" s="506"/>
      <c r="T1090" s="506"/>
      <c r="U1090" s="505"/>
      <c r="V1090" s="505"/>
      <c r="W1090" s="505"/>
      <c r="X1090" s="504"/>
      <c r="Y1090" s="503"/>
      <c r="Z1090" s="503"/>
      <c r="AA1090" s="503"/>
      <c r="AB1090" s="503"/>
      <c r="AC1090" s="503"/>
      <c r="AD1090" s="503"/>
      <c r="AE1090" s="503"/>
      <c r="AF1090" s="503"/>
    </row>
    <row r="1091" spans="1:32" ht="15.75" customHeight="1">
      <c r="A1091" s="503"/>
      <c r="B1091" s="503"/>
      <c r="C1091" s="510"/>
      <c r="D1091" s="510"/>
      <c r="E1091" s="510"/>
      <c r="F1091" s="746"/>
      <c r="G1091" s="510"/>
      <c r="H1091" s="510"/>
      <c r="I1091" s="510"/>
      <c r="J1091" s="510"/>
      <c r="K1091" s="510"/>
      <c r="L1091" s="510"/>
      <c r="M1091" s="509"/>
      <c r="N1091" s="508"/>
      <c r="O1091" s="507"/>
      <c r="P1091" s="507"/>
      <c r="Q1091" s="505"/>
      <c r="R1091" s="506"/>
      <c r="S1091" s="506"/>
      <c r="T1091" s="506"/>
      <c r="U1091" s="505"/>
      <c r="V1091" s="505"/>
      <c r="W1091" s="505"/>
      <c r="X1091" s="504"/>
      <c r="Y1091" s="503"/>
      <c r="Z1091" s="503"/>
      <c r="AA1091" s="503"/>
      <c r="AB1091" s="503"/>
      <c r="AC1091" s="503"/>
      <c r="AD1091" s="503"/>
      <c r="AE1091" s="503"/>
      <c r="AF1091" s="503"/>
    </row>
    <row r="1092" spans="1:32" ht="15.75" customHeight="1">
      <c r="A1092" s="503"/>
      <c r="B1092" s="503"/>
      <c r="C1092" s="510"/>
      <c r="D1092" s="510"/>
      <c r="E1092" s="510"/>
      <c r="F1092" s="746"/>
      <c r="G1092" s="510"/>
      <c r="H1092" s="510"/>
      <c r="I1092" s="510"/>
      <c r="J1092" s="510"/>
      <c r="K1092" s="510"/>
      <c r="L1092" s="510"/>
      <c r="M1092" s="509"/>
      <c r="N1092" s="508"/>
      <c r="O1092" s="507"/>
      <c r="P1092" s="507"/>
      <c r="Q1092" s="505"/>
      <c r="R1092" s="506"/>
      <c r="S1092" s="506"/>
      <c r="T1092" s="506"/>
      <c r="U1092" s="505"/>
      <c r="V1092" s="505"/>
      <c r="W1092" s="505"/>
      <c r="X1092" s="504"/>
      <c r="Y1092" s="503"/>
      <c r="Z1092" s="503"/>
      <c r="AA1092" s="503"/>
      <c r="AB1092" s="503"/>
      <c r="AC1092" s="503"/>
      <c r="AD1092" s="503"/>
      <c r="AE1092" s="503"/>
      <c r="AF1092" s="503"/>
    </row>
    <row r="1093" spans="1:32" ht="15.75" customHeight="1">
      <c r="A1093" s="503"/>
      <c r="B1093" s="503"/>
      <c r="C1093" s="510"/>
      <c r="D1093" s="510"/>
      <c r="E1093" s="510"/>
      <c r="F1093" s="746"/>
      <c r="G1093" s="510"/>
      <c r="H1093" s="510"/>
      <c r="I1093" s="510"/>
      <c r="J1093" s="510"/>
      <c r="K1093" s="510"/>
      <c r="L1093" s="510"/>
      <c r="M1093" s="509"/>
      <c r="N1093" s="508"/>
      <c r="O1093" s="507"/>
      <c r="P1093" s="507"/>
      <c r="Q1093" s="505"/>
      <c r="R1093" s="506"/>
      <c r="S1093" s="506"/>
      <c r="T1093" s="506"/>
      <c r="U1093" s="505"/>
      <c r="V1093" s="505"/>
      <c r="W1093" s="505"/>
      <c r="X1093" s="504"/>
      <c r="Y1093" s="503"/>
      <c r="Z1093" s="503"/>
      <c r="AA1093" s="503"/>
      <c r="AB1093" s="503"/>
      <c r="AC1093" s="503"/>
      <c r="AD1093" s="503"/>
      <c r="AE1093" s="503"/>
      <c r="AF1093" s="503"/>
    </row>
    <row r="1094" spans="1:32" ht="15.75" customHeight="1">
      <c r="A1094" s="503"/>
      <c r="B1094" s="503"/>
      <c r="C1094" s="510"/>
      <c r="D1094" s="510"/>
      <c r="E1094" s="510"/>
      <c r="F1094" s="746"/>
      <c r="G1094" s="510"/>
      <c r="H1094" s="510"/>
      <c r="I1094" s="510"/>
      <c r="J1094" s="510"/>
      <c r="K1094" s="510"/>
      <c r="L1094" s="510"/>
      <c r="M1094" s="509"/>
      <c r="N1094" s="508"/>
      <c r="O1094" s="507"/>
      <c r="P1094" s="507"/>
      <c r="Q1094" s="505"/>
      <c r="R1094" s="506"/>
      <c r="S1094" s="506"/>
      <c r="T1094" s="506"/>
      <c r="U1094" s="505"/>
      <c r="V1094" s="505"/>
      <c r="W1094" s="505"/>
      <c r="X1094" s="504"/>
      <c r="Y1094" s="503"/>
      <c r="Z1094" s="503"/>
      <c r="AA1094" s="503"/>
      <c r="AB1094" s="503"/>
      <c r="AC1094" s="503"/>
      <c r="AD1094" s="503"/>
      <c r="AE1094" s="503"/>
      <c r="AF1094" s="503"/>
    </row>
    <row r="1095" spans="1:32" ht="15.75" customHeight="1">
      <c r="A1095" s="503"/>
      <c r="B1095" s="503"/>
      <c r="C1095" s="510"/>
      <c r="D1095" s="510"/>
      <c r="E1095" s="510"/>
      <c r="F1095" s="746"/>
      <c r="G1095" s="510"/>
      <c r="H1095" s="510"/>
      <c r="I1095" s="510"/>
      <c r="J1095" s="510"/>
      <c r="K1095" s="510"/>
      <c r="L1095" s="510"/>
      <c r="M1095" s="509"/>
      <c r="N1095" s="508"/>
      <c r="O1095" s="507"/>
      <c r="P1095" s="507"/>
      <c r="Q1095" s="505"/>
      <c r="R1095" s="506"/>
      <c r="S1095" s="506"/>
      <c r="T1095" s="506"/>
      <c r="U1095" s="505"/>
      <c r="V1095" s="505"/>
      <c r="W1095" s="505"/>
      <c r="X1095" s="504"/>
      <c r="Y1095" s="503"/>
      <c r="Z1095" s="503"/>
      <c r="AA1095" s="503"/>
      <c r="AB1095" s="503"/>
      <c r="AC1095" s="503"/>
      <c r="AD1095" s="503"/>
      <c r="AE1095" s="503"/>
      <c r="AF1095" s="503"/>
    </row>
    <row r="1096" spans="1:32" ht="15.75" customHeight="1">
      <c r="A1096" s="503"/>
      <c r="B1096" s="503"/>
      <c r="C1096" s="510"/>
      <c r="D1096" s="510"/>
      <c r="E1096" s="510"/>
      <c r="F1096" s="746"/>
      <c r="G1096" s="510"/>
      <c r="H1096" s="510"/>
      <c r="I1096" s="510"/>
      <c r="J1096" s="510"/>
      <c r="K1096" s="510"/>
      <c r="L1096" s="510"/>
      <c r="M1096" s="509"/>
      <c r="N1096" s="508"/>
      <c r="O1096" s="507"/>
      <c r="P1096" s="507"/>
      <c r="Q1096" s="505"/>
      <c r="R1096" s="506"/>
      <c r="S1096" s="506"/>
      <c r="T1096" s="506"/>
      <c r="U1096" s="505"/>
      <c r="V1096" s="505"/>
      <c r="W1096" s="505"/>
      <c r="X1096" s="504"/>
      <c r="Y1096" s="503"/>
      <c r="Z1096" s="503"/>
      <c r="AA1096" s="503"/>
      <c r="AB1096" s="503"/>
      <c r="AC1096" s="503"/>
      <c r="AD1096" s="503"/>
      <c r="AE1096" s="503"/>
      <c r="AF1096" s="503"/>
    </row>
    <row r="1097" spans="1:32" ht="15.75" customHeight="1">
      <c r="A1097" s="503"/>
      <c r="B1097" s="503"/>
      <c r="C1097" s="510"/>
      <c r="D1097" s="510"/>
      <c r="E1097" s="510"/>
      <c r="F1097" s="746"/>
      <c r="G1097" s="510"/>
      <c r="H1097" s="510"/>
      <c r="I1097" s="510"/>
      <c r="J1097" s="510"/>
      <c r="K1097" s="510"/>
      <c r="L1097" s="510"/>
      <c r="M1097" s="509"/>
      <c r="N1097" s="508"/>
      <c r="O1097" s="507"/>
      <c r="P1097" s="507"/>
      <c r="Q1097" s="505"/>
      <c r="R1097" s="506"/>
      <c r="S1097" s="506"/>
      <c r="T1097" s="506"/>
      <c r="U1097" s="505"/>
      <c r="V1097" s="505"/>
      <c r="W1097" s="505"/>
      <c r="X1097" s="504"/>
      <c r="Y1097" s="503"/>
      <c r="Z1097" s="503"/>
      <c r="AA1097" s="503"/>
      <c r="AB1097" s="503"/>
      <c r="AC1097" s="503"/>
      <c r="AD1097" s="503"/>
      <c r="AE1097" s="503"/>
      <c r="AF1097" s="503"/>
    </row>
    <row r="1098" spans="1:32" ht="15.75" customHeight="1">
      <c r="A1098" s="503"/>
      <c r="B1098" s="503"/>
      <c r="C1098" s="510"/>
      <c r="D1098" s="510"/>
      <c r="E1098" s="510"/>
      <c r="F1098" s="746"/>
      <c r="G1098" s="510"/>
      <c r="H1098" s="510"/>
      <c r="I1098" s="510"/>
      <c r="J1098" s="510"/>
      <c r="K1098" s="510"/>
      <c r="L1098" s="510"/>
      <c r="M1098" s="509"/>
      <c r="N1098" s="508"/>
      <c r="O1098" s="507"/>
      <c r="P1098" s="507"/>
      <c r="Q1098" s="505"/>
      <c r="R1098" s="506"/>
      <c r="S1098" s="506"/>
      <c r="T1098" s="506"/>
      <c r="U1098" s="505"/>
      <c r="V1098" s="505"/>
      <c r="W1098" s="505"/>
      <c r="X1098" s="504"/>
      <c r="Y1098" s="503"/>
      <c r="Z1098" s="503"/>
      <c r="AA1098" s="503"/>
      <c r="AB1098" s="503"/>
      <c r="AC1098" s="503"/>
      <c r="AD1098" s="503"/>
      <c r="AE1098" s="503"/>
      <c r="AF1098" s="503"/>
    </row>
    <row r="1099" spans="1:32" ht="15.75" customHeight="1">
      <c r="A1099" s="503"/>
      <c r="B1099" s="503"/>
      <c r="C1099" s="510"/>
      <c r="D1099" s="510"/>
      <c r="E1099" s="510"/>
      <c r="F1099" s="746"/>
      <c r="G1099" s="510"/>
      <c r="H1099" s="510"/>
      <c r="I1099" s="510"/>
      <c r="J1099" s="510"/>
      <c r="K1099" s="510"/>
      <c r="L1099" s="510"/>
      <c r="M1099" s="509"/>
      <c r="N1099" s="508"/>
      <c r="O1099" s="507"/>
      <c r="P1099" s="507"/>
      <c r="Q1099" s="505"/>
      <c r="R1099" s="506"/>
      <c r="S1099" s="506"/>
      <c r="T1099" s="506"/>
      <c r="U1099" s="505"/>
      <c r="V1099" s="505"/>
      <c r="W1099" s="505"/>
      <c r="X1099" s="504"/>
      <c r="Y1099" s="503"/>
      <c r="Z1099" s="503"/>
      <c r="AA1099" s="503"/>
      <c r="AB1099" s="503"/>
      <c r="AC1099" s="503"/>
      <c r="AD1099" s="503"/>
      <c r="AE1099" s="503"/>
      <c r="AF1099" s="503"/>
    </row>
    <row r="1100" spans="1:32" ht="15.75" customHeight="1">
      <c r="A1100" s="503"/>
      <c r="B1100" s="503"/>
      <c r="C1100" s="510"/>
      <c r="D1100" s="510"/>
      <c r="E1100" s="510"/>
      <c r="F1100" s="746"/>
      <c r="G1100" s="510"/>
      <c r="H1100" s="510"/>
      <c r="I1100" s="510"/>
      <c r="J1100" s="510"/>
      <c r="K1100" s="510"/>
      <c r="L1100" s="510"/>
      <c r="M1100" s="509"/>
      <c r="N1100" s="508"/>
      <c r="O1100" s="507"/>
      <c r="P1100" s="507"/>
      <c r="Q1100" s="505"/>
      <c r="R1100" s="506"/>
      <c r="S1100" s="506"/>
      <c r="T1100" s="506"/>
      <c r="U1100" s="505"/>
      <c r="V1100" s="505"/>
      <c r="W1100" s="505"/>
      <c r="X1100" s="504"/>
      <c r="Y1100" s="503"/>
      <c r="Z1100" s="503"/>
      <c r="AA1100" s="503"/>
      <c r="AB1100" s="503"/>
      <c r="AC1100" s="503"/>
      <c r="AD1100" s="503"/>
      <c r="AE1100" s="503"/>
      <c r="AF1100" s="503"/>
    </row>
    <row r="1101" spans="1:32" ht="15.75" customHeight="1">
      <c r="A1101" s="503"/>
      <c r="B1101" s="503"/>
      <c r="C1101" s="510"/>
      <c r="D1101" s="510"/>
      <c r="E1101" s="510"/>
      <c r="F1101" s="746"/>
      <c r="G1101" s="510"/>
      <c r="H1101" s="510"/>
      <c r="I1101" s="510"/>
      <c r="J1101" s="510"/>
      <c r="K1101" s="510"/>
      <c r="L1101" s="510"/>
      <c r="M1101" s="509"/>
      <c r="N1101" s="508"/>
      <c r="O1101" s="507"/>
      <c r="P1101" s="507"/>
      <c r="Q1101" s="505"/>
      <c r="R1101" s="506"/>
      <c r="S1101" s="506"/>
      <c r="T1101" s="506"/>
      <c r="U1101" s="505"/>
      <c r="V1101" s="505"/>
      <c r="W1101" s="505"/>
      <c r="X1101" s="504"/>
      <c r="Y1101" s="503"/>
      <c r="Z1101" s="503"/>
      <c r="AA1101" s="503"/>
      <c r="AB1101" s="503"/>
      <c r="AC1101" s="503"/>
      <c r="AD1101" s="503"/>
      <c r="AE1101" s="503"/>
      <c r="AF1101" s="503"/>
    </row>
    <row r="1102" spans="1:32" ht="15.75" customHeight="1">
      <c r="A1102" s="503"/>
      <c r="B1102" s="503"/>
      <c r="C1102" s="510"/>
      <c r="D1102" s="510"/>
      <c r="E1102" s="510"/>
      <c r="F1102" s="746"/>
      <c r="G1102" s="510"/>
      <c r="H1102" s="510"/>
      <c r="I1102" s="510"/>
      <c r="J1102" s="510"/>
      <c r="K1102" s="510"/>
      <c r="L1102" s="510"/>
      <c r="M1102" s="509"/>
      <c r="N1102" s="508"/>
      <c r="O1102" s="507"/>
      <c r="P1102" s="507"/>
      <c r="Q1102" s="505"/>
      <c r="R1102" s="506"/>
      <c r="S1102" s="506"/>
      <c r="T1102" s="506"/>
      <c r="U1102" s="505"/>
      <c r="V1102" s="505"/>
      <c r="W1102" s="505"/>
      <c r="X1102" s="504"/>
      <c r="Y1102" s="503"/>
      <c r="Z1102" s="503"/>
      <c r="AA1102" s="503"/>
      <c r="AB1102" s="503"/>
      <c r="AC1102" s="503"/>
      <c r="AD1102" s="503"/>
      <c r="AE1102" s="503"/>
      <c r="AF1102" s="503"/>
    </row>
    <row r="1103" spans="1:32" ht="15.75" customHeight="1">
      <c r="A1103" s="503"/>
      <c r="B1103" s="503"/>
      <c r="C1103" s="510"/>
      <c r="D1103" s="510"/>
      <c r="E1103" s="510"/>
      <c r="F1103" s="746"/>
      <c r="G1103" s="510"/>
      <c r="H1103" s="510"/>
      <c r="I1103" s="510"/>
      <c r="J1103" s="510"/>
      <c r="K1103" s="510"/>
      <c r="L1103" s="510"/>
      <c r="M1103" s="509"/>
      <c r="N1103" s="508"/>
      <c r="O1103" s="507"/>
      <c r="P1103" s="507"/>
      <c r="Q1103" s="505"/>
      <c r="R1103" s="506"/>
      <c r="S1103" s="506"/>
      <c r="T1103" s="506"/>
      <c r="U1103" s="505"/>
      <c r="V1103" s="505"/>
      <c r="W1103" s="505"/>
      <c r="X1103" s="504"/>
      <c r="Y1103" s="503"/>
      <c r="Z1103" s="503"/>
      <c r="AA1103" s="503"/>
      <c r="AB1103" s="503"/>
      <c r="AC1103" s="503"/>
      <c r="AD1103" s="503"/>
      <c r="AE1103" s="503"/>
      <c r="AF1103" s="503"/>
    </row>
    <row r="1104" spans="1:32" ht="15.75" customHeight="1">
      <c r="A1104" s="503"/>
      <c r="B1104" s="503"/>
      <c r="C1104" s="510"/>
      <c r="D1104" s="510"/>
      <c r="E1104" s="510"/>
      <c r="F1104" s="746"/>
      <c r="G1104" s="510"/>
      <c r="H1104" s="510"/>
      <c r="I1104" s="510"/>
      <c r="J1104" s="510"/>
      <c r="K1104" s="510"/>
      <c r="L1104" s="510"/>
      <c r="M1104" s="509"/>
      <c r="N1104" s="508"/>
      <c r="O1104" s="507"/>
      <c r="P1104" s="507"/>
      <c r="Q1104" s="505"/>
      <c r="R1104" s="506"/>
      <c r="S1104" s="506"/>
      <c r="T1104" s="506"/>
      <c r="U1104" s="505"/>
      <c r="V1104" s="505"/>
      <c r="W1104" s="505"/>
      <c r="X1104" s="504"/>
      <c r="Y1104" s="503"/>
      <c r="Z1104" s="503"/>
      <c r="AA1104" s="503"/>
      <c r="AB1104" s="503"/>
      <c r="AC1104" s="503"/>
      <c r="AD1104" s="503"/>
      <c r="AE1104" s="503"/>
      <c r="AF1104" s="503"/>
    </row>
    <row r="1105" spans="1:32" ht="15.75" customHeight="1">
      <c r="A1105" s="503"/>
      <c r="B1105" s="503"/>
      <c r="C1105" s="510"/>
      <c r="D1105" s="510"/>
      <c r="E1105" s="510"/>
      <c r="F1105" s="746"/>
      <c r="G1105" s="510"/>
      <c r="H1105" s="510"/>
      <c r="I1105" s="510"/>
      <c r="J1105" s="510"/>
      <c r="K1105" s="510"/>
      <c r="L1105" s="510"/>
      <c r="M1105" s="509"/>
      <c r="N1105" s="508"/>
      <c r="O1105" s="507"/>
      <c r="P1105" s="507"/>
      <c r="Q1105" s="505"/>
      <c r="R1105" s="506"/>
      <c r="S1105" s="506"/>
      <c r="T1105" s="506"/>
      <c r="U1105" s="505"/>
      <c r="V1105" s="505"/>
      <c r="W1105" s="505"/>
      <c r="X1105" s="504"/>
      <c r="Y1105" s="503"/>
      <c r="Z1105" s="503"/>
      <c r="AA1105" s="503"/>
      <c r="AB1105" s="503"/>
      <c r="AC1105" s="503"/>
      <c r="AD1105" s="503"/>
      <c r="AE1105" s="503"/>
      <c r="AF1105" s="503"/>
    </row>
    <row r="1106" spans="1:32" ht="15.75" customHeight="1">
      <c r="A1106" s="503"/>
      <c r="B1106" s="503"/>
      <c r="C1106" s="510"/>
      <c r="D1106" s="510"/>
      <c r="E1106" s="510"/>
      <c r="F1106" s="746"/>
      <c r="G1106" s="510"/>
      <c r="H1106" s="510"/>
      <c r="I1106" s="510"/>
      <c r="J1106" s="510"/>
      <c r="K1106" s="510"/>
      <c r="L1106" s="510"/>
      <c r="M1106" s="509"/>
      <c r="N1106" s="508"/>
      <c r="O1106" s="507"/>
      <c r="P1106" s="507"/>
      <c r="Q1106" s="505"/>
      <c r="R1106" s="506"/>
      <c r="S1106" s="506"/>
      <c r="T1106" s="506"/>
      <c r="U1106" s="505"/>
      <c r="V1106" s="505"/>
      <c r="W1106" s="505"/>
      <c r="X1106" s="504"/>
      <c r="Y1106" s="503"/>
      <c r="Z1106" s="503"/>
      <c r="AA1106" s="503"/>
      <c r="AB1106" s="503"/>
      <c r="AC1106" s="503"/>
      <c r="AD1106" s="503"/>
      <c r="AE1106" s="503"/>
      <c r="AF1106" s="503"/>
    </row>
    <row r="1107" spans="1:32" ht="15.75" customHeight="1">
      <c r="A1107" s="503"/>
      <c r="B1107" s="503"/>
      <c r="C1107" s="510"/>
      <c r="D1107" s="510"/>
      <c r="E1107" s="510"/>
      <c r="F1107" s="746"/>
      <c r="G1107" s="510"/>
      <c r="H1107" s="510"/>
      <c r="I1107" s="510"/>
      <c r="J1107" s="510"/>
      <c r="K1107" s="510"/>
      <c r="L1107" s="510"/>
      <c r="M1107" s="509"/>
      <c r="N1107" s="508"/>
      <c r="O1107" s="507"/>
      <c r="P1107" s="507"/>
      <c r="Q1107" s="505"/>
      <c r="R1107" s="506"/>
      <c r="S1107" s="506"/>
      <c r="T1107" s="506"/>
      <c r="U1107" s="505"/>
      <c r="V1107" s="505"/>
      <c r="W1107" s="505"/>
      <c r="X1107" s="504"/>
      <c r="Y1107" s="503"/>
      <c r="Z1107" s="503"/>
      <c r="AA1107" s="503"/>
      <c r="AB1107" s="503"/>
      <c r="AC1107" s="503"/>
      <c r="AD1107" s="503"/>
      <c r="AE1107" s="503"/>
      <c r="AF1107" s="503"/>
    </row>
    <row r="1108" spans="1:32" ht="15.75" customHeight="1">
      <c r="A1108" s="503"/>
      <c r="B1108" s="503"/>
      <c r="C1108" s="510"/>
      <c r="D1108" s="510"/>
      <c r="E1108" s="510"/>
      <c r="F1108" s="746"/>
      <c r="G1108" s="510"/>
      <c r="H1108" s="510"/>
      <c r="I1108" s="510"/>
      <c r="J1108" s="510"/>
      <c r="K1108" s="510"/>
      <c r="L1108" s="510"/>
      <c r="M1108" s="509"/>
      <c r="N1108" s="508"/>
      <c r="O1108" s="507"/>
      <c r="P1108" s="507"/>
      <c r="Q1108" s="505"/>
      <c r="R1108" s="506"/>
      <c r="S1108" s="506"/>
      <c r="T1108" s="506"/>
      <c r="U1108" s="505"/>
      <c r="V1108" s="505"/>
      <c r="W1108" s="505"/>
      <c r="X1108" s="504"/>
      <c r="Y1108" s="503"/>
      <c r="Z1108" s="503"/>
      <c r="AA1108" s="503"/>
      <c r="AB1108" s="503"/>
      <c r="AC1108" s="503"/>
      <c r="AD1108" s="503"/>
      <c r="AE1108" s="503"/>
      <c r="AF1108" s="503"/>
    </row>
    <row r="1109" spans="1:32" ht="15.75" customHeight="1">
      <c r="A1109" s="503"/>
      <c r="B1109" s="503"/>
      <c r="C1109" s="510"/>
      <c r="D1109" s="510"/>
      <c r="E1109" s="510"/>
      <c r="F1109" s="746"/>
      <c r="G1109" s="510"/>
      <c r="H1109" s="510"/>
      <c r="I1109" s="510"/>
      <c r="J1109" s="510"/>
      <c r="K1109" s="510"/>
      <c r="L1109" s="510"/>
      <c r="M1109" s="509"/>
      <c r="N1109" s="508"/>
      <c r="O1109" s="507"/>
      <c r="P1109" s="507"/>
      <c r="Q1109" s="505"/>
      <c r="R1109" s="506"/>
      <c r="S1109" s="506"/>
      <c r="T1109" s="506"/>
      <c r="U1109" s="505"/>
      <c r="V1109" s="505"/>
      <c r="W1109" s="505"/>
      <c r="X1109" s="504"/>
      <c r="Y1109" s="503"/>
      <c r="Z1109" s="503"/>
      <c r="AA1109" s="503"/>
      <c r="AB1109" s="503"/>
      <c r="AC1109" s="503"/>
      <c r="AD1109" s="503"/>
      <c r="AE1109" s="503"/>
      <c r="AF1109" s="503"/>
    </row>
    <row r="1110" spans="1:32" ht="15.75" customHeight="1">
      <c r="A1110" s="503"/>
      <c r="B1110" s="503"/>
      <c r="C1110" s="510"/>
      <c r="D1110" s="510"/>
      <c r="E1110" s="510"/>
      <c r="F1110" s="746"/>
      <c r="G1110" s="510"/>
      <c r="H1110" s="510"/>
      <c r="I1110" s="510"/>
      <c r="J1110" s="510"/>
      <c r="K1110" s="510"/>
      <c r="L1110" s="510"/>
      <c r="M1110" s="509"/>
      <c r="N1110" s="508"/>
      <c r="O1110" s="507"/>
      <c r="P1110" s="507"/>
      <c r="Q1110" s="505"/>
      <c r="R1110" s="506"/>
      <c r="S1110" s="506"/>
      <c r="T1110" s="506"/>
      <c r="U1110" s="505"/>
      <c r="V1110" s="505"/>
      <c r="W1110" s="505"/>
      <c r="X1110" s="504"/>
      <c r="Y1110" s="503"/>
      <c r="Z1110" s="503"/>
      <c r="AA1110" s="503"/>
      <c r="AB1110" s="503"/>
      <c r="AC1110" s="503"/>
      <c r="AD1110" s="503"/>
      <c r="AE1110" s="503"/>
      <c r="AF1110" s="503"/>
    </row>
    <row r="1111" spans="1:32" ht="15.75" customHeight="1">
      <c r="A1111" s="503"/>
      <c r="B1111" s="503"/>
      <c r="C1111" s="510"/>
      <c r="D1111" s="510"/>
      <c r="E1111" s="510"/>
      <c r="F1111" s="746"/>
      <c r="G1111" s="510"/>
      <c r="H1111" s="510"/>
      <c r="I1111" s="510"/>
      <c r="J1111" s="510"/>
      <c r="K1111" s="510"/>
      <c r="L1111" s="510"/>
      <c r="M1111" s="509"/>
      <c r="N1111" s="508"/>
      <c r="O1111" s="507"/>
      <c r="P1111" s="507"/>
      <c r="Q1111" s="505"/>
      <c r="R1111" s="506"/>
      <c r="S1111" s="506"/>
      <c r="T1111" s="506"/>
      <c r="U1111" s="505"/>
      <c r="V1111" s="505"/>
      <c r="W1111" s="505"/>
      <c r="X1111" s="504"/>
      <c r="Y1111" s="503"/>
      <c r="Z1111" s="503"/>
      <c r="AA1111" s="503"/>
      <c r="AB1111" s="503"/>
      <c r="AC1111" s="503"/>
      <c r="AD1111" s="503"/>
      <c r="AE1111" s="503"/>
      <c r="AF1111" s="503"/>
    </row>
    <row r="1112" spans="1:32" ht="15.75" customHeight="1">
      <c r="A1112" s="503"/>
      <c r="B1112" s="503"/>
      <c r="C1112" s="510"/>
      <c r="D1112" s="510"/>
      <c r="E1112" s="510"/>
      <c r="F1112" s="746"/>
      <c r="G1112" s="510"/>
      <c r="H1112" s="510"/>
      <c r="I1112" s="510"/>
      <c r="J1112" s="510"/>
      <c r="K1112" s="510"/>
      <c r="L1112" s="510"/>
      <c r="M1112" s="509"/>
      <c r="N1112" s="508"/>
      <c r="O1112" s="507"/>
      <c r="P1112" s="507"/>
      <c r="Q1112" s="505"/>
      <c r="R1112" s="506"/>
      <c r="S1112" s="506"/>
      <c r="T1112" s="506"/>
      <c r="U1112" s="505"/>
      <c r="V1112" s="505"/>
      <c r="W1112" s="505"/>
      <c r="X1112" s="504"/>
      <c r="Y1112" s="503"/>
      <c r="Z1112" s="503"/>
      <c r="AA1112" s="503"/>
      <c r="AB1112" s="503"/>
      <c r="AC1112" s="503"/>
      <c r="AD1112" s="503"/>
      <c r="AE1112" s="503"/>
      <c r="AF1112" s="503"/>
    </row>
    <row r="1113" spans="1:32" ht="15.75" customHeight="1">
      <c r="A1113" s="503"/>
      <c r="B1113" s="503"/>
      <c r="C1113" s="510"/>
      <c r="D1113" s="510"/>
      <c r="E1113" s="510"/>
      <c r="F1113" s="746"/>
      <c r="G1113" s="510"/>
      <c r="H1113" s="510"/>
      <c r="I1113" s="510"/>
      <c r="J1113" s="510"/>
      <c r="K1113" s="510"/>
      <c r="L1113" s="510"/>
      <c r="M1113" s="509"/>
      <c r="N1113" s="508"/>
      <c r="O1113" s="507"/>
      <c r="P1113" s="507"/>
      <c r="Q1113" s="505"/>
      <c r="R1113" s="506"/>
      <c r="S1113" s="506"/>
      <c r="T1113" s="506"/>
      <c r="U1113" s="505"/>
      <c r="V1113" s="505"/>
      <c r="W1113" s="505"/>
      <c r="X1113" s="504"/>
      <c r="Y1113" s="503"/>
      <c r="Z1113" s="503"/>
      <c r="AA1113" s="503"/>
      <c r="AB1113" s="503"/>
      <c r="AC1113" s="503"/>
      <c r="AD1113" s="503"/>
      <c r="AE1113" s="503"/>
      <c r="AF1113" s="503"/>
    </row>
    <row r="1114" spans="1:32" ht="15.75" customHeight="1">
      <c r="A1114" s="503"/>
      <c r="B1114" s="503"/>
      <c r="C1114" s="510"/>
      <c r="D1114" s="510"/>
      <c r="E1114" s="510"/>
      <c r="F1114" s="746"/>
      <c r="G1114" s="510"/>
      <c r="H1114" s="510"/>
      <c r="I1114" s="510"/>
      <c r="J1114" s="510"/>
      <c r="K1114" s="510"/>
      <c r="L1114" s="510"/>
      <c r="M1114" s="509"/>
      <c r="N1114" s="508"/>
      <c r="O1114" s="507"/>
      <c r="P1114" s="507"/>
      <c r="Q1114" s="505"/>
      <c r="R1114" s="506"/>
      <c r="S1114" s="506"/>
      <c r="T1114" s="506"/>
      <c r="U1114" s="505"/>
      <c r="V1114" s="505"/>
      <c r="W1114" s="505"/>
      <c r="X1114" s="504"/>
      <c r="Y1114" s="503"/>
      <c r="Z1114" s="503"/>
      <c r="AA1114" s="503"/>
      <c r="AB1114" s="503"/>
      <c r="AC1114" s="503"/>
      <c r="AD1114" s="503"/>
      <c r="AE1114" s="503"/>
      <c r="AF1114" s="503"/>
    </row>
    <row r="1115" spans="1:32" ht="15.75" customHeight="1">
      <c r="A1115" s="503"/>
      <c r="B1115" s="503"/>
      <c r="C1115" s="510"/>
      <c r="D1115" s="510"/>
      <c r="E1115" s="510"/>
      <c r="F1115" s="746"/>
      <c r="G1115" s="510"/>
      <c r="H1115" s="510"/>
      <c r="I1115" s="510"/>
      <c r="J1115" s="510"/>
      <c r="K1115" s="510"/>
      <c r="L1115" s="510"/>
      <c r="M1115" s="509"/>
      <c r="N1115" s="508"/>
      <c r="O1115" s="507"/>
      <c r="P1115" s="507"/>
      <c r="Q1115" s="505"/>
      <c r="R1115" s="506"/>
      <c r="S1115" s="506"/>
      <c r="T1115" s="506"/>
      <c r="U1115" s="505"/>
      <c r="V1115" s="505"/>
      <c r="W1115" s="505"/>
      <c r="X1115" s="504"/>
      <c r="Y1115" s="503"/>
      <c r="Z1115" s="503"/>
      <c r="AA1115" s="503"/>
      <c r="AB1115" s="503"/>
      <c r="AC1115" s="503"/>
      <c r="AD1115" s="503"/>
      <c r="AE1115" s="503"/>
      <c r="AF1115" s="503"/>
    </row>
    <row r="1116" spans="1:32" ht="15.75" customHeight="1">
      <c r="A1116" s="503"/>
      <c r="B1116" s="503"/>
      <c r="C1116" s="510"/>
      <c r="D1116" s="510"/>
      <c r="E1116" s="510"/>
      <c r="F1116" s="746"/>
      <c r="G1116" s="510"/>
      <c r="H1116" s="510"/>
      <c r="I1116" s="510"/>
      <c r="J1116" s="510"/>
      <c r="K1116" s="510"/>
      <c r="L1116" s="510"/>
      <c r="M1116" s="509"/>
      <c r="N1116" s="508"/>
      <c r="O1116" s="507"/>
      <c r="P1116" s="507"/>
      <c r="Q1116" s="505"/>
      <c r="R1116" s="506"/>
      <c r="S1116" s="506"/>
      <c r="T1116" s="506"/>
      <c r="U1116" s="505"/>
      <c r="V1116" s="505"/>
      <c r="W1116" s="505"/>
      <c r="X1116" s="504"/>
      <c r="Y1116" s="503"/>
      <c r="Z1116" s="503"/>
      <c r="AA1116" s="503"/>
      <c r="AB1116" s="503"/>
      <c r="AC1116" s="503"/>
      <c r="AD1116" s="503"/>
      <c r="AE1116" s="503"/>
      <c r="AF1116" s="503"/>
    </row>
    <row r="1117" spans="1:32" ht="15.75" customHeight="1">
      <c r="A1117" s="503"/>
      <c r="B1117" s="503"/>
      <c r="C1117" s="510"/>
      <c r="D1117" s="510"/>
      <c r="E1117" s="510"/>
      <c r="F1117" s="746"/>
      <c r="G1117" s="510"/>
      <c r="H1117" s="510"/>
      <c r="I1117" s="510"/>
      <c r="J1117" s="510"/>
      <c r="K1117" s="510"/>
      <c r="L1117" s="510"/>
      <c r="M1117" s="509"/>
      <c r="N1117" s="508"/>
      <c r="O1117" s="507"/>
      <c r="P1117" s="507"/>
      <c r="Q1117" s="505"/>
      <c r="R1117" s="506"/>
      <c r="S1117" s="506"/>
      <c r="T1117" s="506"/>
      <c r="U1117" s="505"/>
      <c r="V1117" s="505"/>
      <c r="W1117" s="505"/>
      <c r="X1117" s="504"/>
      <c r="Y1117" s="503"/>
      <c r="Z1117" s="503"/>
      <c r="AA1117" s="503"/>
      <c r="AB1117" s="503"/>
      <c r="AC1117" s="503"/>
      <c r="AD1117" s="503"/>
      <c r="AE1117" s="503"/>
      <c r="AF1117" s="503"/>
    </row>
    <row r="1118" spans="1:32" ht="15.75" customHeight="1">
      <c r="A1118" s="503"/>
      <c r="B1118" s="503"/>
      <c r="C1118" s="510"/>
      <c r="D1118" s="510"/>
      <c r="E1118" s="510"/>
      <c r="F1118" s="746"/>
      <c r="G1118" s="510"/>
      <c r="H1118" s="510"/>
      <c r="I1118" s="510"/>
      <c r="J1118" s="510"/>
      <c r="K1118" s="510"/>
      <c r="L1118" s="510"/>
      <c r="M1118" s="509"/>
      <c r="N1118" s="508"/>
      <c r="O1118" s="507"/>
      <c r="P1118" s="507"/>
      <c r="Q1118" s="505"/>
      <c r="R1118" s="506"/>
      <c r="S1118" s="506"/>
      <c r="T1118" s="506"/>
      <c r="U1118" s="505"/>
      <c r="V1118" s="505"/>
      <c r="W1118" s="505"/>
      <c r="X1118" s="504"/>
      <c r="Y1118" s="503"/>
      <c r="Z1118" s="503"/>
      <c r="AA1118" s="503"/>
      <c r="AB1118" s="503"/>
      <c r="AC1118" s="503"/>
      <c r="AD1118" s="503"/>
      <c r="AE1118" s="503"/>
      <c r="AF1118" s="503"/>
    </row>
    <row r="1119" spans="1:32" ht="15.75" customHeight="1">
      <c r="A1119" s="503"/>
      <c r="B1119" s="503"/>
      <c r="C1119" s="510"/>
      <c r="D1119" s="510"/>
      <c r="E1119" s="510"/>
      <c r="F1119" s="746"/>
      <c r="G1119" s="510"/>
      <c r="H1119" s="510"/>
      <c r="I1119" s="510"/>
      <c r="J1119" s="510"/>
      <c r="K1119" s="510"/>
      <c r="L1119" s="510"/>
      <c r="M1119" s="509"/>
      <c r="N1119" s="508"/>
      <c r="O1119" s="507"/>
      <c r="P1119" s="507"/>
      <c r="Q1119" s="505"/>
      <c r="R1119" s="506"/>
      <c r="S1119" s="506"/>
      <c r="T1119" s="506"/>
      <c r="U1119" s="505"/>
      <c r="V1119" s="505"/>
      <c r="W1119" s="505"/>
      <c r="X1119" s="504"/>
      <c r="Y1119" s="503"/>
      <c r="Z1119" s="503"/>
      <c r="AA1119" s="503"/>
      <c r="AB1119" s="503"/>
      <c r="AC1119" s="503"/>
      <c r="AD1119" s="503"/>
      <c r="AE1119" s="503"/>
      <c r="AF1119" s="503"/>
    </row>
    <row r="1120" spans="1:32" ht="15.75" customHeight="1">
      <c r="A1120" s="503"/>
      <c r="B1120" s="503"/>
      <c r="C1120" s="510"/>
      <c r="D1120" s="510"/>
      <c r="E1120" s="510"/>
      <c r="F1120" s="746"/>
      <c r="G1120" s="510"/>
      <c r="H1120" s="510"/>
      <c r="I1120" s="510"/>
      <c r="J1120" s="510"/>
      <c r="K1120" s="510"/>
      <c r="L1120" s="510"/>
      <c r="M1120" s="509"/>
      <c r="N1120" s="508"/>
      <c r="O1120" s="507"/>
      <c r="P1120" s="507"/>
      <c r="Q1120" s="505"/>
      <c r="R1120" s="506"/>
      <c r="S1120" s="506"/>
      <c r="T1120" s="506"/>
      <c r="U1120" s="505"/>
      <c r="V1120" s="505"/>
      <c r="W1120" s="505"/>
      <c r="X1120" s="504"/>
      <c r="Y1120" s="503"/>
      <c r="Z1120" s="503"/>
      <c r="AA1120" s="503"/>
      <c r="AB1120" s="503"/>
      <c r="AC1120" s="503"/>
      <c r="AD1120" s="503"/>
      <c r="AE1120" s="503"/>
      <c r="AF1120" s="503"/>
    </row>
    <row r="1121" spans="1:32" ht="15.75" customHeight="1">
      <c r="A1121" s="503"/>
      <c r="B1121" s="503"/>
      <c r="C1121" s="510"/>
      <c r="D1121" s="510"/>
      <c r="E1121" s="510"/>
      <c r="F1121" s="746"/>
      <c r="G1121" s="510"/>
      <c r="H1121" s="510"/>
      <c r="I1121" s="510"/>
      <c r="J1121" s="510"/>
      <c r="K1121" s="510"/>
      <c r="L1121" s="510"/>
      <c r="M1121" s="509"/>
      <c r="N1121" s="508"/>
      <c r="O1121" s="507"/>
      <c r="P1121" s="507"/>
      <c r="Q1121" s="505"/>
      <c r="R1121" s="506"/>
      <c r="S1121" s="506"/>
      <c r="T1121" s="506"/>
      <c r="U1121" s="505"/>
      <c r="V1121" s="505"/>
      <c r="W1121" s="505"/>
      <c r="X1121" s="504"/>
      <c r="Y1121" s="503"/>
      <c r="Z1121" s="503"/>
      <c r="AA1121" s="503"/>
      <c r="AB1121" s="503"/>
      <c r="AC1121" s="503"/>
      <c r="AD1121" s="503"/>
      <c r="AE1121" s="503"/>
      <c r="AF1121" s="503"/>
    </row>
    <row r="1122" spans="1:32" ht="15.75" customHeight="1">
      <c r="A1122" s="503"/>
      <c r="B1122" s="503"/>
      <c r="C1122" s="510"/>
      <c r="D1122" s="510"/>
      <c r="E1122" s="510"/>
      <c r="F1122" s="746"/>
      <c r="G1122" s="510"/>
      <c r="H1122" s="510"/>
      <c r="I1122" s="510"/>
      <c r="J1122" s="510"/>
      <c r="K1122" s="510"/>
      <c r="L1122" s="510"/>
      <c r="M1122" s="509"/>
      <c r="N1122" s="508"/>
      <c r="O1122" s="507"/>
      <c r="P1122" s="507"/>
      <c r="Q1122" s="505"/>
      <c r="R1122" s="506"/>
      <c r="S1122" s="506"/>
      <c r="T1122" s="506"/>
      <c r="U1122" s="505"/>
      <c r="V1122" s="505"/>
      <c r="W1122" s="505"/>
      <c r="X1122" s="504"/>
      <c r="Y1122" s="503"/>
      <c r="Z1122" s="503"/>
      <c r="AA1122" s="503"/>
      <c r="AB1122" s="503"/>
      <c r="AC1122" s="503"/>
      <c r="AD1122" s="503"/>
      <c r="AE1122" s="503"/>
      <c r="AF1122" s="503"/>
    </row>
    <row r="1123" spans="1:32" ht="15.75" customHeight="1">
      <c r="A1123" s="503"/>
      <c r="B1123" s="503"/>
      <c r="C1123" s="510"/>
      <c r="D1123" s="510"/>
      <c r="E1123" s="510"/>
      <c r="F1123" s="746"/>
      <c r="G1123" s="510"/>
      <c r="H1123" s="510"/>
      <c r="I1123" s="510"/>
      <c r="J1123" s="510"/>
      <c r="K1123" s="510"/>
      <c r="L1123" s="510"/>
      <c r="M1123" s="509"/>
      <c r="N1123" s="508"/>
      <c r="O1123" s="507"/>
      <c r="P1123" s="507"/>
      <c r="Q1123" s="505"/>
      <c r="R1123" s="506"/>
      <c r="S1123" s="506"/>
      <c r="T1123" s="506"/>
      <c r="U1123" s="505"/>
      <c r="V1123" s="505"/>
      <c r="W1123" s="505"/>
      <c r="X1123" s="504"/>
      <c r="Y1123" s="503"/>
      <c r="Z1123" s="503"/>
      <c r="AA1123" s="503"/>
      <c r="AB1123" s="503"/>
      <c r="AC1123" s="503"/>
      <c r="AD1123" s="503"/>
      <c r="AE1123" s="503"/>
      <c r="AF1123" s="503"/>
    </row>
    <row r="1124" spans="1:32" ht="15.75" customHeight="1">
      <c r="A1124" s="503"/>
      <c r="B1124" s="503"/>
      <c r="C1124" s="510"/>
      <c r="D1124" s="510"/>
      <c r="E1124" s="510"/>
      <c r="F1124" s="746"/>
      <c r="G1124" s="510"/>
      <c r="H1124" s="510"/>
      <c r="I1124" s="510"/>
      <c r="J1124" s="510"/>
      <c r="K1124" s="510"/>
      <c r="L1124" s="510"/>
      <c r="M1124" s="509"/>
      <c r="N1124" s="508"/>
      <c r="O1124" s="507"/>
      <c r="P1124" s="507"/>
      <c r="Q1124" s="505"/>
      <c r="R1124" s="506"/>
      <c r="S1124" s="506"/>
      <c r="T1124" s="506"/>
      <c r="U1124" s="505"/>
      <c r="V1124" s="505"/>
      <c r="W1124" s="505"/>
      <c r="X1124" s="504"/>
      <c r="Y1124" s="503"/>
      <c r="Z1124" s="503"/>
      <c r="AA1124" s="503"/>
      <c r="AB1124" s="503"/>
      <c r="AC1124" s="503"/>
      <c r="AD1124" s="503"/>
      <c r="AE1124" s="503"/>
      <c r="AF1124" s="503"/>
    </row>
    <row r="1125" spans="1:32" ht="15.75" customHeight="1">
      <c r="A1125" s="503"/>
      <c r="B1125" s="503"/>
      <c r="C1125" s="510"/>
      <c r="D1125" s="510"/>
      <c r="E1125" s="510"/>
      <c r="F1125" s="746"/>
      <c r="G1125" s="510"/>
      <c r="H1125" s="510"/>
      <c r="I1125" s="510"/>
      <c r="J1125" s="510"/>
      <c r="K1125" s="510"/>
      <c r="L1125" s="510"/>
      <c r="M1125" s="509"/>
      <c r="N1125" s="508"/>
      <c r="O1125" s="507"/>
      <c r="P1125" s="507"/>
      <c r="Q1125" s="505"/>
      <c r="R1125" s="506"/>
      <c r="S1125" s="506"/>
      <c r="T1125" s="506"/>
      <c r="U1125" s="505"/>
      <c r="V1125" s="505"/>
      <c r="W1125" s="505"/>
      <c r="X1125" s="504"/>
      <c r="Y1125" s="503"/>
      <c r="Z1125" s="503"/>
      <c r="AA1125" s="503"/>
      <c r="AB1125" s="503"/>
      <c r="AC1125" s="503"/>
      <c r="AD1125" s="503"/>
      <c r="AE1125" s="503"/>
      <c r="AF1125" s="503"/>
    </row>
    <row r="1126" spans="1:32" ht="15.75" customHeight="1">
      <c r="A1126" s="503"/>
      <c r="B1126" s="503"/>
      <c r="C1126" s="510"/>
      <c r="D1126" s="510"/>
      <c r="E1126" s="510"/>
      <c r="F1126" s="746"/>
      <c r="G1126" s="510"/>
      <c r="H1126" s="510"/>
      <c r="I1126" s="510"/>
      <c r="J1126" s="510"/>
      <c r="K1126" s="510"/>
      <c r="L1126" s="510"/>
      <c r="M1126" s="509"/>
      <c r="N1126" s="508"/>
      <c r="O1126" s="507"/>
      <c r="P1126" s="507"/>
      <c r="Q1126" s="505"/>
      <c r="R1126" s="506"/>
      <c r="S1126" s="506"/>
      <c r="T1126" s="506"/>
      <c r="U1126" s="505"/>
      <c r="V1126" s="505"/>
      <c r="W1126" s="505"/>
      <c r="X1126" s="504"/>
      <c r="Y1126" s="503"/>
      <c r="Z1126" s="503"/>
      <c r="AA1126" s="503"/>
      <c r="AB1126" s="503"/>
      <c r="AC1126" s="503"/>
      <c r="AD1126" s="503"/>
      <c r="AE1126" s="503"/>
      <c r="AF1126" s="503"/>
    </row>
    <row r="1127" spans="1:32" ht="15.75" customHeight="1">
      <c r="A1127" s="503"/>
      <c r="B1127" s="503"/>
      <c r="C1127" s="510"/>
      <c r="D1127" s="510"/>
      <c r="E1127" s="510"/>
      <c r="F1127" s="746"/>
      <c r="G1127" s="510"/>
      <c r="H1127" s="510"/>
      <c r="I1127" s="510"/>
      <c r="J1127" s="510"/>
      <c r="K1127" s="510"/>
      <c r="L1127" s="510"/>
      <c r="M1127" s="509"/>
      <c r="N1127" s="508"/>
      <c r="O1127" s="507"/>
      <c r="P1127" s="507"/>
      <c r="Q1127" s="505"/>
      <c r="R1127" s="506"/>
      <c r="S1127" s="506"/>
      <c r="T1127" s="506"/>
      <c r="U1127" s="505"/>
      <c r="V1127" s="505"/>
      <c r="W1127" s="505"/>
      <c r="X1127" s="504"/>
      <c r="Y1127" s="503"/>
      <c r="Z1127" s="503"/>
      <c r="AA1127" s="503"/>
      <c r="AB1127" s="503"/>
      <c r="AC1127" s="503"/>
      <c r="AD1127" s="503"/>
      <c r="AE1127" s="503"/>
      <c r="AF1127" s="503"/>
    </row>
    <row r="1128" spans="1:32" ht="15.75" customHeight="1">
      <c r="A1128" s="503"/>
      <c r="B1128" s="503"/>
      <c r="C1128" s="510"/>
      <c r="D1128" s="510"/>
      <c r="E1128" s="510"/>
      <c r="F1128" s="746"/>
      <c r="G1128" s="510"/>
      <c r="H1128" s="510"/>
      <c r="I1128" s="510"/>
      <c r="J1128" s="510"/>
      <c r="K1128" s="510"/>
      <c r="L1128" s="510"/>
      <c r="M1128" s="509"/>
      <c r="N1128" s="508"/>
      <c r="O1128" s="507"/>
      <c r="P1128" s="507"/>
      <c r="Q1128" s="505"/>
      <c r="R1128" s="506"/>
      <c r="S1128" s="506"/>
      <c r="T1128" s="506"/>
      <c r="U1128" s="505"/>
      <c r="V1128" s="505"/>
      <c r="W1128" s="505"/>
      <c r="X1128" s="504"/>
      <c r="Y1128" s="503"/>
      <c r="Z1128" s="503"/>
      <c r="AA1128" s="503"/>
      <c r="AB1128" s="503"/>
      <c r="AC1128" s="503"/>
      <c r="AD1128" s="503"/>
      <c r="AE1128" s="503"/>
      <c r="AF1128" s="503"/>
    </row>
    <row r="1129" spans="1:32" ht="15.75" customHeight="1">
      <c r="A1129" s="503"/>
      <c r="B1129" s="503"/>
      <c r="C1129" s="510"/>
      <c r="D1129" s="510"/>
      <c r="E1129" s="510"/>
      <c r="F1129" s="746"/>
      <c r="G1129" s="510"/>
      <c r="H1129" s="510"/>
      <c r="I1129" s="510"/>
      <c r="J1129" s="510"/>
      <c r="K1129" s="510"/>
      <c r="L1129" s="510"/>
      <c r="M1129" s="509"/>
      <c r="N1129" s="508"/>
      <c r="O1129" s="507"/>
      <c r="P1129" s="507"/>
      <c r="Q1129" s="505"/>
      <c r="R1129" s="506"/>
      <c r="S1129" s="506"/>
      <c r="T1129" s="506"/>
      <c r="U1129" s="505"/>
      <c r="V1129" s="505"/>
      <c r="W1129" s="505"/>
      <c r="X1129" s="504"/>
      <c r="Y1129" s="503"/>
      <c r="Z1129" s="503"/>
      <c r="AA1129" s="503"/>
      <c r="AB1129" s="503"/>
      <c r="AC1129" s="503"/>
      <c r="AD1129" s="503"/>
      <c r="AE1129" s="503"/>
      <c r="AF1129" s="503"/>
    </row>
    <row r="1130" spans="1:32" ht="15.75" customHeight="1">
      <c r="A1130" s="503"/>
      <c r="B1130" s="503"/>
      <c r="C1130" s="510"/>
      <c r="D1130" s="510"/>
      <c r="E1130" s="510"/>
      <c r="F1130" s="746"/>
      <c r="G1130" s="510"/>
      <c r="H1130" s="510"/>
      <c r="I1130" s="510"/>
      <c r="J1130" s="510"/>
      <c r="K1130" s="510"/>
      <c r="L1130" s="510"/>
      <c r="M1130" s="509"/>
      <c r="N1130" s="508"/>
      <c r="O1130" s="507"/>
      <c r="P1130" s="507"/>
      <c r="Q1130" s="505"/>
      <c r="R1130" s="506"/>
      <c r="S1130" s="506"/>
      <c r="T1130" s="506"/>
      <c r="U1130" s="505"/>
      <c r="V1130" s="505"/>
      <c r="W1130" s="505"/>
      <c r="X1130" s="504"/>
      <c r="Y1130" s="503"/>
      <c r="Z1130" s="503"/>
      <c r="AA1130" s="503"/>
      <c r="AB1130" s="503"/>
      <c r="AC1130" s="503"/>
      <c r="AD1130" s="503"/>
      <c r="AE1130" s="503"/>
      <c r="AF1130" s="503"/>
    </row>
    <row r="1131" spans="1:32" ht="15.75" customHeight="1">
      <c r="A1131" s="503"/>
      <c r="B1131" s="503"/>
      <c r="C1131" s="510"/>
      <c r="D1131" s="510"/>
      <c r="E1131" s="510"/>
      <c r="F1131" s="746"/>
      <c r="G1131" s="510"/>
      <c r="H1131" s="510"/>
      <c r="I1131" s="510"/>
      <c r="J1131" s="510"/>
      <c r="K1131" s="510"/>
      <c r="L1131" s="510"/>
      <c r="M1131" s="509"/>
      <c r="N1131" s="508"/>
      <c r="O1131" s="507"/>
      <c r="P1131" s="507"/>
      <c r="Q1131" s="505"/>
      <c r="R1131" s="506"/>
      <c r="S1131" s="506"/>
      <c r="T1131" s="506"/>
      <c r="U1131" s="505"/>
      <c r="V1131" s="505"/>
      <c r="W1131" s="505"/>
      <c r="X1131" s="504"/>
      <c r="Y1131" s="503"/>
      <c r="Z1131" s="503"/>
      <c r="AA1131" s="503"/>
      <c r="AB1131" s="503"/>
      <c r="AC1131" s="503"/>
      <c r="AD1131" s="503"/>
      <c r="AE1131" s="503"/>
      <c r="AF1131" s="503"/>
    </row>
    <row r="1132" spans="1:32" ht="15.75" customHeight="1">
      <c r="A1132" s="503"/>
      <c r="B1132" s="503"/>
      <c r="C1132" s="510"/>
      <c r="D1132" s="510"/>
      <c r="E1132" s="510"/>
      <c r="F1132" s="746"/>
      <c r="G1132" s="510"/>
      <c r="H1132" s="510"/>
      <c r="I1132" s="510"/>
      <c r="J1132" s="510"/>
      <c r="K1132" s="510"/>
      <c r="L1132" s="510"/>
      <c r="M1132" s="509"/>
      <c r="N1132" s="508"/>
      <c r="O1132" s="507"/>
      <c r="P1132" s="507"/>
      <c r="Q1132" s="505"/>
      <c r="R1132" s="506"/>
      <c r="S1132" s="506"/>
      <c r="T1132" s="506"/>
      <c r="U1132" s="505"/>
      <c r="V1132" s="505"/>
      <c r="W1132" s="505"/>
      <c r="X1132" s="504"/>
      <c r="Y1132" s="503"/>
      <c r="Z1132" s="503"/>
      <c r="AA1132" s="503"/>
      <c r="AB1132" s="503"/>
      <c r="AC1132" s="503"/>
      <c r="AD1132" s="503"/>
      <c r="AE1132" s="503"/>
      <c r="AF1132" s="503"/>
    </row>
    <row r="1133" spans="1:32" ht="15.75" customHeight="1">
      <c r="A1133" s="503"/>
      <c r="B1133" s="503"/>
      <c r="C1133" s="510"/>
      <c r="D1133" s="510"/>
      <c r="E1133" s="510"/>
      <c r="F1133" s="746"/>
      <c r="G1133" s="510"/>
      <c r="H1133" s="510"/>
      <c r="I1133" s="510"/>
      <c r="J1133" s="510"/>
      <c r="K1133" s="510"/>
      <c r="L1133" s="510"/>
      <c r="M1133" s="509"/>
      <c r="N1133" s="508"/>
      <c r="O1133" s="507"/>
      <c r="P1133" s="507"/>
      <c r="Q1133" s="505"/>
      <c r="R1133" s="506"/>
      <c r="S1133" s="506"/>
      <c r="T1133" s="506"/>
      <c r="U1133" s="505"/>
      <c r="V1133" s="505"/>
      <c r="W1133" s="505"/>
      <c r="X1133" s="504"/>
      <c r="Y1133" s="503"/>
      <c r="Z1133" s="503"/>
      <c r="AA1133" s="503"/>
      <c r="AB1133" s="503"/>
      <c r="AC1133" s="503"/>
      <c r="AD1133" s="503"/>
      <c r="AE1133" s="503"/>
      <c r="AF1133" s="503"/>
    </row>
    <row r="1134" spans="1:32" ht="15.75" customHeight="1">
      <c r="A1134" s="503"/>
      <c r="B1134" s="503"/>
      <c r="C1134" s="510"/>
      <c r="D1134" s="510"/>
      <c r="E1134" s="510"/>
      <c r="F1134" s="746"/>
      <c r="G1134" s="510"/>
      <c r="H1134" s="510"/>
      <c r="I1134" s="510"/>
      <c r="J1134" s="510"/>
      <c r="K1134" s="510"/>
      <c r="L1134" s="510"/>
      <c r="M1134" s="509"/>
      <c r="N1134" s="508"/>
      <c r="O1134" s="507"/>
      <c r="P1134" s="507"/>
      <c r="Q1134" s="505"/>
      <c r="R1134" s="506"/>
      <c r="S1134" s="506"/>
      <c r="T1134" s="506"/>
      <c r="U1134" s="505"/>
      <c r="V1134" s="505"/>
      <c r="W1134" s="505"/>
      <c r="X1134" s="504"/>
      <c r="Y1134" s="503"/>
      <c r="Z1134" s="503"/>
      <c r="AA1134" s="503"/>
      <c r="AB1134" s="503"/>
      <c r="AC1134" s="503"/>
      <c r="AD1134" s="503"/>
      <c r="AE1134" s="503"/>
      <c r="AF1134" s="503"/>
    </row>
    <row r="1135" spans="1:32" ht="15.75" customHeight="1">
      <c r="A1135" s="503"/>
      <c r="B1135" s="503"/>
      <c r="C1135" s="510"/>
      <c r="D1135" s="510"/>
      <c r="E1135" s="510"/>
      <c r="F1135" s="746"/>
      <c r="G1135" s="510"/>
      <c r="H1135" s="510"/>
      <c r="I1135" s="510"/>
      <c r="J1135" s="510"/>
      <c r="K1135" s="510"/>
      <c r="L1135" s="510"/>
      <c r="M1135" s="509"/>
      <c r="N1135" s="508"/>
      <c r="O1135" s="507"/>
      <c r="P1135" s="507"/>
      <c r="Q1135" s="505"/>
      <c r="R1135" s="506"/>
      <c r="S1135" s="506"/>
      <c r="T1135" s="506"/>
      <c r="U1135" s="505"/>
      <c r="V1135" s="505"/>
      <c r="W1135" s="505"/>
      <c r="X1135" s="504"/>
      <c r="Y1135" s="503"/>
      <c r="Z1135" s="503"/>
      <c r="AA1135" s="503"/>
      <c r="AB1135" s="503"/>
      <c r="AC1135" s="503"/>
      <c r="AD1135" s="503"/>
      <c r="AE1135" s="503"/>
      <c r="AF1135" s="503"/>
    </row>
    <row r="1136" spans="1:32" ht="15.75" customHeight="1">
      <c r="A1136" s="503"/>
      <c r="B1136" s="503"/>
      <c r="C1136" s="510"/>
      <c r="D1136" s="510"/>
      <c r="E1136" s="510"/>
      <c r="F1136" s="746"/>
      <c r="G1136" s="510"/>
      <c r="H1136" s="510"/>
      <c r="I1136" s="510"/>
      <c r="J1136" s="510"/>
      <c r="K1136" s="510"/>
      <c r="L1136" s="510"/>
      <c r="M1136" s="509"/>
      <c r="N1136" s="508"/>
      <c r="O1136" s="507"/>
      <c r="P1136" s="507"/>
      <c r="Q1136" s="505"/>
      <c r="R1136" s="506"/>
      <c r="S1136" s="506"/>
      <c r="T1136" s="506"/>
      <c r="U1136" s="505"/>
      <c r="V1136" s="505"/>
      <c r="W1136" s="505"/>
      <c r="X1136" s="504"/>
      <c r="Y1136" s="503"/>
      <c r="Z1136" s="503"/>
      <c r="AA1136" s="503"/>
      <c r="AB1136" s="503"/>
      <c r="AC1136" s="503"/>
      <c r="AD1136" s="503"/>
      <c r="AE1136" s="503"/>
      <c r="AF1136" s="503"/>
    </row>
    <row r="1137" spans="1:32" ht="15.75" customHeight="1">
      <c r="A1137" s="503"/>
      <c r="B1137" s="503"/>
      <c r="C1137" s="510"/>
      <c r="D1137" s="510"/>
      <c r="E1137" s="510"/>
      <c r="F1137" s="746"/>
      <c r="G1137" s="510"/>
      <c r="H1137" s="510"/>
      <c r="I1137" s="510"/>
      <c r="J1137" s="510"/>
      <c r="K1137" s="510"/>
      <c r="L1137" s="510"/>
      <c r="M1137" s="509"/>
      <c r="N1137" s="508"/>
      <c r="O1137" s="507"/>
      <c r="P1137" s="507"/>
      <c r="Q1137" s="505"/>
      <c r="R1137" s="506"/>
      <c r="S1137" s="506"/>
      <c r="T1137" s="506"/>
      <c r="U1137" s="505"/>
      <c r="V1137" s="505"/>
      <c r="W1137" s="505"/>
      <c r="X1137" s="504"/>
      <c r="Y1137" s="503"/>
      <c r="Z1137" s="503"/>
      <c r="AA1137" s="503"/>
      <c r="AB1137" s="503"/>
      <c r="AC1137" s="503"/>
      <c r="AD1137" s="503"/>
      <c r="AE1137" s="503"/>
      <c r="AF1137" s="503"/>
    </row>
    <row r="1138" spans="1:32" ht="15.75" customHeight="1">
      <c r="A1138" s="503"/>
      <c r="B1138" s="503"/>
      <c r="C1138" s="510"/>
      <c r="D1138" s="510"/>
      <c r="E1138" s="510"/>
      <c r="F1138" s="746"/>
      <c r="G1138" s="510"/>
      <c r="H1138" s="510"/>
      <c r="I1138" s="510"/>
      <c r="J1138" s="510"/>
      <c r="K1138" s="510"/>
      <c r="L1138" s="510"/>
      <c r="M1138" s="509"/>
      <c r="N1138" s="508"/>
      <c r="O1138" s="507"/>
      <c r="P1138" s="507"/>
      <c r="Q1138" s="505"/>
      <c r="R1138" s="506"/>
      <c r="S1138" s="506"/>
      <c r="T1138" s="506"/>
      <c r="U1138" s="505"/>
      <c r="V1138" s="505"/>
      <c r="W1138" s="505"/>
      <c r="X1138" s="504"/>
      <c r="Y1138" s="503"/>
      <c r="Z1138" s="503"/>
      <c r="AA1138" s="503"/>
      <c r="AB1138" s="503"/>
      <c r="AC1138" s="503"/>
      <c r="AD1138" s="503"/>
      <c r="AE1138" s="503"/>
      <c r="AF1138" s="503"/>
    </row>
    <row r="1139" spans="1:32" ht="15.75" customHeight="1">
      <c r="A1139" s="503"/>
      <c r="B1139" s="503"/>
      <c r="C1139" s="510"/>
      <c r="D1139" s="510"/>
      <c r="E1139" s="510"/>
      <c r="F1139" s="746"/>
      <c r="G1139" s="510"/>
      <c r="H1139" s="510"/>
      <c r="I1139" s="510"/>
      <c r="J1139" s="510"/>
      <c r="K1139" s="510"/>
      <c r="L1139" s="510"/>
      <c r="M1139" s="509"/>
      <c r="N1139" s="508"/>
      <c r="O1139" s="507"/>
      <c r="P1139" s="507"/>
      <c r="Q1139" s="505"/>
      <c r="R1139" s="506"/>
      <c r="S1139" s="506"/>
      <c r="T1139" s="506"/>
      <c r="U1139" s="505"/>
      <c r="V1139" s="505"/>
      <c r="W1139" s="505"/>
      <c r="X1139" s="504"/>
      <c r="Y1139" s="503"/>
      <c r="Z1139" s="503"/>
      <c r="AA1139" s="503"/>
      <c r="AB1139" s="503"/>
      <c r="AC1139" s="503"/>
      <c r="AD1139" s="503"/>
      <c r="AE1139" s="503"/>
      <c r="AF1139" s="503"/>
    </row>
    <row r="1140" spans="1:32" ht="15.75" customHeight="1">
      <c r="A1140" s="503"/>
      <c r="B1140" s="503"/>
      <c r="C1140" s="510"/>
      <c r="D1140" s="510"/>
      <c r="E1140" s="510"/>
      <c r="F1140" s="746"/>
      <c r="G1140" s="510"/>
      <c r="H1140" s="510"/>
      <c r="I1140" s="510"/>
      <c r="J1140" s="510"/>
      <c r="K1140" s="510"/>
      <c r="L1140" s="510"/>
      <c r="M1140" s="509"/>
      <c r="N1140" s="508"/>
      <c r="O1140" s="507"/>
      <c r="P1140" s="507"/>
      <c r="Q1140" s="505"/>
      <c r="R1140" s="506"/>
      <c r="S1140" s="506"/>
      <c r="T1140" s="506"/>
      <c r="U1140" s="505"/>
      <c r="V1140" s="505"/>
      <c r="W1140" s="505"/>
      <c r="X1140" s="504"/>
      <c r="Y1140" s="503"/>
      <c r="Z1140" s="503"/>
      <c r="AA1140" s="503"/>
      <c r="AB1140" s="503"/>
      <c r="AC1140" s="503"/>
      <c r="AD1140" s="503"/>
      <c r="AE1140" s="503"/>
      <c r="AF1140" s="503"/>
    </row>
    <row r="1141" spans="1:32" ht="15.75" customHeight="1">
      <c r="A1141" s="503"/>
      <c r="B1141" s="503"/>
      <c r="C1141" s="510"/>
      <c r="D1141" s="510"/>
      <c r="E1141" s="510"/>
      <c r="F1141" s="746"/>
      <c r="G1141" s="510"/>
      <c r="H1141" s="510"/>
      <c r="I1141" s="510"/>
      <c r="J1141" s="510"/>
      <c r="K1141" s="510"/>
      <c r="L1141" s="510"/>
      <c r="M1141" s="509"/>
      <c r="N1141" s="508"/>
      <c r="O1141" s="507"/>
      <c r="P1141" s="507"/>
      <c r="Q1141" s="505"/>
      <c r="R1141" s="506"/>
      <c r="S1141" s="506"/>
      <c r="T1141" s="506"/>
      <c r="U1141" s="505"/>
      <c r="V1141" s="505"/>
      <c r="W1141" s="505"/>
      <c r="X1141" s="504"/>
      <c r="Y1141" s="503"/>
      <c r="Z1141" s="503"/>
      <c r="AA1141" s="503"/>
      <c r="AB1141" s="503"/>
      <c r="AC1141" s="503"/>
      <c r="AD1141" s="503"/>
      <c r="AE1141" s="503"/>
      <c r="AF1141" s="503"/>
    </row>
    <row r="1142" spans="1:32" ht="15.75" customHeight="1">
      <c r="A1142" s="503"/>
      <c r="B1142" s="503"/>
      <c r="C1142" s="510"/>
      <c r="D1142" s="510"/>
      <c r="E1142" s="510"/>
      <c r="F1142" s="746"/>
      <c r="G1142" s="510"/>
      <c r="H1142" s="510"/>
      <c r="I1142" s="510"/>
      <c r="J1142" s="510"/>
      <c r="K1142" s="510"/>
      <c r="L1142" s="510"/>
      <c r="M1142" s="509"/>
      <c r="N1142" s="508"/>
      <c r="O1142" s="507"/>
      <c r="P1142" s="507"/>
      <c r="Q1142" s="505"/>
      <c r="R1142" s="506"/>
      <c r="S1142" s="506"/>
      <c r="T1142" s="506"/>
      <c r="U1142" s="505"/>
      <c r="V1142" s="505"/>
      <c r="W1142" s="505"/>
      <c r="X1142" s="504"/>
      <c r="Y1142" s="503"/>
      <c r="Z1142" s="503"/>
      <c r="AA1142" s="503"/>
      <c r="AB1142" s="503"/>
      <c r="AC1142" s="503"/>
      <c r="AD1142" s="503"/>
      <c r="AE1142" s="503"/>
      <c r="AF1142" s="503"/>
    </row>
    <row r="1143" spans="1:32" ht="15.75" customHeight="1">
      <c r="A1143" s="503"/>
      <c r="B1143" s="503"/>
      <c r="C1143" s="510"/>
      <c r="D1143" s="510"/>
      <c r="E1143" s="510"/>
      <c r="F1143" s="746"/>
      <c r="G1143" s="510"/>
      <c r="H1143" s="510"/>
      <c r="I1143" s="510"/>
      <c r="J1143" s="510"/>
      <c r="K1143" s="510"/>
      <c r="L1143" s="510"/>
      <c r="M1143" s="509"/>
      <c r="N1143" s="508"/>
      <c r="O1143" s="507"/>
      <c r="P1143" s="507"/>
      <c r="Q1143" s="505"/>
      <c r="R1143" s="506"/>
      <c r="S1143" s="506"/>
      <c r="T1143" s="506"/>
      <c r="U1143" s="505"/>
      <c r="V1143" s="505"/>
      <c r="W1143" s="505"/>
      <c r="X1143" s="504"/>
      <c r="Y1143" s="503"/>
      <c r="Z1143" s="503"/>
      <c r="AA1143" s="503"/>
      <c r="AB1143" s="503"/>
      <c r="AC1143" s="503"/>
      <c r="AD1143" s="503"/>
      <c r="AE1143" s="503"/>
      <c r="AF1143" s="503"/>
    </row>
    <row r="1144" spans="1:32" ht="15.75" customHeight="1">
      <c r="A1144" s="503"/>
      <c r="B1144" s="503"/>
      <c r="C1144" s="510"/>
      <c r="D1144" s="510"/>
      <c r="E1144" s="510"/>
      <c r="F1144" s="746"/>
      <c r="G1144" s="510"/>
      <c r="H1144" s="510"/>
      <c r="I1144" s="510"/>
      <c r="J1144" s="510"/>
      <c r="K1144" s="510"/>
      <c r="L1144" s="510"/>
      <c r="M1144" s="509"/>
      <c r="N1144" s="508"/>
      <c r="O1144" s="507"/>
      <c r="P1144" s="507"/>
      <c r="Q1144" s="505"/>
      <c r="R1144" s="506"/>
      <c r="S1144" s="506"/>
      <c r="T1144" s="506"/>
      <c r="U1144" s="505"/>
      <c r="V1144" s="505"/>
      <c r="W1144" s="505"/>
      <c r="X1144" s="504"/>
      <c r="Y1144" s="503"/>
      <c r="Z1144" s="503"/>
      <c r="AA1144" s="503"/>
      <c r="AB1144" s="503"/>
      <c r="AC1144" s="503"/>
      <c r="AD1144" s="503"/>
      <c r="AE1144" s="503"/>
      <c r="AF1144" s="503"/>
    </row>
    <row r="1145" spans="1:32" ht="15.75" customHeight="1">
      <c r="A1145" s="503"/>
      <c r="B1145" s="503"/>
      <c r="C1145" s="510"/>
      <c r="D1145" s="510"/>
      <c r="E1145" s="510"/>
      <c r="F1145" s="746"/>
      <c r="G1145" s="510"/>
      <c r="H1145" s="510"/>
      <c r="I1145" s="510"/>
      <c r="J1145" s="510"/>
      <c r="K1145" s="510"/>
      <c r="L1145" s="510"/>
      <c r="M1145" s="509"/>
      <c r="N1145" s="508"/>
      <c r="O1145" s="507"/>
      <c r="P1145" s="507"/>
      <c r="Q1145" s="505"/>
      <c r="R1145" s="506"/>
      <c r="S1145" s="506"/>
      <c r="T1145" s="506"/>
      <c r="U1145" s="505"/>
      <c r="V1145" s="505"/>
      <c r="W1145" s="505"/>
      <c r="X1145" s="504"/>
      <c r="Y1145" s="503"/>
      <c r="Z1145" s="503"/>
      <c r="AA1145" s="503"/>
      <c r="AB1145" s="503"/>
      <c r="AC1145" s="503"/>
      <c r="AD1145" s="503"/>
      <c r="AE1145" s="503"/>
      <c r="AF1145" s="503"/>
    </row>
    <row r="1146" spans="1:32" ht="15.75" customHeight="1">
      <c r="A1146" s="503"/>
      <c r="B1146" s="503"/>
      <c r="C1146" s="510"/>
      <c r="D1146" s="510"/>
      <c r="E1146" s="510"/>
      <c r="F1146" s="746"/>
      <c r="G1146" s="510"/>
      <c r="H1146" s="510"/>
      <c r="I1146" s="510"/>
      <c r="J1146" s="510"/>
      <c r="K1146" s="510"/>
      <c r="L1146" s="510"/>
      <c r="M1146" s="509"/>
      <c r="N1146" s="508"/>
      <c r="O1146" s="507"/>
      <c r="P1146" s="507"/>
      <c r="Q1146" s="505"/>
      <c r="R1146" s="506"/>
      <c r="S1146" s="506"/>
      <c r="T1146" s="506"/>
      <c r="U1146" s="505"/>
      <c r="V1146" s="505"/>
      <c r="W1146" s="505"/>
      <c r="X1146" s="504"/>
      <c r="Y1146" s="503"/>
      <c r="Z1146" s="503"/>
      <c r="AA1146" s="503"/>
      <c r="AB1146" s="503"/>
      <c r="AC1146" s="503"/>
      <c r="AD1146" s="503"/>
      <c r="AE1146" s="503"/>
      <c r="AF1146" s="503"/>
    </row>
    <row r="1147" spans="1:32" ht="15.75" customHeight="1">
      <c r="A1147" s="503"/>
      <c r="B1147" s="503"/>
      <c r="C1147" s="510"/>
      <c r="D1147" s="510"/>
      <c r="E1147" s="510"/>
      <c r="F1147" s="746"/>
      <c r="G1147" s="510"/>
      <c r="H1147" s="510"/>
      <c r="I1147" s="510"/>
      <c r="J1147" s="510"/>
      <c r="K1147" s="510"/>
      <c r="L1147" s="510"/>
      <c r="M1147" s="509"/>
      <c r="N1147" s="508"/>
      <c r="O1147" s="507"/>
      <c r="P1147" s="507"/>
      <c r="Q1147" s="505"/>
      <c r="R1147" s="506"/>
      <c r="S1147" s="506"/>
      <c r="T1147" s="506"/>
      <c r="U1147" s="505"/>
      <c r="V1147" s="505"/>
      <c r="W1147" s="505"/>
      <c r="X1147" s="504"/>
      <c r="Y1147" s="503"/>
      <c r="Z1147" s="503"/>
      <c r="AA1147" s="503"/>
      <c r="AB1147" s="503"/>
      <c r="AC1147" s="503"/>
      <c r="AD1147" s="503"/>
      <c r="AE1147" s="503"/>
      <c r="AF1147" s="503"/>
    </row>
    <row r="1148" spans="1:32" ht="15.75" customHeight="1">
      <c r="A1148" s="503"/>
      <c r="B1148" s="503"/>
      <c r="C1148" s="510"/>
      <c r="D1148" s="510"/>
      <c r="E1148" s="510"/>
      <c r="F1148" s="746"/>
      <c r="G1148" s="510"/>
      <c r="H1148" s="510"/>
      <c r="I1148" s="510"/>
      <c r="J1148" s="510"/>
      <c r="K1148" s="510"/>
      <c r="L1148" s="510"/>
      <c r="M1148" s="509"/>
      <c r="N1148" s="508"/>
      <c r="O1148" s="507"/>
      <c r="P1148" s="507"/>
      <c r="Q1148" s="505"/>
      <c r="R1148" s="506"/>
      <c r="S1148" s="506"/>
      <c r="T1148" s="506"/>
      <c r="U1148" s="505"/>
      <c r="V1148" s="505"/>
      <c r="W1148" s="505"/>
      <c r="X1148" s="504"/>
      <c r="Y1148" s="503"/>
      <c r="Z1148" s="503"/>
      <c r="AA1148" s="503"/>
      <c r="AB1148" s="503"/>
      <c r="AC1148" s="503"/>
      <c r="AD1148" s="503"/>
      <c r="AE1148" s="503"/>
      <c r="AF1148" s="503"/>
    </row>
    <row r="1149" spans="1:32" ht="15.75" customHeight="1">
      <c r="A1149" s="503"/>
      <c r="B1149" s="503"/>
      <c r="C1149" s="510"/>
      <c r="D1149" s="510"/>
      <c r="E1149" s="510"/>
      <c r="F1149" s="746"/>
      <c r="G1149" s="510"/>
      <c r="H1149" s="510"/>
      <c r="I1149" s="510"/>
      <c r="J1149" s="510"/>
      <c r="K1149" s="510"/>
      <c r="L1149" s="510"/>
      <c r="M1149" s="509"/>
      <c r="N1149" s="508"/>
      <c r="O1149" s="507"/>
      <c r="P1149" s="507"/>
      <c r="Q1149" s="505"/>
      <c r="R1149" s="506"/>
      <c r="S1149" s="506"/>
      <c r="T1149" s="506"/>
      <c r="U1149" s="505"/>
      <c r="V1149" s="505"/>
      <c r="W1149" s="505"/>
      <c r="X1149" s="504"/>
      <c r="Y1149" s="503"/>
      <c r="Z1149" s="503"/>
      <c r="AA1149" s="503"/>
      <c r="AB1149" s="503"/>
      <c r="AC1149" s="503"/>
      <c r="AD1149" s="503"/>
      <c r="AE1149" s="503"/>
      <c r="AF1149" s="503"/>
    </row>
    <row r="1150" spans="1:32" ht="15.75" customHeight="1">
      <c r="A1150" s="503"/>
      <c r="B1150" s="503"/>
      <c r="C1150" s="510"/>
      <c r="D1150" s="510"/>
      <c r="E1150" s="510"/>
      <c r="F1150" s="746"/>
      <c r="G1150" s="510"/>
      <c r="H1150" s="510"/>
      <c r="I1150" s="510"/>
      <c r="J1150" s="510"/>
      <c r="K1150" s="510"/>
      <c r="L1150" s="510"/>
      <c r="M1150" s="509"/>
      <c r="N1150" s="508"/>
      <c r="O1150" s="507"/>
      <c r="P1150" s="507"/>
      <c r="Q1150" s="505"/>
      <c r="R1150" s="506"/>
      <c r="S1150" s="506"/>
      <c r="T1150" s="506"/>
      <c r="U1150" s="505"/>
      <c r="V1150" s="505"/>
      <c r="W1150" s="505"/>
      <c r="X1150" s="504"/>
      <c r="Y1150" s="503"/>
      <c r="Z1150" s="503"/>
      <c r="AA1150" s="503"/>
      <c r="AB1150" s="503"/>
      <c r="AC1150" s="503"/>
      <c r="AD1150" s="503"/>
      <c r="AE1150" s="503"/>
      <c r="AF1150" s="503"/>
    </row>
    <row r="1151" spans="1:32" ht="15.75" customHeight="1">
      <c r="A1151" s="503"/>
      <c r="B1151" s="503"/>
      <c r="C1151" s="510"/>
      <c r="D1151" s="510"/>
      <c r="E1151" s="510"/>
      <c r="F1151" s="746"/>
      <c r="G1151" s="510"/>
      <c r="H1151" s="510"/>
      <c r="I1151" s="510"/>
      <c r="J1151" s="510"/>
      <c r="K1151" s="510"/>
      <c r="L1151" s="510"/>
      <c r="M1151" s="509"/>
      <c r="N1151" s="508"/>
      <c r="O1151" s="507"/>
      <c r="P1151" s="507"/>
      <c r="Q1151" s="505"/>
      <c r="R1151" s="506"/>
      <c r="S1151" s="506"/>
      <c r="T1151" s="506"/>
      <c r="U1151" s="505"/>
      <c r="V1151" s="505"/>
      <c r="W1151" s="505"/>
      <c r="X1151" s="504"/>
      <c r="Y1151" s="503"/>
      <c r="Z1151" s="503"/>
      <c r="AA1151" s="503"/>
      <c r="AB1151" s="503"/>
      <c r="AC1151" s="503"/>
      <c r="AD1151" s="503"/>
      <c r="AE1151" s="503"/>
      <c r="AF1151" s="503"/>
    </row>
    <row r="1152" spans="1:32" ht="15.75" customHeight="1">
      <c r="A1152" s="503"/>
      <c r="B1152" s="503"/>
      <c r="C1152" s="510"/>
      <c r="D1152" s="510"/>
      <c r="E1152" s="510"/>
      <c r="F1152" s="746"/>
      <c r="G1152" s="510"/>
      <c r="H1152" s="510"/>
      <c r="I1152" s="510"/>
      <c r="J1152" s="510"/>
      <c r="K1152" s="510"/>
      <c r="L1152" s="510"/>
      <c r="M1152" s="509"/>
      <c r="N1152" s="508"/>
      <c r="O1152" s="507"/>
      <c r="P1152" s="507"/>
      <c r="Q1152" s="505"/>
      <c r="R1152" s="506"/>
      <c r="S1152" s="506"/>
      <c r="T1152" s="506"/>
      <c r="U1152" s="505"/>
      <c r="V1152" s="505"/>
      <c r="W1152" s="505"/>
      <c r="X1152" s="504"/>
      <c r="Y1152" s="503"/>
      <c r="Z1152" s="503"/>
      <c r="AA1152" s="503"/>
      <c r="AB1152" s="503"/>
      <c r="AC1152" s="503"/>
      <c r="AD1152" s="503"/>
      <c r="AE1152" s="503"/>
      <c r="AF1152" s="503"/>
    </row>
    <row r="1153" spans="1:32" ht="15.75" customHeight="1">
      <c r="A1153" s="503"/>
      <c r="B1153" s="503"/>
      <c r="C1153" s="510"/>
      <c r="D1153" s="510"/>
      <c r="E1153" s="510"/>
      <c r="F1153" s="746"/>
      <c r="G1153" s="510"/>
      <c r="H1153" s="510"/>
      <c r="I1153" s="510"/>
      <c r="J1153" s="510"/>
      <c r="K1153" s="510"/>
      <c r="L1153" s="510"/>
      <c r="M1153" s="509"/>
      <c r="N1153" s="508"/>
      <c r="O1153" s="507"/>
      <c r="P1153" s="507"/>
      <c r="Q1153" s="505"/>
      <c r="R1153" s="506"/>
      <c r="S1153" s="506"/>
      <c r="T1153" s="506"/>
      <c r="U1153" s="505"/>
      <c r="V1153" s="505"/>
      <c r="W1153" s="505"/>
      <c r="X1153" s="504"/>
      <c r="Y1153" s="503"/>
      <c r="Z1153" s="503"/>
      <c r="AA1153" s="503"/>
      <c r="AB1153" s="503"/>
      <c r="AC1153" s="503"/>
      <c r="AD1153" s="503"/>
      <c r="AE1153" s="503"/>
      <c r="AF1153" s="503"/>
    </row>
    <row r="1154" spans="1:32" ht="15.75" customHeight="1">
      <c r="A1154" s="503"/>
      <c r="B1154" s="503"/>
      <c r="C1154" s="510"/>
      <c r="D1154" s="510"/>
      <c r="E1154" s="510"/>
      <c r="F1154" s="746"/>
      <c r="G1154" s="510"/>
      <c r="H1154" s="510"/>
      <c r="I1154" s="510"/>
      <c r="J1154" s="510"/>
      <c r="K1154" s="510"/>
      <c r="L1154" s="510"/>
      <c r="M1154" s="509"/>
      <c r="N1154" s="508"/>
      <c r="O1154" s="507"/>
      <c r="P1154" s="507"/>
      <c r="Q1154" s="505"/>
      <c r="R1154" s="506"/>
      <c r="S1154" s="506"/>
      <c r="T1154" s="506"/>
      <c r="U1154" s="505"/>
      <c r="V1154" s="505"/>
      <c r="W1154" s="505"/>
      <c r="X1154" s="504"/>
      <c r="Y1154" s="503"/>
      <c r="Z1154" s="503"/>
      <c r="AA1154" s="503"/>
      <c r="AB1154" s="503"/>
      <c r="AC1154" s="503"/>
      <c r="AD1154" s="503"/>
      <c r="AE1154" s="503"/>
      <c r="AF1154" s="503"/>
    </row>
    <row r="1155" spans="1:32" ht="15.75" customHeight="1">
      <c r="A1155" s="503"/>
      <c r="B1155" s="503"/>
      <c r="C1155" s="510"/>
      <c r="D1155" s="510"/>
      <c r="E1155" s="510"/>
      <c r="F1155" s="746"/>
      <c r="G1155" s="510"/>
      <c r="H1155" s="510"/>
      <c r="I1155" s="510"/>
      <c r="J1155" s="510"/>
      <c r="K1155" s="510"/>
      <c r="L1155" s="510"/>
      <c r="M1155" s="509"/>
      <c r="N1155" s="508"/>
      <c r="O1155" s="507"/>
      <c r="P1155" s="507"/>
      <c r="Q1155" s="505"/>
      <c r="R1155" s="506"/>
      <c r="S1155" s="506"/>
      <c r="T1155" s="506"/>
      <c r="U1155" s="505"/>
      <c r="V1155" s="505"/>
      <c r="W1155" s="505"/>
      <c r="X1155" s="504"/>
      <c r="Y1155" s="503"/>
      <c r="Z1155" s="503"/>
      <c r="AA1155" s="503"/>
      <c r="AB1155" s="503"/>
      <c r="AC1155" s="503"/>
      <c r="AD1155" s="503"/>
      <c r="AE1155" s="503"/>
      <c r="AF1155" s="503"/>
    </row>
    <row r="1156" spans="1:32" ht="15.75" customHeight="1">
      <c r="A1156" s="503"/>
      <c r="B1156" s="503"/>
      <c r="C1156" s="510"/>
      <c r="D1156" s="510"/>
      <c r="E1156" s="510"/>
      <c r="F1156" s="746"/>
      <c r="G1156" s="510"/>
      <c r="H1156" s="510"/>
      <c r="I1156" s="510"/>
      <c r="J1156" s="510"/>
      <c r="K1156" s="510"/>
      <c r="L1156" s="510"/>
      <c r="M1156" s="509"/>
      <c r="N1156" s="508"/>
      <c r="O1156" s="507"/>
      <c r="P1156" s="507"/>
      <c r="Q1156" s="505"/>
      <c r="R1156" s="506"/>
      <c r="S1156" s="506"/>
      <c r="T1156" s="506"/>
      <c r="U1156" s="505"/>
      <c r="V1156" s="505"/>
      <c r="W1156" s="505"/>
      <c r="X1156" s="504"/>
      <c r="Y1156" s="503"/>
      <c r="Z1156" s="503"/>
      <c r="AA1156" s="503"/>
      <c r="AB1156" s="503"/>
      <c r="AC1156" s="503"/>
      <c r="AD1156" s="503"/>
      <c r="AE1156" s="503"/>
      <c r="AF1156" s="503"/>
    </row>
    <row r="1157" spans="1:32" ht="15.75" customHeight="1">
      <c r="A1157" s="503"/>
      <c r="B1157" s="503"/>
      <c r="C1157" s="510"/>
      <c r="D1157" s="510"/>
      <c r="E1157" s="510"/>
      <c r="F1157" s="746"/>
      <c r="G1157" s="510"/>
      <c r="H1157" s="510"/>
      <c r="I1157" s="510"/>
      <c r="J1157" s="510"/>
      <c r="K1157" s="510"/>
      <c r="L1157" s="510"/>
      <c r="M1157" s="509"/>
      <c r="N1157" s="508"/>
      <c r="O1157" s="507"/>
      <c r="P1157" s="507"/>
      <c r="Q1157" s="505"/>
      <c r="R1157" s="506"/>
      <c r="S1157" s="506"/>
      <c r="T1157" s="506"/>
      <c r="U1157" s="505"/>
      <c r="V1157" s="505"/>
      <c r="W1157" s="505"/>
      <c r="X1157" s="504"/>
      <c r="Y1157" s="503"/>
      <c r="Z1157" s="503"/>
      <c r="AA1157" s="503"/>
      <c r="AB1157" s="503"/>
      <c r="AC1157" s="503"/>
      <c r="AD1157" s="503"/>
      <c r="AE1157" s="503"/>
      <c r="AF1157" s="503"/>
    </row>
    <row r="1158" spans="1:32" ht="15.75" customHeight="1">
      <c r="A1158" s="503"/>
      <c r="B1158" s="503"/>
      <c r="C1158" s="510"/>
      <c r="D1158" s="510"/>
      <c r="E1158" s="510"/>
      <c r="F1158" s="746"/>
      <c r="G1158" s="510"/>
      <c r="H1158" s="510"/>
      <c r="I1158" s="510"/>
      <c r="J1158" s="510"/>
      <c r="K1158" s="510"/>
      <c r="L1158" s="510"/>
      <c r="M1158" s="509"/>
      <c r="N1158" s="508"/>
      <c r="O1158" s="507"/>
      <c r="P1158" s="507"/>
      <c r="Q1158" s="505"/>
      <c r="R1158" s="506"/>
      <c r="S1158" s="506"/>
      <c r="T1158" s="506"/>
      <c r="U1158" s="505"/>
      <c r="V1158" s="505"/>
      <c r="W1158" s="505"/>
      <c r="X1158" s="504"/>
      <c r="Y1158" s="503"/>
      <c r="Z1158" s="503"/>
      <c r="AA1158" s="503"/>
      <c r="AB1158" s="503"/>
      <c r="AC1158" s="503"/>
      <c r="AD1158" s="503"/>
      <c r="AE1158" s="503"/>
      <c r="AF1158" s="503"/>
    </row>
    <row r="1159" spans="1:32" ht="15.75" customHeight="1">
      <c r="A1159" s="503"/>
      <c r="B1159" s="503"/>
      <c r="C1159" s="510"/>
      <c r="D1159" s="510"/>
      <c r="E1159" s="510"/>
      <c r="F1159" s="746"/>
      <c r="G1159" s="510"/>
      <c r="H1159" s="510"/>
      <c r="I1159" s="510"/>
      <c r="J1159" s="510"/>
      <c r="K1159" s="510"/>
      <c r="L1159" s="510"/>
      <c r="M1159" s="509"/>
      <c r="N1159" s="508"/>
      <c r="O1159" s="507"/>
      <c r="P1159" s="507"/>
      <c r="Q1159" s="505"/>
      <c r="R1159" s="506"/>
      <c r="S1159" s="506"/>
      <c r="T1159" s="506"/>
      <c r="U1159" s="505"/>
      <c r="V1159" s="505"/>
      <c r="W1159" s="505"/>
      <c r="X1159" s="504"/>
      <c r="Y1159" s="503"/>
      <c r="Z1159" s="503"/>
      <c r="AA1159" s="503"/>
      <c r="AB1159" s="503"/>
      <c r="AC1159" s="503"/>
      <c r="AD1159" s="503"/>
      <c r="AE1159" s="503"/>
      <c r="AF1159" s="503"/>
    </row>
    <row r="1160" spans="1:32" ht="15.75" customHeight="1">
      <c r="A1160" s="503"/>
      <c r="B1160" s="503"/>
      <c r="C1160" s="510"/>
      <c r="D1160" s="510"/>
      <c r="E1160" s="510"/>
      <c r="F1160" s="746"/>
      <c r="G1160" s="510"/>
      <c r="H1160" s="510"/>
      <c r="I1160" s="510"/>
      <c r="J1160" s="510"/>
      <c r="K1160" s="510"/>
      <c r="L1160" s="510"/>
      <c r="M1160" s="509"/>
      <c r="N1160" s="508"/>
      <c r="O1160" s="507"/>
      <c r="P1160" s="507"/>
      <c r="Q1160" s="505"/>
      <c r="R1160" s="506"/>
      <c r="S1160" s="506"/>
      <c r="T1160" s="506"/>
      <c r="U1160" s="505"/>
      <c r="V1160" s="505"/>
      <c r="W1160" s="505"/>
      <c r="X1160" s="504"/>
      <c r="Y1160" s="503"/>
      <c r="Z1160" s="503"/>
      <c r="AA1160" s="503"/>
      <c r="AB1160" s="503"/>
      <c r="AC1160" s="503"/>
      <c r="AD1160" s="503"/>
      <c r="AE1160" s="503"/>
      <c r="AF1160" s="503"/>
    </row>
    <row r="1161" spans="1:32" ht="15.75" customHeight="1">
      <c r="A1161" s="503"/>
      <c r="B1161" s="503"/>
      <c r="C1161" s="510"/>
      <c r="D1161" s="510"/>
      <c r="E1161" s="510"/>
      <c r="F1161" s="746"/>
      <c r="G1161" s="510"/>
      <c r="H1161" s="510"/>
      <c r="I1161" s="510"/>
      <c r="J1161" s="510"/>
      <c r="K1161" s="510"/>
      <c r="L1161" s="510"/>
      <c r="M1161" s="509"/>
      <c r="N1161" s="508"/>
      <c r="O1161" s="507"/>
      <c r="P1161" s="507"/>
      <c r="Q1161" s="505"/>
      <c r="R1161" s="506"/>
      <c r="S1161" s="506"/>
      <c r="T1161" s="506"/>
      <c r="U1161" s="505"/>
      <c r="V1161" s="505"/>
      <c r="W1161" s="505"/>
      <c r="X1161" s="504"/>
      <c r="Y1161" s="503"/>
      <c r="Z1161" s="503"/>
      <c r="AA1161" s="503"/>
      <c r="AB1161" s="503"/>
      <c r="AC1161" s="503"/>
      <c r="AD1161" s="503"/>
      <c r="AE1161" s="503"/>
      <c r="AF1161" s="503"/>
    </row>
    <row r="1162" spans="1:32" ht="15.75" customHeight="1">
      <c r="A1162" s="503"/>
      <c r="B1162" s="503"/>
      <c r="C1162" s="510"/>
      <c r="D1162" s="510"/>
      <c r="E1162" s="510"/>
      <c r="F1162" s="746"/>
      <c r="G1162" s="510"/>
      <c r="H1162" s="510"/>
      <c r="I1162" s="510"/>
      <c r="J1162" s="510"/>
      <c r="K1162" s="510"/>
      <c r="L1162" s="510"/>
      <c r="M1162" s="509"/>
      <c r="N1162" s="508"/>
      <c r="O1162" s="507"/>
      <c r="P1162" s="507"/>
      <c r="Q1162" s="505"/>
      <c r="R1162" s="506"/>
      <c r="S1162" s="506"/>
      <c r="T1162" s="506"/>
      <c r="U1162" s="505"/>
      <c r="V1162" s="505"/>
      <c r="W1162" s="505"/>
      <c r="X1162" s="504"/>
      <c r="Y1162" s="503"/>
      <c r="Z1162" s="503"/>
      <c r="AA1162" s="503"/>
      <c r="AB1162" s="503"/>
      <c r="AC1162" s="503"/>
      <c r="AD1162" s="503"/>
      <c r="AE1162" s="503"/>
      <c r="AF1162" s="503"/>
    </row>
    <row r="1163" spans="1:32" ht="15.75" customHeight="1">
      <c r="A1163" s="503"/>
      <c r="B1163" s="503"/>
      <c r="C1163" s="510"/>
      <c r="D1163" s="510"/>
      <c r="E1163" s="510"/>
      <c r="F1163" s="746"/>
      <c r="G1163" s="510"/>
      <c r="H1163" s="510"/>
      <c r="I1163" s="510"/>
      <c r="J1163" s="510"/>
      <c r="K1163" s="510"/>
      <c r="L1163" s="510"/>
      <c r="M1163" s="509"/>
      <c r="N1163" s="508"/>
      <c r="O1163" s="507"/>
      <c r="P1163" s="507"/>
      <c r="Q1163" s="505"/>
      <c r="R1163" s="506"/>
      <c r="S1163" s="506"/>
      <c r="T1163" s="506"/>
      <c r="U1163" s="505"/>
      <c r="V1163" s="505"/>
      <c r="W1163" s="505"/>
      <c r="X1163" s="504"/>
      <c r="Y1163" s="503"/>
      <c r="Z1163" s="503"/>
      <c r="AA1163" s="503"/>
      <c r="AB1163" s="503"/>
      <c r="AC1163" s="503"/>
      <c r="AD1163" s="503"/>
      <c r="AE1163" s="503"/>
      <c r="AF1163" s="503"/>
    </row>
    <row r="1164" spans="1:32" ht="15.75" customHeight="1">
      <c r="A1164" s="503"/>
      <c r="B1164" s="503"/>
      <c r="C1164" s="510"/>
      <c r="D1164" s="510"/>
      <c r="E1164" s="510"/>
      <c r="F1164" s="746"/>
      <c r="G1164" s="510"/>
      <c r="H1164" s="510"/>
      <c r="I1164" s="510"/>
      <c r="J1164" s="510"/>
      <c r="K1164" s="510"/>
      <c r="L1164" s="510"/>
      <c r="M1164" s="509"/>
      <c r="N1164" s="508"/>
      <c r="O1164" s="507"/>
      <c r="P1164" s="507"/>
      <c r="Q1164" s="505"/>
      <c r="R1164" s="506"/>
      <c r="S1164" s="506"/>
      <c r="T1164" s="506"/>
      <c r="U1164" s="505"/>
      <c r="V1164" s="505"/>
      <c r="W1164" s="505"/>
      <c r="X1164" s="504"/>
      <c r="Y1164" s="503"/>
      <c r="Z1164" s="503"/>
      <c r="AA1164" s="503"/>
      <c r="AB1164" s="503"/>
      <c r="AC1164" s="503"/>
      <c r="AD1164" s="503"/>
      <c r="AE1164" s="503"/>
      <c r="AF1164" s="503"/>
    </row>
    <row r="1165" spans="1:32" ht="15.75" customHeight="1">
      <c r="A1165" s="503"/>
      <c r="B1165" s="503"/>
      <c r="C1165" s="510"/>
      <c r="D1165" s="510"/>
      <c r="E1165" s="510"/>
      <c r="F1165" s="746"/>
      <c r="G1165" s="510"/>
      <c r="H1165" s="510"/>
      <c r="I1165" s="510"/>
      <c r="J1165" s="510"/>
      <c r="K1165" s="510"/>
      <c r="L1165" s="510"/>
      <c r="M1165" s="509"/>
      <c r="N1165" s="508"/>
      <c r="O1165" s="507"/>
      <c r="P1165" s="507"/>
      <c r="Q1165" s="505"/>
      <c r="R1165" s="506"/>
      <c r="S1165" s="506"/>
      <c r="T1165" s="506"/>
      <c r="U1165" s="505"/>
      <c r="V1165" s="505"/>
      <c r="W1165" s="505"/>
      <c r="X1165" s="504"/>
      <c r="Y1165" s="503"/>
      <c r="Z1165" s="503"/>
      <c r="AA1165" s="503"/>
      <c r="AB1165" s="503"/>
      <c r="AC1165" s="503"/>
      <c r="AD1165" s="503"/>
      <c r="AE1165" s="503"/>
      <c r="AF1165" s="503"/>
    </row>
    <row r="1166" spans="1:32" ht="15.75" customHeight="1">
      <c r="A1166" s="503"/>
      <c r="B1166" s="503"/>
      <c r="C1166" s="510"/>
      <c r="D1166" s="510"/>
      <c r="E1166" s="510"/>
      <c r="F1166" s="746"/>
      <c r="G1166" s="510"/>
      <c r="H1166" s="510"/>
      <c r="I1166" s="510"/>
      <c r="J1166" s="510"/>
      <c r="K1166" s="510"/>
      <c r="L1166" s="510"/>
      <c r="M1166" s="509"/>
      <c r="N1166" s="508"/>
      <c r="O1166" s="507"/>
      <c r="P1166" s="507"/>
      <c r="Q1166" s="505"/>
      <c r="R1166" s="506"/>
      <c r="S1166" s="506"/>
      <c r="T1166" s="506"/>
      <c r="U1166" s="505"/>
      <c r="V1166" s="505"/>
      <c r="W1166" s="505"/>
      <c r="X1166" s="504"/>
      <c r="Y1166" s="503"/>
      <c r="Z1166" s="503"/>
      <c r="AA1166" s="503"/>
      <c r="AB1166" s="503"/>
      <c r="AC1166" s="503"/>
      <c r="AD1166" s="503"/>
      <c r="AE1166" s="503"/>
      <c r="AF1166" s="503"/>
    </row>
    <row r="1167" spans="1:32" ht="15.75" customHeight="1">
      <c r="A1167" s="503"/>
      <c r="B1167" s="503"/>
      <c r="C1167" s="510"/>
      <c r="D1167" s="510"/>
      <c r="E1167" s="510"/>
      <c r="F1167" s="746"/>
      <c r="G1167" s="510"/>
      <c r="H1167" s="510"/>
      <c r="I1167" s="510"/>
      <c r="J1167" s="510"/>
      <c r="K1167" s="510"/>
      <c r="L1167" s="510"/>
      <c r="M1167" s="509"/>
      <c r="N1167" s="508"/>
      <c r="O1167" s="507"/>
      <c r="P1167" s="507"/>
      <c r="Q1167" s="505"/>
      <c r="R1167" s="506"/>
      <c r="S1167" s="506"/>
      <c r="T1167" s="506"/>
      <c r="U1167" s="505"/>
      <c r="V1167" s="505"/>
      <c r="W1167" s="505"/>
      <c r="X1167" s="504"/>
      <c r="Y1167" s="503"/>
      <c r="Z1167" s="503"/>
      <c r="AA1167" s="503"/>
      <c r="AB1167" s="503"/>
      <c r="AC1167" s="503"/>
      <c r="AD1167" s="503"/>
      <c r="AE1167" s="503"/>
      <c r="AF1167" s="503"/>
    </row>
    <row r="1168" spans="1:32" ht="15.75" customHeight="1">
      <c r="A1168" s="503"/>
      <c r="B1168" s="503"/>
      <c r="C1168" s="510"/>
      <c r="D1168" s="510"/>
      <c r="E1168" s="510"/>
      <c r="F1168" s="746"/>
      <c r="G1168" s="510"/>
      <c r="H1168" s="510"/>
      <c r="I1168" s="510"/>
      <c r="J1168" s="510"/>
      <c r="K1168" s="510"/>
      <c r="L1168" s="510"/>
      <c r="M1168" s="509"/>
      <c r="N1168" s="508"/>
      <c r="O1168" s="507"/>
      <c r="P1168" s="507"/>
      <c r="Q1168" s="505"/>
      <c r="R1168" s="506"/>
      <c r="S1168" s="506"/>
      <c r="T1168" s="506"/>
      <c r="U1168" s="505"/>
      <c r="V1168" s="505"/>
      <c r="W1168" s="505"/>
      <c r="X1168" s="504"/>
      <c r="Y1168" s="503"/>
      <c r="Z1168" s="503"/>
      <c r="AA1168" s="503"/>
      <c r="AB1168" s="503"/>
      <c r="AC1168" s="503"/>
      <c r="AD1168" s="503"/>
      <c r="AE1168" s="503"/>
      <c r="AF1168" s="503"/>
    </row>
    <row r="1169" spans="1:32" ht="15.75" customHeight="1">
      <c r="A1169" s="503"/>
      <c r="B1169" s="503"/>
      <c r="C1169" s="510"/>
      <c r="D1169" s="510"/>
      <c r="E1169" s="510"/>
      <c r="F1169" s="746"/>
      <c r="G1169" s="510"/>
      <c r="H1169" s="510"/>
      <c r="I1169" s="510"/>
      <c r="J1169" s="510"/>
      <c r="K1169" s="510"/>
      <c r="L1169" s="510"/>
      <c r="M1169" s="509"/>
      <c r="N1169" s="508"/>
      <c r="O1169" s="507"/>
      <c r="P1169" s="507"/>
      <c r="Q1169" s="505"/>
      <c r="R1169" s="506"/>
      <c r="S1169" s="506"/>
      <c r="T1169" s="506"/>
      <c r="U1169" s="505"/>
      <c r="V1169" s="505"/>
      <c r="W1169" s="505"/>
      <c r="X1169" s="504"/>
      <c r="Y1169" s="503"/>
      <c r="Z1169" s="503"/>
      <c r="AA1169" s="503"/>
      <c r="AB1169" s="503"/>
      <c r="AC1169" s="503"/>
      <c r="AD1169" s="503"/>
      <c r="AE1169" s="503"/>
      <c r="AF1169" s="503"/>
    </row>
    <row r="1170" spans="1:32" ht="15.75" customHeight="1">
      <c r="A1170" s="503"/>
      <c r="B1170" s="503"/>
      <c r="C1170" s="510"/>
      <c r="D1170" s="510"/>
      <c r="E1170" s="510"/>
      <c r="F1170" s="746"/>
      <c r="G1170" s="510"/>
      <c r="H1170" s="510"/>
      <c r="I1170" s="510"/>
      <c r="J1170" s="510"/>
      <c r="K1170" s="510"/>
      <c r="L1170" s="510"/>
      <c r="M1170" s="509"/>
      <c r="N1170" s="508"/>
      <c r="O1170" s="507"/>
      <c r="P1170" s="507"/>
      <c r="Q1170" s="505"/>
      <c r="R1170" s="506"/>
      <c r="S1170" s="506"/>
      <c r="T1170" s="506"/>
      <c r="U1170" s="505"/>
      <c r="V1170" s="505"/>
      <c r="W1170" s="505"/>
      <c r="X1170" s="504"/>
      <c r="Y1170" s="503"/>
      <c r="Z1170" s="503"/>
      <c r="AA1170" s="503"/>
      <c r="AB1170" s="503"/>
      <c r="AC1170" s="503"/>
      <c r="AD1170" s="503"/>
      <c r="AE1170" s="503"/>
      <c r="AF1170" s="503"/>
    </row>
    <row r="1171" spans="1:32" ht="15.75" customHeight="1">
      <c r="A1171" s="503"/>
      <c r="B1171" s="503"/>
      <c r="C1171" s="510"/>
      <c r="D1171" s="510"/>
      <c r="E1171" s="510"/>
      <c r="F1171" s="746"/>
      <c r="G1171" s="510"/>
      <c r="H1171" s="510"/>
      <c r="I1171" s="510"/>
      <c r="J1171" s="510"/>
      <c r="K1171" s="510"/>
      <c r="L1171" s="510"/>
      <c r="M1171" s="509"/>
      <c r="N1171" s="508"/>
      <c r="O1171" s="507"/>
      <c r="P1171" s="507"/>
      <c r="Q1171" s="505"/>
      <c r="R1171" s="506"/>
      <c r="S1171" s="506"/>
      <c r="T1171" s="506"/>
      <c r="U1171" s="505"/>
      <c r="V1171" s="505"/>
      <c r="W1171" s="505"/>
      <c r="X1171" s="504"/>
      <c r="Y1171" s="503"/>
      <c r="Z1171" s="503"/>
      <c r="AA1171" s="503"/>
      <c r="AB1171" s="503"/>
      <c r="AC1171" s="503"/>
      <c r="AD1171" s="503"/>
      <c r="AE1171" s="503"/>
      <c r="AF1171" s="503"/>
    </row>
    <row r="1172" spans="1:32" ht="15.75" customHeight="1">
      <c r="A1172" s="503"/>
      <c r="B1172" s="503"/>
      <c r="C1172" s="510"/>
      <c r="D1172" s="510"/>
      <c r="E1172" s="510"/>
      <c r="F1172" s="746"/>
      <c r="G1172" s="510"/>
      <c r="H1172" s="510"/>
      <c r="I1172" s="510"/>
      <c r="J1172" s="510"/>
      <c r="K1172" s="510"/>
      <c r="L1172" s="510"/>
      <c r="M1172" s="509"/>
      <c r="N1172" s="508"/>
      <c r="O1172" s="507"/>
      <c r="P1172" s="507"/>
      <c r="Q1172" s="505"/>
      <c r="R1172" s="506"/>
      <c r="S1172" s="506"/>
      <c r="T1172" s="506"/>
      <c r="U1172" s="505"/>
      <c r="V1172" s="505"/>
      <c r="W1172" s="505"/>
      <c r="X1172" s="504"/>
      <c r="Y1172" s="503"/>
      <c r="Z1172" s="503"/>
      <c r="AA1172" s="503"/>
      <c r="AB1172" s="503"/>
      <c r="AC1172" s="503"/>
      <c r="AD1172" s="503"/>
      <c r="AE1172" s="503"/>
      <c r="AF1172" s="503"/>
    </row>
    <row r="1173" spans="1:32" ht="15.75" customHeight="1">
      <c r="A1173" s="503"/>
      <c r="B1173" s="503"/>
      <c r="C1173" s="510"/>
      <c r="D1173" s="510"/>
      <c r="E1173" s="510"/>
      <c r="F1173" s="746"/>
      <c r="G1173" s="510"/>
      <c r="H1173" s="510"/>
      <c r="I1173" s="510"/>
      <c r="J1173" s="510"/>
      <c r="K1173" s="510"/>
      <c r="L1173" s="510"/>
      <c r="M1173" s="509"/>
      <c r="N1173" s="508"/>
      <c r="O1173" s="507"/>
      <c r="P1173" s="507"/>
      <c r="Q1173" s="505"/>
      <c r="R1173" s="506"/>
      <c r="S1173" s="506"/>
      <c r="T1173" s="506"/>
      <c r="U1173" s="505"/>
      <c r="V1173" s="505"/>
      <c r="W1173" s="505"/>
      <c r="X1173" s="504"/>
      <c r="Y1173" s="503"/>
      <c r="Z1173" s="503"/>
      <c r="AA1173" s="503"/>
      <c r="AB1173" s="503"/>
      <c r="AC1173" s="503"/>
      <c r="AD1173" s="503"/>
      <c r="AE1173" s="503"/>
      <c r="AF1173" s="503"/>
    </row>
    <row r="1174" spans="1:32" ht="15.75" customHeight="1">
      <c r="A1174" s="503"/>
      <c r="B1174" s="503"/>
      <c r="C1174" s="510"/>
      <c r="D1174" s="510"/>
      <c r="E1174" s="510"/>
      <c r="F1174" s="746"/>
      <c r="G1174" s="510"/>
      <c r="H1174" s="510"/>
      <c r="I1174" s="510"/>
      <c r="J1174" s="510"/>
      <c r="K1174" s="510"/>
      <c r="L1174" s="510"/>
      <c r="M1174" s="509"/>
      <c r="N1174" s="508"/>
      <c r="O1174" s="507"/>
      <c r="P1174" s="507"/>
      <c r="Q1174" s="505"/>
      <c r="R1174" s="506"/>
      <c r="S1174" s="506"/>
      <c r="T1174" s="506"/>
      <c r="U1174" s="505"/>
      <c r="V1174" s="505"/>
      <c r="W1174" s="505"/>
      <c r="X1174" s="504"/>
      <c r="Y1174" s="503"/>
      <c r="Z1174" s="503"/>
      <c r="AA1174" s="503"/>
      <c r="AB1174" s="503"/>
      <c r="AC1174" s="503"/>
      <c r="AD1174" s="503"/>
      <c r="AE1174" s="503"/>
      <c r="AF1174" s="503"/>
    </row>
    <row r="1175" spans="1:32" ht="15.75" customHeight="1">
      <c r="A1175" s="503"/>
      <c r="B1175" s="503"/>
      <c r="C1175" s="510"/>
      <c r="D1175" s="510"/>
      <c r="E1175" s="510"/>
      <c r="F1175" s="746"/>
      <c r="G1175" s="510"/>
      <c r="H1175" s="510"/>
      <c r="I1175" s="510"/>
      <c r="J1175" s="510"/>
      <c r="K1175" s="510"/>
      <c r="L1175" s="510"/>
      <c r="M1175" s="509"/>
      <c r="N1175" s="508"/>
      <c r="O1175" s="507"/>
      <c r="P1175" s="507"/>
      <c r="Q1175" s="505"/>
      <c r="R1175" s="506"/>
      <c r="S1175" s="506"/>
      <c r="T1175" s="506"/>
      <c r="U1175" s="505"/>
      <c r="V1175" s="505"/>
      <c r="W1175" s="505"/>
      <c r="X1175" s="504"/>
      <c r="Y1175" s="503"/>
      <c r="Z1175" s="503"/>
      <c r="AA1175" s="503"/>
      <c r="AB1175" s="503"/>
      <c r="AC1175" s="503"/>
      <c r="AD1175" s="503"/>
      <c r="AE1175" s="503"/>
      <c r="AF1175" s="503"/>
    </row>
    <row r="1176" spans="1:32" ht="15.75" customHeight="1">
      <c r="A1176" s="503"/>
      <c r="B1176" s="503"/>
      <c r="C1176" s="510"/>
      <c r="D1176" s="510"/>
      <c r="E1176" s="510"/>
      <c r="F1176" s="746"/>
      <c r="G1176" s="510"/>
      <c r="H1176" s="510"/>
      <c r="I1176" s="510"/>
      <c r="J1176" s="510"/>
      <c r="K1176" s="510"/>
      <c r="L1176" s="510"/>
      <c r="M1176" s="509"/>
      <c r="N1176" s="508"/>
      <c r="O1176" s="507"/>
      <c r="P1176" s="507"/>
      <c r="Q1176" s="505"/>
      <c r="R1176" s="506"/>
      <c r="S1176" s="506"/>
      <c r="T1176" s="506"/>
      <c r="U1176" s="505"/>
      <c r="V1176" s="505"/>
      <c r="W1176" s="505"/>
      <c r="X1176" s="504"/>
      <c r="Y1176" s="503"/>
      <c r="Z1176" s="503"/>
      <c r="AA1176" s="503"/>
      <c r="AB1176" s="503"/>
      <c r="AC1176" s="503"/>
      <c r="AD1176" s="503"/>
      <c r="AE1176" s="503"/>
      <c r="AF1176" s="503"/>
    </row>
    <row r="1177" spans="1:32" ht="15.75" customHeight="1">
      <c r="A1177" s="503"/>
      <c r="B1177" s="503"/>
      <c r="C1177" s="510"/>
      <c r="D1177" s="510"/>
      <c r="E1177" s="510"/>
      <c r="F1177" s="746"/>
      <c r="G1177" s="510"/>
      <c r="H1177" s="510"/>
      <c r="I1177" s="510"/>
      <c r="J1177" s="510"/>
      <c r="K1177" s="510"/>
      <c r="L1177" s="510"/>
      <c r="M1177" s="509"/>
      <c r="N1177" s="508"/>
      <c r="O1177" s="507"/>
      <c r="P1177" s="507"/>
      <c r="Q1177" s="505"/>
      <c r="R1177" s="506"/>
      <c r="S1177" s="506"/>
      <c r="T1177" s="506"/>
      <c r="U1177" s="505"/>
      <c r="V1177" s="505"/>
      <c r="W1177" s="505"/>
      <c r="X1177" s="504"/>
      <c r="Y1177" s="503"/>
      <c r="Z1177" s="503"/>
      <c r="AA1177" s="503"/>
      <c r="AB1177" s="503"/>
      <c r="AC1177" s="503"/>
      <c r="AD1177" s="503"/>
      <c r="AE1177" s="503"/>
      <c r="AF1177" s="503"/>
    </row>
    <row r="1178" spans="1:32" ht="15.75" customHeight="1">
      <c r="A1178" s="503"/>
      <c r="B1178" s="503"/>
      <c r="C1178" s="510"/>
      <c r="D1178" s="510"/>
      <c r="E1178" s="510"/>
      <c r="F1178" s="746"/>
      <c r="G1178" s="510"/>
      <c r="H1178" s="510"/>
      <c r="I1178" s="510"/>
      <c r="J1178" s="510"/>
      <c r="K1178" s="510"/>
      <c r="L1178" s="510"/>
      <c r="M1178" s="509"/>
      <c r="N1178" s="508"/>
      <c r="O1178" s="507"/>
      <c r="P1178" s="507"/>
      <c r="Q1178" s="505"/>
      <c r="R1178" s="506"/>
      <c r="S1178" s="506"/>
      <c r="T1178" s="506"/>
      <c r="U1178" s="505"/>
      <c r="V1178" s="505"/>
      <c r="W1178" s="505"/>
      <c r="X1178" s="504"/>
      <c r="Y1178" s="503"/>
      <c r="Z1178" s="503"/>
      <c r="AA1178" s="503"/>
      <c r="AB1178" s="503"/>
      <c r="AC1178" s="503"/>
      <c r="AD1178" s="503"/>
      <c r="AE1178" s="503"/>
      <c r="AF1178" s="503"/>
    </row>
    <row r="1179" spans="1:32" ht="15.75" customHeight="1">
      <c r="A1179" s="503"/>
      <c r="B1179" s="503"/>
      <c r="C1179" s="510"/>
      <c r="D1179" s="510"/>
      <c r="E1179" s="510"/>
      <c r="F1179" s="746"/>
      <c r="G1179" s="510"/>
      <c r="H1179" s="510"/>
      <c r="I1179" s="510"/>
      <c r="J1179" s="510"/>
      <c r="K1179" s="510"/>
      <c r="L1179" s="510"/>
      <c r="M1179" s="509"/>
      <c r="N1179" s="508"/>
      <c r="O1179" s="507"/>
      <c r="P1179" s="507"/>
      <c r="Q1179" s="505"/>
      <c r="R1179" s="506"/>
      <c r="S1179" s="506"/>
      <c r="T1179" s="506"/>
      <c r="U1179" s="505"/>
      <c r="V1179" s="505"/>
      <c r="W1179" s="505"/>
      <c r="X1179" s="504"/>
      <c r="Y1179" s="503"/>
      <c r="Z1179" s="503"/>
      <c r="AA1179" s="503"/>
      <c r="AB1179" s="503"/>
      <c r="AC1179" s="503"/>
      <c r="AD1179" s="503"/>
      <c r="AE1179" s="503"/>
      <c r="AF1179" s="503"/>
    </row>
    <row r="1180" spans="1:32" ht="15.75" customHeight="1">
      <c r="A1180" s="503"/>
      <c r="B1180" s="503"/>
      <c r="C1180" s="510"/>
      <c r="D1180" s="510"/>
      <c r="E1180" s="510"/>
      <c r="F1180" s="746"/>
      <c r="G1180" s="510"/>
      <c r="H1180" s="510"/>
      <c r="I1180" s="510"/>
      <c r="J1180" s="510"/>
      <c r="K1180" s="510"/>
      <c r="L1180" s="510"/>
      <c r="M1180" s="509"/>
      <c r="N1180" s="508"/>
      <c r="O1180" s="507"/>
      <c r="P1180" s="507"/>
      <c r="Q1180" s="505"/>
      <c r="R1180" s="506"/>
      <c r="S1180" s="506"/>
      <c r="T1180" s="506"/>
      <c r="U1180" s="505"/>
      <c r="V1180" s="505"/>
      <c r="W1180" s="505"/>
      <c r="X1180" s="504"/>
      <c r="Y1180" s="503"/>
      <c r="Z1180" s="503"/>
      <c r="AA1180" s="503"/>
      <c r="AB1180" s="503"/>
      <c r="AC1180" s="503"/>
      <c r="AD1180" s="503"/>
      <c r="AE1180" s="503"/>
      <c r="AF1180" s="503"/>
    </row>
    <row r="1181" spans="1:32" ht="15.75" customHeight="1">
      <c r="A1181" s="503"/>
      <c r="B1181" s="503"/>
      <c r="C1181" s="510"/>
      <c r="D1181" s="510"/>
      <c r="E1181" s="510"/>
      <c r="F1181" s="746"/>
      <c r="G1181" s="510"/>
      <c r="H1181" s="510"/>
      <c r="I1181" s="510"/>
      <c r="J1181" s="510"/>
      <c r="K1181" s="510"/>
      <c r="L1181" s="510"/>
      <c r="M1181" s="509"/>
      <c r="N1181" s="508"/>
      <c r="O1181" s="507"/>
      <c r="P1181" s="507"/>
      <c r="Q1181" s="505"/>
      <c r="R1181" s="506"/>
      <c r="S1181" s="506"/>
      <c r="T1181" s="506"/>
      <c r="U1181" s="505"/>
      <c r="V1181" s="505"/>
      <c r="W1181" s="505"/>
      <c r="X1181" s="504"/>
      <c r="Y1181" s="503"/>
      <c r="Z1181" s="503"/>
      <c r="AA1181" s="503"/>
      <c r="AB1181" s="503"/>
      <c r="AC1181" s="503"/>
      <c r="AD1181" s="503"/>
      <c r="AE1181" s="503"/>
      <c r="AF1181" s="503"/>
    </row>
    <row r="1182" spans="1:32" ht="15.75" customHeight="1">
      <c r="A1182" s="503"/>
      <c r="B1182" s="503"/>
      <c r="C1182" s="510"/>
      <c r="D1182" s="510"/>
      <c r="E1182" s="510"/>
      <c r="F1182" s="746"/>
      <c r="G1182" s="510"/>
      <c r="H1182" s="510"/>
      <c r="I1182" s="510"/>
      <c r="J1182" s="510"/>
      <c r="K1182" s="510"/>
      <c r="L1182" s="510"/>
      <c r="M1182" s="509"/>
      <c r="N1182" s="508"/>
      <c r="O1182" s="507"/>
      <c r="P1182" s="507"/>
      <c r="Q1182" s="505"/>
      <c r="R1182" s="506"/>
      <c r="S1182" s="506"/>
      <c r="T1182" s="506"/>
      <c r="U1182" s="505"/>
      <c r="V1182" s="505"/>
      <c r="W1182" s="505"/>
      <c r="X1182" s="504"/>
      <c r="Y1182" s="503"/>
      <c r="Z1182" s="503"/>
      <c r="AA1182" s="503"/>
      <c r="AB1182" s="503"/>
      <c r="AC1182" s="503"/>
      <c r="AD1182" s="503"/>
      <c r="AE1182" s="503"/>
      <c r="AF1182" s="503"/>
    </row>
    <row r="1183" spans="1:32" ht="15.75" customHeight="1">
      <c r="A1183" s="503"/>
      <c r="B1183" s="503"/>
      <c r="C1183" s="510"/>
      <c r="D1183" s="510"/>
      <c r="E1183" s="510"/>
      <c r="F1183" s="746"/>
      <c r="G1183" s="510"/>
      <c r="H1183" s="510"/>
      <c r="I1183" s="510"/>
      <c r="J1183" s="510"/>
      <c r="K1183" s="510"/>
      <c r="L1183" s="510"/>
      <c r="M1183" s="509"/>
      <c r="N1183" s="508"/>
      <c r="O1183" s="507"/>
      <c r="P1183" s="507"/>
      <c r="Q1183" s="505"/>
      <c r="R1183" s="506"/>
      <c r="S1183" s="506"/>
      <c r="T1183" s="506"/>
      <c r="U1183" s="505"/>
      <c r="V1183" s="505"/>
      <c r="W1183" s="505"/>
      <c r="X1183" s="504"/>
      <c r="Y1183" s="503"/>
      <c r="Z1183" s="503"/>
      <c r="AA1183" s="503"/>
      <c r="AB1183" s="503"/>
      <c r="AC1183" s="503"/>
      <c r="AD1183" s="503"/>
      <c r="AE1183" s="503"/>
      <c r="AF1183" s="503"/>
    </row>
    <row r="1184" spans="1:32" ht="15.75" customHeight="1">
      <c r="A1184" s="503"/>
      <c r="B1184" s="503"/>
      <c r="C1184" s="510"/>
      <c r="D1184" s="510"/>
      <c r="E1184" s="510"/>
      <c r="F1184" s="746"/>
      <c r="G1184" s="510"/>
      <c r="H1184" s="510"/>
      <c r="I1184" s="510"/>
      <c r="J1184" s="510"/>
      <c r="K1184" s="510"/>
      <c r="L1184" s="510"/>
      <c r="M1184" s="509"/>
      <c r="N1184" s="508"/>
      <c r="O1184" s="507"/>
      <c r="P1184" s="507"/>
      <c r="Q1184" s="505"/>
      <c r="R1184" s="506"/>
      <c r="S1184" s="506"/>
      <c r="T1184" s="506"/>
      <c r="U1184" s="505"/>
      <c r="V1184" s="505"/>
      <c r="W1184" s="505"/>
      <c r="X1184" s="504"/>
      <c r="Y1184" s="503"/>
      <c r="Z1184" s="503"/>
      <c r="AA1184" s="503"/>
      <c r="AB1184" s="503"/>
      <c r="AC1184" s="503"/>
      <c r="AD1184" s="503"/>
      <c r="AE1184" s="503"/>
      <c r="AF1184" s="503"/>
    </row>
    <row r="1185" spans="1:32" ht="15.75" customHeight="1">
      <c r="A1185" s="503"/>
      <c r="B1185" s="503"/>
      <c r="C1185" s="510"/>
      <c r="D1185" s="510"/>
      <c r="E1185" s="510"/>
      <c r="F1185" s="746"/>
      <c r="G1185" s="510"/>
      <c r="H1185" s="510"/>
      <c r="I1185" s="510"/>
      <c r="J1185" s="510"/>
      <c r="K1185" s="510"/>
      <c r="L1185" s="510"/>
      <c r="M1185" s="509"/>
      <c r="N1185" s="508"/>
      <c r="O1185" s="507"/>
      <c r="P1185" s="507"/>
      <c r="Q1185" s="505"/>
      <c r="R1185" s="506"/>
      <c r="S1185" s="506"/>
      <c r="T1185" s="506"/>
      <c r="U1185" s="505"/>
      <c r="V1185" s="505"/>
      <c r="W1185" s="505"/>
      <c r="X1185" s="504"/>
      <c r="Y1185" s="503"/>
      <c r="Z1185" s="503"/>
      <c r="AA1185" s="503"/>
      <c r="AB1185" s="503"/>
      <c r="AC1185" s="503"/>
      <c r="AD1185" s="503"/>
      <c r="AE1185" s="503"/>
      <c r="AF1185" s="503"/>
    </row>
    <row r="1186" spans="1:32" ht="15.75" customHeight="1">
      <c r="A1186" s="503"/>
      <c r="B1186" s="503"/>
      <c r="C1186" s="510"/>
      <c r="D1186" s="510"/>
      <c r="E1186" s="510"/>
      <c r="F1186" s="746"/>
      <c r="G1186" s="510"/>
      <c r="H1186" s="510"/>
      <c r="I1186" s="510"/>
      <c r="J1186" s="510"/>
      <c r="K1186" s="510"/>
      <c r="L1186" s="510"/>
      <c r="M1186" s="509"/>
      <c r="N1186" s="508"/>
      <c r="O1186" s="507"/>
      <c r="P1186" s="507"/>
      <c r="Q1186" s="505"/>
      <c r="R1186" s="506"/>
      <c r="S1186" s="506"/>
      <c r="T1186" s="506"/>
      <c r="U1186" s="505"/>
      <c r="V1186" s="505"/>
      <c r="W1186" s="505"/>
      <c r="X1186" s="504"/>
      <c r="Y1186" s="503"/>
      <c r="Z1186" s="503"/>
      <c r="AA1186" s="503"/>
      <c r="AB1186" s="503"/>
      <c r="AC1186" s="503"/>
      <c r="AD1186" s="503"/>
      <c r="AE1186" s="503"/>
      <c r="AF1186" s="503"/>
    </row>
    <row r="1187" spans="1:32" ht="15.75" customHeight="1">
      <c r="A1187" s="503"/>
      <c r="B1187" s="503"/>
      <c r="C1187" s="510"/>
      <c r="D1187" s="510"/>
      <c r="E1187" s="510"/>
      <c r="F1187" s="746"/>
      <c r="G1187" s="510"/>
      <c r="H1187" s="510"/>
      <c r="I1187" s="510"/>
      <c r="J1187" s="510"/>
      <c r="K1187" s="510"/>
      <c r="L1187" s="510"/>
      <c r="M1187" s="509"/>
      <c r="N1187" s="508"/>
      <c r="O1187" s="507"/>
      <c r="P1187" s="507"/>
      <c r="Q1187" s="505"/>
      <c r="R1187" s="506"/>
      <c r="S1187" s="506"/>
      <c r="T1187" s="506"/>
      <c r="U1187" s="505"/>
      <c r="V1187" s="505"/>
      <c r="W1187" s="505"/>
      <c r="X1187" s="504"/>
      <c r="Y1187" s="503"/>
      <c r="Z1187" s="503"/>
      <c r="AA1187" s="503"/>
      <c r="AB1187" s="503"/>
      <c r="AC1187" s="503"/>
      <c r="AD1187" s="503"/>
      <c r="AE1187" s="503"/>
      <c r="AF1187" s="503"/>
    </row>
    <row r="1188" spans="1:32" ht="15.75" customHeight="1">
      <c r="A1188" s="503"/>
      <c r="B1188" s="503"/>
      <c r="C1188" s="510"/>
      <c r="D1188" s="510"/>
      <c r="E1188" s="510"/>
      <c r="F1188" s="746"/>
      <c r="G1188" s="510"/>
      <c r="H1188" s="510"/>
      <c r="I1188" s="510"/>
      <c r="J1188" s="510"/>
      <c r="K1188" s="510"/>
      <c r="L1188" s="510"/>
      <c r="M1188" s="509"/>
      <c r="N1188" s="508"/>
      <c r="O1188" s="507"/>
      <c r="P1188" s="507"/>
      <c r="Q1188" s="505"/>
      <c r="R1188" s="506"/>
      <c r="S1188" s="506"/>
      <c r="T1188" s="506"/>
      <c r="U1188" s="505"/>
      <c r="V1188" s="505"/>
      <c r="W1188" s="505"/>
      <c r="X1188" s="504"/>
      <c r="Y1188" s="503"/>
      <c r="Z1188" s="503"/>
      <c r="AA1188" s="503"/>
      <c r="AB1188" s="503"/>
      <c r="AC1188" s="503"/>
      <c r="AD1188" s="503"/>
      <c r="AE1188" s="503"/>
      <c r="AF1188" s="503"/>
    </row>
    <row r="1189" spans="1:32" ht="15.75" customHeight="1">
      <c r="A1189" s="503"/>
      <c r="B1189" s="503"/>
      <c r="C1189" s="510"/>
      <c r="D1189" s="510"/>
      <c r="E1189" s="510"/>
      <c r="F1189" s="746"/>
      <c r="G1189" s="510"/>
      <c r="H1189" s="510"/>
      <c r="I1189" s="510"/>
      <c r="J1189" s="510"/>
      <c r="K1189" s="510"/>
      <c r="L1189" s="510"/>
      <c r="M1189" s="509"/>
      <c r="N1189" s="508"/>
      <c r="O1189" s="507"/>
      <c r="P1189" s="507"/>
      <c r="Q1189" s="505"/>
      <c r="R1189" s="506"/>
      <c r="S1189" s="506"/>
      <c r="T1189" s="506"/>
      <c r="U1189" s="505"/>
      <c r="V1189" s="505"/>
      <c r="W1189" s="505"/>
      <c r="X1189" s="504"/>
      <c r="Y1189" s="503"/>
      <c r="Z1189" s="503"/>
      <c r="AA1189" s="503"/>
      <c r="AB1189" s="503"/>
      <c r="AC1189" s="503"/>
      <c r="AD1189" s="503"/>
      <c r="AE1189" s="503"/>
      <c r="AF1189" s="503"/>
    </row>
    <row r="1190" spans="1:32" ht="15.75" customHeight="1">
      <c r="A1190" s="503"/>
      <c r="B1190" s="503"/>
      <c r="C1190" s="510"/>
      <c r="D1190" s="510"/>
      <c r="E1190" s="510"/>
      <c r="F1190" s="746"/>
      <c r="G1190" s="510"/>
      <c r="H1190" s="510"/>
      <c r="I1190" s="510"/>
      <c r="J1190" s="510"/>
      <c r="K1190" s="510"/>
      <c r="L1190" s="510"/>
      <c r="M1190" s="509"/>
      <c r="N1190" s="508"/>
      <c r="O1190" s="507"/>
      <c r="P1190" s="507"/>
      <c r="Q1190" s="505"/>
      <c r="R1190" s="506"/>
      <c r="S1190" s="506"/>
      <c r="T1190" s="506"/>
      <c r="U1190" s="505"/>
      <c r="V1190" s="505"/>
      <c r="W1190" s="505"/>
      <c r="X1190" s="504"/>
      <c r="Y1190" s="503"/>
      <c r="Z1190" s="503"/>
      <c r="AA1190" s="503"/>
      <c r="AB1190" s="503"/>
      <c r="AC1190" s="503"/>
      <c r="AD1190" s="503"/>
      <c r="AE1190" s="503"/>
      <c r="AF1190" s="503"/>
    </row>
    <row r="1191" spans="1:32" ht="15.75" customHeight="1">
      <c r="A1191" s="503"/>
      <c r="B1191" s="503"/>
      <c r="C1191" s="510"/>
      <c r="D1191" s="510"/>
      <c r="E1191" s="510"/>
      <c r="F1191" s="746"/>
      <c r="G1191" s="510"/>
      <c r="H1191" s="510"/>
      <c r="I1191" s="510"/>
      <c r="J1191" s="510"/>
      <c r="K1191" s="510"/>
      <c r="L1191" s="510"/>
      <c r="M1191" s="509"/>
      <c r="N1191" s="508"/>
      <c r="O1191" s="507"/>
      <c r="P1191" s="507"/>
      <c r="Q1191" s="505"/>
      <c r="R1191" s="506"/>
      <c r="S1191" s="506"/>
      <c r="T1191" s="506"/>
      <c r="U1191" s="505"/>
      <c r="V1191" s="505"/>
      <c r="W1191" s="505"/>
      <c r="X1191" s="504"/>
      <c r="Y1191" s="503"/>
      <c r="Z1191" s="503"/>
      <c r="AA1191" s="503"/>
      <c r="AB1191" s="503"/>
      <c r="AC1191" s="503"/>
      <c r="AD1191" s="503"/>
      <c r="AE1191" s="503"/>
      <c r="AF1191" s="503"/>
    </row>
    <row r="1192" spans="1:32" ht="15.75" customHeight="1">
      <c r="A1192" s="503"/>
      <c r="B1192" s="503"/>
      <c r="C1192" s="510"/>
      <c r="D1192" s="510"/>
      <c r="E1192" s="510"/>
      <c r="F1192" s="746"/>
      <c r="G1192" s="510"/>
      <c r="H1192" s="510"/>
      <c r="I1192" s="510"/>
      <c r="J1192" s="510"/>
      <c r="K1192" s="510"/>
      <c r="L1192" s="510"/>
      <c r="M1192" s="509"/>
      <c r="N1192" s="508"/>
      <c r="O1192" s="507"/>
      <c r="P1192" s="507"/>
      <c r="Q1192" s="505"/>
      <c r="R1192" s="506"/>
      <c r="S1192" s="506"/>
      <c r="T1192" s="506"/>
      <c r="U1192" s="505"/>
      <c r="V1192" s="505"/>
      <c r="W1192" s="505"/>
      <c r="X1192" s="504"/>
      <c r="Y1192" s="503"/>
      <c r="Z1192" s="503"/>
      <c r="AA1192" s="503"/>
      <c r="AB1192" s="503"/>
      <c r="AC1192" s="503"/>
      <c r="AD1192" s="503"/>
      <c r="AE1192" s="503"/>
      <c r="AF1192" s="503"/>
    </row>
    <row r="1193" spans="1:32" ht="15.75" customHeight="1">
      <c r="A1193" s="503"/>
      <c r="B1193" s="503"/>
      <c r="C1193" s="510"/>
      <c r="D1193" s="510"/>
      <c r="E1193" s="510"/>
      <c r="F1193" s="746"/>
      <c r="G1193" s="510"/>
      <c r="H1193" s="510"/>
      <c r="I1193" s="510"/>
      <c r="J1193" s="510"/>
      <c r="K1193" s="510"/>
      <c r="L1193" s="510"/>
      <c r="M1193" s="509"/>
      <c r="N1193" s="508"/>
      <c r="O1193" s="507"/>
      <c r="P1193" s="507"/>
      <c r="Q1193" s="505"/>
      <c r="R1193" s="506"/>
      <c r="S1193" s="506"/>
      <c r="T1193" s="506"/>
      <c r="U1193" s="505"/>
      <c r="V1193" s="505"/>
      <c r="W1193" s="505"/>
      <c r="X1193" s="504"/>
      <c r="Y1193" s="503"/>
      <c r="Z1193" s="503"/>
      <c r="AA1193" s="503"/>
      <c r="AB1193" s="503"/>
      <c r="AC1193" s="503"/>
      <c r="AD1193" s="503"/>
      <c r="AE1193" s="503"/>
      <c r="AF1193" s="503"/>
    </row>
    <row r="1194" spans="1:32" ht="15.75" customHeight="1">
      <c r="A1194" s="503"/>
      <c r="B1194" s="503"/>
      <c r="C1194" s="510"/>
      <c r="D1194" s="510"/>
      <c r="E1194" s="510"/>
      <c r="F1194" s="746"/>
      <c r="G1194" s="510"/>
      <c r="H1194" s="510"/>
      <c r="I1194" s="510"/>
      <c r="J1194" s="510"/>
      <c r="K1194" s="510"/>
      <c r="L1194" s="510"/>
      <c r="M1194" s="509"/>
      <c r="N1194" s="508"/>
      <c r="O1194" s="507"/>
      <c r="P1194" s="507"/>
      <c r="Q1194" s="505"/>
      <c r="R1194" s="506"/>
      <c r="S1194" s="506"/>
      <c r="T1194" s="506"/>
      <c r="U1194" s="505"/>
      <c r="V1194" s="505"/>
      <c r="W1194" s="505"/>
      <c r="X1194" s="504"/>
      <c r="Y1194" s="503"/>
      <c r="Z1194" s="503"/>
      <c r="AA1194" s="503"/>
      <c r="AB1194" s="503"/>
      <c r="AC1194" s="503"/>
      <c r="AD1194" s="503"/>
      <c r="AE1194" s="503"/>
      <c r="AF1194" s="503"/>
    </row>
    <row r="1195" spans="1:32" ht="15.75" customHeight="1">
      <c r="A1195" s="503"/>
      <c r="B1195" s="503"/>
      <c r="C1195" s="510"/>
      <c r="D1195" s="510"/>
      <c r="E1195" s="510"/>
      <c r="F1195" s="746"/>
      <c r="G1195" s="510"/>
      <c r="H1195" s="510"/>
      <c r="I1195" s="510"/>
      <c r="J1195" s="510"/>
      <c r="K1195" s="510"/>
      <c r="L1195" s="510"/>
      <c r="M1195" s="509"/>
      <c r="N1195" s="508"/>
      <c r="O1195" s="507"/>
      <c r="P1195" s="507"/>
      <c r="Q1195" s="505"/>
      <c r="R1195" s="506"/>
      <c r="S1195" s="506"/>
      <c r="T1195" s="506"/>
      <c r="U1195" s="505"/>
      <c r="V1195" s="505"/>
      <c r="W1195" s="505"/>
      <c r="X1195" s="504"/>
      <c r="Y1195" s="503"/>
      <c r="Z1195" s="503"/>
      <c r="AA1195" s="503"/>
      <c r="AB1195" s="503"/>
      <c r="AC1195" s="503"/>
      <c r="AD1195" s="503"/>
      <c r="AE1195" s="503"/>
      <c r="AF1195" s="503"/>
    </row>
    <row r="1196" spans="1:32" ht="15.75" customHeight="1">
      <c r="A1196" s="503"/>
      <c r="B1196" s="503"/>
      <c r="C1196" s="510"/>
      <c r="D1196" s="510"/>
      <c r="E1196" s="510"/>
      <c r="F1196" s="746"/>
      <c r="G1196" s="510"/>
      <c r="H1196" s="510"/>
      <c r="I1196" s="510"/>
      <c r="J1196" s="510"/>
      <c r="K1196" s="510"/>
      <c r="L1196" s="510"/>
      <c r="M1196" s="509"/>
      <c r="N1196" s="508"/>
      <c r="O1196" s="507"/>
      <c r="P1196" s="507"/>
      <c r="Q1196" s="505"/>
      <c r="R1196" s="506"/>
      <c r="S1196" s="506"/>
      <c r="T1196" s="506"/>
      <c r="U1196" s="505"/>
      <c r="V1196" s="505"/>
      <c r="W1196" s="505"/>
      <c r="X1196" s="504"/>
      <c r="Y1196" s="503"/>
      <c r="Z1196" s="503"/>
      <c r="AA1196" s="503"/>
      <c r="AB1196" s="503"/>
      <c r="AC1196" s="503"/>
      <c r="AD1196" s="503"/>
      <c r="AE1196" s="503"/>
      <c r="AF1196" s="503"/>
    </row>
    <row r="1197" spans="1:32" ht="15.75" customHeight="1">
      <c r="A1197" s="503"/>
      <c r="B1197" s="503"/>
      <c r="C1197" s="510"/>
      <c r="D1197" s="510"/>
      <c r="E1197" s="510"/>
      <c r="F1197" s="746"/>
      <c r="G1197" s="510"/>
      <c r="H1197" s="510"/>
      <c r="I1197" s="510"/>
      <c r="J1197" s="510"/>
      <c r="K1197" s="510"/>
      <c r="L1197" s="510"/>
      <c r="M1197" s="509"/>
      <c r="N1197" s="508"/>
      <c r="O1197" s="507"/>
      <c r="P1197" s="507"/>
      <c r="Q1197" s="505"/>
      <c r="R1197" s="506"/>
      <c r="S1197" s="506"/>
      <c r="T1197" s="506"/>
      <c r="U1197" s="505"/>
      <c r="V1197" s="505"/>
      <c r="W1197" s="505"/>
      <c r="X1197" s="504"/>
      <c r="Y1197" s="503"/>
      <c r="Z1197" s="503"/>
      <c r="AA1197" s="503"/>
      <c r="AB1197" s="503"/>
      <c r="AC1197" s="503"/>
      <c r="AD1197" s="503"/>
      <c r="AE1197" s="503"/>
      <c r="AF1197" s="503"/>
    </row>
    <row r="1198" spans="1:32" ht="15.75" customHeight="1">
      <c r="A1198" s="503"/>
      <c r="B1198" s="503"/>
      <c r="C1198" s="510"/>
      <c r="D1198" s="510"/>
      <c r="E1198" s="510"/>
      <c r="F1198" s="746"/>
      <c r="G1198" s="510"/>
      <c r="H1198" s="510"/>
      <c r="I1198" s="510"/>
      <c r="J1198" s="510"/>
      <c r="K1198" s="510"/>
      <c r="L1198" s="510"/>
      <c r="M1198" s="509"/>
      <c r="N1198" s="508"/>
      <c r="O1198" s="507"/>
      <c r="P1198" s="507"/>
      <c r="Q1198" s="505"/>
      <c r="R1198" s="506"/>
      <c r="S1198" s="506"/>
      <c r="T1198" s="506"/>
      <c r="U1198" s="505"/>
      <c r="V1198" s="505"/>
      <c r="W1198" s="505"/>
      <c r="X1198" s="504"/>
      <c r="Y1198" s="503"/>
      <c r="Z1198" s="503"/>
      <c r="AA1198" s="503"/>
      <c r="AB1198" s="503"/>
      <c r="AC1198" s="503"/>
      <c r="AD1198" s="503"/>
      <c r="AE1198" s="503"/>
      <c r="AF1198" s="503"/>
    </row>
    <row r="1199" spans="1:32" ht="15.75" customHeight="1">
      <c r="A1199" s="503"/>
      <c r="B1199" s="503"/>
      <c r="C1199" s="510"/>
      <c r="D1199" s="510"/>
      <c r="E1199" s="510"/>
      <c r="F1199" s="746"/>
      <c r="G1199" s="510"/>
      <c r="H1199" s="510"/>
      <c r="I1199" s="510"/>
      <c r="J1199" s="510"/>
      <c r="K1199" s="510"/>
      <c r="L1199" s="510"/>
      <c r="M1199" s="509"/>
      <c r="N1199" s="508"/>
      <c r="O1199" s="507"/>
      <c r="P1199" s="507"/>
      <c r="Q1199" s="505"/>
      <c r="R1199" s="506"/>
      <c r="S1199" s="506"/>
      <c r="T1199" s="506"/>
      <c r="U1199" s="505"/>
      <c r="V1199" s="505"/>
      <c r="W1199" s="505"/>
      <c r="X1199" s="504"/>
      <c r="Y1199" s="503"/>
      <c r="Z1199" s="503"/>
      <c r="AA1199" s="503"/>
      <c r="AB1199" s="503"/>
      <c r="AC1199" s="503"/>
      <c r="AD1199" s="503"/>
      <c r="AE1199" s="503"/>
      <c r="AF1199" s="503"/>
    </row>
    <row r="1200" spans="1:32" ht="15.75" customHeight="1">
      <c r="A1200" s="503"/>
      <c r="B1200" s="503"/>
      <c r="C1200" s="510"/>
      <c r="D1200" s="510"/>
      <c r="E1200" s="510"/>
      <c r="F1200" s="746"/>
      <c r="G1200" s="510"/>
      <c r="H1200" s="510"/>
      <c r="I1200" s="510"/>
      <c r="J1200" s="510"/>
      <c r="K1200" s="510"/>
      <c r="L1200" s="510"/>
      <c r="M1200" s="509"/>
      <c r="N1200" s="508"/>
      <c r="O1200" s="507"/>
      <c r="P1200" s="507"/>
      <c r="Q1200" s="505"/>
      <c r="R1200" s="506"/>
      <c r="S1200" s="506"/>
      <c r="T1200" s="506"/>
      <c r="U1200" s="505"/>
      <c r="V1200" s="505"/>
      <c r="W1200" s="505"/>
      <c r="X1200" s="504"/>
      <c r="Y1200" s="503"/>
      <c r="Z1200" s="503"/>
      <c r="AA1200" s="503"/>
      <c r="AB1200" s="503"/>
      <c r="AC1200" s="503"/>
      <c r="AD1200" s="503"/>
      <c r="AE1200" s="503"/>
      <c r="AF1200" s="503"/>
    </row>
    <row r="1201" spans="1:32" ht="15.75" customHeight="1">
      <c r="A1201" s="503"/>
      <c r="B1201" s="503"/>
      <c r="C1201" s="510"/>
      <c r="D1201" s="510"/>
      <c r="E1201" s="510"/>
      <c r="F1201" s="746"/>
      <c r="G1201" s="510"/>
      <c r="H1201" s="510"/>
      <c r="I1201" s="510"/>
      <c r="J1201" s="510"/>
      <c r="K1201" s="510"/>
      <c r="L1201" s="510"/>
      <c r="M1201" s="509"/>
      <c r="N1201" s="508"/>
      <c r="O1201" s="507"/>
      <c r="P1201" s="507"/>
      <c r="Q1201" s="505"/>
      <c r="R1201" s="506"/>
      <c r="S1201" s="506"/>
      <c r="T1201" s="506"/>
      <c r="U1201" s="505"/>
      <c r="V1201" s="505"/>
      <c r="W1201" s="505"/>
      <c r="X1201" s="504"/>
      <c r="Y1201" s="503"/>
      <c r="Z1201" s="503"/>
      <c r="AA1201" s="503"/>
      <c r="AB1201" s="503"/>
      <c r="AC1201" s="503"/>
      <c r="AD1201" s="503"/>
      <c r="AE1201" s="503"/>
      <c r="AF1201" s="503"/>
    </row>
    <row r="1202" spans="1:32" ht="15.75" customHeight="1">
      <c r="A1202" s="503"/>
      <c r="B1202" s="503"/>
      <c r="C1202" s="510"/>
      <c r="D1202" s="510"/>
      <c r="E1202" s="510"/>
      <c r="F1202" s="746"/>
      <c r="G1202" s="510"/>
      <c r="H1202" s="510"/>
      <c r="I1202" s="510"/>
      <c r="J1202" s="510"/>
      <c r="K1202" s="510"/>
      <c r="L1202" s="510"/>
      <c r="M1202" s="509"/>
      <c r="N1202" s="508"/>
      <c r="O1202" s="507"/>
      <c r="P1202" s="507"/>
      <c r="Q1202" s="505"/>
      <c r="R1202" s="506"/>
      <c r="S1202" s="506"/>
      <c r="T1202" s="506"/>
      <c r="U1202" s="505"/>
      <c r="V1202" s="505"/>
      <c r="W1202" s="505"/>
      <c r="X1202" s="504"/>
      <c r="Y1202" s="503"/>
      <c r="Z1202" s="503"/>
      <c r="AA1202" s="503"/>
      <c r="AB1202" s="503"/>
      <c r="AC1202" s="503"/>
      <c r="AD1202" s="503"/>
      <c r="AE1202" s="503"/>
      <c r="AF1202" s="503"/>
    </row>
    <row r="1203" spans="1:32" ht="15.75" customHeight="1">
      <c r="A1203" s="503"/>
      <c r="B1203" s="503"/>
      <c r="C1203" s="510"/>
      <c r="D1203" s="510"/>
      <c r="E1203" s="510"/>
      <c r="F1203" s="746"/>
      <c r="G1203" s="510"/>
      <c r="H1203" s="510"/>
      <c r="I1203" s="510"/>
      <c r="J1203" s="510"/>
      <c r="K1203" s="510"/>
      <c r="L1203" s="510"/>
      <c r="M1203" s="509"/>
      <c r="N1203" s="508"/>
      <c r="O1203" s="507"/>
      <c r="P1203" s="507"/>
      <c r="Q1203" s="505"/>
      <c r="R1203" s="506"/>
      <c r="S1203" s="506"/>
      <c r="T1203" s="506"/>
      <c r="U1203" s="505"/>
      <c r="V1203" s="505"/>
      <c r="W1203" s="505"/>
      <c r="X1203" s="504"/>
      <c r="Y1203" s="503"/>
      <c r="Z1203" s="503"/>
      <c r="AA1203" s="503"/>
      <c r="AB1203" s="503"/>
      <c r="AC1203" s="503"/>
      <c r="AD1203" s="503"/>
      <c r="AE1203" s="503"/>
      <c r="AF1203" s="503"/>
    </row>
    <row r="1204" spans="1:32" ht="15.75" customHeight="1">
      <c r="A1204" s="503"/>
      <c r="B1204" s="503"/>
      <c r="C1204" s="510"/>
      <c r="D1204" s="510"/>
      <c r="E1204" s="510"/>
      <c r="F1204" s="746"/>
      <c r="G1204" s="510"/>
      <c r="H1204" s="510"/>
      <c r="I1204" s="510"/>
      <c r="J1204" s="510"/>
      <c r="K1204" s="510"/>
      <c r="L1204" s="510"/>
      <c r="M1204" s="509"/>
      <c r="N1204" s="508"/>
      <c r="O1204" s="507"/>
      <c r="P1204" s="507"/>
      <c r="Q1204" s="505"/>
      <c r="R1204" s="506"/>
      <c r="S1204" s="506"/>
      <c r="T1204" s="506"/>
      <c r="U1204" s="505"/>
      <c r="V1204" s="505"/>
      <c r="W1204" s="505"/>
      <c r="X1204" s="504"/>
      <c r="Y1204" s="503"/>
      <c r="Z1204" s="503"/>
      <c r="AA1204" s="503"/>
      <c r="AB1204" s="503"/>
      <c r="AC1204" s="503"/>
      <c r="AD1204" s="503"/>
      <c r="AE1204" s="503"/>
      <c r="AF1204" s="503"/>
    </row>
    <row r="1205" spans="1:32" ht="15.75" customHeight="1">
      <c r="A1205" s="503"/>
      <c r="B1205" s="503"/>
      <c r="C1205" s="510"/>
      <c r="D1205" s="510"/>
      <c r="E1205" s="510"/>
      <c r="F1205" s="746"/>
      <c r="G1205" s="510"/>
      <c r="H1205" s="510"/>
      <c r="I1205" s="510"/>
      <c r="J1205" s="510"/>
      <c r="K1205" s="510"/>
      <c r="L1205" s="510"/>
      <c r="M1205" s="509"/>
      <c r="N1205" s="508"/>
      <c r="O1205" s="507"/>
      <c r="P1205" s="507"/>
      <c r="Q1205" s="505"/>
      <c r="R1205" s="506"/>
      <c r="S1205" s="506"/>
      <c r="T1205" s="506"/>
      <c r="U1205" s="505"/>
      <c r="V1205" s="505"/>
      <c r="W1205" s="505"/>
      <c r="X1205" s="504"/>
      <c r="Y1205" s="503"/>
      <c r="Z1205" s="503"/>
      <c r="AA1205" s="503"/>
      <c r="AB1205" s="503"/>
      <c r="AC1205" s="503"/>
      <c r="AD1205" s="503"/>
      <c r="AE1205" s="503"/>
      <c r="AF1205" s="503"/>
    </row>
    <row r="1206" spans="1:32" ht="15.75" customHeight="1">
      <c r="A1206" s="503"/>
      <c r="B1206" s="503"/>
      <c r="C1206" s="510"/>
      <c r="D1206" s="510"/>
      <c r="E1206" s="510"/>
      <c r="F1206" s="746"/>
      <c r="G1206" s="510"/>
      <c r="H1206" s="510"/>
      <c r="I1206" s="510"/>
      <c r="J1206" s="510"/>
      <c r="K1206" s="510"/>
      <c r="L1206" s="510"/>
      <c r="M1206" s="509"/>
      <c r="N1206" s="508"/>
      <c r="O1206" s="507"/>
      <c r="P1206" s="507"/>
      <c r="Q1206" s="505"/>
      <c r="R1206" s="506"/>
      <c r="S1206" s="506"/>
      <c r="T1206" s="506"/>
      <c r="U1206" s="505"/>
      <c r="V1206" s="505"/>
      <c r="W1206" s="505"/>
      <c r="X1206" s="504"/>
      <c r="Y1206" s="503"/>
      <c r="Z1206" s="503"/>
      <c r="AA1206" s="503"/>
      <c r="AB1206" s="503"/>
      <c r="AC1206" s="503"/>
      <c r="AD1206" s="503"/>
      <c r="AE1206" s="503"/>
      <c r="AF1206" s="503"/>
    </row>
    <row r="1207" spans="1:32" ht="15.75" customHeight="1">
      <c r="A1207" s="503"/>
      <c r="B1207" s="503"/>
      <c r="C1207" s="510"/>
      <c r="D1207" s="510"/>
      <c r="E1207" s="510"/>
      <c r="F1207" s="746"/>
      <c r="G1207" s="510"/>
      <c r="H1207" s="510"/>
      <c r="I1207" s="510"/>
      <c r="J1207" s="510"/>
      <c r="K1207" s="510"/>
      <c r="L1207" s="510"/>
      <c r="M1207" s="509"/>
      <c r="N1207" s="508"/>
      <c r="O1207" s="507"/>
      <c r="P1207" s="507"/>
      <c r="Q1207" s="505"/>
      <c r="R1207" s="506"/>
      <c r="S1207" s="506"/>
      <c r="T1207" s="506"/>
      <c r="U1207" s="505"/>
      <c r="V1207" s="505"/>
      <c r="W1207" s="505"/>
      <c r="X1207" s="504"/>
      <c r="Y1207" s="503"/>
      <c r="Z1207" s="503"/>
      <c r="AA1207" s="503"/>
      <c r="AB1207" s="503"/>
      <c r="AC1207" s="503"/>
      <c r="AD1207" s="503"/>
      <c r="AE1207" s="503"/>
      <c r="AF1207" s="503"/>
    </row>
    <row r="1208" spans="1:32" ht="15.75" customHeight="1">
      <c r="A1208" s="503"/>
      <c r="B1208" s="503"/>
      <c r="C1208" s="510"/>
      <c r="D1208" s="510"/>
      <c r="E1208" s="510"/>
      <c r="F1208" s="746"/>
      <c r="G1208" s="510"/>
      <c r="H1208" s="510"/>
      <c r="I1208" s="510"/>
      <c r="J1208" s="510"/>
      <c r="K1208" s="510"/>
      <c r="L1208" s="510"/>
      <c r="M1208" s="509"/>
      <c r="N1208" s="508"/>
      <c r="O1208" s="507"/>
      <c r="P1208" s="507"/>
      <c r="Q1208" s="505"/>
      <c r="R1208" s="506"/>
      <c r="S1208" s="506"/>
      <c r="T1208" s="506"/>
      <c r="U1208" s="505"/>
      <c r="V1208" s="505"/>
      <c r="W1208" s="505"/>
      <c r="X1208" s="504"/>
      <c r="Y1208" s="503"/>
      <c r="Z1208" s="503"/>
      <c r="AA1208" s="503"/>
      <c r="AB1208" s="503"/>
      <c r="AC1208" s="503"/>
      <c r="AD1208" s="503"/>
      <c r="AE1208" s="503"/>
      <c r="AF1208" s="503"/>
    </row>
    <row r="1209" spans="1:32" ht="15.75" customHeight="1">
      <c r="A1209" s="503"/>
      <c r="B1209" s="503"/>
      <c r="C1209" s="510"/>
      <c r="D1209" s="510"/>
      <c r="E1209" s="510"/>
      <c r="F1209" s="746"/>
      <c r="G1209" s="510"/>
      <c r="H1209" s="510"/>
      <c r="I1209" s="510"/>
      <c r="J1209" s="510"/>
      <c r="K1209" s="510"/>
      <c r="L1209" s="510"/>
      <c r="M1209" s="509"/>
      <c r="N1209" s="508"/>
      <c r="O1209" s="507"/>
      <c r="P1209" s="507"/>
      <c r="Q1209" s="505"/>
      <c r="R1209" s="506"/>
      <c r="S1209" s="506"/>
      <c r="T1209" s="506"/>
      <c r="U1209" s="505"/>
      <c r="V1209" s="505"/>
      <c r="W1209" s="505"/>
      <c r="X1209" s="504"/>
      <c r="Y1209" s="503"/>
      <c r="Z1209" s="503"/>
      <c r="AA1209" s="503"/>
      <c r="AB1209" s="503"/>
      <c r="AC1209" s="503"/>
      <c r="AD1209" s="503"/>
      <c r="AE1209" s="503"/>
      <c r="AF1209" s="503"/>
    </row>
    <row r="1210" spans="1:32" ht="15.75" customHeight="1">
      <c r="A1210" s="503"/>
      <c r="B1210" s="503"/>
      <c r="C1210" s="510"/>
      <c r="D1210" s="510"/>
      <c r="E1210" s="510"/>
      <c r="F1210" s="746"/>
      <c r="G1210" s="510"/>
      <c r="H1210" s="510"/>
      <c r="I1210" s="510"/>
      <c r="J1210" s="510"/>
      <c r="K1210" s="510"/>
      <c r="L1210" s="510"/>
      <c r="M1210" s="509"/>
      <c r="N1210" s="508"/>
      <c r="O1210" s="507"/>
      <c r="P1210" s="507"/>
      <c r="Q1210" s="505"/>
      <c r="R1210" s="506"/>
      <c r="S1210" s="506"/>
      <c r="T1210" s="506"/>
      <c r="U1210" s="505"/>
      <c r="V1210" s="505"/>
      <c r="W1210" s="505"/>
      <c r="X1210" s="504"/>
      <c r="Y1210" s="503"/>
      <c r="Z1210" s="503"/>
      <c r="AA1210" s="503"/>
      <c r="AB1210" s="503"/>
      <c r="AC1210" s="503"/>
      <c r="AD1210" s="503"/>
      <c r="AE1210" s="503"/>
      <c r="AF1210" s="503"/>
    </row>
    <row r="1211" spans="1:32" ht="15.75" customHeight="1">
      <c r="A1211" s="503"/>
      <c r="B1211" s="503"/>
      <c r="C1211" s="510"/>
      <c r="D1211" s="510"/>
      <c r="E1211" s="510"/>
      <c r="F1211" s="746"/>
      <c r="G1211" s="510"/>
      <c r="H1211" s="510"/>
      <c r="I1211" s="510"/>
      <c r="J1211" s="510"/>
      <c r="K1211" s="510"/>
      <c r="L1211" s="510"/>
      <c r="M1211" s="509"/>
      <c r="N1211" s="508"/>
      <c r="O1211" s="507"/>
      <c r="P1211" s="507"/>
      <c r="Q1211" s="505"/>
      <c r="R1211" s="506"/>
      <c r="S1211" s="506"/>
      <c r="T1211" s="506"/>
      <c r="U1211" s="505"/>
      <c r="V1211" s="505"/>
      <c r="W1211" s="505"/>
      <c r="X1211" s="504"/>
      <c r="Y1211" s="503"/>
      <c r="Z1211" s="503"/>
      <c r="AA1211" s="503"/>
      <c r="AB1211" s="503"/>
      <c r="AC1211" s="503"/>
      <c r="AD1211" s="503"/>
      <c r="AE1211" s="503"/>
      <c r="AF1211" s="503"/>
    </row>
    <row r="1212" spans="1:32" ht="15.75" customHeight="1">
      <c r="A1212" s="503"/>
      <c r="B1212" s="503"/>
      <c r="C1212" s="510"/>
      <c r="D1212" s="510"/>
      <c r="E1212" s="510"/>
      <c r="F1212" s="746"/>
      <c r="G1212" s="510"/>
      <c r="H1212" s="510"/>
      <c r="I1212" s="510"/>
      <c r="J1212" s="510"/>
      <c r="K1212" s="510"/>
      <c r="L1212" s="510"/>
      <c r="M1212" s="509"/>
      <c r="N1212" s="508"/>
      <c r="O1212" s="507"/>
      <c r="P1212" s="507"/>
      <c r="Q1212" s="505"/>
      <c r="R1212" s="506"/>
      <c r="S1212" s="506"/>
      <c r="T1212" s="506"/>
      <c r="U1212" s="505"/>
      <c r="V1212" s="505"/>
      <c r="W1212" s="505"/>
      <c r="X1212" s="504"/>
      <c r="Y1212" s="503"/>
      <c r="Z1212" s="503"/>
      <c r="AA1212" s="503"/>
      <c r="AB1212" s="503"/>
      <c r="AC1212" s="503"/>
      <c r="AD1212" s="503"/>
      <c r="AE1212" s="503"/>
      <c r="AF1212" s="503"/>
    </row>
    <row r="1213" spans="1:32" ht="15.75" customHeight="1">
      <c r="A1213" s="503"/>
      <c r="B1213" s="503"/>
      <c r="C1213" s="510"/>
      <c r="D1213" s="510"/>
      <c r="E1213" s="510"/>
      <c r="F1213" s="746"/>
      <c r="G1213" s="510"/>
      <c r="H1213" s="510"/>
      <c r="I1213" s="510"/>
      <c r="J1213" s="510"/>
      <c r="K1213" s="510"/>
      <c r="L1213" s="510"/>
      <c r="M1213" s="509"/>
      <c r="N1213" s="508"/>
      <c r="O1213" s="507"/>
      <c r="P1213" s="507"/>
      <c r="Q1213" s="505"/>
      <c r="R1213" s="506"/>
      <c r="S1213" s="506"/>
      <c r="T1213" s="506"/>
      <c r="U1213" s="505"/>
      <c r="V1213" s="505"/>
      <c r="W1213" s="505"/>
      <c r="X1213" s="504"/>
      <c r="Y1213" s="503"/>
      <c r="Z1213" s="503"/>
      <c r="AA1213" s="503"/>
      <c r="AB1213" s="503"/>
      <c r="AC1213" s="503"/>
      <c r="AD1213" s="503"/>
      <c r="AE1213" s="503"/>
      <c r="AF1213" s="503"/>
    </row>
    <row r="1214" spans="1:32" ht="15.75" customHeight="1">
      <c r="A1214" s="503"/>
      <c r="B1214" s="503"/>
      <c r="C1214" s="510"/>
      <c r="D1214" s="510"/>
      <c r="E1214" s="510"/>
      <c r="F1214" s="746"/>
      <c r="G1214" s="510"/>
      <c r="H1214" s="510"/>
      <c r="I1214" s="510"/>
      <c r="J1214" s="510"/>
      <c r="K1214" s="510"/>
      <c r="L1214" s="510"/>
      <c r="M1214" s="509"/>
      <c r="N1214" s="508"/>
      <c r="O1214" s="507"/>
      <c r="P1214" s="507"/>
      <c r="Q1214" s="505"/>
      <c r="R1214" s="506"/>
      <c r="S1214" s="506"/>
      <c r="T1214" s="506"/>
      <c r="U1214" s="505"/>
      <c r="V1214" s="505"/>
      <c r="W1214" s="505"/>
      <c r="X1214" s="504"/>
      <c r="Y1214" s="503"/>
      <c r="Z1214" s="503"/>
      <c r="AA1214" s="503"/>
      <c r="AB1214" s="503"/>
      <c r="AC1214" s="503"/>
      <c r="AD1214" s="503"/>
      <c r="AE1214" s="503"/>
      <c r="AF1214" s="503"/>
    </row>
    <row r="1215" spans="1:32" ht="15.75" customHeight="1">
      <c r="A1215" s="503"/>
      <c r="B1215" s="503"/>
      <c r="C1215" s="510"/>
      <c r="D1215" s="510"/>
      <c r="E1215" s="510"/>
      <c r="F1215" s="746"/>
      <c r="G1215" s="510"/>
      <c r="H1215" s="510"/>
      <c r="I1215" s="510"/>
      <c r="J1215" s="510"/>
      <c r="K1215" s="510"/>
      <c r="L1215" s="510"/>
      <c r="M1215" s="509"/>
      <c r="N1215" s="508"/>
      <c r="O1215" s="507"/>
      <c r="P1215" s="507"/>
      <c r="Q1215" s="505"/>
      <c r="R1215" s="506"/>
      <c r="S1215" s="506"/>
      <c r="T1215" s="506"/>
      <c r="U1215" s="505"/>
      <c r="V1215" s="505"/>
      <c r="W1215" s="505"/>
      <c r="X1215" s="504"/>
      <c r="Y1215" s="503"/>
      <c r="Z1215" s="503"/>
      <c r="AA1215" s="503"/>
      <c r="AB1215" s="503"/>
      <c r="AC1215" s="503"/>
      <c r="AD1215" s="503"/>
      <c r="AE1215" s="503"/>
      <c r="AF1215" s="503"/>
    </row>
    <row r="1216" spans="1:32" ht="15.75" customHeight="1">
      <c r="A1216" s="503"/>
      <c r="B1216" s="503"/>
      <c r="C1216" s="510"/>
      <c r="D1216" s="510"/>
      <c r="E1216" s="510"/>
      <c r="F1216" s="746"/>
      <c r="G1216" s="510"/>
      <c r="H1216" s="510"/>
      <c r="I1216" s="510"/>
      <c r="J1216" s="510"/>
      <c r="K1216" s="510"/>
      <c r="L1216" s="510"/>
      <c r="M1216" s="509"/>
      <c r="N1216" s="508"/>
      <c r="O1216" s="507"/>
      <c r="P1216" s="507"/>
      <c r="Q1216" s="505"/>
      <c r="R1216" s="506"/>
      <c r="S1216" s="506"/>
      <c r="T1216" s="506"/>
      <c r="U1216" s="505"/>
      <c r="V1216" s="505"/>
      <c r="W1216" s="505"/>
      <c r="X1216" s="504"/>
      <c r="Y1216" s="503"/>
      <c r="Z1216" s="503"/>
      <c r="AA1216" s="503"/>
      <c r="AB1216" s="503"/>
      <c r="AC1216" s="503"/>
      <c r="AD1216" s="503"/>
      <c r="AE1216" s="503"/>
      <c r="AF1216" s="503"/>
    </row>
    <row r="1217" spans="1:32" ht="15.75" customHeight="1">
      <c r="A1217" s="503"/>
      <c r="B1217" s="503"/>
      <c r="C1217" s="510"/>
      <c r="D1217" s="510"/>
      <c r="E1217" s="510"/>
      <c r="F1217" s="746"/>
      <c r="G1217" s="510"/>
      <c r="H1217" s="510"/>
      <c r="I1217" s="510"/>
      <c r="J1217" s="510"/>
      <c r="K1217" s="510"/>
      <c r="L1217" s="510"/>
      <c r="M1217" s="509"/>
      <c r="N1217" s="508"/>
      <c r="O1217" s="507"/>
      <c r="P1217" s="507"/>
      <c r="Q1217" s="505"/>
      <c r="R1217" s="506"/>
      <c r="S1217" s="506"/>
      <c r="T1217" s="506"/>
      <c r="U1217" s="505"/>
      <c r="V1217" s="505"/>
      <c r="W1217" s="505"/>
      <c r="X1217" s="504"/>
      <c r="Y1217" s="503"/>
      <c r="Z1217" s="503"/>
      <c r="AA1217" s="503"/>
      <c r="AB1217" s="503"/>
      <c r="AC1217" s="503"/>
      <c r="AD1217" s="503"/>
      <c r="AE1217" s="503"/>
      <c r="AF1217" s="503"/>
    </row>
    <row r="1218" spans="1:32" ht="15.75" customHeight="1">
      <c r="A1218" s="503"/>
      <c r="B1218" s="503"/>
      <c r="C1218" s="510"/>
      <c r="D1218" s="510"/>
      <c r="E1218" s="510"/>
      <c r="F1218" s="746"/>
      <c r="G1218" s="510"/>
      <c r="H1218" s="510"/>
      <c r="I1218" s="510"/>
      <c r="J1218" s="510"/>
      <c r="K1218" s="510"/>
      <c r="L1218" s="510"/>
      <c r="M1218" s="509"/>
      <c r="N1218" s="508"/>
      <c r="O1218" s="507"/>
      <c r="P1218" s="507"/>
      <c r="Q1218" s="505"/>
      <c r="R1218" s="506"/>
      <c r="S1218" s="506"/>
      <c r="T1218" s="506"/>
      <c r="U1218" s="505"/>
      <c r="V1218" s="505"/>
      <c r="W1218" s="505"/>
      <c r="X1218" s="504"/>
      <c r="Y1218" s="503"/>
      <c r="Z1218" s="503"/>
      <c r="AA1218" s="503"/>
      <c r="AB1218" s="503"/>
      <c r="AC1218" s="503"/>
      <c r="AD1218" s="503"/>
      <c r="AE1218" s="503"/>
      <c r="AF1218" s="503"/>
    </row>
    <row r="1219" spans="1:32" ht="15.75" customHeight="1">
      <c r="A1219" s="503"/>
      <c r="B1219" s="503"/>
      <c r="C1219" s="510"/>
      <c r="D1219" s="510"/>
      <c r="E1219" s="510"/>
      <c r="F1219" s="746"/>
      <c r="G1219" s="510"/>
      <c r="H1219" s="510"/>
      <c r="I1219" s="510"/>
      <c r="J1219" s="510"/>
      <c r="K1219" s="510"/>
      <c r="L1219" s="510"/>
      <c r="M1219" s="509"/>
      <c r="N1219" s="508"/>
      <c r="O1219" s="507"/>
      <c r="P1219" s="507"/>
      <c r="Q1219" s="505"/>
      <c r="R1219" s="506"/>
      <c r="S1219" s="506"/>
      <c r="T1219" s="506"/>
      <c r="U1219" s="505"/>
      <c r="V1219" s="505"/>
      <c r="W1219" s="505"/>
      <c r="X1219" s="504"/>
      <c r="Y1219" s="503"/>
      <c r="Z1219" s="503"/>
      <c r="AA1219" s="503"/>
      <c r="AB1219" s="503"/>
      <c r="AC1219" s="503"/>
      <c r="AD1219" s="503"/>
      <c r="AE1219" s="503"/>
      <c r="AF1219" s="503"/>
    </row>
    <row r="1220" spans="1:32" ht="15.75" customHeight="1">
      <c r="A1220" s="503"/>
      <c r="B1220" s="503"/>
      <c r="C1220" s="510"/>
      <c r="D1220" s="510"/>
      <c r="E1220" s="510"/>
      <c r="F1220" s="746"/>
      <c r="G1220" s="510"/>
      <c r="H1220" s="510"/>
      <c r="I1220" s="510"/>
      <c r="J1220" s="510"/>
      <c r="K1220" s="510"/>
      <c r="L1220" s="510"/>
      <c r="M1220" s="509"/>
      <c r="N1220" s="508"/>
      <c r="O1220" s="507"/>
      <c r="P1220" s="507"/>
      <c r="Q1220" s="505"/>
      <c r="R1220" s="506"/>
      <c r="S1220" s="506"/>
      <c r="T1220" s="506"/>
      <c r="U1220" s="505"/>
      <c r="V1220" s="505"/>
      <c r="W1220" s="505"/>
      <c r="X1220" s="504"/>
      <c r="Y1220" s="503"/>
      <c r="Z1220" s="503"/>
      <c r="AA1220" s="503"/>
      <c r="AB1220" s="503"/>
      <c r="AC1220" s="503"/>
      <c r="AD1220" s="503"/>
      <c r="AE1220" s="503"/>
      <c r="AF1220" s="503"/>
    </row>
    <row r="1221" spans="1:32" ht="15.75" customHeight="1">
      <c r="A1221" s="503"/>
      <c r="B1221" s="503"/>
      <c r="C1221" s="510"/>
      <c r="D1221" s="510"/>
      <c r="E1221" s="510"/>
      <c r="F1221" s="746"/>
      <c r="G1221" s="510"/>
      <c r="H1221" s="510"/>
      <c r="I1221" s="510"/>
      <c r="J1221" s="510"/>
      <c r="K1221" s="510"/>
      <c r="L1221" s="510"/>
      <c r="M1221" s="509"/>
      <c r="N1221" s="508"/>
      <c r="O1221" s="507"/>
      <c r="P1221" s="507"/>
      <c r="Q1221" s="505"/>
      <c r="R1221" s="506"/>
      <c r="S1221" s="506"/>
      <c r="T1221" s="506"/>
      <c r="U1221" s="505"/>
      <c r="V1221" s="505"/>
      <c r="W1221" s="505"/>
      <c r="X1221" s="504"/>
      <c r="Y1221" s="503"/>
      <c r="Z1221" s="503"/>
      <c r="AA1221" s="503"/>
      <c r="AB1221" s="503"/>
      <c r="AC1221" s="503"/>
      <c r="AD1221" s="503"/>
      <c r="AE1221" s="503"/>
      <c r="AF1221" s="503"/>
    </row>
    <row r="1222" spans="1:32" ht="15.75" customHeight="1">
      <c r="A1222" s="503"/>
      <c r="B1222" s="503"/>
      <c r="C1222" s="510"/>
      <c r="D1222" s="510"/>
      <c r="E1222" s="510"/>
      <c r="F1222" s="746"/>
      <c r="G1222" s="510"/>
      <c r="H1222" s="510"/>
      <c r="I1222" s="510"/>
      <c r="J1222" s="510"/>
      <c r="K1222" s="510"/>
      <c r="L1222" s="510"/>
      <c r="M1222" s="509"/>
      <c r="N1222" s="508"/>
      <c r="O1222" s="507"/>
      <c r="P1222" s="507"/>
      <c r="Q1222" s="505"/>
      <c r="R1222" s="506"/>
      <c r="S1222" s="506"/>
      <c r="T1222" s="506"/>
      <c r="U1222" s="505"/>
      <c r="V1222" s="505"/>
      <c r="W1222" s="505"/>
      <c r="X1222" s="504"/>
      <c r="Y1222" s="503"/>
      <c r="Z1222" s="503"/>
      <c r="AA1222" s="503"/>
      <c r="AB1222" s="503"/>
      <c r="AC1222" s="503"/>
      <c r="AD1222" s="503"/>
      <c r="AE1222" s="503"/>
      <c r="AF1222" s="503"/>
    </row>
    <row r="1223" spans="1:32" ht="15.75" customHeight="1">
      <c r="A1223" s="503"/>
      <c r="B1223" s="503"/>
      <c r="C1223" s="510"/>
      <c r="D1223" s="510"/>
      <c r="E1223" s="510"/>
      <c r="F1223" s="746"/>
      <c r="G1223" s="510"/>
      <c r="H1223" s="510"/>
      <c r="I1223" s="510"/>
      <c r="J1223" s="510"/>
      <c r="K1223" s="510"/>
      <c r="L1223" s="510"/>
      <c r="M1223" s="509"/>
      <c r="N1223" s="508"/>
      <c r="O1223" s="507"/>
      <c r="P1223" s="507"/>
      <c r="Q1223" s="505"/>
      <c r="R1223" s="506"/>
      <c r="S1223" s="506"/>
      <c r="T1223" s="506"/>
      <c r="U1223" s="505"/>
      <c r="V1223" s="505"/>
      <c r="W1223" s="505"/>
      <c r="X1223" s="504"/>
      <c r="Y1223" s="503"/>
      <c r="Z1223" s="503"/>
      <c r="AA1223" s="503"/>
      <c r="AB1223" s="503"/>
      <c r="AC1223" s="503"/>
      <c r="AD1223" s="503"/>
      <c r="AE1223" s="503"/>
      <c r="AF1223" s="503"/>
    </row>
    <row r="1224" spans="1:32" ht="15.75" customHeight="1">
      <c r="A1224" s="503"/>
      <c r="B1224" s="503"/>
      <c r="C1224" s="510"/>
      <c r="D1224" s="510"/>
      <c r="E1224" s="510"/>
      <c r="F1224" s="746"/>
      <c r="G1224" s="510"/>
      <c r="H1224" s="510"/>
      <c r="I1224" s="510"/>
      <c r="J1224" s="510"/>
      <c r="K1224" s="510"/>
      <c r="L1224" s="510"/>
      <c r="M1224" s="509"/>
      <c r="N1224" s="508"/>
      <c r="O1224" s="507"/>
      <c r="P1224" s="507"/>
      <c r="Q1224" s="505"/>
      <c r="R1224" s="506"/>
      <c r="S1224" s="506"/>
      <c r="T1224" s="506"/>
      <c r="U1224" s="505"/>
      <c r="V1224" s="505"/>
      <c r="W1224" s="505"/>
      <c r="X1224" s="504"/>
      <c r="Y1224" s="503"/>
      <c r="Z1224" s="503"/>
      <c r="AA1224" s="503"/>
      <c r="AB1224" s="503"/>
      <c r="AC1224" s="503"/>
      <c r="AD1224" s="503"/>
      <c r="AE1224" s="503"/>
      <c r="AF1224" s="503"/>
    </row>
    <row r="1225" spans="1:32" ht="15.75" customHeight="1">
      <c r="A1225" s="503"/>
      <c r="B1225" s="503"/>
      <c r="C1225" s="510"/>
      <c r="D1225" s="510"/>
      <c r="E1225" s="510"/>
      <c r="F1225" s="746"/>
      <c r="G1225" s="510"/>
      <c r="H1225" s="510"/>
      <c r="I1225" s="510"/>
      <c r="J1225" s="510"/>
      <c r="K1225" s="510"/>
      <c r="L1225" s="510"/>
      <c r="M1225" s="509"/>
      <c r="N1225" s="508"/>
      <c r="O1225" s="507"/>
      <c r="P1225" s="507"/>
      <c r="Q1225" s="505"/>
      <c r="R1225" s="506"/>
      <c r="S1225" s="506"/>
      <c r="T1225" s="506"/>
      <c r="U1225" s="505"/>
      <c r="V1225" s="505"/>
      <c r="W1225" s="505"/>
      <c r="X1225" s="504"/>
      <c r="Y1225" s="503"/>
      <c r="Z1225" s="503"/>
      <c r="AA1225" s="503"/>
      <c r="AB1225" s="503"/>
      <c r="AC1225" s="503"/>
      <c r="AD1225" s="503"/>
      <c r="AE1225" s="503"/>
      <c r="AF1225" s="503"/>
    </row>
    <row r="1226" spans="1:32" ht="15.75" customHeight="1">
      <c r="A1226" s="503"/>
      <c r="B1226" s="503"/>
      <c r="C1226" s="510"/>
      <c r="D1226" s="510"/>
      <c r="E1226" s="510"/>
      <c r="F1226" s="746"/>
      <c r="G1226" s="510"/>
      <c r="H1226" s="510"/>
      <c r="I1226" s="510"/>
      <c r="J1226" s="510"/>
      <c r="K1226" s="510"/>
      <c r="L1226" s="510"/>
      <c r="M1226" s="509"/>
      <c r="N1226" s="508"/>
      <c r="O1226" s="507"/>
      <c r="P1226" s="507"/>
      <c r="Q1226" s="505"/>
      <c r="R1226" s="506"/>
      <c r="S1226" s="506"/>
      <c r="T1226" s="506"/>
      <c r="U1226" s="505"/>
      <c r="V1226" s="505"/>
      <c r="W1226" s="505"/>
      <c r="X1226" s="504"/>
      <c r="Y1226" s="503"/>
      <c r="Z1226" s="503"/>
      <c r="AA1226" s="503"/>
      <c r="AB1226" s="503"/>
      <c r="AC1226" s="503"/>
      <c r="AD1226" s="503"/>
      <c r="AE1226" s="503"/>
      <c r="AF1226" s="503"/>
    </row>
    <row r="1227" spans="1:32" ht="15.75" customHeight="1">
      <c r="A1227" s="503"/>
      <c r="B1227" s="503"/>
      <c r="C1227" s="510"/>
      <c r="D1227" s="510"/>
      <c r="E1227" s="510"/>
      <c r="F1227" s="746"/>
      <c r="G1227" s="510"/>
      <c r="H1227" s="510"/>
      <c r="I1227" s="510"/>
      <c r="J1227" s="510"/>
      <c r="K1227" s="510"/>
      <c r="L1227" s="510"/>
      <c r="M1227" s="509"/>
      <c r="N1227" s="508"/>
      <c r="O1227" s="507"/>
      <c r="P1227" s="507"/>
      <c r="Q1227" s="505"/>
      <c r="R1227" s="506"/>
      <c r="S1227" s="506"/>
      <c r="T1227" s="506"/>
      <c r="U1227" s="505"/>
      <c r="V1227" s="505"/>
      <c r="W1227" s="505"/>
      <c r="X1227" s="504"/>
      <c r="Y1227" s="503"/>
      <c r="Z1227" s="503"/>
      <c r="AA1227" s="503"/>
      <c r="AB1227" s="503"/>
      <c r="AC1227" s="503"/>
      <c r="AD1227" s="503"/>
      <c r="AE1227" s="503"/>
      <c r="AF1227" s="503"/>
    </row>
    <row r="1228" spans="1:32" ht="15.75" customHeight="1">
      <c r="A1228" s="503"/>
      <c r="B1228" s="503"/>
      <c r="C1228" s="510"/>
      <c r="D1228" s="510"/>
      <c r="E1228" s="510"/>
      <c r="F1228" s="746"/>
      <c r="G1228" s="510"/>
      <c r="H1228" s="510"/>
      <c r="I1228" s="510"/>
      <c r="J1228" s="510"/>
      <c r="K1228" s="510"/>
      <c r="L1228" s="510"/>
      <c r="M1228" s="509"/>
      <c r="N1228" s="508"/>
      <c r="O1228" s="507"/>
      <c r="P1228" s="507"/>
      <c r="Q1228" s="505"/>
      <c r="R1228" s="506"/>
      <c r="S1228" s="506"/>
      <c r="T1228" s="506"/>
      <c r="U1228" s="505"/>
      <c r="V1228" s="505"/>
      <c r="W1228" s="505"/>
      <c r="X1228" s="504"/>
      <c r="Y1228" s="503"/>
      <c r="Z1228" s="503"/>
      <c r="AA1228" s="503"/>
      <c r="AB1228" s="503"/>
      <c r="AC1228" s="503"/>
      <c r="AD1228" s="503"/>
      <c r="AE1228" s="503"/>
      <c r="AF1228" s="503"/>
    </row>
    <row r="1229" spans="1:32" ht="15.75" customHeight="1">
      <c r="A1229" s="503"/>
      <c r="B1229" s="503"/>
      <c r="C1229" s="510"/>
      <c r="D1229" s="510"/>
      <c r="E1229" s="510"/>
      <c r="F1229" s="746"/>
      <c r="G1229" s="510"/>
      <c r="H1229" s="510"/>
      <c r="I1229" s="510"/>
      <c r="J1229" s="510"/>
      <c r="K1229" s="510"/>
      <c r="L1229" s="510"/>
      <c r="M1229" s="509"/>
      <c r="N1229" s="508"/>
      <c r="O1229" s="507"/>
      <c r="P1229" s="507"/>
      <c r="Q1229" s="505"/>
      <c r="R1229" s="506"/>
      <c r="S1229" s="506"/>
      <c r="T1229" s="506"/>
      <c r="U1229" s="505"/>
      <c r="V1229" s="505"/>
      <c r="W1229" s="505"/>
      <c r="X1229" s="504"/>
      <c r="Y1229" s="503"/>
      <c r="Z1229" s="503"/>
      <c r="AA1229" s="503"/>
      <c r="AB1229" s="503"/>
      <c r="AC1229" s="503"/>
      <c r="AD1229" s="503"/>
      <c r="AE1229" s="503"/>
      <c r="AF1229" s="503"/>
    </row>
    <row r="1230" spans="1:32" ht="15.75" customHeight="1">
      <c r="A1230" s="503"/>
      <c r="B1230" s="503"/>
      <c r="C1230" s="510"/>
      <c r="D1230" s="510"/>
      <c r="E1230" s="510"/>
      <c r="F1230" s="746"/>
      <c r="G1230" s="510"/>
      <c r="H1230" s="510"/>
      <c r="I1230" s="510"/>
      <c r="J1230" s="510"/>
      <c r="K1230" s="510"/>
      <c r="L1230" s="510"/>
      <c r="M1230" s="509"/>
      <c r="N1230" s="508"/>
      <c r="O1230" s="507"/>
      <c r="P1230" s="507"/>
      <c r="Q1230" s="505"/>
      <c r="R1230" s="506"/>
      <c r="S1230" s="506"/>
      <c r="T1230" s="506"/>
      <c r="U1230" s="505"/>
      <c r="V1230" s="505"/>
      <c r="W1230" s="505"/>
      <c r="X1230" s="504"/>
      <c r="Y1230" s="503"/>
      <c r="Z1230" s="503"/>
      <c r="AA1230" s="503"/>
      <c r="AB1230" s="503"/>
      <c r="AC1230" s="503"/>
      <c r="AD1230" s="503"/>
      <c r="AE1230" s="503"/>
      <c r="AF1230" s="503"/>
    </row>
    <row r="1231" spans="1:32" ht="15.75" customHeight="1">
      <c r="A1231" s="503"/>
      <c r="B1231" s="503"/>
      <c r="C1231" s="510"/>
      <c r="D1231" s="510"/>
      <c r="E1231" s="510"/>
      <c r="F1231" s="746"/>
      <c r="G1231" s="510"/>
      <c r="H1231" s="510"/>
      <c r="I1231" s="510"/>
      <c r="J1231" s="510"/>
      <c r="K1231" s="510"/>
      <c r="L1231" s="510"/>
      <c r="M1231" s="509"/>
      <c r="N1231" s="508"/>
      <c r="O1231" s="507"/>
      <c r="P1231" s="507"/>
      <c r="Q1231" s="505"/>
      <c r="R1231" s="506"/>
      <c r="S1231" s="506"/>
      <c r="T1231" s="506"/>
      <c r="U1231" s="505"/>
      <c r="V1231" s="505"/>
      <c r="W1231" s="505"/>
      <c r="X1231" s="504"/>
      <c r="Y1231" s="503"/>
      <c r="Z1231" s="503"/>
      <c r="AA1231" s="503"/>
      <c r="AB1231" s="503"/>
      <c r="AC1231" s="503"/>
      <c r="AD1231" s="503"/>
      <c r="AE1231" s="503"/>
      <c r="AF1231" s="503"/>
    </row>
    <row r="1232" spans="1:32" ht="15.75" customHeight="1">
      <c r="A1232" s="503"/>
      <c r="B1232" s="503"/>
      <c r="C1232" s="510"/>
      <c r="D1232" s="510"/>
      <c r="E1232" s="510"/>
      <c r="F1232" s="746"/>
      <c r="G1232" s="510"/>
      <c r="H1232" s="510"/>
      <c r="I1232" s="510"/>
      <c r="J1232" s="510"/>
      <c r="K1232" s="510"/>
      <c r="L1232" s="510"/>
      <c r="M1232" s="509"/>
      <c r="N1232" s="508"/>
      <c r="O1232" s="507"/>
      <c r="P1232" s="507"/>
      <c r="Q1232" s="505"/>
      <c r="R1232" s="506"/>
      <c r="S1232" s="506"/>
      <c r="T1232" s="506"/>
      <c r="U1232" s="505"/>
      <c r="V1232" s="505"/>
      <c r="W1232" s="505"/>
      <c r="X1232" s="504"/>
      <c r="Y1232" s="503"/>
      <c r="Z1232" s="503"/>
      <c r="AA1232" s="503"/>
      <c r="AB1232" s="503"/>
      <c r="AC1232" s="503"/>
      <c r="AD1232" s="503"/>
      <c r="AE1232" s="503"/>
      <c r="AF1232" s="503"/>
    </row>
    <row r="1233" spans="1:32" ht="15.75" customHeight="1">
      <c r="A1233" s="503"/>
      <c r="B1233" s="503"/>
      <c r="C1233" s="510"/>
      <c r="D1233" s="510"/>
      <c r="E1233" s="510"/>
      <c r="F1233" s="746"/>
      <c r="G1233" s="510"/>
      <c r="H1233" s="510"/>
      <c r="I1233" s="510"/>
      <c r="J1233" s="510"/>
      <c r="K1233" s="510"/>
      <c r="L1233" s="510"/>
      <c r="M1233" s="509"/>
      <c r="N1233" s="508"/>
      <c r="O1233" s="507"/>
      <c r="P1233" s="507"/>
      <c r="Q1233" s="505"/>
      <c r="R1233" s="506"/>
      <c r="S1233" s="506"/>
      <c r="T1233" s="506"/>
      <c r="U1233" s="505"/>
      <c r="V1233" s="505"/>
      <c r="W1233" s="505"/>
      <c r="X1233" s="504"/>
      <c r="Y1233" s="503"/>
      <c r="Z1233" s="503"/>
      <c r="AA1233" s="503"/>
      <c r="AB1233" s="503"/>
      <c r="AC1233" s="503"/>
      <c r="AD1233" s="503"/>
      <c r="AE1233" s="503"/>
      <c r="AF1233" s="503"/>
    </row>
    <row r="1234" spans="1:32" ht="15.75" customHeight="1">
      <c r="A1234" s="503"/>
      <c r="B1234" s="503"/>
      <c r="C1234" s="510"/>
      <c r="D1234" s="510"/>
      <c r="E1234" s="510"/>
      <c r="F1234" s="746"/>
      <c r="G1234" s="510"/>
      <c r="H1234" s="510"/>
      <c r="I1234" s="510"/>
      <c r="J1234" s="510"/>
      <c r="K1234" s="510"/>
      <c r="L1234" s="510"/>
      <c r="M1234" s="509"/>
      <c r="N1234" s="508"/>
      <c r="O1234" s="507"/>
      <c r="P1234" s="507"/>
      <c r="Q1234" s="505"/>
      <c r="R1234" s="506"/>
      <c r="S1234" s="506"/>
      <c r="T1234" s="506"/>
      <c r="U1234" s="505"/>
      <c r="V1234" s="505"/>
      <c r="W1234" s="505"/>
      <c r="X1234" s="504"/>
      <c r="Y1234" s="503"/>
      <c r="Z1234" s="503"/>
      <c r="AA1234" s="503"/>
      <c r="AB1234" s="503"/>
      <c r="AC1234" s="503"/>
      <c r="AD1234" s="503"/>
      <c r="AE1234" s="503"/>
      <c r="AF1234" s="503"/>
    </row>
    <row r="1235" spans="1:32" ht="15.75" customHeight="1">
      <c r="A1235" s="503"/>
      <c r="B1235" s="503"/>
      <c r="C1235" s="510"/>
      <c r="D1235" s="510"/>
      <c r="E1235" s="510"/>
      <c r="F1235" s="746"/>
      <c r="G1235" s="510"/>
      <c r="H1235" s="510"/>
      <c r="I1235" s="510"/>
      <c r="J1235" s="510"/>
      <c r="K1235" s="510"/>
      <c r="L1235" s="510"/>
      <c r="M1235" s="509"/>
      <c r="N1235" s="508"/>
      <c r="O1235" s="507"/>
      <c r="P1235" s="507"/>
      <c r="Q1235" s="505"/>
      <c r="R1235" s="506"/>
      <c r="S1235" s="506"/>
      <c r="T1235" s="506"/>
      <c r="U1235" s="505"/>
      <c r="V1235" s="505"/>
      <c r="W1235" s="505"/>
      <c r="X1235" s="504"/>
      <c r="Y1235" s="503"/>
      <c r="Z1235" s="503"/>
      <c r="AA1235" s="503"/>
      <c r="AB1235" s="503"/>
      <c r="AC1235" s="503"/>
      <c r="AD1235" s="503"/>
      <c r="AE1235" s="503"/>
      <c r="AF1235" s="503"/>
    </row>
    <row r="1236" spans="1:32" ht="15.75" customHeight="1">
      <c r="A1236" s="503"/>
      <c r="B1236" s="503"/>
      <c r="C1236" s="510"/>
      <c r="D1236" s="510"/>
      <c r="E1236" s="510"/>
      <c r="F1236" s="746"/>
      <c r="G1236" s="510"/>
      <c r="H1236" s="510"/>
      <c r="I1236" s="510"/>
      <c r="J1236" s="510"/>
      <c r="K1236" s="510"/>
      <c r="L1236" s="510"/>
      <c r="M1236" s="509"/>
      <c r="N1236" s="508"/>
      <c r="O1236" s="507"/>
      <c r="P1236" s="507"/>
      <c r="Q1236" s="505"/>
      <c r="R1236" s="506"/>
      <c r="S1236" s="506"/>
      <c r="T1236" s="506"/>
      <c r="U1236" s="505"/>
      <c r="V1236" s="505"/>
      <c r="W1236" s="505"/>
      <c r="X1236" s="504"/>
      <c r="Y1236" s="503"/>
      <c r="Z1236" s="503"/>
      <c r="AA1236" s="503"/>
      <c r="AB1236" s="503"/>
      <c r="AC1236" s="503"/>
      <c r="AD1236" s="503"/>
      <c r="AE1236" s="503"/>
      <c r="AF1236" s="503"/>
    </row>
    <row r="1237" spans="1:32" ht="15.75" customHeight="1">
      <c r="A1237" s="503"/>
      <c r="B1237" s="503"/>
      <c r="C1237" s="510"/>
      <c r="D1237" s="510"/>
      <c r="E1237" s="510"/>
      <c r="F1237" s="746"/>
      <c r="G1237" s="510"/>
      <c r="H1237" s="510"/>
      <c r="I1237" s="510"/>
      <c r="J1237" s="510"/>
      <c r="K1237" s="510"/>
      <c r="L1237" s="510"/>
      <c r="M1237" s="509"/>
      <c r="N1237" s="508"/>
      <c r="O1237" s="507"/>
      <c r="P1237" s="507"/>
      <c r="Q1237" s="505"/>
      <c r="R1237" s="506"/>
      <c r="S1237" s="506"/>
      <c r="T1237" s="506"/>
      <c r="U1237" s="505"/>
      <c r="V1237" s="505"/>
      <c r="W1237" s="505"/>
      <c r="X1237" s="504"/>
      <c r="Y1237" s="503"/>
      <c r="Z1237" s="503"/>
      <c r="AA1237" s="503"/>
      <c r="AB1237" s="503"/>
      <c r="AC1237" s="503"/>
      <c r="AD1237" s="503"/>
      <c r="AE1237" s="503"/>
      <c r="AF1237" s="503"/>
    </row>
    <row r="1238" spans="1:32" ht="15.75" customHeight="1">
      <c r="A1238" s="503"/>
      <c r="B1238" s="503"/>
      <c r="C1238" s="510"/>
      <c r="D1238" s="510"/>
      <c r="E1238" s="510"/>
      <c r="F1238" s="746"/>
      <c r="G1238" s="510"/>
      <c r="H1238" s="510"/>
      <c r="I1238" s="510"/>
      <c r="J1238" s="510"/>
      <c r="K1238" s="510"/>
      <c r="L1238" s="510"/>
      <c r="M1238" s="509"/>
      <c r="N1238" s="508"/>
      <c r="O1238" s="507"/>
      <c r="P1238" s="507"/>
      <c r="Q1238" s="505"/>
      <c r="R1238" s="506"/>
      <c r="S1238" s="506"/>
      <c r="T1238" s="506"/>
      <c r="U1238" s="505"/>
      <c r="V1238" s="505"/>
      <c r="W1238" s="505"/>
      <c r="X1238" s="504"/>
      <c r="Y1238" s="503"/>
      <c r="Z1238" s="503"/>
      <c r="AA1238" s="503"/>
      <c r="AB1238" s="503"/>
      <c r="AC1238" s="503"/>
      <c r="AD1238" s="503"/>
      <c r="AE1238" s="503"/>
      <c r="AF1238" s="503"/>
    </row>
    <row r="1239" spans="1:32" ht="15.75" customHeight="1">
      <c r="A1239" s="503"/>
      <c r="B1239" s="503"/>
      <c r="C1239" s="510"/>
      <c r="D1239" s="510"/>
      <c r="E1239" s="510"/>
      <c r="F1239" s="746"/>
      <c r="G1239" s="510"/>
      <c r="H1239" s="510"/>
      <c r="I1239" s="510"/>
      <c r="J1239" s="510"/>
      <c r="K1239" s="510"/>
      <c r="L1239" s="510"/>
      <c r="M1239" s="509"/>
      <c r="N1239" s="508"/>
      <c r="O1239" s="507"/>
      <c r="P1239" s="507"/>
      <c r="Q1239" s="505"/>
      <c r="R1239" s="506"/>
      <c r="S1239" s="506"/>
      <c r="T1239" s="506"/>
      <c r="U1239" s="505"/>
      <c r="V1239" s="505"/>
      <c r="W1239" s="505"/>
      <c r="X1239" s="504"/>
      <c r="Y1239" s="503"/>
      <c r="Z1239" s="503"/>
      <c r="AA1239" s="503"/>
      <c r="AB1239" s="503"/>
      <c r="AC1239" s="503"/>
      <c r="AD1239" s="503"/>
      <c r="AE1239" s="503"/>
      <c r="AF1239" s="503"/>
    </row>
    <row r="1240" spans="1:32" ht="15.75" customHeight="1">
      <c r="A1240" s="503"/>
      <c r="B1240" s="503"/>
      <c r="C1240" s="510"/>
      <c r="D1240" s="510"/>
      <c r="E1240" s="510"/>
      <c r="F1240" s="746"/>
      <c r="G1240" s="510"/>
      <c r="H1240" s="510"/>
      <c r="I1240" s="510"/>
      <c r="J1240" s="510"/>
      <c r="K1240" s="510"/>
      <c r="L1240" s="510"/>
      <c r="M1240" s="509"/>
      <c r="N1240" s="508"/>
      <c r="O1240" s="507"/>
      <c r="P1240" s="507"/>
      <c r="Q1240" s="505"/>
      <c r="R1240" s="506"/>
      <c r="S1240" s="506"/>
      <c r="T1240" s="506"/>
      <c r="U1240" s="505"/>
      <c r="V1240" s="505"/>
      <c r="W1240" s="505"/>
      <c r="X1240" s="504"/>
      <c r="Y1240" s="503"/>
      <c r="Z1240" s="503"/>
      <c r="AA1240" s="503"/>
      <c r="AB1240" s="503"/>
      <c r="AC1240" s="503"/>
      <c r="AD1240" s="503"/>
      <c r="AE1240" s="503"/>
      <c r="AF1240" s="503"/>
    </row>
    <row r="1241" spans="1:32" ht="15.75" customHeight="1">
      <c r="A1241" s="503"/>
      <c r="B1241" s="503"/>
      <c r="C1241" s="510"/>
      <c r="D1241" s="510"/>
      <c r="E1241" s="510"/>
      <c r="F1241" s="746"/>
      <c r="G1241" s="510"/>
      <c r="H1241" s="510"/>
      <c r="I1241" s="510"/>
      <c r="J1241" s="510"/>
      <c r="K1241" s="510"/>
      <c r="L1241" s="510"/>
      <c r="M1241" s="509"/>
      <c r="N1241" s="508"/>
      <c r="O1241" s="507"/>
      <c r="P1241" s="507"/>
      <c r="Q1241" s="505"/>
      <c r="R1241" s="506"/>
      <c r="S1241" s="506"/>
      <c r="T1241" s="506"/>
      <c r="U1241" s="505"/>
      <c r="V1241" s="505"/>
      <c r="W1241" s="505"/>
      <c r="X1241" s="504"/>
      <c r="Y1241" s="503"/>
      <c r="Z1241" s="503"/>
      <c r="AA1241" s="503"/>
      <c r="AB1241" s="503"/>
      <c r="AC1241" s="503"/>
      <c r="AD1241" s="503"/>
      <c r="AE1241" s="503"/>
      <c r="AF1241" s="503"/>
    </row>
    <row r="1242" spans="1:32" ht="15.75" customHeight="1">
      <c r="A1242" s="503"/>
      <c r="B1242" s="503"/>
      <c r="C1242" s="510"/>
      <c r="D1242" s="510"/>
      <c r="E1242" s="510"/>
      <c r="F1242" s="746"/>
      <c r="G1242" s="510"/>
      <c r="H1242" s="510"/>
      <c r="I1242" s="510"/>
      <c r="J1242" s="510"/>
      <c r="K1242" s="510"/>
      <c r="L1242" s="510"/>
      <c r="M1242" s="509"/>
      <c r="N1242" s="508"/>
      <c r="O1242" s="507"/>
      <c r="P1242" s="507"/>
      <c r="Q1242" s="505"/>
      <c r="R1242" s="506"/>
      <c r="S1242" s="506"/>
      <c r="T1242" s="506"/>
      <c r="U1242" s="505"/>
      <c r="V1242" s="505"/>
      <c r="W1242" s="505"/>
      <c r="X1242" s="504"/>
      <c r="Y1242" s="503"/>
      <c r="Z1242" s="503"/>
      <c r="AA1242" s="503"/>
      <c r="AB1242" s="503"/>
      <c r="AC1242" s="503"/>
      <c r="AD1242" s="503"/>
      <c r="AE1242" s="503"/>
      <c r="AF1242" s="503"/>
    </row>
    <row r="1243" spans="1:32" ht="15.75" customHeight="1">
      <c r="A1243" s="503"/>
      <c r="B1243" s="503"/>
      <c r="C1243" s="510"/>
      <c r="D1243" s="510"/>
      <c r="E1243" s="510"/>
      <c r="F1243" s="746"/>
      <c r="G1243" s="510"/>
      <c r="H1243" s="510"/>
      <c r="I1243" s="510"/>
      <c r="J1243" s="510"/>
      <c r="K1243" s="510"/>
      <c r="L1243" s="510"/>
      <c r="M1243" s="509"/>
      <c r="N1243" s="508"/>
      <c r="O1243" s="507"/>
      <c r="P1243" s="507"/>
      <c r="Q1243" s="505"/>
      <c r="R1243" s="506"/>
      <c r="S1243" s="506"/>
      <c r="T1243" s="506"/>
      <c r="U1243" s="505"/>
      <c r="V1243" s="505"/>
      <c r="W1243" s="505"/>
      <c r="X1243" s="504"/>
      <c r="Y1243" s="503"/>
      <c r="Z1243" s="503"/>
      <c r="AA1243" s="503"/>
      <c r="AB1243" s="503"/>
      <c r="AC1243" s="503"/>
      <c r="AD1243" s="503"/>
      <c r="AE1243" s="503"/>
      <c r="AF1243" s="503"/>
    </row>
    <row r="1244" spans="1:32" ht="15.75" customHeight="1">
      <c r="A1244" s="503"/>
      <c r="B1244" s="503"/>
      <c r="C1244" s="510"/>
      <c r="D1244" s="510"/>
      <c r="E1244" s="510"/>
      <c r="F1244" s="746"/>
      <c r="G1244" s="510"/>
      <c r="H1244" s="510"/>
      <c r="I1244" s="510"/>
      <c r="J1244" s="510"/>
      <c r="K1244" s="510"/>
      <c r="L1244" s="510"/>
      <c r="M1244" s="509"/>
      <c r="N1244" s="508"/>
      <c r="O1244" s="507"/>
      <c r="P1244" s="507"/>
      <c r="Q1244" s="505"/>
      <c r="R1244" s="506"/>
      <c r="S1244" s="506"/>
      <c r="T1244" s="506"/>
      <c r="U1244" s="505"/>
      <c r="V1244" s="505"/>
      <c r="W1244" s="505"/>
      <c r="X1244" s="504"/>
      <c r="Y1244" s="503"/>
      <c r="Z1244" s="503"/>
      <c r="AA1244" s="503"/>
      <c r="AB1244" s="503"/>
      <c r="AC1244" s="503"/>
      <c r="AD1244" s="503"/>
      <c r="AE1244" s="503"/>
      <c r="AF1244" s="503"/>
    </row>
    <row r="1245" spans="1:32" ht="15.75" customHeight="1">
      <c r="A1245" s="503"/>
      <c r="B1245" s="503"/>
      <c r="C1245" s="510"/>
      <c r="D1245" s="510"/>
      <c r="E1245" s="510"/>
      <c r="F1245" s="746"/>
      <c r="G1245" s="510"/>
      <c r="H1245" s="510"/>
      <c r="I1245" s="510"/>
      <c r="J1245" s="510"/>
      <c r="K1245" s="510"/>
      <c r="L1245" s="510"/>
      <c r="M1245" s="509"/>
      <c r="N1245" s="508"/>
      <c r="O1245" s="507"/>
      <c r="P1245" s="507"/>
      <c r="Q1245" s="505"/>
      <c r="R1245" s="506"/>
      <c r="S1245" s="506"/>
      <c r="T1245" s="506"/>
      <c r="U1245" s="505"/>
      <c r="V1245" s="505"/>
      <c r="W1245" s="505"/>
      <c r="X1245" s="504"/>
      <c r="Y1245" s="503"/>
      <c r="Z1245" s="503"/>
      <c r="AA1245" s="503"/>
      <c r="AB1245" s="503"/>
      <c r="AC1245" s="503"/>
      <c r="AD1245" s="503"/>
      <c r="AE1245" s="503"/>
      <c r="AF1245" s="503"/>
    </row>
    <row r="1246" spans="1:32" ht="15.75" customHeight="1">
      <c r="A1246" s="503"/>
      <c r="B1246" s="503"/>
      <c r="C1246" s="510"/>
      <c r="D1246" s="510"/>
      <c r="E1246" s="510"/>
      <c r="F1246" s="746"/>
      <c r="G1246" s="510"/>
      <c r="H1246" s="510"/>
      <c r="I1246" s="510"/>
      <c r="J1246" s="510"/>
      <c r="K1246" s="510"/>
      <c r="L1246" s="510"/>
      <c r="M1246" s="509"/>
      <c r="N1246" s="508"/>
      <c r="O1246" s="507"/>
      <c r="P1246" s="507"/>
      <c r="Q1246" s="505"/>
      <c r="R1246" s="506"/>
      <c r="S1246" s="506"/>
      <c r="T1246" s="506"/>
      <c r="U1246" s="505"/>
      <c r="V1246" s="505"/>
      <c r="W1246" s="505"/>
      <c r="X1246" s="504"/>
      <c r="Y1246" s="503"/>
      <c r="Z1246" s="503"/>
      <c r="AA1246" s="503"/>
      <c r="AB1246" s="503"/>
      <c r="AC1246" s="503"/>
      <c r="AD1246" s="503"/>
      <c r="AE1246" s="503"/>
      <c r="AF1246" s="503"/>
    </row>
    <row r="1247" spans="1:32" ht="15.75" customHeight="1">
      <c r="A1247" s="503"/>
      <c r="B1247" s="503"/>
      <c r="C1247" s="510"/>
      <c r="D1247" s="510"/>
      <c r="E1247" s="510"/>
      <c r="F1247" s="746"/>
      <c r="G1247" s="510"/>
      <c r="H1247" s="510"/>
      <c r="I1247" s="510"/>
      <c r="J1247" s="510"/>
      <c r="K1247" s="510"/>
      <c r="L1247" s="510"/>
      <c r="M1247" s="509"/>
      <c r="N1247" s="508"/>
      <c r="O1247" s="507"/>
      <c r="P1247" s="507"/>
      <c r="Q1247" s="505"/>
      <c r="R1247" s="506"/>
      <c r="S1247" s="506"/>
      <c r="T1247" s="506"/>
      <c r="U1247" s="505"/>
      <c r="V1247" s="505"/>
      <c r="W1247" s="505"/>
      <c r="X1247" s="504"/>
      <c r="Y1247" s="503"/>
      <c r="Z1247" s="503"/>
      <c r="AA1247" s="503"/>
      <c r="AB1247" s="503"/>
      <c r="AC1247" s="503"/>
      <c r="AD1247" s="503"/>
      <c r="AE1247" s="503"/>
      <c r="AF1247" s="503"/>
    </row>
    <row r="1248" spans="1:32" ht="15.75" customHeight="1">
      <c r="A1248" s="503"/>
      <c r="B1248" s="503"/>
      <c r="C1248" s="510"/>
      <c r="D1248" s="510"/>
      <c r="E1248" s="510"/>
      <c r="F1248" s="746"/>
      <c r="G1248" s="510"/>
      <c r="H1248" s="510"/>
      <c r="I1248" s="510"/>
      <c r="J1248" s="510"/>
      <c r="K1248" s="510"/>
      <c r="L1248" s="510"/>
      <c r="M1248" s="509"/>
      <c r="N1248" s="508"/>
      <c r="O1248" s="507"/>
      <c r="P1248" s="507"/>
      <c r="Q1248" s="505"/>
      <c r="R1248" s="506"/>
      <c r="S1248" s="506"/>
      <c r="T1248" s="506"/>
      <c r="U1248" s="505"/>
      <c r="V1248" s="505"/>
      <c r="W1248" s="505"/>
      <c r="X1248" s="504"/>
      <c r="Y1248" s="503"/>
      <c r="Z1248" s="503"/>
      <c r="AA1248" s="503"/>
      <c r="AB1248" s="503"/>
      <c r="AC1248" s="503"/>
      <c r="AD1248" s="503"/>
      <c r="AE1248" s="503"/>
      <c r="AF1248" s="503"/>
    </row>
    <row r="1249" spans="1:32" ht="15.75" customHeight="1">
      <c r="A1249" s="503"/>
      <c r="B1249" s="503"/>
      <c r="C1249" s="510"/>
      <c r="D1249" s="510"/>
      <c r="E1249" s="510"/>
      <c r="F1249" s="746"/>
      <c r="G1249" s="510"/>
      <c r="H1249" s="510"/>
      <c r="I1249" s="510"/>
      <c r="J1249" s="510"/>
      <c r="K1249" s="510"/>
      <c r="L1249" s="510"/>
      <c r="M1249" s="509"/>
      <c r="N1249" s="508"/>
      <c r="O1249" s="507"/>
      <c r="P1249" s="507"/>
      <c r="Q1249" s="505"/>
      <c r="R1249" s="506"/>
      <c r="S1249" s="506"/>
      <c r="T1249" s="506"/>
      <c r="U1249" s="505"/>
      <c r="V1249" s="505"/>
      <c r="W1249" s="505"/>
      <c r="X1249" s="504"/>
      <c r="Y1249" s="503"/>
      <c r="Z1249" s="503"/>
      <c r="AA1249" s="503"/>
      <c r="AB1249" s="503"/>
      <c r="AC1249" s="503"/>
      <c r="AD1249" s="503"/>
      <c r="AE1249" s="503"/>
      <c r="AF1249" s="503"/>
    </row>
    <row r="1250" spans="1:32" ht="15.75" customHeight="1">
      <c r="A1250" s="503"/>
      <c r="B1250" s="503"/>
      <c r="C1250" s="510"/>
      <c r="D1250" s="510"/>
      <c r="E1250" s="510"/>
      <c r="F1250" s="746"/>
      <c r="G1250" s="510"/>
      <c r="H1250" s="510"/>
      <c r="I1250" s="510"/>
      <c r="J1250" s="510"/>
      <c r="K1250" s="510"/>
      <c r="L1250" s="510"/>
      <c r="M1250" s="509"/>
      <c r="N1250" s="508"/>
      <c r="O1250" s="507"/>
      <c r="P1250" s="507"/>
      <c r="Q1250" s="505"/>
      <c r="R1250" s="506"/>
      <c r="S1250" s="506"/>
      <c r="T1250" s="506"/>
      <c r="U1250" s="505"/>
      <c r="V1250" s="505"/>
      <c r="W1250" s="505"/>
      <c r="X1250" s="504"/>
      <c r="Y1250" s="503"/>
      <c r="Z1250" s="503"/>
      <c r="AA1250" s="503"/>
      <c r="AB1250" s="503"/>
      <c r="AC1250" s="503"/>
      <c r="AD1250" s="503"/>
      <c r="AE1250" s="503"/>
      <c r="AF1250" s="503"/>
    </row>
    <row r="1251" spans="1:32" ht="15.75" customHeight="1">
      <c r="A1251" s="503"/>
      <c r="B1251" s="503"/>
      <c r="C1251" s="510"/>
      <c r="D1251" s="510"/>
      <c r="E1251" s="510"/>
      <c r="F1251" s="746"/>
      <c r="G1251" s="510"/>
      <c r="H1251" s="510"/>
      <c r="I1251" s="510"/>
      <c r="J1251" s="510"/>
      <c r="K1251" s="510"/>
      <c r="L1251" s="510"/>
      <c r="M1251" s="509"/>
      <c r="N1251" s="508"/>
      <c r="O1251" s="507"/>
      <c r="P1251" s="507"/>
      <c r="Q1251" s="505"/>
      <c r="R1251" s="506"/>
      <c r="S1251" s="506"/>
      <c r="T1251" s="506"/>
      <c r="U1251" s="505"/>
      <c r="V1251" s="505"/>
      <c r="W1251" s="505"/>
      <c r="X1251" s="504"/>
      <c r="Y1251" s="503"/>
      <c r="Z1251" s="503"/>
      <c r="AA1251" s="503"/>
      <c r="AB1251" s="503"/>
      <c r="AC1251" s="503"/>
      <c r="AD1251" s="503"/>
      <c r="AE1251" s="503"/>
      <c r="AF1251" s="503"/>
    </row>
    <row r="1252" spans="1:32" ht="15.75" customHeight="1">
      <c r="A1252" s="503"/>
      <c r="B1252" s="503"/>
      <c r="C1252" s="510"/>
      <c r="D1252" s="510"/>
      <c r="E1252" s="510"/>
      <c r="F1252" s="746"/>
      <c r="G1252" s="510"/>
      <c r="H1252" s="510"/>
      <c r="I1252" s="510"/>
      <c r="J1252" s="510"/>
      <c r="K1252" s="510"/>
      <c r="L1252" s="510"/>
      <c r="M1252" s="509"/>
      <c r="N1252" s="508"/>
      <c r="O1252" s="507"/>
      <c r="P1252" s="507"/>
      <c r="Q1252" s="505"/>
      <c r="R1252" s="506"/>
      <c r="S1252" s="506"/>
      <c r="T1252" s="506"/>
      <c r="U1252" s="505"/>
      <c r="V1252" s="505"/>
      <c r="W1252" s="505"/>
      <c r="X1252" s="504"/>
      <c r="Y1252" s="503"/>
      <c r="Z1252" s="503"/>
      <c r="AA1252" s="503"/>
      <c r="AB1252" s="503"/>
      <c r="AC1252" s="503"/>
      <c r="AD1252" s="503"/>
      <c r="AE1252" s="503"/>
      <c r="AF1252" s="503"/>
    </row>
    <row r="1253" spans="1:32" ht="15.75" customHeight="1">
      <c r="A1253" s="503"/>
      <c r="B1253" s="503"/>
      <c r="C1253" s="510"/>
      <c r="D1253" s="510"/>
      <c r="E1253" s="510"/>
      <c r="F1253" s="746"/>
      <c r="G1253" s="510"/>
      <c r="H1253" s="510"/>
      <c r="I1253" s="510"/>
      <c r="J1253" s="510"/>
      <c r="K1253" s="510"/>
      <c r="L1253" s="510"/>
      <c r="M1253" s="509"/>
      <c r="N1253" s="508"/>
      <c r="O1253" s="507"/>
      <c r="P1253" s="507"/>
      <c r="Q1253" s="505"/>
      <c r="R1253" s="506"/>
      <c r="S1253" s="506"/>
      <c r="T1253" s="506"/>
      <c r="U1253" s="505"/>
      <c r="V1253" s="505"/>
      <c r="W1253" s="505"/>
      <c r="X1253" s="504"/>
      <c r="Y1253" s="503"/>
      <c r="Z1253" s="503"/>
      <c r="AA1253" s="503"/>
      <c r="AB1253" s="503"/>
      <c r="AC1253" s="503"/>
      <c r="AD1253" s="503"/>
      <c r="AE1253" s="503"/>
      <c r="AF1253" s="503"/>
    </row>
    <row r="1254" spans="1:32" ht="15.75" customHeight="1">
      <c r="A1254" s="503"/>
      <c r="B1254" s="503"/>
      <c r="C1254" s="510"/>
      <c r="D1254" s="510"/>
      <c r="E1254" s="510"/>
      <c r="F1254" s="746"/>
      <c r="G1254" s="510"/>
      <c r="H1254" s="510"/>
      <c r="I1254" s="510"/>
      <c r="J1254" s="510"/>
      <c r="K1254" s="510"/>
      <c r="L1254" s="510"/>
      <c r="M1254" s="509"/>
      <c r="N1254" s="508"/>
      <c r="O1254" s="507"/>
      <c r="P1254" s="507"/>
      <c r="Q1254" s="505"/>
      <c r="R1254" s="506"/>
      <c r="S1254" s="506"/>
      <c r="T1254" s="506"/>
      <c r="U1254" s="505"/>
      <c r="V1254" s="505"/>
      <c r="W1254" s="505"/>
      <c r="X1254" s="504"/>
      <c r="Y1254" s="503"/>
      <c r="Z1254" s="503"/>
      <c r="AA1254" s="503"/>
      <c r="AB1254" s="503"/>
      <c r="AC1254" s="503"/>
      <c r="AD1254" s="503"/>
      <c r="AE1254" s="503"/>
      <c r="AF1254" s="503"/>
    </row>
    <row r="1255" spans="1:32" ht="15.75" customHeight="1">
      <c r="A1255" s="503"/>
      <c r="B1255" s="503"/>
      <c r="C1255" s="510"/>
      <c r="D1255" s="510"/>
      <c r="E1255" s="510"/>
      <c r="F1255" s="746"/>
      <c r="G1255" s="510"/>
      <c r="H1255" s="510"/>
      <c r="I1255" s="510"/>
      <c r="J1255" s="510"/>
      <c r="K1255" s="510"/>
      <c r="L1255" s="510"/>
      <c r="M1255" s="509"/>
      <c r="N1255" s="508"/>
      <c r="O1255" s="507"/>
      <c r="P1255" s="507"/>
      <c r="Q1255" s="505"/>
      <c r="R1255" s="506"/>
      <c r="S1255" s="506"/>
      <c r="T1255" s="506"/>
      <c r="U1255" s="505"/>
      <c r="V1255" s="505"/>
      <c r="W1255" s="505"/>
      <c r="X1255" s="504"/>
      <c r="Y1255" s="503"/>
      <c r="Z1255" s="503"/>
      <c r="AA1255" s="503"/>
      <c r="AB1255" s="503"/>
      <c r="AC1255" s="503"/>
      <c r="AD1255" s="503"/>
      <c r="AE1255" s="503"/>
      <c r="AF1255" s="503"/>
    </row>
    <row r="1256" spans="1:32" ht="15.75" customHeight="1">
      <c r="A1256" s="503"/>
      <c r="B1256" s="503"/>
      <c r="C1256" s="510"/>
      <c r="D1256" s="510"/>
      <c r="E1256" s="510"/>
      <c r="F1256" s="746"/>
      <c r="G1256" s="510"/>
      <c r="H1256" s="510"/>
      <c r="I1256" s="510"/>
      <c r="J1256" s="510"/>
      <c r="K1256" s="510"/>
      <c r="L1256" s="510"/>
      <c r="M1256" s="509"/>
      <c r="N1256" s="508"/>
      <c r="O1256" s="507"/>
      <c r="P1256" s="507"/>
      <c r="Q1256" s="505"/>
      <c r="R1256" s="506"/>
      <c r="S1256" s="506"/>
      <c r="T1256" s="506"/>
      <c r="U1256" s="505"/>
      <c r="V1256" s="505"/>
      <c r="W1256" s="505"/>
      <c r="X1256" s="504"/>
      <c r="Y1256" s="503"/>
      <c r="Z1256" s="503"/>
      <c r="AA1256" s="503"/>
      <c r="AB1256" s="503"/>
      <c r="AC1256" s="503"/>
      <c r="AD1256" s="503"/>
      <c r="AE1256" s="503"/>
      <c r="AF1256" s="503"/>
    </row>
    <row r="1257" spans="1:32" ht="15.75" customHeight="1">
      <c r="A1257" s="503"/>
      <c r="B1257" s="503"/>
      <c r="C1257" s="510"/>
      <c r="D1257" s="510"/>
      <c r="E1257" s="510"/>
      <c r="F1257" s="746"/>
      <c r="G1257" s="510"/>
      <c r="H1257" s="510"/>
      <c r="I1257" s="510"/>
      <c r="J1257" s="510"/>
      <c r="K1257" s="510"/>
      <c r="L1257" s="510"/>
      <c r="M1257" s="509"/>
      <c r="N1257" s="508"/>
      <c r="O1257" s="507"/>
      <c r="P1257" s="507"/>
      <c r="Q1257" s="505"/>
      <c r="R1257" s="506"/>
      <c r="S1257" s="506"/>
      <c r="T1257" s="506"/>
      <c r="U1257" s="505"/>
      <c r="V1257" s="505"/>
      <c r="W1257" s="505"/>
      <c r="X1257" s="504"/>
      <c r="Y1257" s="503"/>
      <c r="Z1257" s="503"/>
      <c r="AA1257" s="503"/>
      <c r="AB1257" s="503"/>
      <c r="AC1257" s="503"/>
      <c r="AD1257" s="503"/>
      <c r="AE1257" s="503"/>
      <c r="AF1257" s="503"/>
    </row>
    <row r="1258" spans="1:32" ht="15.75" customHeight="1">
      <c r="A1258" s="503"/>
      <c r="B1258" s="503"/>
      <c r="C1258" s="510"/>
      <c r="D1258" s="510"/>
      <c r="E1258" s="510"/>
      <c r="F1258" s="746"/>
      <c r="G1258" s="510"/>
      <c r="H1258" s="510"/>
      <c r="I1258" s="510"/>
      <c r="J1258" s="510"/>
      <c r="K1258" s="510"/>
      <c r="L1258" s="510"/>
      <c r="M1258" s="509"/>
      <c r="N1258" s="508"/>
      <c r="O1258" s="507"/>
      <c r="P1258" s="507"/>
      <c r="Q1258" s="505"/>
      <c r="R1258" s="506"/>
      <c r="S1258" s="506"/>
      <c r="T1258" s="506"/>
      <c r="U1258" s="505"/>
      <c r="V1258" s="505"/>
      <c r="W1258" s="505"/>
      <c r="X1258" s="504"/>
      <c r="Y1258" s="503"/>
      <c r="Z1258" s="503"/>
      <c r="AA1258" s="503"/>
      <c r="AB1258" s="503"/>
      <c r="AC1258" s="503"/>
      <c r="AD1258" s="503"/>
      <c r="AE1258" s="503"/>
      <c r="AF1258" s="503"/>
    </row>
    <row r="1259" spans="1:32" ht="15.75" customHeight="1">
      <c r="A1259" s="503"/>
      <c r="B1259" s="503"/>
      <c r="C1259" s="510"/>
      <c r="D1259" s="510"/>
      <c r="E1259" s="510"/>
      <c r="F1259" s="746"/>
      <c r="G1259" s="510"/>
      <c r="H1259" s="510"/>
      <c r="I1259" s="510"/>
      <c r="J1259" s="510"/>
      <c r="K1259" s="510"/>
      <c r="L1259" s="510"/>
      <c r="M1259" s="509"/>
      <c r="N1259" s="508"/>
      <c r="O1259" s="507"/>
      <c r="P1259" s="507"/>
      <c r="Q1259" s="505"/>
      <c r="R1259" s="506"/>
      <c r="S1259" s="506"/>
      <c r="T1259" s="506"/>
      <c r="U1259" s="505"/>
      <c r="V1259" s="505"/>
      <c r="W1259" s="505"/>
      <c r="X1259" s="504"/>
      <c r="Y1259" s="503"/>
      <c r="Z1259" s="503"/>
      <c r="AA1259" s="503"/>
      <c r="AB1259" s="503"/>
      <c r="AC1259" s="503"/>
      <c r="AD1259" s="503"/>
      <c r="AE1259" s="503"/>
      <c r="AF1259" s="503"/>
    </row>
    <row r="1260" spans="1:32" ht="15.75" customHeight="1">
      <c r="A1260" s="503"/>
      <c r="B1260" s="503"/>
      <c r="C1260" s="510"/>
      <c r="D1260" s="510"/>
      <c r="E1260" s="510"/>
      <c r="F1260" s="746"/>
      <c r="G1260" s="510"/>
      <c r="H1260" s="510"/>
      <c r="I1260" s="510"/>
      <c r="J1260" s="510"/>
      <c r="K1260" s="510"/>
      <c r="L1260" s="510"/>
      <c r="M1260" s="509"/>
      <c r="N1260" s="508"/>
      <c r="O1260" s="507"/>
      <c r="P1260" s="507"/>
      <c r="Q1260" s="505"/>
      <c r="R1260" s="506"/>
      <c r="S1260" s="506"/>
      <c r="T1260" s="506"/>
      <c r="U1260" s="505"/>
      <c r="V1260" s="505"/>
      <c r="W1260" s="505"/>
      <c r="X1260" s="504"/>
      <c r="Y1260" s="503"/>
      <c r="Z1260" s="503"/>
      <c r="AA1260" s="503"/>
      <c r="AB1260" s="503"/>
      <c r="AC1260" s="503"/>
      <c r="AD1260" s="503"/>
      <c r="AE1260" s="503"/>
      <c r="AF1260" s="503"/>
    </row>
    <row r="1261" spans="1:32" ht="15.75" customHeight="1">
      <c r="A1261" s="503"/>
      <c r="B1261" s="503"/>
      <c r="C1261" s="510"/>
      <c r="D1261" s="510"/>
      <c r="E1261" s="510"/>
      <c r="F1261" s="746"/>
      <c r="G1261" s="510"/>
      <c r="H1261" s="510"/>
      <c r="I1261" s="510"/>
      <c r="J1261" s="510"/>
      <c r="K1261" s="510"/>
      <c r="L1261" s="510"/>
      <c r="M1261" s="509"/>
      <c r="N1261" s="508"/>
      <c r="O1261" s="507"/>
      <c r="P1261" s="507"/>
      <c r="Q1261" s="505"/>
      <c r="R1261" s="506"/>
      <c r="S1261" s="506"/>
      <c r="T1261" s="506"/>
      <c r="U1261" s="505"/>
      <c r="V1261" s="505"/>
      <c r="W1261" s="505"/>
      <c r="X1261" s="504"/>
      <c r="Y1261" s="503"/>
      <c r="Z1261" s="503"/>
      <c r="AA1261" s="503"/>
      <c r="AB1261" s="503"/>
      <c r="AC1261" s="503"/>
      <c r="AD1261" s="503"/>
      <c r="AE1261" s="503"/>
      <c r="AF1261" s="503"/>
    </row>
    <row r="1262" spans="1:32" ht="15.75" customHeight="1">
      <c r="A1262" s="503"/>
      <c r="B1262" s="503"/>
      <c r="C1262" s="510"/>
      <c r="D1262" s="510"/>
      <c r="E1262" s="510"/>
      <c r="F1262" s="746"/>
      <c r="G1262" s="510"/>
      <c r="H1262" s="510"/>
      <c r="I1262" s="510"/>
      <c r="J1262" s="510"/>
      <c r="K1262" s="510"/>
      <c r="L1262" s="510"/>
      <c r="M1262" s="509"/>
      <c r="N1262" s="508"/>
      <c r="O1262" s="507"/>
      <c r="P1262" s="507"/>
      <c r="Q1262" s="505"/>
      <c r="R1262" s="506"/>
      <c r="S1262" s="506"/>
      <c r="T1262" s="506"/>
      <c r="U1262" s="505"/>
      <c r="V1262" s="505"/>
      <c r="W1262" s="505"/>
      <c r="X1262" s="504"/>
      <c r="Y1262" s="503"/>
      <c r="Z1262" s="503"/>
      <c r="AA1262" s="503"/>
      <c r="AB1262" s="503"/>
      <c r="AC1262" s="503"/>
      <c r="AD1262" s="503"/>
      <c r="AE1262" s="503"/>
      <c r="AF1262" s="503"/>
    </row>
    <row r="1263" spans="1:32" ht="15.75" customHeight="1">
      <c r="A1263" s="503"/>
      <c r="B1263" s="503"/>
      <c r="C1263" s="510"/>
      <c r="D1263" s="510"/>
      <c r="E1263" s="510"/>
      <c r="F1263" s="746"/>
      <c r="G1263" s="510"/>
      <c r="H1263" s="510"/>
      <c r="I1263" s="510"/>
      <c r="J1263" s="510"/>
      <c r="K1263" s="510"/>
      <c r="L1263" s="510"/>
      <c r="M1263" s="509"/>
      <c r="N1263" s="508"/>
      <c r="O1263" s="507"/>
      <c r="P1263" s="507"/>
      <c r="Q1263" s="505"/>
      <c r="R1263" s="506"/>
      <c r="S1263" s="506"/>
      <c r="T1263" s="506"/>
      <c r="U1263" s="505"/>
      <c r="V1263" s="505"/>
      <c r="W1263" s="505"/>
      <c r="X1263" s="504"/>
      <c r="Y1263" s="503"/>
      <c r="Z1263" s="503"/>
      <c r="AA1263" s="503"/>
      <c r="AB1263" s="503"/>
      <c r="AC1263" s="503"/>
      <c r="AD1263" s="503"/>
      <c r="AE1263" s="503"/>
      <c r="AF1263" s="503"/>
    </row>
    <row r="1264" spans="1:32" ht="15.75" customHeight="1">
      <c r="A1264" s="503"/>
      <c r="B1264" s="503"/>
      <c r="C1264" s="510"/>
      <c r="D1264" s="510"/>
      <c r="E1264" s="510"/>
      <c r="F1264" s="746"/>
      <c r="G1264" s="510"/>
      <c r="H1264" s="510"/>
      <c r="I1264" s="510"/>
      <c r="J1264" s="510"/>
      <c r="K1264" s="510"/>
      <c r="L1264" s="510"/>
      <c r="M1264" s="509"/>
      <c r="N1264" s="508"/>
      <c r="O1264" s="507"/>
      <c r="P1264" s="507"/>
      <c r="Q1264" s="505"/>
      <c r="R1264" s="506"/>
      <c r="S1264" s="506"/>
      <c r="T1264" s="506"/>
      <c r="U1264" s="505"/>
      <c r="V1264" s="505"/>
      <c r="W1264" s="505"/>
      <c r="X1264" s="504"/>
      <c r="Y1264" s="503"/>
      <c r="Z1264" s="503"/>
      <c r="AA1264" s="503"/>
      <c r="AB1264" s="503"/>
      <c r="AC1264" s="503"/>
      <c r="AD1264" s="503"/>
      <c r="AE1264" s="503"/>
      <c r="AF1264" s="503"/>
    </row>
    <row r="1265" spans="1:32" ht="15.75" customHeight="1">
      <c r="A1265" s="503"/>
      <c r="B1265" s="503"/>
      <c r="C1265" s="510"/>
      <c r="D1265" s="510"/>
      <c r="E1265" s="510"/>
      <c r="F1265" s="746"/>
      <c r="G1265" s="510"/>
      <c r="H1265" s="510"/>
      <c r="I1265" s="510"/>
      <c r="J1265" s="510"/>
      <c r="K1265" s="510"/>
      <c r="L1265" s="510"/>
      <c r="M1265" s="509"/>
      <c r="N1265" s="508"/>
      <c r="O1265" s="507"/>
      <c r="P1265" s="507"/>
      <c r="Q1265" s="505"/>
      <c r="R1265" s="506"/>
      <c r="S1265" s="506"/>
      <c r="T1265" s="506"/>
      <c r="U1265" s="505"/>
      <c r="V1265" s="505"/>
      <c r="W1265" s="505"/>
      <c r="X1265" s="504"/>
      <c r="Y1265" s="503"/>
      <c r="Z1265" s="503"/>
      <c r="AA1265" s="503"/>
      <c r="AB1265" s="503"/>
      <c r="AC1265" s="503"/>
      <c r="AD1265" s="503"/>
      <c r="AE1265" s="503"/>
      <c r="AF1265" s="503"/>
    </row>
    <row r="1266" spans="1:32" ht="15.75" customHeight="1">
      <c r="A1266" s="503"/>
      <c r="B1266" s="503"/>
      <c r="C1266" s="510"/>
      <c r="D1266" s="510"/>
      <c r="E1266" s="510"/>
      <c r="F1266" s="746"/>
      <c r="G1266" s="510"/>
      <c r="H1266" s="510"/>
      <c r="I1266" s="510"/>
      <c r="J1266" s="510"/>
      <c r="K1266" s="510"/>
      <c r="L1266" s="510"/>
      <c r="M1266" s="509"/>
      <c r="N1266" s="508"/>
      <c r="O1266" s="507"/>
      <c r="P1266" s="507"/>
      <c r="Q1266" s="505"/>
      <c r="R1266" s="506"/>
      <c r="S1266" s="506"/>
      <c r="T1266" s="506"/>
      <c r="U1266" s="505"/>
      <c r="V1266" s="505"/>
      <c r="W1266" s="505"/>
      <c r="X1266" s="504"/>
      <c r="Y1266" s="503"/>
      <c r="Z1266" s="503"/>
      <c r="AA1266" s="503"/>
      <c r="AB1266" s="503"/>
      <c r="AC1266" s="503"/>
      <c r="AD1266" s="503"/>
      <c r="AE1266" s="503"/>
      <c r="AF1266" s="503"/>
    </row>
    <row r="1267" spans="1:32" ht="15.75" customHeight="1">
      <c r="A1267" s="503"/>
      <c r="B1267" s="503"/>
      <c r="C1267" s="510"/>
      <c r="D1267" s="510"/>
      <c r="E1267" s="510"/>
      <c r="F1267" s="746"/>
      <c r="G1267" s="510"/>
      <c r="H1267" s="510"/>
      <c r="I1267" s="510"/>
      <c r="J1267" s="510"/>
      <c r="K1267" s="510"/>
      <c r="L1267" s="510"/>
      <c r="M1267" s="509"/>
      <c r="N1267" s="508"/>
      <c r="O1267" s="507"/>
      <c r="P1267" s="507"/>
      <c r="Q1267" s="505"/>
      <c r="R1267" s="506"/>
      <c r="S1267" s="506"/>
      <c r="T1267" s="506"/>
      <c r="U1267" s="505"/>
      <c r="V1267" s="505"/>
      <c r="W1267" s="505"/>
      <c r="X1267" s="504"/>
      <c r="Y1267" s="503"/>
      <c r="Z1267" s="503"/>
      <c r="AA1267" s="503"/>
      <c r="AB1267" s="503"/>
      <c r="AC1267" s="503"/>
      <c r="AD1267" s="503"/>
      <c r="AE1267" s="503"/>
      <c r="AF1267" s="503"/>
    </row>
    <row r="1268" spans="1:32" ht="15.75" customHeight="1">
      <c r="A1268" s="503"/>
      <c r="B1268" s="503"/>
      <c r="C1268" s="510"/>
      <c r="D1268" s="510"/>
      <c r="E1268" s="510"/>
      <c r="F1268" s="746"/>
      <c r="G1268" s="510"/>
      <c r="H1268" s="510"/>
      <c r="I1268" s="510"/>
      <c r="J1268" s="510"/>
      <c r="K1268" s="510"/>
      <c r="L1268" s="510"/>
      <c r="M1268" s="509"/>
      <c r="N1268" s="508"/>
      <c r="O1268" s="507"/>
      <c r="P1268" s="507"/>
      <c r="Q1268" s="505"/>
      <c r="R1268" s="506"/>
      <c r="S1268" s="506"/>
      <c r="T1268" s="506"/>
      <c r="U1268" s="505"/>
      <c r="V1268" s="505"/>
      <c r="W1268" s="505"/>
      <c r="X1268" s="504"/>
      <c r="Y1268" s="503"/>
      <c r="Z1268" s="503"/>
      <c r="AA1268" s="503"/>
      <c r="AB1268" s="503"/>
      <c r="AC1268" s="503"/>
      <c r="AD1268" s="503"/>
      <c r="AE1268" s="503"/>
      <c r="AF1268" s="503"/>
    </row>
    <row r="1269" spans="1:32" ht="15.75" customHeight="1">
      <c r="A1269" s="503"/>
      <c r="B1269" s="503"/>
      <c r="C1269" s="510"/>
      <c r="D1269" s="510"/>
      <c r="E1269" s="510"/>
      <c r="F1269" s="746"/>
      <c r="G1269" s="510"/>
      <c r="H1269" s="510"/>
      <c r="I1269" s="510"/>
      <c r="J1269" s="510"/>
      <c r="K1269" s="510"/>
      <c r="L1269" s="510"/>
      <c r="M1269" s="509"/>
      <c r="N1269" s="508"/>
      <c r="O1269" s="507"/>
      <c r="P1269" s="507"/>
      <c r="Q1269" s="505"/>
      <c r="R1269" s="506"/>
      <c r="S1269" s="506"/>
      <c r="T1269" s="506"/>
      <c r="U1269" s="505"/>
      <c r="V1269" s="505"/>
      <c r="W1269" s="505"/>
      <c r="X1269" s="504"/>
      <c r="Y1269" s="503"/>
      <c r="Z1269" s="503"/>
      <c r="AA1269" s="503"/>
      <c r="AB1269" s="503"/>
      <c r="AC1269" s="503"/>
      <c r="AD1269" s="503"/>
      <c r="AE1269" s="503"/>
      <c r="AF1269" s="503"/>
    </row>
    <row r="1270" spans="1:32" ht="15.75" customHeight="1">
      <c r="A1270" s="503"/>
      <c r="B1270" s="503"/>
      <c r="C1270" s="510"/>
      <c r="D1270" s="510"/>
      <c r="E1270" s="510"/>
      <c r="F1270" s="746"/>
      <c r="G1270" s="510"/>
      <c r="H1270" s="510"/>
      <c r="I1270" s="510"/>
      <c r="J1270" s="510"/>
      <c r="K1270" s="510"/>
      <c r="L1270" s="510"/>
      <c r="M1270" s="509"/>
      <c r="N1270" s="508"/>
      <c r="O1270" s="507"/>
      <c r="P1270" s="507"/>
      <c r="Q1270" s="505"/>
      <c r="R1270" s="506"/>
      <c r="S1270" s="506"/>
      <c r="T1270" s="506"/>
      <c r="U1270" s="505"/>
      <c r="V1270" s="505"/>
      <c r="W1270" s="505"/>
      <c r="X1270" s="504"/>
      <c r="Y1270" s="503"/>
      <c r="Z1270" s="503"/>
      <c r="AA1270" s="503"/>
      <c r="AB1270" s="503"/>
      <c r="AC1270" s="503"/>
      <c r="AD1270" s="503"/>
      <c r="AE1270" s="503"/>
      <c r="AF1270" s="503"/>
    </row>
    <row r="1271" spans="1:32" ht="15.75" customHeight="1">
      <c r="A1271" s="503"/>
      <c r="B1271" s="503"/>
      <c r="C1271" s="510"/>
      <c r="D1271" s="510"/>
      <c r="E1271" s="510"/>
      <c r="F1271" s="746"/>
      <c r="G1271" s="510"/>
      <c r="H1271" s="510"/>
      <c r="I1271" s="510"/>
      <c r="J1271" s="510"/>
      <c r="K1271" s="510"/>
      <c r="L1271" s="510"/>
      <c r="M1271" s="509"/>
      <c r="N1271" s="508"/>
      <c r="O1271" s="507"/>
      <c r="P1271" s="507"/>
      <c r="Q1271" s="505"/>
      <c r="R1271" s="506"/>
      <c r="S1271" s="506"/>
      <c r="T1271" s="506"/>
      <c r="U1271" s="505"/>
      <c r="V1271" s="505"/>
      <c r="W1271" s="505"/>
      <c r="X1271" s="504"/>
      <c r="Y1271" s="503"/>
      <c r="Z1271" s="503"/>
      <c r="AA1271" s="503"/>
      <c r="AB1271" s="503"/>
      <c r="AC1271" s="503"/>
      <c r="AD1271" s="503"/>
      <c r="AE1271" s="503"/>
      <c r="AF1271" s="503"/>
    </row>
    <row r="1272" spans="1:32" ht="15.75" customHeight="1">
      <c r="A1272" s="503"/>
      <c r="B1272" s="503"/>
      <c r="C1272" s="510"/>
      <c r="D1272" s="510"/>
      <c r="E1272" s="510"/>
      <c r="F1272" s="746"/>
      <c r="G1272" s="510"/>
      <c r="H1272" s="510"/>
      <c r="I1272" s="510"/>
      <c r="J1272" s="510"/>
      <c r="K1272" s="510"/>
      <c r="L1272" s="510"/>
      <c r="M1272" s="509"/>
      <c r="N1272" s="508"/>
      <c r="O1272" s="507"/>
      <c r="P1272" s="507"/>
      <c r="Q1272" s="505"/>
      <c r="R1272" s="506"/>
      <c r="S1272" s="506"/>
      <c r="T1272" s="506"/>
      <c r="U1272" s="505"/>
      <c r="V1272" s="505"/>
      <c r="W1272" s="505"/>
      <c r="X1272" s="504"/>
      <c r="Y1272" s="503"/>
      <c r="Z1272" s="503"/>
      <c r="AA1272" s="503"/>
      <c r="AB1272" s="503"/>
      <c r="AC1272" s="503"/>
      <c r="AD1272" s="503"/>
      <c r="AE1272" s="503"/>
      <c r="AF1272" s="503"/>
    </row>
    <row r="1273" spans="1:32" ht="15.75" customHeight="1">
      <c r="A1273" s="503"/>
      <c r="B1273" s="503"/>
      <c r="C1273" s="510"/>
      <c r="D1273" s="510"/>
      <c r="E1273" s="510"/>
      <c r="F1273" s="746"/>
      <c r="G1273" s="510"/>
      <c r="H1273" s="510"/>
      <c r="I1273" s="510"/>
      <c r="J1273" s="510"/>
      <c r="K1273" s="510"/>
      <c r="L1273" s="510"/>
      <c r="M1273" s="509"/>
      <c r="N1273" s="508"/>
      <c r="O1273" s="507"/>
      <c r="P1273" s="507"/>
      <c r="Q1273" s="505"/>
      <c r="R1273" s="506"/>
      <c r="S1273" s="506"/>
      <c r="T1273" s="506"/>
      <c r="U1273" s="505"/>
      <c r="V1273" s="505"/>
      <c r="W1273" s="505"/>
      <c r="X1273" s="504"/>
      <c r="Y1273" s="503"/>
      <c r="Z1273" s="503"/>
      <c r="AA1273" s="503"/>
      <c r="AB1273" s="503"/>
      <c r="AC1273" s="503"/>
      <c r="AD1273" s="503"/>
      <c r="AE1273" s="503"/>
      <c r="AF1273" s="503"/>
    </row>
    <row r="1274" spans="1:32" ht="15.75" customHeight="1">
      <c r="A1274" s="503"/>
      <c r="B1274" s="503"/>
      <c r="C1274" s="510"/>
      <c r="D1274" s="510"/>
      <c r="E1274" s="510"/>
      <c r="F1274" s="746"/>
      <c r="G1274" s="510"/>
      <c r="H1274" s="510"/>
      <c r="I1274" s="510"/>
      <c r="J1274" s="510"/>
      <c r="K1274" s="510"/>
      <c r="L1274" s="510"/>
      <c r="M1274" s="509"/>
      <c r="N1274" s="508"/>
      <c r="O1274" s="507"/>
      <c r="P1274" s="507"/>
      <c r="Q1274" s="505"/>
      <c r="R1274" s="506"/>
      <c r="S1274" s="506"/>
      <c r="T1274" s="506"/>
      <c r="U1274" s="505"/>
      <c r="V1274" s="505"/>
      <c r="W1274" s="505"/>
      <c r="X1274" s="504"/>
      <c r="Y1274" s="503"/>
      <c r="Z1274" s="503"/>
      <c r="AA1274" s="503"/>
      <c r="AB1274" s="503"/>
      <c r="AC1274" s="503"/>
      <c r="AD1274" s="503"/>
      <c r="AE1274" s="503"/>
      <c r="AF1274" s="503"/>
    </row>
    <row r="1275" spans="1:32" ht="15.75" customHeight="1">
      <c r="A1275" s="503"/>
      <c r="B1275" s="503"/>
      <c r="C1275" s="510"/>
      <c r="D1275" s="510"/>
      <c r="E1275" s="510"/>
      <c r="F1275" s="746"/>
      <c r="G1275" s="510"/>
      <c r="H1275" s="510"/>
      <c r="I1275" s="510"/>
      <c r="J1275" s="510"/>
      <c r="K1275" s="510"/>
      <c r="L1275" s="510"/>
      <c r="M1275" s="509"/>
      <c r="N1275" s="508"/>
      <c r="O1275" s="507"/>
      <c r="P1275" s="507"/>
      <c r="Q1275" s="505"/>
      <c r="R1275" s="506"/>
      <c r="S1275" s="506"/>
      <c r="T1275" s="506"/>
      <c r="U1275" s="505"/>
      <c r="V1275" s="505"/>
      <c r="W1275" s="505"/>
      <c r="X1275" s="504"/>
      <c r="Y1275" s="503"/>
      <c r="Z1275" s="503"/>
      <c r="AA1275" s="503"/>
      <c r="AB1275" s="503"/>
      <c r="AC1275" s="503"/>
      <c r="AD1275" s="503"/>
      <c r="AE1275" s="503"/>
      <c r="AF1275" s="503"/>
    </row>
    <row r="1276" spans="1:32" ht="15.75" customHeight="1">
      <c r="A1276" s="503"/>
      <c r="B1276" s="503"/>
      <c r="C1276" s="510"/>
      <c r="D1276" s="510"/>
      <c r="E1276" s="510"/>
      <c r="F1276" s="746"/>
      <c r="G1276" s="510"/>
      <c r="H1276" s="510"/>
      <c r="I1276" s="510"/>
      <c r="J1276" s="510"/>
      <c r="K1276" s="510"/>
      <c r="L1276" s="510"/>
      <c r="M1276" s="509"/>
      <c r="N1276" s="508"/>
      <c r="O1276" s="507"/>
      <c r="P1276" s="507"/>
      <c r="Q1276" s="505"/>
      <c r="R1276" s="506"/>
      <c r="S1276" s="506"/>
      <c r="T1276" s="506"/>
      <c r="U1276" s="505"/>
      <c r="V1276" s="505"/>
      <c r="W1276" s="505"/>
      <c r="X1276" s="504"/>
      <c r="Y1276" s="503"/>
      <c r="Z1276" s="503"/>
      <c r="AA1276" s="503"/>
      <c r="AB1276" s="503"/>
      <c r="AC1276" s="503"/>
      <c r="AD1276" s="503"/>
      <c r="AE1276" s="503"/>
      <c r="AF1276" s="503"/>
    </row>
    <row r="1277" spans="1:32" ht="15.75" customHeight="1">
      <c r="A1277" s="503"/>
      <c r="B1277" s="503"/>
      <c r="C1277" s="510"/>
      <c r="D1277" s="510"/>
      <c r="E1277" s="510"/>
      <c r="F1277" s="746"/>
      <c r="G1277" s="510"/>
      <c r="H1277" s="510"/>
      <c r="I1277" s="510"/>
      <c r="J1277" s="510"/>
      <c r="K1277" s="510"/>
      <c r="L1277" s="510"/>
      <c r="M1277" s="509"/>
      <c r="N1277" s="508"/>
      <c r="O1277" s="507"/>
      <c r="P1277" s="507"/>
      <c r="Q1277" s="505"/>
      <c r="R1277" s="506"/>
      <c r="S1277" s="506"/>
      <c r="T1277" s="506"/>
      <c r="U1277" s="505"/>
      <c r="V1277" s="505"/>
      <c r="W1277" s="505"/>
      <c r="X1277" s="504"/>
      <c r="Y1277" s="503"/>
      <c r="Z1277" s="503"/>
      <c r="AA1277" s="503"/>
      <c r="AB1277" s="503"/>
      <c r="AC1277" s="503"/>
      <c r="AD1277" s="503"/>
      <c r="AE1277" s="503"/>
      <c r="AF1277" s="503"/>
    </row>
    <row r="1278" spans="1:32" ht="15.75" customHeight="1">
      <c r="A1278" s="503"/>
      <c r="B1278" s="503"/>
      <c r="C1278" s="510"/>
      <c r="D1278" s="510"/>
      <c r="E1278" s="510"/>
      <c r="F1278" s="746"/>
      <c r="G1278" s="510"/>
      <c r="H1278" s="510"/>
      <c r="I1278" s="510"/>
      <c r="J1278" s="510"/>
      <c r="K1278" s="510"/>
      <c r="L1278" s="510"/>
      <c r="M1278" s="509"/>
      <c r="N1278" s="508"/>
      <c r="O1278" s="507"/>
      <c r="P1278" s="507"/>
      <c r="Q1278" s="505"/>
      <c r="R1278" s="506"/>
      <c r="S1278" s="506"/>
      <c r="T1278" s="506"/>
      <c r="U1278" s="505"/>
      <c r="V1278" s="505"/>
      <c r="W1278" s="505"/>
      <c r="X1278" s="504"/>
      <c r="Y1278" s="503"/>
      <c r="Z1278" s="503"/>
      <c r="AA1278" s="503"/>
      <c r="AB1278" s="503"/>
      <c r="AC1278" s="503"/>
      <c r="AD1278" s="503"/>
      <c r="AE1278" s="503"/>
      <c r="AF1278" s="503"/>
    </row>
    <row r="1279" spans="1:32" ht="15.75" customHeight="1">
      <c r="A1279" s="503"/>
      <c r="B1279" s="503"/>
      <c r="C1279" s="510"/>
      <c r="D1279" s="510"/>
      <c r="E1279" s="510"/>
      <c r="F1279" s="746"/>
      <c r="G1279" s="510"/>
      <c r="H1279" s="510"/>
      <c r="I1279" s="510"/>
      <c r="J1279" s="510"/>
      <c r="K1279" s="510"/>
      <c r="L1279" s="510"/>
      <c r="M1279" s="509"/>
      <c r="N1279" s="508"/>
      <c r="O1279" s="507"/>
      <c r="P1279" s="507"/>
      <c r="Q1279" s="505"/>
      <c r="R1279" s="506"/>
      <c r="S1279" s="506"/>
      <c r="T1279" s="506"/>
      <c r="U1279" s="505"/>
      <c r="V1279" s="505"/>
      <c r="W1279" s="505"/>
      <c r="X1279" s="504"/>
      <c r="Y1279" s="503"/>
      <c r="Z1279" s="503"/>
      <c r="AA1279" s="503"/>
      <c r="AB1279" s="503"/>
      <c r="AC1279" s="503"/>
      <c r="AD1279" s="503"/>
      <c r="AE1279" s="503"/>
      <c r="AF1279" s="503"/>
    </row>
    <row r="1280" spans="1:32" ht="15.75" customHeight="1">
      <c r="A1280" s="503"/>
      <c r="B1280" s="503"/>
      <c r="C1280" s="510"/>
      <c r="D1280" s="510"/>
      <c r="E1280" s="510"/>
      <c r="F1280" s="746"/>
      <c r="G1280" s="510"/>
      <c r="H1280" s="510"/>
      <c r="I1280" s="510"/>
      <c r="J1280" s="510"/>
      <c r="K1280" s="510"/>
      <c r="L1280" s="510"/>
      <c r="M1280" s="509"/>
      <c r="N1280" s="508"/>
      <c r="O1280" s="507"/>
      <c r="P1280" s="507"/>
      <c r="Q1280" s="505"/>
      <c r="R1280" s="506"/>
      <c r="S1280" s="506"/>
      <c r="T1280" s="506"/>
      <c r="U1280" s="505"/>
      <c r="V1280" s="505"/>
      <c r="W1280" s="505"/>
      <c r="X1280" s="504"/>
      <c r="Y1280" s="503"/>
      <c r="Z1280" s="503"/>
      <c r="AA1280" s="503"/>
      <c r="AB1280" s="503"/>
      <c r="AC1280" s="503"/>
      <c r="AD1280" s="503"/>
      <c r="AE1280" s="503"/>
      <c r="AF1280" s="503"/>
    </row>
    <row r="1281" spans="1:32" ht="15.75" customHeight="1">
      <c r="A1281" s="503"/>
      <c r="B1281" s="503"/>
      <c r="C1281" s="510"/>
      <c r="D1281" s="510"/>
      <c r="E1281" s="510"/>
      <c r="F1281" s="746"/>
      <c r="G1281" s="510"/>
      <c r="H1281" s="510"/>
      <c r="I1281" s="510"/>
      <c r="J1281" s="510"/>
      <c r="K1281" s="510"/>
      <c r="L1281" s="510"/>
      <c r="M1281" s="509"/>
      <c r="N1281" s="508"/>
      <c r="O1281" s="507"/>
      <c r="P1281" s="507"/>
      <c r="Q1281" s="505"/>
      <c r="R1281" s="506"/>
      <c r="S1281" s="506"/>
      <c r="T1281" s="506"/>
      <c r="U1281" s="505"/>
      <c r="V1281" s="505"/>
      <c r="W1281" s="505"/>
      <c r="X1281" s="504"/>
      <c r="Y1281" s="503"/>
      <c r="Z1281" s="503"/>
      <c r="AA1281" s="503"/>
      <c r="AB1281" s="503"/>
      <c r="AC1281" s="503"/>
      <c r="AD1281" s="503"/>
      <c r="AE1281" s="503"/>
      <c r="AF1281" s="503"/>
    </row>
    <row r="1282" spans="1:32" ht="15.75" customHeight="1">
      <c r="A1282" s="503"/>
      <c r="B1282" s="503"/>
      <c r="C1282" s="510"/>
      <c r="D1282" s="510"/>
      <c r="E1282" s="510"/>
      <c r="F1282" s="746"/>
      <c r="G1282" s="510"/>
      <c r="H1282" s="510"/>
      <c r="I1282" s="510"/>
      <c r="J1282" s="510"/>
      <c r="K1282" s="510"/>
      <c r="L1282" s="510"/>
      <c r="M1282" s="509"/>
      <c r="N1282" s="508"/>
      <c r="O1282" s="507"/>
      <c r="P1282" s="507"/>
      <c r="Q1282" s="505"/>
      <c r="R1282" s="506"/>
      <c r="S1282" s="506"/>
      <c r="T1282" s="506"/>
      <c r="U1282" s="505"/>
      <c r="V1282" s="505"/>
      <c r="W1282" s="505"/>
      <c r="X1282" s="504"/>
      <c r="Y1282" s="503"/>
      <c r="Z1282" s="503"/>
      <c r="AA1282" s="503"/>
      <c r="AB1282" s="503"/>
      <c r="AC1282" s="503"/>
      <c r="AD1282" s="503"/>
      <c r="AE1282" s="503"/>
      <c r="AF1282" s="503"/>
    </row>
    <row r="1283" spans="1:32" ht="15.75" customHeight="1">
      <c r="A1283" s="503"/>
      <c r="B1283" s="503"/>
      <c r="C1283" s="510"/>
      <c r="D1283" s="510"/>
      <c r="E1283" s="510"/>
      <c r="F1283" s="746"/>
      <c r="G1283" s="510"/>
      <c r="H1283" s="510"/>
      <c r="I1283" s="510"/>
      <c r="J1283" s="510"/>
      <c r="K1283" s="510"/>
      <c r="L1283" s="510"/>
      <c r="M1283" s="509"/>
      <c r="N1283" s="508"/>
      <c r="O1283" s="507"/>
      <c r="P1283" s="507"/>
      <c r="Q1283" s="505"/>
      <c r="R1283" s="506"/>
      <c r="S1283" s="506"/>
      <c r="T1283" s="506"/>
      <c r="U1283" s="505"/>
      <c r="V1283" s="505"/>
      <c r="W1283" s="505"/>
      <c r="X1283" s="504"/>
      <c r="Y1283" s="503"/>
      <c r="Z1283" s="503"/>
      <c r="AA1283" s="503"/>
      <c r="AB1283" s="503"/>
      <c r="AC1283" s="503"/>
      <c r="AD1283" s="503"/>
      <c r="AE1283" s="503"/>
      <c r="AF1283" s="503"/>
    </row>
    <row r="1284" spans="1:32" ht="15.75" customHeight="1">
      <c r="A1284" s="503"/>
      <c r="B1284" s="503"/>
      <c r="C1284" s="510"/>
      <c r="D1284" s="510"/>
      <c r="E1284" s="510"/>
      <c r="F1284" s="746"/>
      <c r="G1284" s="510"/>
      <c r="H1284" s="510"/>
      <c r="I1284" s="510"/>
      <c r="J1284" s="510"/>
      <c r="K1284" s="510"/>
      <c r="L1284" s="510"/>
      <c r="M1284" s="509"/>
      <c r="N1284" s="508"/>
      <c r="O1284" s="507"/>
      <c r="P1284" s="507"/>
      <c r="Q1284" s="505"/>
      <c r="R1284" s="506"/>
      <c r="S1284" s="506"/>
      <c r="T1284" s="506"/>
      <c r="U1284" s="505"/>
      <c r="V1284" s="505"/>
      <c r="W1284" s="505"/>
      <c r="X1284" s="504"/>
      <c r="Y1284" s="503"/>
      <c r="Z1284" s="503"/>
      <c r="AA1284" s="503"/>
      <c r="AB1284" s="503"/>
      <c r="AC1284" s="503"/>
      <c r="AD1284" s="503"/>
      <c r="AE1284" s="503"/>
      <c r="AF1284" s="503"/>
    </row>
    <row r="1285" spans="1:32" ht="15.75" customHeight="1">
      <c r="A1285" s="503"/>
      <c r="B1285" s="503"/>
      <c r="C1285" s="510"/>
      <c r="D1285" s="510"/>
      <c r="E1285" s="510"/>
      <c r="F1285" s="746"/>
      <c r="G1285" s="510"/>
      <c r="H1285" s="510"/>
      <c r="I1285" s="510"/>
      <c r="J1285" s="510"/>
      <c r="K1285" s="510"/>
      <c r="L1285" s="510"/>
      <c r="M1285" s="509"/>
      <c r="N1285" s="508"/>
      <c r="O1285" s="507"/>
      <c r="P1285" s="507"/>
      <c r="Q1285" s="505"/>
      <c r="R1285" s="506"/>
      <c r="S1285" s="506"/>
      <c r="T1285" s="506"/>
      <c r="U1285" s="505"/>
      <c r="V1285" s="505"/>
      <c r="W1285" s="505"/>
      <c r="X1285" s="504"/>
      <c r="Y1285" s="503"/>
      <c r="Z1285" s="503"/>
      <c r="AA1285" s="503"/>
      <c r="AB1285" s="503"/>
      <c r="AC1285" s="503"/>
      <c r="AD1285" s="503"/>
      <c r="AE1285" s="503"/>
      <c r="AF1285" s="503"/>
    </row>
    <row r="1286" spans="1:32" ht="15.75" customHeight="1">
      <c r="A1286" s="503"/>
      <c r="B1286" s="503"/>
      <c r="C1286" s="510"/>
      <c r="D1286" s="510"/>
      <c r="E1286" s="510"/>
      <c r="F1286" s="746"/>
      <c r="G1286" s="510"/>
      <c r="H1286" s="510"/>
      <c r="I1286" s="510"/>
      <c r="J1286" s="510"/>
      <c r="K1286" s="510"/>
      <c r="L1286" s="510"/>
      <c r="M1286" s="509"/>
      <c r="N1286" s="508"/>
      <c r="O1286" s="507"/>
      <c r="P1286" s="507"/>
      <c r="Q1286" s="505"/>
      <c r="R1286" s="506"/>
      <c r="S1286" s="506"/>
      <c r="T1286" s="506"/>
      <c r="U1286" s="505"/>
      <c r="V1286" s="505"/>
      <c r="W1286" s="505"/>
      <c r="X1286" s="504"/>
      <c r="Y1286" s="503"/>
      <c r="Z1286" s="503"/>
      <c r="AA1286" s="503"/>
      <c r="AB1286" s="503"/>
      <c r="AC1286" s="503"/>
      <c r="AD1286" s="503"/>
      <c r="AE1286" s="503"/>
      <c r="AF1286" s="503"/>
    </row>
    <row r="1287" spans="1:32" ht="15.75" customHeight="1">
      <c r="A1287" s="503"/>
      <c r="B1287" s="503"/>
      <c r="C1287" s="510"/>
      <c r="D1287" s="510"/>
      <c r="E1287" s="510"/>
      <c r="F1287" s="746"/>
      <c r="G1287" s="510"/>
      <c r="H1287" s="510"/>
      <c r="I1287" s="510"/>
      <c r="J1287" s="510"/>
      <c r="K1287" s="510"/>
      <c r="L1287" s="510"/>
      <c r="M1287" s="509"/>
      <c r="N1287" s="508"/>
      <c r="O1287" s="507"/>
      <c r="P1287" s="507"/>
      <c r="Q1287" s="505"/>
      <c r="R1287" s="506"/>
      <c r="S1287" s="506"/>
      <c r="T1287" s="506"/>
      <c r="U1287" s="505"/>
      <c r="V1287" s="505"/>
      <c r="W1287" s="505"/>
      <c r="X1287" s="504"/>
      <c r="Y1287" s="503"/>
      <c r="Z1287" s="503"/>
      <c r="AA1287" s="503"/>
      <c r="AB1287" s="503"/>
      <c r="AC1287" s="503"/>
      <c r="AD1287" s="503"/>
      <c r="AE1287" s="503"/>
      <c r="AF1287" s="503"/>
    </row>
    <row r="1288" spans="1:32" ht="15.75" customHeight="1">
      <c r="A1288" s="503"/>
      <c r="B1288" s="503"/>
      <c r="C1288" s="510"/>
      <c r="D1288" s="510"/>
      <c r="E1288" s="510"/>
      <c r="F1288" s="746"/>
      <c r="G1288" s="510"/>
      <c r="H1288" s="510"/>
      <c r="I1288" s="510"/>
      <c r="J1288" s="510"/>
      <c r="K1288" s="510"/>
      <c r="L1288" s="510"/>
      <c r="M1288" s="509"/>
      <c r="N1288" s="508"/>
      <c r="O1288" s="507"/>
      <c r="P1288" s="507"/>
      <c r="Q1288" s="505"/>
      <c r="R1288" s="506"/>
      <c r="S1288" s="506"/>
      <c r="T1288" s="506"/>
      <c r="U1288" s="505"/>
      <c r="V1288" s="505"/>
      <c r="W1288" s="505"/>
      <c r="X1288" s="504"/>
      <c r="Y1288" s="503"/>
      <c r="Z1288" s="503"/>
      <c r="AA1288" s="503"/>
      <c r="AB1288" s="503"/>
      <c r="AC1288" s="503"/>
      <c r="AD1288" s="503"/>
      <c r="AE1288" s="503"/>
      <c r="AF1288" s="503"/>
    </row>
    <row r="1289" spans="1:32" ht="15.75" customHeight="1">
      <c r="A1289" s="503"/>
      <c r="B1289" s="503"/>
      <c r="C1289" s="510"/>
      <c r="D1289" s="510"/>
      <c r="E1289" s="510"/>
      <c r="F1289" s="746"/>
      <c r="G1289" s="510"/>
      <c r="H1289" s="510"/>
      <c r="I1289" s="510"/>
      <c r="J1289" s="510"/>
      <c r="K1289" s="510"/>
      <c r="L1289" s="510"/>
      <c r="M1289" s="509"/>
      <c r="N1289" s="508"/>
      <c r="O1289" s="507"/>
      <c r="P1289" s="507"/>
      <c r="Q1289" s="505"/>
      <c r="R1289" s="506"/>
      <c r="S1289" s="506"/>
      <c r="T1289" s="506"/>
      <c r="U1289" s="505"/>
      <c r="V1289" s="505"/>
      <c r="W1289" s="505"/>
      <c r="X1289" s="504"/>
      <c r="Y1289" s="503"/>
      <c r="Z1289" s="503"/>
      <c r="AA1289" s="503"/>
      <c r="AB1289" s="503"/>
      <c r="AC1289" s="503"/>
      <c r="AD1289" s="503"/>
      <c r="AE1289" s="503"/>
      <c r="AF1289" s="503"/>
    </row>
    <row r="1290" spans="1:32" ht="15.75" customHeight="1">
      <c r="A1290" s="503"/>
      <c r="B1290" s="503"/>
      <c r="C1290" s="510"/>
      <c r="D1290" s="510"/>
      <c r="E1290" s="510"/>
      <c r="F1290" s="746"/>
      <c r="G1290" s="510"/>
      <c r="H1290" s="510"/>
      <c r="I1290" s="510"/>
      <c r="J1290" s="510"/>
      <c r="K1290" s="510"/>
      <c r="L1290" s="510"/>
      <c r="M1290" s="509"/>
      <c r="N1290" s="508"/>
      <c r="O1290" s="507"/>
      <c r="P1290" s="507"/>
      <c r="Q1290" s="505"/>
      <c r="R1290" s="506"/>
      <c r="S1290" s="506"/>
      <c r="T1290" s="506"/>
      <c r="U1290" s="505"/>
      <c r="V1290" s="505"/>
      <c r="W1290" s="505"/>
      <c r="X1290" s="504"/>
      <c r="Y1290" s="503"/>
      <c r="Z1290" s="503"/>
      <c r="AA1290" s="503"/>
      <c r="AB1290" s="503"/>
      <c r="AC1290" s="503"/>
      <c r="AD1290" s="503"/>
      <c r="AE1290" s="503"/>
      <c r="AF1290" s="503"/>
    </row>
    <row r="1291" spans="1:32" ht="15.75" customHeight="1">
      <c r="A1291" s="503"/>
      <c r="B1291" s="503"/>
      <c r="C1291" s="510"/>
      <c r="D1291" s="510"/>
      <c r="E1291" s="510"/>
      <c r="F1291" s="746"/>
      <c r="G1291" s="510"/>
      <c r="H1291" s="510"/>
      <c r="I1291" s="510"/>
      <c r="J1291" s="510"/>
      <c r="K1291" s="510"/>
      <c r="L1291" s="510"/>
      <c r="M1291" s="509"/>
      <c r="N1291" s="508"/>
      <c r="O1291" s="507"/>
      <c r="P1291" s="507"/>
      <c r="Q1291" s="505"/>
      <c r="R1291" s="506"/>
      <c r="S1291" s="506"/>
      <c r="T1291" s="506"/>
      <c r="U1291" s="505"/>
      <c r="V1291" s="505"/>
      <c r="W1291" s="505"/>
      <c r="X1291" s="504"/>
      <c r="Y1291" s="503"/>
      <c r="Z1291" s="503"/>
      <c r="AA1291" s="503"/>
      <c r="AB1291" s="503"/>
      <c r="AC1291" s="503"/>
      <c r="AD1291" s="503"/>
      <c r="AE1291" s="503"/>
      <c r="AF1291" s="503"/>
    </row>
    <row r="1292" spans="1:32" ht="15.75" customHeight="1">
      <c r="A1292" s="503"/>
      <c r="B1292" s="503"/>
      <c r="C1292" s="510"/>
      <c r="D1292" s="510"/>
      <c r="E1292" s="510"/>
      <c r="F1292" s="746"/>
      <c r="G1292" s="510"/>
      <c r="H1292" s="510"/>
      <c r="I1292" s="510"/>
      <c r="J1292" s="510"/>
      <c r="K1292" s="510"/>
      <c r="L1292" s="510"/>
      <c r="M1292" s="509"/>
      <c r="N1292" s="508"/>
      <c r="O1292" s="507"/>
      <c r="P1292" s="507"/>
      <c r="Q1292" s="505"/>
      <c r="R1292" s="506"/>
      <c r="S1292" s="506"/>
      <c r="T1292" s="506"/>
      <c r="U1292" s="505"/>
      <c r="V1292" s="505"/>
      <c r="W1292" s="505"/>
      <c r="X1292" s="504"/>
      <c r="Y1292" s="503"/>
      <c r="Z1292" s="503"/>
      <c r="AA1292" s="503"/>
      <c r="AB1292" s="503"/>
      <c r="AC1292" s="503"/>
      <c r="AD1292" s="503"/>
      <c r="AE1292" s="503"/>
      <c r="AF1292" s="503"/>
    </row>
    <row r="1293" spans="1:32" ht="15.75" customHeight="1">
      <c r="A1293" s="503"/>
      <c r="B1293" s="503"/>
      <c r="C1293" s="510"/>
      <c r="D1293" s="510"/>
      <c r="E1293" s="510"/>
      <c r="F1293" s="746"/>
      <c r="G1293" s="510"/>
      <c r="H1293" s="510"/>
      <c r="I1293" s="510"/>
      <c r="J1293" s="510"/>
      <c r="K1293" s="510"/>
      <c r="L1293" s="510"/>
      <c r="M1293" s="509"/>
      <c r="N1293" s="508"/>
      <c r="O1293" s="507"/>
      <c r="P1293" s="507"/>
      <c r="Q1293" s="505"/>
      <c r="R1293" s="506"/>
      <c r="S1293" s="506"/>
      <c r="T1293" s="506"/>
      <c r="U1293" s="505"/>
      <c r="V1293" s="505"/>
      <c r="W1293" s="505"/>
      <c r="X1293" s="504"/>
      <c r="Y1293" s="503"/>
      <c r="Z1293" s="503"/>
      <c r="AA1293" s="503"/>
      <c r="AB1293" s="503"/>
      <c r="AC1293" s="503"/>
      <c r="AD1293" s="503"/>
      <c r="AE1293" s="503"/>
      <c r="AF1293" s="503"/>
    </row>
    <row r="1294" spans="1:32" ht="15.75" customHeight="1">
      <c r="A1294" s="503"/>
      <c r="B1294" s="503"/>
      <c r="C1294" s="510"/>
      <c r="D1294" s="510"/>
      <c r="E1294" s="510"/>
      <c r="F1294" s="746"/>
      <c r="G1294" s="510"/>
      <c r="H1294" s="510"/>
      <c r="I1294" s="510"/>
      <c r="J1294" s="510"/>
      <c r="K1294" s="510"/>
      <c r="L1294" s="510"/>
      <c r="M1294" s="509"/>
      <c r="N1294" s="508"/>
      <c r="O1294" s="507"/>
      <c r="P1294" s="507"/>
      <c r="Q1294" s="505"/>
      <c r="R1294" s="506"/>
      <c r="S1294" s="506"/>
      <c r="T1294" s="506"/>
      <c r="U1294" s="505"/>
      <c r="V1294" s="505"/>
      <c r="W1294" s="505"/>
      <c r="X1294" s="504"/>
      <c r="Y1294" s="503"/>
      <c r="Z1294" s="503"/>
      <c r="AA1294" s="503"/>
      <c r="AB1294" s="503"/>
      <c r="AC1294" s="503"/>
      <c r="AD1294" s="503"/>
      <c r="AE1294" s="503"/>
      <c r="AF1294" s="503"/>
    </row>
    <row r="1295" spans="1:32" ht="15.75" customHeight="1">
      <c r="A1295" s="503"/>
      <c r="B1295" s="503"/>
      <c r="C1295" s="510"/>
      <c r="D1295" s="510"/>
      <c r="E1295" s="510"/>
      <c r="F1295" s="746"/>
      <c r="G1295" s="510"/>
      <c r="H1295" s="510"/>
      <c r="I1295" s="510"/>
      <c r="J1295" s="510"/>
      <c r="K1295" s="510"/>
      <c r="L1295" s="510"/>
      <c r="M1295" s="509"/>
      <c r="N1295" s="508"/>
      <c r="O1295" s="507"/>
      <c r="P1295" s="507"/>
      <c r="Q1295" s="505"/>
      <c r="R1295" s="506"/>
      <c r="S1295" s="506"/>
      <c r="T1295" s="506"/>
      <c r="U1295" s="505"/>
      <c r="V1295" s="505"/>
      <c r="W1295" s="505"/>
      <c r="X1295" s="504"/>
      <c r="Y1295" s="503"/>
      <c r="Z1295" s="503"/>
      <c r="AA1295" s="503"/>
      <c r="AB1295" s="503"/>
      <c r="AC1295" s="503"/>
      <c r="AD1295" s="503"/>
      <c r="AE1295" s="503"/>
      <c r="AF1295" s="503"/>
    </row>
    <row r="1296" spans="1:32" ht="15.75" customHeight="1">
      <c r="A1296" s="503"/>
      <c r="B1296" s="503"/>
      <c r="C1296" s="510"/>
      <c r="D1296" s="510"/>
      <c r="E1296" s="510"/>
      <c r="F1296" s="746"/>
      <c r="G1296" s="510"/>
      <c r="H1296" s="510"/>
      <c r="I1296" s="510"/>
      <c r="J1296" s="510"/>
      <c r="K1296" s="510"/>
      <c r="L1296" s="510"/>
      <c r="M1296" s="509"/>
      <c r="N1296" s="508"/>
      <c r="O1296" s="507"/>
      <c r="P1296" s="507"/>
      <c r="Q1296" s="505"/>
      <c r="R1296" s="506"/>
      <c r="S1296" s="506"/>
      <c r="T1296" s="506"/>
      <c r="U1296" s="505"/>
      <c r="V1296" s="505"/>
      <c r="W1296" s="505"/>
      <c r="X1296" s="504"/>
      <c r="Y1296" s="503"/>
      <c r="Z1296" s="503"/>
      <c r="AA1296" s="503"/>
      <c r="AB1296" s="503"/>
      <c r="AC1296" s="503"/>
      <c r="AD1296" s="503"/>
      <c r="AE1296" s="503"/>
      <c r="AF1296" s="503"/>
    </row>
    <row r="1297" spans="1:32" ht="15.75" customHeight="1">
      <c r="A1297" s="503"/>
      <c r="B1297" s="503"/>
      <c r="C1297" s="510"/>
      <c r="D1297" s="510"/>
      <c r="E1297" s="510"/>
      <c r="F1297" s="746"/>
      <c r="G1297" s="510"/>
      <c r="H1297" s="510"/>
      <c r="I1297" s="510"/>
      <c r="J1297" s="510"/>
      <c r="K1297" s="510"/>
      <c r="L1297" s="510"/>
      <c r="M1297" s="509"/>
      <c r="N1297" s="508"/>
      <c r="O1297" s="507"/>
      <c r="P1297" s="507"/>
      <c r="Q1297" s="505"/>
      <c r="R1297" s="506"/>
      <c r="S1297" s="506"/>
      <c r="T1297" s="506"/>
      <c r="U1297" s="505"/>
      <c r="V1297" s="505"/>
      <c r="W1297" s="505"/>
      <c r="X1297" s="504"/>
      <c r="Y1297" s="503"/>
      <c r="Z1297" s="503"/>
      <c r="AA1297" s="503"/>
      <c r="AB1297" s="503"/>
      <c r="AC1297" s="503"/>
      <c r="AD1297" s="503"/>
      <c r="AE1297" s="503"/>
      <c r="AF1297" s="503"/>
    </row>
    <row r="1298" spans="1:32" ht="15.75" customHeight="1">
      <c r="A1298" s="503"/>
      <c r="B1298" s="503"/>
      <c r="C1298" s="510"/>
      <c r="D1298" s="510"/>
      <c r="E1298" s="510"/>
      <c r="F1298" s="746"/>
      <c r="G1298" s="510"/>
      <c r="H1298" s="510"/>
      <c r="I1298" s="510"/>
      <c r="J1298" s="510"/>
      <c r="K1298" s="510"/>
      <c r="L1298" s="510"/>
      <c r="M1298" s="509"/>
      <c r="N1298" s="508"/>
      <c r="O1298" s="507"/>
      <c r="P1298" s="507"/>
      <c r="Q1298" s="505"/>
      <c r="R1298" s="506"/>
      <c r="S1298" s="506"/>
      <c r="T1298" s="506"/>
      <c r="U1298" s="505"/>
      <c r="V1298" s="505"/>
      <c r="W1298" s="505"/>
      <c r="X1298" s="504"/>
      <c r="Y1298" s="503"/>
      <c r="Z1298" s="503"/>
      <c r="AA1298" s="503"/>
      <c r="AB1298" s="503"/>
      <c r="AC1298" s="503"/>
      <c r="AD1298" s="503"/>
      <c r="AE1298" s="503"/>
      <c r="AF1298" s="503"/>
    </row>
    <row r="1299" spans="1:32" ht="15.75" customHeight="1">
      <c r="A1299" s="503"/>
      <c r="B1299" s="503"/>
      <c r="C1299" s="510"/>
      <c r="D1299" s="510"/>
      <c r="E1299" s="510"/>
      <c r="F1299" s="746"/>
      <c r="G1299" s="510"/>
      <c r="H1299" s="510"/>
      <c r="I1299" s="510"/>
      <c r="J1299" s="510"/>
      <c r="K1299" s="510"/>
      <c r="L1299" s="510"/>
      <c r="M1299" s="509"/>
      <c r="N1299" s="508"/>
      <c r="O1299" s="507"/>
      <c r="P1299" s="507"/>
      <c r="Q1299" s="505"/>
      <c r="R1299" s="506"/>
      <c r="S1299" s="506"/>
      <c r="T1299" s="506"/>
      <c r="U1299" s="505"/>
      <c r="V1299" s="505"/>
      <c r="W1299" s="505"/>
      <c r="X1299" s="504"/>
      <c r="Y1299" s="503"/>
      <c r="Z1299" s="503"/>
      <c r="AA1299" s="503"/>
      <c r="AB1299" s="503"/>
      <c r="AC1299" s="503"/>
      <c r="AD1299" s="503"/>
      <c r="AE1299" s="503"/>
      <c r="AF1299" s="503"/>
    </row>
    <row r="1300" spans="1:32" ht="15.75" customHeight="1">
      <c r="A1300" s="503"/>
      <c r="B1300" s="503"/>
      <c r="C1300" s="510"/>
      <c r="D1300" s="510"/>
      <c r="E1300" s="510"/>
      <c r="F1300" s="746"/>
      <c r="G1300" s="510"/>
      <c r="H1300" s="510"/>
      <c r="I1300" s="510"/>
      <c r="J1300" s="510"/>
      <c r="K1300" s="510"/>
      <c r="L1300" s="510"/>
      <c r="M1300" s="509"/>
      <c r="N1300" s="508"/>
      <c r="O1300" s="507"/>
      <c r="P1300" s="507"/>
      <c r="Q1300" s="505"/>
      <c r="R1300" s="506"/>
      <c r="S1300" s="506"/>
      <c r="T1300" s="506"/>
      <c r="U1300" s="505"/>
      <c r="V1300" s="505"/>
      <c r="W1300" s="505"/>
      <c r="X1300" s="504"/>
      <c r="Y1300" s="503"/>
      <c r="Z1300" s="503"/>
      <c r="AA1300" s="503"/>
      <c r="AB1300" s="503"/>
      <c r="AC1300" s="503"/>
      <c r="AD1300" s="503"/>
      <c r="AE1300" s="503"/>
      <c r="AF1300" s="503"/>
    </row>
    <row r="1301" spans="1:32" ht="15.75" customHeight="1">
      <c r="A1301" s="503"/>
      <c r="B1301" s="503"/>
      <c r="C1301" s="510"/>
      <c r="D1301" s="510"/>
      <c r="E1301" s="510"/>
      <c r="F1301" s="746"/>
      <c r="G1301" s="510"/>
      <c r="H1301" s="510"/>
      <c r="I1301" s="510"/>
      <c r="J1301" s="510"/>
      <c r="K1301" s="510"/>
      <c r="L1301" s="510"/>
      <c r="M1301" s="509"/>
      <c r="N1301" s="508"/>
      <c r="O1301" s="507"/>
      <c r="P1301" s="507"/>
      <c r="Q1301" s="505"/>
      <c r="R1301" s="506"/>
      <c r="S1301" s="506"/>
      <c r="T1301" s="506"/>
      <c r="U1301" s="505"/>
      <c r="V1301" s="505"/>
      <c r="W1301" s="505"/>
      <c r="X1301" s="504"/>
      <c r="Y1301" s="503"/>
      <c r="Z1301" s="503"/>
      <c r="AA1301" s="503"/>
      <c r="AB1301" s="503"/>
      <c r="AC1301" s="503"/>
      <c r="AD1301" s="503"/>
      <c r="AE1301" s="503"/>
      <c r="AF1301" s="503"/>
    </row>
    <row r="1302" spans="1:32" ht="15.75" customHeight="1">
      <c r="A1302" s="503"/>
      <c r="B1302" s="503"/>
      <c r="C1302" s="510"/>
      <c r="D1302" s="510"/>
      <c r="E1302" s="510"/>
      <c r="F1302" s="746"/>
      <c r="G1302" s="510"/>
      <c r="H1302" s="510"/>
      <c r="I1302" s="510"/>
      <c r="J1302" s="510"/>
      <c r="K1302" s="510"/>
      <c r="L1302" s="510"/>
      <c r="M1302" s="509"/>
      <c r="N1302" s="508"/>
      <c r="O1302" s="507"/>
      <c r="P1302" s="507"/>
      <c r="Q1302" s="505"/>
      <c r="R1302" s="506"/>
      <c r="S1302" s="506"/>
      <c r="T1302" s="506"/>
      <c r="U1302" s="505"/>
      <c r="V1302" s="505"/>
      <c r="W1302" s="505"/>
      <c r="X1302" s="504"/>
      <c r="Y1302" s="503"/>
      <c r="Z1302" s="503"/>
      <c r="AA1302" s="503"/>
      <c r="AB1302" s="503"/>
      <c r="AC1302" s="503"/>
      <c r="AD1302" s="503"/>
      <c r="AE1302" s="503"/>
      <c r="AF1302" s="503"/>
    </row>
    <row r="1303" spans="1:32" ht="15.75" customHeight="1">
      <c r="A1303" s="503"/>
      <c r="B1303" s="503"/>
      <c r="C1303" s="510"/>
      <c r="D1303" s="510"/>
      <c r="E1303" s="510"/>
      <c r="F1303" s="746"/>
      <c r="G1303" s="510"/>
      <c r="H1303" s="510"/>
      <c r="I1303" s="510"/>
      <c r="J1303" s="510"/>
      <c r="K1303" s="510"/>
      <c r="L1303" s="510"/>
      <c r="M1303" s="509"/>
      <c r="N1303" s="508"/>
      <c r="O1303" s="507"/>
      <c r="P1303" s="507"/>
      <c r="Q1303" s="505"/>
      <c r="R1303" s="506"/>
      <c r="S1303" s="506"/>
      <c r="T1303" s="506"/>
      <c r="U1303" s="505"/>
      <c r="V1303" s="505"/>
      <c r="W1303" s="505"/>
      <c r="X1303" s="504"/>
      <c r="Y1303" s="503"/>
      <c r="Z1303" s="503"/>
      <c r="AA1303" s="503"/>
      <c r="AB1303" s="503"/>
      <c r="AC1303" s="503"/>
      <c r="AD1303" s="503"/>
      <c r="AE1303" s="503"/>
      <c r="AF1303" s="503"/>
    </row>
    <row r="1304" spans="1:32" ht="15.75" customHeight="1">
      <c r="A1304" s="503"/>
      <c r="B1304" s="503"/>
      <c r="C1304" s="510"/>
      <c r="D1304" s="510"/>
      <c r="E1304" s="510"/>
      <c r="F1304" s="746"/>
      <c r="G1304" s="510"/>
      <c r="H1304" s="510"/>
      <c r="I1304" s="510"/>
      <c r="J1304" s="510"/>
      <c r="K1304" s="510"/>
      <c r="L1304" s="510"/>
      <c r="M1304" s="509"/>
      <c r="N1304" s="508"/>
      <c r="O1304" s="507"/>
      <c r="P1304" s="507"/>
      <c r="Q1304" s="505"/>
      <c r="R1304" s="506"/>
      <c r="S1304" s="506"/>
      <c r="T1304" s="506"/>
      <c r="U1304" s="505"/>
      <c r="V1304" s="505"/>
      <c r="W1304" s="505"/>
      <c r="X1304" s="504"/>
      <c r="Y1304" s="503"/>
      <c r="Z1304" s="503"/>
      <c r="AA1304" s="503"/>
      <c r="AB1304" s="503"/>
      <c r="AC1304" s="503"/>
      <c r="AD1304" s="503"/>
      <c r="AE1304" s="503"/>
      <c r="AF1304" s="503"/>
    </row>
    <row r="1305" spans="1:32" ht="15.75" customHeight="1">
      <c r="A1305" s="503"/>
      <c r="B1305" s="503"/>
      <c r="C1305" s="510"/>
      <c r="D1305" s="510"/>
      <c r="E1305" s="510"/>
      <c r="F1305" s="746"/>
      <c r="G1305" s="510"/>
      <c r="H1305" s="510"/>
      <c r="I1305" s="510"/>
      <c r="J1305" s="510"/>
      <c r="K1305" s="510"/>
      <c r="L1305" s="510"/>
      <c r="M1305" s="509"/>
      <c r="N1305" s="508"/>
      <c r="O1305" s="507"/>
      <c r="P1305" s="507"/>
      <c r="Q1305" s="505"/>
      <c r="R1305" s="506"/>
      <c r="S1305" s="506"/>
      <c r="T1305" s="506"/>
      <c r="U1305" s="505"/>
      <c r="V1305" s="505"/>
      <c r="W1305" s="505"/>
      <c r="X1305" s="504"/>
      <c r="Y1305" s="503"/>
      <c r="Z1305" s="503"/>
      <c r="AA1305" s="503"/>
      <c r="AB1305" s="503"/>
      <c r="AC1305" s="503"/>
      <c r="AD1305" s="503"/>
      <c r="AE1305" s="503"/>
      <c r="AF1305" s="503"/>
    </row>
    <row r="1306" spans="1:32" ht="15.75" customHeight="1">
      <c r="A1306" s="503"/>
      <c r="B1306" s="503"/>
      <c r="C1306" s="510"/>
      <c r="D1306" s="510"/>
      <c r="E1306" s="510"/>
      <c r="F1306" s="746"/>
      <c r="G1306" s="510"/>
      <c r="H1306" s="510"/>
      <c r="I1306" s="510"/>
      <c r="J1306" s="510"/>
      <c r="K1306" s="510"/>
      <c r="L1306" s="510"/>
      <c r="M1306" s="509"/>
      <c r="N1306" s="508"/>
      <c r="O1306" s="507"/>
      <c r="P1306" s="507"/>
      <c r="Q1306" s="505"/>
      <c r="R1306" s="506"/>
      <c r="S1306" s="506"/>
      <c r="T1306" s="506"/>
      <c r="U1306" s="505"/>
      <c r="V1306" s="505"/>
      <c r="W1306" s="505"/>
      <c r="X1306" s="504"/>
      <c r="Y1306" s="503"/>
      <c r="Z1306" s="503"/>
      <c r="AA1306" s="503"/>
      <c r="AB1306" s="503"/>
      <c r="AC1306" s="503"/>
      <c r="AD1306" s="503"/>
      <c r="AE1306" s="503"/>
      <c r="AF1306" s="503"/>
    </row>
    <row r="1307" spans="1:32" ht="15.75" customHeight="1">
      <c r="A1307" s="503"/>
      <c r="B1307" s="503"/>
      <c r="C1307" s="510"/>
      <c r="D1307" s="510"/>
      <c r="E1307" s="510"/>
      <c r="F1307" s="746"/>
      <c r="G1307" s="510"/>
      <c r="H1307" s="510"/>
      <c r="I1307" s="510"/>
      <c r="J1307" s="510"/>
      <c r="K1307" s="510"/>
      <c r="L1307" s="510"/>
      <c r="M1307" s="509"/>
      <c r="N1307" s="508"/>
      <c r="O1307" s="507"/>
      <c r="P1307" s="507"/>
      <c r="Q1307" s="505"/>
      <c r="R1307" s="506"/>
      <c r="S1307" s="506"/>
      <c r="T1307" s="506"/>
      <c r="U1307" s="505"/>
      <c r="V1307" s="505"/>
      <c r="W1307" s="505"/>
      <c r="X1307" s="504"/>
      <c r="Y1307" s="503"/>
      <c r="Z1307" s="503"/>
      <c r="AA1307" s="503"/>
      <c r="AB1307" s="503"/>
      <c r="AC1307" s="503"/>
      <c r="AD1307" s="503"/>
      <c r="AE1307" s="503"/>
      <c r="AF1307" s="503"/>
    </row>
    <row r="1308" spans="1:32" ht="15.75" customHeight="1">
      <c r="A1308" s="503"/>
      <c r="B1308" s="503"/>
      <c r="C1308" s="510"/>
      <c r="D1308" s="510"/>
      <c r="E1308" s="510"/>
      <c r="F1308" s="746"/>
      <c r="G1308" s="510"/>
      <c r="H1308" s="510"/>
      <c r="I1308" s="510"/>
      <c r="J1308" s="510"/>
      <c r="K1308" s="510"/>
      <c r="L1308" s="510"/>
      <c r="M1308" s="509"/>
      <c r="N1308" s="508"/>
      <c r="O1308" s="507"/>
      <c r="P1308" s="507"/>
      <c r="Q1308" s="505"/>
      <c r="R1308" s="506"/>
      <c r="S1308" s="506"/>
      <c r="T1308" s="506"/>
      <c r="U1308" s="505"/>
      <c r="V1308" s="505"/>
      <c r="W1308" s="505"/>
      <c r="X1308" s="504"/>
      <c r="Y1308" s="503"/>
      <c r="Z1308" s="503"/>
      <c r="AA1308" s="503"/>
      <c r="AB1308" s="503"/>
      <c r="AC1308" s="503"/>
      <c r="AD1308" s="503"/>
      <c r="AE1308" s="503"/>
      <c r="AF1308" s="503"/>
    </row>
    <row r="1309" spans="1:32" ht="15.75" customHeight="1">
      <c r="A1309" s="503"/>
      <c r="B1309" s="503"/>
      <c r="C1309" s="510"/>
      <c r="D1309" s="510"/>
      <c r="E1309" s="510"/>
      <c r="F1309" s="746"/>
      <c r="G1309" s="510"/>
      <c r="H1309" s="510"/>
      <c r="I1309" s="510"/>
      <c r="J1309" s="510"/>
      <c r="K1309" s="510"/>
      <c r="L1309" s="510"/>
      <c r="M1309" s="509"/>
      <c r="N1309" s="508"/>
      <c r="O1309" s="507"/>
      <c r="P1309" s="507"/>
      <c r="Q1309" s="505"/>
      <c r="R1309" s="506"/>
      <c r="S1309" s="506"/>
      <c r="T1309" s="506"/>
      <c r="U1309" s="505"/>
      <c r="V1309" s="505"/>
      <c r="W1309" s="505"/>
      <c r="X1309" s="504"/>
      <c r="Y1309" s="503"/>
      <c r="Z1309" s="503"/>
      <c r="AA1309" s="503"/>
      <c r="AB1309" s="503"/>
      <c r="AC1309" s="503"/>
      <c r="AD1309" s="503"/>
      <c r="AE1309" s="503"/>
      <c r="AF1309" s="503"/>
    </row>
    <row r="1310" spans="1:32" ht="15.75" customHeight="1">
      <c r="A1310" s="503"/>
      <c r="B1310" s="503"/>
      <c r="C1310" s="510"/>
      <c r="D1310" s="510"/>
      <c r="E1310" s="510"/>
      <c r="F1310" s="746"/>
      <c r="G1310" s="510"/>
      <c r="H1310" s="510"/>
      <c r="I1310" s="510"/>
      <c r="J1310" s="510"/>
      <c r="K1310" s="510"/>
      <c r="L1310" s="510"/>
      <c r="M1310" s="509"/>
      <c r="N1310" s="508"/>
      <c r="O1310" s="507"/>
      <c r="P1310" s="507"/>
      <c r="Q1310" s="505"/>
      <c r="R1310" s="506"/>
      <c r="S1310" s="506"/>
      <c r="T1310" s="506"/>
      <c r="U1310" s="505"/>
      <c r="V1310" s="505"/>
      <c r="W1310" s="505"/>
      <c r="X1310" s="504"/>
      <c r="Y1310" s="503"/>
      <c r="Z1310" s="503"/>
      <c r="AA1310" s="503"/>
      <c r="AB1310" s="503"/>
      <c r="AC1310" s="503"/>
      <c r="AD1310" s="503"/>
      <c r="AE1310" s="503"/>
      <c r="AF1310" s="503"/>
    </row>
    <row r="1311" spans="1:32" ht="15.75" customHeight="1">
      <c r="A1311" s="503"/>
      <c r="B1311" s="503"/>
      <c r="C1311" s="510"/>
      <c r="D1311" s="510"/>
      <c r="E1311" s="510"/>
      <c r="F1311" s="746"/>
      <c r="G1311" s="510"/>
      <c r="H1311" s="510"/>
      <c r="I1311" s="510"/>
      <c r="J1311" s="510"/>
      <c r="K1311" s="510"/>
      <c r="L1311" s="510"/>
      <c r="M1311" s="509"/>
      <c r="N1311" s="508"/>
      <c r="O1311" s="507"/>
      <c r="P1311" s="507"/>
      <c r="Q1311" s="505"/>
      <c r="R1311" s="506"/>
      <c r="S1311" s="506"/>
      <c r="T1311" s="506"/>
      <c r="U1311" s="505"/>
      <c r="V1311" s="505"/>
      <c r="W1311" s="505"/>
      <c r="X1311" s="504"/>
      <c r="Y1311" s="503"/>
      <c r="Z1311" s="503"/>
      <c r="AA1311" s="503"/>
      <c r="AB1311" s="503"/>
      <c r="AC1311" s="503"/>
      <c r="AD1311" s="503"/>
      <c r="AE1311" s="503"/>
      <c r="AF1311" s="503"/>
    </row>
    <row r="1312" spans="1:32" ht="15.75" customHeight="1">
      <c r="A1312" s="503"/>
      <c r="B1312" s="503"/>
      <c r="C1312" s="510"/>
      <c r="D1312" s="510"/>
      <c r="E1312" s="510"/>
      <c r="F1312" s="746"/>
      <c r="G1312" s="510"/>
      <c r="H1312" s="510"/>
      <c r="I1312" s="510"/>
      <c r="J1312" s="510"/>
      <c r="K1312" s="510"/>
      <c r="L1312" s="510"/>
      <c r="M1312" s="509"/>
      <c r="N1312" s="508"/>
      <c r="O1312" s="507"/>
      <c r="P1312" s="507"/>
      <c r="Q1312" s="505"/>
      <c r="R1312" s="506"/>
      <c r="S1312" s="506"/>
      <c r="T1312" s="506"/>
      <c r="U1312" s="505"/>
      <c r="V1312" s="505"/>
      <c r="W1312" s="505"/>
      <c r="X1312" s="504"/>
      <c r="Y1312" s="503"/>
      <c r="Z1312" s="503"/>
      <c r="AA1312" s="503"/>
      <c r="AB1312" s="503"/>
      <c r="AC1312" s="503"/>
      <c r="AD1312" s="503"/>
      <c r="AE1312" s="503"/>
      <c r="AF1312" s="503"/>
    </row>
    <row r="1313" spans="1:32" ht="15.75" customHeight="1">
      <c r="A1313" s="503"/>
      <c r="B1313" s="503"/>
      <c r="C1313" s="510"/>
      <c r="D1313" s="510"/>
      <c r="E1313" s="510"/>
      <c r="F1313" s="746"/>
      <c r="G1313" s="510"/>
      <c r="H1313" s="510"/>
      <c r="I1313" s="510"/>
      <c r="J1313" s="510"/>
      <c r="K1313" s="510"/>
      <c r="L1313" s="510"/>
      <c r="M1313" s="509"/>
      <c r="N1313" s="508"/>
      <c r="O1313" s="507"/>
      <c r="P1313" s="507"/>
      <c r="Q1313" s="505"/>
      <c r="R1313" s="506"/>
      <c r="S1313" s="506"/>
      <c r="T1313" s="506"/>
      <c r="U1313" s="505"/>
      <c r="V1313" s="505"/>
      <c r="W1313" s="505"/>
      <c r="X1313" s="504"/>
      <c r="Y1313" s="503"/>
      <c r="Z1313" s="503"/>
      <c r="AA1313" s="503"/>
      <c r="AB1313" s="503"/>
      <c r="AC1313" s="503"/>
      <c r="AD1313" s="503"/>
      <c r="AE1313" s="503"/>
      <c r="AF1313" s="503"/>
    </row>
    <row r="1314" spans="1:32" ht="15.75" customHeight="1">
      <c r="A1314" s="503"/>
      <c r="B1314" s="503"/>
      <c r="C1314" s="510"/>
      <c r="D1314" s="510"/>
      <c r="E1314" s="510"/>
      <c r="F1314" s="746"/>
      <c r="G1314" s="510"/>
      <c r="H1314" s="510"/>
      <c r="I1314" s="510"/>
      <c r="J1314" s="510"/>
      <c r="K1314" s="510"/>
      <c r="L1314" s="510"/>
      <c r="M1314" s="509"/>
      <c r="N1314" s="508"/>
      <c r="O1314" s="507"/>
      <c r="P1314" s="507"/>
      <c r="Q1314" s="505"/>
      <c r="R1314" s="506"/>
      <c r="S1314" s="506"/>
      <c r="T1314" s="506"/>
      <c r="U1314" s="505"/>
      <c r="V1314" s="505"/>
      <c r="W1314" s="505"/>
      <c r="X1314" s="504"/>
      <c r="Y1314" s="503"/>
      <c r="Z1314" s="503"/>
      <c r="AA1314" s="503"/>
      <c r="AB1314" s="503"/>
      <c r="AC1314" s="503"/>
      <c r="AD1314" s="503"/>
      <c r="AE1314" s="503"/>
      <c r="AF1314" s="503"/>
    </row>
    <row r="1315" spans="1:32" ht="15.75" customHeight="1">
      <c r="A1315" s="503"/>
      <c r="B1315" s="503"/>
      <c r="C1315" s="510"/>
      <c r="D1315" s="510"/>
      <c r="E1315" s="510"/>
      <c r="F1315" s="746"/>
      <c r="G1315" s="510"/>
      <c r="H1315" s="510"/>
      <c r="I1315" s="510"/>
      <c r="J1315" s="510"/>
      <c r="K1315" s="510"/>
      <c r="L1315" s="510"/>
      <c r="M1315" s="509"/>
      <c r="N1315" s="508"/>
      <c r="O1315" s="507"/>
      <c r="P1315" s="507"/>
      <c r="Q1315" s="505"/>
      <c r="R1315" s="506"/>
      <c r="S1315" s="506"/>
      <c r="T1315" s="506"/>
      <c r="U1315" s="505"/>
      <c r="V1315" s="505"/>
      <c r="W1315" s="505"/>
      <c r="X1315" s="504"/>
      <c r="Y1315" s="503"/>
      <c r="Z1315" s="503"/>
      <c r="AA1315" s="503"/>
      <c r="AB1315" s="503"/>
      <c r="AC1315" s="503"/>
      <c r="AD1315" s="503"/>
      <c r="AE1315" s="503"/>
      <c r="AF1315" s="503"/>
    </row>
    <row r="1316" spans="1:32" ht="15.75" customHeight="1">
      <c r="A1316" s="503"/>
      <c r="B1316" s="503"/>
      <c r="C1316" s="510"/>
      <c r="D1316" s="510"/>
      <c r="E1316" s="510"/>
      <c r="F1316" s="746"/>
      <c r="G1316" s="510"/>
      <c r="H1316" s="510"/>
      <c r="I1316" s="510"/>
      <c r="J1316" s="510"/>
      <c r="K1316" s="510"/>
      <c r="L1316" s="510"/>
      <c r="M1316" s="509"/>
      <c r="N1316" s="508"/>
      <c r="O1316" s="507"/>
      <c r="P1316" s="507"/>
      <c r="Q1316" s="505"/>
      <c r="R1316" s="506"/>
      <c r="S1316" s="506"/>
      <c r="T1316" s="506"/>
      <c r="U1316" s="505"/>
      <c r="V1316" s="505"/>
      <c r="W1316" s="505"/>
      <c r="X1316" s="504"/>
      <c r="Y1316" s="503"/>
      <c r="Z1316" s="503"/>
      <c r="AA1316" s="503"/>
      <c r="AB1316" s="503"/>
      <c r="AC1316" s="503"/>
      <c r="AD1316" s="503"/>
      <c r="AE1316" s="503"/>
      <c r="AF1316" s="503"/>
    </row>
    <row r="1317" spans="1:32" ht="15.75" customHeight="1">
      <c r="A1317" s="503"/>
      <c r="B1317" s="503"/>
      <c r="C1317" s="510"/>
      <c r="D1317" s="510"/>
      <c r="E1317" s="510"/>
      <c r="F1317" s="746"/>
      <c r="G1317" s="510"/>
      <c r="H1317" s="510"/>
      <c r="I1317" s="510"/>
      <c r="J1317" s="510"/>
      <c r="K1317" s="510"/>
      <c r="L1317" s="510"/>
      <c r="M1317" s="509"/>
      <c r="N1317" s="508"/>
      <c r="O1317" s="507"/>
      <c r="P1317" s="507"/>
      <c r="Q1317" s="505"/>
      <c r="R1317" s="506"/>
      <c r="S1317" s="506"/>
      <c r="T1317" s="506"/>
      <c r="U1317" s="505"/>
      <c r="V1317" s="505"/>
      <c r="W1317" s="505"/>
      <c r="X1317" s="504"/>
      <c r="Y1317" s="503"/>
      <c r="Z1317" s="503"/>
      <c r="AA1317" s="503"/>
      <c r="AB1317" s="503"/>
      <c r="AC1317" s="503"/>
      <c r="AD1317" s="503"/>
      <c r="AE1317" s="503"/>
      <c r="AF1317" s="503"/>
    </row>
    <row r="1318" spans="1:32" ht="15.75" customHeight="1">
      <c r="A1318" s="503"/>
      <c r="B1318" s="503"/>
      <c r="C1318" s="510"/>
      <c r="D1318" s="510"/>
      <c r="E1318" s="510"/>
      <c r="F1318" s="746"/>
      <c r="G1318" s="510"/>
      <c r="H1318" s="510"/>
      <c r="I1318" s="510"/>
      <c r="J1318" s="510"/>
      <c r="K1318" s="510"/>
      <c r="L1318" s="510"/>
      <c r="M1318" s="509"/>
      <c r="N1318" s="508"/>
      <c r="O1318" s="507"/>
      <c r="P1318" s="507"/>
      <c r="Q1318" s="505"/>
      <c r="R1318" s="506"/>
      <c r="S1318" s="506"/>
      <c r="T1318" s="506"/>
      <c r="U1318" s="505"/>
      <c r="V1318" s="505"/>
      <c r="W1318" s="505"/>
      <c r="X1318" s="504"/>
      <c r="Y1318" s="503"/>
      <c r="Z1318" s="503"/>
      <c r="AA1318" s="503"/>
      <c r="AB1318" s="503"/>
      <c r="AC1318" s="503"/>
      <c r="AD1318" s="503"/>
      <c r="AE1318" s="503"/>
      <c r="AF1318" s="503"/>
    </row>
    <row r="1319" spans="1:32" ht="15.75" customHeight="1">
      <c r="A1319" s="503"/>
      <c r="B1319" s="503"/>
      <c r="C1319" s="510"/>
      <c r="D1319" s="510"/>
      <c r="E1319" s="510"/>
      <c r="F1319" s="746"/>
      <c r="G1319" s="510"/>
      <c r="H1319" s="510"/>
      <c r="I1319" s="510"/>
      <c r="J1319" s="510"/>
      <c r="K1319" s="510"/>
      <c r="L1319" s="510"/>
      <c r="M1319" s="509"/>
      <c r="N1319" s="508"/>
      <c r="O1319" s="507"/>
      <c r="P1319" s="507"/>
      <c r="Q1319" s="505"/>
      <c r="R1319" s="506"/>
      <c r="S1319" s="506"/>
      <c r="T1319" s="506"/>
      <c r="U1319" s="505"/>
      <c r="V1319" s="505"/>
      <c r="W1319" s="505"/>
      <c r="X1319" s="504"/>
      <c r="Y1319" s="503"/>
      <c r="Z1319" s="503"/>
      <c r="AA1319" s="503"/>
      <c r="AB1319" s="503"/>
      <c r="AC1319" s="503"/>
      <c r="AD1319" s="503"/>
      <c r="AE1319" s="503"/>
      <c r="AF1319" s="503"/>
    </row>
    <row r="1320" spans="1:32" ht="15.75" customHeight="1">
      <c r="A1320" s="503"/>
      <c r="B1320" s="503"/>
      <c r="C1320" s="510"/>
      <c r="D1320" s="510"/>
      <c r="E1320" s="510"/>
      <c r="F1320" s="746"/>
      <c r="G1320" s="510"/>
      <c r="H1320" s="510"/>
      <c r="I1320" s="510"/>
      <c r="J1320" s="510"/>
      <c r="K1320" s="510"/>
      <c r="L1320" s="510"/>
      <c r="M1320" s="509"/>
      <c r="N1320" s="508"/>
      <c r="O1320" s="507"/>
      <c r="P1320" s="507"/>
      <c r="Q1320" s="505"/>
      <c r="R1320" s="506"/>
      <c r="S1320" s="506"/>
      <c r="T1320" s="506"/>
      <c r="U1320" s="505"/>
      <c r="V1320" s="505"/>
      <c r="W1320" s="505"/>
      <c r="X1320" s="504"/>
      <c r="Y1320" s="503"/>
      <c r="Z1320" s="503"/>
      <c r="AA1320" s="503"/>
      <c r="AB1320" s="503"/>
      <c r="AC1320" s="503"/>
      <c r="AD1320" s="503"/>
      <c r="AE1320" s="503"/>
      <c r="AF1320" s="503"/>
    </row>
    <row r="1321" spans="1:32" ht="15.75" customHeight="1">
      <c r="A1321" s="503"/>
      <c r="B1321" s="503"/>
      <c r="C1321" s="510"/>
      <c r="D1321" s="510"/>
      <c r="E1321" s="510"/>
      <c r="F1321" s="746"/>
      <c r="G1321" s="510"/>
      <c r="H1321" s="510"/>
      <c r="I1321" s="510"/>
      <c r="J1321" s="510"/>
      <c r="K1321" s="510"/>
      <c r="L1321" s="510"/>
      <c r="M1321" s="509"/>
      <c r="N1321" s="508"/>
      <c r="O1321" s="507"/>
      <c r="P1321" s="507"/>
      <c r="Q1321" s="505"/>
      <c r="R1321" s="506"/>
      <c r="S1321" s="506"/>
      <c r="T1321" s="506"/>
      <c r="U1321" s="505"/>
      <c r="V1321" s="505"/>
      <c r="W1321" s="505"/>
      <c r="X1321" s="504"/>
      <c r="Y1321" s="503"/>
      <c r="Z1321" s="503"/>
      <c r="AA1321" s="503"/>
      <c r="AB1321" s="503"/>
      <c r="AC1321" s="503"/>
      <c r="AD1321" s="503"/>
      <c r="AE1321" s="503"/>
      <c r="AF1321" s="503"/>
    </row>
    <row r="1322" spans="1:32" ht="15.75" customHeight="1">
      <c r="A1322" s="503"/>
      <c r="B1322" s="503"/>
      <c r="C1322" s="510"/>
      <c r="D1322" s="510"/>
      <c r="E1322" s="510"/>
      <c r="F1322" s="746"/>
      <c r="G1322" s="510"/>
      <c r="H1322" s="510"/>
      <c r="I1322" s="510"/>
      <c r="J1322" s="510"/>
      <c r="K1322" s="510"/>
      <c r="L1322" s="510"/>
      <c r="M1322" s="509"/>
      <c r="N1322" s="508"/>
      <c r="O1322" s="507"/>
      <c r="P1322" s="507"/>
      <c r="Q1322" s="505"/>
      <c r="R1322" s="506"/>
      <c r="S1322" s="506"/>
      <c r="T1322" s="506"/>
      <c r="U1322" s="505"/>
      <c r="V1322" s="505"/>
      <c r="W1322" s="505"/>
      <c r="X1322" s="504"/>
      <c r="Y1322" s="503"/>
      <c r="Z1322" s="503"/>
      <c r="AA1322" s="503"/>
      <c r="AB1322" s="503"/>
      <c r="AC1322" s="503"/>
      <c r="AD1322" s="503"/>
      <c r="AE1322" s="503"/>
      <c r="AF1322" s="503"/>
    </row>
    <row r="1323" spans="1:32" ht="15.75" customHeight="1">
      <c r="A1323" s="503"/>
      <c r="B1323" s="503"/>
      <c r="C1323" s="510"/>
      <c r="D1323" s="510"/>
      <c r="E1323" s="510"/>
      <c r="F1323" s="746"/>
      <c r="G1323" s="510"/>
      <c r="H1323" s="510"/>
      <c r="I1323" s="510"/>
      <c r="J1323" s="510"/>
      <c r="K1323" s="510"/>
      <c r="L1323" s="510"/>
      <c r="M1323" s="509"/>
      <c r="N1323" s="508"/>
      <c r="O1323" s="507"/>
      <c r="P1323" s="507"/>
      <c r="Q1323" s="505"/>
      <c r="R1323" s="506"/>
      <c r="S1323" s="506"/>
      <c r="T1323" s="506"/>
      <c r="U1323" s="505"/>
      <c r="V1323" s="505"/>
      <c r="W1323" s="505"/>
      <c r="X1323" s="504"/>
      <c r="Y1323" s="503"/>
      <c r="Z1323" s="503"/>
      <c r="AA1323" s="503"/>
      <c r="AB1323" s="503"/>
      <c r="AC1323" s="503"/>
      <c r="AD1323" s="503"/>
      <c r="AE1323" s="503"/>
      <c r="AF1323" s="503"/>
    </row>
    <row r="1324" spans="1:32" ht="15.75" customHeight="1">
      <c r="A1324" s="503"/>
      <c r="B1324" s="503"/>
      <c r="C1324" s="510"/>
      <c r="D1324" s="510"/>
      <c r="E1324" s="510"/>
      <c r="F1324" s="746"/>
      <c r="G1324" s="510"/>
      <c r="H1324" s="510"/>
      <c r="I1324" s="510"/>
      <c r="J1324" s="510"/>
      <c r="K1324" s="510"/>
      <c r="L1324" s="510"/>
      <c r="M1324" s="509"/>
      <c r="N1324" s="508"/>
      <c r="O1324" s="507"/>
      <c r="P1324" s="507"/>
      <c r="Q1324" s="505"/>
      <c r="R1324" s="506"/>
      <c r="S1324" s="506"/>
      <c r="T1324" s="506"/>
      <c r="U1324" s="505"/>
      <c r="V1324" s="505"/>
      <c r="W1324" s="505"/>
      <c r="X1324" s="504"/>
      <c r="Y1324" s="503"/>
      <c r="Z1324" s="503"/>
      <c r="AA1324" s="503"/>
      <c r="AB1324" s="503"/>
      <c r="AC1324" s="503"/>
      <c r="AD1324" s="503"/>
      <c r="AE1324" s="503"/>
      <c r="AF1324" s="503"/>
    </row>
    <row r="1325" spans="1:32" ht="15.75" customHeight="1">
      <c r="A1325" s="503"/>
      <c r="B1325" s="503"/>
      <c r="C1325" s="510"/>
      <c r="D1325" s="510"/>
      <c r="E1325" s="510"/>
      <c r="F1325" s="746"/>
      <c r="G1325" s="510"/>
      <c r="H1325" s="510"/>
      <c r="I1325" s="510"/>
      <c r="J1325" s="510"/>
      <c r="K1325" s="510"/>
      <c r="L1325" s="510"/>
      <c r="M1325" s="509"/>
      <c r="N1325" s="508"/>
      <c r="O1325" s="507"/>
      <c r="P1325" s="507"/>
      <c r="Q1325" s="505"/>
      <c r="R1325" s="506"/>
      <c r="S1325" s="506"/>
      <c r="T1325" s="506"/>
      <c r="U1325" s="505"/>
      <c r="V1325" s="505"/>
      <c r="W1325" s="505"/>
      <c r="X1325" s="504"/>
      <c r="Y1325" s="503"/>
      <c r="Z1325" s="503"/>
      <c r="AA1325" s="503"/>
      <c r="AB1325" s="503"/>
      <c r="AC1325" s="503"/>
      <c r="AD1325" s="503"/>
      <c r="AE1325" s="503"/>
      <c r="AF1325" s="503"/>
    </row>
    <row r="1326" spans="1:32" ht="15.75" customHeight="1">
      <c r="A1326" s="503"/>
      <c r="B1326" s="503"/>
      <c r="C1326" s="510"/>
      <c r="D1326" s="510"/>
      <c r="E1326" s="510"/>
      <c r="F1326" s="746"/>
      <c r="G1326" s="510"/>
      <c r="H1326" s="510"/>
      <c r="I1326" s="510"/>
      <c r="J1326" s="510"/>
      <c r="K1326" s="510"/>
      <c r="L1326" s="510"/>
      <c r="M1326" s="509"/>
      <c r="N1326" s="508"/>
      <c r="O1326" s="507"/>
      <c r="P1326" s="507"/>
      <c r="Q1326" s="505"/>
      <c r="R1326" s="506"/>
      <c r="S1326" s="506"/>
      <c r="T1326" s="506"/>
      <c r="U1326" s="505"/>
      <c r="V1326" s="505"/>
      <c r="W1326" s="505"/>
      <c r="X1326" s="504"/>
      <c r="Y1326" s="503"/>
      <c r="Z1326" s="503"/>
      <c r="AA1326" s="503"/>
      <c r="AB1326" s="503"/>
      <c r="AC1326" s="503"/>
      <c r="AD1326" s="503"/>
      <c r="AE1326" s="503"/>
      <c r="AF1326" s="503"/>
    </row>
    <row r="1327" spans="1:32" ht="15.75" customHeight="1">
      <c r="A1327" s="503"/>
      <c r="B1327" s="503"/>
      <c r="C1327" s="510"/>
      <c r="D1327" s="510"/>
      <c r="E1327" s="510"/>
      <c r="F1327" s="746"/>
      <c r="G1327" s="510"/>
      <c r="H1327" s="510"/>
      <c r="I1327" s="510"/>
      <c r="J1327" s="510"/>
      <c r="K1327" s="510"/>
      <c r="L1327" s="510"/>
      <c r="M1327" s="509"/>
      <c r="N1327" s="508"/>
      <c r="O1327" s="507"/>
      <c r="P1327" s="507"/>
      <c r="Q1327" s="505"/>
      <c r="R1327" s="506"/>
      <c r="S1327" s="506"/>
      <c r="T1327" s="506"/>
      <c r="U1327" s="505"/>
      <c r="V1327" s="505"/>
      <c r="W1327" s="505"/>
      <c r="X1327" s="504"/>
      <c r="Y1327" s="503"/>
      <c r="Z1327" s="503"/>
      <c r="AA1327" s="503"/>
      <c r="AB1327" s="503"/>
      <c r="AC1327" s="503"/>
      <c r="AD1327" s="503"/>
      <c r="AE1327" s="503"/>
      <c r="AF1327" s="503"/>
    </row>
    <row r="1328" spans="1:32" ht="15.75" customHeight="1">
      <c r="A1328" s="503"/>
      <c r="B1328" s="503"/>
      <c r="C1328" s="510"/>
      <c r="D1328" s="510"/>
      <c r="E1328" s="510"/>
      <c r="F1328" s="746"/>
      <c r="G1328" s="510"/>
      <c r="H1328" s="510"/>
      <c r="I1328" s="510"/>
      <c r="J1328" s="510"/>
      <c r="K1328" s="510"/>
      <c r="L1328" s="510"/>
      <c r="M1328" s="509"/>
      <c r="N1328" s="508"/>
      <c r="O1328" s="507"/>
      <c r="P1328" s="507"/>
      <c r="Q1328" s="505"/>
      <c r="R1328" s="506"/>
      <c r="S1328" s="506"/>
      <c r="T1328" s="506"/>
      <c r="U1328" s="505"/>
      <c r="V1328" s="505"/>
      <c r="W1328" s="505"/>
      <c r="X1328" s="504"/>
      <c r="Y1328" s="503"/>
      <c r="Z1328" s="503"/>
      <c r="AA1328" s="503"/>
      <c r="AB1328" s="503"/>
      <c r="AC1328" s="503"/>
      <c r="AD1328" s="503"/>
      <c r="AE1328" s="503"/>
      <c r="AF1328" s="503"/>
    </row>
    <row r="1329" spans="1:32" ht="15.75" customHeight="1">
      <c r="A1329" s="503"/>
      <c r="B1329" s="503"/>
      <c r="C1329" s="510"/>
      <c r="D1329" s="510"/>
      <c r="E1329" s="510"/>
      <c r="F1329" s="746"/>
      <c r="G1329" s="510"/>
      <c r="H1329" s="510"/>
      <c r="I1329" s="510"/>
      <c r="J1329" s="510"/>
      <c r="K1329" s="510"/>
      <c r="L1329" s="510"/>
      <c r="M1329" s="509"/>
      <c r="N1329" s="508"/>
      <c r="O1329" s="507"/>
      <c r="P1329" s="507"/>
      <c r="Q1329" s="505"/>
      <c r="R1329" s="506"/>
      <c r="S1329" s="506"/>
      <c r="T1329" s="506"/>
      <c r="U1329" s="505"/>
      <c r="V1329" s="505"/>
      <c r="W1329" s="505"/>
      <c r="X1329" s="504"/>
      <c r="Y1329" s="503"/>
      <c r="Z1329" s="503"/>
      <c r="AA1329" s="503"/>
      <c r="AB1329" s="503"/>
      <c r="AC1329" s="503"/>
      <c r="AD1329" s="503"/>
      <c r="AE1329" s="503"/>
      <c r="AF1329" s="503"/>
    </row>
    <row r="1330" spans="1:32" ht="15.75" customHeight="1">
      <c r="A1330" s="503"/>
      <c r="B1330" s="503"/>
      <c r="C1330" s="510"/>
      <c r="D1330" s="510"/>
      <c r="E1330" s="510"/>
      <c r="F1330" s="746"/>
      <c r="G1330" s="510"/>
      <c r="H1330" s="510"/>
      <c r="I1330" s="510"/>
      <c r="J1330" s="510"/>
      <c r="K1330" s="510"/>
      <c r="L1330" s="510"/>
      <c r="M1330" s="509"/>
      <c r="N1330" s="508"/>
      <c r="O1330" s="507"/>
      <c r="P1330" s="507"/>
      <c r="Q1330" s="505"/>
      <c r="R1330" s="506"/>
      <c r="S1330" s="506"/>
      <c r="T1330" s="506"/>
      <c r="U1330" s="505"/>
      <c r="V1330" s="505"/>
      <c r="W1330" s="505"/>
      <c r="X1330" s="504"/>
      <c r="Y1330" s="503"/>
      <c r="Z1330" s="503"/>
      <c r="AA1330" s="503"/>
      <c r="AB1330" s="503"/>
      <c r="AC1330" s="503"/>
      <c r="AD1330" s="503"/>
      <c r="AE1330" s="503"/>
      <c r="AF1330" s="503"/>
    </row>
    <row r="1331" spans="1:32" ht="15.75" customHeight="1">
      <c r="A1331" s="503"/>
      <c r="B1331" s="503"/>
      <c r="C1331" s="510"/>
      <c r="D1331" s="510"/>
      <c r="E1331" s="510"/>
      <c r="F1331" s="746"/>
      <c r="G1331" s="510"/>
      <c r="H1331" s="510"/>
      <c r="I1331" s="510"/>
      <c r="J1331" s="510"/>
      <c r="K1331" s="510"/>
      <c r="L1331" s="510"/>
      <c r="M1331" s="509"/>
      <c r="N1331" s="508"/>
      <c r="O1331" s="507"/>
      <c r="P1331" s="507"/>
      <c r="Q1331" s="505"/>
      <c r="R1331" s="506"/>
      <c r="S1331" s="506"/>
      <c r="T1331" s="506"/>
      <c r="U1331" s="505"/>
      <c r="V1331" s="505"/>
      <c r="W1331" s="505"/>
      <c r="X1331" s="504"/>
      <c r="Y1331" s="503"/>
      <c r="Z1331" s="503"/>
      <c r="AA1331" s="503"/>
      <c r="AB1331" s="503"/>
      <c r="AC1331" s="503"/>
      <c r="AD1331" s="503"/>
      <c r="AE1331" s="503"/>
      <c r="AF1331" s="503"/>
    </row>
    <row r="1332" spans="1:32" ht="15.75" customHeight="1">
      <c r="A1332" s="503"/>
      <c r="B1332" s="503"/>
      <c r="C1332" s="510"/>
      <c r="D1332" s="510"/>
      <c r="E1332" s="510"/>
      <c r="F1332" s="746"/>
      <c r="G1332" s="510"/>
      <c r="H1332" s="510"/>
      <c r="I1332" s="510"/>
      <c r="J1332" s="510"/>
      <c r="K1332" s="510"/>
      <c r="L1332" s="510"/>
      <c r="M1332" s="509"/>
      <c r="N1332" s="508"/>
      <c r="O1332" s="507"/>
      <c r="P1332" s="507"/>
      <c r="Q1332" s="505"/>
      <c r="R1332" s="506"/>
      <c r="S1332" s="506"/>
      <c r="T1332" s="506"/>
      <c r="U1332" s="505"/>
      <c r="V1332" s="505"/>
      <c r="W1332" s="505"/>
      <c r="X1332" s="504"/>
      <c r="Y1332" s="503"/>
      <c r="Z1332" s="503"/>
      <c r="AA1332" s="503"/>
      <c r="AB1332" s="503"/>
      <c r="AC1332" s="503"/>
      <c r="AD1332" s="503"/>
      <c r="AE1332" s="503"/>
      <c r="AF1332" s="503"/>
    </row>
    <row r="1333" spans="1:32" ht="15.75" customHeight="1">
      <c r="A1333" s="503"/>
      <c r="B1333" s="503"/>
      <c r="C1333" s="510"/>
      <c r="D1333" s="510"/>
      <c r="E1333" s="510"/>
      <c r="F1333" s="746"/>
      <c r="G1333" s="510"/>
      <c r="H1333" s="510"/>
      <c r="I1333" s="510"/>
      <c r="J1333" s="510"/>
      <c r="K1333" s="510"/>
      <c r="L1333" s="510"/>
      <c r="M1333" s="509"/>
      <c r="N1333" s="508"/>
      <c r="O1333" s="507"/>
      <c r="P1333" s="507"/>
      <c r="Q1333" s="505"/>
      <c r="R1333" s="506"/>
      <c r="S1333" s="506"/>
      <c r="T1333" s="506"/>
      <c r="U1333" s="505"/>
      <c r="V1333" s="505"/>
      <c r="W1333" s="505"/>
      <c r="X1333" s="504"/>
      <c r="Y1333" s="503"/>
      <c r="Z1333" s="503"/>
      <c r="AA1333" s="503"/>
      <c r="AB1333" s="503"/>
      <c r="AC1333" s="503"/>
      <c r="AD1333" s="503"/>
      <c r="AE1333" s="503"/>
      <c r="AF1333" s="503"/>
    </row>
    <row r="1334" spans="1:32" ht="15.75" customHeight="1">
      <c r="A1334" s="503"/>
      <c r="B1334" s="503"/>
      <c r="C1334" s="510"/>
      <c r="D1334" s="510"/>
      <c r="E1334" s="510"/>
      <c r="F1334" s="746"/>
      <c r="G1334" s="510"/>
      <c r="H1334" s="510"/>
      <c r="I1334" s="510"/>
      <c r="J1334" s="510"/>
      <c r="K1334" s="510"/>
      <c r="L1334" s="510"/>
      <c r="M1334" s="509"/>
      <c r="N1334" s="508"/>
      <c r="O1334" s="507"/>
      <c r="P1334" s="507"/>
      <c r="Q1334" s="505"/>
      <c r="R1334" s="506"/>
      <c r="S1334" s="506"/>
      <c r="T1334" s="506"/>
      <c r="U1334" s="505"/>
      <c r="V1334" s="505"/>
      <c r="W1334" s="505"/>
      <c r="X1334" s="504"/>
      <c r="Y1334" s="503"/>
      <c r="Z1334" s="503"/>
      <c r="AA1334" s="503"/>
      <c r="AB1334" s="503"/>
      <c r="AC1334" s="503"/>
      <c r="AD1334" s="503"/>
      <c r="AE1334" s="503"/>
      <c r="AF1334" s="503"/>
    </row>
    <row r="1335" spans="1:32" ht="15.75" customHeight="1">
      <c r="A1335" s="503"/>
      <c r="B1335" s="503"/>
      <c r="C1335" s="510"/>
      <c r="D1335" s="510"/>
      <c r="E1335" s="510"/>
      <c r="F1335" s="746"/>
      <c r="G1335" s="510"/>
      <c r="H1335" s="510"/>
      <c r="I1335" s="510"/>
      <c r="J1335" s="510"/>
      <c r="K1335" s="510"/>
      <c r="L1335" s="510"/>
      <c r="M1335" s="509"/>
      <c r="N1335" s="508"/>
      <c r="O1335" s="507"/>
      <c r="P1335" s="507"/>
      <c r="Q1335" s="505"/>
      <c r="R1335" s="506"/>
      <c r="S1335" s="506"/>
      <c r="T1335" s="506"/>
      <c r="U1335" s="505"/>
      <c r="V1335" s="505"/>
      <c r="W1335" s="505"/>
      <c r="X1335" s="504"/>
      <c r="Y1335" s="503"/>
      <c r="Z1335" s="503"/>
      <c r="AA1335" s="503"/>
      <c r="AB1335" s="503"/>
      <c r="AC1335" s="503"/>
      <c r="AD1335" s="503"/>
      <c r="AE1335" s="503"/>
      <c r="AF1335" s="503"/>
    </row>
    <row r="1336" spans="1:32" ht="15.75" customHeight="1">
      <c r="A1336" s="503"/>
      <c r="B1336" s="503"/>
      <c r="C1336" s="510"/>
      <c r="D1336" s="510"/>
      <c r="E1336" s="510"/>
      <c r="F1336" s="746"/>
      <c r="G1336" s="510"/>
      <c r="H1336" s="510"/>
      <c r="I1336" s="510"/>
      <c r="J1336" s="510"/>
      <c r="K1336" s="510"/>
      <c r="L1336" s="510"/>
      <c r="M1336" s="509"/>
      <c r="N1336" s="508"/>
      <c r="O1336" s="507"/>
      <c r="P1336" s="507"/>
      <c r="Q1336" s="505"/>
      <c r="R1336" s="506"/>
      <c r="S1336" s="506"/>
      <c r="T1336" s="506"/>
      <c r="U1336" s="505"/>
      <c r="V1336" s="505"/>
      <c r="W1336" s="505"/>
      <c r="X1336" s="504"/>
      <c r="Y1336" s="503"/>
      <c r="Z1336" s="503"/>
      <c r="AA1336" s="503"/>
      <c r="AB1336" s="503"/>
      <c r="AC1336" s="503"/>
      <c r="AD1336" s="503"/>
      <c r="AE1336" s="503"/>
      <c r="AF1336" s="503"/>
    </row>
    <row r="1337" spans="1:32" ht="15.75" customHeight="1">
      <c r="A1337" s="503"/>
      <c r="B1337" s="503"/>
      <c r="C1337" s="510"/>
      <c r="D1337" s="510"/>
      <c r="E1337" s="510"/>
      <c r="F1337" s="746"/>
      <c r="G1337" s="510"/>
      <c r="H1337" s="510"/>
      <c r="I1337" s="510"/>
      <c r="J1337" s="510"/>
      <c r="K1337" s="510"/>
      <c r="L1337" s="510"/>
      <c r="M1337" s="509"/>
      <c r="N1337" s="508"/>
      <c r="O1337" s="507"/>
      <c r="P1337" s="507"/>
      <c r="Q1337" s="505"/>
      <c r="R1337" s="506"/>
      <c r="S1337" s="506"/>
      <c r="T1337" s="506"/>
      <c r="U1337" s="505"/>
      <c r="V1337" s="505"/>
      <c r="W1337" s="505"/>
      <c r="X1337" s="504"/>
      <c r="Y1337" s="503"/>
      <c r="Z1337" s="503"/>
      <c r="AA1337" s="503"/>
      <c r="AB1337" s="503"/>
      <c r="AC1337" s="503"/>
      <c r="AD1337" s="503"/>
      <c r="AE1337" s="503"/>
      <c r="AF1337" s="503"/>
    </row>
    <row r="1338" spans="1:32" ht="15.75" customHeight="1">
      <c r="A1338" s="503"/>
      <c r="B1338" s="503"/>
      <c r="C1338" s="510"/>
      <c r="D1338" s="510"/>
      <c r="E1338" s="510"/>
      <c r="F1338" s="746"/>
      <c r="G1338" s="510"/>
      <c r="H1338" s="510"/>
      <c r="I1338" s="510"/>
      <c r="J1338" s="510"/>
      <c r="K1338" s="510"/>
      <c r="L1338" s="510"/>
      <c r="M1338" s="509"/>
      <c r="N1338" s="508"/>
      <c r="O1338" s="507"/>
      <c r="P1338" s="507"/>
      <c r="Q1338" s="505"/>
      <c r="R1338" s="506"/>
      <c r="S1338" s="506"/>
      <c r="T1338" s="506"/>
      <c r="U1338" s="505"/>
      <c r="V1338" s="505"/>
      <c r="W1338" s="505"/>
      <c r="X1338" s="504"/>
      <c r="Y1338" s="503"/>
      <c r="Z1338" s="503"/>
      <c r="AA1338" s="503"/>
      <c r="AB1338" s="503"/>
      <c r="AC1338" s="503"/>
      <c r="AD1338" s="503"/>
      <c r="AE1338" s="503"/>
      <c r="AF1338" s="503"/>
    </row>
    <row r="1339" spans="1:32" ht="15.75" customHeight="1">
      <c r="A1339" s="503"/>
      <c r="B1339" s="503"/>
      <c r="C1339" s="510"/>
      <c r="D1339" s="510"/>
      <c r="E1339" s="510"/>
      <c r="F1339" s="746"/>
      <c r="G1339" s="510"/>
      <c r="H1339" s="510"/>
      <c r="I1339" s="510"/>
      <c r="J1339" s="510"/>
      <c r="K1339" s="510"/>
      <c r="L1339" s="510"/>
      <c r="M1339" s="509"/>
      <c r="N1339" s="508"/>
      <c r="O1339" s="507"/>
      <c r="P1339" s="507"/>
      <c r="Q1339" s="505"/>
      <c r="R1339" s="506"/>
      <c r="S1339" s="506"/>
      <c r="T1339" s="506"/>
      <c r="U1339" s="505"/>
      <c r="V1339" s="505"/>
      <c r="W1339" s="505"/>
      <c r="X1339" s="504"/>
      <c r="Y1339" s="503"/>
      <c r="Z1339" s="503"/>
      <c r="AA1339" s="503"/>
      <c r="AB1339" s="503"/>
      <c r="AC1339" s="503"/>
      <c r="AD1339" s="503"/>
      <c r="AE1339" s="503"/>
      <c r="AF1339" s="503"/>
    </row>
    <row r="1340" spans="1:32" ht="15.75" customHeight="1">
      <c r="A1340" s="503"/>
      <c r="B1340" s="503"/>
      <c r="C1340" s="510"/>
      <c r="D1340" s="510"/>
      <c r="E1340" s="510"/>
      <c r="F1340" s="746"/>
      <c r="G1340" s="510"/>
      <c r="H1340" s="510"/>
      <c r="I1340" s="510"/>
      <c r="J1340" s="510"/>
      <c r="K1340" s="510"/>
      <c r="L1340" s="510"/>
      <c r="M1340" s="509"/>
      <c r="N1340" s="508"/>
      <c r="O1340" s="507"/>
      <c r="P1340" s="507"/>
      <c r="Q1340" s="505"/>
      <c r="R1340" s="506"/>
      <c r="S1340" s="506"/>
      <c r="T1340" s="506"/>
      <c r="U1340" s="505"/>
      <c r="V1340" s="505"/>
      <c r="W1340" s="505"/>
      <c r="X1340" s="504"/>
      <c r="Y1340" s="503"/>
      <c r="Z1340" s="503"/>
      <c r="AA1340" s="503"/>
      <c r="AB1340" s="503"/>
      <c r="AC1340" s="503"/>
      <c r="AD1340" s="503"/>
      <c r="AE1340" s="503"/>
      <c r="AF1340" s="503"/>
    </row>
    <row r="1341" spans="1:32" ht="15.75" customHeight="1">
      <c r="A1341" s="503"/>
      <c r="B1341" s="503"/>
      <c r="C1341" s="510"/>
      <c r="D1341" s="510"/>
      <c r="E1341" s="510"/>
      <c r="F1341" s="746"/>
      <c r="G1341" s="510"/>
      <c r="H1341" s="510"/>
      <c r="I1341" s="510"/>
      <c r="J1341" s="510"/>
      <c r="K1341" s="510"/>
      <c r="L1341" s="510"/>
      <c r="M1341" s="509"/>
      <c r="N1341" s="508"/>
      <c r="O1341" s="507"/>
      <c r="P1341" s="507"/>
      <c r="Q1341" s="505"/>
      <c r="R1341" s="506"/>
      <c r="S1341" s="506"/>
      <c r="T1341" s="506"/>
      <c r="U1341" s="505"/>
      <c r="V1341" s="505"/>
      <c r="W1341" s="505"/>
      <c r="X1341" s="504"/>
      <c r="Y1341" s="503"/>
      <c r="Z1341" s="503"/>
      <c r="AA1341" s="503"/>
      <c r="AB1341" s="503"/>
      <c r="AC1341" s="503"/>
      <c r="AD1341" s="503"/>
      <c r="AE1341" s="503"/>
      <c r="AF1341" s="503"/>
    </row>
    <row r="1342" spans="1:32" ht="15.75" customHeight="1">
      <c r="A1342" s="503"/>
      <c r="B1342" s="503"/>
      <c r="C1342" s="510"/>
      <c r="D1342" s="510"/>
      <c r="E1342" s="510"/>
      <c r="F1342" s="746"/>
      <c r="G1342" s="510"/>
      <c r="H1342" s="510"/>
      <c r="I1342" s="510"/>
      <c r="J1342" s="510"/>
      <c r="K1342" s="510"/>
      <c r="L1342" s="510"/>
      <c r="M1342" s="509"/>
      <c r="N1342" s="508"/>
      <c r="O1342" s="507"/>
      <c r="P1342" s="507"/>
      <c r="Q1342" s="505"/>
      <c r="R1342" s="506"/>
      <c r="S1342" s="506"/>
      <c r="T1342" s="506"/>
      <c r="U1342" s="505"/>
      <c r="V1342" s="505"/>
      <c r="W1342" s="505"/>
      <c r="X1342" s="504"/>
      <c r="Y1342" s="503"/>
      <c r="Z1342" s="503"/>
      <c r="AA1342" s="503"/>
      <c r="AB1342" s="503"/>
      <c r="AC1342" s="503"/>
      <c r="AD1342" s="503"/>
      <c r="AE1342" s="503"/>
      <c r="AF1342" s="503"/>
    </row>
    <row r="1343" spans="1:32" ht="15.75" customHeight="1">
      <c r="A1343" s="503"/>
      <c r="B1343" s="503"/>
      <c r="C1343" s="510"/>
      <c r="D1343" s="510"/>
      <c r="E1343" s="510"/>
      <c r="F1343" s="746"/>
      <c r="G1343" s="510"/>
      <c r="H1343" s="510"/>
      <c r="I1343" s="510"/>
      <c r="J1343" s="510"/>
      <c r="K1343" s="510"/>
      <c r="L1343" s="510"/>
      <c r="M1343" s="509"/>
      <c r="N1343" s="508"/>
      <c r="O1343" s="507"/>
      <c r="P1343" s="507"/>
      <c r="Q1343" s="505"/>
      <c r="R1343" s="506"/>
      <c r="S1343" s="506"/>
      <c r="T1343" s="506"/>
      <c r="U1343" s="505"/>
      <c r="V1343" s="505"/>
      <c r="W1343" s="505"/>
      <c r="X1343" s="504"/>
      <c r="Y1343" s="503"/>
      <c r="Z1343" s="503"/>
      <c r="AA1343" s="503"/>
      <c r="AB1343" s="503"/>
      <c r="AC1343" s="503"/>
      <c r="AD1343" s="503"/>
      <c r="AE1343" s="503"/>
      <c r="AF1343" s="503"/>
    </row>
    <row r="1344" spans="1:32" ht="15.75" customHeight="1">
      <c r="A1344" s="503"/>
      <c r="B1344" s="503"/>
      <c r="C1344" s="510"/>
      <c r="D1344" s="510"/>
      <c r="E1344" s="510"/>
      <c r="F1344" s="746"/>
      <c r="G1344" s="510"/>
      <c r="H1344" s="510"/>
      <c r="I1344" s="510"/>
      <c r="J1344" s="510"/>
      <c r="K1344" s="510"/>
      <c r="L1344" s="510"/>
      <c r="M1344" s="509"/>
      <c r="N1344" s="508"/>
      <c r="O1344" s="507"/>
      <c r="P1344" s="507"/>
      <c r="Q1344" s="505"/>
      <c r="R1344" s="506"/>
      <c r="S1344" s="506"/>
      <c r="T1344" s="506"/>
      <c r="U1344" s="505"/>
      <c r="V1344" s="505"/>
      <c r="W1344" s="505"/>
      <c r="X1344" s="504"/>
      <c r="Y1344" s="503"/>
      <c r="Z1344" s="503"/>
      <c r="AA1344" s="503"/>
      <c r="AB1344" s="503"/>
      <c r="AC1344" s="503"/>
      <c r="AD1344" s="503"/>
      <c r="AE1344" s="503"/>
      <c r="AF1344" s="503"/>
    </row>
    <row r="1345" spans="1:32" ht="15.75" customHeight="1">
      <c r="A1345" s="503"/>
      <c r="B1345" s="503"/>
      <c r="C1345" s="510"/>
      <c r="D1345" s="510"/>
      <c r="E1345" s="510"/>
      <c r="F1345" s="746"/>
      <c r="G1345" s="510"/>
      <c r="H1345" s="510"/>
      <c r="I1345" s="510"/>
      <c r="J1345" s="510"/>
      <c r="K1345" s="510"/>
      <c r="L1345" s="510"/>
      <c r="M1345" s="509"/>
      <c r="N1345" s="508"/>
      <c r="O1345" s="507"/>
      <c r="P1345" s="507"/>
      <c r="Q1345" s="505"/>
      <c r="R1345" s="506"/>
      <c r="S1345" s="506"/>
      <c r="T1345" s="506"/>
      <c r="U1345" s="505"/>
      <c r="V1345" s="505"/>
      <c r="W1345" s="505"/>
      <c r="X1345" s="504"/>
      <c r="Y1345" s="503"/>
      <c r="Z1345" s="503"/>
      <c r="AA1345" s="503"/>
      <c r="AB1345" s="503"/>
      <c r="AC1345" s="503"/>
      <c r="AD1345" s="503"/>
      <c r="AE1345" s="503"/>
      <c r="AF1345" s="503"/>
    </row>
    <row r="1346" spans="1:32" ht="15.75" customHeight="1">
      <c r="A1346" s="503"/>
      <c r="B1346" s="503"/>
      <c r="C1346" s="510"/>
      <c r="D1346" s="510"/>
      <c r="E1346" s="510"/>
      <c r="F1346" s="746"/>
      <c r="G1346" s="510"/>
      <c r="H1346" s="510"/>
      <c r="I1346" s="510"/>
      <c r="J1346" s="510"/>
      <c r="K1346" s="510"/>
      <c r="L1346" s="510"/>
      <c r="M1346" s="509"/>
      <c r="N1346" s="508"/>
      <c r="O1346" s="507"/>
      <c r="P1346" s="507"/>
      <c r="Q1346" s="505"/>
      <c r="R1346" s="506"/>
      <c r="S1346" s="506"/>
      <c r="T1346" s="506"/>
      <c r="U1346" s="505"/>
      <c r="V1346" s="505"/>
      <c r="W1346" s="505"/>
      <c r="X1346" s="504"/>
      <c r="Y1346" s="503"/>
      <c r="Z1346" s="503"/>
      <c r="AA1346" s="503"/>
      <c r="AB1346" s="503"/>
      <c r="AC1346" s="503"/>
      <c r="AD1346" s="503"/>
      <c r="AE1346" s="503"/>
      <c r="AF1346" s="503"/>
    </row>
    <row r="1347" spans="1:32" ht="15.75" customHeight="1">
      <c r="A1347" s="503"/>
      <c r="B1347" s="503"/>
      <c r="C1347" s="510"/>
      <c r="D1347" s="510"/>
      <c r="E1347" s="510"/>
      <c r="F1347" s="746"/>
      <c r="G1347" s="510"/>
      <c r="H1347" s="510"/>
      <c r="I1347" s="510"/>
      <c r="J1347" s="510"/>
      <c r="K1347" s="510"/>
      <c r="L1347" s="510"/>
      <c r="M1347" s="509"/>
      <c r="N1347" s="508"/>
      <c r="O1347" s="507"/>
      <c r="P1347" s="507"/>
      <c r="Q1347" s="505"/>
      <c r="R1347" s="506"/>
      <c r="S1347" s="506"/>
      <c r="T1347" s="506"/>
      <c r="U1347" s="505"/>
      <c r="V1347" s="505"/>
      <c r="W1347" s="505"/>
      <c r="X1347" s="504"/>
      <c r="Y1347" s="503"/>
      <c r="Z1347" s="503"/>
      <c r="AA1347" s="503"/>
      <c r="AB1347" s="503"/>
      <c r="AC1347" s="503"/>
      <c r="AD1347" s="503"/>
      <c r="AE1347" s="503"/>
      <c r="AF1347" s="503"/>
    </row>
    <row r="1348" spans="1:32" ht="15.75" customHeight="1">
      <c r="A1348" s="503"/>
      <c r="B1348" s="503"/>
      <c r="C1348" s="510"/>
      <c r="D1348" s="510"/>
      <c r="E1348" s="510"/>
      <c r="F1348" s="746"/>
      <c r="G1348" s="510"/>
      <c r="H1348" s="510"/>
      <c r="I1348" s="510"/>
      <c r="J1348" s="510"/>
      <c r="K1348" s="510"/>
      <c r="L1348" s="510"/>
      <c r="M1348" s="509"/>
      <c r="N1348" s="508"/>
      <c r="O1348" s="507"/>
      <c r="P1348" s="507"/>
      <c r="Q1348" s="505"/>
      <c r="R1348" s="506"/>
      <c r="S1348" s="506"/>
      <c r="T1348" s="506"/>
      <c r="U1348" s="505"/>
      <c r="V1348" s="505"/>
      <c r="W1348" s="505"/>
      <c r="X1348" s="504"/>
      <c r="Y1348" s="503"/>
      <c r="Z1348" s="503"/>
      <c r="AA1348" s="503"/>
      <c r="AB1348" s="503"/>
      <c r="AC1348" s="503"/>
      <c r="AD1348" s="503"/>
      <c r="AE1348" s="503"/>
      <c r="AF1348" s="503"/>
    </row>
    <row r="1349" spans="1:32" ht="15.75" customHeight="1">
      <c r="A1349" s="503"/>
      <c r="B1349" s="503"/>
      <c r="C1349" s="510"/>
      <c r="D1349" s="510"/>
      <c r="E1349" s="510"/>
      <c r="F1349" s="746"/>
      <c r="G1349" s="510"/>
      <c r="H1349" s="510"/>
      <c r="I1349" s="510"/>
      <c r="J1349" s="510"/>
      <c r="K1349" s="510"/>
      <c r="L1349" s="510"/>
      <c r="M1349" s="509"/>
      <c r="N1349" s="508"/>
      <c r="O1349" s="507"/>
      <c r="P1349" s="507"/>
      <c r="Q1349" s="505"/>
      <c r="R1349" s="506"/>
      <c r="S1349" s="506"/>
      <c r="T1349" s="506"/>
      <c r="U1349" s="505"/>
      <c r="V1349" s="505"/>
      <c r="W1349" s="505"/>
      <c r="X1349" s="504"/>
      <c r="Y1349" s="503"/>
      <c r="Z1349" s="503"/>
      <c r="AA1349" s="503"/>
      <c r="AB1349" s="503"/>
      <c r="AC1349" s="503"/>
      <c r="AD1349" s="503"/>
      <c r="AE1349" s="503"/>
      <c r="AF1349" s="503"/>
    </row>
    <row r="1350" spans="1:32" ht="15.75" customHeight="1">
      <c r="A1350" s="503"/>
      <c r="B1350" s="503"/>
      <c r="C1350" s="510"/>
      <c r="D1350" s="510"/>
      <c r="E1350" s="510"/>
      <c r="F1350" s="746"/>
      <c r="G1350" s="510"/>
      <c r="H1350" s="510"/>
      <c r="I1350" s="510"/>
      <c r="J1350" s="510"/>
      <c r="K1350" s="510"/>
      <c r="L1350" s="510"/>
      <c r="M1350" s="509"/>
      <c r="N1350" s="508"/>
      <c r="O1350" s="507"/>
      <c r="P1350" s="507"/>
      <c r="Q1350" s="505"/>
      <c r="R1350" s="506"/>
      <c r="S1350" s="506"/>
      <c r="T1350" s="506"/>
      <c r="U1350" s="505"/>
      <c r="V1350" s="505"/>
      <c r="W1350" s="505"/>
      <c r="X1350" s="504"/>
      <c r="Y1350" s="503"/>
      <c r="Z1350" s="503"/>
      <c r="AA1350" s="503"/>
      <c r="AB1350" s="503"/>
      <c r="AC1350" s="503"/>
      <c r="AD1350" s="503"/>
      <c r="AE1350" s="503"/>
      <c r="AF1350" s="503"/>
    </row>
    <row r="1351" spans="1:32" ht="15.75" customHeight="1">
      <c r="A1351" s="503"/>
      <c r="B1351" s="503"/>
      <c r="C1351" s="510"/>
      <c r="D1351" s="510"/>
      <c r="E1351" s="510"/>
      <c r="F1351" s="746"/>
      <c r="G1351" s="510"/>
      <c r="H1351" s="510"/>
      <c r="I1351" s="510"/>
      <c r="J1351" s="510"/>
      <c r="K1351" s="510"/>
      <c r="L1351" s="510"/>
      <c r="M1351" s="509"/>
      <c r="N1351" s="508"/>
      <c r="O1351" s="507"/>
      <c r="P1351" s="507"/>
      <c r="Q1351" s="505"/>
      <c r="R1351" s="506"/>
      <c r="S1351" s="506"/>
      <c r="T1351" s="506"/>
      <c r="U1351" s="505"/>
      <c r="V1351" s="505"/>
      <c r="W1351" s="505"/>
      <c r="X1351" s="504"/>
      <c r="Y1351" s="503"/>
      <c r="Z1351" s="503"/>
      <c r="AA1351" s="503"/>
      <c r="AB1351" s="503"/>
      <c r="AC1351" s="503"/>
      <c r="AD1351" s="503"/>
      <c r="AE1351" s="503"/>
      <c r="AF1351" s="503"/>
    </row>
    <row r="1352" spans="1:32" ht="15.75" customHeight="1">
      <c r="A1352" s="503"/>
      <c r="B1352" s="503"/>
      <c r="C1352" s="510"/>
      <c r="D1352" s="510"/>
      <c r="E1352" s="510"/>
      <c r="F1352" s="746"/>
      <c r="G1352" s="510"/>
      <c r="H1352" s="510"/>
      <c r="I1352" s="510"/>
      <c r="J1352" s="510"/>
      <c r="K1352" s="510"/>
      <c r="L1352" s="510"/>
      <c r="M1352" s="509"/>
      <c r="N1352" s="508"/>
      <c r="O1352" s="507"/>
      <c r="P1352" s="507"/>
      <c r="Q1352" s="505"/>
      <c r="R1352" s="506"/>
      <c r="S1352" s="506"/>
      <c r="T1352" s="506"/>
      <c r="U1352" s="505"/>
      <c r="V1352" s="505"/>
      <c r="W1352" s="505"/>
      <c r="X1352" s="504"/>
      <c r="Y1352" s="503"/>
      <c r="Z1352" s="503"/>
      <c r="AA1352" s="503"/>
      <c r="AB1352" s="503"/>
      <c r="AC1352" s="503"/>
      <c r="AD1352" s="503"/>
      <c r="AE1352" s="503"/>
      <c r="AF1352" s="503"/>
    </row>
    <row r="1353" spans="1:32" ht="15.75" customHeight="1">
      <c r="A1353" s="503"/>
      <c r="B1353" s="503"/>
      <c r="C1353" s="510"/>
      <c r="D1353" s="510"/>
      <c r="E1353" s="510"/>
      <c r="F1353" s="746"/>
      <c r="G1353" s="510"/>
      <c r="H1353" s="510"/>
      <c r="I1353" s="510"/>
      <c r="J1353" s="510"/>
      <c r="K1353" s="510"/>
      <c r="L1353" s="510"/>
      <c r="M1353" s="509"/>
      <c r="N1353" s="508"/>
      <c r="O1353" s="507"/>
      <c r="P1353" s="507"/>
      <c r="Q1353" s="505"/>
      <c r="R1353" s="506"/>
      <c r="S1353" s="506"/>
      <c r="T1353" s="506"/>
      <c r="U1353" s="505"/>
      <c r="V1353" s="505"/>
      <c r="W1353" s="505"/>
      <c r="X1353" s="504"/>
      <c r="Y1353" s="503"/>
      <c r="Z1353" s="503"/>
      <c r="AA1353" s="503"/>
      <c r="AB1353" s="503"/>
      <c r="AC1353" s="503"/>
      <c r="AD1353" s="503"/>
      <c r="AE1353" s="503"/>
      <c r="AF1353" s="503"/>
    </row>
    <row r="1354" spans="1:32" ht="15.75" customHeight="1">
      <c r="A1354" s="503"/>
      <c r="B1354" s="503"/>
      <c r="C1354" s="510"/>
      <c r="D1354" s="510"/>
      <c r="E1354" s="510"/>
      <c r="F1354" s="746"/>
      <c r="G1354" s="510"/>
      <c r="H1354" s="510"/>
      <c r="I1354" s="510"/>
      <c r="J1354" s="510"/>
      <c r="K1354" s="510"/>
      <c r="L1354" s="510"/>
      <c r="M1354" s="509"/>
      <c r="N1354" s="508"/>
      <c r="O1354" s="507"/>
      <c r="P1354" s="507"/>
      <c r="Q1354" s="505"/>
      <c r="R1354" s="506"/>
      <c r="S1354" s="506"/>
      <c r="T1354" s="506"/>
      <c r="U1354" s="505"/>
      <c r="V1354" s="505"/>
      <c r="W1354" s="505"/>
      <c r="X1354" s="504"/>
      <c r="Y1354" s="503"/>
      <c r="Z1354" s="503"/>
      <c r="AA1354" s="503"/>
      <c r="AB1354" s="503"/>
      <c r="AC1354" s="503"/>
      <c r="AD1354" s="503"/>
      <c r="AE1354" s="503"/>
      <c r="AF1354" s="503"/>
    </row>
    <row r="1355" spans="1:32" ht="15.75" customHeight="1">
      <c r="A1355" s="503"/>
      <c r="B1355" s="503"/>
      <c r="C1355" s="510"/>
      <c r="D1355" s="510"/>
      <c r="E1355" s="510"/>
      <c r="F1355" s="746"/>
      <c r="G1355" s="510"/>
      <c r="H1355" s="510"/>
      <c r="I1355" s="510"/>
      <c r="J1355" s="510"/>
      <c r="K1355" s="510"/>
      <c r="L1355" s="510"/>
      <c r="M1355" s="509"/>
      <c r="N1355" s="508"/>
      <c r="O1355" s="507"/>
      <c r="P1355" s="507"/>
      <c r="Q1355" s="505"/>
      <c r="R1355" s="506"/>
      <c r="S1355" s="506"/>
      <c r="T1355" s="506"/>
      <c r="U1355" s="505"/>
      <c r="V1355" s="505"/>
      <c r="W1355" s="505"/>
      <c r="X1355" s="504"/>
      <c r="Y1355" s="503"/>
      <c r="Z1355" s="503"/>
      <c r="AA1355" s="503"/>
      <c r="AB1355" s="503"/>
      <c r="AC1355" s="503"/>
      <c r="AD1355" s="503"/>
      <c r="AE1355" s="503"/>
      <c r="AF1355" s="503"/>
    </row>
    <row r="1356" spans="1:32" ht="15.75" customHeight="1">
      <c r="A1356" s="503"/>
      <c r="B1356" s="503"/>
      <c r="C1356" s="510"/>
      <c r="D1356" s="510"/>
      <c r="E1356" s="510"/>
      <c r="F1356" s="746"/>
      <c r="G1356" s="510"/>
      <c r="H1356" s="510"/>
      <c r="I1356" s="510"/>
      <c r="J1356" s="510"/>
      <c r="K1356" s="510"/>
      <c r="L1356" s="510"/>
      <c r="M1356" s="509"/>
      <c r="N1356" s="508"/>
      <c r="O1356" s="507"/>
      <c r="P1356" s="507"/>
      <c r="Q1356" s="505"/>
      <c r="R1356" s="506"/>
      <c r="S1356" s="506"/>
      <c r="T1356" s="506"/>
      <c r="U1356" s="505"/>
      <c r="V1356" s="505"/>
      <c r="W1356" s="505"/>
      <c r="X1356" s="504"/>
      <c r="Y1356" s="503"/>
      <c r="Z1356" s="503"/>
      <c r="AA1356" s="503"/>
      <c r="AB1356" s="503"/>
      <c r="AC1356" s="503"/>
      <c r="AD1356" s="503"/>
      <c r="AE1356" s="503"/>
      <c r="AF1356" s="503"/>
    </row>
    <row r="1357" spans="1:32" ht="15.75" customHeight="1">
      <c r="A1357" s="503"/>
      <c r="B1357" s="503"/>
      <c r="C1357" s="510"/>
      <c r="D1357" s="510"/>
      <c r="E1357" s="510"/>
      <c r="F1357" s="746"/>
      <c r="G1357" s="510"/>
      <c r="H1357" s="510"/>
      <c r="I1357" s="510"/>
      <c r="J1357" s="510"/>
      <c r="K1357" s="510"/>
      <c r="L1357" s="510"/>
      <c r="M1357" s="509"/>
      <c r="N1357" s="508"/>
      <c r="O1357" s="507"/>
      <c r="P1357" s="507"/>
      <c r="Q1357" s="505"/>
      <c r="R1357" s="506"/>
      <c r="S1357" s="506"/>
      <c r="T1357" s="506"/>
      <c r="U1357" s="505"/>
      <c r="V1357" s="505"/>
      <c r="W1357" s="505"/>
      <c r="X1357" s="504"/>
      <c r="Y1357" s="503"/>
      <c r="Z1357" s="503"/>
      <c r="AA1357" s="503"/>
      <c r="AB1357" s="503"/>
      <c r="AC1357" s="503"/>
      <c r="AD1357" s="503"/>
      <c r="AE1357" s="503"/>
      <c r="AF1357" s="503"/>
    </row>
    <row r="1358" spans="1:32" ht="15.75" customHeight="1">
      <c r="A1358" s="503"/>
      <c r="B1358" s="503"/>
      <c r="C1358" s="510"/>
      <c r="D1358" s="510"/>
      <c r="E1358" s="510"/>
      <c r="F1358" s="746"/>
      <c r="G1358" s="510"/>
      <c r="H1358" s="510"/>
      <c r="I1358" s="510"/>
      <c r="J1358" s="510"/>
      <c r="K1358" s="510"/>
      <c r="L1358" s="510"/>
      <c r="M1358" s="509"/>
      <c r="N1358" s="508"/>
      <c r="O1358" s="507"/>
      <c r="P1358" s="507"/>
      <c r="Q1358" s="505"/>
      <c r="R1358" s="506"/>
      <c r="S1358" s="506"/>
      <c r="T1358" s="506"/>
      <c r="U1358" s="505"/>
      <c r="V1358" s="505"/>
      <c r="W1358" s="505"/>
      <c r="X1358" s="504"/>
      <c r="Y1358" s="503"/>
      <c r="Z1358" s="503"/>
      <c r="AA1358" s="503"/>
      <c r="AB1358" s="503"/>
      <c r="AC1358" s="503"/>
      <c r="AD1358" s="503"/>
      <c r="AE1358" s="503"/>
      <c r="AF1358" s="503"/>
    </row>
    <row r="1359" spans="1:32" ht="15.75" customHeight="1">
      <c r="A1359" s="503"/>
      <c r="B1359" s="503"/>
      <c r="C1359" s="510"/>
      <c r="D1359" s="510"/>
      <c r="E1359" s="510"/>
      <c r="F1359" s="746"/>
      <c r="G1359" s="510"/>
      <c r="H1359" s="510"/>
      <c r="I1359" s="510"/>
      <c r="J1359" s="510"/>
      <c r="K1359" s="510"/>
      <c r="L1359" s="510"/>
      <c r="M1359" s="509"/>
      <c r="N1359" s="508"/>
      <c r="O1359" s="507"/>
      <c r="P1359" s="507"/>
      <c r="Q1359" s="505"/>
      <c r="R1359" s="506"/>
      <c r="S1359" s="506"/>
      <c r="T1359" s="506"/>
      <c r="U1359" s="505"/>
      <c r="V1359" s="505"/>
      <c r="W1359" s="505"/>
      <c r="X1359" s="504"/>
      <c r="Y1359" s="503"/>
      <c r="Z1359" s="503"/>
      <c r="AA1359" s="503"/>
      <c r="AB1359" s="503"/>
      <c r="AC1359" s="503"/>
      <c r="AD1359" s="503"/>
      <c r="AE1359" s="503"/>
      <c r="AF1359" s="503"/>
    </row>
    <row r="1360" spans="1:32" ht="15.75" customHeight="1">
      <c r="A1360" s="503"/>
      <c r="B1360" s="503"/>
      <c r="C1360" s="510"/>
      <c r="D1360" s="510"/>
      <c r="E1360" s="510"/>
      <c r="F1360" s="746"/>
      <c r="G1360" s="510"/>
      <c r="H1360" s="510"/>
      <c r="I1360" s="510"/>
      <c r="J1360" s="510"/>
      <c r="K1360" s="510"/>
      <c r="L1360" s="510"/>
      <c r="M1360" s="509"/>
      <c r="N1360" s="508"/>
      <c r="O1360" s="507"/>
      <c r="P1360" s="507"/>
      <c r="Q1360" s="505"/>
      <c r="R1360" s="506"/>
      <c r="S1360" s="506"/>
      <c r="T1360" s="506"/>
      <c r="U1360" s="505"/>
      <c r="V1360" s="505"/>
      <c r="W1360" s="505"/>
      <c r="X1360" s="504"/>
      <c r="Y1360" s="503"/>
      <c r="Z1360" s="503"/>
      <c r="AA1360" s="503"/>
      <c r="AB1360" s="503"/>
      <c r="AC1360" s="503"/>
      <c r="AD1360" s="503"/>
      <c r="AE1360" s="503"/>
      <c r="AF1360" s="503"/>
    </row>
    <row r="1361" spans="1:32" ht="15.75" customHeight="1">
      <c r="A1361" s="503"/>
      <c r="B1361" s="503"/>
      <c r="C1361" s="510"/>
      <c r="D1361" s="510"/>
      <c r="E1361" s="510"/>
      <c r="F1361" s="746"/>
      <c r="G1361" s="510"/>
      <c r="H1361" s="510"/>
      <c r="I1361" s="510"/>
      <c r="J1361" s="510"/>
      <c r="K1361" s="510"/>
      <c r="L1361" s="510"/>
      <c r="M1361" s="509"/>
      <c r="N1361" s="508"/>
      <c r="O1361" s="507"/>
      <c r="P1361" s="507"/>
      <c r="Q1361" s="505"/>
      <c r="R1361" s="506"/>
      <c r="S1361" s="506"/>
      <c r="T1361" s="506"/>
      <c r="U1361" s="505"/>
      <c r="V1361" s="505"/>
      <c r="W1361" s="505"/>
      <c r="X1361" s="504"/>
      <c r="Y1361" s="503"/>
      <c r="Z1361" s="503"/>
      <c r="AA1361" s="503"/>
      <c r="AB1361" s="503"/>
      <c r="AC1361" s="503"/>
      <c r="AD1361" s="503"/>
      <c r="AE1361" s="503"/>
      <c r="AF1361" s="503"/>
    </row>
    <row r="1362" spans="1:32" ht="15.75" customHeight="1">
      <c r="A1362" s="503"/>
      <c r="B1362" s="503"/>
      <c r="C1362" s="510"/>
      <c r="D1362" s="510"/>
      <c r="E1362" s="510"/>
      <c r="F1362" s="746"/>
      <c r="G1362" s="510"/>
      <c r="H1362" s="510"/>
      <c r="I1362" s="510"/>
      <c r="J1362" s="510"/>
      <c r="K1362" s="510"/>
      <c r="L1362" s="510"/>
      <c r="M1362" s="509"/>
      <c r="N1362" s="508"/>
      <c r="O1362" s="507"/>
      <c r="P1362" s="507"/>
      <c r="Q1362" s="505"/>
      <c r="R1362" s="506"/>
      <c r="S1362" s="506"/>
      <c r="T1362" s="506"/>
      <c r="U1362" s="505"/>
      <c r="V1362" s="505"/>
      <c r="W1362" s="505"/>
      <c r="X1362" s="504"/>
      <c r="Y1362" s="503"/>
      <c r="Z1362" s="503"/>
      <c r="AA1362" s="503"/>
      <c r="AB1362" s="503"/>
      <c r="AC1362" s="503"/>
      <c r="AD1362" s="503"/>
      <c r="AE1362" s="503"/>
      <c r="AF1362" s="503"/>
    </row>
    <row r="1363" spans="1:32" ht="15.75" customHeight="1">
      <c r="A1363" s="503"/>
      <c r="B1363" s="503"/>
      <c r="C1363" s="510"/>
      <c r="D1363" s="510"/>
      <c r="E1363" s="510"/>
      <c r="F1363" s="746"/>
      <c r="G1363" s="510"/>
      <c r="H1363" s="510"/>
      <c r="I1363" s="510"/>
      <c r="J1363" s="510"/>
      <c r="K1363" s="510"/>
      <c r="L1363" s="510"/>
      <c r="M1363" s="509"/>
      <c r="N1363" s="508"/>
      <c r="O1363" s="507"/>
      <c r="P1363" s="507"/>
      <c r="Q1363" s="505"/>
      <c r="R1363" s="506"/>
      <c r="S1363" s="506"/>
      <c r="T1363" s="506"/>
      <c r="U1363" s="505"/>
      <c r="V1363" s="505"/>
      <c r="W1363" s="505"/>
      <c r="X1363" s="504"/>
      <c r="Y1363" s="503"/>
      <c r="Z1363" s="503"/>
      <c r="AA1363" s="503"/>
      <c r="AB1363" s="503"/>
      <c r="AC1363" s="503"/>
      <c r="AD1363" s="503"/>
      <c r="AE1363" s="503"/>
      <c r="AF1363" s="503"/>
    </row>
    <row r="1364" spans="1:32" ht="15.75" customHeight="1">
      <c r="A1364" s="503"/>
      <c r="B1364" s="503"/>
      <c r="C1364" s="510"/>
      <c r="D1364" s="510"/>
      <c r="E1364" s="510"/>
      <c r="F1364" s="746"/>
      <c r="G1364" s="510"/>
      <c r="H1364" s="510"/>
      <c r="I1364" s="510"/>
      <c r="J1364" s="510"/>
      <c r="K1364" s="510"/>
      <c r="L1364" s="510"/>
      <c r="M1364" s="509"/>
      <c r="N1364" s="508"/>
      <c r="O1364" s="507"/>
      <c r="P1364" s="507"/>
      <c r="Q1364" s="505"/>
      <c r="R1364" s="506"/>
      <c r="S1364" s="506"/>
      <c r="T1364" s="506"/>
      <c r="U1364" s="505"/>
      <c r="V1364" s="505"/>
      <c r="W1364" s="505"/>
      <c r="X1364" s="504"/>
      <c r="Y1364" s="503"/>
      <c r="Z1364" s="503"/>
      <c r="AA1364" s="503"/>
      <c r="AB1364" s="503"/>
      <c r="AC1364" s="503"/>
      <c r="AD1364" s="503"/>
      <c r="AE1364" s="503"/>
      <c r="AF1364" s="503"/>
    </row>
    <row r="1365" spans="1:32" ht="15.75" customHeight="1">
      <c r="A1365" s="503"/>
      <c r="B1365" s="503"/>
      <c r="C1365" s="510"/>
      <c r="D1365" s="510"/>
      <c r="E1365" s="510"/>
      <c r="F1365" s="746"/>
      <c r="G1365" s="510"/>
      <c r="H1365" s="510"/>
      <c r="I1365" s="510"/>
      <c r="J1365" s="510"/>
      <c r="K1365" s="510"/>
      <c r="L1365" s="510"/>
      <c r="M1365" s="509"/>
      <c r="N1365" s="508"/>
      <c r="O1365" s="507"/>
      <c r="P1365" s="507"/>
      <c r="Q1365" s="505"/>
      <c r="R1365" s="506"/>
      <c r="S1365" s="506"/>
      <c r="T1365" s="506"/>
      <c r="U1365" s="505"/>
      <c r="V1365" s="505"/>
      <c r="W1365" s="505"/>
      <c r="X1365" s="504"/>
      <c r="Y1365" s="503"/>
      <c r="Z1365" s="503"/>
      <c r="AA1365" s="503"/>
      <c r="AB1365" s="503"/>
      <c r="AC1365" s="503"/>
      <c r="AD1365" s="503"/>
      <c r="AE1365" s="503"/>
      <c r="AF1365" s="503"/>
    </row>
    <row r="1366" spans="1:32" ht="15.75" customHeight="1">
      <c r="A1366" s="503"/>
      <c r="B1366" s="503"/>
      <c r="C1366" s="510"/>
      <c r="D1366" s="510"/>
      <c r="E1366" s="510"/>
      <c r="F1366" s="746"/>
      <c r="G1366" s="510"/>
      <c r="H1366" s="510"/>
      <c r="I1366" s="510"/>
      <c r="J1366" s="510"/>
      <c r="K1366" s="510"/>
      <c r="L1366" s="510"/>
      <c r="M1366" s="509"/>
      <c r="N1366" s="508"/>
      <c r="O1366" s="507"/>
      <c r="P1366" s="507"/>
      <c r="Q1366" s="505"/>
      <c r="R1366" s="506"/>
      <c r="S1366" s="506"/>
      <c r="T1366" s="506"/>
      <c r="U1366" s="505"/>
      <c r="V1366" s="505"/>
      <c r="W1366" s="505"/>
      <c r="X1366" s="504"/>
      <c r="Y1366" s="503"/>
      <c r="Z1366" s="503"/>
      <c r="AA1366" s="503"/>
      <c r="AB1366" s="503"/>
      <c r="AC1366" s="503"/>
      <c r="AD1366" s="503"/>
      <c r="AE1366" s="503"/>
      <c r="AF1366" s="503"/>
    </row>
    <row r="1367" spans="1:32" ht="15.75" customHeight="1">
      <c r="A1367" s="503"/>
      <c r="B1367" s="503"/>
      <c r="C1367" s="510"/>
      <c r="D1367" s="510"/>
      <c r="E1367" s="510"/>
      <c r="F1367" s="746"/>
      <c r="G1367" s="510"/>
      <c r="H1367" s="510"/>
      <c r="I1367" s="510"/>
      <c r="J1367" s="510"/>
      <c r="K1367" s="510"/>
      <c r="L1367" s="510"/>
      <c r="M1367" s="509"/>
      <c r="N1367" s="508"/>
      <c r="O1367" s="507"/>
      <c r="P1367" s="507"/>
      <c r="Q1367" s="505"/>
      <c r="R1367" s="506"/>
      <c r="S1367" s="506"/>
      <c r="T1367" s="506"/>
      <c r="U1367" s="505"/>
      <c r="V1367" s="505"/>
      <c r="W1367" s="505"/>
      <c r="X1367" s="504"/>
      <c r="Y1367" s="503"/>
      <c r="Z1367" s="503"/>
      <c r="AA1367" s="503"/>
      <c r="AB1367" s="503"/>
      <c r="AC1367" s="503"/>
      <c r="AD1367" s="503"/>
      <c r="AE1367" s="503"/>
      <c r="AF1367" s="503"/>
    </row>
    <row r="1368" spans="1:32" ht="15.75" customHeight="1">
      <c r="A1368" s="503"/>
      <c r="B1368" s="503"/>
      <c r="C1368" s="510"/>
      <c r="D1368" s="510"/>
      <c r="E1368" s="510"/>
      <c r="F1368" s="746"/>
      <c r="G1368" s="510"/>
      <c r="H1368" s="510"/>
      <c r="I1368" s="510"/>
      <c r="J1368" s="510"/>
      <c r="K1368" s="510"/>
      <c r="L1368" s="510"/>
      <c r="M1368" s="509"/>
      <c r="N1368" s="508"/>
      <c r="O1368" s="507"/>
      <c r="P1368" s="507"/>
      <c r="Q1368" s="505"/>
      <c r="R1368" s="506"/>
      <c r="S1368" s="506"/>
      <c r="T1368" s="506"/>
      <c r="U1368" s="505"/>
      <c r="V1368" s="505"/>
      <c r="W1368" s="505"/>
      <c r="X1368" s="504"/>
      <c r="Y1368" s="503"/>
      <c r="Z1368" s="503"/>
      <c r="AA1368" s="503"/>
      <c r="AB1368" s="503"/>
      <c r="AC1368" s="503"/>
      <c r="AD1368" s="503"/>
      <c r="AE1368" s="503"/>
      <c r="AF1368" s="503"/>
    </row>
    <row r="1369" spans="1:32" ht="15.75" customHeight="1">
      <c r="A1369" s="503"/>
      <c r="B1369" s="503"/>
      <c r="C1369" s="510"/>
      <c r="D1369" s="510"/>
      <c r="E1369" s="510"/>
      <c r="F1369" s="746"/>
      <c r="G1369" s="510"/>
      <c r="H1369" s="510"/>
      <c r="I1369" s="510"/>
      <c r="J1369" s="510"/>
      <c r="K1369" s="510"/>
      <c r="L1369" s="510"/>
      <c r="M1369" s="509"/>
      <c r="N1369" s="508"/>
      <c r="O1369" s="507"/>
      <c r="P1369" s="507"/>
      <c r="Q1369" s="505"/>
      <c r="R1369" s="506"/>
      <c r="S1369" s="506"/>
      <c r="T1369" s="506"/>
      <c r="U1369" s="505"/>
      <c r="V1369" s="505"/>
      <c r="W1369" s="505"/>
      <c r="X1369" s="504"/>
      <c r="Y1369" s="503"/>
      <c r="Z1369" s="503"/>
      <c r="AA1369" s="503"/>
      <c r="AB1369" s="503"/>
      <c r="AC1369" s="503"/>
      <c r="AD1369" s="503"/>
      <c r="AE1369" s="503"/>
      <c r="AF1369" s="503"/>
    </row>
    <row r="1370" spans="1:32" ht="15.75" customHeight="1">
      <c r="A1370" s="503"/>
      <c r="B1370" s="503"/>
      <c r="C1370" s="510"/>
      <c r="D1370" s="510"/>
      <c r="E1370" s="510"/>
      <c r="F1370" s="746"/>
      <c r="G1370" s="510"/>
      <c r="H1370" s="510"/>
      <c r="I1370" s="510"/>
      <c r="J1370" s="510"/>
      <c r="K1370" s="510"/>
      <c r="L1370" s="510"/>
      <c r="M1370" s="509"/>
      <c r="N1370" s="508"/>
      <c r="O1370" s="507"/>
      <c r="P1370" s="507"/>
      <c r="Q1370" s="505"/>
      <c r="R1370" s="506"/>
      <c r="S1370" s="506"/>
      <c r="T1370" s="506"/>
      <c r="U1370" s="505"/>
      <c r="V1370" s="505"/>
      <c r="W1370" s="505"/>
      <c r="X1370" s="504"/>
      <c r="Y1370" s="503"/>
      <c r="Z1370" s="503"/>
      <c r="AA1370" s="503"/>
      <c r="AB1370" s="503"/>
      <c r="AC1370" s="503"/>
      <c r="AD1370" s="503"/>
      <c r="AE1370" s="503"/>
      <c r="AF1370" s="503"/>
    </row>
    <row r="1371" spans="1:32" ht="15.75" customHeight="1">
      <c r="A1371" s="503"/>
      <c r="B1371" s="503"/>
      <c r="C1371" s="510"/>
      <c r="D1371" s="510"/>
      <c r="E1371" s="510"/>
      <c r="F1371" s="746"/>
      <c r="G1371" s="510"/>
      <c r="H1371" s="510"/>
      <c r="I1371" s="510"/>
      <c r="J1371" s="510"/>
      <c r="K1371" s="510"/>
      <c r="L1371" s="510"/>
      <c r="M1371" s="509"/>
      <c r="N1371" s="508"/>
      <c r="O1371" s="507"/>
      <c r="P1371" s="507"/>
      <c r="Q1371" s="505"/>
      <c r="R1371" s="506"/>
      <c r="S1371" s="506"/>
      <c r="T1371" s="506"/>
      <c r="U1371" s="505"/>
      <c r="V1371" s="505"/>
      <c r="W1371" s="505"/>
      <c r="X1371" s="504"/>
      <c r="Y1371" s="503"/>
      <c r="Z1371" s="503"/>
      <c r="AA1371" s="503"/>
      <c r="AB1371" s="503"/>
      <c r="AC1371" s="503"/>
      <c r="AD1371" s="503"/>
      <c r="AE1371" s="503"/>
      <c r="AF1371" s="503"/>
    </row>
    <row r="1372" spans="1:32" ht="15.75" customHeight="1">
      <c r="A1372" s="503"/>
      <c r="B1372" s="503"/>
      <c r="C1372" s="510"/>
      <c r="D1372" s="510"/>
      <c r="E1372" s="510"/>
      <c r="F1372" s="746"/>
      <c r="G1372" s="510"/>
      <c r="H1372" s="510"/>
      <c r="I1372" s="510"/>
      <c r="J1372" s="510"/>
      <c r="K1372" s="510"/>
      <c r="L1372" s="510"/>
      <c r="M1372" s="509"/>
      <c r="N1372" s="508"/>
      <c r="O1372" s="507"/>
      <c r="P1372" s="507"/>
      <c r="Q1372" s="505"/>
      <c r="R1372" s="506"/>
      <c r="S1372" s="506"/>
      <c r="T1372" s="506"/>
      <c r="U1372" s="505"/>
      <c r="V1372" s="505"/>
      <c r="W1372" s="505"/>
      <c r="X1372" s="504"/>
      <c r="Y1372" s="503"/>
      <c r="Z1372" s="503"/>
      <c r="AA1372" s="503"/>
      <c r="AB1372" s="503"/>
      <c r="AC1372" s="503"/>
      <c r="AD1372" s="503"/>
      <c r="AE1372" s="503"/>
      <c r="AF1372" s="503"/>
    </row>
    <row r="1373" spans="1:32" ht="15.75" customHeight="1">
      <c r="A1373" s="503"/>
      <c r="B1373" s="503"/>
      <c r="C1373" s="510"/>
      <c r="D1373" s="510"/>
      <c r="E1373" s="510"/>
      <c r="F1373" s="746"/>
      <c r="G1373" s="510"/>
      <c r="H1373" s="510"/>
      <c r="I1373" s="510"/>
      <c r="J1373" s="510"/>
      <c r="K1373" s="510"/>
      <c r="L1373" s="510"/>
      <c r="M1373" s="509"/>
      <c r="N1373" s="508"/>
      <c r="O1373" s="507"/>
      <c r="P1373" s="507"/>
      <c r="Q1373" s="505"/>
      <c r="R1373" s="506"/>
      <c r="S1373" s="506"/>
      <c r="T1373" s="506"/>
      <c r="U1373" s="505"/>
      <c r="V1373" s="505"/>
      <c r="W1373" s="505"/>
      <c r="X1373" s="504"/>
      <c r="Y1373" s="503"/>
      <c r="Z1373" s="503"/>
      <c r="AA1373" s="503"/>
      <c r="AB1373" s="503"/>
      <c r="AC1373" s="503"/>
      <c r="AD1373" s="503"/>
      <c r="AE1373" s="503"/>
      <c r="AF1373" s="503"/>
    </row>
    <row r="1374" spans="1:32" ht="15.75" customHeight="1">
      <c r="A1374" s="503"/>
      <c r="B1374" s="503"/>
      <c r="C1374" s="510"/>
      <c r="D1374" s="510"/>
      <c r="E1374" s="510"/>
      <c r="F1374" s="746"/>
      <c r="G1374" s="510"/>
      <c r="H1374" s="510"/>
      <c r="I1374" s="510"/>
      <c r="J1374" s="510"/>
      <c r="K1374" s="510"/>
      <c r="L1374" s="510"/>
      <c r="M1374" s="509"/>
      <c r="N1374" s="508"/>
      <c r="O1374" s="507"/>
      <c r="P1374" s="507"/>
      <c r="Q1374" s="505"/>
      <c r="R1374" s="506"/>
      <c r="S1374" s="506"/>
      <c r="T1374" s="506"/>
      <c r="U1374" s="505"/>
      <c r="V1374" s="505"/>
      <c r="W1374" s="505"/>
      <c r="X1374" s="504"/>
      <c r="Y1374" s="503"/>
      <c r="Z1374" s="503"/>
      <c r="AA1374" s="503"/>
      <c r="AB1374" s="503"/>
      <c r="AC1374" s="503"/>
      <c r="AD1374" s="503"/>
      <c r="AE1374" s="503"/>
      <c r="AF1374" s="503"/>
    </row>
    <row r="1375" spans="1:32" ht="15.75" customHeight="1">
      <c r="A1375" s="503"/>
      <c r="B1375" s="503"/>
      <c r="C1375" s="510"/>
      <c r="D1375" s="510"/>
      <c r="E1375" s="510"/>
      <c r="F1375" s="746"/>
      <c r="G1375" s="510"/>
      <c r="H1375" s="510"/>
      <c r="I1375" s="510"/>
      <c r="J1375" s="510"/>
      <c r="K1375" s="510"/>
      <c r="L1375" s="510"/>
      <c r="M1375" s="509"/>
      <c r="N1375" s="508"/>
      <c r="O1375" s="507"/>
      <c r="P1375" s="507"/>
      <c r="Q1375" s="505"/>
      <c r="R1375" s="506"/>
      <c r="S1375" s="506"/>
      <c r="T1375" s="506"/>
      <c r="U1375" s="505"/>
      <c r="V1375" s="505"/>
      <c r="W1375" s="505"/>
      <c r="X1375" s="504"/>
      <c r="Y1375" s="503"/>
      <c r="Z1375" s="503"/>
      <c r="AA1375" s="503"/>
      <c r="AB1375" s="503"/>
      <c r="AC1375" s="503"/>
      <c r="AD1375" s="503"/>
      <c r="AE1375" s="503"/>
      <c r="AF1375" s="503"/>
    </row>
    <row r="1376" spans="1:32" ht="15.75" customHeight="1">
      <c r="A1376" s="503"/>
      <c r="B1376" s="503"/>
      <c r="C1376" s="510"/>
      <c r="D1376" s="510"/>
      <c r="E1376" s="510"/>
      <c r="F1376" s="746"/>
      <c r="G1376" s="510"/>
      <c r="H1376" s="510"/>
      <c r="I1376" s="510"/>
      <c r="J1376" s="510"/>
      <c r="K1376" s="510"/>
      <c r="L1376" s="510"/>
      <c r="M1376" s="509"/>
      <c r="N1376" s="508"/>
      <c r="O1376" s="507"/>
      <c r="P1376" s="507"/>
      <c r="Q1376" s="505"/>
      <c r="R1376" s="506"/>
      <c r="S1376" s="506"/>
      <c r="T1376" s="506"/>
      <c r="U1376" s="505"/>
      <c r="V1376" s="505"/>
      <c r="W1376" s="505"/>
      <c r="X1376" s="504"/>
      <c r="Y1376" s="503"/>
      <c r="Z1376" s="503"/>
      <c r="AA1376" s="503"/>
      <c r="AB1376" s="503"/>
      <c r="AC1376" s="503"/>
      <c r="AD1376" s="503"/>
      <c r="AE1376" s="503"/>
      <c r="AF1376" s="503"/>
    </row>
    <row r="1377" spans="1:32" ht="15.75" customHeight="1">
      <c r="A1377" s="503"/>
      <c r="B1377" s="503"/>
      <c r="C1377" s="510"/>
      <c r="D1377" s="510"/>
      <c r="E1377" s="510"/>
      <c r="F1377" s="746"/>
      <c r="G1377" s="510"/>
      <c r="H1377" s="510"/>
      <c r="I1377" s="510"/>
      <c r="J1377" s="510"/>
      <c r="K1377" s="510"/>
      <c r="L1377" s="510"/>
      <c r="M1377" s="509"/>
      <c r="N1377" s="508"/>
      <c r="O1377" s="507"/>
      <c r="P1377" s="507"/>
      <c r="Q1377" s="505"/>
      <c r="R1377" s="506"/>
      <c r="S1377" s="506"/>
      <c r="T1377" s="506"/>
      <c r="U1377" s="505"/>
      <c r="V1377" s="505"/>
      <c r="W1377" s="505"/>
      <c r="X1377" s="504"/>
      <c r="Y1377" s="503"/>
      <c r="Z1377" s="503"/>
      <c r="AA1377" s="503"/>
      <c r="AB1377" s="503"/>
      <c r="AC1377" s="503"/>
      <c r="AD1377" s="503"/>
      <c r="AE1377" s="503"/>
      <c r="AF1377" s="503"/>
    </row>
    <row r="1378" spans="1:32" ht="15.75" customHeight="1">
      <c r="A1378" s="503"/>
      <c r="B1378" s="503"/>
      <c r="C1378" s="510"/>
      <c r="D1378" s="510"/>
      <c r="E1378" s="510"/>
      <c r="F1378" s="746"/>
      <c r="G1378" s="510"/>
      <c r="H1378" s="510"/>
      <c r="I1378" s="510"/>
      <c r="J1378" s="510"/>
      <c r="K1378" s="510"/>
      <c r="L1378" s="510"/>
      <c r="M1378" s="509"/>
      <c r="N1378" s="508"/>
      <c r="O1378" s="507"/>
      <c r="P1378" s="507"/>
      <c r="Q1378" s="505"/>
      <c r="R1378" s="506"/>
      <c r="S1378" s="506"/>
      <c r="T1378" s="506"/>
      <c r="U1378" s="505"/>
      <c r="V1378" s="505"/>
      <c r="W1378" s="505"/>
      <c r="X1378" s="504"/>
      <c r="Y1378" s="503"/>
      <c r="Z1378" s="503"/>
      <c r="AA1378" s="503"/>
      <c r="AB1378" s="503"/>
      <c r="AC1378" s="503"/>
      <c r="AD1378" s="503"/>
      <c r="AE1378" s="503"/>
      <c r="AF1378" s="503"/>
    </row>
    <row r="1379" spans="1:32" ht="15.75" customHeight="1">
      <c r="A1379" s="503"/>
      <c r="B1379" s="503"/>
      <c r="C1379" s="510"/>
      <c r="D1379" s="510"/>
      <c r="E1379" s="510"/>
      <c r="F1379" s="746"/>
      <c r="G1379" s="510"/>
      <c r="H1379" s="510"/>
      <c r="I1379" s="510"/>
      <c r="J1379" s="510"/>
      <c r="K1379" s="510"/>
      <c r="L1379" s="510"/>
      <c r="M1379" s="509"/>
      <c r="N1379" s="508"/>
      <c r="O1379" s="507"/>
      <c r="P1379" s="507"/>
      <c r="Q1379" s="505"/>
      <c r="R1379" s="506"/>
      <c r="S1379" s="506"/>
      <c r="T1379" s="506"/>
      <c r="U1379" s="505"/>
      <c r="V1379" s="505"/>
      <c r="W1379" s="505"/>
      <c r="X1379" s="504"/>
      <c r="Y1379" s="503"/>
      <c r="Z1379" s="503"/>
      <c r="AA1379" s="503"/>
      <c r="AB1379" s="503"/>
      <c r="AC1379" s="503"/>
      <c r="AD1379" s="503"/>
      <c r="AE1379" s="503"/>
      <c r="AF1379" s="503"/>
    </row>
    <row r="1380" spans="1:32" ht="15.75" customHeight="1">
      <c r="A1380" s="503"/>
      <c r="B1380" s="503"/>
      <c r="C1380" s="510"/>
      <c r="D1380" s="510"/>
      <c r="E1380" s="510"/>
      <c r="F1380" s="746"/>
      <c r="G1380" s="510"/>
      <c r="H1380" s="510"/>
      <c r="I1380" s="510"/>
      <c r="J1380" s="510"/>
      <c r="K1380" s="510"/>
      <c r="L1380" s="510"/>
      <c r="M1380" s="509"/>
      <c r="N1380" s="508"/>
      <c r="O1380" s="507"/>
      <c r="P1380" s="507"/>
      <c r="Q1380" s="505"/>
      <c r="R1380" s="506"/>
      <c r="S1380" s="506"/>
      <c r="T1380" s="506"/>
      <c r="U1380" s="505"/>
      <c r="V1380" s="505"/>
      <c r="W1380" s="505"/>
      <c r="X1380" s="504"/>
      <c r="Y1380" s="503"/>
      <c r="Z1380" s="503"/>
      <c r="AA1380" s="503"/>
      <c r="AB1380" s="503"/>
      <c r="AC1380" s="503"/>
      <c r="AD1380" s="503"/>
      <c r="AE1380" s="503"/>
      <c r="AF1380" s="503"/>
    </row>
    <row r="1381" spans="1:32" ht="15.75" customHeight="1">
      <c r="A1381" s="503"/>
      <c r="B1381" s="503"/>
      <c r="C1381" s="510"/>
      <c r="D1381" s="510"/>
      <c r="E1381" s="510"/>
      <c r="F1381" s="746"/>
      <c r="G1381" s="510"/>
      <c r="H1381" s="510"/>
      <c r="I1381" s="510"/>
      <c r="J1381" s="510"/>
      <c r="K1381" s="510"/>
      <c r="L1381" s="510"/>
      <c r="M1381" s="509"/>
      <c r="N1381" s="508"/>
      <c r="O1381" s="507"/>
      <c r="P1381" s="507"/>
      <c r="Q1381" s="505"/>
      <c r="R1381" s="506"/>
      <c r="S1381" s="506"/>
      <c r="T1381" s="506"/>
      <c r="U1381" s="505"/>
      <c r="V1381" s="505"/>
      <c r="W1381" s="505"/>
      <c r="X1381" s="504"/>
      <c r="Y1381" s="503"/>
      <c r="Z1381" s="503"/>
      <c r="AA1381" s="503"/>
      <c r="AB1381" s="503"/>
      <c r="AC1381" s="503"/>
      <c r="AD1381" s="503"/>
      <c r="AE1381" s="503"/>
      <c r="AF1381" s="503"/>
    </row>
    <row r="1382" spans="1:32" ht="15.75" customHeight="1">
      <c r="A1382" s="503"/>
      <c r="B1382" s="503"/>
      <c r="C1382" s="510"/>
      <c r="D1382" s="510"/>
      <c r="E1382" s="510"/>
      <c r="F1382" s="746"/>
      <c r="G1382" s="510"/>
      <c r="H1382" s="510"/>
      <c r="I1382" s="510"/>
      <c r="J1382" s="510"/>
      <c r="K1382" s="510"/>
      <c r="L1382" s="510"/>
      <c r="M1382" s="509"/>
      <c r="N1382" s="508"/>
      <c r="O1382" s="507"/>
      <c r="P1382" s="507"/>
      <c r="Q1382" s="505"/>
      <c r="R1382" s="506"/>
      <c r="S1382" s="506"/>
      <c r="T1382" s="506"/>
      <c r="U1382" s="505"/>
      <c r="V1382" s="505"/>
      <c r="W1382" s="505"/>
      <c r="X1382" s="504"/>
      <c r="Y1382" s="503"/>
      <c r="Z1382" s="503"/>
      <c r="AA1382" s="503"/>
      <c r="AB1382" s="503"/>
      <c r="AC1382" s="503"/>
      <c r="AD1382" s="503"/>
      <c r="AE1382" s="503"/>
      <c r="AF1382" s="503"/>
    </row>
    <row r="1383" spans="1:32" ht="15.75" customHeight="1">
      <c r="A1383" s="503"/>
      <c r="B1383" s="503"/>
      <c r="C1383" s="510"/>
      <c r="D1383" s="510"/>
      <c r="E1383" s="510"/>
      <c r="F1383" s="746"/>
      <c r="G1383" s="510"/>
      <c r="H1383" s="510"/>
      <c r="I1383" s="510"/>
      <c r="J1383" s="510"/>
      <c r="K1383" s="510"/>
      <c r="L1383" s="510"/>
      <c r="M1383" s="509"/>
      <c r="N1383" s="508"/>
      <c r="O1383" s="507"/>
      <c r="P1383" s="507"/>
      <c r="Q1383" s="505"/>
      <c r="R1383" s="506"/>
      <c r="S1383" s="506"/>
      <c r="T1383" s="506"/>
      <c r="U1383" s="505"/>
      <c r="V1383" s="505"/>
      <c r="W1383" s="505"/>
      <c r="X1383" s="504"/>
      <c r="Y1383" s="503"/>
      <c r="Z1383" s="503"/>
      <c r="AA1383" s="503"/>
      <c r="AB1383" s="503"/>
      <c r="AC1383" s="503"/>
      <c r="AD1383" s="503"/>
      <c r="AE1383" s="503"/>
      <c r="AF1383" s="503"/>
    </row>
    <row r="1384" spans="1:32" ht="15.75" customHeight="1">
      <c r="A1384" s="503"/>
      <c r="B1384" s="503"/>
      <c r="C1384" s="510"/>
      <c r="D1384" s="510"/>
      <c r="E1384" s="510"/>
      <c r="F1384" s="746"/>
      <c r="G1384" s="510"/>
      <c r="H1384" s="510"/>
      <c r="I1384" s="510"/>
      <c r="J1384" s="510"/>
      <c r="K1384" s="510"/>
      <c r="L1384" s="510"/>
      <c r="M1384" s="509"/>
      <c r="N1384" s="508"/>
      <c r="O1384" s="507"/>
      <c r="P1384" s="507"/>
      <c r="Q1384" s="505"/>
      <c r="R1384" s="506"/>
      <c r="S1384" s="506"/>
      <c r="T1384" s="506"/>
      <c r="U1384" s="505"/>
      <c r="V1384" s="505"/>
      <c r="W1384" s="505"/>
      <c r="X1384" s="504"/>
      <c r="Y1384" s="503"/>
      <c r="Z1384" s="503"/>
      <c r="AA1384" s="503"/>
      <c r="AB1384" s="503"/>
      <c r="AC1384" s="503"/>
      <c r="AD1384" s="503"/>
      <c r="AE1384" s="503"/>
      <c r="AF1384" s="503"/>
    </row>
    <row r="1385" spans="1:32" ht="15.75" customHeight="1">
      <c r="A1385" s="503"/>
      <c r="B1385" s="503"/>
      <c r="C1385" s="510"/>
      <c r="D1385" s="510"/>
      <c r="E1385" s="510"/>
      <c r="F1385" s="746"/>
      <c r="G1385" s="510"/>
      <c r="H1385" s="510"/>
      <c r="I1385" s="510"/>
      <c r="J1385" s="510"/>
      <c r="K1385" s="510"/>
      <c r="L1385" s="510"/>
      <c r="M1385" s="509"/>
      <c r="N1385" s="508"/>
      <c r="O1385" s="507"/>
      <c r="P1385" s="507"/>
      <c r="Q1385" s="505"/>
      <c r="R1385" s="506"/>
      <c r="S1385" s="506"/>
      <c r="T1385" s="506"/>
      <c r="U1385" s="505"/>
      <c r="V1385" s="505"/>
      <c r="W1385" s="505"/>
      <c r="X1385" s="504"/>
      <c r="Y1385" s="503"/>
      <c r="Z1385" s="503"/>
      <c r="AA1385" s="503"/>
      <c r="AB1385" s="503"/>
      <c r="AC1385" s="503"/>
      <c r="AD1385" s="503"/>
      <c r="AE1385" s="503"/>
      <c r="AF1385" s="503"/>
    </row>
    <row r="1386" spans="1:32" ht="15.75" customHeight="1">
      <c r="A1386" s="503"/>
      <c r="B1386" s="503"/>
      <c r="C1386" s="510"/>
      <c r="D1386" s="510"/>
      <c r="E1386" s="510"/>
      <c r="F1386" s="746"/>
      <c r="G1386" s="510"/>
      <c r="H1386" s="510"/>
      <c r="I1386" s="510"/>
      <c r="J1386" s="510"/>
      <c r="K1386" s="510"/>
      <c r="L1386" s="510"/>
      <c r="M1386" s="509"/>
      <c r="N1386" s="508"/>
      <c r="O1386" s="507"/>
      <c r="P1386" s="507"/>
      <c r="Q1386" s="505"/>
      <c r="R1386" s="506"/>
      <c r="S1386" s="506"/>
      <c r="T1386" s="506"/>
      <c r="U1386" s="505"/>
      <c r="V1386" s="505"/>
      <c r="W1386" s="505"/>
      <c r="X1386" s="504"/>
      <c r="Y1386" s="503"/>
      <c r="Z1386" s="503"/>
      <c r="AA1386" s="503"/>
      <c r="AB1386" s="503"/>
      <c r="AC1386" s="503"/>
      <c r="AD1386" s="503"/>
      <c r="AE1386" s="503"/>
      <c r="AF1386" s="503"/>
    </row>
    <row r="1387" spans="1:32" ht="15.75" customHeight="1">
      <c r="A1387" s="503"/>
      <c r="B1387" s="503"/>
      <c r="C1387" s="510"/>
      <c r="D1387" s="510"/>
      <c r="E1387" s="510"/>
      <c r="F1387" s="746"/>
      <c r="G1387" s="510"/>
      <c r="H1387" s="510"/>
      <c r="I1387" s="510"/>
      <c r="J1387" s="510"/>
      <c r="K1387" s="510"/>
      <c r="L1387" s="510"/>
      <c r="M1387" s="509"/>
      <c r="N1387" s="508"/>
      <c r="O1387" s="507"/>
      <c r="P1387" s="507"/>
      <c r="Q1387" s="505"/>
      <c r="R1387" s="506"/>
      <c r="S1387" s="506"/>
      <c r="T1387" s="506"/>
      <c r="U1387" s="505"/>
      <c r="V1387" s="505"/>
      <c r="W1387" s="505"/>
      <c r="X1387" s="504"/>
      <c r="Y1387" s="503"/>
      <c r="Z1387" s="503"/>
      <c r="AA1387" s="503"/>
      <c r="AB1387" s="503"/>
      <c r="AC1387" s="503"/>
      <c r="AD1387" s="503"/>
      <c r="AE1387" s="503"/>
      <c r="AF1387" s="503"/>
    </row>
    <row r="1388" spans="1:32" ht="15.75" customHeight="1">
      <c r="A1388" s="503"/>
      <c r="B1388" s="503"/>
      <c r="C1388" s="510"/>
      <c r="D1388" s="510"/>
      <c r="E1388" s="510"/>
      <c r="F1388" s="746"/>
      <c r="G1388" s="510"/>
      <c r="H1388" s="510"/>
      <c r="I1388" s="510"/>
      <c r="J1388" s="510"/>
      <c r="K1388" s="510"/>
      <c r="L1388" s="510"/>
      <c r="M1388" s="509"/>
      <c r="N1388" s="508"/>
      <c r="O1388" s="507"/>
      <c r="P1388" s="507"/>
      <c r="Q1388" s="505"/>
      <c r="R1388" s="506"/>
      <c r="S1388" s="506"/>
      <c r="T1388" s="506"/>
      <c r="U1388" s="505"/>
      <c r="V1388" s="505"/>
      <c r="W1388" s="505"/>
      <c r="X1388" s="504"/>
      <c r="Y1388" s="503"/>
      <c r="Z1388" s="503"/>
      <c r="AA1388" s="503"/>
      <c r="AB1388" s="503"/>
      <c r="AC1388" s="503"/>
      <c r="AD1388" s="503"/>
      <c r="AE1388" s="503"/>
      <c r="AF1388" s="503"/>
    </row>
    <row r="1389" spans="1:32" ht="15.75" customHeight="1">
      <c r="A1389" s="503"/>
      <c r="B1389" s="503"/>
      <c r="C1389" s="510"/>
      <c r="D1389" s="510"/>
      <c r="E1389" s="510"/>
      <c r="F1389" s="746"/>
      <c r="G1389" s="510"/>
      <c r="H1389" s="510"/>
      <c r="I1389" s="510"/>
      <c r="J1389" s="510"/>
      <c r="K1389" s="510"/>
      <c r="L1389" s="510"/>
      <c r="M1389" s="509"/>
      <c r="N1389" s="508"/>
      <c r="O1389" s="507"/>
      <c r="P1389" s="507"/>
      <c r="Q1389" s="505"/>
      <c r="R1389" s="506"/>
      <c r="S1389" s="506"/>
      <c r="T1389" s="506"/>
      <c r="U1389" s="505"/>
      <c r="V1389" s="505"/>
      <c r="W1389" s="505"/>
      <c r="X1389" s="504"/>
      <c r="Y1389" s="503"/>
      <c r="Z1389" s="503"/>
      <c r="AA1389" s="503"/>
      <c r="AB1389" s="503"/>
      <c r="AC1389" s="503"/>
      <c r="AD1389" s="503"/>
      <c r="AE1389" s="503"/>
      <c r="AF1389" s="503"/>
    </row>
    <row r="1390" spans="1:32" ht="15.75" customHeight="1">
      <c r="A1390" s="503"/>
      <c r="B1390" s="503"/>
      <c r="C1390" s="510"/>
      <c r="D1390" s="510"/>
      <c r="E1390" s="510"/>
      <c r="F1390" s="746"/>
      <c r="G1390" s="510"/>
      <c r="H1390" s="510"/>
      <c r="I1390" s="510"/>
      <c r="J1390" s="510"/>
      <c r="K1390" s="510"/>
      <c r="L1390" s="510"/>
      <c r="M1390" s="509"/>
      <c r="N1390" s="508"/>
      <c r="O1390" s="507"/>
      <c r="P1390" s="507"/>
      <c r="Q1390" s="505"/>
      <c r="R1390" s="506"/>
      <c r="S1390" s="506"/>
      <c r="T1390" s="506"/>
      <c r="U1390" s="505"/>
      <c r="V1390" s="505"/>
      <c r="W1390" s="505"/>
      <c r="X1390" s="504"/>
      <c r="Y1390" s="503"/>
      <c r="Z1390" s="503"/>
      <c r="AA1390" s="503"/>
      <c r="AB1390" s="503"/>
      <c r="AC1390" s="503"/>
      <c r="AD1390" s="503"/>
      <c r="AE1390" s="503"/>
      <c r="AF1390" s="503"/>
    </row>
    <row r="1391" spans="1:32" ht="15.75" customHeight="1">
      <c r="A1391" s="503"/>
      <c r="B1391" s="503"/>
      <c r="C1391" s="510"/>
      <c r="D1391" s="510"/>
      <c r="E1391" s="510"/>
      <c r="F1391" s="746"/>
      <c r="G1391" s="510"/>
      <c r="H1391" s="510"/>
      <c r="I1391" s="510"/>
      <c r="J1391" s="510"/>
      <c r="K1391" s="510"/>
      <c r="L1391" s="510"/>
      <c r="M1391" s="509"/>
      <c r="N1391" s="508"/>
      <c r="O1391" s="507"/>
      <c r="P1391" s="507"/>
      <c r="Q1391" s="505"/>
      <c r="R1391" s="506"/>
      <c r="S1391" s="506"/>
      <c r="T1391" s="506"/>
      <c r="U1391" s="505"/>
      <c r="V1391" s="505"/>
      <c r="W1391" s="505"/>
      <c r="X1391" s="504"/>
      <c r="Y1391" s="503"/>
      <c r="Z1391" s="503"/>
      <c r="AA1391" s="503"/>
      <c r="AB1391" s="503"/>
      <c r="AC1391" s="503"/>
      <c r="AD1391" s="503"/>
      <c r="AE1391" s="503"/>
      <c r="AF1391" s="503"/>
    </row>
    <row r="1392" spans="1:32" ht="15.75" customHeight="1">
      <c r="A1392" s="503"/>
      <c r="B1392" s="503"/>
      <c r="C1392" s="510"/>
      <c r="D1392" s="510"/>
      <c r="E1392" s="510"/>
      <c r="F1392" s="746"/>
      <c r="G1392" s="510"/>
      <c r="H1392" s="510"/>
      <c r="I1392" s="510"/>
      <c r="J1392" s="510"/>
      <c r="K1392" s="510"/>
      <c r="L1392" s="510"/>
      <c r="M1392" s="509"/>
      <c r="N1392" s="508"/>
      <c r="O1392" s="507"/>
      <c r="P1392" s="507"/>
      <c r="Q1392" s="505"/>
      <c r="R1392" s="506"/>
      <c r="S1392" s="506"/>
      <c r="T1392" s="506"/>
      <c r="U1392" s="505"/>
      <c r="V1392" s="505"/>
      <c r="W1392" s="505"/>
      <c r="X1392" s="504"/>
      <c r="Y1392" s="503"/>
      <c r="Z1392" s="503"/>
      <c r="AA1392" s="503"/>
      <c r="AB1392" s="503"/>
      <c r="AC1392" s="503"/>
      <c r="AD1392" s="503"/>
      <c r="AE1392" s="503"/>
      <c r="AF1392" s="503"/>
    </row>
    <row r="1393" spans="1:32" ht="15.75" customHeight="1">
      <c r="A1393" s="503"/>
      <c r="B1393" s="503"/>
      <c r="C1393" s="510"/>
      <c r="D1393" s="510"/>
      <c r="E1393" s="510"/>
      <c r="F1393" s="746"/>
      <c r="G1393" s="510"/>
      <c r="H1393" s="510"/>
      <c r="I1393" s="510"/>
      <c r="J1393" s="510"/>
      <c r="K1393" s="510"/>
      <c r="L1393" s="510"/>
      <c r="M1393" s="509"/>
      <c r="N1393" s="508"/>
      <c r="O1393" s="507"/>
      <c r="P1393" s="507"/>
      <c r="Q1393" s="505"/>
      <c r="R1393" s="506"/>
      <c r="S1393" s="506"/>
      <c r="T1393" s="506"/>
      <c r="U1393" s="505"/>
      <c r="V1393" s="505"/>
      <c r="W1393" s="505"/>
      <c r="X1393" s="504"/>
      <c r="Y1393" s="503"/>
      <c r="Z1393" s="503"/>
      <c r="AA1393" s="503"/>
      <c r="AB1393" s="503"/>
      <c r="AC1393" s="503"/>
      <c r="AD1393" s="503"/>
      <c r="AE1393" s="503"/>
      <c r="AF1393" s="503"/>
    </row>
    <row r="1394" spans="1:32" ht="15.75" customHeight="1">
      <c r="A1394" s="503"/>
      <c r="B1394" s="503"/>
      <c r="C1394" s="510"/>
      <c r="D1394" s="510"/>
      <c r="E1394" s="510"/>
      <c r="F1394" s="746"/>
      <c r="G1394" s="510"/>
      <c r="H1394" s="510"/>
      <c r="I1394" s="510"/>
      <c r="J1394" s="510"/>
      <c r="K1394" s="510"/>
      <c r="L1394" s="510"/>
      <c r="M1394" s="509"/>
      <c r="N1394" s="508"/>
      <c r="O1394" s="507"/>
      <c r="P1394" s="507"/>
      <c r="Q1394" s="505"/>
      <c r="R1394" s="506"/>
      <c r="S1394" s="506"/>
      <c r="T1394" s="506"/>
      <c r="U1394" s="505"/>
      <c r="V1394" s="505"/>
      <c r="W1394" s="505"/>
      <c r="X1394" s="504"/>
      <c r="Y1394" s="503"/>
      <c r="Z1394" s="503"/>
      <c r="AA1394" s="503"/>
      <c r="AB1394" s="503"/>
      <c r="AC1394" s="503"/>
      <c r="AD1394" s="503"/>
      <c r="AE1394" s="503"/>
      <c r="AF1394" s="503"/>
    </row>
    <row r="1395" spans="1:32" ht="15.75" customHeight="1">
      <c r="A1395" s="503"/>
      <c r="B1395" s="503"/>
      <c r="C1395" s="510"/>
      <c r="D1395" s="510"/>
      <c r="E1395" s="510"/>
      <c r="F1395" s="746"/>
      <c r="G1395" s="510"/>
      <c r="H1395" s="510"/>
      <c r="I1395" s="510"/>
      <c r="J1395" s="510"/>
      <c r="K1395" s="510"/>
      <c r="L1395" s="510"/>
      <c r="M1395" s="509"/>
      <c r="N1395" s="508"/>
      <c r="O1395" s="507"/>
      <c r="P1395" s="507"/>
      <c r="Q1395" s="505"/>
      <c r="R1395" s="506"/>
      <c r="S1395" s="506"/>
      <c r="T1395" s="506"/>
      <c r="U1395" s="505"/>
      <c r="V1395" s="505"/>
      <c r="W1395" s="505"/>
      <c r="X1395" s="504"/>
      <c r="Y1395" s="503"/>
      <c r="Z1395" s="503"/>
      <c r="AA1395" s="503"/>
      <c r="AB1395" s="503"/>
      <c r="AC1395" s="503"/>
      <c r="AD1395" s="503"/>
      <c r="AE1395" s="503"/>
      <c r="AF1395" s="503"/>
    </row>
    <row r="1396" spans="1:32" ht="15.75" customHeight="1">
      <c r="A1396" s="503"/>
      <c r="B1396" s="503"/>
      <c r="C1396" s="510"/>
      <c r="D1396" s="510"/>
      <c r="E1396" s="510"/>
      <c r="F1396" s="746"/>
      <c r="G1396" s="510"/>
      <c r="H1396" s="510"/>
      <c r="I1396" s="510"/>
      <c r="J1396" s="510"/>
      <c r="K1396" s="510"/>
      <c r="L1396" s="510"/>
      <c r="M1396" s="509"/>
      <c r="N1396" s="508"/>
      <c r="O1396" s="507"/>
      <c r="P1396" s="507"/>
      <c r="Q1396" s="505"/>
      <c r="R1396" s="506"/>
      <c r="S1396" s="506"/>
      <c r="T1396" s="506"/>
      <c r="U1396" s="505"/>
      <c r="V1396" s="505"/>
      <c r="W1396" s="505"/>
      <c r="X1396" s="504"/>
      <c r="Y1396" s="503"/>
      <c r="Z1396" s="503"/>
      <c r="AA1396" s="503"/>
      <c r="AB1396" s="503"/>
      <c r="AC1396" s="503"/>
      <c r="AD1396" s="503"/>
      <c r="AE1396" s="503"/>
      <c r="AF1396" s="503"/>
    </row>
    <row r="1397" spans="1:32" ht="15.75" customHeight="1">
      <c r="A1397" s="503"/>
      <c r="B1397" s="503"/>
      <c r="C1397" s="510"/>
      <c r="D1397" s="510"/>
      <c r="E1397" s="510"/>
      <c r="F1397" s="746"/>
      <c r="G1397" s="510"/>
      <c r="H1397" s="510"/>
      <c r="I1397" s="510"/>
      <c r="J1397" s="510"/>
      <c r="K1397" s="510"/>
      <c r="L1397" s="510"/>
      <c r="M1397" s="509"/>
      <c r="N1397" s="508"/>
      <c r="O1397" s="507"/>
      <c r="P1397" s="507"/>
      <c r="Q1397" s="505"/>
      <c r="R1397" s="506"/>
      <c r="S1397" s="506"/>
      <c r="T1397" s="506"/>
      <c r="U1397" s="505"/>
      <c r="V1397" s="505"/>
      <c r="W1397" s="505"/>
      <c r="X1397" s="504"/>
      <c r="Y1397" s="503"/>
      <c r="Z1397" s="503"/>
      <c r="AA1397" s="503"/>
      <c r="AB1397" s="503"/>
      <c r="AC1397" s="503"/>
      <c r="AD1397" s="503"/>
      <c r="AE1397" s="503"/>
      <c r="AF1397" s="503"/>
    </row>
    <row r="1398" spans="1:32" ht="15.75" customHeight="1">
      <c r="A1398" s="503"/>
      <c r="B1398" s="503"/>
      <c r="C1398" s="510"/>
      <c r="D1398" s="510"/>
      <c r="E1398" s="510"/>
      <c r="F1398" s="746"/>
      <c r="G1398" s="510"/>
      <c r="H1398" s="510"/>
      <c r="I1398" s="510"/>
      <c r="J1398" s="510"/>
      <c r="K1398" s="510"/>
      <c r="L1398" s="510"/>
      <c r="M1398" s="509"/>
      <c r="N1398" s="508"/>
      <c r="O1398" s="507"/>
      <c r="P1398" s="507"/>
      <c r="Q1398" s="505"/>
      <c r="R1398" s="506"/>
      <c r="S1398" s="506"/>
      <c r="T1398" s="506"/>
      <c r="U1398" s="505"/>
      <c r="V1398" s="505"/>
      <c r="W1398" s="505"/>
      <c r="X1398" s="504"/>
      <c r="Y1398" s="503"/>
      <c r="Z1398" s="503"/>
      <c r="AA1398" s="503"/>
      <c r="AB1398" s="503"/>
      <c r="AC1398" s="503"/>
      <c r="AD1398" s="503"/>
      <c r="AE1398" s="503"/>
      <c r="AF1398" s="503"/>
    </row>
    <row r="1399" spans="1:32" ht="15.75" customHeight="1">
      <c r="A1399" s="503"/>
      <c r="B1399" s="503"/>
      <c r="C1399" s="510"/>
      <c r="D1399" s="510"/>
      <c r="E1399" s="510"/>
      <c r="F1399" s="746"/>
      <c r="G1399" s="510"/>
      <c r="H1399" s="510"/>
      <c r="I1399" s="510"/>
      <c r="J1399" s="510"/>
      <c r="K1399" s="510"/>
      <c r="L1399" s="510"/>
      <c r="M1399" s="509"/>
      <c r="N1399" s="508"/>
      <c r="O1399" s="507"/>
      <c r="P1399" s="507"/>
      <c r="Q1399" s="505"/>
      <c r="R1399" s="506"/>
      <c r="S1399" s="506"/>
      <c r="T1399" s="506"/>
      <c r="U1399" s="505"/>
      <c r="V1399" s="505"/>
      <c r="W1399" s="505"/>
      <c r="X1399" s="504"/>
      <c r="Y1399" s="503"/>
      <c r="Z1399" s="503"/>
      <c r="AA1399" s="503"/>
      <c r="AB1399" s="503"/>
      <c r="AC1399" s="503"/>
      <c r="AD1399" s="503"/>
      <c r="AE1399" s="503"/>
      <c r="AF1399" s="503"/>
    </row>
    <row r="1400" spans="1:32" ht="15.75" customHeight="1">
      <c r="A1400" s="503"/>
      <c r="B1400" s="503"/>
      <c r="C1400" s="510"/>
      <c r="D1400" s="510"/>
      <c r="E1400" s="510"/>
      <c r="F1400" s="746"/>
      <c r="G1400" s="510"/>
      <c r="H1400" s="510"/>
      <c r="I1400" s="510"/>
      <c r="J1400" s="510"/>
      <c r="K1400" s="510"/>
      <c r="L1400" s="510"/>
      <c r="M1400" s="509"/>
      <c r="N1400" s="508"/>
      <c r="O1400" s="507"/>
      <c r="P1400" s="507"/>
      <c r="Q1400" s="505"/>
      <c r="R1400" s="506"/>
      <c r="S1400" s="506"/>
      <c r="T1400" s="506"/>
      <c r="U1400" s="505"/>
      <c r="V1400" s="505"/>
      <c r="W1400" s="505"/>
      <c r="X1400" s="504"/>
      <c r="Y1400" s="503"/>
      <c r="Z1400" s="503"/>
      <c r="AA1400" s="503"/>
      <c r="AB1400" s="503"/>
      <c r="AC1400" s="503"/>
      <c r="AD1400" s="503"/>
      <c r="AE1400" s="503"/>
      <c r="AF1400" s="503"/>
    </row>
    <row r="1401" spans="1:32" ht="15.75" customHeight="1">
      <c r="A1401" s="503"/>
      <c r="B1401" s="503"/>
      <c r="C1401" s="510"/>
      <c r="D1401" s="510"/>
      <c r="E1401" s="510"/>
      <c r="F1401" s="746"/>
      <c r="G1401" s="510"/>
      <c r="H1401" s="510"/>
      <c r="I1401" s="510"/>
      <c r="J1401" s="510"/>
      <c r="K1401" s="510"/>
      <c r="L1401" s="510"/>
      <c r="M1401" s="509"/>
      <c r="N1401" s="508"/>
      <c r="O1401" s="507"/>
      <c r="P1401" s="507"/>
      <c r="Q1401" s="505"/>
      <c r="R1401" s="506"/>
      <c r="S1401" s="506"/>
      <c r="T1401" s="506"/>
      <c r="U1401" s="505"/>
      <c r="V1401" s="505"/>
      <c r="W1401" s="505"/>
      <c r="X1401" s="504"/>
      <c r="Y1401" s="503"/>
      <c r="Z1401" s="503"/>
      <c r="AA1401" s="503"/>
      <c r="AB1401" s="503"/>
      <c r="AC1401" s="503"/>
      <c r="AD1401" s="503"/>
      <c r="AE1401" s="503"/>
      <c r="AF1401" s="503"/>
    </row>
    <row r="1402" spans="1:32" ht="15.75" customHeight="1">
      <c r="A1402" s="503"/>
      <c r="B1402" s="503"/>
      <c r="C1402" s="510"/>
      <c r="D1402" s="510"/>
      <c r="E1402" s="510"/>
      <c r="F1402" s="746"/>
      <c r="G1402" s="510"/>
      <c r="H1402" s="510"/>
      <c r="I1402" s="510"/>
      <c r="J1402" s="510"/>
      <c r="K1402" s="510"/>
      <c r="L1402" s="510"/>
      <c r="M1402" s="509"/>
      <c r="N1402" s="508"/>
      <c r="O1402" s="507"/>
      <c r="P1402" s="507"/>
      <c r="Q1402" s="505"/>
      <c r="R1402" s="506"/>
      <c r="S1402" s="506"/>
      <c r="T1402" s="506"/>
      <c r="U1402" s="505"/>
      <c r="V1402" s="505"/>
      <c r="W1402" s="505"/>
      <c r="X1402" s="504"/>
      <c r="Y1402" s="503"/>
      <c r="Z1402" s="503"/>
      <c r="AA1402" s="503"/>
      <c r="AB1402" s="503"/>
      <c r="AC1402" s="503"/>
      <c r="AD1402" s="503"/>
      <c r="AE1402" s="503"/>
      <c r="AF1402" s="503"/>
    </row>
    <row r="1403" spans="1:32" ht="15.75" customHeight="1">
      <c r="A1403" s="503"/>
      <c r="B1403" s="503"/>
      <c r="C1403" s="510"/>
      <c r="D1403" s="510"/>
      <c r="E1403" s="510"/>
      <c r="F1403" s="746"/>
      <c r="G1403" s="510"/>
      <c r="H1403" s="510"/>
      <c r="I1403" s="510"/>
      <c r="J1403" s="510"/>
      <c r="K1403" s="510"/>
      <c r="L1403" s="510"/>
      <c r="M1403" s="509"/>
      <c r="N1403" s="508"/>
      <c r="O1403" s="507"/>
      <c r="P1403" s="507"/>
      <c r="Q1403" s="505"/>
      <c r="R1403" s="506"/>
      <c r="S1403" s="506"/>
      <c r="T1403" s="506"/>
      <c r="U1403" s="505"/>
      <c r="V1403" s="505"/>
      <c r="W1403" s="505"/>
      <c r="X1403" s="504"/>
      <c r="Y1403" s="503"/>
      <c r="Z1403" s="503"/>
      <c r="AA1403" s="503"/>
      <c r="AB1403" s="503"/>
      <c r="AC1403" s="503"/>
      <c r="AD1403" s="503"/>
      <c r="AE1403" s="503"/>
      <c r="AF1403" s="503"/>
    </row>
    <row r="1404" spans="1:32" ht="15.75" customHeight="1">
      <c r="A1404" s="503"/>
      <c r="B1404" s="503"/>
      <c r="C1404" s="510"/>
      <c r="D1404" s="510"/>
      <c r="E1404" s="510"/>
      <c r="F1404" s="746"/>
      <c r="G1404" s="510"/>
      <c r="H1404" s="510"/>
      <c r="I1404" s="510"/>
      <c r="J1404" s="510"/>
      <c r="K1404" s="510"/>
      <c r="L1404" s="510"/>
      <c r="M1404" s="509"/>
      <c r="N1404" s="508"/>
      <c r="O1404" s="507"/>
      <c r="P1404" s="507"/>
      <c r="Q1404" s="505"/>
      <c r="R1404" s="506"/>
      <c r="S1404" s="506"/>
      <c r="T1404" s="506"/>
      <c r="U1404" s="505"/>
      <c r="V1404" s="505"/>
      <c r="W1404" s="505"/>
      <c r="X1404" s="504"/>
      <c r="Y1404" s="503"/>
      <c r="Z1404" s="503"/>
      <c r="AA1404" s="503"/>
      <c r="AB1404" s="503"/>
      <c r="AC1404" s="503"/>
      <c r="AD1404" s="503"/>
      <c r="AE1404" s="503"/>
      <c r="AF1404" s="503"/>
    </row>
    <row r="1405" spans="1:32" ht="15.75" customHeight="1">
      <c r="A1405" s="503"/>
      <c r="B1405" s="503"/>
      <c r="C1405" s="510"/>
      <c r="D1405" s="510"/>
      <c r="E1405" s="510"/>
      <c r="F1405" s="746"/>
      <c r="G1405" s="510"/>
      <c r="H1405" s="510"/>
      <c r="I1405" s="510"/>
      <c r="J1405" s="510"/>
      <c r="K1405" s="510"/>
      <c r="L1405" s="510"/>
      <c r="M1405" s="509"/>
      <c r="N1405" s="508"/>
      <c r="O1405" s="507"/>
      <c r="P1405" s="507"/>
      <c r="Q1405" s="505"/>
      <c r="R1405" s="506"/>
      <c r="S1405" s="506"/>
      <c r="T1405" s="506"/>
      <c r="U1405" s="505"/>
      <c r="V1405" s="505"/>
      <c r="W1405" s="505"/>
      <c r="X1405" s="504"/>
      <c r="Y1405" s="503"/>
      <c r="Z1405" s="503"/>
      <c r="AA1405" s="503"/>
      <c r="AB1405" s="503"/>
      <c r="AC1405" s="503"/>
      <c r="AD1405" s="503"/>
      <c r="AE1405" s="503"/>
      <c r="AF1405" s="503"/>
    </row>
    <row r="1406" spans="1:32" ht="15.75" customHeight="1">
      <c r="A1406" s="503"/>
      <c r="B1406" s="503"/>
      <c r="C1406" s="510"/>
      <c r="D1406" s="510"/>
      <c r="E1406" s="510"/>
      <c r="F1406" s="746"/>
      <c r="G1406" s="510"/>
      <c r="H1406" s="510"/>
      <c r="I1406" s="510"/>
      <c r="J1406" s="510"/>
      <c r="K1406" s="510"/>
      <c r="L1406" s="510"/>
      <c r="M1406" s="509"/>
      <c r="N1406" s="508"/>
      <c r="O1406" s="507"/>
      <c r="P1406" s="507"/>
      <c r="Q1406" s="505"/>
      <c r="R1406" s="506"/>
      <c r="S1406" s="506"/>
      <c r="T1406" s="506"/>
      <c r="U1406" s="505"/>
      <c r="V1406" s="505"/>
      <c r="W1406" s="505"/>
      <c r="X1406" s="504"/>
      <c r="Y1406" s="503"/>
      <c r="Z1406" s="503"/>
      <c r="AA1406" s="503"/>
      <c r="AB1406" s="503"/>
      <c r="AC1406" s="503"/>
      <c r="AD1406" s="503"/>
      <c r="AE1406" s="503"/>
      <c r="AF1406" s="503"/>
    </row>
    <row r="1407" spans="1:32" ht="15.75" customHeight="1">
      <c r="A1407" s="503"/>
      <c r="B1407" s="503"/>
      <c r="C1407" s="510"/>
      <c r="D1407" s="510"/>
      <c r="E1407" s="510"/>
      <c r="F1407" s="746"/>
      <c r="G1407" s="510"/>
      <c r="H1407" s="510"/>
      <c r="I1407" s="510"/>
      <c r="J1407" s="510"/>
      <c r="K1407" s="510"/>
      <c r="L1407" s="510"/>
      <c r="M1407" s="509"/>
      <c r="N1407" s="508"/>
      <c r="O1407" s="507"/>
      <c r="P1407" s="507"/>
      <c r="Q1407" s="505"/>
      <c r="R1407" s="506"/>
      <c r="S1407" s="506"/>
      <c r="T1407" s="506"/>
      <c r="U1407" s="505"/>
      <c r="V1407" s="505"/>
      <c r="W1407" s="505"/>
      <c r="X1407" s="504"/>
      <c r="Y1407" s="503"/>
      <c r="Z1407" s="503"/>
      <c r="AA1407" s="503"/>
      <c r="AB1407" s="503"/>
      <c r="AC1407" s="503"/>
      <c r="AD1407" s="503"/>
      <c r="AE1407" s="503"/>
      <c r="AF1407" s="503"/>
    </row>
    <row r="1408" spans="1:32" ht="15.75" customHeight="1">
      <c r="A1408" s="503"/>
      <c r="B1408" s="503"/>
      <c r="C1408" s="510"/>
      <c r="D1408" s="510"/>
      <c r="E1408" s="510"/>
      <c r="F1408" s="746"/>
      <c r="G1408" s="510"/>
      <c r="H1408" s="510"/>
      <c r="I1408" s="510"/>
      <c r="J1408" s="510"/>
      <c r="K1408" s="510"/>
      <c r="L1408" s="510"/>
      <c r="M1408" s="509"/>
      <c r="N1408" s="508"/>
      <c r="O1408" s="507"/>
      <c r="P1408" s="507"/>
      <c r="Q1408" s="505"/>
      <c r="R1408" s="506"/>
      <c r="S1408" s="506"/>
      <c r="T1408" s="506"/>
      <c r="U1408" s="505"/>
      <c r="V1408" s="505"/>
      <c r="W1408" s="505"/>
      <c r="X1408" s="504"/>
      <c r="Y1408" s="503"/>
      <c r="Z1408" s="503"/>
      <c r="AA1408" s="503"/>
      <c r="AB1408" s="503"/>
      <c r="AC1408" s="503"/>
      <c r="AD1408" s="503"/>
      <c r="AE1408" s="503"/>
      <c r="AF1408" s="503"/>
    </row>
    <row r="1409" spans="1:32" ht="15.75" customHeight="1">
      <c r="A1409" s="503"/>
      <c r="B1409" s="503"/>
      <c r="C1409" s="510"/>
      <c r="D1409" s="510"/>
      <c r="E1409" s="510"/>
      <c r="F1409" s="746"/>
      <c r="G1409" s="510"/>
      <c r="H1409" s="510"/>
      <c r="I1409" s="510"/>
      <c r="J1409" s="510"/>
      <c r="K1409" s="510"/>
      <c r="L1409" s="510"/>
      <c r="M1409" s="509"/>
      <c r="N1409" s="508"/>
      <c r="O1409" s="507"/>
      <c r="P1409" s="507"/>
      <c r="Q1409" s="505"/>
      <c r="R1409" s="506"/>
      <c r="S1409" s="506"/>
      <c r="T1409" s="506"/>
      <c r="U1409" s="505"/>
      <c r="V1409" s="505"/>
      <c r="W1409" s="505"/>
      <c r="X1409" s="504"/>
      <c r="Y1409" s="503"/>
      <c r="Z1409" s="503"/>
      <c r="AA1409" s="503"/>
      <c r="AB1409" s="503"/>
      <c r="AC1409" s="503"/>
      <c r="AD1409" s="503"/>
      <c r="AE1409" s="503"/>
      <c r="AF1409" s="503"/>
    </row>
    <row r="1410" spans="1:32" ht="15.75" customHeight="1">
      <c r="A1410" s="503"/>
      <c r="B1410" s="503"/>
      <c r="C1410" s="510"/>
      <c r="D1410" s="510"/>
      <c r="E1410" s="510"/>
      <c r="F1410" s="746"/>
      <c r="G1410" s="510"/>
      <c r="H1410" s="510"/>
      <c r="I1410" s="510"/>
      <c r="J1410" s="510"/>
      <c r="K1410" s="510"/>
      <c r="L1410" s="510"/>
      <c r="M1410" s="509"/>
      <c r="N1410" s="508"/>
      <c r="O1410" s="507"/>
      <c r="P1410" s="507"/>
      <c r="Q1410" s="505"/>
      <c r="R1410" s="506"/>
      <c r="S1410" s="506"/>
      <c r="T1410" s="506"/>
      <c r="U1410" s="505"/>
      <c r="V1410" s="505"/>
      <c r="W1410" s="505"/>
      <c r="X1410" s="504"/>
      <c r="Y1410" s="503"/>
      <c r="Z1410" s="503"/>
      <c r="AA1410" s="503"/>
      <c r="AB1410" s="503"/>
      <c r="AC1410" s="503"/>
      <c r="AD1410" s="503"/>
      <c r="AE1410" s="503"/>
      <c r="AF1410" s="503"/>
    </row>
    <row r="1411" spans="1:32" ht="15.75" customHeight="1">
      <c r="A1411" s="503"/>
      <c r="B1411" s="503"/>
      <c r="C1411" s="510"/>
      <c r="D1411" s="510"/>
      <c r="E1411" s="510"/>
      <c r="F1411" s="746"/>
      <c r="G1411" s="510"/>
      <c r="H1411" s="510"/>
      <c r="I1411" s="510"/>
      <c r="J1411" s="510"/>
      <c r="K1411" s="510"/>
      <c r="L1411" s="510"/>
      <c r="M1411" s="509"/>
      <c r="N1411" s="508"/>
      <c r="O1411" s="507"/>
      <c r="P1411" s="507"/>
      <c r="Q1411" s="505"/>
      <c r="R1411" s="506"/>
      <c r="S1411" s="506"/>
      <c r="T1411" s="506"/>
      <c r="U1411" s="505"/>
      <c r="V1411" s="505"/>
      <c r="W1411" s="505"/>
      <c r="X1411" s="504"/>
      <c r="Y1411" s="503"/>
      <c r="Z1411" s="503"/>
      <c r="AA1411" s="503"/>
      <c r="AB1411" s="503"/>
      <c r="AC1411" s="503"/>
      <c r="AD1411" s="503"/>
      <c r="AE1411" s="503"/>
      <c r="AF1411" s="503"/>
    </row>
    <row r="1412" spans="1:32" ht="15.75" customHeight="1">
      <c r="A1412" s="503"/>
      <c r="B1412" s="503"/>
      <c r="C1412" s="510"/>
      <c r="D1412" s="510"/>
      <c r="E1412" s="510"/>
      <c r="F1412" s="746"/>
      <c r="G1412" s="510"/>
      <c r="H1412" s="510"/>
      <c r="I1412" s="510"/>
      <c r="J1412" s="510"/>
      <c r="K1412" s="510"/>
      <c r="L1412" s="510"/>
      <c r="M1412" s="509"/>
      <c r="N1412" s="508"/>
      <c r="O1412" s="507"/>
      <c r="P1412" s="507"/>
      <c r="Q1412" s="505"/>
      <c r="R1412" s="506"/>
      <c r="S1412" s="506"/>
      <c r="T1412" s="506"/>
      <c r="U1412" s="505"/>
      <c r="V1412" s="505"/>
      <c r="W1412" s="505"/>
      <c r="X1412" s="504"/>
      <c r="Y1412" s="503"/>
      <c r="Z1412" s="503"/>
      <c r="AA1412" s="503"/>
      <c r="AB1412" s="503"/>
      <c r="AC1412" s="503"/>
      <c r="AD1412" s="503"/>
      <c r="AE1412" s="503"/>
      <c r="AF1412" s="503"/>
    </row>
    <row r="1413" spans="1:32" ht="15.75" customHeight="1">
      <c r="A1413" s="503"/>
      <c r="B1413" s="503"/>
      <c r="C1413" s="510"/>
      <c r="D1413" s="510"/>
      <c r="E1413" s="510"/>
      <c r="F1413" s="746"/>
      <c r="G1413" s="510"/>
      <c r="H1413" s="510"/>
      <c r="I1413" s="510"/>
      <c r="J1413" s="510"/>
      <c r="K1413" s="510"/>
      <c r="L1413" s="510"/>
      <c r="M1413" s="509"/>
      <c r="N1413" s="508"/>
      <c r="O1413" s="507"/>
      <c r="P1413" s="507"/>
      <c r="Q1413" s="505"/>
      <c r="R1413" s="506"/>
      <c r="S1413" s="506"/>
      <c r="T1413" s="506"/>
      <c r="U1413" s="505"/>
      <c r="V1413" s="505"/>
      <c r="W1413" s="505"/>
      <c r="X1413" s="504"/>
      <c r="Y1413" s="503"/>
      <c r="Z1413" s="503"/>
      <c r="AA1413" s="503"/>
      <c r="AB1413" s="503"/>
      <c r="AC1413" s="503"/>
      <c r="AD1413" s="503"/>
      <c r="AE1413" s="503"/>
      <c r="AF1413" s="503"/>
    </row>
    <row r="1414" spans="1:32" ht="15.75" customHeight="1">
      <c r="A1414" s="503"/>
      <c r="B1414" s="503"/>
      <c r="C1414" s="510"/>
      <c r="D1414" s="510"/>
      <c r="E1414" s="510"/>
      <c r="F1414" s="746"/>
      <c r="G1414" s="510"/>
      <c r="H1414" s="510"/>
      <c r="I1414" s="510"/>
      <c r="J1414" s="510"/>
      <c r="K1414" s="510"/>
      <c r="L1414" s="510"/>
      <c r="M1414" s="509"/>
      <c r="N1414" s="508"/>
      <c r="O1414" s="507"/>
      <c r="P1414" s="507"/>
      <c r="Q1414" s="505"/>
      <c r="R1414" s="506"/>
      <c r="S1414" s="506"/>
      <c r="T1414" s="506"/>
      <c r="U1414" s="505"/>
      <c r="V1414" s="505"/>
      <c r="W1414" s="505"/>
      <c r="X1414" s="504"/>
      <c r="Y1414" s="503"/>
      <c r="Z1414" s="503"/>
      <c r="AA1414" s="503"/>
      <c r="AB1414" s="503"/>
      <c r="AC1414" s="503"/>
      <c r="AD1414" s="503"/>
      <c r="AE1414" s="503"/>
      <c r="AF1414" s="503"/>
    </row>
    <row r="1415" spans="1:32" ht="15.75" customHeight="1">
      <c r="A1415" s="503"/>
      <c r="B1415" s="503"/>
      <c r="C1415" s="510"/>
      <c r="D1415" s="510"/>
      <c r="E1415" s="510"/>
      <c r="F1415" s="746"/>
      <c r="G1415" s="510"/>
      <c r="H1415" s="510"/>
      <c r="I1415" s="510"/>
      <c r="J1415" s="510"/>
      <c r="K1415" s="510"/>
      <c r="L1415" s="510"/>
      <c r="M1415" s="509"/>
      <c r="N1415" s="508"/>
      <c r="O1415" s="507"/>
      <c r="P1415" s="507"/>
      <c r="Q1415" s="505"/>
      <c r="R1415" s="506"/>
      <c r="S1415" s="506"/>
      <c r="T1415" s="506"/>
      <c r="U1415" s="505"/>
      <c r="V1415" s="505"/>
      <c r="W1415" s="505"/>
      <c r="X1415" s="504"/>
      <c r="Y1415" s="503"/>
      <c r="Z1415" s="503"/>
      <c r="AA1415" s="503"/>
      <c r="AB1415" s="503"/>
      <c r="AC1415" s="503"/>
      <c r="AD1415" s="503"/>
      <c r="AE1415" s="503"/>
      <c r="AF1415" s="503"/>
    </row>
    <row r="1416" spans="1:32" ht="15.75" customHeight="1">
      <c r="A1416" s="503"/>
      <c r="B1416" s="503"/>
      <c r="C1416" s="510"/>
      <c r="D1416" s="510"/>
      <c r="E1416" s="510"/>
      <c r="F1416" s="746"/>
      <c r="G1416" s="510"/>
      <c r="H1416" s="510"/>
      <c r="I1416" s="510"/>
      <c r="J1416" s="510"/>
      <c r="K1416" s="510"/>
      <c r="L1416" s="510"/>
      <c r="M1416" s="509"/>
      <c r="N1416" s="508"/>
      <c r="O1416" s="507"/>
      <c r="P1416" s="507"/>
      <c r="Q1416" s="505"/>
      <c r="R1416" s="506"/>
      <c r="S1416" s="506"/>
      <c r="T1416" s="506"/>
      <c r="U1416" s="505"/>
      <c r="V1416" s="505"/>
      <c r="W1416" s="505"/>
      <c r="X1416" s="504"/>
      <c r="Y1416" s="503"/>
      <c r="Z1416" s="503"/>
      <c r="AA1416" s="503"/>
      <c r="AB1416" s="503"/>
      <c r="AC1416" s="503"/>
      <c r="AD1416" s="503"/>
      <c r="AE1416" s="503"/>
      <c r="AF1416" s="503"/>
    </row>
    <row r="1417" spans="1:32" ht="15.75" customHeight="1">
      <c r="A1417" s="503"/>
      <c r="B1417" s="503"/>
      <c r="C1417" s="510"/>
      <c r="D1417" s="510"/>
      <c r="E1417" s="510"/>
      <c r="F1417" s="746"/>
      <c r="G1417" s="510"/>
      <c r="H1417" s="510"/>
      <c r="I1417" s="510"/>
      <c r="J1417" s="510"/>
      <c r="K1417" s="510"/>
      <c r="L1417" s="510"/>
      <c r="M1417" s="509"/>
      <c r="N1417" s="508"/>
      <c r="O1417" s="507"/>
      <c r="P1417" s="507"/>
      <c r="Q1417" s="505"/>
      <c r="R1417" s="506"/>
      <c r="S1417" s="506"/>
      <c r="T1417" s="506"/>
      <c r="U1417" s="505"/>
      <c r="V1417" s="505"/>
      <c r="W1417" s="505"/>
      <c r="X1417" s="504"/>
      <c r="Y1417" s="503"/>
      <c r="Z1417" s="503"/>
      <c r="AA1417" s="503"/>
      <c r="AB1417" s="503"/>
      <c r="AC1417" s="503"/>
      <c r="AD1417" s="503"/>
      <c r="AE1417" s="503"/>
      <c r="AF1417" s="503"/>
    </row>
    <row r="1418" spans="1:32" ht="15.75" customHeight="1">
      <c r="A1418" s="503"/>
      <c r="B1418" s="503"/>
      <c r="C1418" s="510"/>
      <c r="D1418" s="510"/>
      <c r="E1418" s="510"/>
      <c r="F1418" s="746"/>
      <c r="G1418" s="510"/>
      <c r="H1418" s="510"/>
      <c r="I1418" s="510"/>
      <c r="J1418" s="510"/>
      <c r="K1418" s="510"/>
      <c r="L1418" s="510"/>
      <c r="M1418" s="509"/>
      <c r="N1418" s="508"/>
      <c r="O1418" s="507"/>
      <c r="P1418" s="507"/>
      <c r="Q1418" s="505"/>
      <c r="R1418" s="506"/>
      <c r="S1418" s="506"/>
      <c r="T1418" s="506"/>
      <c r="U1418" s="505"/>
      <c r="V1418" s="505"/>
      <c r="W1418" s="505"/>
      <c r="X1418" s="504"/>
      <c r="Y1418" s="503"/>
      <c r="Z1418" s="503"/>
      <c r="AA1418" s="503"/>
      <c r="AB1418" s="503"/>
      <c r="AC1418" s="503"/>
      <c r="AD1418" s="503"/>
      <c r="AE1418" s="503"/>
      <c r="AF1418" s="503"/>
    </row>
    <row r="1419" spans="1:32" ht="15.75" customHeight="1">
      <c r="A1419" s="503"/>
      <c r="B1419" s="503"/>
      <c r="C1419" s="510"/>
      <c r="D1419" s="510"/>
      <c r="E1419" s="510"/>
      <c r="F1419" s="746"/>
      <c r="G1419" s="510"/>
      <c r="H1419" s="510"/>
      <c r="I1419" s="510"/>
      <c r="J1419" s="510"/>
      <c r="K1419" s="510"/>
      <c r="L1419" s="510"/>
      <c r="M1419" s="509"/>
      <c r="N1419" s="508"/>
      <c r="O1419" s="507"/>
      <c r="P1419" s="507"/>
      <c r="Q1419" s="505"/>
      <c r="R1419" s="506"/>
      <c r="S1419" s="506"/>
      <c r="T1419" s="506"/>
      <c r="U1419" s="505"/>
      <c r="V1419" s="505"/>
      <c r="W1419" s="505"/>
      <c r="X1419" s="504"/>
      <c r="Y1419" s="503"/>
      <c r="Z1419" s="503"/>
      <c r="AA1419" s="503"/>
      <c r="AB1419" s="503"/>
      <c r="AC1419" s="503"/>
      <c r="AD1419" s="503"/>
      <c r="AE1419" s="503"/>
      <c r="AF1419" s="503"/>
    </row>
    <row r="1420" spans="1:32" ht="15.75" customHeight="1">
      <c r="A1420" s="503"/>
      <c r="B1420" s="503"/>
      <c r="C1420" s="510"/>
      <c r="D1420" s="510"/>
      <c r="E1420" s="510"/>
      <c r="F1420" s="746"/>
      <c r="G1420" s="510"/>
      <c r="H1420" s="510"/>
      <c r="I1420" s="510"/>
      <c r="J1420" s="510"/>
      <c r="K1420" s="510"/>
      <c r="L1420" s="510"/>
      <c r="M1420" s="509"/>
      <c r="N1420" s="508"/>
      <c r="O1420" s="507"/>
      <c r="P1420" s="507"/>
      <c r="Q1420" s="505"/>
      <c r="R1420" s="506"/>
      <c r="S1420" s="506"/>
      <c r="T1420" s="506"/>
      <c r="U1420" s="505"/>
      <c r="V1420" s="505"/>
      <c r="W1420" s="505"/>
      <c r="X1420" s="504"/>
      <c r="Y1420" s="503"/>
      <c r="Z1420" s="503"/>
      <c r="AA1420" s="503"/>
      <c r="AB1420" s="503"/>
      <c r="AC1420" s="503"/>
      <c r="AD1420" s="503"/>
      <c r="AE1420" s="503"/>
      <c r="AF1420" s="503"/>
    </row>
    <row r="1421" spans="1:32" ht="15.75" customHeight="1">
      <c r="A1421" s="503"/>
      <c r="B1421" s="503"/>
      <c r="C1421" s="510"/>
      <c r="D1421" s="510"/>
      <c r="E1421" s="510"/>
      <c r="F1421" s="746"/>
      <c r="G1421" s="510"/>
      <c r="H1421" s="510"/>
      <c r="I1421" s="510"/>
      <c r="J1421" s="510"/>
      <c r="K1421" s="510"/>
      <c r="L1421" s="510"/>
      <c r="M1421" s="509"/>
      <c r="N1421" s="508"/>
      <c r="O1421" s="507"/>
      <c r="P1421" s="507"/>
      <c r="Q1421" s="505"/>
      <c r="R1421" s="506"/>
      <c r="S1421" s="506"/>
      <c r="T1421" s="506"/>
      <c r="U1421" s="505"/>
      <c r="V1421" s="505"/>
      <c r="W1421" s="505"/>
      <c r="X1421" s="504"/>
      <c r="Y1421" s="503"/>
      <c r="Z1421" s="503"/>
      <c r="AA1421" s="503"/>
      <c r="AB1421" s="503"/>
      <c r="AC1421" s="503"/>
      <c r="AD1421" s="503"/>
      <c r="AE1421" s="503"/>
      <c r="AF1421" s="503"/>
    </row>
    <row r="1422" spans="1:32" ht="15.75" customHeight="1">
      <c r="A1422" s="503"/>
      <c r="B1422" s="503"/>
      <c r="C1422" s="510"/>
      <c r="D1422" s="510"/>
      <c r="E1422" s="510"/>
      <c r="F1422" s="746"/>
      <c r="G1422" s="510"/>
      <c r="H1422" s="510"/>
      <c r="I1422" s="510"/>
      <c r="J1422" s="510"/>
      <c r="K1422" s="510"/>
      <c r="L1422" s="510"/>
      <c r="M1422" s="509"/>
      <c r="N1422" s="508"/>
      <c r="O1422" s="507"/>
      <c r="P1422" s="507"/>
      <c r="Q1422" s="505"/>
      <c r="R1422" s="506"/>
      <c r="S1422" s="506"/>
      <c r="T1422" s="506"/>
      <c r="U1422" s="505"/>
      <c r="V1422" s="505"/>
      <c r="W1422" s="505"/>
      <c r="X1422" s="504"/>
      <c r="Y1422" s="503"/>
      <c r="Z1422" s="503"/>
      <c r="AA1422" s="503"/>
      <c r="AB1422" s="503"/>
      <c r="AC1422" s="503"/>
      <c r="AD1422" s="503"/>
      <c r="AE1422" s="503"/>
      <c r="AF1422" s="503"/>
    </row>
    <row r="1423" spans="1:32" ht="15.75" customHeight="1">
      <c r="A1423" s="503"/>
      <c r="B1423" s="503"/>
      <c r="C1423" s="510"/>
      <c r="D1423" s="510"/>
      <c r="E1423" s="510"/>
      <c r="F1423" s="746"/>
      <c r="G1423" s="510"/>
      <c r="H1423" s="510"/>
      <c r="I1423" s="510"/>
      <c r="J1423" s="510"/>
      <c r="K1423" s="510"/>
      <c r="L1423" s="510"/>
      <c r="M1423" s="509"/>
      <c r="N1423" s="508"/>
      <c r="O1423" s="507"/>
      <c r="P1423" s="507"/>
      <c r="Q1423" s="505"/>
      <c r="R1423" s="506"/>
      <c r="S1423" s="506"/>
      <c r="T1423" s="506"/>
      <c r="U1423" s="505"/>
      <c r="V1423" s="505"/>
      <c r="W1423" s="505"/>
      <c r="X1423" s="504"/>
      <c r="Y1423" s="503"/>
      <c r="Z1423" s="503"/>
      <c r="AA1423" s="503"/>
      <c r="AB1423" s="503"/>
      <c r="AC1423" s="503"/>
      <c r="AD1423" s="503"/>
      <c r="AE1423" s="503"/>
      <c r="AF1423" s="503"/>
    </row>
    <row r="1424" spans="1:32" ht="15.75" customHeight="1">
      <c r="A1424" s="503"/>
      <c r="B1424" s="503"/>
      <c r="C1424" s="510"/>
      <c r="D1424" s="510"/>
      <c r="E1424" s="510"/>
      <c r="F1424" s="746"/>
      <c r="G1424" s="510"/>
      <c r="H1424" s="510"/>
      <c r="I1424" s="510"/>
      <c r="J1424" s="510"/>
      <c r="K1424" s="510"/>
      <c r="L1424" s="510"/>
      <c r="M1424" s="509"/>
      <c r="N1424" s="508"/>
      <c r="O1424" s="507"/>
      <c r="P1424" s="507"/>
      <c r="Q1424" s="505"/>
      <c r="R1424" s="506"/>
      <c r="S1424" s="506"/>
      <c r="T1424" s="506"/>
      <c r="U1424" s="505"/>
      <c r="V1424" s="505"/>
      <c r="W1424" s="505"/>
      <c r="X1424" s="504"/>
      <c r="Y1424" s="503"/>
      <c r="Z1424" s="503"/>
      <c r="AA1424" s="503"/>
      <c r="AB1424" s="503"/>
      <c r="AC1424" s="503"/>
      <c r="AD1424" s="503"/>
      <c r="AE1424" s="503"/>
      <c r="AF1424" s="503"/>
    </row>
    <row r="1425" spans="1:32" ht="15.75" customHeight="1">
      <c r="A1425" s="503"/>
      <c r="B1425" s="503"/>
      <c r="C1425" s="510"/>
      <c r="D1425" s="510"/>
      <c r="E1425" s="510"/>
      <c r="F1425" s="746"/>
      <c r="G1425" s="510"/>
      <c r="H1425" s="510"/>
      <c r="I1425" s="510"/>
      <c r="J1425" s="510"/>
      <c r="K1425" s="510"/>
      <c r="L1425" s="510"/>
      <c r="M1425" s="509"/>
      <c r="N1425" s="508"/>
      <c r="O1425" s="507"/>
      <c r="P1425" s="507"/>
      <c r="Q1425" s="505"/>
      <c r="R1425" s="506"/>
      <c r="S1425" s="506"/>
      <c r="T1425" s="506"/>
      <c r="U1425" s="505"/>
      <c r="V1425" s="505"/>
      <c r="W1425" s="505"/>
      <c r="X1425" s="504"/>
      <c r="Y1425" s="503"/>
      <c r="Z1425" s="503"/>
      <c r="AA1425" s="503"/>
      <c r="AB1425" s="503"/>
      <c r="AC1425" s="503"/>
      <c r="AD1425" s="503"/>
      <c r="AE1425" s="503"/>
      <c r="AF1425" s="503"/>
    </row>
    <row r="1426" spans="1:32" ht="15.75" customHeight="1">
      <c r="A1426" s="503"/>
      <c r="B1426" s="503"/>
      <c r="C1426" s="510"/>
      <c r="D1426" s="510"/>
      <c r="E1426" s="510"/>
      <c r="F1426" s="746"/>
      <c r="G1426" s="510"/>
      <c r="H1426" s="510"/>
      <c r="I1426" s="510"/>
      <c r="J1426" s="510"/>
      <c r="K1426" s="510"/>
      <c r="L1426" s="510"/>
      <c r="M1426" s="509"/>
      <c r="N1426" s="508"/>
      <c r="O1426" s="507"/>
      <c r="P1426" s="507"/>
      <c r="Q1426" s="505"/>
      <c r="R1426" s="506"/>
      <c r="S1426" s="506"/>
      <c r="T1426" s="506"/>
      <c r="U1426" s="505"/>
      <c r="V1426" s="505"/>
      <c r="W1426" s="505"/>
      <c r="X1426" s="504"/>
      <c r="Y1426" s="503"/>
      <c r="Z1426" s="503"/>
      <c r="AA1426" s="503"/>
      <c r="AB1426" s="503"/>
      <c r="AC1426" s="503"/>
      <c r="AD1426" s="503"/>
      <c r="AE1426" s="503"/>
      <c r="AF1426" s="503"/>
    </row>
    <row r="1427" spans="1:32" ht="15.75" customHeight="1">
      <c r="A1427" s="503"/>
      <c r="B1427" s="503"/>
      <c r="C1427" s="510"/>
      <c r="D1427" s="510"/>
      <c r="E1427" s="510"/>
      <c r="F1427" s="746"/>
      <c r="G1427" s="510"/>
      <c r="H1427" s="510"/>
      <c r="I1427" s="510"/>
      <c r="J1427" s="510"/>
      <c r="K1427" s="510"/>
      <c r="L1427" s="510"/>
      <c r="M1427" s="509"/>
      <c r="N1427" s="508"/>
      <c r="O1427" s="507"/>
      <c r="P1427" s="507"/>
      <c r="Q1427" s="505"/>
      <c r="R1427" s="506"/>
      <c r="S1427" s="506"/>
      <c r="T1427" s="506"/>
      <c r="U1427" s="505"/>
      <c r="V1427" s="505"/>
      <c r="W1427" s="505"/>
      <c r="X1427" s="504"/>
      <c r="Y1427" s="503"/>
      <c r="Z1427" s="503"/>
      <c r="AA1427" s="503"/>
      <c r="AB1427" s="503"/>
      <c r="AC1427" s="503"/>
      <c r="AD1427" s="503"/>
      <c r="AE1427" s="503"/>
      <c r="AF1427" s="503"/>
    </row>
    <row r="1428" spans="1:32" ht="15.75" customHeight="1">
      <c r="A1428" s="503"/>
      <c r="B1428" s="503"/>
      <c r="C1428" s="510"/>
      <c r="D1428" s="510"/>
      <c r="E1428" s="510"/>
      <c r="F1428" s="746"/>
      <c r="G1428" s="510"/>
      <c r="H1428" s="510"/>
      <c r="I1428" s="510"/>
      <c r="J1428" s="510"/>
      <c r="K1428" s="510"/>
      <c r="L1428" s="510"/>
      <c r="M1428" s="509"/>
      <c r="N1428" s="508"/>
      <c r="O1428" s="507"/>
      <c r="P1428" s="507"/>
      <c r="Q1428" s="505"/>
      <c r="R1428" s="506"/>
      <c r="S1428" s="506"/>
      <c r="T1428" s="506"/>
      <c r="U1428" s="505"/>
      <c r="V1428" s="505"/>
      <c r="W1428" s="505"/>
      <c r="X1428" s="504"/>
      <c r="Y1428" s="503"/>
      <c r="Z1428" s="503"/>
      <c r="AA1428" s="503"/>
      <c r="AB1428" s="503"/>
      <c r="AC1428" s="503"/>
      <c r="AD1428" s="503"/>
      <c r="AE1428" s="503"/>
      <c r="AF1428" s="503"/>
    </row>
    <row r="1429" spans="1:32" ht="15.75" customHeight="1">
      <c r="A1429" s="503"/>
      <c r="B1429" s="503"/>
      <c r="C1429" s="510"/>
      <c r="D1429" s="510"/>
      <c r="E1429" s="510"/>
      <c r="F1429" s="746"/>
      <c r="G1429" s="510"/>
      <c r="H1429" s="510"/>
      <c r="I1429" s="510"/>
      <c r="J1429" s="510"/>
      <c r="K1429" s="510"/>
      <c r="L1429" s="510"/>
      <c r="M1429" s="509"/>
      <c r="N1429" s="508"/>
      <c r="O1429" s="507"/>
      <c r="P1429" s="507"/>
      <c r="Q1429" s="505"/>
      <c r="R1429" s="506"/>
      <c r="S1429" s="506"/>
      <c r="T1429" s="506"/>
      <c r="U1429" s="505"/>
      <c r="V1429" s="505"/>
      <c r="W1429" s="505"/>
      <c r="X1429" s="504"/>
      <c r="Y1429" s="503"/>
      <c r="Z1429" s="503"/>
      <c r="AA1429" s="503"/>
      <c r="AB1429" s="503"/>
      <c r="AC1429" s="503"/>
      <c r="AD1429" s="503"/>
      <c r="AE1429" s="503"/>
      <c r="AF1429" s="503"/>
    </row>
    <row r="1430" spans="1:32" ht="15.75" customHeight="1">
      <c r="A1430" s="503"/>
      <c r="B1430" s="503"/>
      <c r="C1430" s="510"/>
      <c r="D1430" s="510"/>
      <c r="E1430" s="510"/>
      <c r="F1430" s="746"/>
      <c r="G1430" s="510"/>
      <c r="H1430" s="510"/>
      <c r="I1430" s="510"/>
      <c r="J1430" s="510"/>
      <c r="K1430" s="510"/>
      <c r="L1430" s="510"/>
      <c r="M1430" s="509"/>
      <c r="N1430" s="508"/>
      <c r="O1430" s="507"/>
      <c r="P1430" s="507"/>
      <c r="Q1430" s="505"/>
      <c r="R1430" s="506"/>
      <c r="S1430" s="506"/>
      <c r="T1430" s="506"/>
      <c r="U1430" s="505"/>
      <c r="V1430" s="505"/>
      <c r="W1430" s="505"/>
      <c r="X1430" s="504"/>
      <c r="Y1430" s="503"/>
      <c r="Z1430" s="503"/>
      <c r="AA1430" s="503"/>
      <c r="AB1430" s="503"/>
      <c r="AC1430" s="503"/>
      <c r="AD1430" s="503"/>
      <c r="AE1430" s="503"/>
      <c r="AF1430" s="503"/>
    </row>
    <row r="1431" spans="1:32" ht="15.75" customHeight="1">
      <c r="A1431" s="503"/>
      <c r="B1431" s="503"/>
      <c r="C1431" s="510"/>
      <c r="D1431" s="510"/>
      <c r="E1431" s="510"/>
      <c r="F1431" s="746"/>
      <c r="G1431" s="510"/>
      <c r="H1431" s="510"/>
      <c r="I1431" s="510"/>
      <c r="J1431" s="510"/>
      <c r="K1431" s="510"/>
      <c r="L1431" s="510"/>
      <c r="M1431" s="509"/>
      <c r="N1431" s="508"/>
      <c r="O1431" s="507"/>
      <c r="P1431" s="507"/>
      <c r="Q1431" s="505"/>
      <c r="R1431" s="506"/>
      <c r="S1431" s="506"/>
      <c r="T1431" s="506"/>
      <c r="U1431" s="505"/>
      <c r="V1431" s="505"/>
      <c r="W1431" s="505"/>
      <c r="X1431" s="504"/>
      <c r="Y1431" s="503"/>
      <c r="Z1431" s="503"/>
      <c r="AA1431" s="503"/>
      <c r="AB1431" s="503"/>
      <c r="AC1431" s="503"/>
      <c r="AD1431" s="503"/>
      <c r="AE1431" s="503"/>
      <c r="AF1431" s="503"/>
    </row>
    <row r="1432" spans="1:32" ht="15.75" customHeight="1">
      <c r="A1432" s="503"/>
      <c r="B1432" s="503"/>
      <c r="C1432" s="510"/>
      <c r="D1432" s="510"/>
      <c r="E1432" s="510"/>
      <c r="F1432" s="746"/>
      <c r="G1432" s="510"/>
      <c r="H1432" s="510"/>
      <c r="I1432" s="510"/>
      <c r="J1432" s="510"/>
      <c r="K1432" s="510"/>
      <c r="L1432" s="510"/>
      <c r="M1432" s="509"/>
      <c r="N1432" s="508"/>
      <c r="O1432" s="507"/>
      <c r="P1432" s="507"/>
      <c r="Q1432" s="505"/>
      <c r="R1432" s="506"/>
      <c r="S1432" s="506"/>
      <c r="T1432" s="506"/>
      <c r="U1432" s="505"/>
      <c r="V1432" s="505"/>
      <c r="W1432" s="505"/>
      <c r="X1432" s="504"/>
      <c r="Y1432" s="503"/>
      <c r="Z1432" s="503"/>
      <c r="AA1432" s="503"/>
      <c r="AB1432" s="503"/>
      <c r="AC1432" s="503"/>
      <c r="AD1432" s="503"/>
      <c r="AE1432" s="503"/>
      <c r="AF1432" s="503"/>
    </row>
    <row r="1433" spans="1:32" ht="15.75" customHeight="1">
      <c r="A1433" s="503"/>
      <c r="B1433" s="503"/>
      <c r="C1433" s="510"/>
      <c r="D1433" s="510"/>
      <c r="E1433" s="510"/>
      <c r="F1433" s="746"/>
      <c r="G1433" s="510"/>
      <c r="H1433" s="510"/>
      <c r="I1433" s="510"/>
      <c r="J1433" s="510"/>
      <c r="K1433" s="510"/>
      <c r="L1433" s="510"/>
      <c r="M1433" s="509"/>
      <c r="N1433" s="508"/>
      <c r="O1433" s="507"/>
      <c r="P1433" s="507"/>
      <c r="Q1433" s="505"/>
      <c r="R1433" s="506"/>
      <c r="S1433" s="506"/>
      <c r="T1433" s="506"/>
      <c r="U1433" s="505"/>
      <c r="V1433" s="505"/>
      <c r="W1433" s="505"/>
      <c r="X1433" s="504"/>
      <c r="Y1433" s="503"/>
      <c r="Z1433" s="503"/>
      <c r="AA1433" s="503"/>
      <c r="AB1433" s="503"/>
      <c r="AC1433" s="503"/>
      <c r="AD1433" s="503"/>
      <c r="AE1433" s="503"/>
      <c r="AF1433" s="503"/>
    </row>
    <row r="1434" spans="1:32" ht="15.75" customHeight="1">
      <c r="A1434" s="503"/>
      <c r="B1434" s="503"/>
      <c r="C1434" s="510"/>
      <c r="D1434" s="510"/>
      <c r="E1434" s="510"/>
      <c r="F1434" s="746"/>
      <c r="G1434" s="510"/>
      <c r="H1434" s="510"/>
      <c r="I1434" s="510"/>
      <c r="J1434" s="510"/>
      <c r="K1434" s="510"/>
      <c r="L1434" s="510"/>
      <c r="M1434" s="509"/>
      <c r="N1434" s="508"/>
      <c r="O1434" s="507"/>
      <c r="P1434" s="507"/>
      <c r="Q1434" s="505"/>
      <c r="R1434" s="506"/>
      <c r="S1434" s="506"/>
      <c r="T1434" s="506"/>
      <c r="U1434" s="505"/>
      <c r="V1434" s="505"/>
      <c r="W1434" s="505"/>
      <c r="X1434" s="504"/>
      <c r="Y1434" s="503"/>
      <c r="Z1434" s="503"/>
      <c r="AA1434" s="503"/>
      <c r="AB1434" s="503"/>
      <c r="AC1434" s="503"/>
      <c r="AD1434" s="503"/>
      <c r="AE1434" s="503"/>
      <c r="AF1434" s="503"/>
    </row>
    <row r="1435" spans="1:32" ht="15.75" customHeight="1">
      <c r="A1435" s="503"/>
      <c r="B1435" s="503"/>
      <c r="C1435" s="510"/>
      <c r="D1435" s="510"/>
      <c r="E1435" s="510"/>
      <c r="F1435" s="746"/>
      <c r="G1435" s="510"/>
      <c r="H1435" s="510"/>
      <c r="I1435" s="510"/>
      <c r="J1435" s="510"/>
      <c r="K1435" s="510"/>
      <c r="L1435" s="510"/>
      <c r="M1435" s="509"/>
      <c r="N1435" s="508"/>
      <c r="O1435" s="507"/>
      <c r="P1435" s="507"/>
      <c r="Q1435" s="505"/>
      <c r="R1435" s="506"/>
      <c r="S1435" s="506"/>
      <c r="T1435" s="506"/>
      <c r="U1435" s="505"/>
      <c r="V1435" s="505"/>
      <c r="W1435" s="505"/>
      <c r="X1435" s="504"/>
      <c r="Y1435" s="503"/>
      <c r="Z1435" s="503"/>
      <c r="AA1435" s="503"/>
      <c r="AB1435" s="503"/>
      <c r="AC1435" s="503"/>
      <c r="AD1435" s="503"/>
      <c r="AE1435" s="503"/>
      <c r="AF1435" s="503"/>
    </row>
    <row r="1436" spans="1:32" ht="15.75" customHeight="1">
      <c r="A1436" s="503"/>
      <c r="B1436" s="503"/>
      <c r="C1436" s="510"/>
      <c r="D1436" s="510"/>
      <c r="E1436" s="510"/>
      <c r="F1436" s="746"/>
      <c r="G1436" s="510"/>
      <c r="H1436" s="510"/>
      <c r="I1436" s="510"/>
      <c r="J1436" s="510"/>
      <c r="K1436" s="510"/>
      <c r="L1436" s="510"/>
      <c r="M1436" s="509"/>
      <c r="N1436" s="508"/>
      <c r="O1436" s="507"/>
      <c r="P1436" s="507"/>
      <c r="Q1436" s="505"/>
      <c r="R1436" s="506"/>
      <c r="S1436" s="506"/>
      <c r="T1436" s="506"/>
      <c r="U1436" s="505"/>
      <c r="V1436" s="505"/>
      <c r="W1436" s="505"/>
      <c r="X1436" s="504"/>
      <c r="Y1436" s="503"/>
      <c r="Z1436" s="503"/>
      <c r="AA1436" s="503"/>
      <c r="AB1436" s="503"/>
      <c r="AC1436" s="503"/>
      <c r="AD1436" s="503"/>
      <c r="AE1436" s="503"/>
      <c r="AF1436" s="503"/>
    </row>
    <row r="1437" spans="1:32" ht="15.75" customHeight="1">
      <c r="A1437" s="503"/>
      <c r="B1437" s="503"/>
      <c r="C1437" s="510"/>
      <c r="D1437" s="510"/>
      <c r="E1437" s="510"/>
      <c r="F1437" s="746"/>
      <c r="G1437" s="510"/>
      <c r="H1437" s="510"/>
      <c r="I1437" s="510"/>
      <c r="J1437" s="510"/>
      <c r="K1437" s="510"/>
      <c r="L1437" s="510"/>
      <c r="M1437" s="509"/>
      <c r="N1437" s="508"/>
      <c r="O1437" s="507"/>
      <c r="P1437" s="507"/>
      <c r="Q1437" s="505"/>
      <c r="R1437" s="506"/>
      <c r="S1437" s="506"/>
      <c r="T1437" s="506"/>
      <c r="U1437" s="505"/>
      <c r="V1437" s="505"/>
      <c r="W1437" s="505"/>
      <c r="X1437" s="504"/>
      <c r="Y1437" s="503"/>
      <c r="Z1437" s="503"/>
      <c r="AA1437" s="503"/>
      <c r="AB1437" s="503"/>
      <c r="AC1437" s="503"/>
      <c r="AD1437" s="503"/>
      <c r="AE1437" s="503"/>
      <c r="AF1437" s="503"/>
    </row>
    <row r="1438" spans="1:32" ht="15.75" customHeight="1">
      <c r="A1438" s="503"/>
      <c r="B1438" s="503"/>
      <c r="C1438" s="510"/>
      <c r="D1438" s="510"/>
      <c r="E1438" s="510"/>
      <c r="F1438" s="746"/>
      <c r="G1438" s="510"/>
      <c r="H1438" s="510"/>
      <c r="I1438" s="510"/>
      <c r="J1438" s="510"/>
      <c r="K1438" s="510"/>
      <c r="L1438" s="510"/>
      <c r="M1438" s="509"/>
      <c r="N1438" s="508"/>
      <c r="O1438" s="507"/>
      <c r="P1438" s="507"/>
      <c r="Q1438" s="505"/>
      <c r="R1438" s="506"/>
      <c r="S1438" s="506"/>
      <c r="T1438" s="506"/>
      <c r="U1438" s="505"/>
      <c r="V1438" s="505"/>
      <c r="W1438" s="505"/>
      <c r="X1438" s="504"/>
      <c r="Y1438" s="503"/>
      <c r="Z1438" s="503"/>
      <c r="AA1438" s="503"/>
      <c r="AB1438" s="503"/>
      <c r="AC1438" s="503"/>
      <c r="AD1438" s="503"/>
      <c r="AE1438" s="503"/>
      <c r="AF1438" s="503"/>
    </row>
    <row r="1439" spans="1:32" ht="15.75" customHeight="1">
      <c r="A1439" s="503"/>
      <c r="B1439" s="503"/>
      <c r="C1439" s="510"/>
      <c r="D1439" s="510"/>
      <c r="E1439" s="510"/>
      <c r="F1439" s="746"/>
      <c r="G1439" s="510"/>
      <c r="H1439" s="510"/>
      <c r="I1439" s="510"/>
      <c r="J1439" s="510"/>
      <c r="K1439" s="510"/>
      <c r="L1439" s="510"/>
      <c r="M1439" s="509"/>
      <c r="N1439" s="508"/>
      <c r="O1439" s="507"/>
      <c r="P1439" s="507"/>
      <c r="Q1439" s="505"/>
      <c r="R1439" s="506"/>
      <c r="S1439" s="506"/>
      <c r="T1439" s="506"/>
      <c r="U1439" s="505"/>
      <c r="V1439" s="505"/>
      <c r="W1439" s="505"/>
      <c r="X1439" s="504"/>
      <c r="Y1439" s="503"/>
      <c r="Z1439" s="503"/>
      <c r="AA1439" s="503"/>
      <c r="AB1439" s="503"/>
      <c r="AC1439" s="503"/>
      <c r="AD1439" s="503"/>
      <c r="AE1439" s="503"/>
      <c r="AF1439" s="503"/>
    </row>
    <row r="1440" spans="1:32" ht="15.75" customHeight="1">
      <c r="A1440" s="503"/>
      <c r="B1440" s="503"/>
      <c r="C1440" s="510"/>
      <c r="D1440" s="510"/>
      <c r="E1440" s="510"/>
      <c r="F1440" s="746"/>
      <c r="G1440" s="510"/>
      <c r="H1440" s="510"/>
      <c r="I1440" s="510"/>
      <c r="J1440" s="510"/>
      <c r="K1440" s="510"/>
      <c r="L1440" s="510"/>
      <c r="M1440" s="509"/>
      <c r="N1440" s="508"/>
      <c r="O1440" s="507"/>
      <c r="P1440" s="507"/>
      <c r="Q1440" s="505"/>
      <c r="R1440" s="506"/>
      <c r="S1440" s="506"/>
      <c r="T1440" s="506"/>
      <c r="U1440" s="505"/>
      <c r="V1440" s="505"/>
      <c r="W1440" s="505"/>
      <c r="X1440" s="504"/>
      <c r="Y1440" s="503"/>
      <c r="Z1440" s="503"/>
      <c r="AA1440" s="503"/>
      <c r="AB1440" s="503"/>
      <c r="AC1440" s="503"/>
      <c r="AD1440" s="503"/>
      <c r="AE1440" s="503"/>
      <c r="AF1440" s="503"/>
    </row>
    <row r="1441" spans="1:32" ht="15.75" customHeight="1">
      <c r="A1441" s="503"/>
      <c r="B1441" s="503"/>
      <c r="C1441" s="510"/>
      <c r="D1441" s="510"/>
      <c r="E1441" s="510"/>
      <c r="F1441" s="746"/>
      <c r="G1441" s="510"/>
      <c r="H1441" s="510"/>
      <c r="I1441" s="510"/>
      <c r="J1441" s="510"/>
      <c r="K1441" s="510"/>
      <c r="L1441" s="510"/>
      <c r="M1441" s="509"/>
      <c r="N1441" s="508"/>
      <c r="O1441" s="507"/>
      <c r="P1441" s="507"/>
      <c r="Q1441" s="505"/>
      <c r="R1441" s="506"/>
      <c r="S1441" s="506"/>
      <c r="T1441" s="506"/>
      <c r="U1441" s="505"/>
      <c r="V1441" s="505"/>
      <c r="W1441" s="505"/>
      <c r="X1441" s="504"/>
      <c r="Y1441" s="503"/>
      <c r="Z1441" s="503"/>
      <c r="AA1441" s="503"/>
      <c r="AB1441" s="503"/>
      <c r="AC1441" s="503"/>
      <c r="AD1441" s="503"/>
      <c r="AE1441" s="503"/>
      <c r="AF1441" s="503"/>
    </row>
    <row r="1442" spans="1:32" ht="15.75" customHeight="1">
      <c r="A1442" s="503"/>
      <c r="B1442" s="503"/>
      <c r="C1442" s="510"/>
      <c r="D1442" s="510"/>
      <c r="E1442" s="510"/>
      <c r="F1442" s="746"/>
      <c r="G1442" s="510"/>
      <c r="H1442" s="510"/>
      <c r="I1442" s="510"/>
      <c r="J1442" s="510"/>
      <c r="K1442" s="510"/>
      <c r="L1442" s="510"/>
      <c r="M1442" s="509"/>
      <c r="N1442" s="508"/>
      <c r="O1442" s="507"/>
      <c r="P1442" s="507"/>
      <c r="Q1442" s="505"/>
      <c r="R1442" s="506"/>
      <c r="S1442" s="506"/>
      <c r="T1442" s="506"/>
      <c r="U1442" s="505"/>
      <c r="V1442" s="505"/>
      <c r="W1442" s="505"/>
      <c r="X1442" s="504"/>
      <c r="Y1442" s="503"/>
      <c r="Z1442" s="503"/>
      <c r="AA1442" s="503"/>
      <c r="AB1442" s="503"/>
      <c r="AC1442" s="503"/>
      <c r="AD1442" s="503"/>
      <c r="AE1442" s="503"/>
      <c r="AF1442" s="503"/>
    </row>
    <row r="1443" spans="1:32" ht="15.75" customHeight="1">
      <c r="A1443" s="503"/>
      <c r="B1443" s="503"/>
      <c r="C1443" s="510"/>
      <c r="D1443" s="510"/>
      <c r="E1443" s="510"/>
      <c r="F1443" s="746"/>
      <c r="G1443" s="510"/>
      <c r="H1443" s="510"/>
      <c r="I1443" s="510"/>
      <c r="J1443" s="510"/>
      <c r="K1443" s="510"/>
      <c r="L1443" s="510"/>
      <c r="M1443" s="509"/>
      <c r="N1443" s="508"/>
      <c r="O1443" s="507"/>
      <c r="P1443" s="507"/>
      <c r="Q1443" s="505"/>
      <c r="R1443" s="506"/>
      <c r="S1443" s="506"/>
      <c r="T1443" s="506"/>
      <c r="U1443" s="505"/>
      <c r="V1443" s="505"/>
      <c r="W1443" s="505"/>
      <c r="X1443" s="504"/>
      <c r="Y1443" s="503"/>
      <c r="Z1443" s="503"/>
      <c r="AA1443" s="503"/>
      <c r="AB1443" s="503"/>
      <c r="AC1443" s="503"/>
      <c r="AD1443" s="503"/>
      <c r="AE1443" s="503"/>
      <c r="AF1443" s="503"/>
    </row>
    <row r="1444" spans="1:32" ht="15.75" customHeight="1">
      <c r="A1444" s="503"/>
      <c r="B1444" s="503"/>
      <c r="C1444" s="510"/>
      <c r="D1444" s="510"/>
      <c r="E1444" s="510"/>
      <c r="F1444" s="746"/>
      <c r="G1444" s="510"/>
      <c r="H1444" s="510"/>
      <c r="I1444" s="510"/>
      <c r="J1444" s="510"/>
      <c r="K1444" s="510"/>
      <c r="L1444" s="510"/>
      <c r="M1444" s="509"/>
      <c r="N1444" s="508"/>
      <c r="O1444" s="507"/>
      <c r="P1444" s="507"/>
      <c r="Q1444" s="505"/>
      <c r="R1444" s="506"/>
      <c r="S1444" s="506"/>
      <c r="T1444" s="506"/>
      <c r="U1444" s="505"/>
      <c r="V1444" s="505"/>
      <c r="W1444" s="505"/>
      <c r="X1444" s="504"/>
      <c r="Y1444" s="503"/>
      <c r="Z1444" s="503"/>
      <c r="AA1444" s="503"/>
      <c r="AB1444" s="503"/>
      <c r="AC1444" s="503"/>
      <c r="AD1444" s="503"/>
      <c r="AE1444" s="503"/>
      <c r="AF1444" s="503"/>
    </row>
    <row r="1445" spans="1:32" ht="15.75" customHeight="1">
      <c r="A1445" s="503"/>
      <c r="B1445" s="503"/>
      <c r="C1445" s="510"/>
      <c r="D1445" s="510"/>
      <c r="E1445" s="510"/>
      <c r="F1445" s="746"/>
      <c r="G1445" s="510"/>
      <c r="H1445" s="510"/>
      <c r="I1445" s="510"/>
      <c r="J1445" s="510"/>
      <c r="K1445" s="510"/>
      <c r="L1445" s="510"/>
      <c r="M1445" s="509"/>
      <c r="N1445" s="508"/>
      <c r="O1445" s="507"/>
      <c r="P1445" s="507"/>
      <c r="Q1445" s="505"/>
      <c r="R1445" s="506"/>
      <c r="S1445" s="506"/>
      <c r="T1445" s="506"/>
      <c r="U1445" s="505"/>
      <c r="V1445" s="505"/>
      <c r="W1445" s="505"/>
      <c r="X1445" s="504"/>
      <c r="Y1445" s="503"/>
      <c r="Z1445" s="503"/>
      <c r="AA1445" s="503"/>
      <c r="AB1445" s="503"/>
      <c r="AC1445" s="503"/>
      <c r="AD1445" s="503"/>
      <c r="AE1445" s="503"/>
      <c r="AF1445" s="503"/>
    </row>
    <row r="1446" spans="1:32" ht="15.75" customHeight="1">
      <c r="A1446" s="503"/>
      <c r="B1446" s="503"/>
      <c r="C1446" s="510"/>
      <c r="D1446" s="510"/>
      <c r="E1446" s="510"/>
      <c r="F1446" s="746"/>
      <c r="G1446" s="510"/>
      <c r="H1446" s="510"/>
      <c r="I1446" s="510"/>
      <c r="J1446" s="510"/>
      <c r="K1446" s="510"/>
      <c r="L1446" s="510"/>
      <c r="M1446" s="509"/>
      <c r="N1446" s="508"/>
      <c r="O1446" s="507"/>
      <c r="P1446" s="507"/>
      <c r="Q1446" s="505"/>
      <c r="R1446" s="506"/>
      <c r="S1446" s="506"/>
      <c r="T1446" s="506"/>
      <c r="U1446" s="505"/>
      <c r="V1446" s="505"/>
      <c r="W1446" s="505"/>
      <c r="X1446" s="504"/>
      <c r="Y1446" s="503"/>
      <c r="Z1446" s="503"/>
      <c r="AA1446" s="503"/>
      <c r="AB1446" s="503"/>
      <c r="AC1446" s="503"/>
      <c r="AD1446" s="503"/>
      <c r="AE1446" s="503"/>
      <c r="AF1446" s="503"/>
    </row>
    <row r="1447" spans="1:32" ht="15.75" customHeight="1">
      <c r="A1447" s="503"/>
      <c r="B1447" s="503"/>
      <c r="C1447" s="510"/>
      <c r="D1447" s="510"/>
      <c r="E1447" s="510"/>
      <c r="F1447" s="746"/>
      <c r="G1447" s="510"/>
      <c r="H1447" s="510"/>
      <c r="I1447" s="510"/>
      <c r="J1447" s="510"/>
      <c r="K1447" s="510"/>
      <c r="L1447" s="510"/>
      <c r="M1447" s="509"/>
      <c r="N1447" s="508"/>
      <c r="O1447" s="507"/>
      <c r="P1447" s="507"/>
      <c r="Q1447" s="505"/>
      <c r="R1447" s="506"/>
      <c r="S1447" s="506"/>
      <c r="T1447" s="506"/>
      <c r="U1447" s="505"/>
      <c r="V1447" s="505"/>
      <c r="W1447" s="505"/>
      <c r="X1447" s="504"/>
      <c r="Y1447" s="503"/>
      <c r="Z1447" s="503"/>
      <c r="AA1447" s="503"/>
      <c r="AB1447" s="503"/>
      <c r="AC1447" s="503"/>
      <c r="AD1447" s="503"/>
      <c r="AE1447" s="503"/>
      <c r="AF1447" s="503"/>
    </row>
    <row r="1448" spans="1:32" ht="15.75" customHeight="1">
      <c r="A1448" s="503"/>
      <c r="B1448" s="503"/>
      <c r="C1448" s="510"/>
      <c r="D1448" s="510"/>
      <c r="E1448" s="510"/>
      <c r="F1448" s="746"/>
      <c r="G1448" s="510"/>
      <c r="H1448" s="510"/>
      <c r="I1448" s="510"/>
      <c r="J1448" s="510"/>
      <c r="K1448" s="510"/>
      <c r="L1448" s="510"/>
      <c r="M1448" s="509"/>
      <c r="N1448" s="508"/>
      <c r="O1448" s="507"/>
      <c r="P1448" s="507"/>
      <c r="Q1448" s="505"/>
      <c r="R1448" s="506"/>
      <c r="S1448" s="506"/>
      <c r="T1448" s="506"/>
      <c r="U1448" s="505"/>
      <c r="V1448" s="505"/>
      <c r="W1448" s="505"/>
      <c r="X1448" s="504"/>
      <c r="Y1448" s="503"/>
      <c r="Z1448" s="503"/>
      <c r="AA1448" s="503"/>
      <c r="AB1448" s="503"/>
      <c r="AC1448" s="503"/>
      <c r="AD1448" s="503"/>
      <c r="AE1448" s="503"/>
      <c r="AF1448" s="503"/>
    </row>
    <row r="1449" spans="1:32" ht="15.75" customHeight="1">
      <c r="A1449" s="503"/>
      <c r="B1449" s="503"/>
      <c r="C1449" s="510"/>
      <c r="D1449" s="510"/>
      <c r="E1449" s="510"/>
      <c r="F1449" s="746"/>
      <c r="G1449" s="510"/>
      <c r="H1449" s="510"/>
      <c r="I1449" s="510"/>
      <c r="J1449" s="510"/>
      <c r="K1449" s="510"/>
      <c r="L1449" s="510"/>
      <c r="M1449" s="509"/>
      <c r="N1449" s="508"/>
      <c r="O1449" s="507"/>
      <c r="P1449" s="507"/>
      <c r="Q1449" s="505"/>
      <c r="R1449" s="506"/>
      <c r="S1449" s="506"/>
      <c r="T1449" s="506"/>
      <c r="U1449" s="505"/>
      <c r="V1449" s="505"/>
      <c r="W1449" s="505"/>
      <c r="X1449" s="504"/>
      <c r="Y1449" s="503"/>
      <c r="Z1449" s="503"/>
      <c r="AA1449" s="503"/>
      <c r="AB1449" s="503"/>
      <c r="AC1449" s="503"/>
      <c r="AD1449" s="503"/>
      <c r="AE1449" s="503"/>
      <c r="AF1449" s="503"/>
    </row>
    <row r="1450" spans="1:32" ht="15.75" customHeight="1">
      <c r="A1450" s="503"/>
      <c r="B1450" s="503"/>
      <c r="C1450" s="510"/>
      <c r="D1450" s="510"/>
      <c r="E1450" s="510"/>
      <c r="F1450" s="746"/>
      <c r="G1450" s="510"/>
      <c r="H1450" s="510"/>
      <c r="I1450" s="510"/>
      <c r="J1450" s="510"/>
      <c r="K1450" s="510"/>
      <c r="L1450" s="510"/>
      <c r="M1450" s="509"/>
      <c r="N1450" s="508"/>
      <c r="O1450" s="507"/>
      <c r="P1450" s="507"/>
      <c r="Q1450" s="505"/>
      <c r="R1450" s="506"/>
      <c r="S1450" s="506"/>
      <c r="T1450" s="506"/>
      <c r="U1450" s="505"/>
      <c r="V1450" s="505"/>
      <c r="W1450" s="505"/>
      <c r="X1450" s="504"/>
      <c r="Y1450" s="503"/>
      <c r="Z1450" s="503"/>
      <c r="AA1450" s="503"/>
      <c r="AB1450" s="503"/>
      <c r="AC1450" s="503"/>
      <c r="AD1450" s="503"/>
      <c r="AE1450" s="503"/>
      <c r="AF1450" s="503"/>
    </row>
    <row r="1451" spans="1:32" ht="15.75" customHeight="1">
      <c r="A1451" s="503"/>
      <c r="B1451" s="503"/>
      <c r="C1451" s="510"/>
      <c r="D1451" s="510"/>
      <c r="E1451" s="510"/>
      <c r="F1451" s="746"/>
      <c r="G1451" s="510"/>
      <c r="H1451" s="510"/>
      <c r="I1451" s="510"/>
      <c r="J1451" s="510"/>
      <c r="K1451" s="510"/>
      <c r="L1451" s="510"/>
      <c r="M1451" s="509"/>
      <c r="N1451" s="508"/>
      <c r="O1451" s="507"/>
      <c r="P1451" s="507"/>
      <c r="Q1451" s="505"/>
      <c r="R1451" s="506"/>
      <c r="S1451" s="506"/>
      <c r="T1451" s="506"/>
      <c r="U1451" s="505"/>
      <c r="V1451" s="505"/>
      <c r="W1451" s="505"/>
      <c r="X1451" s="504"/>
      <c r="Y1451" s="503"/>
      <c r="Z1451" s="503"/>
      <c r="AA1451" s="503"/>
      <c r="AB1451" s="503"/>
      <c r="AC1451" s="503"/>
      <c r="AD1451" s="503"/>
      <c r="AE1451" s="503"/>
      <c r="AF1451" s="503"/>
    </row>
    <row r="1452" spans="1:32" ht="15.75" customHeight="1">
      <c r="A1452" s="503"/>
      <c r="B1452" s="503"/>
      <c r="C1452" s="510"/>
      <c r="D1452" s="510"/>
      <c r="E1452" s="510"/>
      <c r="F1452" s="746"/>
      <c r="G1452" s="510"/>
      <c r="H1452" s="510"/>
      <c r="I1452" s="510"/>
      <c r="J1452" s="510"/>
      <c r="K1452" s="510"/>
      <c r="L1452" s="510"/>
      <c r="M1452" s="509"/>
      <c r="N1452" s="508"/>
      <c r="O1452" s="507"/>
      <c r="P1452" s="507"/>
      <c r="Q1452" s="505"/>
      <c r="R1452" s="506"/>
      <c r="S1452" s="506"/>
      <c r="T1452" s="506"/>
      <c r="U1452" s="505"/>
      <c r="V1452" s="505"/>
      <c r="W1452" s="505"/>
      <c r="X1452" s="504"/>
      <c r="Y1452" s="503"/>
      <c r="Z1452" s="503"/>
      <c r="AA1452" s="503"/>
      <c r="AB1452" s="503"/>
      <c r="AC1452" s="503"/>
      <c r="AD1452" s="503"/>
      <c r="AE1452" s="503"/>
      <c r="AF1452" s="503"/>
    </row>
    <row r="1453" spans="1:32" ht="15.75" customHeight="1">
      <c r="A1453" s="503"/>
      <c r="B1453" s="503"/>
      <c r="C1453" s="510"/>
      <c r="D1453" s="510"/>
      <c r="E1453" s="510"/>
      <c r="F1453" s="746"/>
      <c r="G1453" s="510"/>
      <c r="H1453" s="510"/>
      <c r="I1453" s="510"/>
      <c r="J1453" s="510"/>
      <c r="K1453" s="510"/>
      <c r="L1453" s="510"/>
      <c r="M1453" s="509"/>
      <c r="N1453" s="508"/>
      <c r="O1453" s="507"/>
      <c r="P1453" s="507"/>
      <c r="Q1453" s="505"/>
      <c r="R1453" s="506"/>
      <c r="S1453" s="506"/>
      <c r="T1453" s="506"/>
      <c r="U1453" s="505"/>
      <c r="V1453" s="505"/>
      <c r="W1453" s="505"/>
      <c r="X1453" s="504"/>
      <c r="Y1453" s="503"/>
      <c r="Z1453" s="503"/>
      <c r="AA1453" s="503"/>
      <c r="AB1453" s="503"/>
      <c r="AC1453" s="503"/>
      <c r="AD1453" s="503"/>
      <c r="AE1453" s="503"/>
      <c r="AF1453" s="503"/>
    </row>
    <row r="1454" spans="1:32" ht="15.75" customHeight="1">
      <c r="A1454" s="503"/>
      <c r="B1454" s="503"/>
      <c r="C1454" s="510"/>
      <c r="D1454" s="510"/>
      <c r="E1454" s="510"/>
      <c r="F1454" s="746"/>
      <c r="G1454" s="510"/>
      <c r="H1454" s="510"/>
      <c r="I1454" s="510"/>
      <c r="J1454" s="510"/>
      <c r="K1454" s="510"/>
      <c r="L1454" s="510"/>
      <c r="M1454" s="509"/>
      <c r="N1454" s="508"/>
      <c r="O1454" s="507"/>
      <c r="P1454" s="507"/>
      <c r="Q1454" s="505"/>
      <c r="R1454" s="506"/>
      <c r="S1454" s="506"/>
      <c r="T1454" s="506"/>
      <c r="U1454" s="505"/>
      <c r="V1454" s="505"/>
      <c r="W1454" s="505"/>
      <c r="X1454" s="504"/>
      <c r="Y1454" s="503"/>
      <c r="Z1454" s="503"/>
      <c r="AA1454" s="503"/>
      <c r="AB1454" s="503"/>
      <c r="AC1454" s="503"/>
      <c r="AD1454" s="503"/>
      <c r="AE1454" s="503"/>
      <c r="AF1454" s="503"/>
    </row>
    <row r="1455" spans="1:32" ht="15.75" customHeight="1">
      <c r="A1455" s="503"/>
      <c r="B1455" s="503"/>
      <c r="C1455" s="510"/>
      <c r="D1455" s="510"/>
      <c r="E1455" s="510"/>
      <c r="F1455" s="746"/>
      <c r="G1455" s="510"/>
      <c r="H1455" s="510"/>
      <c r="I1455" s="510"/>
      <c r="J1455" s="510"/>
      <c r="K1455" s="510"/>
      <c r="L1455" s="510"/>
      <c r="M1455" s="509"/>
      <c r="N1455" s="508"/>
      <c r="O1455" s="507"/>
      <c r="P1455" s="507"/>
      <c r="Q1455" s="505"/>
      <c r="R1455" s="506"/>
      <c r="S1455" s="506"/>
      <c r="T1455" s="506"/>
      <c r="U1455" s="505"/>
      <c r="V1455" s="505"/>
      <c r="W1455" s="505"/>
      <c r="X1455" s="504"/>
      <c r="Y1455" s="503"/>
      <c r="Z1455" s="503"/>
      <c r="AA1455" s="503"/>
      <c r="AB1455" s="503"/>
      <c r="AC1455" s="503"/>
      <c r="AD1455" s="503"/>
      <c r="AE1455" s="503"/>
      <c r="AF1455" s="503"/>
    </row>
    <row r="1456" spans="1:32" ht="15.75" customHeight="1">
      <c r="A1456" s="503"/>
      <c r="B1456" s="503"/>
      <c r="C1456" s="510"/>
      <c r="D1456" s="510"/>
      <c r="E1456" s="510"/>
      <c r="F1456" s="746"/>
      <c r="G1456" s="510"/>
      <c r="H1456" s="510"/>
      <c r="I1456" s="510"/>
      <c r="J1456" s="510"/>
      <c r="K1456" s="510"/>
      <c r="L1456" s="510"/>
      <c r="M1456" s="509"/>
      <c r="N1456" s="508"/>
      <c r="O1456" s="507"/>
      <c r="P1456" s="507"/>
      <c r="Q1456" s="505"/>
      <c r="R1456" s="506"/>
      <c r="S1456" s="506"/>
      <c r="T1456" s="506"/>
      <c r="U1456" s="505"/>
      <c r="V1456" s="505"/>
      <c r="W1456" s="505"/>
      <c r="X1456" s="504"/>
      <c r="Y1456" s="503"/>
      <c r="Z1456" s="503"/>
      <c r="AA1456" s="503"/>
      <c r="AB1456" s="503"/>
      <c r="AC1456" s="503"/>
      <c r="AD1456" s="503"/>
      <c r="AE1456" s="503"/>
      <c r="AF1456" s="503"/>
    </row>
    <row r="1457" spans="1:32" ht="15.75" customHeight="1">
      <c r="A1457" s="503"/>
      <c r="B1457" s="503"/>
      <c r="C1457" s="510"/>
      <c r="D1457" s="510"/>
      <c r="E1457" s="510"/>
      <c r="F1457" s="746"/>
      <c r="G1457" s="510"/>
      <c r="H1457" s="510"/>
      <c r="I1457" s="510"/>
      <c r="J1457" s="510"/>
      <c r="K1457" s="510"/>
      <c r="L1457" s="510"/>
      <c r="M1457" s="509"/>
      <c r="N1457" s="508"/>
      <c r="O1457" s="507"/>
      <c r="P1457" s="507"/>
      <c r="Q1457" s="505"/>
      <c r="R1457" s="506"/>
      <c r="S1457" s="506"/>
      <c r="T1457" s="506"/>
      <c r="U1457" s="505"/>
      <c r="V1457" s="505"/>
      <c r="W1457" s="505"/>
      <c r="X1457" s="504"/>
      <c r="Y1457" s="503"/>
      <c r="Z1457" s="503"/>
      <c r="AA1457" s="503"/>
      <c r="AB1457" s="503"/>
      <c r="AC1457" s="503"/>
      <c r="AD1457" s="503"/>
      <c r="AE1457" s="503"/>
      <c r="AF1457" s="503"/>
    </row>
    <row r="1458" spans="1:32" ht="15.75" customHeight="1">
      <c r="A1458" s="503"/>
      <c r="B1458" s="503"/>
      <c r="C1458" s="510"/>
      <c r="D1458" s="510"/>
      <c r="E1458" s="510"/>
      <c r="F1458" s="746"/>
      <c r="G1458" s="510"/>
      <c r="H1458" s="510"/>
      <c r="I1458" s="510"/>
      <c r="J1458" s="510"/>
      <c r="K1458" s="510"/>
      <c r="L1458" s="510"/>
      <c r="M1458" s="509"/>
      <c r="N1458" s="508"/>
      <c r="O1458" s="507"/>
      <c r="P1458" s="507"/>
      <c r="Q1458" s="505"/>
      <c r="R1458" s="506"/>
      <c r="S1458" s="506"/>
      <c r="T1458" s="506"/>
      <c r="U1458" s="505"/>
      <c r="V1458" s="505"/>
      <c r="W1458" s="505"/>
      <c r="X1458" s="504"/>
      <c r="Y1458" s="503"/>
      <c r="Z1458" s="503"/>
      <c r="AA1458" s="503"/>
      <c r="AB1458" s="503"/>
      <c r="AC1458" s="503"/>
      <c r="AD1458" s="503"/>
      <c r="AE1458" s="503"/>
      <c r="AF1458" s="503"/>
    </row>
    <row r="1459" spans="1:32" ht="15.75" customHeight="1">
      <c r="A1459" s="503"/>
      <c r="B1459" s="503"/>
      <c r="C1459" s="510"/>
      <c r="D1459" s="510"/>
      <c r="E1459" s="510"/>
      <c r="F1459" s="746"/>
      <c r="G1459" s="510"/>
      <c r="H1459" s="510"/>
      <c r="I1459" s="510"/>
      <c r="J1459" s="510"/>
      <c r="K1459" s="510"/>
      <c r="L1459" s="510"/>
      <c r="M1459" s="509"/>
      <c r="N1459" s="508"/>
      <c r="O1459" s="507"/>
      <c r="P1459" s="507"/>
      <c r="Q1459" s="505"/>
      <c r="R1459" s="506"/>
      <c r="S1459" s="506"/>
      <c r="T1459" s="506"/>
      <c r="U1459" s="505"/>
      <c r="V1459" s="505"/>
      <c r="W1459" s="505"/>
      <c r="X1459" s="504"/>
      <c r="Y1459" s="503"/>
      <c r="Z1459" s="503"/>
      <c r="AA1459" s="503"/>
      <c r="AB1459" s="503"/>
      <c r="AC1459" s="503"/>
      <c r="AD1459" s="503"/>
      <c r="AE1459" s="503"/>
      <c r="AF1459" s="503"/>
    </row>
    <row r="1460" spans="1:32" ht="15.75" customHeight="1">
      <c r="A1460" s="503"/>
      <c r="B1460" s="503"/>
      <c r="C1460" s="510"/>
      <c r="D1460" s="510"/>
      <c r="E1460" s="510"/>
      <c r="F1460" s="746"/>
      <c r="G1460" s="510"/>
      <c r="H1460" s="510"/>
      <c r="I1460" s="510"/>
      <c r="J1460" s="510"/>
      <c r="K1460" s="510"/>
      <c r="L1460" s="510"/>
      <c r="M1460" s="509"/>
      <c r="N1460" s="508"/>
      <c r="O1460" s="507"/>
      <c r="P1460" s="507"/>
      <c r="Q1460" s="505"/>
      <c r="R1460" s="506"/>
      <c r="S1460" s="506"/>
      <c r="T1460" s="506"/>
      <c r="U1460" s="505"/>
      <c r="V1460" s="505"/>
      <c r="W1460" s="505"/>
      <c r="X1460" s="504"/>
      <c r="Y1460" s="503"/>
      <c r="Z1460" s="503"/>
      <c r="AA1460" s="503"/>
      <c r="AB1460" s="503"/>
      <c r="AC1460" s="503"/>
      <c r="AD1460" s="503"/>
      <c r="AE1460" s="503"/>
      <c r="AF1460" s="503"/>
    </row>
    <row r="1461" spans="1:32" ht="15.75" customHeight="1">
      <c r="A1461" s="503"/>
      <c r="B1461" s="503"/>
      <c r="C1461" s="510"/>
      <c r="D1461" s="510"/>
      <c r="E1461" s="510"/>
      <c r="F1461" s="746"/>
      <c r="G1461" s="510"/>
      <c r="H1461" s="510"/>
      <c r="I1461" s="510"/>
      <c r="J1461" s="510"/>
      <c r="K1461" s="510"/>
      <c r="L1461" s="510"/>
      <c r="M1461" s="509"/>
      <c r="N1461" s="508"/>
      <c r="O1461" s="507"/>
      <c r="P1461" s="507"/>
      <c r="Q1461" s="505"/>
      <c r="R1461" s="506"/>
      <c r="S1461" s="506"/>
      <c r="T1461" s="506"/>
      <c r="U1461" s="505"/>
      <c r="V1461" s="505"/>
      <c r="W1461" s="505"/>
      <c r="X1461" s="504"/>
      <c r="Y1461" s="503"/>
      <c r="Z1461" s="503"/>
      <c r="AA1461" s="503"/>
      <c r="AB1461" s="503"/>
      <c r="AC1461" s="503"/>
      <c r="AD1461" s="503"/>
      <c r="AE1461" s="503"/>
      <c r="AF1461" s="503"/>
    </row>
    <row r="1462" spans="1:32" ht="15.75" customHeight="1">
      <c r="A1462" s="503"/>
      <c r="B1462" s="503"/>
      <c r="C1462" s="510"/>
      <c r="D1462" s="510"/>
      <c r="E1462" s="510"/>
      <c r="F1462" s="746"/>
      <c r="G1462" s="510"/>
      <c r="H1462" s="510"/>
      <c r="I1462" s="510"/>
      <c r="J1462" s="510"/>
      <c r="K1462" s="510"/>
      <c r="L1462" s="510"/>
      <c r="M1462" s="509"/>
      <c r="N1462" s="508"/>
      <c r="O1462" s="507"/>
      <c r="P1462" s="507"/>
      <c r="Q1462" s="505"/>
      <c r="R1462" s="506"/>
      <c r="S1462" s="506"/>
      <c r="T1462" s="506"/>
      <c r="U1462" s="505"/>
      <c r="V1462" s="505"/>
      <c r="W1462" s="505"/>
      <c r="X1462" s="504"/>
      <c r="Y1462" s="503"/>
      <c r="Z1462" s="503"/>
      <c r="AA1462" s="503"/>
      <c r="AB1462" s="503"/>
      <c r="AC1462" s="503"/>
      <c r="AD1462" s="503"/>
      <c r="AE1462" s="503"/>
      <c r="AF1462" s="503"/>
    </row>
    <row r="1463" spans="1:32" ht="15.75" customHeight="1">
      <c r="A1463" s="503"/>
      <c r="B1463" s="503"/>
      <c r="C1463" s="510"/>
      <c r="D1463" s="510"/>
      <c r="E1463" s="510"/>
      <c r="F1463" s="746"/>
      <c r="G1463" s="510"/>
      <c r="H1463" s="510"/>
      <c r="I1463" s="510"/>
      <c r="J1463" s="510"/>
      <c r="K1463" s="510"/>
      <c r="L1463" s="510"/>
      <c r="M1463" s="509"/>
      <c r="N1463" s="508"/>
      <c r="O1463" s="507"/>
      <c r="P1463" s="507"/>
      <c r="Q1463" s="505"/>
      <c r="R1463" s="506"/>
      <c r="S1463" s="506"/>
      <c r="T1463" s="506"/>
      <c r="U1463" s="505"/>
      <c r="V1463" s="505"/>
      <c r="W1463" s="505"/>
      <c r="X1463" s="504"/>
      <c r="Y1463" s="503"/>
      <c r="Z1463" s="503"/>
      <c r="AA1463" s="503"/>
      <c r="AB1463" s="503"/>
      <c r="AC1463" s="503"/>
      <c r="AD1463" s="503"/>
      <c r="AE1463" s="503"/>
      <c r="AF1463" s="503"/>
    </row>
    <row r="1464" spans="1:32" ht="15.75" customHeight="1">
      <c r="A1464" s="503"/>
      <c r="B1464" s="503"/>
      <c r="C1464" s="510"/>
      <c r="D1464" s="510"/>
      <c r="E1464" s="510"/>
      <c r="F1464" s="746"/>
      <c r="G1464" s="510"/>
      <c r="H1464" s="510"/>
      <c r="I1464" s="510"/>
      <c r="J1464" s="510"/>
      <c r="K1464" s="510"/>
      <c r="L1464" s="510"/>
      <c r="M1464" s="509"/>
      <c r="N1464" s="508"/>
      <c r="O1464" s="507"/>
      <c r="P1464" s="507"/>
      <c r="Q1464" s="505"/>
      <c r="R1464" s="506"/>
      <c r="S1464" s="506"/>
      <c r="T1464" s="506"/>
      <c r="U1464" s="505"/>
      <c r="V1464" s="505"/>
      <c r="W1464" s="505"/>
      <c r="X1464" s="504"/>
      <c r="Y1464" s="503"/>
      <c r="Z1464" s="503"/>
      <c r="AA1464" s="503"/>
      <c r="AB1464" s="503"/>
      <c r="AC1464" s="503"/>
      <c r="AD1464" s="503"/>
      <c r="AE1464" s="503"/>
      <c r="AF1464" s="503"/>
    </row>
    <row r="1465" spans="1:32" ht="15.75" customHeight="1">
      <c r="A1465" s="503"/>
      <c r="B1465" s="503"/>
      <c r="C1465" s="510"/>
      <c r="D1465" s="510"/>
      <c r="E1465" s="510"/>
      <c r="F1465" s="746"/>
      <c r="G1465" s="510"/>
      <c r="H1465" s="510"/>
      <c r="I1465" s="510"/>
      <c r="J1465" s="510"/>
      <c r="K1465" s="510"/>
      <c r="L1465" s="510"/>
      <c r="M1465" s="509"/>
      <c r="N1465" s="508"/>
      <c r="O1465" s="507"/>
      <c r="P1465" s="507"/>
      <c r="Q1465" s="505"/>
      <c r="R1465" s="506"/>
      <c r="S1465" s="506"/>
      <c r="T1465" s="506"/>
      <c r="U1465" s="505"/>
      <c r="V1465" s="505"/>
      <c r="W1465" s="505"/>
      <c r="X1465" s="504"/>
      <c r="Y1465" s="503"/>
      <c r="Z1465" s="503"/>
      <c r="AA1465" s="503"/>
      <c r="AB1465" s="503"/>
      <c r="AC1465" s="503"/>
      <c r="AD1465" s="503"/>
      <c r="AE1465" s="503"/>
      <c r="AF1465" s="503"/>
    </row>
    <row r="1466" spans="1:32" ht="15.75" customHeight="1">
      <c r="A1466" s="503"/>
      <c r="B1466" s="503"/>
      <c r="C1466" s="510"/>
      <c r="D1466" s="510"/>
      <c r="E1466" s="510"/>
      <c r="F1466" s="746"/>
      <c r="G1466" s="510"/>
      <c r="H1466" s="510"/>
      <c r="I1466" s="510"/>
      <c r="J1466" s="510"/>
      <c r="K1466" s="510"/>
      <c r="L1466" s="510"/>
      <c r="M1466" s="509"/>
      <c r="N1466" s="508"/>
      <c r="O1466" s="507"/>
      <c r="P1466" s="507"/>
      <c r="Q1466" s="505"/>
      <c r="R1466" s="506"/>
      <c r="S1466" s="506"/>
      <c r="T1466" s="506"/>
      <c r="U1466" s="505"/>
      <c r="V1466" s="505"/>
      <c r="W1466" s="505"/>
      <c r="X1466" s="504"/>
      <c r="Y1466" s="503"/>
      <c r="Z1466" s="503"/>
      <c r="AA1466" s="503"/>
      <c r="AB1466" s="503"/>
      <c r="AC1466" s="503"/>
      <c r="AD1466" s="503"/>
      <c r="AE1466" s="503"/>
      <c r="AF1466" s="503"/>
    </row>
    <row r="1467" spans="1:32" ht="15.75" customHeight="1">
      <c r="A1467" s="503"/>
      <c r="B1467" s="503"/>
      <c r="C1467" s="510"/>
      <c r="D1467" s="510"/>
      <c r="E1467" s="510"/>
      <c r="F1467" s="746"/>
      <c r="G1467" s="510"/>
      <c r="H1467" s="510"/>
      <c r="I1467" s="510"/>
      <c r="J1467" s="510"/>
      <c r="K1467" s="510"/>
      <c r="L1467" s="510"/>
      <c r="M1467" s="509"/>
      <c r="N1467" s="508"/>
      <c r="O1467" s="507"/>
      <c r="P1467" s="507"/>
      <c r="Q1467" s="505"/>
      <c r="R1467" s="506"/>
      <c r="S1467" s="506"/>
      <c r="T1467" s="506"/>
      <c r="U1467" s="505"/>
      <c r="V1467" s="505"/>
      <c r="W1467" s="505"/>
      <c r="X1467" s="504"/>
      <c r="Y1467" s="503"/>
      <c r="Z1467" s="503"/>
      <c r="AA1467" s="503"/>
      <c r="AB1467" s="503"/>
      <c r="AC1467" s="503"/>
      <c r="AD1467" s="503"/>
      <c r="AE1467" s="503"/>
      <c r="AF1467" s="503"/>
    </row>
    <row r="1468" spans="1:32" ht="15.75" customHeight="1">
      <c r="A1468" s="503"/>
      <c r="B1468" s="503"/>
      <c r="C1468" s="510"/>
      <c r="D1468" s="510"/>
      <c r="E1468" s="510"/>
      <c r="F1468" s="746"/>
      <c r="G1468" s="510"/>
      <c r="H1468" s="510"/>
      <c r="I1468" s="510"/>
      <c r="J1468" s="510"/>
      <c r="K1468" s="510"/>
      <c r="L1468" s="510"/>
      <c r="M1468" s="509"/>
      <c r="N1468" s="508"/>
      <c r="O1468" s="507"/>
      <c r="P1468" s="507"/>
      <c r="Q1468" s="505"/>
      <c r="R1468" s="506"/>
      <c r="S1468" s="506"/>
      <c r="T1468" s="506"/>
      <c r="U1468" s="505"/>
      <c r="V1468" s="505"/>
      <c r="W1468" s="505"/>
      <c r="X1468" s="504"/>
      <c r="Y1468" s="503"/>
      <c r="Z1468" s="503"/>
      <c r="AA1468" s="503"/>
      <c r="AB1468" s="503"/>
      <c r="AC1468" s="503"/>
      <c r="AD1468" s="503"/>
      <c r="AE1468" s="503"/>
      <c r="AF1468" s="503"/>
    </row>
    <row r="1469" spans="1:32" ht="15.75" customHeight="1">
      <c r="A1469" s="503"/>
      <c r="B1469" s="503"/>
      <c r="C1469" s="510"/>
      <c r="D1469" s="510"/>
      <c r="E1469" s="510"/>
      <c r="F1469" s="746"/>
      <c r="G1469" s="510"/>
      <c r="H1469" s="510"/>
      <c r="I1469" s="510"/>
      <c r="J1469" s="510"/>
      <c r="K1469" s="510"/>
      <c r="L1469" s="510"/>
      <c r="M1469" s="509"/>
      <c r="N1469" s="508"/>
      <c r="O1469" s="507"/>
      <c r="P1469" s="507"/>
      <c r="Q1469" s="505"/>
      <c r="R1469" s="506"/>
      <c r="S1469" s="506"/>
      <c r="T1469" s="506"/>
      <c r="U1469" s="505"/>
      <c r="V1469" s="505"/>
      <c r="W1469" s="505"/>
      <c r="X1469" s="504"/>
      <c r="Y1469" s="503"/>
      <c r="Z1469" s="503"/>
      <c r="AA1469" s="503"/>
      <c r="AB1469" s="503"/>
      <c r="AC1469" s="503"/>
      <c r="AD1469" s="503"/>
      <c r="AE1469" s="503"/>
      <c r="AF1469" s="503"/>
    </row>
    <row r="1470" spans="1:32" ht="15.75" customHeight="1">
      <c r="A1470" s="503"/>
      <c r="B1470" s="503"/>
      <c r="C1470" s="510"/>
      <c r="D1470" s="510"/>
      <c r="E1470" s="510"/>
      <c r="F1470" s="746"/>
      <c r="G1470" s="510"/>
      <c r="H1470" s="510"/>
      <c r="I1470" s="510"/>
      <c r="J1470" s="510"/>
      <c r="K1470" s="510"/>
      <c r="L1470" s="510"/>
      <c r="M1470" s="509"/>
      <c r="N1470" s="508"/>
      <c r="O1470" s="507"/>
      <c r="P1470" s="507"/>
      <c r="Q1470" s="505"/>
      <c r="R1470" s="506"/>
      <c r="S1470" s="506"/>
      <c r="T1470" s="506"/>
      <c r="U1470" s="505"/>
      <c r="V1470" s="505"/>
      <c r="W1470" s="505"/>
      <c r="X1470" s="504"/>
      <c r="Y1470" s="503"/>
      <c r="Z1470" s="503"/>
      <c r="AA1470" s="503"/>
      <c r="AB1470" s="503"/>
      <c r="AC1470" s="503"/>
      <c r="AD1470" s="503"/>
      <c r="AE1470" s="503"/>
      <c r="AF1470" s="503"/>
    </row>
    <row r="1471" spans="1:32" ht="15.75" customHeight="1">
      <c r="A1471" s="503"/>
      <c r="B1471" s="503"/>
      <c r="C1471" s="510"/>
      <c r="D1471" s="510"/>
      <c r="E1471" s="510"/>
      <c r="F1471" s="746"/>
      <c r="G1471" s="510"/>
      <c r="H1471" s="510"/>
      <c r="I1471" s="510"/>
      <c r="J1471" s="510"/>
      <c r="K1471" s="510"/>
      <c r="L1471" s="510"/>
      <c r="M1471" s="509"/>
      <c r="N1471" s="508"/>
      <c r="O1471" s="507"/>
      <c r="P1471" s="507"/>
      <c r="Q1471" s="505"/>
      <c r="R1471" s="506"/>
      <c r="S1471" s="506"/>
      <c r="T1471" s="506"/>
      <c r="U1471" s="505"/>
      <c r="V1471" s="505"/>
      <c r="W1471" s="505"/>
      <c r="X1471" s="504"/>
      <c r="Y1471" s="503"/>
      <c r="Z1471" s="503"/>
      <c r="AA1471" s="503"/>
      <c r="AB1471" s="503"/>
      <c r="AC1471" s="503"/>
      <c r="AD1471" s="503"/>
      <c r="AE1471" s="503"/>
      <c r="AF1471" s="503"/>
    </row>
    <row r="1472" spans="1:32" ht="15.75" customHeight="1">
      <c r="A1472" s="503"/>
      <c r="B1472" s="503"/>
      <c r="C1472" s="510"/>
      <c r="D1472" s="510"/>
      <c r="E1472" s="510"/>
      <c r="F1472" s="746"/>
      <c r="G1472" s="510"/>
      <c r="H1472" s="510"/>
      <c r="I1472" s="510"/>
      <c r="J1472" s="510"/>
      <c r="K1472" s="510"/>
      <c r="L1472" s="510"/>
      <c r="M1472" s="509"/>
      <c r="N1472" s="508"/>
      <c r="O1472" s="507"/>
      <c r="P1472" s="507"/>
      <c r="Q1472" s="505"/>
      <c r="R1472" s="506"/>
      <c r="S1472" s="506"/>
      <c r="T1472" s="506"/>
      <c r="U1472" s="505"/>
      <c r="V1472" s="505"/>
      <c r="W1472" s="505"/>
      <c r="X1472" s="504"/>
      <c r="Y1472" s="503"/>
      <c r="Z1472" s="503"/>
      <c r="AA1472" s="503"/>
      <c r="AB1472" s="503"/>
      <c r="AC1472" s="503"/>
      <c r="AD1472" s="503"/>
      <c r="AE1472" s="503"/>
      <c r="AF1472" s="503"/>
    </row>
    <row r="1473" spans="1:32" ht="15.75" customHeight="1">
      <c r="A1473" s="503"/>
      <c r="B1473" s="503"/>
      <c r="C1473" s="510"/>
      <c r="D1473" s="510"/>
      <c r="E1473" s="510"/>
      <c r="F1473" s="746"/>
      <c r="G1473" s="510"/>
      <c r="H1473" s="510"/>
      <c r="I1473" s="510"/>
      <c r="J1473" s="510"/>
      <c r="K1473" s="510"/>
      <c r="L1473" s="510"/>
      <c r="M1473" s="509"/>
      <c r="N1473" s="508"/>
      <c r="O1473" s="507"/>
      <c r="P1473" s="507"/>
      <c r="Q1473" s="505"/>
      <c r="R1473" s="506"/>
      <c r="S1473" s="506"/>
      <c r="T1473" s="506"/>
      <c r="U1473" s="505"/>
      <c r="V1473" s="505"/>
      <c r="W1473" s="505"/>
      <c r="X1473" s="504"/>
      <c r="Y1473" s="503"/>
      <c r="Z1473" s="503"/>
      <c r="AA1473" s="503"/>
      <c r="AB1473" s="503"/>
      <c r="AC1473" s="503"/>
      <c r="AD1473" s="503"/>
      <c r="AE1473" s="503"/>
      <c r="AF1473" s="503"/>
    </row>
    <row r="1474" spans="1:32" ht="15.75" customHeight="1">
      <c r="A1474" s="503"/>
      <c r="B1474" s="503"/>
      <c r="C1474" s="510"/>
      <c r="D1474" s="510"/>
      <c r="E1474" s="510"/>
      <c r="F1474" s="746"/>
      <c r="G1474" s="510"/>
      <c r="H1474" s="510"/>
      <c r="I1474" s="510"/>
      <c r="J1474" s="510"/>
      <c r="K1474" s="510"/>
      <c r="L1474" s="510"/>
      <c r="M1474" s="509"/>
      <c r="N1474" s="508"/>
      <c r="O1474" s="507"/>
      <c r="P1474" s="507"/>
      <c r="Q1474" s="505"/>
      <c r="R1474" s="506"/>
      <c r="S1474" s="506"/>
      <c r="T1474" s="506"/>
      <c r="U1474" s="505"/>
      <c r="V1474" s="505"/>
      <c r="W1474" s="505"/>
      <c r="X1474" s="504"/>
      <c r="Y1474" s="503"/>
      <c r="Z1474" s="503"/>
      <c r="AA1474" s="503"/>
      <c r="AB1474" s="503"/>
      <c r="AC1474" s="503"/>
      <c r="AD1474" s="503"/>
      <c r="AE1474" s="503"/>
      <c r="AF1474" s="503"/>
    </row>
    <row r="1475" spans="1:32" ht="15.75" customHeight="1">
      <c r="A1475" s="503"/>
      <c r="B1475" s="503"/>
      <c r="C1475" s="510"/>
      <c r="D1475" s="510"/>
      <c r="E1475" s="510"/>
      <c r="F1475" s="746"/>
      <c r="G1475" s="510"/>
      <c r="H1475" s="510"/>
      <c r="I1475" s="510"/>
      <c r="J1475" s="510"/>
      <c r="K1475" s="510"/>
      <c r="L1475" s="510"/>
      <c r="M1475" s="509"/>
      <c r="N1475" s="508"/>
      <c r="O1475" s="507"/>
      <c r="P1475" s="507"/>
      <c r="Q1475" s="505"/>
      <c r="R1475" s="506"/>
      <c r="S1475" s="506"/>
      <c r="T1475" s="506"/>
      <c r="U1475" s="505"/>
      <c r="V1475" s="505"/>
      <c r="W1475" s="505"/>
      <c r="X1475" s="504"/>
      <c r="Y1475" s="503"/>
      <c r="Z1475" s="503"/>
      <c r="AA1475" s="503"/>
      <c r="AB1475" s="503"/>
      <c r="AC1475" s="503"/>
      <c r="AD1475" s="503"/>
      <c r="AE1475" s="503"/>
      <c r="AF1475" s="503"/>
    </row>
    <row r="1476" spans="1:32" ht="15.75" customHeight="1">
      <c r="A1476" s="503"/>
      <c r="B1476" s="503"/>
      <c r="C1476" s="510"/>
      <c r="D1476" s="510"/>
      <c r="E1476" s="510"/>
      <c r="F1476" s="746"/>
      <c r="G1476" s="510"/>
      <c r="H1476" s="510"/>
      <c r="I1476" s="510"/>
      <c r="J1476" s="510"/>
      <c r="K1476" s="510"/>
      <c r="L1476" s="510"/>
      <c r="M1476" s="509"/>
      <c r="N1476" s="508"/>
      <c r="O1476" s="507"/>
      <c r="P1476" s="507"/>
      <c r="Q1476" s="505"/>
      <c r="R1476" s="506"/>
      <c r="S1476" s="506"/>
      <c r="T1476" s="506"/>
      <c r="U1476" s="505"/>
      <c r="V1476" s="505"/>
      <c r="W1476" s="505"/>
      <c r="X1476" s="504"/>
      <c r="Y1476" s="503"/>
      <c r="Z1476" s="503"/>
      <c r="AA1476" s="503"/>
      <c r="AB1476" s="503"/>
      <c r="AC1476" s="503"/>
      <c r="AD1476" s="503"/>
      <c r="AE1476" s="503"/>
      <c r="AF1476" s="503"/>
    </row>
    <row r="1477" spans="1:32" ht="15.75" customHeight="1">
      <c r="A1477" s="503"/>
      <c r="B1477" s="503"/>
      <c r="C1477" s="510"/>
      <c r="D1477" s="510"/>
      <c r="E1477" s="510"/>
      <c r="F1477" s="746"/>
      <c r="G1477" s="510"/>
      <c r="H1477" s="510"/>
      <c r="I1477" s="510"/>
      <c r="J1477" s="510"/>
      <c r="K1477" s="510"/>
      <c r="L1477" s="510"/>
      <c r="M1477" s="509"/>
      <c r="N1477" s="508"/>
      <c r="O1477" s="507"/>
      <c r="P1477" s="507"/>
      <c r="Q1477" s="505"/>
      <c r="R1477" s="506"/>
      <c r="S1477" s="506"/>
      <c r="T1477" s="506"/>
      <c r="U1477" s="505"/>
      <c r="V1477" s="505"/>
      <c r="W1477" s="505"/>
      <c r="X1477" s="504"/>
      <c r="Y1477" s="503"/>
      <c r="Z1477" s="503"/>
      <c r="AA1477" s="503"/>
      <c r="AB1477" s="503"/>
      <c r="AC1477" s="503"/>
      <c r="AD1477" s="503"/>
      <c r="AE1477" s="503"/>
      <c r="AF1477" s="503"/>
    </row>
    <row r="1478" spans="1:32" ht="15.75" customHeight="1">
      <c r="A1478" s="503"/>
      <c r="B1478" s="503"/>
      <c r="C1478" s="510"/>
      <c r="D1478" s="510"/>
      <c r="E1478" s="510"/>
      <c r="F1478" s="746"/>
      <c r="G1478" s="510"/>
      <c r="H1478" s="510"/>
      <c r="I1478" s="510"/>
      <c r="J1478" s="510"/>
      <c r="K1478" s="510"/>
      <c r="L1478" s="510"/>
      <c r="M1478" s="509"/>
      <c r="N1478" s="508"/>
      <c r="O1478" s="507"/>
      <c r="P1478" s="507"/>
      <c r="Q1478" s="505"/>
      <c r="R1478" s="506"/>
      <c r="S1478" s="506"/>
      <c r="T1478" s="506"/>
      <c r="U1478" s="505"/>
      <c r="V1478" s="505"/>
      <c r="W1478" s="505"/>
      <c r="X1478" s="504"/>
      <c r="Y1478" s="503"/>
      <c r="Z1478" s="503"/>
      <c r="AA1478" s="503"/>
      <c r="AB1478" s="503"/>
      <c r="AC1478" s="503"/>
      <c r="AD1478" s="503"/>
      <c r="AE1478" s="503"/>
      <c r="AF1478" s="503"/>
    </row>
    <row r="1479" spans="1:32" ht="15.75" customHeight="1">
      <c r="A1479" s="503"/>
      <c r="B1479" s="503"/>
      <c r="C1479" s="510"/>
      <c r="D1479" s="510"/>
      <c r="E1479" s="510"/>
      <c r="F1479" s="746"/>
      <c r="G1479" s="510"/>
      <c r="H1479" s="510"/>
      <c r="I1479" s="510"/>
      <c r="J1479" s="510"/>
      <c r="K1479" s="510"/>
      <c r="L1479" s="510"/>
      <c r="M1479" s="509"/>
      <c r="N1479" s="508"/>
      <c r="O1479" s="507"/>
      <c r="P1479" s="507"/>
      <c r="Q1479" s="505"/>
      <c r="R1479" s="506"/>
      <c r="S1479" s="506"/>
      <c r="T1479" s="506"/>
      <c r="U1479" s="505"/>
      <c r="V1479" s="505"/>
      <c r="W1479" s="505"/>
      <c r="X1479" s="504"/>
      <c r="Y1479" s="503"/>
      <c r="Z1479" s="503"/>
      <c r="AA1479" s="503"/>
      <c r="AB1479" s="503"/>
      <c r="AC1479" s="503"/>
      <c r="AD1479" s="503"/>
      <c r="AE1479" s="503"/>
      <c r="AF1479" s="503"/>
    </row>
    <row r="1480" spans="1:32" ht="15.75" customHeight="1">
      <c r="A1480" s="503"/>
      <c r="B1480" s="503"/>
      <c r="C1480" s="510"/>
      <c r="D1480" s="510"/>
      <c r="E1480" s="510"/>
      <c r="F1480" s="746"/>
      <c r="G1480" s="510"/>
      <c r="H1480" s="510"/>
      <c r="I1480" s="510"/>
      <c r="J1480" s="510"/>
      <c r="K1480" s="510"/>
      <c r="L1480" s="510"/>
      <c r="M1480" s="509"/>
      <c r="N1480" s="508"/>
      <c r="O1480" s="507"/>
      <c r="P1480" s="507"/>
      <c r="Q1480" s="505"/>
      <c r="R1480" s="506"/>
      <c r="S1480" s="506"/>
      <c r="T1480" s="506"/>
      <c r="U1480" s="505"/>
      <c r="V1480" s="505"/>
      <c r="W1480" s="505"/>
      <c r="X1480" s="504"/>
      <c r="Y1480" s="503"/>
      <c r="Z1480" s="503"/>
      <c r="AA1480" s="503"/>
      <c r="AB1480" s="503"/>
      <c r="AC1480" s="503"/>
      <c r="AD1480" s="503"/>
      <c r="AE1480" s="503"/>
      <c r="AF1480" s="503"/>
    </row>
    <row r="1481" spans="1:32" ht="15.75" customHeight="1">
      <c r="A1481" s="503"/>
      <c r="B1481" s="503"/>
      <c r="C1481" s="510"/>
      <c r="D1481" s="510"/>
      <c r="E1481" s="510"/>
      <c r="F1481" s="746"/>
      <c r="G1481" s="510"/>
      <c r="H1481" s="510"/>
      <c r="I1481" s="510"/>
      <c r="J1481" s="510"/>
      <c r="K1481" s="510"/>
      <c r="L1481" s="510"/>
      <c r="M1481" s="509"/>
      <c r="N1481" s="508"/>
      <c r="O1481" s="507"/>
      <c r="P1481" s="507"/>
      <c r="Q1481" s="505"/>
      <c r="R1481" s="506"/>
      <c r="S1481" s="506"/>
      <c r="T1481" s="506"/>
      <c r="U1481" s="505"/>
      <c r="V1481" s="505"/>
      <c r="W1481" s="505"/>
      <c r="X1481" s="504"/>
      <c r="Y1481" s="503"/>
      <c r="Z1481" s="503"/>
      <c r="AA1481" s="503"/>
      <c r="AB1481" s="503"/>
      <c r="AC1481" s="503"/>
      <c r="AD1481" s="503"/>
      <c r="AE1481" s="503"/>
      <c r="AF1481" s="503"/>
    </row>
    <row r="1482" spans="1:32" ht="15.75" customHeight="1">
      <c r="A1482" s="503"/>
      <c r="B1482" s="503"/>
      <c r="C1482" s="510"/>
      <c r="D1482" s="510"/>
      <c r="E1482" s="510"/>
      <c r="F1482" s="746"/>
      <c r="G1482" s="510"/>
      <c r="H1482" s="510"/>
      <c r="I1482" s="510"/>
      <c r="J1482" s="510"/>
      <c r="K1482" s="510"/>
      <c r="L1482" s="510"/>
      <c r="M1482" s="509"/>
      <c r="N1482" s="508"/>
      <c r="O1482" s="507"/>
      <c r="P1482" s="507"/>
      <c r="Q1482" s="505"/>
      <c r="R1482" s="506"/>
      <c r="S1482" s="506"/>
      <c r="T1482" s="506"/>
      <c r="U1482" s="505"/>
      <c r="V1482" s="505"/>
      <c r="W1482" s="505"/>
      <c r="X1482" s="504"/>
      <c r="Y1482" s="503"/>
      <c r="Z1482" s="503"/>
      <c r="AA1482" s="503"/>
      <c r="AB1482" s="503"/>
      <c r="AC1482" s="503"/>
      <c r="AD1482" s="503"/>
      <c r="AE1482" s="503"/>
      <c r="AF1482" s="503"/>
    </row>
    <row r="1483" spans="1:32" ht="15.75" customHeight="1">
      <c r="A1483" s="503"/>
      <c r="B1483" s="503"/>
      <c r="C1483" s="510"/>
      <c r="D1483" s="510"/>
      <c r="E1483" s="510"/>
      <c r="F1483" s="746"/>
      <c r="G1483" s="510"/>
      <c r="H1483" s="510"/>
      <c r="I1483" s="510"/>
      <c r="J1483" s="510"/>
      <c r="K1483" s="510"/>
      <c r="L1483" s="510"/>
      <c r="M1483" s="509"/>
      <c r="N1483" s="508"/>
      <c r="O1483" s="507"/>
      <c r="P1483" s="507"/>
      <c r="Q1483" s="505"/>
      <c r="R1483" s="506"/>
      <c r="S1483" s="506"/>
      <c r="T1483" s="506"/>
      <c r="U1483" s="505"/>
      <c r="V1483" s="505"/>
      <c r="W1483" s="505"/>
      <c r="X1483" s="504"/>
      <c r="Y1483" s="503"/>
      <c r="Z1483" s="503"/>
      <c r="AA1483" s="503"/>
      <c r="AB1483" s="503"/>
      <c r="AC1483" s="503"/>
      <c r="AD1483" s="503"/>
      <c r="AE1483" s="503"/>
      <c r="AF1483" s="503"/>
    </row>
    <row r="1484" spans="1:32" ht="15.75" customHeight="1">
      <c r="A1484" s="503"/>
      <c r="B1484" s="503"/>
      <c r="C1484" s="510"/>
      <c r="D1484" s="510"/>
      <c r="E1484" s="510"/>
      <c r="F1484" s="746"/>
      <c r="G1484" s="510"/>
      <c r="H1484" s="510"/>
      <c r="I1484" s="510"/>
      <c r="J1484" s="510"/>
      <c r="K1484" s="510"/>
      <c r="L1484" s="510"/>
      <c r="M1484" s="509"/>
      <c r="N1484" s="508"/>
      <c r="O1484" s="507"/>
      <c r="P1484" s="507"/>
      <c r="Q1484" s="505"/>
      <c r="R1484" s="506"/>
      <c r="S1484" s="506"/>
      <c r="T1484" s="506"/>
      <c r="U1484" s="505"/>
      <c r="V1484" s="505"/>
      <c r="W1484" s="505"/>
      <c r="X1484" s="504"/>
      <c r="Y1484" s="503"/>
      <c r="Z1484" s="503"/>
      <c r="AA1484" s="503"/>
      <c r="AB1484" s="503"/>
      <c r="AC1484" s="503"/>
      <c r="AD1484" s="503"/>
      <c r="AE1484" s="503"/>
      <c r="AF1484" s="503"/>
    </row>
    <row r="1485" spans="1:32" ht="15.75" customHeight="1">
      <c r="A1485" s="503"/>
      <c r="B1485" s="503"/>
      <c r="C1485" s="510"/>
      <c r="D1485" s="510"/>
      <c r="E1485" s="510"/>
      <c r="F1485" s="746"/>
      <c r="G1485" s="510"/>
      <c r="H1485" s="510"/>
      <c r="I1485" s="510"/>
      <c r="J1485" s="510"/>
      <c r="K1485" s="510"/>
      <c r="L1485" s="510"/>
      <c r="M1485" s="509"/>
      <c r="N1485" s="508"/>
      <c r="O1485" s="507"/>
      <c r="P1485" s="507"/>
      <c r="Q1485" s="505"/>
      <c r="R1485" s="506"/>
      <c r="S1485" s="506"/>
      <c r="T1485" s="506"/>
      <c r="U1485" s="505"/>
      <c r="V1485" s="505"/>
      <c r="W1485" s="505"/>
      <c r="X1485" s="504"/>
      <c r="Y1485" s="503"/>
      <c r="Z1485" s="503"/>
      <c r="AA1485" s="503"/>
      <c r="AB1485" s="503"/>
      <c r="AC1485" s="503"/>
      <c r="AD1485" s="503"/>
      <c r="AE1485" s="503"/>
      <c r="AF1485" s="503"/>
    </row>
    <row r="1486" spans="1:32" ht="15.75" customHeight="1">
      <c r="A1486" s="503"/>
      <c r="B1486" s="503"/>
      <c r="C1486" s="510"/>
      <c r="D1486" s="510"/>
      <c r="E1486" s="510"/>
      <c r="F1486" s="746"/>
      <c r="G1486" s="510"/>
      <c r="H1486" s="510"/>
      <c r="I1486" s="510"/>
      <c r="J1486" s="510"/>
      <c r="K1486" s="510"/>
      <c r="L1486" s="510"/>
      <c r="M1486" s="509"/>
      <c r="N1486" s="508"/>
      <c r="O1486" s="507"/>
      <c r="P1486" s="507"/>
      <c r="Q1486" s="505"/>
      <c r="R1486" s="506"/>
      <c r="S1486" s="506"/>
      <c r="T1486" s="506"/>
      <c r="U1486" s="505"/>
      <c r="V1486" s="505"/>
      <c r="W1486" s="505"/>
      <c r="X1486" s="504"/>
      <c r="Y1486" s="503"/>
      <c r="Z1486" s="503"/>
      <c r="AA1486" s="503"/>
      <c r="AB1486" s="503"/>
      <c r="AC1486" s="503"/>
      <c r="AD1486" s="503"/>
      <c r="AE1486" s="503"/>
      <c r="AF1486" s="503"/>
    </row>
    <row r="1487" spans="1:32" ht="15.75" customHeight="1">
      <c r="A1487" s="503"/>
      <c r="B1487" s="503"/>
      <c r="C1487" s="510"/>
      <c r="D1487" s="510"/>
      <c r="E1487" s="510"/>
      <c r="F1487" s="746"/>
      <c r="G1487" s="510"/>
      <c r="H1487" s="510"/>
      <c r="I1487" s="510"/>
      <c r="J1487" s="510"/>
      <c r="K1487" s="510"/>
      <c r="L1487" s="510"/>
      <c r="M1487" s="509"/>
      <c r="N1487" s="508"/>
      <c r="O1487" s="507"/>
      <c r="P1487" s="507"/>
      <c r="Q1487" s="505"/>
      <c r="R1487" s="506"/>
      <c r="S1487" s="506"/>
      <c r="T1487" s="506"/>
      <c r="U1487" s="505"/>
      <c r="V1487" s="505"/>
      <c r="W1487" s="505"/>
      <c r="X1487" s="504"/>
      <c r="Y1487" s="503"/>
      <c r="Z1487" s="503"/>
      <c r="AA1487" s="503"/>
      <c r="AB1487" s="503"/>
      <c r="AC1487" s="503"/>
      <c r="AD1487" s="503"/>
      <c r="AE1487" s="503"/>
      <c r="AF1487" s="503"/>
    </row>
    <row r="1488" spans="1:32" ht="15.75" customHeight="1">
      <c r="A1488" s="503"/>
      <c r="B1488" s="503"/>
      <c r="C1488" s="510"/>
      <c r="D1488" s="510"/>
      <c r="E1488" s="510"/>
      <c r="F1488" s="746"/>
      <c r="G1488" s="510"/>
      <c r="H1488" s="510"/>
      <c r="I1488" s="510"/>
      <c r="J1488" s="510"/>
      <c r="K1488" s="510"/>
      <c r="L1488" s="510"/>
      <c r="M1488" s="509"/>
      <c r="N1488" s="508"/>
      <c r="O1488" s="507"/>
      <c r="P1488" s="507"/>
      <c r="Q1488" s="505"/>
      <c r="R1488" s="506"/>
      <c r="S1488" s="506"/>
      <c r="T1488" s="506"/>
      <c r="U1488" s="505"/>
      <c r="V1488" s="505"/>
      <c r="W1488" s="505"/>
      <c r="X1488" s="504"/>
      <c r="Y1488" s="503"/>
      <c r="Z1488" s="503"/>
      <c r="AA1488" s="503"/>
      <c r="AB1488" s="503"/>
      <c r="AC1488" s="503"/>
      <c r="AD1488" s="503"/>
      <c r="AE1488" s="503"/>
      <c r="AF1488" s="503"/>
    </row>
    <row r="1489" spans="1:32" ht="15.75" customHeight="1">
      <c r="A1489" s="503"/>
      <c r="B1489" s="503"/>
      <c r="C1489" s="510"/>
      <c r="D1489" s="510"/>
      <c r="E1489" s="510"/>
      <c r="F1489" s="746"/>
      <c r="G1489" s="510"/>
      <c r="H1489" s="510"/>
      <c r="I1489" s="510"/>
      <c r="J1489" s="510"/>
      <c r="K1489" s="510"/>
      <c r="L1489" s="510"/>
      <c r="M1489" s="509"/>
      <c r="N1489" s="508"/>
      <c r="O1489" s="507"/>
      <c r="P1489" s="507"/>
      <c r="Q1489" s="505"/>
      <c r="R1489" s="506"/>
      <c r="S1489" s="506"/>
      <c r="T1489" s="506"/>
      <c r="U1489" s="505"/>
      <c r="V1489" s="505"/>
      <c r="W1489" s="505"/>
      <c r="X1489" s="504"/>
      <c r="Y1489" s="503"/>
      <c r="Z1489" s="503"/>
      <c r="AA1489" s="503"/>
      <c r="AB1489" s="503"/>
      <c r="AC1489" s="503"/>
      <c r="AD1489" s="503"/>
      <c r="AE1489" s="503"/>
      <c r="AF1489" s="503"/>
    </row>
    <row r="1490" spans="1:32" ht="15.75" customHeight="1">
      <c r="A1490" s="503"/>
      <c r="B1490" s="503"/>
      <c r="C1490" s="510"/>
      <c r="D1490" s="510"/>
      <c r="E1490" s="510"/>
      <c r="F1490" s="746"/>
      <c r="G1490" s="510"/>
      <c r="H1490" s="510"/>
      <c r="I1490" s="510"/>
      <c r="J1490" s="510"/>
      <c r="K1490" s="510"/>
      <c r="L1490" s="510"/>
      <c r="M1490" s="509"/>
      <c r="N1490" s="508"/>
      <c r="O1490" s="507"/>
      <c r="P1490" s="507"/>
      <c r="Q1490" s="505"/>
      <c r="R1490" s="506"/>
      <c r="S1490" s="506"/>
      <c r="T1490" s="506"/>
      <c r="U1490" s="505"/>
      <c r="V1490" s="505"/>
      <c r="W1490" s="505"/>
      <c r="X1490" s="504"/>
      <c r="Y1490" s="503"/>
      <c r="Z1490" s="503"/>
      <c r="AA1490" s="503"/>
      <c r="AB1490" s="503"/>
      <c r="AC1490" s="503"/>
      <c r="AD1490" s="503"/>
      <c r="AE1490" s="503"/>
      <c r="AF1490" s="503"/>
    </row>
    <row r="1491" spans="1:32" ht="15.75" customHeight="1">
      <c r="A1491" s="503"/>
      <c r="B1491" s="503"/>
      <c r="C1491" s="510"/>
      <c r="D1491" s="510"/>
      <c r="E1491" s="510"/>
      <c r="F1491" s="746"/>
      <c r="G1491" s="510"/>
      <c r="H1491" s="510"/>
      <c r="I1491" s="510"/>
      <c r="J1491" s="510"/>
      <c r="K1491" s="510"/>
      <c r="L1491" s="510"/>
      <c r="M1491" s="509"/>
      <c r="N1491" s="508"/>
      <c r="O1491" s="507"/>
      <c r="P1491" s="507"/>
      <c r="Q1491" s="505"/>
      <c r="R1491" s="506"/>
      <c r="S1491" s="506"/>
      <c r="T1491" s="506"/>
      <c r="U1491" s="505"/>
      <c r="V1491" s="505"/>
      <c r="W1491" s="505"/>
      <c r="X1491" s="504"/>
      <c r="Y1491" s="503"/>
      <c r="Z1491" s="503"/>
      <c r="AA1491" s="503"/>
      <c r="AB1491" s="503"/>
      <c r="AC1491" s="503"/>
      <c r="AD1491" s="503"/>
      <c r="AE1491" s="503"/>
      <c r="AF1491" s="503"/>
    </row>
    <row r="1492" spans="1:32" ht="15.75" customHeight="1">
      <c r="A1492" s="503"/>
      <c r="B1492" s="503"/>
      <c r="C1492" s="510"/>
      <c r="D1492" s="510"/>
      <c r="E1492" s="510"/>
      <c r="F1492" s="746"/>
      <c r="G1492" s="510"/>
      <c r="H1492" s="510"/>
      <c r="I1492" s="510"/>
      <c r="J1492" s="510"/>
      <c r="K1492" s="510"/>
      <c r="L1492" s="510"/>
      <c r="M1492" s="509"/>
      <c r="N1492" s="508"/>
      <c r="O1492" s="507"/>
      <c r="P1492" s="507"/>
      <c r="Q1492" s="505"/>
      <c r="R1492" s="506"/>
      <c r="S1492" s="506"/>
      <c r="T1492" s="506"/>
      <c r="U1492" s="505"/>
      <c r="V1492" s="505"/>
      <c r="W1492" s="505"/>
      <c r="X1492" s="504"/>
      <c r="Y1492" s="503"/>
      <c r="Z1492" s="503"/>
      <c r="AA1492" s="503"/>
      <c r="AB1492" s="503"/>
      <c r="AC1492" s="503"/>
      <c r="AD1492" s="503"/>
      <c r="AE1492" s="503"/>
      <c r="AF1492" s="503"/>
    </row>
    <row r="1493" spans="1:32" ht="15.75" customHeight="1">
      <c r="A1493" s="503"/>
      <c r="B1493" s="503"/>
      <c r="C1493" s="510"/>
      <c r="D1493" s="510"/>
      <c r="E1493" s="510"/>
      <c r="F1493" s="746"/>
      <c r="G1493" s="510"/>
      <c r="H1493" s="510"/>
      <c r="I1493" s="510"/>
      <c r="J1493" s="510"/>
      <c r="K1493" s="510"/>
      <c r="L1493" s="510"/>
      <c r="M1493" s="509"/>
      <c r="N1493" s="508"/>
      <c r="O1493" s="507"/>
      <c r="P1493" s="507"/>
      <c r="Q1493" s="505"/>
      <c r="R1493" s="506"/>
      <c r="S1493" s="506"/>
      <c r="T1493" s="506"/>
      <c r="U1493" s="505"/>
      <c r="V1493" s="505"/>
      <c r="W1493" s="505"/>
      <c r="X1493" s="504"/>
      <c r="Y1493" s="503"/>
      <c r="Z1493" s="503"/>
      <c r="AA1493" s="503"/>
      <c r="AB1493" s="503"/>
      <c r="AC1493" s="503"/>
      <c r="AD1493" s="503"/>
      <c r="AE1493" s="503"/>
      <c r="AF1493" s="503"/>
    </row>
    <row r="1494" spans="1:32" ht="15.75" customHeight="1">
      <c r="A1494" s="503"/>
      <c r="B1494" s="503"/>
      <c r="C1494" s="510"/>
      <c r="D1494" s="510"/>
      <c r="E1494" s="510"/>
      <c r="F1494" s="746"/>
      <c r="G1494" s="510"/>
      <c r="H1494" s="510"/>
      <c r="I1494" s="510"/>
      <c r="J1494" s="510"/>
      <c r="K1494" s="510"/>
      <c r="L1494" s="510"/>
      <c r="M1494" s="509"/>
      <c r="N1494" s="508"/>
      <c r="O1494" s="507"/>
      <c r="P1494" s="507"/>
      <c r="Q1494" s="505"/>
      <c r="R1494" s="506"/>
      <c r="S1494" s="506"/>
      <c r="T1494" s="506"/>
      <c r="U1494" s="505"/>
      <c r="V1494" s="505"/>
      <c r="W1494" s="505"/>
      <c r="X1494" s="504"/>
      <c r="Y1494" s="503"/>
      <c r="Z1494" s="503"/>
      <c r="AA1494" s="503"/>
      <c r="AB1494" s="503"/>
      <c r="AC1494" s="503"/>
      <c r="AD1494" s="503"/>
      <c r="AE1494" s="503"/>
      <c r="AF1494" s="503"/>
    </row>
    <row r="1495" spans="1:32" ht="15.75" customHeight="1">
      <c r="A1495" s="503"/>
      <c r="B1495" s="503"/>
      <c r="C1495" s="510"/>
      <c r="D1495" s="510"/>
      <c r="E1495" s="510"/>
      <c r="F1495" s="746"/>
      <c r="G1495" s="510"/>
      <c r="H1495" s="510"/>
      <c r="I1495" s="510"/>
      <c r="J1495" s="510"/>
      <c r="K1495" s="510"/>
      <c r="L1495" s="510"/>
      <c r="M1495" s="509"/>
      <c r="N1495" s="508"/>
      <c r="O1495" s="507"/>
      <c r="P1495" s="507"/>
      <c r="Q1495" s="505"/>
      <c r="R1495" s="506"/>
      <c r="S1495" s="506"/>
      <c r="T1495" s="506"/>
      <c r="U1495" s="505"/>
      <c r="V1495" s="505"/>
      <c r="W1495" s="505"/>
      <c r="X1495" s="504"/>
      <c r="Y1495" s="503"/>
      <c r="Z1495" s="503"/>
      <c r="AA1495" s="503"/>
      <c r="AB1495" s="503"/>
      <c r="AC1495" s="503"/>
      <c r="AD1495" s="503"/>
      <c r="AE1495" s="503"/>
      <c r="AF1495" s="503"/>
    </row>
    <row r="1496" spans="1:32" ht="15.75" customHeight="1">
      <c r="A1496" s="503"/>
      <c r="B1496" s="503"/>
      <c r="C1496" s="510"/>
      <c r="D1496" s="510"/>
      <c r="E1496" s="510"/>
      <c r="F1496" s="746"/>
      <c r="G1496" s="510"/>
      <c r="H1496" s="510"/>
      <c r="I1496" s="510"/>
      <c r="J1496" s="510"/>
      <c r="K1496" s="510"/>
      <c r="L1496" s="510"/>
      <c r="M1496" s="509"/>
      <c r="N1496" s="508"/>
      <c r="O1496" s="507"/>
      <c r="P1496" s="507"/>
      <c r="Q1496" s="505"/>
      <c r="R1496" s="506"/>
      <c r="S1496" s="506"/>
      <c r="T1496" s="506"/>
      <c r="U1496" s="505"/>
      <c r="V1496" s="505"/>
      <c r="W1496" s="505"/>
      <c r="X1496" s="504"/>
      <c r="Y1496" s="503"/>
      <c r="Z1496" s="503"/>
      <c r="AA1496" s="503"/>
      <c r="AB1496" s="503"/>
      <c r="AC1496" s="503"/>
      <c r="AD1496" s="503"/>
      <c r="AE1496" s="503"/>
      <c r="AF1496" s="503"/>
    </row>
    <row r="1497" spans="1:32" ht="15.75" customHeight="1">
      <c r="A1497" s="503"/>
      <c r="B1497" s="503"/>
      <c r="C1497" s="510"/>
      <c r="D1497" s="510"/>
      <c r="E1497" s="510"/>
      <c r="F1497" s="746"/>
      <c r="G1497" s="510"/>
      <c r="H1497" s="510"/>
      <c r="I1497" s="510"/>
      <c r="J1497" s="510"/>
      <c r="K1497" s="510"/>
      <c r="L1497" s="510"/>
      <c r="M1497" s="509"/>
      <c r="N1497" s="508"/>
      <c r="O1497" s="507"/>
      <c r="P1497" s="507"/>
      <c r="Q1497" s="505"/>
      <c r="R1497" s="506"/>
      <c r="S1497" s="506"/>
      <c r="T1497" s="506"/>
      <c r="U1497" s="505"/>
      <c r="V1497" s="505"/>
      <c r="W1497" s="505"/>
      <c r="X1497" s="504"/>
      <c r="Y1497" s="503"/>
      <c r="Z1497" s="503"/>
      <c r="AA1497" s="503"/>
      <c r="AB1497" s="503"/>
      <c r="AC1497" s="503"/>
      <c r="AD1497" s="503"/>
      <c r="AE1497" s="503"/>
      <c r="AF1497" s="503"/>
    </row>
    <row r="1498" spans="1:32" ht="15.75" customHeight="1">
      <c r="A1498" s="503"/>
      <c r="B1498" s="503"/>
      <c r="C1498" s="510"/>
      <c r="D1498" s="510"/>
      <c r="E1498" s="510"/>
      <c r="F1498" s="746"/>
      <c r="G1498" s="510"/>
      <c r="H1498" s="510"/>
      <c r="I1498" s="510"/>
      <c r="J1498" s="510"/>
      <c r="K1498" s="510"/>
      <c r="L1498" s="510"/>
      <c r="M1498" s="509"/>
      <c r="N1498" s="508"/>
      <c r="O1498" s="507"/>
      <c r="P1498" s="507"/>
      <c r="Q1498" s="505"/>
      <c r="R1498" s="506"/>
      <c r="S1498" s="506"/>
      <c r="T1498" s="506"/>
      <c r="U1498" s="505"/>
      <c r="V1498" s="505"/>
      <c r="W1498" s="505"/>
      <c r="X1498" s="504"/>
      <c r="Y1498" s="503"/>
      <c r="Z1498" s="503"/>
      <c r="AA1498" s="503"/>
      <c r="AB1498" s="503"/>
      <c r="AC1498" s="503"/>
      <c r="AD1498" s="503"/>
      <c r="AE1498" s="503"/>
      <c r="AF1498" s="503"/>
    </row>
    <row r="1499" spans="1:32" ht="15.75" customHeight="1">
      <c r="A1499" s="503"/>
      <c r="B1499" s="503"/>
      <c r="C1499" s="510"/>
      <c r="D1499" s="510"/>
      <c r="E1499" s="510"/>
      <c r="F1499" s="746"/>
      <c r="G1499" s="510"/>
      <c r="H1499" s="510"/>
      <c r="I1499" s="510"/>
      <c r="J1499" s="510"/>
      <c r="K1499" s="510"/>
      <c r="L1499" s="510"/>
      <c r="M1499" s="509"/>
      <c r="N1499" s="508"/>
      <c r="O1499" s="507"/>
      <c r="P1499" s="507"/>
      <c r="Q1499" s="505"/>
      <c r="R1499" s="506"/>
      <c r="S1499" s="506"/>
      <c r="T1499" s="506"/>
      <c r="U1499" s="505"/>
      <c r="V1499" s="505"/>
      <c r="W1499" s="505"/>
      <c r="X1499" s="504"/>
      <c r="Y1499" s="503"/>
      <c r="Z1499" s="503"/>
      <c r="AA1499" s="503"/>
      <c r="AB1499" s="503"/>
      <c r="AC1499" s="503"/>
      <c r="AD1499" s="503"/>
      <c r="AE1499" s="503"/>
      <c r="AF1499" s="503"/>
    </row>
    <row r="1500" spans="1:32" ht="15.75" customHeight="1">
      <c r="A1500" s="503"/>
      <c r="B1500" s="503"/>
      <c r="C1500" s="510"/>
      <c r="D1500" s="510"/>
      <c r="E1500" s="510"/>
      <c r="F1500" s="746"/>
      <c r="G1500" s="510"/>
      <c r="H1500" s="510"/>
      <c r="I1500" s="510"/>
      <c r="J1500" s="510"/>
      <c r="K1500" s="510"/>
      <c r="L1500" s="510"/>
      <c r="M1500" s="509"/>
      <c r="N1500" s="508"/>
      <c r="O1500" s="507"/>
      <c r="P1500" s="507"/>
      <c r="Q1500" s="505"/>
      <c r="R1500" s="506"/>
      <c r="S1500" s="506"/>
      <c r="T1500" s="506"/>
      <c r="U1500" s="505"/>
      <c r="V1500" s="505"/>
      <c r="W1500" s="505"/>
      <c r="X1500" s="504"/>
      <c r="Y1500" s="503"/>
      <c r="Z1500" s="503"/>
      <c r="AA1500" s="503"/>
      <c r="AB1500" s="503"/>
      <c r="AC1500" s="503"/>
      <c r="AD1500" s="503"/>
      <c r="AE1500" s="503"/>
      <c r="AF1500" s="503"/>
    </row>
    <row r="1501" spans="1:32" ht="15.75" customHeight="1">
      <c r="A1501" s="503"/>
      <c r="B1501" s="503"/>
      <c r="C1501" s="510"/>
      <c r="D1501" s="510"/>
      <c r="E1501" s="510"/>
      <c r="F1501" s="746"/>
      <c r="G1501" s="510"/>
      <c r="H1501" s="510"/>
      <c r="I1501" s="510"/>
      <c r="J1501" s="510"/>
      <c r="K1501" s="510"/>
      <c r="L1501" s="510"/>
      <c r="M1501" s="509"/>
      <c r="N1501" s="508"/>
      <c r="O1501" s="507"/>
      <c r="P1501" s="507"/>
      <c r="Q1501" s="505"/>
      <c r="R1501" s="506"/>
      <c r="S1501" s="506"/>
      <c r="T1501" s="506"/>
      <c r="U1501" s="505"/>
      <c r="V1501" s="505"/>
      <c r="W1501" s="505"/>
      <c r="X1501" s="504"/>
      <c r="Y1501" s="503"/>
      <c r="Z1501" s="503"/>
      <c r="AA1501" s="503"/>
      <c r="AB1501" s="503"/>
      <c r="AC1501" s="503"/>
      <c r="AD1501" s="503"/>
      <c r="AE1501" s="503"/>
      <c r="AF1501" s="503"/>
    </row>
    <row r="1502" spans="1:32" ht="15.75" customHeight="1">
      <c r="A1502" s="503"/>
      <c r="B1502" s="503"/>
      <c r="C1502" s="510"/>
      <c r="D1502" s="510"/>
      <c r="E1502" s="510"/>
      <c r="F1502" s="746"/>
      <c r="G1502" s="510"/>
      <c r="H1502" s="510"/>
      <c r="I1502" s="510"/>
      <c r="J1502" s="510"/>
      <c r="K1502" s="510"/>
      <c r="L1502" s="510"/>
      <c r="M1502" s="509"/>
      <c r="N1502" s="508"/>
      <c r="O1502" s="507"/>
      <c r="P1502" s="507"/>
      <c r="Q1502" s="505"/>
      <c r="R1502" s="506"/>
      <c r="S1502" s="506"/>
      <c r="T1502" s="506"/>
      <c r="U1502" s="505"/>
      <c r="V1502" s="505"/>
      <c r="W1502" s="505"/>
      <c r="X1502" s="504"/>
      <c r="Y1502" s="503"/>
      <c r="Z1502" s="503"/>
      <c r="AA1502" s="503"/>
      <c r="AB1502" s="503"/>
      <c r="AC1502" s="503"/>
      <c r="AD1502" s="503"/>
      <c r="AE1502" s="503"/>
      <c r="AF1502" s="503"/>
    </row>
    <row r="1503" spans="1:32" ht="15.75" customHeight="1">
      <c r="A1503" s="503"/>
      <c r="B1503" s="503"/>
      <c r="C1503" s="510"/>
      <c r="D1503" s="510"/>
      <c r="E1503" s="510"/>
      <c r="F1503" s="746"/>
      <c r="G1503" s="510"/>
      <c r="H1503" s="510"/>
      <c r="I1503" s="510"/>
      <c r="J1503" s="510"/>
      <c r="K1503" s="510"/>
      <c r="L1503" s="510"/>
      <c r="M1503" s="509"/>
      <c r="N1503" s="508"/>
      <c r="O1503" s="507"/>
      <c r="P1503" s="507"/>
      <c r="Q1503" s="505"/>
      <c r="R1503" s="506"/>
      <c r="S1503" s="506"/>
      <c r="T1503" s="506"/>
      <c r="U1503" s="505"/>
      <c r="V1503" s="505"/>
      <c r="W1503" s="505"/>
      <c r="X1503" s="504"/>
      <c r="Y1503" s="503"/>
      <c r="Z1503" s="503"/>
      <c r="AA1503" s="503"/>
      <c r="AB1503" s="503"/>
      <c r="AC1503" s="503"/>
      <c r="AD1503" s="503"/>
      <c r="AE1503" s="503"/>
      <c r="AF1503" s="503"/>
    </row>
    <row r="1504" spans="1:32" ht="15.75" customHeight="1">
      <c r="A1504" s="503"/>
      <c r="B1504" s="503"/>
      <c r="C1504" s="510"/>
      <c r="D1504" s="510"/>
      <c r="E1504" s="510"/>
      <c r="F1504" s="746"/>
      <c r="G1504" s="510"/>
      <c r="H1504" s="510"/>
      <c r="I1504" s="510"/>
      <c r="J1504" s="510"/>
      <c r="K1504" s="510"/>
      <c r="L1504" s="510"/>
      <c r="M1504" s="509"/>
      <c r="N1504" s="508"/>
      <c r="O1504" s="507"/>
      <c r="P1504" s="507"/>
      <c r="Q1504" s="505"/>
      <c r="R1504" s="506"/>
      <c r="S1504" s="506"/>
      <c r="T1504" s="506"/>
      <c r="U1504" s="505"/>
      <c r="V1504" s="505"/>
      <c r="W1504" s="505"/>
      <c r="X1504" s="504"/>
      <c r="Y1504" s="503"/>
      <c r="Z1504" s="503"/>
      <c r="AA1504" s="503"/>
      <c r="AB1504" s="503"/>
      <c r="AC1504" s="503"/>
      <c r="AD1504" s="503"/>
      <c r="AE1504" s="503"/>
      <c r="AF1504" s="503"/>
    </row>
    <row r="1505" spans="1:32" ht="15.75" customHeight="1">
      <c r="A1505" s="503"/>
      <c r="B1505" s="503"/>
      <c r="C1505" s="510"/>
      <c r="D1505" s="510"/>
      <c r="E1505" s="510"/>
      <c r="F1505" s="746"/>
      <c r="G1505" s="510"/>
      <c r="H1505" s="510"/>
      <c r="I1505" s="510"/>
      <c r="J1505" s="510"/>
      <c r="K1505" s="510"/>
      <c r="L1505" s="510"/>
      <c r="M1505" s="509"/>
      <c r="N1505" s="508"/>
      <c r="O1505" s="507"/>
      <c r="P1505" s="507"/>
      <c r="Q1505" s="505"/>
      <c r="R1505" s="506"/>
      <c r="S1505" s="506"/>
      <c r="T1505" s="506"/>
      <c r="U1505" s="505"/>
      <c r="V1505" s="505"/>
      <c r="W1505" s="505"/>
      <c r="X1505" s="504"/>
      <c r="Y1505" s="503"/>
      <c r="Z1505" s="503"/>
      <c r="AA1505" s="503"/>
      <c r="AB1505" s="503"/>
      <c r="AC1505" s="503"/>
      <c r="AD1505" s="503"/>
      <c r="AE1505" s="503"/>
      <c r="AF1505" s="503"/>
    </row>
    <row r="1506" spans="1:32" ht="15.75" customHeight="1">
      <c r="A1506" s="503"/>
      <c r="B1506" s="503"/>
      <c r="C1506" s="510"/>
      <c r="D1506" s="510"/>
      <c r="E1506" s="510"/>
      <c r="F1506" s="746"/>
      <c r="G1506" s="510"/>
      <c r="H1506" s="510"/>
      <c r="I1506" s="510"/>
      <c r="J1506" s="510"/>
      <c r="K1506" s="510"/>
      <c r="L1506" s="510"/>
      <c r="M1506" s="509"/>
      <c r="N1506" s="508"/>
      <c r="O1506" s="507"/>
      <c r="P1506" s="507"/>
      <c r="Q1506" s="505"/>
      <c r="R1506" s="506"/>
      <c r="S1506" s="506"/>
      <c r="T1506" s="506"/>
      <c r="U1506" s="505"/>
      <c r="V1506" s="505"/>
      <c r="W1506" s="505"/>
      <c r="X1506" s="504"/>
      <c r="Y1506" s="503"/>
      <c r="Z1506" s="503"/>
      <c r="AA1506" s="503"/>
      <c r="AB1506" s="503"/>
      <c r="AC1506" s="503"/>
      <c r="AD1506" s="503"/>
      <c r="AE1506" s="503"/>
      <c r="AF1506" s="503"/>
    </row>
    <row r="1507" spans="1:32" ht="15.75" customHeight="1">
      <c r="A1507" s="503"/>
      <c r="B1507" s="503"/>
      <c r="C1507" s="510"/>
      <c r="D1507" s="510"/>
      <c r="E1507" s="510"/>
      <c r="F1507" s="746"/>
      <c r="G1507" s="510"/>
      <c r="H1507" s="510"/>
      <c r="I1507" s="510"/>
      <c r="J1507" s="510"/>
      <c r="K1507" s="510"/>
      <c r="L1507" s="510"/>
      <c r="M1507" s="509"/>
      <c r="N1507" s="508"/>
      <c r="O1507" s="507"/>
      <c r="P1507" s="507"/>
      <c r="Q1507" s="505"/>
      <c r="R1507" s="506"/>
      <c r="S1507" s="506"/>
      <c r="T1507" s="506"/>
      <c r="U1507" s="505"/>
      <c r="V1507" s="505"/>
      <c r="W1507" s="505"/>
      <c r="X1507" s="504"/>
      <c r="Y1507" s="503"/>
      <c r="Z1507" s="503"/>
      <c r="AA1507" s="503"/>
      <c r="AB1507" s="503"/>
      <c r="AC1507" s="503"/>
      <c r="AD1507" s="503"/>
      <c r="AE1507" s="503"/>
      <c r="AF1507" s="503"/>
    </row>
    <row r="1508" spans="1:32" ht="15.75" customHeight="1">
      <c r="A1508" s="503"/>
      <c r="B1508" s="503"/>
      <c r="C1508" s="510"/>
      <c r="D1508" s="510"/>
      <c r="E1508" s="510"/>
      <c r="F1508" s="746"/>
      <c r="G1508" s="510"/>
      <c r="H1508" s="510"/>
      <c r="I1508" s="510"/>
      <c r="J1508" s="510"/>
      <c r="K1508" s="510"/>
      <c r="L1508" s="510"/>
      <c r="M1508" s="509"/>
      <c r="N1508" s="508"/>
      <c r="O1508" s="507"/>
      <c r="P1508" s="507"/>
      <c r="Q1508" s="505"/>
      <c r="R1508" s="506"/>
      <c r="S1508" s="506"/>
      <c r="T1508" s="506"/>
      <c r="U1508" s="505"/>
      <c r="V1508" s="505"/>
      <c r="W1508" s="505"/>
      <c r="X1508" s="504"/>
      <c r="Y1508" s="503"/>
      <c r="Z1508" s="503"/>
      <c r="AA1508" s="503"/>
      <c r="AB1508" s="503"/>
      <c r="AC1508" s="503"/>
      <c r="AD1508" s="503"/>
      <c r="AE1508" s="503"/>
      <c r="AF1508" s="503"/>
    </row>
    <row r="1509" spans="1:32" ht="15.75" customHeight="1">
      <c r="A1509" s="503"/>
      <c r="B1509" s="503"/>
      <c r="C1509" s="510"/>
      <c r="D1509" s="510"/>
      <c r="E1509" s="510"/>
      <c r="F1509" s="746"/>
      <c r="G1509" s="510"/>
      <c r="H1509" s="510"/>
      <c r="I1509" s="510"/>
      <c r="J1509" s="510"/>
      <c r="K1509" s="510"/>
      <c r="L1509" s="510"/>
      <c r="M1509" s="509"/>
      <c r="N1509" s="508"/>
      <c r="O1509" s="507"/>
      <c r="P1509" s="507"/>
      <c r="Q1509" s="505"/>
      <c r="R1509" s="506"/>
      <c r="S1509" s="506"/>
      <c r="T1509" s="506"/>
      <c r="U1509" s="505"/>
      <c r="V1509" s="505"/>
      <c r="W1509" s="505"/>
      <c r="X1509" s="504"/>
      <c r="Y1509" s="503"/>
      <c r="Z1509" s="503"/>
      <c r="AA1509" s="503"/>
      <c r="AB1509" s="503"/>
      <c r="AC1509" s="503"/>
      <c r="AD1509" s="503"/>
      <c r="AE1509" s="503"/>
      <c r="AF1509" s="503"/>
    </row>
    <row r="1510" spans="1:32" ht="15.75" customHeight="1">
      <c r="A1510" s="503"/>
      <c r="B1510" s="503"/>
      <c r="C1510" s="510"/>
      <c r="D1510" s="510"/>
      <c r="E1510" s="510"/>
      <c r="F1510" s="746"/>
      <c r="G1510" s="510"/>
      <c r="H1510" s="510"/>
      <c r="I1510" s="510"/>
      <c r="J1510" s="510"/>
      <c r="K1510" s="510"/>
      <c r="L1510" s="510"/>
      <c r="M1510" s="509"/>
      <c r="N1510" s="508"/>
      <c r="O1510" s="507"/>
      <c r="P1510" s="507"/>
      <c r="Q1510" s="505"/>
      <c r="R1510" s="506"/>
      <c r="S1510" s="506"/>
      <c r="T1510" s="506"/>
      <c r="U1510" s="505"/>
      <c r="V1510" s="505"/>
      <c r="W1510" s="505"/>
      <c r="X1510" s="504"/>
      <c r="Y1510" s="503"/>
      <c r="Z1510" s="503"/>
      <c r="AA1510" s="503"/>
      <c r="AB1510" s="503"/>
      <c r="AC1510" s="503"/>
      <c r="AD1510" s="503"/>
      <c r="AE1510" s="503"/>
      <c r="AF1510" s="503"/>
    </row>
    <row r="1511" spans="1:32" ht="15.75" customHeight="1">
      <c r="A1511" s="503"/>
      <c r="B1511" s="503"/>
      <c r="C1511" s="510"/>
      <c r="D1511" s="510"/>
      <c r="E1511" s="510"/>
      <c r="F1511" s="746"/>
      <c r="G1511" s="510"/>
      <c r="H1511" s="510"/>
      <c r="I1511" s="510"/>
      <c r="J1511" s="510"/>
      <c r="K1511" s="510"/>
      <c r="L1511" s="510"/>
      <c r="M1511" s="509"/>
      <c r="N1511" s="508"/>
      <c r="O1511" s="507"/>
      <c r="P1511" s="507"/>
      <c r="Q1511" s="505"/>
      <c r="R1511" s="506"/>
      <c r="S1511" s="506"/>
      <c r="T1511" s="506"/>
      <c r="U1511" s="505"/>
      <c r="V1511" s="505"/>
      <c r="W1511" s="505"/>
      <c r="X1511" s="504"/>
      <c r="Y1511" s="503"/>
      <c r="Z1511" s="503"/>
      <c r="AA1511" s="503"/>
      <c r="AB1511" s="503"/>
      <c r="AC1511" s="503"/>
      <c r="AD1511" s="503"/>
      <c r="AE1511" s="503"/>
      <c r="AF1511" s="503"/>
    </row>
    <row r="1512" spans="1:32" ht="15.75" customHeight="1">
      <c r="A1512" s="503"/>
      <c r="B1512" s="503"/>
      <c r="C1512" s="510"/>
      <c r="D1512" s="510"/>
      <c r="E1512" s="510"/>
      <c r="F1512" s="746"/>
      <c r="G1512" s="510"/>
      <c r="H1512" s="510"/>
      <c r="I1512" s="510"/>
      <c r="J1512" s="510"/>
      <c r="K1512" s="510"/>
      <c r="L1512" s="510"/>
      <c r="M1512" s="509"/>
      <c r="N1512" s="508"/>
      <c r="O1512" s="507"/>
      <c r="P1512" s="507"/>
      <c r="Q1512" s="505"/>
      <c r="R1512" s="506"/>
      <c r="S1512" s="506"/>
      <c r="T1512" s="506"/>
      <c r="U1512" s="505"/>
      <c r="V1512" s="505"/>
      <c r="W1512" s="505"/>
      <c r="X1512" s="504"/>
      <c r="Y1512" s="503"/>
      <c r="Z1512" s="503"/>
      <c r="AA1512" s="503"/>
      <c r="AB1512" s="503"/>
      <c r="AC1512" s="503"/>
      <c r="AD1512" s="503"/>
      <c r="AE1512" s="503"/>
      <c r="AF1512" s="503"/>
    </row>
    <row r="1513" spans="1:32" ht="15.75" customHeight="1">
      <c r="A1513" s="503"/>
      <c r="B1513" s="503"/>
      <c r="C1513" s="510"/>
      <c r="D1513" s="510"/>
      <c r="E1513" s="510"/>
      <c r="F1513" s="746"/>
      <c r="G1513" s="510"/>
      <c r="H1513" s="510"/>
      <c r="I1513" s="510"/>
      <c r="J1513" s="510"/>
      <c r="K1513" s="510"/>
      <c r="L1513" s="510"/>
      <c r="M1513" s="509"/>
      <c r="N1513" s="508"/>
      <c r="O1513" s="507"/>
      <c r="P1513" s="507"/>
      <c r="Q1513" s="505"/>
      <c r="R1513" s="506"/>
      <c r="S1513" s="506"/>
      <c r="T1513" s="506"/>
      <c r="U1513" s="505"/>
      <c r="V1513" s="505"/>
      <c r="W1513" s="505"/>
      <c r="X1513" s="504"/>
      <c r="Y1513" s="503"/>
      <c r="Z1513" s="503"/>
      <c r="AA1513" s="503"/>
      <c r="AB1513" s="503"/>
      <c r="AC1513" s="503"/>
      <c r="AD1513" s="503"/>
      <c r="AE1513" s="503"/>
      <c r="AF1513" s="503"/>
    </row>
    <row r="1514" spans="1:32" ht="15.75" customHeight="1">
      <c r="A1514" s="503"/>
      <c r="B1514" s="503"/>
      <c r="C1514" s="510"/>
      <c r="D1514" s="510"/>
      <c r="E1514" s="510"/>
      <c r="F1514" s="746"/>
      <c r="G1514" s="510"/>
      <c r="H1514" s="510"/>
      <c r="I1514" s="510"/>
      <c r="J1514" s="510"/>
      <c r="K1514" s="510"/>
      <c r="L1514" s="510"/>
      <c r="M1514" s="509"/>
      <c r="N1514" s="508"/>
      <c r="O1514" s="507"/>
      <c r="P1514" s="507"/>
      <c r="Q1514" s="505"/>
      <c r="R1514" s="506"/>
      <c r="S1514" s="506"/>
      <c r="T1514" s="506"/>
      <c r="U1514" s="505"/>
      <c r="V1514" s="505"/>
      <c r="W1514" s="505"/>
      <c r="X1514" s="504"/>
      <c r="Y1514" s="503"/>
      <c r="Z1514" s="503"/>
      <c r="AA1514" s="503"/>
      <c r="AB1514" s="503"/>
      <c r="AC1514" s="503"/>
      <c r="AD1514" s="503"/>
      <c r="AE1514" s="503"/>
      <c r="AF1514" s="503"/>
    </row>
    <row r="1515" spans="1:32" ht="15.75" customHeight="1">
      <c r="A1515" s="503"/>
      <c r="B1515" s="503"/>
      <c r="C1515" s="510"/>
      <c r="D1515" s="510"/>
      <c r="E1515" s="510"/>
      <c r="F1515" s="746"/>
      <c r="G1515" s="510"/>
      <c r="H1515" s="510"/>
      <c r="I1515" s="510"/>
      <c r="J1515" s="510"/>
      <c r="K1515" s="510"/>
      <c r="L1515" s="510"/>
      <c r="M1515" s="509"/>
      <c r="N1515" s="508"/>
      <c r="O1515" s="507"/>
      <c r="P1515" s="507"/>
      <c r="Q1515" s="505"/>
      <c r="R1515" s="506"/>
      <c r="S1515" s="506"/>
      <c r="T1515" s="506"/>
      <c r="U1515" s="505"/>
      <c r="V1515" s="505"/>
      <c r="W1515" s="505"/>
      <c r="X1515" s="504"/>
      <c r="Y1515" s="503"/>
      <c r="Z1515" s="503"/>
      <c r="AA1515" s="503"/>
      <c r="AB1515" s="503"/>
      <c r="AC1515" s="503"/>
      <c r="AD1515" s="503"/>
      <c r="AE1515" s="503"/>
      <c r="AF1515" s="503"/>
    </row>
    <row r="1516" spans="1:32" ht="15.75" customHeight="1">
      <c r="A1516" s="503"/>
      <c r="B1516" s="503"/>
      <c r="C1516" s="510"/>
      <c r="D1516" s="510"/>
      <c r="E1516" s="510"/>
      <c r="F1516" s="746"/>
      <c r="G1516" s="510"/>
      <c r="H1516" s="510"/>
      <c r="I1516" s="510"/>
      <c r="J1516" s="510"/>
      <c r="K1516" s="510"/>
      <c r="L1516" s="510"/>
      <c r="M1516" s="509"/>
      <c r="N1516" s="508"/>
      <c r="O1516" s="507"/>
      <c r="P1516" s="507"/>
      <c r="Q1516" s="505"/>
      <c r="R1516" s="506"/>
      <c r="S1516" s="506"/>
      <c r="T1516" s="506"/>
      <c r="U1516" s="505"/>
      <c r="V1516" s="505"/>
      <c r="W1516" s="505"/>
      <c r="X1516" s="504"/>
      <c r="Y1516" s="503"/>
      <c r="Z1516" s="503"/>
      <c r="AA1516" s="503"/>
      <c r="AB1516" s="503"/>
      <c r="AC1516" s="503"/>
      <c r="AD1516" s="503"/>
      <c r="AE1516" s="503"/>
      <c r="AF1516" s="503"/>
    </row>
    <row r="1517" spans="1:32" ht="15.75" customHeight="1">
      <c r="A1517" s="503"/>
      <c r="B1517" s="503"/>
      <c r="C1517" s="510"/>
      <c r="D1517" s="510"/>
      <c r="E1517" s="510"/>
      <c r="F1517" s="746"/>
      <c r="G1517" s="510"/>
      <c r="H1517" s="510"/>
      <c r="I1517" s="510"/>
      <c r="J1517" s="510"/>
      <c r="K1517" s="510"/>
      <c r="L1517" s="510"/>
      <c r="M1517" s="509"/>
      <c r="N1517" s="508"/>
      <c r="O1517" s="507"/>
      <c r="P1517" s="507"/>
      <c r="Q1517" s="505"/>
      <c r="R1517" s="506"/>
      <c r="S1517" s="506"/>
      <c r="T1517" s="506"/>
      <c r="U1517" s="505"/>
      <c r="V1517" s="505"/>
      <c r="W1517" s="505"/>
      <c r="X1517" s="504"/>
      <c r="Y1517" s="503"/>
      <c r="Z1517" s="503"/>
      <c r="AA1517" s="503"/>
      <c r="AB1517" s="503"/>
      <c r="AC1517" s="503"/>
      <c r="AD1517" s="503"/>
      <c r="AE1517" s="503"/>
      <c r="AF1517" s="503"/>
    </row>
    <row r="1518" spans="1:32" ht="15.75" customHeight="1">
      <c r="A1518" s="503"/>
      <c r="B1518" s="503"/>
      <c r="C1518" s="510"/>
      <c r="D1518" s="510"/>
      <c r="E1518" s="510"/>
      <c r="F1518" s="746"/>
      <c r="G1518" s="510"/>
      <c r="H1518" s="510"/>
      <c r="I1518" s="510"/>
      <c r="J1518" s="510"/>
      <c r="K1518" s="510"/>
      <c r="L1518" s="510"/>
      <c r="M1518" s="509"/>
      <c r="N1518" s="508"/>
      <c r="O1518" s="507"/>
      <c r="P1518" s="507"/>
      <c r="Q1518" s="505"/>
      <c r="R1518" s="506"/>
      <c r="S1518" s="506"/>
      <c r="T1518" s="506"/>
      <c r="U1518" s="505"/>
      <c r="V1518" s="505"/>
      <c r="W1518" s="505"/>
      <c r="X1518" s="504"/>
      <c r="Y1518" s="503"/>
      <c r="Z1518" s="503"/>
      <c r="AA1518" s="503"/>
      <c r="AB1518" s="503"/>
      <c r="AC1518" s="503"/>
      <c r="AD1518" s="503"/>
      <c r="AE1518" s="503"/>
      <c r="AF1518" s="503"/>
    </row>
    <row r="1519" spans="1:32" ht="15.75" customHeight="1">
      <c r="A1519" s="503"/>
      <c r="B1519" s="503"/>
      <c r="C1519" s="510"/>
      <c r="D1519" s="510"/>
      <c r="E1519" s="510"/>
      <c r="F1519" s="746"/>
      <c r="G1519" s="510"/>
      <c r="H1519" s="510"/>
      <c r="I1519" s="510"/>
      <c r="J1519" s="510"/>
      <c r="K1519" s="510"/>
      <c r="L1519" s="510"/>
      <c r="M1519" s="509"/>
      <c r="N1519" s="508"/>
      <c r="O1519" s="507"/>
      <c r="P1519" s="507"/>
      <c r="Q1519" s="505"/>
      <c r="R1519" s="506"/>
      <c r="S1519" s="506"/>
      <c r="T1519" s="506"/>
      <c r="U1519" s="505"/>
      <c r="V1519" s="505"/>
      <c r="W1519" s="505"/>
      <c r="X1519" s="504"/>
      <c r="Y1519" s="503"/>
      <c r="Z1519" s="503"/>
      <c r="AA1519" s="503"/>
      <c r="AB1519" s="503"/>
      <c r="AC1519" s="503"/>
      <c r="AD1519" s="503"/>
      <c r="AE1519" s="503"/>
      <c r="AF1519" s="503"/>
    </row>
    <row r="1520" spans="1:32" ht="15.75" customHeight="1">
      <c r="A1520" s="503"/>
      <c r="B1520" s="503"/>
      <c r="C1520" s="510"/>
      <c r="D1520" s="510"/>
      <c r="E1520" s="510"/>
      <c r="F1520" s="746"/>
      <c r="G1520" s="510"/>
      <c r="H1520" s="510"/>
      <c r="I1520" s="510"/>
      <c r="J1520" s="510"/>
      <c r="K1520" s="510"/>
      <c r="L1520" s="510"/>
      <c r="M1520" s="509"/>
      <c r="N1520" s="508"/>
      <c r="O1520" s="507"/>
      <c r="P1520" s="507"/>
      <c r="Q1520" s="505"/>
      <c r="R1520" s="506"/>
      <c r="S1520" s="506"/>
      <c r="T1520" s="506"/>
      <c r="U1520" s="505"/>
      <c r="V1520" s="505"/>
      <c r="W1520" s="505"/>
      <c r="X1520" s="504"/>
      <c r="Y1520" s="503"/>
      <c r="Z1520" s="503"/>
      <c r="AA1520" s="503"/>
      <c r="AB1520" s="503"/>
      <c r="AC1520" s="503"/>
      <c r="AD1520" s="503"/>
      <c r="AE1520" s="503"/>
      <c r="AF1520" s="503"/>
    </row>
    <row r="1521" spans="1:32" ht="15.75" customHeight="1">
      <c r="A1521" s="503"/>
      <c r="B1521" s="503"/>
      <c r="C1521" s="510"/>
      <c r="D1521" s="510"/>
      <c r="E1521" s="510"/>
      <c r="F1521" s="746"/>
      <c r="G1521" s="510"/>
      <c r="H1521" s="510"/>
      <c r="I1521" s="510"/>
      <c r="J1521" s="510"/>
      <c r="K1521" s="510"/>
      <c r="L1521" s="510"/>
      <c r="M1521" s="509"/>
      <c r="N1521" s="508"/>
      <c r="O1521" s="507"/>
      <c r="P1521" s="507"/>
      <c r="Q1521" s="505"/>
      <c r="R1521" s="506"/>
      <c r="S1521" s="506"/>
      <c r="T1521" s="506"/>
      <c r="U1521" s="505"/>
      <c r="V1521" s="505"/>
      <c r="W1521" s="505"/>
      <c r="X1521" s="504"/>
      <c r="Y1521" s="503"/>
      <c r="Z1521" s="503"/>
      <c r="AA1521" s="503"/>
      <c r="AB1521" s="503"/>
      <c r="AC1521" s="503"/>
      <c r="AD1521" s="503"/>
      <c r="AE1521" s="503"/>
      <c r="AF1521" s="503"/>
    </row>
    <row r="1522" spans="1:32" ht="15.75" customHeight="1">
      <c r="A1522" s="503"/>
      <c r="B1522" s="503"/>
      <c r="C1522" s="510"/>
      <c r="D1522" s="510"/>
      <c r="E1522" s="510"/>
      <c r="F1522" s="746"/>
      <c r="G1522" s="510"/>
      <c r="H1522" s="510"/>
      <c r="I1522" s="510"/>
      <c r="J1522" s="510"/>
      <c r="K1522" s="510"/>
      <c r="L1522" s="510"/>
      <c r="M1522" s="509"/>
      <c r="N1522" s="508"/>
      <c r="O1522" s="507"/>
      <c r="P1522" s="507"/>
      <c r="Q1522" s="505"/>
      <c r="R1522" s="506"/>
      <c r="S1522" s="506"/>
      <c r="T1522" s="506"/>
      <c r="U1522" s="505"/>
      <c r="V1522" s="505"/>
      <c r="W1522" s="505"/>
      <c r="X1522" s="504"/>
      <c r="Y1522" s="503"/>
      <c r="Z1522" s="503"/>
      <c r="AA1522" s="503"/>
      <c r="AB1522" s="503"/>
      <c r="AC1522" s="503"/>
      <c r="AD1522" s="503"/>
      <c r="AE1522" s="503"/>
      <c r="AF1522" s="503"/>
    </row>
    <row r="1523" spans="1:32" ht="15.75" customHeight="1">
      <c r="A1523" s="503"/>
      <c r="B1523" s="503"/>
      <c r="C1523" s="510"/>
      <c r="D1523" s="510"/>
      <c r="E1523" s="510"/>
      <c r="F1523" s="746"/>
      <c r="G1523" s="510"/>
      <c r="H1523" s="510"/>
      <c r="I1523" s="510"/>
      <c r="J1523" s="510"/>
      <c r="K1523" s="510"/>
      <c r="L1523" s="510"/>
      <c r="M1523" s="509"/>
      <c r="N1523" s="508"/>
      <c r="O1523" s="507"/>
      <c r="P1523" s="507"/>
      <c r="Q1523" s="505"/>
      <c r="R1523" s="506"/>
      <c r="S1523" s="506"/>
      <c r="T1523" s="506"/>
      <c r="U1523" s="505"/>
      <c r="V1523" s="505"/>
      <c r="W1523" s="505"/>
      <c r="X1523" s="504"/>
      <c r="Y1523" s="503"/>
      <c r="Z1523" s="503"/>
      <c r="AA1523" s="503"/>
      <c r="AB1523" s="503"/>
      <c r="AC1523" s="503"/>
      <c r="AD1523" s="503"/>
      <c r="AE1523" s="503"/>
      <c r="AF1523" s="503"/>
    </row>
    <row r="1524" spans="1:32" ht="15.75" customHeight="1">
      <c r="A1524" s="503"/>
      <c r="B1524" s="503"/>
      <c r="C1524" s="510"/>
      <c r="D1524" s="510"/>
      <c r="E1524" s="510"/>
      <c r="F1524" s="746"/>
      <c r="G1524" s="510"/>
      <c r="H1524" s="510"/>
      <c r="I1524" s="510"/>
      <c r="J1524" s="510"/>
      <c r="K1524" s="510"/>
      <c r="L1524" s="510"/>
      <c r="M1524" s="509"/>
      <c r="N1524" s="508"/>
      <c r="O1524" s="507"/>
      <c r="P1524" s="507"/>
      <c r="Q1524" s="505"/>
      <c r="R1524" s="506"/>
      <c r="S1524" s="506"/>
      <c r="T1524" s="506"/>
      <c r="U1524" s="505"/>
      <c r="V1524" s="505"/>
      <c r="W1524" s="505"/>
      <c r="X1524" s="504"/>
      <c r="Y1524" s="503"/>
      <c r="Z1524" s="503"/>
      <c r="AA1524" s="503"/>
      <c r="AB1524" s="503"/>
      <c r="AC1524" s="503"/>
      <c r="AD1524" s="503"/>
      <c r="AE1524" s="503"/>
      <c r="AF1524" s="503"/>
    </row>
    <row r="1525" spans="1:32" ht="15.75" customHeight="1">
      <c r="A1525" s="503"/>
      <c r="B1525" s="503"/>
      <c r="C1525" s="510"/>
      <c r="D1525" s="510"/>
      <c r="E1525" s="510"/>
      <c r="F1525" s="746"/>
      <c r="G1525" s="510"/>
      <c r="H1525" s="510"/>
      <c r="I1525" s="510"/>
      <c r="J1525" s="510"/>
      <c r="K1525" s="510"/>
      <c r="L1525" s="510"/>
      <c r="M1525" s="509"/>
      <c r="N1525" s="508"/>
      <c r="O1525" s="507"/>
      <c r="P1525" s="507"/>
      <c r="Q1525" s="505"/>
      <c r="R1525" s="506"/>
      <c r="S1525" s="506"/>
      <c r="T1525" s="506"/>
      <c r="U1525" s="505"/>
      <c r="V1525" s="505"/>
      <c r="W1525" s="505"/>
      <c r="X1525" s="504"/>
      <c r="Y1525" s="503"/>
      <c r="Z1525" s="503"/>
      <c r="AA1525" s="503"/>
      <c r="AB1525" s="503"/>
      <c r="AC1525" s="503"/>
      <c r="AD1525" s="503"/>
      <c r="AE1525" s="503"/>
      <c r="AF1525" s="503"/>
    </row>
    <row r="1526" spans="1:32" ht="15.75" customHeight="1">
      <c r="A1526" s="503"/>
      <c r="B1526" s="503"/>
      <c r="C1526" s="510"/>
      <c r="D1526" s="510"/>
      <c r="E1526" s="510"/>
      <c r="F1526" s="746"/>
      <c r="G1526" s="510"/>
      <c r="H1526" s="510"/>
      <c r="I1526" s="510"/>
      <c r="J1526" s="510"/>
      <c r="K1526" s="510"/>
      <c r="L1526" s="510"/>
      <c r="M1526" s="509"/>
      <c r="N1526" s="508"/>
      <c r="O1526" s="507"/>
      <c r="P1526" s="507"/>
      <c r="Q1526" s="505"/>
      <c r="R1526" s="506"/>
      <c r="S1526" s="506"/>
      <c r="T1526" s="506"/>
      <c r="U1526" s="505"/>
      <c r="V1526" s="505"/>
      <c r="W1526" s="505"/>
      <c r="X1526" s="504"/>
      <c r="Y1526" s="503"/>
      <c r="Z1526" s="503"/>
      <c r="AA1526" s="503"/>
      <c r="AB1526" s="503"/>
      <c r="AC1526" s="503"/>
      <c r="AD1526" s="503"/>
      <c r="AE1526" s="503"/>
      <c r="AF1526" s="503"/>
    </row>
    <row r="1527" spans="1:32" ht="15.75" customHeight="1">
      <c r="A1527" s="503"/>
      <c r="B1527" s="503"/>
      <c r="C1527" s="510"/>
      <c r="D1527" s="510"/>
      <c r="E1527" s="510"/>
      <c r="F1527" s="746"/>
      <c r="G1527" s="510"/>
      <c r="H1527" s="510"/>
      <c r="I1527" s="510"/>
      <c r="J1527" s="510"/>
      <c r="K1527" s="510"/>
      <c r="L1527" s="510"/>
      <c r="M1527" s="509"/>
      <c r="N1527" s="508"/>
      <c r="O1527" s="507"/>
      <c r="P1527" s="507"/>
      <c r="Q1527" s="505"/>
      <c r="R1527" s="506"/>
      <c r="S1527" s="506"/>
      <c r="T1527" s="506"/>
      <c r="U1527" s="505"/>
      <c r="V1527" s="505"/>
      <c r="W1527" s="505"/>
      <c r="X1527" s="504"/>
      <c r="Y1527" s="503"/>
      <c r="Z1527" s="503"/>
      <c r="AA1527" s="503"/>
      <c r="AB1527" s="503"/>
      <c r="AC1527" s="503"/>
      <c r="AD1527" s="503"/>
      <c r="AE1527" s="503"/>
      <c r="AF1527" s="503"/>
    </row>
    <row r="1528" spans="1:32" ht="15.75" customHeight="1">
      <c r="A1528" s="503"/>
      <c r="B1528" s="503"/>
      <c r="C1528" s="510"/>
      <c r="D1528" s="510"/>
      <c r="E1528" s="510"/>
      <c r="F1528" s="746"/>
      <c r="G1528" s="510"/>
      <c r="H1528" s="510"/>
      <c r="I1528" s="510"/>
      <c r="J1528" s="510"/>
      <c r="K1528" s="510"/>
      <c r="L1528" s="510"/>
      <c r="M1528" s="509"/>
      <c r="N1528" s="508"/>
      <c r="O1528" s="507"/>
      <c r="P1528" s="507"/>
      <c r="Q1528" s="505"/>
      <c r="R1528" s="506"/>
      <c r="S1528" s="506"/>
      <c r="T1528" s="506"/>
      <c r="U1528" s="505"/>
      <c r="V1528" s="505"/>
      <c r="W1528" s="505"/>
      <c r="X1528" s="504"/>
      <c r="Y1528" s="503"/>
      <c r="Z1528" s="503"/>
      <c r="AA1528" s="503"/>
      <c r="AB1528" s="503"/>
      <c r="AC1528" s="503"/>
      <c r="AD1528" s="503"/>
      <c r="AE1528" s="503"/>
      <c r="AF1528" s="503"/>
    </row>
    <row r="1529" spans="1:32" ht="15.75" customHeight="1">
      <c r="A1529" s="503"/>
      <c r="B1529" s="503"/>
      <c r="C1529" s="510"/>
      <c r="D1529" s="510"/>
      <c r="E1529" s="510"/>
      <c r="F1529" s="746"/>
      <c r="G1529" s="510"/>
      <c r="H1529" s="510"/>
      <c r="I1529" s="510"/>
      <c r="J1529" s="510"/>
      <c r="K1529" s="510"/>
      <c r="L1529" s="510"/>
      <c r="M1529" s="509"/>
      <c r="N1529" s="508"/>
      <c r="O1529" s="507"/>
      <c r="P1529" s="507"/>
      <c r="Q1529" s="505"/>
      <c r="R1529" s="506"/>
      <c r="S1529" s="506"/>
      <c r="T1529" s="506"/>
      <c r="U1529" s="505"/>
      <c r="V1529" s="505"/>
      <c r="W1529" s="505"/>
      <c r="X1529" s="504"/>
      <c r="Y1529" s="503"/>
      <c r="Z1529" s="503"/>
      <c r="AA1529" s="503"/>
      <c r="AB1529" s="503"/>
      <c r="AC1529" s="503"/>
      <c r="AD1529" s="503"/>
      <c r="AE1529" s="503"/>
      <c r="AF1529" s="503"/>
    </row>
    <row r="1530" spans="1:32" ht="15.75" customHeight="1">
      <c r="A1530" s="503"/>
      <c r="B1530" s="503"/>
      <c r="C1530" s="510"/>
      <c r="D1530" s="510"/>
      <c r="E1530" s="510"/>
      <c r="F1530" s="746"/>
      <c r="G1530" s="510"/>
      <c r="H1530" s="510"/>
      <c r="I1530" s="510"/>
      <c r="J1530" s="510"/>
      <c r="K1530" s="510"/>
      <c r="L1530" s="510"/>
      <c r="M1530" s="509"/>
      <c r="N1530" s="508"/>
      <c r="O1530" s="507"/>
      <c r="P1530" s="507"/>
      <c r="Q1530" s="505"/>
      <c r="R1530" s="506"/>
      <c r="S1530" s="506"/>
      <c r="T1530" s="506"/>
      <c r="U1530" s="505"/>
      <c r="V1530" s="505"/>
      <c r="W1530" s="505"/>
      <c r="X1530" s="504"/>
      <c r="Y1530" s="503"/>
      <c r="Z1530" s="503"/>
      <c r="AA1530" s="503"/>
      <c r="AB1530" s="503"/>
      <c r="AC1530" s="503"/>
      <c r="AD1530" s="503"/>
      <c r="AE1530" s="503"/>
      <c r="AF1530" s="503"/>
    </row>
    <row r="1531" spans="1:32" ht="15.75" customHeight="1">
      <c r="A1531" s="503"/>
      <c r="B1531" s="503"/>
      <c r="C1531" s="510"/>
      <c r="D1531" s="510"/>
      <c r="E1531" s="510"/>
      <c r="F1531" s="746"/>
      <c r="G1531" s="510"/>
      <c r="H1531" s="510"/>
      <c r="I1531" s="510"/>
      <c r="J1531" s="510"/>
      <c r="K1531" s="510"/>
      <c r="L1531" s="510"/>
      <c r="M1531" s="509"/>
      <c r="N1531" s="508"/>
      <c r="O1531" s="507"/>
      <c r="P1531" s="507"/>
      <c r="Q1531" s="505"/>
      <c r="R1531" s="506"/>
      <c r="S1531" s="506"/>
      <c r="T1531" s="506"/>
      <c r="U1531" s="505"/>
      <c r="V1531" s="505"/>
      <c r="W1531" s="505"/>
      <c r="X1531" s="504"/>
      <c r="Y1531" s="503"/>
      <c r="Z1531" s="503"/>
      <c r="AA1531" s="503"/>
      <c r="AB1531" s="503"/>
      <c r="AC1531" s="503"/>
      <c r="AD1531" s="503"/>
      <c r="AE1531" s="503"/>
      <c r="AF1531" s="503"/>
    </row>
    <row r="1532" spans="1:32" ht="15.75" customHeight="1">
      <c r="A1532" s="503"/>
      <c r="B1532" s="503"/>
      <c r="C1532" s="510"/>
      <c r="D1532" s="510"/>
      <c r="E1532" s="510"/>
      <c r="F1532" s="746"/>
      <c r="G1532" s="510"/>
      <c r="H1532" s="510"/>
      <c r="I1532" s="510"/>
      <c r="J1532" s="510"/>
      <c r="K1532" s="510"/>
      <c r="L1532" s="510"/>
      <c r="M1532" s="509"/>
      <c r="N1532" s="508"/>
      <c r="O1532" s="507"/>
      <c r="P1532" s="507"/>
      <c r="Q1532" s="505"/>
      <c r="R1532" s="506"/>
      <c r="S1532" s="506"/>
      <c r="T1532" s="506"/>
      <c r="U1532" s="505"/>
      <c r="V1532" s="505"/>
      <c r="W1532" s="505"/>
      <c r="X1532" s="504"/>
      <c r="Y1532" s="503"/>
      <c r="Z1532" s="503"/>
      <c r="AA1532" s="503"/>
      <c r="AB1532" s="503"/>
      <c r="AC1532" s="503"/>
      <c r="AD1532" s="503"/>
      <c r="AE1532" s="503"/>
      <c r="AF1532" s="503"/>
    </row>
    <row r="1533" spans="1:32" ht="15.75" customHeight="1">
      <c r="A1533" s="503"/>
      <c r="B1533" s="503"/>
      <c r="C1533" s="510"/>
      <c r="D1533" s="510"/>
      <c r="E1533" s="510"/>
      <c r="F1533" s="746"/>
      <c r="G1533" s="510"/>
      <c r="H1533" s="510"/>
      <c r="I1533" s="510"/>
      <c r="J1533" s="510"/>
      <c r="K1533" s="510"/>
      <c r="L1533" s="510"/>
      <c r="M1533" s="509"/>
      <c r="N1533" s="508"/>
      <c r="O1533" s="507"/>
      <c r="P1533" s="507"/>
      <c r="Q1533" s="505"/>
      <c r="R1533" s="506"/>
      <c r="S1533" s="506"/>
      <c r="T1533" s="506"/>
      <c r="U1533" s="505"/>
      <c r="V1533" s="505"/>
      <c r="W1533" s="505"/>
      <c r="X1533" s="504"/>
      <c r="Y1533" s="503"/>
      <c r="Z1533" s="503"/>
      <c r="AA1533" s="503"/>
      <c r="AB1533" s="503"/>
      <c r="AC1533" s="503"/>
      <c r="AD1533" s="503"/>
      <c r="AE1533" s="503"/>
      <c r="AF1533" s="503"/>
    </row>
    <row r="1534" spans="1:32" ht="15.75" customHeight="1">
      <c r="A1534" s="503"/>
      <c r="B1534" s="503"/>
      <c r="C1534" s="510"/>
      <c r="D1534" s="510"/>
      <c r="E1534" s="510"/>
      <c r="F1534" s="746"/>
      <c r="G1534" s="510"/>
      <c r="H1534" s="510"/>
      <c r="I1534" s="510"/>
      <c r="J1534" s="510"/>
      <c r="K1534" s="510"/>
      <c r="L1534" s="510"/>
      <c r="M1534" s="509"/>
      <c r="N1534" s="508"/>
      <c r="O1534" s="507"/>
      <c r="P1534" s="507"/>
      <c r="Q1534" s="505"/>
      <c r="R1534" s="506"/>
      <c r="S1534" s="506"/>
      <c r="T1534" s="506"/>
      <c r="U1534" s="505"/>
      <c r="V1534" s="505"/>
      <c r="W1534" s="505"/>
      <c r="X1534" s="504"/>
      <c r="Y1534" s="503"/>
      <c r="Z1534" s="503"/>
      <c r="AA1534" s="503"/>
      <c r="AB1534" s="503"/>
      <c r="AC1534" s="503"/>
      <c r="AD1534" s="503"/>
      <c r="AE1534" s="503"/>
      <c r="AF1534" s="503"/>
    </row>
    <row r="1535" spans="1:32" ht="15.75" customHeight="1">
      <c r="A1535" s="503"/>
      <c r="B1535" s="503"/>
      <c r="C1535" s="510"/>
      <c r="D1535" s="510"/>
      <c r="E1535" s="510"/>
      <c r="F1535" s="746"/>
      <c r="G1535" s="510"/>
      <c r="H1535" s="510"/>
      <c r="I1535" s="510"/>
      <c r="J1535" s="510"/>
      <c r="K1535" s="510"/>
      <c r="L1535" s="510"/>
      <c r="M1535" s="509"/>
      <c r="N1535" s="508"/>
      <c r="O1535" s="507"/>
      <c r="P1535" s="507"/>
      <c r="Q1535" s="505"/>
      <c r="R1535" s="506"/>
      <c r="S1535" s="506"/>
      <c r="T1535" s="506"/>
      <c r="U1535" s="505"/>
      <c r="V1535" s="505"/>
      <c r="W1535" s="505"/>
      <c r="X1535" s="504"/>
      <c r="Y1535" s="503"/>
      <c r="Z1535" s="503"/>
      <c r="AA1535" s="503"/>
      <c r="AB1535" s="503"/>
      <c r="AC1535" s="503"/>
      <c r="AD1535" s="503"/>
      <c r="AE1535" s="503"/>
      <c r="AF1535" s="503"/>
    </row>
    <row r="1536" spans="1:32" ht="15.75" customHeight="1">
      <c r="A1536" s="503"/>
      <c r="B1536" s="503"/>
      <c r="C1536" s="510"/>
      <c r="D1536" s="510"/>
      <c r="E1536" s="510"/>
      <c r="F1536" s="746"/>
      <c r="G1536" s="510"/>
      <c r="H1536" s="510"/>
      <c r="I1536" s="510"/>
      <c r="J1536" s="510"/>
      <c r="K1536" s="510"/>
      <c r="L1536" s="510"/>
      <c r="M1536" s="509"/>
      <c r="N1536" s="508"/>
      <c r="O1536" s="507"/>
      <c r="P1536" s="507"/>
      <c r="Q1536" s="505"/>
      <c r="R1536" s="506"/>
      <c r="S1536" s="506"/>
      <c r="T1536" s="506"/>
      <c r="U1536" s="505"/>
      <c r="V1536" s="505"/>
      <c r="W1536" s="505"/>
      <c r="X1536" s="504"/>
      <c r="Y1536" s="503"/>
      <c r="Z1536" s="503"/>
      <c r="AA1536" s="503"/>
      <c r="AB1536" s="503"/>
      <c r="AC1536" s="503"/>
      <c r="AD1536" s="503"/>
      <c r="AE1536" s="503"/>
      <c r="AF1536" s="503"/>
    </row>
    <row r="1537" spans="1:32" ht="15.75" customHeight="1">
      <c r="A1537" s="503"/>
      <c r="B1537" s="503"/>
      <c r="C1537" s="510"/>
      <c r="D1537" s="510"/>
      <c r="E1537" s="510"/>
      <c r="F1537" s="746"/>
      <c r="G1537" s="510"/>
      <c r="H1537" s="510"/>
      <c r="I1537" s="510"/>
      <c r="J1537" s="510"/>
      <c r="K1537" s="510"/>
      <c r="L1537" s="510"/>
      <c r="M1537" s="509"/>
      <c r="N1537" s="508"/>
      <c r="O1537" s="507"/>
      <c r="P1537" s="507"/>
      <c r="Q1537" s="505"/>
      <c r="R1537" s="506"/>
      <c r="S1537" s="506"/>
      <c r="T1537" s="506"/>
      <c r="U1537" s="505"/>
      <c r="V1537" s="505"/>
      <c r="W1537" s="505"/>
      <c r="X1537" s="504"/>
      <c r="Y1537" s="503"/>
      <c r="Z1537" s="503"/>
      <c r="AA1537" s="503"/>
      <c r="AB1537" s="503"/>
      <c r="AC1537" s="503"/>
      <c r="AD1537" s="503"/>
      <c r="AE1537" s="503"/>
      <c r="AF1537" s="503"/>
    </row>
    <row r="1538" spans="1:32" ht="15.75" customHeight="1">
      <c r="A1538" s="503"/>
      <c r="B1538" s="503"/>
      <c r="C1538" s="510"/>
      <c r="D1538" s="510"/>
      <c r="E1538" s="510"/>
      <c r="F1538" s="746"/>
      <c r="G1538" s="510"/>
      <c r="H1538" s="510"/>
      <c r="I1538" s="510"/>
      <c r="J1538" s="510"/>
      <c r="K1538" s="510"/>
      <c r="L1538" s="510"/>
      <c r="M1538" s="509"/>
      <c r="N1538" s="508"/>
      <c r="O1538" s="507"/>
      <c r="P1538" s="507"/>
      <c r="Q1538" s="505"/>
      <c r="R1538" s="506"/>
      <c r="S1538" s="506"/>
      <c r="T1538" s="506"/>
      <c r="U1538" s="505"/>
      <c r="V1538" s="505"/>
      <c r="W1538" s="505"/>
      <c r="X1538" s="504"/>
      <c r="Y1538" s="503"/>
      <c r="Z1538" s="503"/>
      <c r="AA1538" s="503"/>
      <c r="AB1538" s="503"/>
      <c r="AC1538" s="503"/>
      <c r="AD1538" s="503"/>
      <c r="AE1538" s="503"/>
      <c r="AF1538" s="503"/>
    </row>
    <row r="1539" spans="1:32" ht="15.75" customHeight="1">
      <c r="A1539" s="503"/>
      <c r="B1539" s="503"/>
      <c r="C1539" s="510"/>
      <c r="D1539" s="510"/>
      <c r="E1539" s="510"/>
      <c r="F1539" s="746"/>
      <c r="G1539" s="510"/>
      <c r="H1539" s="510"/>
      <c r="I1539" s="510"/>
      <c r="J1539" s="510"/>
      <c r="K1539" s="510"/>
      <c r="L1539" s="510"/>
      <c r="M1539" s="509"/>
      <c r="N1539" s="508"/>
      <c r="O1539" s="507"/>
      <c r="P1539" s="507"/>
      <c r="Q1539" s="505"/>
      <c r="R1539" s="506"/>
      <c r="S1539" s="506"/>
      <c r="T1539" s="506"/>
      <c r="U1539" s="505"/>
      <c r="V1539" s="505"/>
      <c r="W1539" s="505"/>
      <c r="X1539" s="504"/>
      <c r="Y1539" s="503"/>
      <c r="Z1539" s="503"/>
      <c r="AA1539" s="503"/>
      <c r="AB1539" s="503"/>
      <c r="AC1539" s="503"/>
      <c r="AD1539" s="503"/>
      <c r="AE1539" s="503"/>
      <c r="AF1539" s="503"/>
    </row>
    <row r="1540" spans="1:32" ht="15.75" customHeight="1">
      <c r="A1540" s="503"/>
      <c r="B1540" s="503"/>
      <c r="C1540" s="510"/>
      <c r="D1540" s="510"/>
      <c r="E1540" s="510"/>
      <c r="F1540" s="746"/>
      <c r="G1540" s="510"/>
      <c r="H1540" s="510"/>
      <c r="I1540" s="510"/>
      <c r="J1540" s="510"/>
      <c r="K1540" s="510"/>
      <c r="L1540" s="510"/>
      <c r="M1540" s="509"/>
      <c r="N1540" s="508"/>
      <c r="O1540" s="507"/>
      <c r="P1540" s="507"/>
      <c r="Q1540" s="505"/>
      <c r="R1540" s="506"/>
      <c r="S1540" s="506"/>
      <c r="T1540" s="506"/>
      <c r="U1540" s="505"/>
      <c r="V1540" s="505"/>
      <c r="W1540" s="505"/>
      <c r="X1540" s="504"/>
      <c r="Y1540" s="503"/>
      <c r="Z1540" s="503"/>
      <c r="AA1540" s="503"/>
      <c r="AB1540" s="503"/>
      <c r="AC1540" s="503"/>
      <c r="AD1540" s="503"/>
      <c r="AE1540" s="503"/>
      <c r="AF1540" s="503"/>
    </row>
    <row r="1541" spans="1:32" ht="15.75" customHeight="1">
      <c r="A1541" s="503"/>
      <c r="B1541" s="503"/>
      <c r="C1541" s="510"/>
      <c r="D1541" s="510"/>
      <c r="E1541" s="510"/>
      <c r="F1541" s="746"/>
      <c r="G1541" s="510"/>
      <c r="H1541" s="510"/>
      <c r="I1541" s="510"/>
      <c r="J1541" s="510"/>
      <c r="K1541" s="510"/>
      <c r="L1541" s="510"/>
      <c r="M1541" s="509"/>
      <c r="N1541" s="508"/>
      <c r="O1541" s="507"/>
      <c r="P1541" s="507"/>
      <c r="Q1541" s="505"/>
      <c r="R1541" s="506"/>
      <c r="S1541" s="506"/>
      <c r="T1541" s="506"/>
      <c r="U1541" s="505"/>
      <c r="V1541" s="505"/>
      <c r="W1541" s="505"/>
      <c r="X1541" s="504"/>
      <c r="Y1541" s="503"/>
      <c r="Z1541" s="503"/>
      <c r="AA1541" s="503"/>
      <c r="AB1541" s="503"/>
      <c r="AC1541" s="503"/>
      <c r="AD1541" s="503"/>
      <c r="AE1541" s="503"/>
      <c r="AF1541" s="503"/>
    </row>
    <row r="1542" spans="1:32" ht="15.75" customHeight="1">
      <c r="A1542" s="503"/>
      <c r="B1542" s="503"/>
      <c r="C1542" s="510"/>
      <c r="D1542" s="510"/>
      <c r="E1542" s="510"/>
      <c r="F1542" s="746"/>
      <c r="G1542" s="510"/>
      <c r="H1542" s="510"/>
      <c r="I1542" s="510"/>
      <c r="J1542" s="510"/>
      <c r="K1542" s="510"/>
      <c r="L1542" s="510"/>
      <c r="M1542" s="509"/>
      <c r="N1542" s="508"/>
      <c r="O1542" s="507"/>
      <c r="P1542" s="507"/>
      <c r="Q1542" s="505"/>
      <c r="R1542" s="506"/>
      <c r="S1542" s="506"/>
      <c r="T1542" s="506"/>
      <c r="U1542" s="505"/>
      <c r="V1542" s="505"/>
      <c r="W1542" s="505"/>
      <c r="X1542" s="504"/>
      <c r="Y1542" s="503"/>
      <c r="Z1542" s="503"/>
      <c r="AA1542" s="503"/>
      <c r="AB1542" s="503"/>
      <c r="AC1542" s="503"/>
      <c r="AD1542" s="503"/>
      <c r="AE1542" s="503"/>
      <c r="AF1542" s="503"/>
    </row>
    <row r="1543" spans="1:32" ht="15.75" customHeight="1">
      <c r="A1543" s="503"/>
      <c r="B1543" s="503"/>
      <c r="C1543" s="510"/>
      <c r="D1543" s="510"/>
      <c r="E1543" s="510"/>
      <c r="F1543" s="746"/>
      <c r="G1543" s="510"/>
      <c r="H1543" s="510"/>
      <c r="I1543" s="510"/>
      <c r="J1543" s="510"/>
      <c r="K1543" s="510"/>
      <c r="L1543" s="510"/>
      <c r="M1543" s="509"/>
      <c r="N1543" s="508"/>
      <c r="O1543" s="507"/>
      <c r="P1543" s="507"/>
      <c r="Q1543" s="505"/>
      <c r="R1543" s="506"/>
      <c r="S1543" s="506"/>
      <c r="T1543" s="506"/>
      <c r="U1543" s="505"/>
      <c r="V1543" s="505"/>
      <c r="W1543" s="505"/>
      <c r="X1543" s="504"/>
      <c r="Y1543" s="503"/>
      <c r="Z1543" s="503"/>
      <c r="AA1543" s="503"/>
      <c r="AB1543" s="503"/>
      <c r="AC1543" s="503"/>
      <c r="AD1543" s="503"/>
      <c r="AE1543" s="503"/>
      <c r="AF1543" s="503"/>
    </row>
    <row r="1544" spans="1:32" ht="15.75" customHeight="1">
      <c r="A1544" s="503"/>
      <c r="B1544" s="503"/>
      <c r="C1544" s="510"/>
      <c r="D1544" s="510"/>
      <c r="E1544" s="510"/>
      <c r="F1544" s="746"/>
      <c r="G1544" s="510"/>
      <c r="H1544" s="510"/>
      <c r="I1544" s="510"/>
      <c r="J1544" s="510"/>
      <c r="K1544" s="510"/>
      <c r="L1544" s="510"/>
      <c r="M1544" s="509"/>
      <c r="N1544" s="508"/>
      <c r="O1544" s="507"/>
      <c r="P1544" s="507"/>
      <c r="Q1544" s="505"/>
      <c r="R1544" s="506"/>
      <c r="S1544" s="506"/>
      <c r="T1544" s="506"/>
      <c r="U1544" s="505"/>
      <c r="V1544" s="505"/>
      <c r="W1544" s="505"/>
      <c r="X1544" s="504"/>
      <c r="Y1544" s="503"/>
      <c r="Z1544" s="503"/>
      <c r="AA1544" s="503"/>
      <c r="AB1544" s="503"/>
      <c r="AC1544" s="503"/>
      <c r="AD1544" s="503"/>
      <c r="AE1544" s="503"/>
      <c r="AF1544" s="503"/>
    </row>
    <row r="1545" spans="1:32" ht="15.75" customHeight="1">
      <c r="A1545" s="503"/>
      <c r="B1545" s="503"/>
      <c r="C1545" s="510"/>
      <c r="D1545" s="510"/>
      <c r="E1545" s="510"/>
      <c r="F1545" s="746"/>
      <c r="G1545" s="510"/>
      <c r="H1545" s="510"/>
      <c r="I1545" s="510"/>
      <c r="J1545" s="510"/>
      <c r="K1545" s="510"/>
      <c r="L1545" s="510"/>
      <c r="M1545" s="509"/>
      <c r="N1545" s="508"/>
      <c r="O1545" s="507"/>
      <c r="P1545" s="507"/>
      <c r="Q1545" s="505"/>
      <c r="R1545" s="506"/>
      <c r="S1545" s="506"/>
      <c r="T1545" s="506"/>
      <c r="U1545" s="505"/>
      <c r="V1545" s="505"/>
      <c r="W1545" s="505"/>
      <c r="X1545" s="504"/>
      <c r="Y1545" s="503"/>
      <c r="Z1545" s="503"/>
      <c r="AA1545" s="503"/>
      <c r="AB1545" s="503"/>
      <c r="AC1545" s="503"/>
      <c r="AD1545" s="503"/>
      <c r="AE1545" s="503"/>
      <c r="AF1545" s="503"/>
    </row>
    <row r="1546" spans="1:32" ht="15.75" customHeight="1">
      <c r="A1546" s="503"/>
      <c r="B1546" s="503"/>
      <c r="C1546" s="510"/>
      <c r="D1546" s="510"/>
      <c r="E1546" s="510"/>
      <c r="F1546" s="746"/>
      <c r="G1546" s="510"/>
      <c r="H1546" s="510"/>
      <c r="I1546" s="510"/>
      <c r="J1546" s="510"/>
      <c r="K1546" s="510"/>
      <c r="L1546" s="510"/>
      <c r="M1546" s="509"/>
      <c r="N1546" s="508"/>
      <c r="O1546" s="507"/>
      <c r="P1546" s="507"/>
      <c r="Q1546" s="505"/>
      <c r="R1546" s="506"/>
      <c r="S1546" s="506"/>
      <c r="T1546" s="506"/>
      <c r="U1546" s="505"/>
      <c r="V1546" s="505"/>
      <c r="W1546" s="505"/>
      <c r="X1546" s="504"/>
      <c r="Y1546" s="503"/>
      <c r="Z1546" s="503"/>
      <c r="AA1546" s="503"/>
      <c r="AB1546" s="503"/>
      <c r="AC1546" s="503"/>
      <c r="AD1546" s="503"/>
      <c r="AE1546" s="503"/>
      <c r="AF1546" s="503"/>
    </row>
    <row r="1547" spans="1:32" ht="15.75" customHeight="1">
      <c r="A1547" s="503"/>
      <c r="B1547" s="503"/>
      <c r="C1547" s="510"/>
      <c r="D1547" s="510"/>
      <c r="E1547" s="510"/>
      <c r="F1547" s="746"/>
      <c r="G1547" s="510"/>
      <c r="H1547" s="510"/>
      <c r="I1547" s="510"/>
      <c r="J1547" s="510"/>
      <c r="K1547" s="510"/>
      <c r="L1547" s="510"/>
      <c r="M1547" s="509"/>
      <c r="N1547" s="508"/>
      <c r="O1547" s="507"/>
      <c r="P1547" s="507"/>
      <c r="Q1547" s="505"/>
      <c r="R1547" s="506"/>
      <c r="S1547" s="506"/>
      <c r="T1547" s="506"/>
      <c r="U1547" s="505"/>
      <c r="V1547" s="505"/>
      <c r="W1547" s="505"/>
      <c r="X1547" s="504"/>
      <c r="Y1547" s="503"/>
      <c r="Z1547" s="503"/>
      <c r="AA1547" s="503"/>
      <c r="AB1547" s="503"/>
      <c r="AC1547" s="503"/>
      <c r="AD1547" s="503"/>
      <c r="AE1547" s="503"/>
      <c r="AF1547" s="503"/>
    </row>
    <row r="1548" spans="1:32" ht="15.75" customHeight="1">
      <c r="A1548" s="503"/>
      <c r="B1548" s="503"/>
      <c r="C1548" s="510"/>
      <c r="D1548" s="510"/>
      <c r="E1548" s="510"/>
      <c r="F1548" s="746"/>
      <c r="G1548" s="510"/>
      <c r="H1548" s="510"/>
      <c r="I1548" s="510"/>
      <c r="J1548" s="510"/>
      <c r="K1548" s="510"/>
      <c r="L1548" s="510"/>
      <c r="M1548" s="509"/>
      <c r="N1548" s="508"/>
      <c r="O1548" s="507"/>
      <c r="P1548" s="507"/>
      <c r="Q1548" s="505"/>
      <c r="R1548" s="506"/>
      <c r="S1548" s="506"/>
      <c r="T1548" s="506"/>
      <c r="U1548" s="505"/>
      <c r="V1548" s="505"/>
      <c r="W1548" s="505"/>
      <c r="X1548" s="504"/>
      <c r="Y1548" s="503"/>
      <c r="Z1548" s="503"/>
      <c r="AA1548" s="503"/>
      <c r="AB1548" s="503"/>
      <c r="AC1548" s="503"/>
      <c r="AD1548" s="503"/>
      <c r="AE1548" s="503"/>
      <c r="AF1548" s="503"/>
    </row>
    <row r="1549" spans="1:32" ht="15.75" customHeight="1">
      <c r="A1549" s="503"/>
      <c r="B1549" s="503"/>
      <c r="C1549" s="510"/>
      <c r="D1549" s="510"/>
      <c r="E1549" s="510"/>
      <c r="F1549" s="746"/>
      <c r="G1549" s="510"/>
      <c r="H1549" s="510"/>
      <c r="I1549" s="510"/>
      <c r="J1549" s="510"/>
      <c r="K1549" s="510"/>
      <c r="L1549" s="510"/>
      <c r="M1549" s="509"/>
      <c r="N1549" s="508"/>
      <c r="O1549" s="507"/>
      <c r="P1549" s="507"/>
      <c r="Q1549" s="505"/>
      <c r="R1549" s="506"/>
      <c r="S1549" s="506"/>
      <c r="T1549" s="506"/>
      <c r="U1549" s="505"/>
      <c r="V1549" s="505"/>
      <c r="W1549" s="505"/>
      <c r="X1549" s="504"/>
      <c r="Y1549" s="503"/>
      <c r="Z1549" s="503"/>
      <c r="AA1549" s="503"/>
      <c r="AB1549" s="503"/>
      <c r="AC1549" s="503"/>
      <c r="AD1549" s="503"/>
      <c r="AE1549" s="503"/>
      <c r="AF1549" s="503"/>
    </row>
    <row r="1550" spans="1:32" ht="15.75" customHeight="1">
      <c r="A1550" s="503"/>
      <c r="B1550" s="503"/>
      <c r="C1550" s="510"/>
      <c r="D1550" s="510"/>
      <c r="E1550" s="510"/>
      <c r="F1550" s="746"/>
      <c r="G1550" s="510"/>
      <c r="H1550" s="510"/>
      <c r="I1550" s="510"/>
      <c r="J1550" s="510"/>
      <c r="K1550" s="510"/>
      <c r="L1550" s="510"/>
      <c r="M1550" s="509"/>
      <c r="N1550" s="508"/>
      <c r="O1550" s="507"/>
      <c r="P1550" s="507"/>
      <c r="Q1550" s="505"/>
      <c r="R1550" s="506"/>
      <c r="S1550" s="506"/>
      <c r="T1550" s="506"/>
      <c r="U1550" s="505"/>
      <c r="V1550" s="505"/>
      <c r="W1550" s="505"/>
      <c r="X1550" s="504"/>
      <c r="Y1550" s="503"/>
      <c r="Z1550" s="503"/>
      <c r="AA1550" s="503"/>
      <c r="AB1550" s="503"/>
      <c r="AC1550" s="503"/>
      <c r="AD1550" s="503"/>
      <c r="AE1550" s="503"/>
      <c r="AF1550" s="503"/>
    </row>
    <row r="1551" spans="1:32" ht="15.75" customHeight="1">
      <c r="A1551" s="503"/>
      <c r="B1551" s="503"/>
      <c r="C1551" s="510"/>
      <c r="D1551" s="510"/>
      <c r="E1551" s="510"/>
      <c r="F1551" s="746"/>
      <c r="G1551" s="510"/>
      <c r="H1551" s="510"/>
      <c r="I1551" s="510"/>
      <c r="J1551" s="510"/>
      <c r="K1551" s="510"/>
      <c r="L1551" s="510"/>
      <c r="M1551" s="509"/>
      <c r="N1551" s="508"/>
      <c r="O1551" s="507"/>
      <c r="P1551" s="507"/>
      <c r="Q1551" s="505"/>
      <c r="R1551" s="506"/>
      <c r="S1551" s="506"/>
      <c r="T1551" s="506"/>
      <c r="U1551" s="505"/>
      <c r="V1551" s="505"/>
      <c r="W1551" s="505"/>
      <c r="X1551" s="504"/>
      <c r="Y1551" s="503"/>
      <c r="Z1551" s="503"/>
      <c r="AA1551" s="503"/>
      <c r="AB1551" s="503"/>
      <c r="AC1551" s="503"/>
      <c r="AD1551" s="503"/>
      <c r="AE1551" s="503"/>
      <c r="AF1551" s="503"/>
    </row>
    <row r="1552" spans="1:32" ht="15.75" customHeight="1">
      <c r="A1552" s="503"/>
      <c r="B1552" s="503"/>
      <c r="C1552" s="510"/>
      <c r="D1552" s="510"/>
      <c r="E1552" s="510"/>
      <c r="F1552" s="746"/>
      <c r="G1552" s="510"/>
      <c r="H1552" s="510"/>
      <c r="I1552" s="510"/>
      <c r="J1552" s="510"/>
      <c r="K1552" s="510"/>
      <c r="L1552" s="510"/>
      <c r="M1552" s="509"/>
      <c r="N1552" s="508"/>
      <c r="O1552" s="507"/>
      <c r="P1552" s="507"/>
      <c r="Q1552" s="505"/>
      <c r="R1552" s="506"/>
      <c r="S1552" s="506"/>
      <c r="T1552" s="506"/>
      <c r="U1552" s="505"/>
      <c r="V1552" s="505"/>
      <c r="W1552" s="505"/>
      <c r="X1552" s="504"/>
      <c r="Y1552" s="503"/>
      <c r="Z1552" s="503"/>
      <c r="AA1552" s="503"/>
      <c r="AB1552" s="503"/>
      <c r="AC1552" s="503"/>
      <c r="AD1552" s="503"/>
      <c r="AE1552" s="503"/>
      <c r="AF1552" s="503"/>
    </row>
    <row r="1553" spans="1:32" ht="15.75" customHeight="1">
      <c r="A1553" s="503"/>
      <c r="B1553" s="503"/>
      <c r="C1553" s="510"/>
      <c r="D1553" s="510"/>
      <c r="E1553" s="510"/>
      <c r="F1553" s="746"/>
      <c r="G1553" s="510"/>
      <c r="H1553" s="510"/>
      <c r="I1553" s="510"/>
      <c r="J1553" s="510"/>
      <c r="K1553" s="510"/>
      <c r="L1553" s="510"/>
      <c r="M1553" s="509"/>
      <c r="N1553" s="508"/>
      <c r="O1553" s="507"/>
      <c r="P1553" s="507"/>
      <c r="Q1553" s="505"/>
      <c r="R1553" s="506"/>
      <c r="S1553" s="506"/>
      <c r="T1553" s="506"/>
      <c r="U1553" s="505"/>
      <c r="V1553" s="505"/>
      <c r="W1553" s="505"/>
      <c r="X1553" s="504"/>
      <c r="Y1553" s="503"/>
      <c r="Z1553" s="503"/>
      <c r="AA1553" s="503"/>
      <c r="AB1553" s="503"/>
      <c r="AC1553" s="503"/>
      <c r="AD1553" s="503"/>
      <c r="AE1553" s="503"/>
      <c r="AF1553" s="503"/>
    </row>
    <row r="1554" spans="1:32" ht="15.75" customHeight="1">
      <c r="A1554" s="503"/>
      <c r="B1554" s="503"/>
      <c r="C1554" s="510"/>
      <c r="D1554" s="510"/>
      <c r="E1554" s="510"/>
      <c r="F1554" s="746"/>
      <c r="G1554" s="510"/>
      <c r="H1554" s="510"/>
      <c r="I1554" s="510"/>
      <c r="J1554" s="510"/>
      <c r="K1554" s="510"/>
      <c r="L1554" s="510"/>
      <c r="M1554" s="509"/>
      <c r="N1554" s="508"/>
      <c r="O1554" s="507"/>
      <c r="P1554" s="507"/>
      <c r="Q1554" s="505"/>
      <c r="R1554" s="506"/>
      <c r="S1554" s="506"/>
      <c r="T1554" s="506"/>
      <c r="U1554" s="505"/>
      <c r="V1554" s="505"/>
      <c r="W1554" s="505"/>
      <c r="X1554" s="504"/>
      <c r="Y1554" s="503"/>
      <c r="Z1554" s="503"/>
      <c r="AA1554" s="503"/>
      <c r="AB1554" s="503"/>
      <c r="AC1554" s="503"/>
      <c r="AD1554" s="503"/>
      <c r="AE1554" s="503"/>
      <c r="AF1554" s="503"/>
    </row>
    <row r="1555" spans="1:32" ht="15.75" customHeight="1">
      <c r="A1555" s="503"/>
      <c r="B1555" s="503"/>
      <c r="C1555" s="510"/>
      <c r="D1555" s="510"/>
      <c r="E1555" s="510"/>
      <c r="F1555" s="746"/>
      <c r="G1555" s="510"/>
      <c r="H1555" s="510"/>
      <c r="I1555" s="510"/>
      <c r="J1555" s="510"/>
      <c r="K1555" s="510"/>
      <c r="L1555" s="510"/>
      <c r="M1555" s="509"/>
      <c r="N1555" s="508"/>
      <c r="O1555" s="507"/>
      <c r="P1555" s="507"/>
      <c r="Q1555" s="505"/>
      <c r="R1555" s="506"/>
      <c r="S1555" s="506"/>
      <c r="T1555" s="506"/>
      <c r="U1555" s="505"/>
      <c r="V1555" s="505"/>
      <c r="W1555" s="505"/>
      <c r="X1555" s="504"/>
      <c r="Y1555" s="503"/>
      <c r="Z1555" s="503"/>
      <c r="AA1555" s="503"/>
      <c r="AB1555" s="503"/>
      <c r="AC1555" s="503"/>
      <c r="AD1555" s="503"/>
      <c r="AE1555" s="503"/>
      <c r="AF1555" s="503"/>
    </row>
    <row r="1556" spans="1:32" ht="15.75" customHeight="1">
      <c r="A1556" s="503"/>
      <c r="B1556" s="503"/>
      <c r="C1556" s="510"/>
      <c r="D1556" s="510"/>
      <c r="E1556" s="510"/>
      <c r="F1556" s="746"/>
      <c r="G1556" s="510"/>
      <c r="H1556" s="510"/>
      <c r="I1556" s="510"/>
      <c r="J1556" s="510"/>
      <c r="K1556" s="510"/>
      <c r="L1556" s="510"/>
      <c r="M1556" s="509"/>
      <c r="N1556" s="508"/>
      <c r="O1556" s="507"/>
      <c r="P1556" s="507"/>
      <c r="Q1556" s="505"/>
      <c r="R1556" s="506"/>
      <c r="S1556" s="506"/>
      <c r="T1556" s="506"/>
      <c r="U1556" s="505"/>
      <c r="V1556" s="505"/>
      <c r="W1556" s="505"/>
      <c r="X1556" s="504"/>
      <c r="Y1556" s="503"/>
      <c r="Z1556" s="503"/>
      <c r="AA1556" s="503"/>
      <c r="AB1556" s="503"/>
      <c r="AC1556" s="503"/>
      <c r="AD1556" s="503"/>
      <c r="AE1556" s="503"/>
      <c r="AF1556" s="503"/>
    </row>
    <row r="1557" spans="1:32" ht="15.75" customHeight="1">
      <c r="A1557" s="503"/>
      <c r="B1557" s="503"/>
      <c r="C1557" s="510"/>
      <c r="D1557" s="510"/>
      <c r="E1557" s="510"/>
      <c r="F1557" s="746"/>
      <c r="G1557" s="510"/>
      <c r="H1557" s="510"/>
      <c r="I1557" s="510"/>
      <c r="J1557" s="510"/>
      <c r="K1557" s="510"/>
      <c r="L1557" s="510"/>
      <c r="M1557" s="509"/>
      <c r="N1557" s="508"/>
      <c r="O1557" s="507"/>
      <c r="P1557" s="507"/>
      <c r="Q1557" s="505"/>
      <c r="R1557" s="506"/>
      <c r="S1557" s="506"/>
      <c r="T1557" s="506"/>
      <c r="U1557" s="505"/>
      <c r="V1557" s="505"/>
      <c r="W1557" s="505"/>
      <c r="X1557" s="504"/>
      <c r="Y1557" s="503"/>
      <c r="Z1557" s="503"/>
      <c r="AA1557" s="503"/>
      <c r="AB1557" s="503"/>
      <c r="AC1557" s="503"/>
      <c r="AD1557" s="503"/>
      <c r="AE1557" s="503"/>
      <c r="AF1557" s="503"/>
    </row>
    <row r="1558" spans="1:32" ht="15.75" customHeight="1">
      <c r="A1558" s="503"/>
      <c r="B1558" s="503"/>
      <c r="C1558" s="510"/>
      <c r="D1558" s="510"/>
      <c r="E1558" s="510"/>
      <c r="F1558" s="746"/>
      <c r="G1558" s="510"/>
      <c r="H1558" s="510"/>
      <c r="I1558" s="510"/>
      <c r="J1558" s="510"/>
      <c r="K1558" s="510"/>
      <c r="L1558" s="510"/>
      <c r="M1558" s="509"/>
      <c r="N1558" s="508"/>
      <c r="O1558" s="507"/>
      <c r="P1558" s="507"/>
      <c r="Q1558" s="505"/>
      <c r="R1558" s="506"/>
      <c r="S1558" s="506"/>
      <c r="T1558" s="506"/>
      <c r="U1558" s="505"/>
      <c r="V1558" s="505"/>
      <c r="W1558" s="505"/>
      <c r="X1558" s="504"/>
      <c r="Y1558" s="503"/>
      <c r="Z1558" s="503"/>
      <c r="AA1558" s="503"/>
      <c r="AB1558" s="503"/>
      <c r="AC1558" s="503"/>
      <c r="AD1558" s="503"/>
      <c r="AE1558" s="503"/>
      <c r="AF1558" s="503"/>
    </row>
    <row r="1559" spans="1:32" ht="15.75" customHeight="1">
      <c r="A1559" s="503"/>
      <c r="B1559" s="503"/>
      <c r="C1559" s="510"/>
      <c r="D1559" s="510"/>
      <c r="E1559" s="510"/>
      <c r="F1559" s="746"/>
      <c r="G1559" s="510"/>
      <c r="H1559" s="510"/>
      <c r="I1559" s="510"/>
      <c r="J1559" s="510"/>
      <c r="K1559" s="510"/>
      <c r="L1559" s="510"/>
      <c r="M1559" s="509"/>
      <c r="N1559" s="508"/>
      <c r="O1559" s="507"/>
      <c r="P1559" s="507"/>
      <c r="Q1559" s="505"/>
      <c r="R1559" s="506"/>
      <c r="S1559" s="506"/>
      <c r="T1559" s="506"/>
      <c r="U1559" s="505"/>
      <c r="V1559" s="505"/>
      <c r="W1559" s="505"/>
      <c r="X1559" s="504"/>
      <c r="Y1559" s="503"/>
      <c r="Z1559" s="503"/>
      <c r="AA1559" s="503"/>
      <c r="AB1559" s="503"/>
      <c r="AC1559" s="503"/>
      <c r="AD1559" s="503"/>
      <c r="AE1559" s="503"/>
      <c r="AF1559" s="503"/>
    </row>
    <row r="1560" spans="1:32" ht="15.75" customHeight="1">
      <c r="A1560" s="503"/>
      <c r="B1560" s="503"/>
      <c r="C1560" s="510"/>
      <c r="D1560" s="510"/>
      <c r="E1560" s="510"/>
      <c r="F1560" s="746"/>
      <c r="G1560" s="510"/>
      <c r="H1560" s="510"/>
      <c r="I1560" s="510"/>
      <c r="J1560" s="510"/>
      <c r="K1560" s="510"/>
      <c r="L1560" s="510"/>
      <c r="M1560" s="509"/>
      <c r="N1560" s="508"/>
      <c r="O1560" s="507"/>
      <c r="P1560" s="507"/>
      <c r="Q1560" s="505"/>
      <c r="R1560" s="506"/>
      <c r="S1560" s="506"/>
      <c r="T1560" s="506"/>
      <c r="U1560" s="505"/>
      <c r="V1560" s="505"/>
      <c r="W1560" s="505"/>
      <c r="X1560" s="504"/>
      <c r="Y1560" s="503"/>
      <c r="Z1560" s="503"/>
      <c r="AA1560" s="503"/>
      <c r="AB1560" s="503"/>
      <c r="AC1560" s="503"/>
      <c r="AD1560" s="503"/>
      <c r="AE1560" s="503"/>
      <c r="AF1560" s="503"/>
    </row>
    <row r="1561" spans="1:32" ht="15.75" customHeight="1">
      <c r="A1561" s="503"/>
      <c r="B1561" s="503"/>
      <c r="C1561" s="510"/>
      <c r="D1561" s="510"/>
      <c r="E1561" s="510"/>
      <c r="F1561" s="746"/>
      <c r="G1561" s="510"/>
      <c r="H1561" s="510"/>
      <c r="I1561" s="510"/>
      <c r="J1561" s="510"/>
      <c r="K1561" s="510"/>
      <c r="L1561" s="510"/>
      <c r="M1561" s="509"/>
      <c r="N1561" s="508"/>
      <c r="O1561" s="507"/>
      <c r="P1561" s="507"/>
      <c r="Q1561" s="505"/>
      <c r="R1561" s="506"/>
      <c r="S1561" s="506"/>
      <c r="T1561" s="506"/>
      <c r="U1561" s="505"/>
      <c r="V1561" s="505"/>
      <c r="W1561" s="505"/>
      <c r="X1561" s="504"/>
      <c r="Y1561" s="503"/>
      <c r="Z1561" s="503"/>
      <c r="AA1561" s="503"/>
      <c r="AB1561" s="503"/>
      <c r="AC1561" s="503"/>
      <c r="AD1561" s="503"/>
      <c r="AE1561" s="503"/>
      <c r="AF1561" s="503"/>
    </row>
    <row r="1562" spans="1:32" ht="15.75" customHeight="1">
      <c r="A1562" s="503"/>
      <c r="B1562" s="503"/>
      <c r="C1562" s="510"/>
      <c r="D1562" s="510"/>
      <c r="E1562" s="510"/>
      <c r="F1562" s="746"/>
      <c r="G1562" s="510"/>
      <c r="H1562" s="510"/>
      <c r="I1562" s="510"/>
      <c r="J1562" s="510"/>
      <c r="K1562" s="510"/>
      <c r="L1562" s="510"/>
      <c r="M1562" s="509"/>
      <c r="N1562" s="508"/>
      <c r="O1562" s="507"/>
      <c r="P1562" s="507"/>
      <c r="Q1562" s="505"/>
      <c r="R1562" s="506"/>
      <c r="S1562" s="506"/>
      <c r="T1562" s="506"/>
      <c r="U1562" s="505"/>
      <c r="V1562" s="505"/>
      <c r="W1562" s="505"/>
      <c r="X1562" s="504"/>
      <c r="Y1562" s="503"/>
      <c r="Z1562" s="503"/>
      <c r="AA1562" s="503"/>
      <c r="AB1562" s="503"/>
      <c r="AC1562" s="503"/>
      <c r="AD1562" s="503"/>
      <c r="AE1562" s="503"/>
      <c r="AF1562" s="503"/>
    </row>
    <row r="1563" spans="1:32" ht="15.75" customHeight="1">
      <c r="A1563" s="503"/>
      <c r="B1563" s="503"/>
      <c r="C1563" s="510"/>
      <c r="D1563" s="510"/>
      <c r="E1563" s="510"/>
      <c r="F1563" s="746"/>
      <c r="G1563" s="510"/>
      <c r="H1563" s="510"/>
      <c r="I1563" s="510"/>
      <c r="J1563" s="510"/>
      <c r="K1563" s="510"/>
      <c r="L1563" s="510"/>
      <c r="M1563" s="509"/>
      <c r="N1563" s="508"/>
      <c r="O1563" s="507"/>
      <c r="P1563" s="507"/>
      <c r="Q1563" s="505"/>
      <c r="R1563" s="506"/>
      <c r="S1563" s="506"/>
      <c r="T1563" s="506"/>
      <c r="U1563" s="505"/>
      <c r="V1563" s="505"/>
      <c r="W1563" s="505"/>
      <c r="X1563" s="504"/>
      <c r="Y1563" s="503"/>
      <c r="Z1563" s="503"/>
      <c r="AA1563" s="503"/>
      <c r="AB1563" s="503"/>
      <c r="AC1563" s="503"/>
      <c r="AD1563" s="503"/>
      <c r="AE1563" s="503"/>
      <c r="AF1563" s="503"/>
    </row>
    <row r="1564" spans="1:32" ht="15.75" customHeight="1">
      <c r="A1564" s="503"/>
      <c r="B1564" s="503"/>
      <c r="C1564" s="510"/>
      <c r="D1564" s="510"/>
      <c r="E1564" s="510"/>
      <c r="F1564" s="746"/>
      <c r="G1564" s="510"/>
      <c r="H1564" s="510"/>
      <c r="I1564" s="510"/>
      <c r="J1564" s="510"/>
      <c r="K1564" s="510"/>
      <c r="L1564" s="510"/>
      <c r="M1564" s="509"/>
      <c r="N1564" s="508"/>
      <c r="O1564" s="507"/>
      <c r="P1564" s="507"/>
      <c r="Q1564" s="505"/>
      <c r="R1564" s="506"/>
      <c r="S1564" s="506"/>
      <c r="T1564" s="506"/>
      <c r="U1564" s="505"/>
      <c r="V1564" s="505"/>
      <c r="W1564" s="505"/>
      <c r="X1564" s="504"/>
      <c r="Y1564" s="503"/>
      <c r="Z1564" s="503"/>
      <c r="AA1564" s="503"/>
      <c r="AB1564" s="503"/>
      <c r="AC1564" s="503"/>
      <c r="AD1564" s="503"/>
      <c r="AE1564" s="503"/>
      <c r="AF1564" s="503"/>
    </row>
    <row r="1565" spans="1:32" ht="15.75" customHeight="1">
      <c r="A1565" s="503"/>
      <c r="B1565" s="503"/>
      <c r="C1565" s="510"/>
      <c r="D1565" s="510"/>
      <c r="E1565" s="510"/>
      <c r="F1565" s="746"/>
      <c r="G1565" s="510"/>
      <c r="H1565" s="510"/>
      <c r="I1565" s="510"/>
      <c r="J1565" s="510"/>
      <c r="K1565" s="510"/>
      <c r="L1565" s="510"/>
      <c r="M1565" s="509"/>
      <c r="N1565" s="508"/>
      <c r="O1565" s="507"/>
      <c r="P1565" s="507"/>
      <c r="Q1565" s="505"/>
      <c r="R1565" s="506"/>
      <c r="S1565" s="506"/>
      <c r="T1565" s="506"/>
      <c r="U1565" s="505"/>
      <c r="V1565" s="505"/>
      <c r="W1565" s="505"/>
      <c r="X1565" s="504"/>
      <c r="Y1565" s="503"/>
      <c r="Z1565" s="503"/>
      <c r="AA1565" s="503"/>
      <c r="AB1565" s="503"/>
      <c r="AC1565" s="503"/>
      <c r="AD1565" s="503"/>
      <c r="AE1565" s="503"/>
      <c r="AF1565" s="503"/>
    </row>
    <row r="1566" spans="1:32" ht="15.75" customHeight="1">
      <c r="A1566" s="503"/>
      <c r="B1566" s="503"/>
      <c r="C1566" s="510"/>
      <c r="D1566" s="510"/>
      <c r="E1566" s="510"/>
      <c r="F1566" s="746"/>
      <c r="G1566" s="510"/>
      <c r="H1566" s="510"/>
      <c r="I1566" s="510"/>
      <c r="J1566" s="510"/>
      <c r="K1566" s="510"/>
      <c r="L1566" s="510"/>
      <c r="M1566" s="509"/>
      <c r="N1566" s="508"/>
      <c r="O1566" s="507"/>
      <c r="P1566" s="507"/>
      <c r="Q1566" s="505"/>
      <c r="R1566" s="506"/>
      <c r="S1566" s="506"/>
      <c r="T1566" s="506"/>
      <c r="U1566" s="505"/>
      <c r="V1566" s="505"/>
      <c r="W1566" s="505"/>
      <c r="X1566" s="504"/>
      <c r="Y1566" s="503"/>
      <c r="Z1566" s="503"/>
      <c r="AA1566" s="503"/>
      <c r="AB1566" s="503"/>
      <c r="AC1566" s="503"/>
      <c r="AD1566" s="503"/>
      <c r="AE1566" s="503"/>
      <c r="AF1566" s="503"/>
    </row>
    <row r="1567" spans="1:32" ht="15.75" customHeight="1">
      <c r="A1567" s="503"/>
      <c r="B1567" s="503"/>
      <c r="C1567" s="510"/>
      <c r="D1567" s="510"/>
      <c r="E1567" s="510"/>
      <c r="F1567" s="746"/>
      <c r="G1567" s="510"/>
      <c r="H1567" s="510"/>
      <c r="I1567" s="510"/>
      <c r="J1567" s="510"/>
      <c r="K1567" s="510"/>
      <c r="L1567" s="510"/>
      <c r="M1567" s="509"/>
      <c r="N1567" s="508"/>
      <c r="O1567" s="507"/>
      <c r="P1567" s="507"/>
      <c r="Q1567" s="505"/>
      <c r="R1567" s="506"/>
      <c r="S1567" s="506"/>
      <c r="T1567" s="506"/>
      <c r="U1567" s="505"/>
      <c r="V1567" s="505"/>
      <c r="W1567" s="505"/>
      <c r="X1567" s="504"/>
      <c r="Y1567" s="503"/>
      <c r="Z1567" s="503"/>
      <c r="AA1567" s="503"/>
      <c r="AB1567" s="503"/>
      <c r="AC1567" s="503"/>
      <c r="AD1567" s="503"/>
      <c r="AE1567" s="503"/>
      <c r="AF1567" s="503"/>
    </row>
    <row r="1568" spans="1:32" ht="15.75" customHeight="1">
      <c r="A1568" s="503"/>
      <c r="B1568" s="503"/>
      <c r="C1568" s="510"/>
      <c r="D1568" s="510"/>
      <c r="E1568" s="510"/>
      <c r="F1568" s="746"/>
      <c r="G1568" s="510"/>
      <c r="H1568" s="510"/>
      <c r="I1568" s="510"/>
      <c r="J1568" s="510"/>
      <c r="K1568" s="510"/>
      <c r="L1568" s="510"/>
      <c r="M1568" s="509"/>
      <c r="N1568" s="508"/>
      <c r="O1568" s="507"/>
      <c r="P1568" s="507"/>
      <c r="Q1568" s="505"/>
      <c r="R1568" s="506"/>
      <c r="S1568" s="506"/>
      <c r="T1568" s="506"/>
      <c r="U1568" s="505"/>
      <c r="V1568" s="505"/>
      <c r="W1568" s="505"/>
      <c r="X1568" s="504"/>
      <c r="Y1568" s="503"/>
      <c r="Z1568" s="503"/>
      <c r="AA1568" s="503"/>
      <c r="AB1568" s="503"/>
      <c r="AC1568" s="503"/>
      <c r="AD1568" s="503"/>
      <c r="AE1568" s="503"/>
      <c r="AF1568" s="503"/>
    </row>
    <row r="1569" spans="1:32" ht="15.75" customHeight="1">
      <c r="A1569" s="503"/>
      <c r="B1569" s="503"/>
      <c r="C1569" s="510"/>
      <c r="D1569" s="510"/>
      <c r="E1569" s="510"/>
      <c r="F1569" s="746"/>
      <c r="G1569" s="510"/>
      <c r="H1569" s="510"/>
      <c r="I1569" s="510"/>
      <c r="J1569" s="510"/>
      <c r="K1569" s="510"/>
      <c r="L1569" s="510"/>
      <c r="M1569" s="509"/>
      <c r="N1569" s="508"/>
      <c r="O1569" s="507"/>
      <c r="P1569" s="507"/>
      <c r="Q1569" s="505"/>
      <c r="R1569" s="506"/>
      <c r="S1569" s="506"/>
      <c r="T1569" s="506"/>
      <c r="U1569" s="505"/>
      <c r="V1569" s="505"/>
      <c r="W1569" s="505"/>
      <c r="X1569" s="504"/>
      <c r="Y1569" s="503"/>
      <c r="Z1569" s="503"/>
      <c r="AA1569" s="503"/>
      <c r="AB1569" s="503"/>
      <c r="AC1569" s="503"/>
      <c r="AD1569" s="503"/>
      <c r="AE1569" s="503"/>
      <c r="AF1569" s="503"/>
    </row>
    <row r="1570" spans="1:32" ht="15.75" customHeight="1">
      <c r="A1570" s="503"/>
      <c r="B1570" s="503"/>
      <c r="C1570" s="510"/>
      <c r="D1570" s="510"/>
      <c r="E1570" s="510"/>
      <c r="F1570" s="746"/>
      <c r="G1570" s="510"/>
      <c r="H1570" s="510"/>
      <c r="I1570" s="510"/>
      <c r="J1570" s="510"/>
      <c r="K1570" s="510"/>
      <c r="L1570" s="510"/>
      <c r="M1570" s="509"/>
      <c r="N1570" s="508"/>
      <c r="O1570" s="507"/>
      <c r="P1570" s="507"/>
      <c r="Q1570" s="505"/>
      <c r="R1570" s="506"/>
      <c r="S1570" s="506"/>
      <c r="T1570" s="506"/>
      <c r="U1570" s="505"/>
      <c r="V1570" s="505"/>
      <c r="W1570" s="505"/>
      <c r="X1570" s="504"/>
      <c r="Y1570" s="503"/>
      <c r="Z1570" s="503"/>
      <c r="AA1570" s="503"/>
      <c r="AB1570" s="503"/>
      <c r="AC1570" s="503"/>
      <c r="AD1570" s="503"/>
      <c r="AE1570" s="503"/>
      <c r="AF1570" s="503"/>
    </row>
    <row r="1571" spans="1:32" ht="15.75" customHeight="1">
      <c r="A1571" s="503"/>
      <c r="B1571" s="503"/>
      <c r="C1571" s="510"/>
      <c r="D1571" s="510"/>
      <c r="E1571" s="510"/>
      <c r="F1571" s="746"/>
      <c r="G1571" s="510"/>
      <c r="H1571" s="510"/>
      <c r="I1571" s="510"/>
      <c r="J1571" s="510"/>
      <c r="K1571" s="510"/>
      <c r="L1571" s="510"/>
      <c r="M1571" s="509"/>
      <c r="N1571" s="508"/>
      <c r="O1571" s="507"/>
      <c r="P1571" s="507"/>
      <c r="Q1571" s="505"/>
      <c r="R1571" s="506"/>
      <c r="S1571" s="506"/>
      <c r="T1571" s="506"/>
      <c r="U1571" s="505"/>
      <c r="V1571" s="505"/>
      <c r="W1571" s="505"/>
      <c r="X1571" s="504"/>
      <c r="Y1571" s="503"/>
      <c r="Z1571" s="503"/>
      <c r="AA1571" s="503"/>
      <c r="AB1571" s="503"/>
      <c r="AC1571" s="503"/>
      <c r="AD1571" s="503"/>
      <c r="AE1571" s="503"/>
      <c r="AF1571" s="503"/>
    </row>
    <row r="1572" spans="1:32" ht="15.75" customHeight="1">
      <c r="A1572" s="503"/>
      <c r="B1572" s="503"/>
      <c r="C1572" s="510"/>
      <c r="D1572" s="510"/>
      <c r="E1572" s="510"/>
      <c r="F1572" s="746"/>
      <c r="G1572" s="510"/>
      <c r="H1572" s="510"/>
      <c r="I1572" s="510"/>
      <c r="J1572" s="510"/>
      <c r="K1572" s="510"/>
      <c r="L1572" s="510"/>
      <c r="M1572" s="509"/>
      <c r="N1572" s="508"/>
      <c r="O1572" s="507"/>
      <c r="P1572" s="507"/>
      <c r="Q1572" s="505"/>
      <c r="R1572" s="506"/>
      <c r="S1572" s="506"/>
      <c r="T1572" s="506"/>
      <c r="U1572" s="505"/>
      <c r="V1572" s="505"/>
      <c r="W1572" s="505"/>
      <c r="X1572" s="504"/>
      <c r="Y1572" s="503"/>
      <c r="Z1572" s="503"/>
      <c r="AA1572" s="503"/>
      <c r="AB1572" s="503"/>
      <c r="AC1572" s="503"/>
      <c r="AD1572" s="503"/>
      <c r="AE1572" s="503"/>
      <c r="AF1572" s="503"/>
    </row>
    <row r="1573" spans="1:32" ht="15.75" customHeight="1">
      <c r="A1573" s="503"/>
      <c r="B1573" s="503"/>
      <c r="C1573" s="510"/>
      <c r="D1573" s="510"/>
      <c r="E1573" s="510"/>
      <c r="F1573" s="746"/>
      <c r="G1573" s="510"/>
      <c r="H1573" s="510"/>
      <c r="I1573" s="510"/>
      <c r="J1573" s="510"/>
      <c r="K1573" s="510"/>
      <c r="L1573" s="510"/>
      <c r="M1573" s="509"/>
      <c r="N1573" s="508"/>
      <c r="O1573" s="507"/>
      <c r="P1573" s="507"/>
      <c r="Q1573" s="505"/>
      <c r="R1573" s="506"/>
      <c r="S1573" s="506"/>
      <c r="T1573" s="506"/>
      <c r="U1573" s="505"/>
      <c r="V1573" s="505"/>
      <c r="W1573" s="505"/>
      <c r="X1573" s="504"/>
      <c r="Y1573" s="503"/>
      <c r="Z1573" s="503"/>
      <c r="AA1573" s="503"/>
      <c r="AB1573" s="503"/>
      <c r="AC1573" s="503"/>
      <c r="AD1573" s="503"/>
      <c r="AE1573" s="503"/>
      <c r="AF1573" s="503"/>
    </row>
    <row r="1574" spans="1:32" ht="15.75" customHeight="1">
      <c r="A1574" s="503"/>
      <c r="B1574" s="503"/>
      <c r="C1574" s="510"/>
      <c r="D1574" s="510"/>
      <c r="E1574" s="510"/>
      <c r="F1574" s="746"/>
      <c r="G1574" s="510"/>
      <c r="H1574" s="510"/>
      <c r="I1574" s="510"/>
      <c r="J1574" s="510"/>
      <c r="K1574" s="510"/>
      <c r="L1574" s="510"/>
      <c r="M1574" s="509"/>
      <c r="N1574" s="508"/>
      <c r="O1574" s="507"/>
      <c r="P1574" s="507"/>
      <c r="Q1574" s="505"/>
      <c r="R1574" s="506"/>
      <c r="S1574" s="506"/>
      <c r="T1574" s="506"/>
      <c r="U1574" s="505"/>
      <c r="V1574" s="505"/>
      <c r="W1574" s="505"/>
      <c r="X1574" s="504"/>
      <c r="Y1574" s="503"/>
      <c r="Z1574" s="503"/>
      <c r="AA1574" s="503"/>
      <c r="AB1574" s="503"/>
      <c r="AC1574" s="503"/>
      <c r="AD1574" s="503"/>
      <c r="AE1574" s="503"/>
      <c r="AF1574" s="503"/>
    </row>
    <row r="1575" spans="1:32" ht="15.75" customHeight="1">
      <c r="A1575" s="503"/>
      <c r="B1575" s="503"/>
      <c r="C1575" s="510"/>
      <c r="D1575" s="510"/>
      <c r="E1575" s="510"/>
      <c r="F1575" s="746"/>
      <c r="G1575" s="510"/>
      <c r="H1575" s="510"/>
      <c r="I1575" s="510"/>
      <c r="J1575" s="510"/>
      <c r="K1575" s="510"/>
      <c r="L1575" s="510"/>
      <c r="M1575" s="509"/>
      <c r="N1575" s="508"/>
      <c r="O1575" s="507"/>
      <c r="P1575" s="507"/>
      <c r="Q1575" s="505"/>
      <c r="R1575" s="506"/>
      <c r="S1575" s="506"/>
      <c r="T1575" s="506"/>
      <c r="U1575" s="505"/>
      <c r="V1575" s="505"/>
      <c r="W1575" s="505"/>
      <c r="X1575" s="504"/>
      <c r="Y1575" s="503"/>
      <c r="Z1575" s="503"/>
      <c r="AA1575" s="503"/>
      <c r="AB1575" s="503"/>
      <c r="AC1575" s="503"/>
      <c r="AD1575" s="503"/>
      <c r="AE1575" s="503"/>
      <c r="AF1575" s="503"/>
    </row>
    <row r="1576" spans="1:32" ht="15.75" customHeight="1">
      <c r="A1576" s="503"/>
      <c r="B1576" s="503"/>
      <c r="C1576" s="510"/>
      <c r="D1576" s="510"/>
      <c r="E1576" s="510"/>
      <c r="F1576" s="746"/>
      <c r="G1576" s="510"/>
      <c r="H1576" s="510"/>
      <c r="I1576" s="510"/>
      <c r="J1576" s="510"/>
      <c r="K1576" s="510"/>
      <c r="L1576" s="510"/>
      <c r="M1576" s="509"/>
      <c r="N1576" s="508"/>
      <c r="O1576" s="507"/>
      <c r="P1576" s="507"/>
      <c r="Q1576" s="505"/>
      <c r="R1576" s="506"/>
      <c r="S1576" s="506"/>
      <c r="T1576" s="506"/>
      <c r="U1576" s="505"/>
      <c r="V1576" s="505"/>
      <c r="W1576" s="505"/>
      <c r="X1576" s="504"/>
      <c r="Y1576" s="503"/>
      <c r="Z1576" s="503"/>
      <c r="AA1576" s="503"/>
      <c r="AB1576" s="503"/>
      <c r="AC1576" s="503"/>
      <c r="AD1576" s="503"/>
      <c r="AE1576" s="503"/>
      <c r="AF1576" s="503"/>
    </row>
    <row r="1577" spans="1:32" ht="15.75" customHeight="1">
      <c r="A1577" s="503"/>
      <c r="B1577" s="503"/>
      <c r="C1577" s="510"/>
      <c r="D1577" s="510"/>
      <c r="E1577" s="510"/>
      <c r="F1577" s="746"/>
      <c r="G1577" s="510"/>
      <c r="H1577" s="510"/>
      <c r="I1577" s="510"/>
      <c r="J1577" s="510"/>
      <c r="K1577" s="510"/>
      <c r="L1577" s="510"/>
      <c r="M1577" s="509"/>
      <c r="N1577" s="508"/>
      <c r="O1577" s="507"/>
      <c r="P1577" s="507"/>
      <c r="Q1577" s="505"/>
      <c r="R1577" s="506"/>
      <c r="S1577" s="506"/>
      <c r="T1577" s="506"/>
      <c r="U1577" s="505"/>
      <c r="V1577" s="505"/>
      <c r="W1577" s="505"/>
      <c r="X1577" s="504"/>
      <c r="Y1577" s="503"/>
      <c r="Z1577" s="503"/>
      <c r="AA1577" s="503"/>
      <c r="AB1577" s="503"/>
      <c r="AC1577" s="503"/>
      <c r="AD1577" s="503"/>
      <c r="AE1577" s="503"/>
      <c r="AF1577" s="503"/>
    </row>
    <row r="1578" spans="1:32" ht="15.75" customHeight="1">
      <c r="A1578" s="503"/>
      <c r="B1578" s="503"/>
      <c r="C1578" s="510"/>
      <c r="D1578" s="510"/>
      <c r="E1578" s="510"/>
      <c r="F1578" s="746"/>
      <c r="G1578" s="510"/>
      <c r="H1578" s="510"/>
      <c r="I1578" s="510"/>
      <c r="J1578" s="510"/>
      <c r="K1578" s="510"/>
      <c r="L1578" s="510"/>
      <c r="M1578" s="509"/>
      <c r="N1578" s="508"/>
      <c r="O1578" s="507"/>
      <c r="P1578" s="507"/>
      <c r="Q1578" s="505"/>
      <c r="R1578" s="506"/>
      <c r="S1578" s="506"/>
      <c r="T1578" s="506"/>
      <c r="U1578" s="505"/>
      <c r="V1578" s="505"/>
      <c r="W1578" s="505"/>
      <c r="X1578" s="504"/>
      <c r="Y1578" s="503"/>
      <c r="Z1578" s="503"/>
      <c r="AA1578" s="503"/>
      <c r="AB1578" s="503"/>
      <c r="AC1578" s="503"/>
      <c r="AD1578" s="503"/>
      <c r="AE1578" s="503"/>
      <c r="AF1578" s="503"/>
    </row>
    <row r="1579" spans="1:32" ht="15.75" customHeight="1">
      <c r="A1579" s="503"/>
      <c r="B1579" s="503"/>
      <c r="C1579" s="510"/>
      <c r="D1579" s="510"/>
      <c r="E1579" s="510"/>
      <c r="F1579" s="746"/>
      <c r="G1579" s="510"/>
      <c r="H1579" s="510"/>
      <c r="I1579" s="510"/>
      <c r="J1579" s="510"/>
      <c r="K1579" s="510"/>
      <c r="L1579" s="510"/>
      <c r="M1579" s="509"/>
      <c r="N1579" s="508"/>
      <c r="O1579" s="507"/>
      <c r="P1579" s="507"/>
      <c r="Q1579" s="505"/>
      <c r="R1579" s="506"/>
      <c r="S1579" s="506"/>
      <c r="T1579" s="506"/>
      <c r="U1579" s="505"/>
      <c r="V1579" s="505"/>
      <c r="W1579" s="505"/>
      <c r="X1579" s="504"/>
      <c r="Y1579" s="503"/>
      <c r="Z1579" s="503"/>
      <c r="AA1579" s="503"/>
      <c r="AB1579" s="503"/>
      <c r="AC1579" s="503"/>
      <c r="AD1579" s="503"/>
      <c r="AE1579" s="503"/>
      <c r="AF1579" s="503"/>
    </row>
    <row r="1580" spans="1:32" ht="15.75" customHeight="1">
      <c r="A1580" s="503"/>
      <c r="B1580" s="503"/>
      <c r="C1580" s="510"/>
      <c r="D1580" s="510"/>
      <c r="E1580" s="510"/>
      <c r="F1580" s="746"/>
      <c r="G1580" s="510"/>
      <c r="H1580" s="510"/>
      <c r="I1580" s="510"/>
      <c r="J1580" s="510"/>
      <c r="K1580" s="510"/>
      <c r="L1580" s="510"/>
      <c r="M1580" s="509"/>
      <c r="N1580" s="508"/>
      <c r="O1580" s="507"/>
      <c r="P1580" s="507"/>
      <c r="Q1580" s="505"/>
      <c r="R1580" s="506"/>
      <c r="S1580" s="506"/>
      <c r="T1580" s="506"/>
      <c r="U1580" s="505"/>
      <c r="V1580" s="505"/>
      <c r="W1580" s="505"/>
      <c r="X1580" s="504"/>
      <c r="Y1580" s="503"/>
      <c r="Z1580" s="503"/>
      <c r="AA1580" s="503"/>
      <c r="AB1580" s="503"/>
      <c r="AC1580" s="503"/>
      <c r="AD1580" s="503"/>
      <c r="AE1580" s="503"/>
      <c r="AF1580" s="503"/>
    </row>
    <row r="1581" spans="1:32" ht="15.75" customHeight="1">
      <c r="A1581" s="503"/>
      <c r="B1581" s="503"/>
      <c r="C1581" s="510"/>
      <c r="D1581" s="510"/>
      <c r="E1581" s="510"/>
      <c r="F1581" s="746"/>
      <c r="G1581" s="510"/>
      <c r="H1581" s="510"/>
      <c r="I1581" s="510"/>
      <c r="J1581" s="510"/>
      <c r="K1581" s="510"/>
      <c r="L1581" s="510"/>
      <c r="M1581" s="509"/>
      <c r="N1581" s="508"/>
      <c r="O1581" s="507"/>
      <c r="P1581" s="507"/>
      <c r="Q1581" s="505"/>
      <c r="R1581" s="506"/>
      <c r="S1581" s="506"/>
      <c r="T1581" s="506"/>
      <c r="U1581" s="505"/>
      <c r="V1581" s="505"/>
      <c r="W1581" s="505"/>
      <c r="X1581" s="504"/>
      <c r="Y1581" s="503"/>
      <c r="Z1581" s="503"/>
      <c r="AA1581" s="503"/>
      <c r="AB1581" s="503"/>
      <c r="AC1581" s="503"/>
      <c r="AD1581" s="503"/>
      <c r="AE1581" s="503"/>
      <c r="AF1581" s="503"/>
    </row>
    <row r="1582" spans="1:32" ht="15.75" customHeight="1">
      <c r="A1582" s="503"/>
      <c r="B1582" s="503"/>
      <c r="C1582" s="510"/>
      <c r="D1582" s="510"/>
      <c r="E1582" s="510"/>
      <c r="F1582" s="746"/>
      <c r="G1582" s="510"/>
      <c r="H1582" s="510"/>
      <c r="I1582" s="510"/>
      <c r="J1582" s="510"/>
      <c r="K1582" s="510"/>
      <c r="L1582" s="510"/>
      <c r="M1582" s="509"/>
      <c r="N1582" s="508"/>
      <c r="O1582" s="507"/>
      <c r="P1582" s="507"/>
      <c r="Q1582" s="505"/>
      <c r="R1582" s="506"/>
      <c r="S1582" s="506"/>
      <c r="T1582" s="506"/>
      <c r="U1582" s="505"/>
      <c r="V1582" s="505"/>
      <c r="W1582" s="505"/>
      <c r="X1582" s="504"/>
      <c r="Y1582" s="503"/>
      <c r="Z1582" s="503"/>
      <c r="AA1582" s="503"/>
      <c r="AB1582" s="503"/>
      <c r="AC1582" s="503"/>
      <c r="AD1582" s="503"/>
      <c r="AE1582" s="503"/>
      <c r="AF1582" s="503"/>
    </row>
    <row r="1583" spans="1:32" ht="15.75" customHeight="1">
      <c r="A1583" s="503"/>
      <c r="B1583" s="503"/>
      <c r="C1583" s="510"/>
      <c r="D1583" s="510"/>
      <c r="E1583" s="510"/>
      <c r="F1583" s="746"/>
      <c r="G1583" s="510"/>
      <c r="H1583" s="510"/>
      <c r="I1583" s="510"/>
      <c r="J1583" s="510"/>
      <c r="K1583" s="510"/>
      <c r="L1583" s="510"/>
      <c r="M1583" s="509"/>
      <c r="N1583" s="508"/>
      <c r="O1583" s="507"/>
      <c r="P1583" s="507"/>
      <c r="Q1583" s="505"/>
      <c r="R1583" s="506"/>
      <c r="S1583" s="506"/>
      <c r="T1583" s="506"/>
      <c r="U1583" s="505"/>
      <c r="V1583" s="505"/>
      <c r="W1583" s="505"/>
      <c r="X1583" s="504"/>
      <c r="Y1583" s="503"/>
      <c r="Z1583" s="503"/>
      <c r="AA1583" s="503"/>
      <c r="AB1583" s="503"/>
      <c r="AC1583" s="503"/>
      <c r="AD1583" s="503"/>
      <c r="AE1583" s="503"/>
      <c r="AF1583" s="503"/>
    </row>
    <row r="1584" spans="1:32" ht="15.75" customHeight="1">
      <c r="A1584" s="503"/>
      <c r="B1584" s="503"/>
      <c r="C1584" s="510"/>
      <c r="D1584" s="510"/>
      <c r="E1584" s="510"/>
      <c r="F1584" s="746"/>
      <c r="G1584" s="510"/>
      <c r="H1584" s="510"/>
      <c r="I1584" s="510"/>
      <c r="J1584" s="510"/>
      <c r="K1584" s="510"/>
      <c r="L1584" s="510"/>
      <c r="M1584" s="509"/>
      <c r="N1584" s="508"/>
      <c r="O1584" s="507"/>
      <c r="P1584" s="507"/>
      <c r="Q1584" s="505"/>
      <c r="R1584" s="506"/>
      <c r="S1584" s="506"/>
      <c r="T1584" s="506"/>
      <c r="U1584" s="505"/>
      <c r="V1584" s="505"/>
      <c r="W1584" s="505"/>
      <c r="X1584" s="504"/>
      <c r="Y1584" s="503"/>
      <c r="Z1584" s="503"/>
      <c r="AA1584" s="503"/>
      <c r="AB1584" s="503"/>
      <c r="AC1584" s="503"/>
      <c r="AD1584" s="503"/>
      <c r="AE1584" s="503"/>
      <c r="AF1584" s="503"/>
    </row>
    <row r="1585" spans="1:32" ht="15.75" customHeight="1">
      <c r="A1585" s="503"/>
      <c r="B1585" s="503"/>
      <c r="C1585" s="510"/>
      <c r="D1585" s="510"/>
      <c r="E1585" s="510"/>
      <c r="F1585" s="746"/>
      <c r="G1585" s="510"/>
      <c r="H1585" s="510"/>
      <c r="I1585" s="510"/>
      <c r="J1585" s="510"/>
      <c r="K1585" s="510"/>
      <c r="L1585" s="510"/>
      <c r="M1585" s="509"/>
      <c r="N1585" s="508"/>
      <c r="O1585" s="507"/>
      <c r="P1585" s="507"/>
      <c r="Q1585" s="505"/>
      <c r="R1585" s="506"/>
      <c r="S1585" s="506"/>
      <c r="T1585" s="506"/>
      <c r="U1585" s="505"/>
      <c r="V1585" s="505"/>
      <c r="W1585" s="505"/>
      <c r="X1585" s="504"/>
      <c r="Y1585" s="503"/>
      <c r="Z1585" s="503"/>
      <c r="AA1585" s="503"/>
      <c r="AB1585" s="503"/>
      <c r="AC1585" s="503"/>
      <c r="AD1585" s="503"/>
      <c r="AE1585" s="503"/>
      <c r="AF1585" s="503"/>
    </row>
    <row r="1586" spans="1:32" ht="15.75" customHeight="1">
      <c r="A1586" s="503"/>
      <c r="B1586" s="503"/>
      <c r="C1586" s="510"/>
      <c r="D1586" s="510"/>
      <c r="E1586" s="510"/>
      <c r="F1586" s="746"/>
      <c r="G1586" s="510"/>
      <c r="H1586" s="510"/>
      <c r="I1586" s="510"/>
      <c r="J1586" s="510"/>
      <c r="K1586" s="510"/>
      <c r="L1586" s="510"/>
      <c r="M1586" s="509"/>
      <c r="N1586" s="508"/>
      <c r="O1586" s="507"/>
      <c r="P1586" s="507"/>
      <c r="Q1586" s="505"/>
      <c r="R1586" s="506"/>
      <c r="S1586" s="506"/>
      <c r="T1586" s="506"/>
      <c r="U1586" s="505"/>
      <c r="V1586" s="505"/>
      <c r="W1586" s="505"/>
      <c r="X1586" s="504"/>
      <c r="Y1586" s="503"/>
      <c r="Z1586" s="503"/>
      <c r="AA1586" s="503"/>
      <c r="AB1586" s="503"/>
      <c r="AC1586" s="503"/>
      <c r="AD1586" s="503"/>
      <c r="AE1586" s="503"/>
      <c r="AF1586" s="503"/>
    </row>
    <row r="1587" spans="1:32" ht="15.75" customHeight="1">
      <c r="A1587" s="503"/>
      <c r="B1587" s="503"/>
      <c r="C1587" s="510"/>
      <c r="D1587" s="510"/>
      <c r="E1587" s="510"/>
      <c r="F1587" s="746"/>
      <c r="G1587" s="510"/>
      <c r="H1587" s="510"/>
      <c r="I1587" s="510"/>
      <c r="J1587" s="510"/>
      <c r="K1587" s="510"/>
      <c r="L1587" s="510"/>
      <c r="M1587" s="509"/>
      <c r="N1587" s="508"/>
      <c r="O1587" s="507"/>
      <c r="P1587" s="507"/>
      <c r="Q1587" s="505"/>
      <c r="R1587" s="506"/>
      <c r="S1587" s="506"/>
      <c r="T1587" s="506"/>
      <c r="U1587" s="505"/>
      <c r="V1587" s="505"/>
      <c r="W1587" s="505"/>
      <c r="X1587" s="504"/>
      <c r="Y1587" s="503"/>
      <c r="Z1587" s="503"/>
      <c r="AA1587" s="503"/>
      <c r="AB1587" s="503"/>
      <c r="AC1587" s="503"/>
      <c r="AD1587" s="503"/>
      <c r="AE1587" s="503"/>
      <c r="AF1587" s="503"/>
    </row>
    <row r="1588" spans="1:32" ht="15.75" customHeight="1">
      <c r="A1588" s="503"/>
      <c r="B1588" s="503"/>
      <c r="C1588" s="510"/>
      <c r="D1588" s="510"/>
      <c r="E1588" s="510"/>
      <c r="F1588" s="746"/>
      <c r="G1588" s="510"/>
      <c r="H1588" s="510"/>
      <c r="I1588" s="510"/>
      <c r="J1588" s="510"/>
      <c r="K1588" s="510"/>
      <c r="L1588" s="510"/>
      <c r="M1588" s="509"/>
      <c r="N1588" s="508"/>
      <c r="O1588" s="507"/>
      <c r="P1588" s="507"/>
      <c r="Q1588" s="505"/>
      <c r="R1588" s="506"/>
      <c r="S1588" s="506"/>
      <c r="T1588" s="506"/>
      <c r="U1588" s="505"/>
      <c r="V1588" s="505"/>
      <c r="W1588" s="505"/>
      <c r="X1588" s="504"/>
      <c r="Y1588" s="503"/>
      <c r="Z1588" s="503"/>
      <c r="AA1588" s="503"/>
      <c r="AB1588" s="503"/>
      <c r="AC1588" s="503"/>
      <c r="AD1588" s="503"/>
      <c r="AE1588" s="503"/>
      <c r="AF1588" s="503"/>
    </row>
    <row r="1589" spans="1:32" ht="15.75" customHeight="1">
      <c r="A1589" s="503"/>
      <c r="B1589" s="503"/>
      <c r="C1589" s="510"/>
      <c r="D1589" s="510"/>
      <c r="E1589" s="510"/>
      <c r="F1589" s="746"/>
      <c r="G1589" s="510"/>
      <c r="H1589" s="510"/>
      <c r="I1589" s="510"/>
      <c r="J1589" s="510"/>
      <c r="K1589" s="510"/>
      <c r="L1589" s="510"/>
      <c r="M1589" s="509"/>
      <c r="N1589" s="508"/>
      <c r="O1589" s="507"/>
      <c r="P1589" s="507"/>
      <c r="Q1589" s="505"/>
      <c r="R1589" s="506"/>
      <c r="S1589" s="506"/>
      <c r="T1589" s="506"/>
      <c r="U1589" s="505"/>
      <c r="V1589" s="505"/>
      <c r="W1589" s="505"/>
      <c r="X1589" s="504"/>
      <c r="Y1589" s="503"/>
      <c r="Z1589" s="503"/>
      <c r="AA1589" s="503"/>
      <c r="AB1589" s="503"/>
      <c r="AC1589" s="503"/>
      <c r="AD1589" s="503"/>
      <c r="AE1589" s="503"/>
      <c r="AF1589" s="503"/>
    </row>
    <row r="1590" spans="1:32" ht="15.75" customHeight="1">
      <c r="A1590" s="503"/>
      <c r="B1590" s="503"/>
      <c r="C1590" s="510"/>
      <c r="D1590" s="510"/>
      <c r="E1590" s="510"/>
      <c r="F1590" s="746"/>
      <c r="G1590" s="510"/>
      <c r="H1590" s="510"/>
      <c r="I1590" s="510"/>
      <c r="J1590" s="510"/>
      <c r="K1590" s="510"/>
      <c r="L1590" s="510"/>
      <c r="M1590" s="509"/>
      <c r="N1590" s="508"/>
      <c r="O1590" s="507"/>
      <c r="P1590" s="507"/>
      <c r="Q1590" s="505"/>
      <c r="R1590" s="506"/>
      <c r="S1590" s="506"/>
      <c r="T1590" s="506"/>
      <c r="U1590" s="505"/>
      <c r="V1590" s="505"/>
      <c r="W1590" s="505"/>
      <c r="X1590" s="504"/>
      <c r="Y1590" s="503"/>
      <c r="Z1590" s="503"/>
      <c r="AA1590" s="503"/>
      <c r="AB1590" s="503"/>
      <c r="AC1590" s="503"/>
      <c r="AD1590" s="503"/>
      <c r="AE1590" s="503"/>
      <c r="AF1590" s="503"/>
    </row>
    <row r="1591" spans="1:32" ht="15.75" customHeight="1">
      <c r="A1591" s="503"/>
      <c r="B1591" s="503"/>
      <c r="C1591" s="510"/>
      <c r="D1591" s="510"/>
      <c r="E1591" s="510"/>
      <c r="F1591" s="746"/>
      <c r="G1591" s="510"/>
      <c r="H1591" s="510"/>
      <c r="I1591" s="510"/>
      <c r="J1591" s="510"/>
      <c r="K1591" s="510"/>
      <c r="L1591" s="510"/>
      <c r="M1591" s="509"/>
      <c r="N1591" s="508"/>
      <c r="O1591" s="507"/>
      <c r="P1591" s="507"/>
      <c r="Q1591" s="505"/>
      <c r="R1591" s="506"/>
      <c r="S1591" s="506"/>
      <c r="T1591" s="506"/>
      <c r="U1591" s="505"/>
      <c r="V1591" s="505"/>
      <c r="W1591" s="505"/>
      <c r="X1591" s="504"/>
      <c r="Y1591" s="503"/>
      <c r="Z1591" s="503"/>
      <c r="AA1591" s="503"/>
      <c r="AB1591" s="503"/>
      <c r="AC1591" s="503"/>
      <c r="AD1591" s="503"/>
      <c r="AE1591" s="503"/>
      <c r="AF1591" s="503"/>
    </row>
    <row r="1592" spans="1:32" ht="15.75" customHeight="1">
      <c r="A1592" s="503"/>
      <c r="B1592" s="503"/>
      <c r="C1592" s="510"/>
      <c r="D1592" s="510"/>
      <c r="E1592" s="510"/>
      <c r="F1592" s="746"/>
      <c r="G1592" s="510"/>
      <c r="H1592" s="510"/>
      <c r="I1592" s="510"/>
      <c r="J1592" s="510"/>
      <c r="K1592" s="510"/>
      <c r="L1592" s="510"/>
      <c r="M1592" s="509"/>
      <c r="N1592" s="508"/>
      <c r="O1592" s="507"/>
      <c r="P1592" s="507"/>
      <c r="Q1592" s="505"/>
      <c r="R1592" s="506"/>
      <c r="S1592" s="506"/>
      <c r="T1592" s="506"/>
      <c r="U1592" s="505"/>
      <c r="V1592" s="505"/>
      <c r="W1592" s="505"/>
      <c r="X1592" s="504"/>
      <c r="Y1592" s="503"/>
      <c r="Z1592" s="503"/>
      <c r="AA1592" s="503"/>
      <c r="AB1592" s="503"/>
      <c r="AC1592" s="503"/>
      <c r="AD1592" s="503"/>
      <c r="AE1592" s="503"/>
      <c r="AF1592" s="503"/>
    </row>
    <row r="1593" spans="1:32" ht="15.75" customHeight="1">
      <c r="A1593" s="503"/>
      <c r="B1593" s="503"/>
      <c r="C1593" s="510"/>
      <c r="D1593" s="510"/>
      <c r="E1593" s="510"/>
      <c r="F1593" s="746"/>
      <c r="G1593" s="510"/>
      <c r="H1593" s="510"/>
      <c r="I1593" s="510"/>
      <c r="J1593" s="510"/>
      <c r="K1593" s="510"/>
      <c r="L1593" s="510"/>
      <c r="M1593" s="509"/>
      <c r="N1593" s="508"/>
      <c r="O1593" s="507"/>
      <c r="P1593" s="507"/>
      <c r="Q1593" s="505"/>
      <c r="R1593" s="506"/>
      <c r="S1593" s="506"/>
      <c r="T1593" s="506"/>
      <c r="U1593" s="505"/>
      <c r="V1593" s="505"/>
      <c r="W1593" s="505"/>
      <c r="X1593" s="504"/>
      <c r="Y1593" s="503"/>
      <c r="Z1593" s="503"/>
      <c r="AA1593" s="503"/>
      <c r="AB1593" s="503"/>
      <c r="AC1593" s="503"/>
      <c r="AD1593" s="503"/>
      <c r="AE1593" s="503"/>
      <c r="AF1593" s="503"/>
    </row>
    <row r="1594" spans="1:32" ht="15.75" customHeight="1">
      <c r="A1594" s="503"/>
      <c r="B1594" s="503"/>
      <c r="C1594" s="510"/>
      <c r="D1594" s="510"/>
      <c r="E1594" s="510"/>
      <c r="F1594" s="746"/>
      <c r="G1594" s="510"/>
      <c r="H1594" s="510"/>
      <c r="I1594" s="510"/>
      <c r="J1594" s="510"/>
      <c r="K1594" s="510"/>
      <c r="L1594" s="510"/>
      <c r="M1594" s="509"/>
      <c r="N1594" s="508"/>
      <c r="O1594" s="507"/>
      <c r="P1594" s="507"/>
      <c r="Q1594" s="505"/>
      <c r="R1594" s="506"/>
      <c r="S1594" s="506"/>
      <c r="T1594" s="506"/>
      <c r="U1594" s="505"/>
      <c r="V1594" s="505"/>
      <c r="W1594" s="505"/>
      <c r="X1594" s="504"/>
      <c r="Y1594" s="503"/>
      <c r="Z1594" s="503"/>
      <c r="AA1594" s="503"/>
      <c r="AB1594" s="503"/>
      <c r="AC1594" s="503"/>
      <c r="AD1594" s="503"/>
      <c r="AE1594" s="503"/>
      <c r="AF1594" s="503"/>
    </row>
    <row r="1595" spans="1:32" ht="15.75" customHeight="1">
      <c r="A1595" s="503"/>
      <c r="B1595" s="503"/>
      <c r="C1595" s="510"/>
      <c r="D1595" s="510"/>
      <c r="E1595" s="510"/>
      <c r="F1595" s="746"/>
      <c r="G1595" s="510"/>
      <c r="H1595" s="510"/>
      <c r="I1595" s="510"/>
      <c r="J1595" s="510"/>
      <c r="K1595" s="510"/>
      <c r="L1595" s="510"/>
      <c r="M1595" s="509"/>
      <c r="N1595" s="508"/>
      <c r="O1595" s="507"/>
      <c r="P1595" s="507"/>
      <c r="Q1595" s="505"/>
      <c r="R1595" s="506"/>
      <c r="S1595" s="506"/>
      <c r="T1595" s="506"/>
      <c r="U1595" s="505"/>
      <c r="V1595" s="505"/>
      <c r="W1595" s="505"/>
      <c r="X1595" s="504"/>
      <c r="Y1595" s="503"/>
      <c r="Z1595" s="503"/>
      <c r="AA1595" s="503"/>
      <c r="AB1595" s="503"/>
      <c r="AC1595" s="503"/>
      <c r="AD1595" s="503"/>
      <c r="AE1595" s="503"/>
      <c r="AF1595" s="503"/>
    </row>
    <row r="1596" spans="1:32" ht="15.75" customHeight="1">
      <c r="A1596" s="503"/>
      <c r="B1596" s="503"/>
      <c r="C1596" s="510"/>
      <c r="D1596" s="510"/>
      <c r="E1596" s="510"/>
      <c r="F1596" s="746"/>
      <c r="G1596" s="510"/>
      <c r="H1596" s="510"/>
      <c r="I1596" s="510"/>
      <c r="J1596" s="510"/>
      <c r="K1596" s="510"/>
      <c r="L1596" s="510"/>
      <c r="M1596" s="509"/>
      <c r="N1596" s="508"/>
      <c r="O1596" s="507"/>
      <c r="P1596" s="507"/>
      <c r="Q1596" s="505"/>
      <c r="R1596" s="506"/>
      <c r="S1596" s="506"/>
      <c r="T1596" s="506"/>
      <c r="U1596" s="505"/>
      <c r="V1596" s="505"/>
      <c r="W1596" s="505"/>
      <c r="X1596" s="504"/>
      <c r="Y1596" s="503"/>
      <c r="Z1596" s="503"/>
      <c r="AA1596" s="503"/>
      <c r="AB1596" s="503"/>
      <c r="AC1596" s="503"/>
      <c r="AD1596" s="503"/>
      <c r="AE1596" s="503"/>
      <c r="AF1596" s="503"/>
    </row>
    <row r="1597" spans="1:32" ht="15.75" customHeight="1">
      <c r="A1597" s="503"/>
      <c r="B1597" s="503"/>
      <c r="C1597" s="510"/>
      <c r="D1597" s="510"/>
      <c r="E1597" s="510"/>
      <c r="F1597" s="746"/>
      <c r="G1597" s="510"/>
      <c r="H1597" s="510"/>
      <c r="I1597" s="510"/>
      <c r="J1597" s="510"/>
      <c r="K1597" s="510"/>
      <c r="L1597" s="510"/>
      <c r="M1597" s="509"/>
      <c r="N1597" s="508"/>
      <c r="O1597" s="507"/>
      <c r="P1597" s="507"/>
      <c r="Q1597" s="505"/>
      <c r="R1597" s="506"/>
      <c r="S1597" s="506"/>
      <c r="T1597" s="506"/>
      <c r="U1597" s="505"/>
      <c r="V1597" s="505"/>
      <c r="W1597" s="505"/>
      <c r="X1597" s="504"/>
      <c r="Y1597" s="503"/>
      <c r="Z1597" s="503"/>
      <c r="AA1597" s="503"/>
      <c r="AB1597" s="503"/>
      <c r="AC1597" s="503"/>
      <c r="AD1597" s="503"/>
      <c r="AE1597" s="503"/>
      <c r="AF1597" s="503"/>
    </row>
    <row r="1598" spans="1:32" ht="15.75" customHeight="1">
      <c r="A1598" s="503"/>
      <c r="B1598" s="503"/>
      <c r="C1598" s="510"/>
      <c r="D1598" s="510"/>
      <c r="E1598" s="510"/>
      <c r="F1598" s="746"/>
      <c r="G1598" s="510"/>
      <c r="H1598" s="510"/>
      <c r="I1598" s="510"/>
      <c r="J1598" s="510"/>
      <c r="K1598" s="510"/>
      <c r="L1598" s="510"/>
      <c r="M1598" s="509"/>
      <c r="N1598" s="508"/>
      <c r="O1598" s="507"/>
      <c r="P1598" s="507"/>
      <c r="Q1598" s="505"/>
      <c r="R1598" s="506"/>
      <c r="S1598" s="506"/>
      <c r="T1598" s="506"/>
      <c r="U1598" s="505"/>
      <c r="V1598" s="505"/>
      <c r="W1598" s="505"/>
      <c r="X1598" s="504"/>
      <c r="Y1598" s="503"/>
      <c r="Z1598" s="503"/>
      <c r="AA1598" s="503"/>
      <c r="AB1598" s="503"/>
      <c r="AC1598" s="503"/>
      <c r="AD1598" s="503"/>
      <c r="AE1598" s="503"/>
      <c r="AF1598" s="503"/>
    </row>
    <row r="1599" spans="1:32" ht="15.75" customHeight="1">
      <c r="A1599" s="503"/>
      <c r="B1599" s="503"/>
      <c r="C1599" s="510"/>
      <c r="D1599" s="510"/>
      <c r="E1599" s="510"/>
      <c r="F1599" s="746"/>
      <c r="G1599" s="510"/>
      <c r="H1599" s="510"/>
      <c r="I1599" s="510"/>
      <c r="J1599" s="510"/>
      <c r="K1599" s="510"/>
      <c r="L1599" s="510"/>
      <c r="M1599" s="509"/>
      <c r="N1599" s="508"/>
      <c r="O1599" s="507"/>
      <c r="P1599" s="507"/>
      <c r="Q1599" s="505"/>
      <c r="R1599" s="506"/>
      <c r="S1599" s="506"/>
      <c r="T1599" s="506"/>
      <c r="U1599" s="505"/>
      <c r="V1599" s="505"/>
      <c r="W1599" s="505"/>
      <c r="X1599" s="504"/>
      <c r="Y1599" s="503"/>
      <c r="Z1599" s="503"/>
      <c r="AA1599" s="503"/>
      <c r="AB1599" s="503"/>
      <c r="AC1599" s="503"/>
      <c r="AD1599" s="503"/>
      <c r="AE1599" s="503"/>
      <c r="AF1599" s="503"/>
    </row>
    <row r="1600" spans="1:32" ht="15.75" customHeight="1">
      <c r="A1600" s="503"/>
      <c r="B1600" s="503"/>
      <c r="C1600" s="510"/>
      <c r="D1600" s="510"/>
      <c r="E1600" s="510"/>
      <c r="F1600" s="746"/>
      <c r="G1600" s="510"/>
      <c r="H1600" s="510"/>
      <c r="I1600" s="510"/>
      <c r="J1600" s="510"/>
      <c r="K1600" s="510"/>
      <c r="L1600" s="510"/>
      <c r="M1600" s="509"/>
      <c r="N1600" s="508"/>
      <c r="O1600" s="507"/>
      <c r="P1600" s="507"/>
      <c r="Q1600" s="505"/>
      <c r="R1600" s="506"/>
      <c r="S1600" s="506"/>
      <c r="T1600" s="506"/>
      <c r="U1600" s="505"/>
      <c r="V1600" s="505"/>
      <c r="W1600" s="505"/>
      <c r="X1600" s="504"/>
      <c r="Y1600" s="503"/>
      <c r="Z1600" s="503"/>
      <c r="AA1600" s="503"/>
      <c r="AB1600" s="503"/>
      <c r="AC1600" s="503"/>
      <c r="AD1600" s="503"/>
      <c r="AE1600" s="503"/>
      <c r="AF1600" s="503"/>
    </row>
    <row r="1601" spans="1:32" ht="15.75" customHeight="1">
      <c r="A1601" s="503"/>
      <c r="B1601" s="503"/>
      <c r="C1601" s="510"/>
      <c r="D1601" s="510"/>
      <c r="E1601" s="510"/>
      <c r="F1601" s="746"/>
      <c r="G1601" s="510"/>
      <c r="H1601" s="510"/>
      <c r="I1601" s="510"/>
      <c r="J1601" s="510"/>
      <c r="K1601" s="510"/>
      <c r="L1601" s="510"/>
      <c r="M1601" s="509"/>
      <c r="N1601" s="508"/>
      <c r="O1601" s="507"/>
      <c r="P1601" s="507"/>
      <c r="Q1601" s="505"/>
      <c r="R1601" s="506"/>
      <c r="S1601" s="506"/>
      <c r="T1601" s="506"/>
      <c r="U1601" s="505"/>
      <c r="V1601" s="505"/>
      <c r="W1601" s="505"/>
      <c r="X1601" s="504"/>
      <c r="Y1601" s="503"/>
      <c r="Z1601" s="503"/>
      <c r="AA1601" s="503"/>
      <c r="AB1601" s="503"/>
      <c r="AC1601" s="503"/>
      <c r="AD1601" s="503"/>
      <c r="AE1601" s="503"/>
      <c r="AF1601" s="503"/>
    </row>
    <row r="1602" spans="1:32" ht="15.75" customHeight="1">
      <c r="A1602" s="503"/>
      <c r="B1602" s="503"/>
      <c r="C1602" s="510"/>
      <c r="D1602" s="510"/>
      <c r="E1602" s="510"/>
      <c r="F1602" s="746"/>
      <c r="G1602" s="510"/>
      <c r="H1602" s="510"/>
      <c r="I1602" s="510"/>
      <c r="J1602" s="510"/>
      <c r="K1602" s="510"/>
      <c r="L1602" s="510"/>
      <c r="M1602" s="509"/>
      <c r="N1602" s="508"/>
      <c r="O1602" s="507"/>
      <c r="P1602" s="507"/>
      <c r="Q1602" s="505"/>
      <c r="R1602" s="506"/>
      <c r="S1602" s="506"/>
      <c r="T1602" s="506"/>
      <c r="U1602" s="505"/>
      <c r="V1602" s="505"/>
      <c r="W1602" s="505"/>
      <c r="X1602" s="504"/>
      <c r="Y1602" s="503"/>
      <c r="Z1602" s="503"/>
      <c r="AA1602" s="503"/>
      <c r="AB1602" s="503"/>
      <c r="AC1602" s="503"/>
      <c r="AD1602" s="503"/>
      <c r="AE1602" s="503"/>
      <c r="AF1602" s="503"/>
    </row>
    <row r="1603" spans="1:32" ht="15.75" customHeight="1">
      <c r="A1603" s="503"/>
      <c r="B1603" s="503"/>
      <c r="C1603" s="510"/>
      <c r="D1603" s="510"/>
      <c r="E1603" s="510"/>
      <c r="F1603" s="746"/>
      <c r="G1603" s="510"/>
      <c r="H1603" s="510"/>
      <c r="I1603" s="510"/>
      <c r="J1603" s="510"/>
      <c r="K1603" s="510"/>
      <c r="L1603" s="510"/>
      <c r="M1603" s="509"/>
      <c r="N1603" s="508"/>
      <c r="O1603" s="507"/>
      <c r="P1603" s="507"/>
      <c r="Q1603" s="505"/>
      <c r="R1603" s="506"/>
      <c r="S1603" s="506"/>
      <c r="T1603" s="506"/>
      <c r="U1603" s="505"/>
      <c r="V1603" s="505"/>
      <c r="W1603" s="505"/>
      <c r="X1603" s="504"/>
      <c r="Y1603" s="503"/>
      <c r="Z1603" s="503"/>
      <c r="AA1603" s="503"/>
      <c r="AB1603" s="503"/>
      <c r="AC1603" s="503"/>
      <c r="AD1603" s="503"/>
      <c r="AE1603" s="503"/>
      <c r="AF1603" s="503"/>
    </row>
    <row r="1604" spans="1:32" ht="15.75" customHeight="1">
      <c r="A1604" s="503"/>
      <c r="B1604" s="503"/>
      <c r="C1604" s="510"/>
      <c r="D1604" s="510"/>
      <c r="E1604" s="510"/>
      <c r="F1604" s="746"/>
      <c r="G1604" s="510"/>
      <c r="H1604" s="510"/>
      <c r="I1604" s="510"/>
      <c r="J1604" s="510"/>
      <c r="K1604" s="510"/>
      <c r="L1604" s="510"/>
      <c r="M1604" s="509"/>
      <c r="N1604" s="508"/>
      <c r="O1604" s="507"/>
      <c r="P1604" s="507"/>
      <c r="Q1604" s="505"/>
      <c r="R1604" s="506"/>
      <c r="S1604" s="506"/>
      <c r="T1604" s="506"/>
      <c r="U1604" s="505"/>
      <c r="V1604" s="505"/>
      <c r="W1604" s="505"/>
      <c r="X1604" s="504"/>
      <c r="Y1604" s="503"/>
      <c r="Z1604" s="503"/>
      <c r="AA1604" s="503"/>
      <c r="AB1604" s="503"/>
      <c r="AC1604" s="503"/>
      <c r="AD1604" s="503"/>
      <c r="AE1604" s="503"/>
      <c r="AF1604" s="503"/>
    </row>
    <row r="1605" spans="1:32" ht="15.75" customHeight="1">
      <c r="A1605" s="503"/>
      <c r="B1605" s="503"/>
      <c r="C1605" s="510"/>
      <c r="D1605" s="510"/>
      <c r="E1605" s="510"/>
      <c r="F1605" s="746"/>
      <c r="G1605" s="510"/>
      <c r="H1605" s="510"/>
      <c r="I1605" s="510"/>
      <c r="J1605" s="510"/>
      <c r="K1605" s="510"/>
      <c r="L1605" s="510"/>
      <c r="M1605" s="509"/>
      <c r="N1605" s="508"/>
      <c r="O1605" s="507"/>
      <c r="P1605" s="507"/>
      <c r="Q1605" s="505"/>
      <c r="R1605" s="506"/>
      <c r="S1605" s="506"/>
      <c r="T1605" s="506"/>
      <c r="U1605" s="505"/>
      <c r="V1605" s="505"/>
      <c r="W1605" s="505"/>
      <c r="X1605" s="504"/>
      <c r="Y1605" s="503"/>
      <c r="Z1605" s="503"/>
      <c r="AA1605" s="503"/>
      <c r="AB1605" s="503"/>
      <c r="AC1605" s="503"/>
      <c r="AD1605" s="503"/>
      <c r="AE1605" s="503"/>
      <c r="AF1605" s="503"/>
    </row>
    <row r="1606" spans="1:32" ht="15.75" customHeight="1">
      <c r="A1606" s="503"/>
      <c r="B1606" s="503"/>
      <c r="C1606" s="510"/>
      <c r="D1606" s="510"/>
      <c r="E1606" s="510"/>
      <c r="F1606" s="746"/>
      <c r="G1606" s="510"/>
      <c r="H1606" s="510"/>
      <c r="I1606" s="510"/>
      <c r="J1606" s="510"/>
      <c r="K1606" s="510"/>
      <c r="L1606" s="510"/>
      <c r="M1606" s="509"/>
      <c r="N1606" s="508"/>
      <c r="O1606" s="507"/>
      <c r="P1606" s="507"/>
      <c r="Q1606" s="505"/>
      <c r="R1606" s="506"/>
      <c r="S1606" s="506"/>
      <c r="T1606" s="506"/>
      <c r="U1606" s="505"/>
      <c r="V1606" s="505"/>
      <c r="W1606" s="505"/>
      <c r="X1606" s="504"/>
      <c r="Y1606" s="503"/>
      <c r="Z1606" s="503"/>
      <c r="AA1606" s="503"/>
      <c r="AB1606" s="503"/>
      <c r="AC1606" s="503"/>
      <c r="AD1606" s="503"/>
      <c r="AE1606" s="503"/>
      <c r="AF1606" s="503"/>
    </row>
    <row r="1607" spans="1:32" ht="15.75" customHeight="1">
      <c r="A1607" s="503"/>
      <c r="B1607" s="503"/>
      <c r="C1607" s="510"/>
      <c r="D1607" s="510"/>
      <c r="E1607" s="510"/>
      <c r="F1607" s="746"/>
      <c r="G1607" s="510"/>
      <c r="H1607" s="510"/>
      <c r="I1607" s="510"/>
      <c r="J1607" s="510"/>
      <c r="K1607" s="510"/>
      <c r="L1607" s="510"/>
      <c r="M1607" s="509"/>
      <c r="N1607" s="508"/>
      <c r="O1607" s="507"/>
      <c r="P1607" s="507"/>
      <c r="Q1607" s="505"/>
      <c r="R1607" s="506"/>
      <c r="S1607" s="506"/>
      <c r="T1607" s="506"/>
      <c r="U1607" s="505"/>
      <c r="V1607" s="505"/>
      <c r="W1607" s="505"/>
      <c r="X1607" s="504"/>
      <c r="Y1607" s="503"/>
      <c r="Z1607" s="503"/>
      <c r="AA1607" s="503"/>
      <c r="AB1607" s="503"/>
      <c r="AC1607" s="503"/>
      <c r="AD1607" s="503"/>
      <c r="AE1607" s="503"/>
      <c r="AF1607" s="503"/>
    </row>
    <row r="1608" spans="1:32" ht="15.75" customHeight="1">
      <c r="A1608" s="503"/>
      <c r="B1608" s="503"/>
      <c r="C1608" s="510"/>
      <c r="D1608" s="510"/>
      <c r="E1608" s="510"/>
      <c r="F1608" s="746"/>
      <c r="G1608" s="510"/>
      <c r="H1608" s="510"/>
      <c r="I1608" s="510"/>
      <c r="J1608" s="510"/>
      <c r="K1608" s="510"/>
      <c r="L1608" s="510"/>
      <c r="M1608" s="509"/>
      <c r="N1608" s="508"/>
      <c r="O1608" s="507"/>
      <c r="P1608" s="507"/>
      <c r="Q1608" s="505"/>
      <c r="R1608" s="506"/>
      <c r="S1608" s="506"/>
      <c r="T1608" s="506"/>
      <c r="U1608" s="505"/>
      <c r="V1608" s="505"/>
      <c r="W1608" s="505"/>
      <c r="X1608" s="504"/>
      <c r="Y1608" s="503"/>
      <c r="Z1608" s="503"/>
      <c r="AA1608" s="503"/>
      <c r="AB1608" s="503"/>
      <c r="AC1608" s="503"/>
      <c r="AD1608" s="503"/>
      <c r="AE1608" s="503"/>
      <c r="AF1608" s="503"/>
    </row>
    <row r="1609" spans="1:32" ht="15.75" customHeight="1">
      <c r="A1609" s="503"/>
      <c r="B1609" s="503"/>
      <c r="C1609" s="510"/>
      <c r="D1609" s="510"/>
      <c r="E1609" s="510"/>
      <c r="F1609" s="746"/>
      <c r="G1609" s="510"/>
      <c r="H1609" s="510"/>
      <c r="I1609" s="510"/>
      <c r="J1609" s="510"/>
      <c r="K1609" s="510"/>
      <c r="L1609" s="510"/>
      <c r="M1609" s="509"/>
      <c r="N1609" s="508"/>
      <c r="O1609" s="507"/>
      <c r="P1609" s="507"/>
      <c r="Q1609" s="505"/>
      <c r="R1609" s="506"/>
      <c r="S1609" s="506"/>
      <c r="T1609" s="506"/>
      <c r="U1609" s="505"/>
      <c r="V1609" s="505"/>
      <c r="W1609" s="505"/>
      <c r="X1609" s="504"/>
      <c r="Y1609" s="503"/>
      <c r="Z1609" s="503"/>
      <c r="AA1609" s="503"/>
      <c r="AB1609" s="503"/>
      <c r="AC1609" s="503"/>
      <c r="AD1609" s="503"/>
      <c r="AE1609" s="503"/>
      <c r="AF1609" s="503"/>
    </row>
    <row r="1610" spans="1:32" ht="15.75" customHeight="1">
      <c r="A1610" s="503"/>
      <c r="B1610" s="503"/>
      <c r="C1610" s="510"/>
      <c r="D1610" s="510"/>
      <c r="E1610" s="510"/>
      <c r="F1610" s="746"/>
      <c r="G1610" s="510"/>
      <c r="H1610" s="510"/>
      <c r="I1610" s="510"/>
      <c r="J1610" s="510"/>
      <c r="K1610" s="510"/>
      <c r="L1610" s="510"/>
      <c r="M1610" s="509"/>
      <c r="N1610" s="508"/>
      <c r="O1610" s="507"/>
      <c r="P1610" s="507"/>
      <c r="Q1610" s="505"/>
      <c r="R1610" s="506"/>
      <c r="S1610" s="506"/>
      <c r="T1610" s="506"/>
      <c r="U1610" s="505"/>
      <c r="V1610" s="505"/>
      <c r="W1610" s="505"/>
      <c r="X1610" s="504"/>
      <c r="Y1610" s="503"/>
      <c r="Z1610" s="503"/>
      <c r="AA1610" s="503"/>
      <c r="AB1610" s="503"/>
      <c r="AC1610" s="503"/>
      <c r="AD1610" s="503"/>
      <c r="AE1610" s="503"/>
      <c r="AF1610" s="503"/>
    </row>
    <row r="1611" spans="1:32" ht="15.75" customHeight="1">
      <c r="A1611" s="503"/>
      <c r="B1611" s="503"/>
      <c r="C1611" s="510"/>
      <c r="D1611" s="510"/>
      <c r="E1611" s="510"/>
      <c r="F1611" s="746"/>
      <c r="G1611" s="510"/>
      <c r="H1611" s="510"/>
      <c r="I1611" s="510"/>
      <c r="J1611" s="510"/>
      <c r="K1611" s="510"/>
      <c r="L1611" s="510"/>
      <c r="M1611" s="509"/>
      <c r="N1611" s="508"/>
      <c r="O1611" s="507"/>
      <c r="P1611" s="507"/>
      <c r="Q1611" s="505"/>
      <c r="R1611" s="506"/>
      <c r="S1611" s="506"/>
      <c r="T1611" s="506"/>
      <c r="U1611" s="505"/>
      <c r="V1611" s="505"/>
      <c r="W1611" s="505"/>
      <c r="X1611" s="504"/>
      <c r="Y1611" s="503"/>
      <c r="Z1611" s="503"/>
      <c r="AA1611" s="503"/>
      <c r="AB1611" s="503"/>
      <c r="AC1611" s="503"/>
      <c r="AD1611" s="503"/>
      <c r="AE1611" s="503"/>
      <c r="AF1611" s="503"/>
    </row>
    <row r="1612" spans="1:32" ht="15.75" customHeight="1">
      <c r="A1612" s="503"/>
      <c r="B1612" s="503"/>
      <c r="C1612" s="510"/>
      <c r="D1612" s="510"/>
      <c r="E1612" s="510"/>
      <c r="F1612" s="746"/>
      <c r="G1612" s="510"/>
      <c r="H1612" s="510"/>
      <c r="I1612" s="510"/>
      <c r="J1612" s="510"/>
      <c r="K1612" s="510"/>
      <c r="L1612" s="510"/>
      <c r="M1612" s="509"/>
      <c r="N1612" s="508"/>
      <c r="O1612" s="507"/>
      <c r="P1612" s="507"/>
      <c r="Q1612" s="505"/>
      <c r="R1612" s="506"/>
      <c r="S1612" s="506"/>
      <c r="T1612" s="506"/>
      <c r="U1612" s="505"/>
      <c r="V1612" s="505"/>
      <c r="W1612" s="505"/>
      <c r="X1612" s="504"/>
      <c r="Y1612" s="503"/>
      <c r="Z1612" s="503"/>
      <c r="AA1612" s="503"/>
      <c r="AB1612" s="503"/>
      <c r="AC1612" s="503"/>
      <c r="AD1612" s="503"/>
      <c r="AE1612" s="503"/>
      <c r="AF1612" s="503"/>
    </row>
    <row r="1613" spans="1:32" ht="15.75" customHeight="1">
      <c r="A1613" s="503"/>
      <c r="B1613" s="503"/>
      <c r="C1613" s="510"/>
      <c r="D1613" s="510"/>
      <c r="E1613" s="510"/>
      <c r="F1613" s="746"/>
      <c r="G1613" s="510"/>
      <c r="H1613" s="510"/>
      <c r="I1613" s="510"/>
      <c r="J1613" s="510"/>
      <c r="K1613" s="510"/>
      <c r="L1613" s="510"/>
      <c r="M1613" s="509"/>
      <c r="N1613" s="508"/>
      <c r="O1613" s="507"/>
      <c r="P1613" s="507"/>
      <c r="Q1613" s="505"/>
      <c r="R1613" s="506"/>
      <c r="S1613" s="506"/>
      <c r="T1613" s="506"/>
      <c r="U1613" s="505"/>
      <c r="V1613" s="505"/>
      <c r="W1613" s="505"/>
      <c r="X1613" s="504"/>
      <c r="Y1613" s="503"/>
      <c r="Z1613" s="503"/>
      <c r="AA1613" s="503"/>
      <c r="AB1613" s="503"/>
      <c r="AC1613" s="503"/>
      <c r="AD1613" s="503"/>
      <c r="AE1613" s="503"/>
      <c r="AF1613" s="503"/>
    </row>
    <row r="1614" spans="1:32" ht="15.75" customHeight="1">
      <c r="A1614" s="503"/>
      <c r="B1614" s="503"/>
      <c r="C1614" s="510"/>
      <c r="D1614" s="510"/>
      <c r="E1614" s="510"/>
      <c r="F1614" s="746"/>
      <c r="G1614" s="510"/>
      <c r="H1614" s="510"/>
      <c r="I1614" s="510"/>
      <c r="J1614" s="510"/>
      <c r="K1614" s="510"/>
      <c r="L1614" s="510"/>
      <c r="M1614" s="509"/>
      <c r="N1614" s="508"/>
      <c r="O1614" s="507"/>
      <c r="P1614" s="507"/>
      <c r="Q1614" s="505"/>
      <c r="R1614" s="506"/>
      <c r="S1614" s="506"/>
      <c r="T1614" s="506"/>
      <c r="U1614" s="505"/>
      <c r="V1614" s="505"/>
      <c r="W1614" s="505"/>
      <c r="X1614" s="504"/>
      <c r="Y1614" s="503"/>
      <c r="Z1614" s="503"/>
      <c r="AA1614" s="503"/>
      <c r="AB1614" s="503"/>
      <c r="AC1614" s="503"/>
      <c r="AD1614" s="503"/>
      <c r="AE1614" s="503"/>
      <c r="AF1614" s="503"/>
    </row>
    <row r="1615" spans="1:32" ht="15.75" customHeight="1">
      <c r="A1615" s="503"/>
      <c r="B1615" s="503"/>
      <c r="C1615" s="510"/>
      <c r="D1615" s="510"/>
      <c r="E1615" s="510"/>
      <c r="F1615" s="746"/>
      <c r="G1615" s="510"/>
      <c r="H1615" s="510"/>
      <c r="I1615" s="510"/>
      <c r="J1615" s="510"/>
      <c r="K1615" s="510"/>
      <c r="L1615" s="510"/>
      <c r="M1615" s="509"/>
      <c r="N1615" s="508"/>
      <c r="O1615" s="507"/>
      <c r="P1615" s="507"/>
      <c r="Q1615" s="505"/>
      <c r="R1615" s="506"/>
      <c r="S1615" s="506"/>
      <c r="T1615" s="506"/>
      <c r="U1615" s="505"/>
      <c r="V1615" s="505"/>
      <c r="W1615" s="505"/>
      <c r="X1615" s="504"/>
      <c r="Y1615" s="503"/>
      <c r="Z1615" s="503"/>
      <c r="AA1615" s="503"/>
      <c r="AB1615" s="503"/>
      <c r="AC1615" s="503"/>
      <c r="AD1615" s="503"/>
      <c r="AE1615" s="503"/>
      <c r="AF1615" s="503"/>
    </row>
    <row r="1616" spans="1:32" ht="15.75" customHeight="1">
      <c r="A1616" s="503"/>
      <c r="B1616" s="503"/>
      <c r="C1616" s="510"/>
      <c r="D1616" s="510"/>
      <c r="E1616" s="510"/>
      <c r="F1616" s="746"/>
      <c r="G1616" s="510"/>
      <c r="H1616" s="510"/>
      <c r="I1616" s="510"/>
      <c r="J1616" s="510"/>
      <c r="K1616" s="510"/>
      <c r="L1616" s="510"/>
      <c r="M1616" s="509"/>
      <c r="N1616" s="508"/>
      <c r="O1616" s="507"/>
      <c r="P1616" s="507"/>
      <c r="Q1616" s="505"/>
      <c r="R1616" s="506"/>
      <c r="S1616" s="506"/>
      <c r="T1616" s="506"/>
      <c r="U1616" s="505"/>
      <c r="V1616" s="505"/>
      <c r="W1616" s="505"/>
      <c r="X1616" s="504"/>
      <c r="Y1616" s="503"/>
      <c r="Z1616" s="503"/>
      <c r="AA1616" s="503"/>
      <c r="AB1616" s="503"/>
      <c r="AC1616" s="503"/>
      <c r="AD1616" s="503"/>
      <c r="AE1616" s="503"/>
      <c r="AF1616" s="503"/>
    </row>
    <row r="1617" spans="1:32" ht="15.75" customHeight="1">
      <c r="A1617" s="503"/>
      <c r="B1617" s="503"/>
      <c r="C1617" s="510"/>
      <c r="D1617" s="510"/>
      <c r="E1617" s="510"/>
      <c r="F1617" s="746"/>
      <c r="G1617" s="510"/>
      <c r="H1617" s="510"/>
      <c r="I1617" s="510"/>
      <c r="J1617" s="510"/>
      <c r="K1617" s="510"/>
      <c r="L1617" s="510"/>
      <c r="M1617" s="509"/>
      <c r="N1617" s="508"/>
      <c r="O1617" s="507"/>
      <c r="P1617" s="507"/>
      <c r="Q1617" s="505"/>
      <c r="R1617" s="506"/>
      <c r="S1617" s="506"/>
      <c r="T1617" s="506"/>
      <c r="U1617" s="505"/>
      <c r="V1617" s="505"/>
      <c r="W1617" s="505"/>
      <c r="X1617" s="504"/>
      <c r="Y1617" s="503"/>
      <c r="Z1617" s="503"/>
      <c r="AA1617" s="503"/>
      <c r="AB1617" s="503"/>
      <c r="AC1617" s="503"/>
      <c r="AD1617" s="503"/>
      <c r="AE1617" s="503"/>
      <c r="AF1617" s="503"/>
    </row>
    <row r="1618" spans="1:32" ht="15.75" customHeight="1">
      <c r="A1618" s="503"/>
      <c r="B1618" s="503"/>
      <c r="C1618" s="510"/>
      <c r="D1618" s="510"/>
      <c r="E1618" s="510"/>
      <c r="F1618" s="746"/>
      <c r="G1618" s="510"/>
      <c r="H1618" s="510"/>
      <c r="I1618" s="510"/>
      <c r="J1618" s="510"/>
      <c r="K1618" s="510"/>
      <c r="L1618" s="510"/>
      <c r="M1618" s="509"/>
      <c r="N1618" s="508"/>
      <c r="O1618" s="507"/>
      <c r="P1618" s="507"/>
      <c r="Q1618" s="505"/>
      <c r="R1618" s="506"/>
      <c r="S1618" s="506"/>
      <c r="T1618" s="506"/>
      <c r="U1618" s="505"/>
      <c r="V1618" s="505"/>
      <c r="W1618" s="505"/>
      <c r="X1618" s="504"/>
      <c r="Y1618" s="503"/>
      <c r="Z1618" s="503"/>
      <c r="AA1618" s="503"/>
      <c r="AB1618" s="503"/>
      <c r="AC1618" s="503"/>
      <c r="AD1618" s="503"/>
      <c r="AE1618" s="503"/>
      <c r="AF1618" s="503"/>
    </row>
    <row r="1619" spans="1:32" ht="15.75" customHeight="1">
      <c r="A1619" s="503"/>
      <c r="B1619" s="503"/>
      <c r="C1619" s="510"/>
      <c r="D1619" s="510"/>
      <c r="E1619" s="510"/>
      <c r="F1619" s="746"/>
      <c r="G1619" s="510"/>
      <c r="H1619" s="510"/>
      <c r="I1619" s="510"/>
      <c r="J1619" s="510"/>
      <c r="K1619" s="510"/>
      <c r="L1619" s="510"/>
      <c r="M1619" s="509"/>
      <c r="N1619" s="508"/>
      <c r="O1619" s="507"/>
      <c r="P1619" s="507"/>
      <c r="Q1619" s="505"/>
      <c r="R1619" s="506"/>
      <c r="S1619" s="506"/>
      <c r="T1619" s="506"/>
      <c r="U1619" s="505"/>
      <c r="V1619" s="505"/>
      <c r="W1619" s="505"/>
      <c r="X1619" s="504"/>
      <c r="Y1619" s="503"/>
      <c r="Z1619" s="503"/>
      <c r="AA1619" s="503"/>
      <c r="AB1619" s="503"/>
      <c r="AC1619" s="503"/>
      <c r="AD1619" s="503"/>
      <c r="AE1619" s="503"/>
      <c r="AF1619" s="503"/>
    </row>
    <row r="1620" spans="1:32" ht="15.75" customHeight="1">
      <c r="A1620" s="503"/>
      <c r="B1620" s="503"/>
      <c r="C1620" s="510"/>
      <c r="D1620" s="510"/>
      <c r="E1620" s="510"/>
      <c r="F1620" s="746"/>
      <c r="G1620" s="510"/>
      <c r="H1620" s="510"/>
      <c r="I1620" s="510"/>
      <c r="J1620" s="510"/>
      <c r="K1620" s="510"/>
      <c r="L1620" s="510"/>
      <c r="M1620" s="509"/>
      <c r="N1620" s="508"/>
      <c r="O1620" s="507"/>
      <c r="P1620" s="507"/>
      <c r="Q1620" s="505"/>
      <c r="R1620" s="506"/>
      <c r="S1620" s="506"/>
      <c r="T1620" s="506"/>
      <c r="U1620" s="505"/>
      <c r="V1620" s="505"/>
      <c r="W1620" s="505"/>
      <c r="X1620" s="504"/>
      <c r="Y1620" s="503"/>
      <c r="Z1620" s="503"/>
      <c r="AA1620" s="503"/>
      <c r="AB1620" s="503"/>
      <c r="AC1620" s="503"/>
      <c r="AD1620" s="503"/>
      <c r="AE1620" s="503"/>
      <c r="AF1620" s="503"/>
    </row>
    <row r="1621" spans="1:32" ht="15.75" customHeight="1">
      <c r="A1621" s="503"/>
      <c r="B1621" s="503"/>
      <c r="C1621" s="510"/>
      <c r="D1621" s="510"/>
      <c r="E1621" s="510"/>
      <c r="F1621" s="746"/>
      <c r="G1621" s="510"/>
      <c r="H1621" s="510"/>
      <c r="I1621" s="510"/>
      <c r="J1621" s="510"/>
      <c r="K1621" s="510"/>
      <c r="L1621" s="510"/>
      <c r="M1621" s="509"/>
      <c r="N1621" s="508"/>
      <c r="O1621" s="507"/>
      <c r="P1621" s="507"/>
      <c r="Q1621" s="505"/>
      <c r="R1621" s="506"/>
      <c r="S1621" s="506"/>
      <c r="T1621" s="506"/>
      <c r="U1621" s="505"/>
      <c r="V1621" s="505"/>
      <c r="W1621" s="505"/>
      <c r="X1621" s="504"/>
      <c r="Y1621" s="503"/>
      <c r="Z1621" s="503"/>
      <c r="AA1621" s="503"/>
      <c r="AB1621" s="503"/>
      <c r="AC1621" s="503"/>
      <c r="AD1621" s="503"/>
      <c r="AE1621" s="503"/>
      <c r="AF1621" s="503"/>
    </row>
    <row r="1622" spans="1:32" ht="15.75" customHeight="1">
      <c r="A1622" s="503"/>
      <c r="B1622" s="503"/>
      <c r="C1622" s="510"/>
      <c r="D1622" s="510"/>
      <c r="E1622" s="510"/>
      <c r="F1622" s="746"/>
      <c r="G1622" s="510"/>
      <c r="H1622" s="510"/>
      <c r="I1622" s="510"/>
      <c r="J1622" s="510"/>
      <c r="K1622" s="510"/>
      <c r="L1622" s="510"/>
      <c r="M1622" s="509"/>
      <c r="N1622" s="508"/>
      <c r="O1622" s="507"/>
      <c r="P1622" s="507"/>
      <c r="Q1622" s="505"/>
      <c r="R1622" s="506"/>
      <c r="S1622" s="506"/>
      <c r="T1622" s="506"/>
      <c r="U1622" s="505"/>
      <c r="V1622" s="505"/>
      <c r="W1622" s="505"/>
      <c r="X1622" s="504"/>
      <c r="Y1622" s="503"/>
      <c r="Z1622" s="503"/>
      <c r="AA1622" s="503"/>
      <c r="AB1622" s="503"/>
      <c r="AC1622" s="503"/>
      <c r="AD1622" s="503"/>
      <c r="AE1622" s="503"/>
      <c r="AF1622" s="503"/>
    </row>
    <row r="1623" spans="1:32" ht="15.75" customHeight="1">
      <c r="A1623" s="503"/>
      <c r="B1623" s="503"/>
      <c r="C1623" s="510"/>
      <c r="D1623" s="510"/>
      <c r="E1623" s="510"/>
      <c r="F1623" s="746"/>
      <c r="G1623" s="510"/>
      <c r="H1623" s="510"/>
      <c r="I1623" s="510"/>
      <c r="J1623" s="510"/>
      <c r="K1623" s="510"/>
      <c r="L1623" s="510"/>
      <c r="M1623" s="509"/>
      <c r="N1623" s="508"/>
      <c r="O1623" s="507"/>
      <c r="P1623" s="507"/>
      <c r="Q1623" s="505"/>
      <c r="R1623" s="506"/>
      <c r="S1623" s="506"/>
      <c r="T1623" s="506"/>
      <c r="U1623" s="505"/>
      <c r="V1623" s="505"/>
      <c r="W1623" s="505"/>
      <c r="X1623" s="504"/>
      <c r="Y1623" s="503"/>
      <c r="Z1623" s="503"/>
      <c r="AA1623" s="503"/>
      <c r="AB1623" s="503"/>
      <c r="AC1623" s="503"/>
      <c r="AD1623" s="503"/>
      <c r="AE1623" s="503"/>
      <c r="AF1623" s="503"/>
    </row>
    <row r="1624" spans="1:32" ht="15.75" customHeight="1">
      <c r="A1624" s="503"/>
      <c r="B1624" s="503"/>
      <c r="C1624" s="510"/>
      <c r="D1624" s="510"/>
      <c r="E1624" s="510"/>
      <c r="F1624" s="746"/>
      <c r="G1624" s="510"/>
      <c r="H1624" s="510"/>
      <c r="I1624" s="510"/>
      <c r="J1624" s="510"/>
      <c r="K1624" s="510"/>
      <c r="L1624" s="510"/>
      <c r="M1624" s="509"/>
      <c r="N1624" s="508"/>
      <c r="O1624" s="507"/>
      <c r="P1624" s="507"/>
      <c r="Q1624" s="505"/>
      <c r="R1624" s="506"/>
      <c r="S1624" s="506"/>
      <c r="T1624" s="506"/>
      <c r="U1624" s="505"/>
      <c r="V1624" s="505"/>
      <c r="W1624" s="505"/>
      <c r="X1624" s="504"/>
      <c r="Y1624" s="503"/>
      <c r="Z1624" s="503"/>
      <c r="AA1624" s="503"/>
      <c r="AB1624" s="503"/>
      <c r="AC1624" s="503"/>
      <c r="AD1624" s="503"/>
      <c r="AE1624" s="503"/>
      <c r="AF1624" s="503"/>
    </row>
    <row r="1625" spans="1:32" ht="15.75" customHeight="1">
      <c r="A1625" s="503"/>
      <c r="B1625" s="503"/>
      <c r="C1625" s="510"/>
      <c r="D1625" s="510"/>
      <c r="E1625" s="510"/>
      <c r="F1625" s="746"/>
      <c r="G1625" s="510"/>
      <c r="H1625" s="510"/>
      <c r="I1625" s="510"/>
      <c r="J1625" s="510"/>
      <c r="K1625" s="510"/>
      <c r="L1625" s="510"/>
      <c r="M1625" s="509"/>
      <c r="N1625" s="508"/>
      <c r="O1625" s="507"/>
      <c r="P1625" s="507"/>
      <c r="Q1625" s="505"/>
      <c r="R1625" s="506"/>
      <c r="S1625" s="506"/>
      <c r="T1625" s="506"/>
      <c r="U1625" s="505"/>
      <c r="V1625" s="505"/>
      <c r="W1625" s="505"/>
      <c r="X1625" s="504"/>
      <c r="Y1625" s="503"/>
      <c r="Z1625" s="503"/>
      <c r="AA1625" s="503"/>
      <c r="AB1625" s="503"/>
      <c r="AC1625" s="503"/>
      <c r="AD1625" s="503"/>
      <c r="AE1625" s="503"/>
      <c r="AF1625" s="503"/>
    </row>
    <row r="1626" spans="1:32" ht="15.75" customHeight="1">
      <c r="A1626" s="503"/>
      <c r="B1626" s="503"/>
      <c r="C1626" s="510"/>
      <c r="D1626" s="510"/>
      <c r="E1626" s="510"/>
      <c r="F1626" s="746"/>
      <c r="G1626" s="510"/>
      <c r="H1626" s="510"/>
      <c r="I1626" s="510"/>
      <c r="J1626" s="510"/>
      <c r="K1626" s="510"/>
      <c r="L1626" s="510"/>
      <c r="M1626" s="509"/>
      <c r="N1626" s="508"/>
      <c r="O1626" s="507"/>
      <c r="P1626" s="507"/>
      <c r="Q1626" s="505"/>
      <c r="R1626" s="506"/>
      <c r="S1626" s="506"/>
      <c r="T1626" s="506"/>
      <c r="U1626" s="505"/>
      <c r="V1626" s="505"/>
      <c r="W1626" s="505"/>
      <c r="X1626" s="504"/>
      <c r="Y1626" s="503"/>
      <c r="Z1626" s="503"/>
      <c r="AA1626" s="503"/>
      <c r="AB1626" s="503"/>
      <c r="AC1626" s="503"/>
      <c r="AD1626" s="503"/>
      <c r="AE1626" s="503"/>
      <c r="AF1626" s="503"/>
    </row>
    <row r="1627" spans="1:32" ht="15.75" customHeight="1">
      <c r="A1627" s="503"/>
      <c r="B1627" s="503"/>
      <c r="C1627" s="510"/>
      <c r="D1627" s="510"/>
      <c r="E1627" s="510"/>
      <c r="F1627" s="746"/>
      <c r="G1627" s="510"/>
      <c r="H1627" s="510"/>
      <c r="I1627" s="510"/>
      <c r="J1627" s="510"/>
      <c r="K1627" s="510"/>
      <c r="L1627" s="510"/>
      <c r="M1627" s="509"/>
      <c r="N1627" s="508"/>
      <c r="O1627" s="507"/>
      <c r="P1627" s="507"/>
      <c r="Q1627" s="505"/>
      <c r="R1627" s="506"/>
      <c r="S1627" s="506"/>
      <c r="T1627" s="506"/>
      <c r="U1627" s="505"/>
      <c r="V1627" s="505"/>
      <c r="W1627" s="505"/>
      <c r="X1627" s="504"/>
      <c r="Y1627" s="503"/>
      <c r="Z1627" s="503"/>
      <c r="AA1627" s="503"/>
      <c r="AB1627" s="503"/>
      <c r="AC1627" s="503"/>
      <c r="AD1627" s="503"/>
      <c r="AE1627" s="503"/>
      <c r="AF1627" s="503"/>
    </row>
    <row r="1628" spans="1:32" ht="15.75" customHeight="1">
      <c r="A1628" s="503"/>
      <c r="B1628" s="503"/>
      <c r="C1628" s="510"/>
      <c r="D1628" s="510"/>
      <c r="E1628" s="510"/>
      <c r="F1628" s="746"/>
      <c r="G1628" s="510"/>
      <c r="H1628" s="510"/>
      <c r="I1628" s="510"/>
      <c r="J1628" s="510"/>
      <c r="K1628" s="510"/>
      <c r="L1628" s="510"/>
      <c r="M1628" s="509"/>
      <c r="N1628" s="508"/>
      <c r="O1628" s="507"/>
      <c r="P1628" s="507"/>
      <c r="Q1628" s="505"/>
      <c r="R1628" s="506"/>
      <c r="S1628" s="506"/>
      <c r="T1628" s="506"/>
      <c r="U1628" s="505"/>
      <c r="V1628" s="505"/>
      <c r="W1628" s="505"/>
      <c r="X1628" s="504"/>
      <c r="Y1628" s="503"/>
      <c r="Z1628" s="503"/>
      <c r="AA1628" s="503"/>
      <c r="AB1628" s="503"/>
      <c r="AC1628" s="503"/>
      <c r="AD1628" s="503"/>
      <c r="AE1628" s="503"/>
      <c r="AF1628" s="503"/>
    </row>
    <row r="1629" spans="1:32" ht="15.75" customHeight="1">
      <c r="A1629" s="503"/>
      <c r="B1629" s="503"/>
      <c r="C1629" s="510"/>
      <c r="D1629" s="510"/>
      <c r="E1629" s="510"/>
      <c r="F1629" s="746"/>
      <c r="G1629" s="510"/>
      <c r="H1629" s="510"/>
      <c r="I1629" s="510"/>
      <c r="J1629" s="510"/>
      <c r="K1629" s="510"/>
      <c r="L1629" s="510"/>
      <c r="M1629" s="509"/>
      <c r="N1629" s="508"/>
      <c r="O1629" s="507"/>
      <c r="P1629" s="507"/>
      <c r="Q1629" s="505"/>
      <c r="R1629" s="506"/>
      <c r="S1629" s="506"/>
      <c r="T1629" s="506"/>
      <c r="U1629" s="505"/>
      <c r="V1629" s="505"/>
      <c r="W1629" s="505"/>
      <c r="X1629" s="504"/>
      <c r="Y1629" s="503"/>
      <c r="Z1629" s="503"/>
      <c r="AA1629" s="503"/>
      <c r="AB1629" s="503"/>
      <c r="AC1629" s="503"/>
      <c r="AD1629" s="503"/>
      <c r="AE1629" s="503"/>
      <c r="AF1629" s="503"/>
    </row>
    <row r="1630" spans="1:32" ht="15.75" customHeight="1">
      <c r="A1630" s="503"/>
      <c r="B1630" s="503"/>
      <c r="C1630" s="510"/>
      <c r="D1630" s="510"/>
      <c r="E1630" s="510"/>
      <c r="F1630" s="746"/>
      <c r="G1630" s="510"/>
      <c r="H1630" s="510"/>
      <c r="I1630" s="510"/>
      <c r="J1630" s="510"/>
      <c r="K1630" s="510"/>
      <c r="L1630" s="510"/>
      <c r="M1630" s="509"/>
      <c r="N1630" s="508"/>
      <c r="O1630" s="507"/>
      <c r="P1630" s="507"/>
      <c r="Q1630" s="505"/>
      <c r="R1630" s="506"/>
      <c r="S1630" s="506"/>
      <c r="T1630" s="506"/>
      <c r="U1630" s="505"/>
      <c r="V1630" s="505"/>
      <c r="W1630" s="505"/>
      <c r="X1630" s="504"/>
      <c r="Y1630" s="503"/>
      <c r="Z1630" s="503"/>
      <c r="AA1630" s="503"/>
      <c r="AB1630" s="503"/>
      <c r="AC1630" s="503"/>
      <c r="AD1630" s="503"/>
      <c r="AE1630" s="503"/>
      <c r="AF1630" s="503"/>
    </row>
    <row r="1631" spans="1:32" ht="15.75" customHeight="1">
      <c r="A1631" s="503"/>
      <c r="B1631" s="503"/>
      <c r="C1631" s="510"/>
      <c r="D1631" s="510"/>
      <c r="E1631" s="510"/>
      <c r="F1631" s="746"/>
      <c r="G1631" s="510"/>
      <c r="H1631" s="510"/>
      <c r="I1631" s="510"/>
      <c r="J1631" s="510"/>
      <c r="K1631" s="510"/>
      <c r="L1631" s="510"/>
      <c r="M1631" s="509"/>
      <c r="N1631" s="508"/>
      <c r="O1631" s="507"/>
      <c r="P1631" s="507"/>
      <c r="Q1631" s="505"/>
      <c r="R1631" s="506"/>
      <c r="S1631" s="506"/>
      <c r="T1631" s="506"/>
      <c r="U1631" s="505"/>
      <c r="V1631" s="505"/>
      <c r="W1631" s="505"/>
      <c r="X1631" s="504"/>
      <c r="Y1631" s="503"/>
      <c r="Z1631" s="503"/>
      <c r="AA1631" s="503"/>
      <c r="AB1631" s="503"/>
      <c r="AC1631" s="503"/>
      <c r="AD1631" s="503"/>
      <c r="AE1631" s="503"/>
      <c r="AF1631" s="503"/>
    </row>
    <row r="1632" spans="1:32" ht="15.75" customHeight="1">
      <c r="A1632" s="503"/>
      <c r="B1632" s="503"/>
      <c r="C1632" s="510"/>
      <c r="D1632" s="510"/>
      <c r="E1632" s="510"/>
      <c r="F1632" s="746"/>
      <c r="G1632" s="510"/>
      <c r="H1632" s="510"/>
      <c r="I1632" s="510"/>
      <c r="J1632" s="510"/>
      <c r="K1632" s="510"/>
      <c r="L1632" s="510"/>
      <c r="M1632" s="509"/>
      <c r="N1632" s="508"/>
      <c r="O1632" s="507"/>
      <c r="P1632" s="507"/>
      <c r="Q1632" s="505"/>
      <c r="R1632" s="506"/>
      <c r="S1632" s="506"/>
      <c r="T1632" s="506"/>
      <c r="U1632" s="505"/>
      <c r="V1632" s="505"/>
      <c r="W1632" s="505"/>
      <c r="X1632" s="504"/>
      <c r="Y1632" s="503"/>
      <c r="Z1632" s="503"/>
      <c r="AA1632" s="503"/>
      <c r="AB1632" s="503"/>
      <c r="AC1632" s="503"/>
      <c r="AD1632" s="503"/>
      <c r="AE1632" s="503"/>
      <c r="AF1632" s="503"/>
    </row>
    <row r="1633" spans="1:32" ht="15.75" customHeight="1">
      <c r="A1633" s="503"/>
      <c r="B1633" s="503"/>
      <c r="C1633" s="510"/>
      <c r="D1633" s="510"/>
      <c r="E1633" s="510"/>
      <c r="F1633" s="746"/>
      <c r="G1633" s="510"/>
      <c r="H1633" s="510"/>
      <c r="I1633" s="510"/>
      <c r="J1633" s="510"/>
      <c r="K1633" s="510"/>
      <c r="L1633" s="510"/>
      <c r="M1633" s="509"/>
      <c r="N1633" s="508"/>
      <c r="O1633" s="507"/>
      <c r="P1633" s="507"/>
      <c r="Q1633" s="505"/>
      <c r="R1633" s="506"/>
      <c r="S1633" s="506"/>
      <c r="T1633" s="506"/>
      <c r="U1633" s="505"/>
      <c r="V1633" s="505"/>
      <c r="W1633" s="505"/>
      <c r="X1633" s="504"/>
      <c r="Y1633" s="503"/>
      <c r="Z1633" s="503"/>
      <c r="AA1633" s="503"/>
      <c r="AB1633" s="503"/>
      <c r="AC1633" s="503"/>
      <c r="AD1633" s="503"/>
      <c r="AE1633" s="503"/>
      <c r="AF1633" s="503"/>
    </row>
    <row r="1634" spans="1:32" ht="15.75" customHeight="1">
      <c r="A1634" s="503"/>
      <c r="B1634" s="503"/>
      <c r="C1634" s="510"/>
      <c r="D1634" s="510"/>
      <c r="E1634" s="510"/>
      <c r="F1634" s="746"/>
      <c r="G1634" s="510"/>
      <c r="H1634" s="510"/>
      <c r="I1634" s="510"/>
      <c r="J1634" s="510"/>
      <c r="K1634" s="510"/>
      <c r="L1634" s="510"/>
      <c r="M1634" s="509"/>
      <c r="N1634" s="508"/>
      <c r="O1634" s="507"/>
      <c r="P1634" s="507"/>
      <c r="Q1634" s="505"/>
      <c r="R1634" s="506"/>
      <c r="S1634" s="506"/>
      <c r="T1634" s="506"/>
      <c r="U1634" s="505"/>
      <c r="V1634" s="505"/>
      <c r="W1634" s="505"/>
      <c r="X1634" s="504"/>
      <c r="Y1634" s="503"/>
      <c r="Z1634" s="503"/>
      <c r="AA1634" s="503"/>
      <c r="AB1634" s="503"/>
      <c r="AC1634" s="503"/>
      <c r="AD1634" s="503"/>
      <c r="AE1634" s="503"/>
      <c r="AF1634" s="503"/>
    </row>
    <row r="1635" spans="1:32" ht="15.75" customHeight="1">
      <c r="A1635" s="503"/>
      <c r="B1635" s="503"/>
      <c r="C1635" s="510"/>
      <c r="D1635" s="510"/>
      <c r="E1635" s="510"/>
      <c r="F1635" s="746"/>
      <c r="G1635" s="510"/>
      <c r="H1635" s="510"/>
      <c r="I1635" s="510"/>
      <c r="J1635" s="510"/>
      <c r="K1635" s="510"/>
      <c r="L1635" s="510"/>
      <c r="M1635" s="509"/>
      <c r="N1635" s="508"/>
      <c r="O1635" s="507"/>
      <c r="P1635" s="507"/>
      <c r="Q1635" s="505"/>
      <c r="R1635" s="506"/>
      <c r="S1635" s="506"/>
      <c r="T1635" s="506"/>
      <c r="U1635" s="505"/>
      <c r="V1635" s="505"/>
      <c r="W1635" s="505"/>
      <c r="X1635" s="504"/>
      <c r="Y1635" s="503"/>
      <c r="Z1635" s="503"/>
      <c r="AA1635" s="503"/>
      <c r="AB1635" s="503"/>
      <c r="AC1635" s="503"/>
      <c r="AD1635" s="503"/>
      <c r="AE1635" s="503"/>
      <c r="AF1635" s="503"/>
    </row>
    <row r="1636" spans="1:32" ht="15.75" customHeight="1">
      <c r="A1636" s="503"/>
      <c r="B1636" s="503"/>
      <c r="C1636" s="510"/>
      <c r="D1636" s="510"/>
      <c r="E1636" s="510"/>
      <c r="F1636" s="746"/>
      <c r="G1636" s="510"/>
      <c r="H1636" s="510"/>
      <c r="I1636" s="510"/>
      <c r="J1636" s="510"/>
      <c r="K1636" s="510"/>
      <c r="L1636" s="510"/>
      <c r="M1636" s="509"/>
      <c r="N1636" s="508"/>
      <c r="O1636" s="507"/>
      <c r="P1636" s="507"/>
      <c r="Q1636" s="505"/>
      <c r="R1636" s="506"/>
      <c r="S1636" s="506"/>
      <c r="T1636" s="506"/>
      <c r="U1636" s="505"/>
      <c r="V1636" s="505"/>
      <c r="W1636" s="505"/>
      <c r="X1636" s="504"/>
      <c r="Y1636" s="503"/>
      <c r="Z1636" s="503"/>
      <c r="AA1636" s="503"/>
      <c r="AB1636" s="503"/>
      <c r="AC1636" s="503"/>
      <c r="AD1636" s="503"/>
      <c r="AE1636" s="503"/>
      <c r="AF1636" s="503"/>
    </row>
    <row r="1637" spans="1:32" ht="15.75" customHeight="1">
      <c r="A1637" s="503"/>
      <c r="B1637" s="503"/>
      <c r="C1637" s="510"/>
      <c r="D1637" s="510"/>
      <c r="E1637" s="510"/>
      <c r="F1637" s="746"/>
      <c r="G1637" s="510"/>
      <c r="H1637" s="510"/>
      <c r="I1637" s="510"/>
      <c r="J1637" s="510"/>
      <c r="K1637" s="510"/>
      <c r="L1637" s="510"/>
      <c r="M1637" s="509"/>
      <c r="N1637" s="508"/>
      <c r="O1637" s="507"/>
      <c r="P1637" s="507"/>
      <c r="Q1637" s="505"/>
      <c r="R1637" s="506"/>
      <c r="S1637" s="506"/>
      <c r="T1637" s="506"/>
      <c r="U1637" s="505"/>
      <c r="V1637" s="505"/>
      <c r="W1637" s="505"/>
      <c r="X1637" s="504"/>
      <c r="Y1637" s="503"/>
      <c r="Z1637" s="503"/>
      <c r="AA1637" s="503"/>
      <c r="AB1637" s="503"/>
      <c r="AC1637" s="503"/>
      <c r="AD1637" s="503"/>
      <c r="AE1637" s="503"/>
      <c r="AF1637" s="503"/>
    </row>
    <row r="1638" spans="1:32" ht="15.75" customHeight="1">
      <c r="A1638" s="503"/>
      <c r="B1638" s="503"/>
      <c r="C1638" s="510"/>
      <c r="D1638" s="510"/>
      <c r="E1638" s="510"/>
      <c r="F1638" s="746"/>
      <c r="G1638" s="510"/>
      <c r="H1638" s="510"/>
      <c r="I1638" s="510"/>
      <c r="J1638" s="510"/>
      <c r="K1638" s="510"/>
      <c r="L1638" s="510"/>
      <c r="M1638" s="509"/>
      <c r="N1638" s="508"/>
      <c r="O1638" s="507"/>
      <c r="P1638" s="507"/>
      <c r="Q1638" s="505"/>
      <c r="R1638" s="506"/>
      <c r="S1638" s="506"/>
      <c r="T1638" s="506"/>
      <c r="U1638" s="505"/>
      <c r="V1638" s="505"/>
      <c r="W1638" s="505"/>
      <c r="X1638" s="504"/>
      <c r="Y1638" s="503"/>
      <c r="Z1638" s="503"/>
      <c r="AA1638" s="503"/>
      <c r="AB1638" s="503"/>
      <c r="AC1638" s="503"/>
      <c r="AD1638" s="503"/>
      <c r="AE1638" s="503"/>
      <c r="AF1638" s="503"/>
    </row>
    <row r="1639" spans="1:32" ht="15.75" customHeight="1">
      <c r="A1639" s="503"/>
      <c r="B1639" s="503"/>
      <c r="C1639" s="510"/>
      <c r="D1639" s="510"/>
      <c r="E1639" s="510"/>
      <c r="F1639" s="746"/>
      <c r="G1639" s="510"/>
      <c r="H1639" s="510"/>
      <c r="I1639" s="510"/>
      <c r="J1639" s="510"/>
      <c r="K1639" s="510"/>
      <c r="L1639" s="510"/>
      <c r="M1639" s="509"/>
      <c r="N1639" s="508"/>
      <c r="O1639" s="507"/>
      <c r="P1639" s="507"/>
      <c r="Q1639" s="505"/>
      <c r="R1639" s="506"/>
      <c r="S1639" s="506"/>
      <c r="T1639" s="506"/>
      <c r="U1639" s="505"/>
      <c r="V1639" s="505"/>
      <c r="W1639" s="505"/>
      <c r="X1639" s="504"/>
      <c r="Y1639" s="503"/>
      <c r="Z1639" s="503"/>
      <c r="AA1639" s="503"/>
      <c r="AB1639" s="503"/>
      <c r="AC1639" s="503"/>
      <c r="AD1639" s="503"/>
      <c r="AE1639" s="503"/>
      <c r="AF1639" s="503"/>
    </row>
    <row r="1640" spans="1:32" ht="15.75" customHeight="1">
      <c r="A1640" s="503"/>
      <c r="B1640" s="503"/>
      <c r="C1640" s="510"/>
      <c r="D1640" s="510"/>
      <c r="E1640" s="510"/>
      <c r="F1640" s="746"/>
      <c r="G1640" s="510"/>
      <c r="H1640" s="510"/>
      <c r="I1640" s="510"/>
      <c r="J1640" s="510"/>
      <c r="K1640" s="510"/>
      <c r="L1640" s="510"/>
      <c r="M1640" s="509"/>
      <c r="N1640" s="508"/>
      <c r="O1640" s="507"/>
      <c r="P1640" s="507"/>
      <c r="Q1640" s="505"/>
      <c r="R1640" s="506"/>
      <c r="S1640" s="506"/>
      <c r="T1640" s="506"/>
      <c r="U1640" s="505"/>
      <c r="V1640" s="505"/>
      <c r="W1640" s="505"/>
      <c r="X1640" s="504"/>
      <c r="Y1640" s="503"/>
      <c r="Z1640" s="503"/>
      <c r="AA1640" s="503"/>
      <c r="AB1640" s="503"/>
      <c r="AC1640" s="503"/>
      <c r="AD1640" s="503"/>
      <c r="AE1640" s="503"/>
      <c r="AF1640" s="503"/>
    </row>
    <row r="1641" spans="1:32" ht="15.75" customHeight="1">
      <c r="A1641" s="503"/>
      <c r="B1641" s="503"/>
      <c r="C1641" s="510"/>
      <c r="D1641" s="510"/>
      <c r="E1641" s="510"/>
      <c r="F1641" s="746"/>
      <c r="G1641" s="510"/>
      <c r="H1641" s="510"/>
      <c r="I1641" s="510"/>
      <c r="J1641" s="510"/>
      <c r="K1641" s="510"/>
      <c r="L1641" s="510"/>
      <c r="M1641" s="509"/>
      <c r="N1641" s="508"/>
      <c r="O1641" s="507"/>
      <c r="P1641" s="507"/>
      <c r="Q1641" s="505"/>
      <c r="R1641" s="506"/>
      <c r="S1641" s="506"/>
      <c r="T1641" s="506"/>
      <c r="U1641" s="505"/>
      <c r="V1641" s="505"/>
      <c r="W1641" s="505"/>
      <c r="X1641" s="504"/>
      <c r="Y1641" s="503"/>
      <c r="Z1641" s="503"/>
      <c r="AA1641" s="503"/>
      <c r="AB1641" s="503"/>
      <c r="AC1641" s="503"/>
      <c r="AD1641" s="503"/>
      <c r="AE1641" s="503"/>
      <c r="AF1641" s="503"/>
    </row>
    <row r="1642" spans="1:32" ht="15.75" customHeight="1">
      <c r="A1642" s="503"/>
      <c r="B1642" s="503"/>
      <c r="C1642" s="510"/>
      <c r="D1642" s="510"/>
      <c r="E1642" s="510"/>
      <c r="F1642" s="746"/>
      <c r="G1642" s="510"/>
      <c r="H1642" s="510"/>
      <c r="I1642" s="510"/>
      <c r="J1642" s="510"/>
      <c r="K1642" s="510"/>
      <c r="L1642" s="510"/>
      <c r="M1642" s="509"/>
      <c r="N1642" s="508"/>
      <c r="O1642" s="507"/>
      <c r="P1642" s="507"/>
      <c r="Q1642" s="505"/>
      <c r="R1642" s="506"/>
      <c r="S1642" s="506"/>
      <c r="T1642" s="506"/>
      <c r="U1642" s="505"/>
      <c r="V1642" s="505"/>
      <c r="W1642" s="505"/>
      <c r="X1642" s="504"/>
      <c r="Y1642" s="503"/>
      <c r="Z1642" s="503"/>
      <c r="AA1642" s="503"/>
      <c r="AB1642" s="503"/>
      <c r="AC1642" s="503"/>
      <c r="AD1642" s="503"/>
      <c r="AE1642" s="503"/>
      <c r="AF1642" s="503"/>
    </row>
    <row r="1643" spans="1:32" ht="15.75" customHeight="1">
      <c r="A1643" s="503"/>
      <c r="B1643" s="503"/>
      <c r="C1643" s="510"/>
      <c r="D1643" s="510"/>
      <c r="E1643" s="510"/>
      <c r="F1643" s="746"/>
      <c r="G1643" s="510"/>
      <c r="H1643" s="510"/>
      <c r="I1643" s="510"/>
      <c r="J1643" s="510"/>
      <c r="K1643" s="510"/>
      <c r="L1643" s="510"/>
      <c r="M1643" s="509"/>
      <c r="N1643" s="508"/>
      <c r="O1643" s="507"/>
      <c r="P1643" s="507"/>
      <c r="Q1643" s="505"/>
      <c r="R1643" s="506"/>
      <c r="S1643" s="506"/>
      <c r="T1643" s="506"/>
      <c r="U1643" s="505"/>
      <c r="V1643" s="505"/>
      <c r="W1643" s="505"/>
      <c r="X1643" s="504"/>
      <c r="Y1643" s="503"/>
      <c r="Z1643" s="503"/>
      <c r="AA1643" s="503"/>
      <c r="AB1643" s="503"/>
      <c r="AC1643" s="503"/>
      <c r="AD1643" s="503"/>
      <c r="AE1643" s="503"/>
      <c r="AF1643" s="503"/>
    </row>
    <row r="1644" spans="1:32" ht="15.75" customHeight="1">
      <c r="A1644" s="503"/>
      <c r="B1644" s="503"/>
      <c r="C1644" s="510"/>
      <c r="D1644" s="510"/>
      <c r="E1644" s="510"/>
      <c r="F1644" s="746"/>
      <c r="G1644" s="510"/>
      <c r="H1644" s="510"/>
      <c r="I1644" s="510"/>
      <c r="J1644" s="510"/>
      <c r="K1644" s="510"/>
      <c r="L1644" s="510"/>
      <c r="M1644" s="509"/>
      <c r="N1644" s="508"/>
      <c r="O1644" s="507"/>
      <c r="P1644" s="507"/>
      <c r="Q1644" s="505"/>
      <c r="R1644" s="506"/>
      <c r="S1644" s="506"/>
      <c r="T1644" s="506"/>
      <c r="U1644" s="505"/>
      <c r="V1644" s="505"/>
      <c r="W1644" s="505"/>
      <c r="X1644" s="504"/>
      <c r="Y1644" s="503"/>
      <c r="Z1644" s="503"/>
      <c r="AA1644" s="503"/>
      <c r="AB1644" s="503"/>
      <c r="AC1644" s="503"/>
      <c r="AD1644" s="503"/>
      <c r="AE1644" s="503"/>
      <c r="AF1644" s="503"/>
    </row>
    <row r="1645" spans="1:32" ht="15.75" customHeight="1">
      <c r="A1645" s="503"/>
      <c r="B1645" s="503"/>
      <c r="C1645" s="510"/>
      <c r="D1645" s="510"/>
      <c r="E1645" s="510"/>
      <c r="F1645" s="746"/>
      <c r="G1645" s="510"/>
      <c r="H1645" s="510"/>
      <c r="I1645" s="510"/>
      <c r="J1645" s="510"/>
      <c r="K1645" s="510"/>
      <c r="L1645" s="510"/>
      <c r="M1645" s="509"/>
      <c r="N1645" s="508"/>
      <c r="O1645" s="507"/>
      <c r="P1645" s="507"/>
      <c r="Q1645" s="505"/>
      <c r="R1645" s="506"/>
      <c r="S1645" s="506"/>
      <c r="T1645" s="506"/>
      <c r="U1645" s="505"/>
      <c r="V1645" s="505"/>
      <c r="W1645" s="505"/>
      <c r="X1645" s="504"/>
      <c r="Y1645" s="503"/>
      <c r="Z1645" s="503"/>
      <c r="AA1645" s="503"/>
      <c r="AB1645" s="503"/>
      <c r="AC1645" s="503"/>
      <c r="AD1645" s="503"/>
      <c r="AE1645" s="503"/>
      <c r="AF1645" s="503"/>
    </row>
    <row r="1646" spans="1:32" ht="15.75" customHeight="1">
      <c r="A1646" s="503"/>
      <c r="B1646" s="503"/>
      <c r="C1646" s="510"/>
      <c r="D1646" s="510"/>
      <c r="E1646" s="510"/>
      <c r="F1646" s="746"/>
      <c r="G1646" s="510"/>
      <c r="H1646" s="510"/>
      <c r="I1646" s="510"/>
      <c r="J1646" s="510"/>
      <c r="K1646" s="510"/>
      <c r="L1646" s="510"/>
      <c r="M1646" s="509"/>
      <c r="N1646" s="508"/>
      <c r="O1646" s="507"/>
      <c r="P1646" s="507"/>
      <c r="Q1646" s="505"/>
      <c r="R1646" s="506"/>
      <c r="S1646" s="506"/>
      <c r="T1646" s="506"/>
      <c r="U1646" s="505"/>
      <c r="V1646" s="505"/>
      <c r="W1646" s="505"/>
      <c r="X1646" s="504"/>
      <c r="Y1646" s="503"/>
      <c r="Z1646" s="503"/>
      <c r="AA1646" s="503"/>
      <c r="AB1646" s="503"/>
      <c r="AC1646" s="503"/>
      <c r="AD1646" s="503"/>
      <c r="AE1646" s="503"/>
      <c r="AF1646" s="503"/>
    </row>
    <row r="1647" spans="1:32" ht="15.75" customHeight="1">
      <c r="A1647" s="503"/>
      <c r="B1647" s="503"/>
      <c r="C1647" s="510"/>
      <c r="D1647" s="510"/>
      <c r="E1647" s="510"/>
      <c r="F1647" s="746"/>
      <c r="G1647" s="510"/>
      <c r="H1647" s="510"/>
      <c r="I1647" s="510"/>
      <c r="J1647" s="510"/>
      <c r="K1647" s="510"/>
      <c r="L1647" s="510"/>
      <c r="M1647" s="509"/>
      <c r="N1647" s="508"/>
      <c r="O1647" s="507"/>
      <c r="P1647" s="507"/>
      <c r="Q1647" s="505"/>
      <c r="R1647" s="506"/>
      <c r="S1647" s="506"/>
      <c r="T1647" s="506"/>
      <c r="U1647" s="505"/>
      <c r="V1647" s="505"/>
      <c r="W1647" s="505"/>
      <c r="X1647" s="504"/>
      <c r="Y1647" s="503"/>
      <c r="Z1647" s="503"/>
      <c r="AA1647" s="503"/>
      <c r="AB1647" s="503"/>
      <c r="AC1647" s="503"/>
      <c r="AD1647" s="503"/>
      <c r="AE1647" s="503"/>
      <c r="AF1647" s="503"/>
    </row>
    <row r="1648" spans="1:32" ht="15.75" customHeight="1">
      <c r="A1648" s="503"/>
      <c r="B1648" s="503"/>
      <c r="C1648" s="510"/>
      <c r="D1648" s="510"/>
      <c r="E1648" s="510"/>
      <c r="F1648" s="746"/>
      <c r="G1648" s="510"/>
      <c r="H1648" s="510"/>
      <c r="I1648" s="510"/>
      <c r="J1648" s="510"/>
      <c r="K1648" s="510"/>
      <c r="L1648" s="510"/>
      <c r="M1648" s="509"/>
      <c r="N1648" s="508"/>
      <c r="O1648" s="507"/>
      <c r="P1648" s="507"/>
      <c r="Q1648" s="505"/>
      <c r="R1648" s="506"/>
      <c r="S1648" s="506"/>
      <c r="T1648" s="506"/>
      <c r="U1648" s="505"/>
      <c r="V1648" s="505"/>
      <c r="W1648" s="505"/>
      <c r="X1648" s="504"/>
      <c r="Y1648" s="503"/>
      <c r="Z1648" s="503"/>
      <c r="AA1648" s="503"/>
      <c r="AB1648" s="503"/>
      <c r="AC1648" s="503"/>
      <c r="AD1648" s="503"/>
      <c r="AE1648" s="503"/>
      <c r="AF1648" s="503"/>
    </row>
    <row r="1649" spans="1:32" ht="15.75" customHeight="1">
      <c r="A1649" s="503"/>
      <c r="B1649" s="503"/>
      <c r="C1649" s="510"/>
      <c r="D1649" s="510"/>
      <c r="E1649" s="510"/>
      <c r="F1649" s="746"/>
      <c r="G1649" s="510"/>
      <c r="H1649" s="510"/>
      <c r="I1649" s="510"/>
      <c r="J1649" s="510"/>
      <c r="K1649" s="510"/>
      <c r="L1649" s="510"/>
      <c r="M1649" s="509"/>
      <c r="N1649" s="508"/>
      <c r="O1649" s="507"/>
      <c r="P1649" s="507"/>
      <c r="Q1649" s="505"/>
      <c r="R1649" s="506"/>
      <c r="S1649" s="506"/>
      <c r="T1649" s="506"/>
      <c r="U1649" s="505"/>
      <c r="V1649" s="505"/>
      <c r="W1649" s="505"/>
      <c r="X1649" s="504"/>
      <c r="Y1649" s="503"/>
      <c r="Z1649" s="503"/>
      <c r="AA1649" s="503"/>
      <c r="AB1649" s="503"/>
      <c r="AC1649" s="503"/>
      <c r="AD1649" s="503"/>
      <c r="AE1649" s="503"/>
      <c r="AF1649" s="503"/>
    </row>
    <row r="1650" spans="1:32" ht="15.75" customHeight="1">
      <c r="A1650" s="503"/>
      <c r="B1650" s="503"/>
      <c r="C1650" s="510"/>
      <c r="D1650" s="510"/>
      <c r="E1650" s="510"/>
      <c r="F1650" s="746"/>
      <c r="G1650" s="510"/>
      <c r="H1650" s="510"/>
      <c r="I1650" s="510"/>
      <c r="J1650" s="510"/>
      <c r="K1650" s="510"/>
      <c r="L1650" s="510"/>
      <c r="M1650" s="509"/>
      <c r="N1650" s="508"/>
      <c r="O1650" s="507"/>
      <c r="P1650" s="507"/>
      <c r="Q1650" s="505"/>
      <c r="R1650" s="506"/>
      <c r="S1650" s="506"/>
      <c r="T1650" s="506"/>
      <c r="U1650" s="505"/>
      <c r="V1650" s="505"/>
      <c r="W1650" s="505"/>
      <c r="X1650" s="504"/>
      <c r="Y1650" s="503"/>
      <c r="Z1650" s="503"/>
      <c r="AA1650" s="503"/>
      <c r="AB1650" s="503"/>
      <c r="AC1650" s="503"/>
      <c r="AD1650" s="503"/>
      <c r="AE1650" s="503"/>
      <c r="AF1650" s="503"/>
    </row>
    <row r="1651" spans="1:32" ht="15.75" customHeight="1">
      <c r="A1651" s="503"/>
      <c r="B1651" s="503"/>
      <c r="C1651" s="510"/>
      <c r="D1651" s="510"/>
      <c r="E1651" s="510"/>
      <c r="F1651" s="746"/>
      <c r="G1651" s="510"/>
      <c r="H1651" s="510"/>
      <c r="I1651" s="510"/>
      <c r="J1651" s="510"/>
      <c r="K1651" s="510"/>
      <c r="L1651" s="510"/>
      <c r="M1651" s="509"/>
      <c r="N1651" s="508"/>
      <c r="O1651" s="507"/>
      <c r="P1651" s="507"/>
      <c r="Q1651" s="505"/>
      <c r="R1651" s="506"/>
      <c r="S1651" s="506"/>
      <c r="T1651" s="506"/>
      <c r="U1651" s="505"/>
      <c r="V1651" s="505"/>
      <c r="W1651" s="505"/>
      <c r="X1651" s="504"/>
      <c r="Y1651" s="503"/>
      <c r="Z1651" s="503"/>
      <c r="AA1651" s="503"/>
      <c r="AB1651" s="503"/>
      <c r="AC1651" s="503"/>
      <c r="AD1651" s="503"/>
      <c r="AE1651" s="503"/>
      <c r="AF1651" s="503"/>
    </row>
    <row r="1652" spans="1:32" ht="15.75" customHeight="1">
      <c r="A1652" s="503"/>
      <c r="B1652" s="503"/>
      <c r="C1652" s="510"/>
      <c r="D1652" s="510"/>
      <c r="E1652" s="510"/>
      <c r="F1652" s="746"/>
      <c r="G1652" s="510"/>
      <c r="H1652" s="510"/>
      <c r="I1652" s="510"/>
      <c r="J1652" s="510"/>
      <c r="K1652" s="510"/>
      <c r="L1652" s="510"/>
      <c r="M1652" s="509"/>
      <c r="N1652" s="508"/>
      <c r="O1652" s="507"/>
      <c r="P1652" s="507"/>
      <c r="Q1652" s="505"/>
      <c r="R1652" s="506"/>
      <c r="S1652" s="506"/>
      <c r="T1652" s="506"/>
      <c r="U1652" s="505"/>
      <c r="V1652" s="505"/>
      <c r="W1652" s="505"/>
      <c r="X1652" s="504"/>
      <c r="Y1652" s="503"/>
      <c r="Z1652" s="503"/>
      <c r="AA1652" s="503"/>
      <c r="AB1652" s="503"/>
      <c r="AC1652" s="503"/>
      <c r="AD1652" s="503"/>
      <c r="AE1652" s="503"/>
      <c r="AF1652" s="503"/>
    </row>
    <row r="1653" spans="1:32" ht="15.75" customHeight="1">
      <c r="A1653" s="503"/>
      <c r="B1653" s="503"/>
      <c r="C1653" s="510"/>
      <c r="D1653" s="510"/>
      <c r="E1653" s="510"/>
      <c r="F1653" s="746"/>
      <c r="G1653" s="510"/>
      <c r="H1653" s="510"/>
      <c r="I1653" s="510"/>
      <c r="J1653" s="510"/>
      <c r="K1653" s="510"/>
      <c r="L1653" s="510"/>
      <c r="M1653" s="509"/>
      <c r="N1653" s="508"/>
      <c r="O1653" s="507"/>
      <c r="P1653" s="507"/>
      <c r="Q1653" s="505"/>
      <c r="R1653" s="506"/>
      <c r="S1653" s="506"/>
      <c r="T1653" s="506"/>
      <c r="U1653" s="505"/>
      <c r="V1653" s="505"/>
      <c r="W1653" s="505"/>
      <c r="X1653" s="504"/>
      <c r="Y1653" s="503"/>
      <c r="Z1653" s="503"/>
      <c r="AA1653" s="503"/>
      <c r="AB1653" s="503"/>
      <c r="AC1653" s="503"/>
      <c r="AD1653" s="503"/>
      <c r="AE1653" s="503"/>
      <c r="AF1653" s="503"/>
    </row>
    <row r="1654" spans="1:32" ht="15.75" customHeight="1">
      <c r="A1654" s="503"/>
      <c r="B1654" s="503"/>
      <c r="C1654" s="510"/>
      <c r="D1654" s="510"/>
      <c r="E1654" s="510"/>
      <c r="F1654" s="746"/>
      <c r="G1654" s="510"/>
      <c r="H1654" s="510"/>
      <c r="I1654" s="510"/>
      <c r="J1654" s="510"/>
      <c r="K1654" s="510"/>
      <c r="L1654" s="510"/>
      <c r="M1654" s="509"/>
      <c r="N1654" s="508"/>
      <c r="O1654" s="507"/>
      <c r="P1654" s="507"/>
      <c r="Q1654" s="505"/>
      <c r="R1654" s="506"/>
      <c r="S1654" s="506"/>
      <c r="T1654" s="506"/>
      <c r="U1654" s="505"/>
      <c r="V1654" s="505"/>
      <c r="W1654" s="505"/>
      <c r="X1654" s="504"/>
      <c r="Y1654" s="503"/>
      <c r="Z1654" s="503"/>
      <c r="AA1654" s="503"/>
      <c r="AB1654" s="503"/>
      <c r="AC1654" s="503"/>
      <c r="AD1654" s="503"/>
      <c r="AE1654" s="503"/>
      <c r="AF1654" s="503"/>
    </row>
    <row r="1655" spans="1:32" ht="15.75" customHeight="1">
      <c r="A1655" s="503"/>
      <c r="B1655" s="503"/>
      <c r="C1655" s="510"/>
      <c r="D1655" s="510"/>
      <c r="E1655" s="510"/>
      <c r="F1655" s="746"/>
      <c r="G1655" s="510"/>
      <c r="H1655" s="510"/>
      <c r="I1655" s="510"/>
      <c r="J1655" s="510"/>
      <c r="K1655" s="510"/>
      <c r="L1655" s="510"/>
      <c r="M1655" s="509"/>
      <c r="N1655" s="508"/>
      <c r="O1655" s="507"/>
      <c r="P1655" s="507"/>
      <c r="Q1655" s="505"/>
      <c r="R1655" s="506"/>
      <c r="S1655" s="506"/>
      <c r="T1655" s="506"/>
      <c r="U1655" s="505"/>
      <c r="V1655" s="505"/>
      <c r="W1655" s="505"/>
      <c r="X1655" s="504"/>
      <c r="Y1655" s="503"/>
      <c r="Z1655" s="503"/>
      <c r="AA1655" s="503"/>
      <c r="AB1655" s="503"/>
      <c r="AC1655" s="503"/>
      <c r="AD1655" s="503"/>
      <c r="AE1655" s="503"/>
      <c r="AF1655" s="503"/>
    </row>
    <row r="1656" spans="1:32" ht="15.75" customHeight="1">
      <c r="A1656" s="503"/>
      <c r="B1656" s="503"/>
      <c r="C1656" s="510"/>
      <c r="D1656" s="510"/>
      <c r="E1656" s="510"/>
      <c r="F1656" s="746"/>
      <c r="G1656" s="510"/>
      <c r="H1656" s="510"/>
      <c r="I1656" s="510"/>
      <c r="J1656" s="510"/>
      <c r="K1656" s="510"/>
      <c r="L1656" s="510"/>
      <c r="M1656" s="509"/>
      <c r="N1656" s="508"/>
      <c r="O1656" s="507"/>
      <c r="P1656" s="507"/>
      <c r="Q1656" s="505"/>
      <c r="R1656" s="506"/>
      <c r="S1656" s="506"/>
      <c r="T1656" s="506"/>
      <c r="U1656" s="505"/>
      <c r="V1656" s="505"/>
      <c r="W1656" s="505"/>
      <c r="X1656" s="504"/>
      <c r="Y1656" s="503"/>
      <c r="Z1656" s="503"/>
      <c r="AA1656" s="503"/>
      <c r="AB1656" s="503"/>
      <c r="AC1656" s="503"/>
      <c r="AD1656" s="503"/>
      <c r="AE1656" s="503"/>
      <c r="AF1656" s="503"/>
    </row>
    <row r="1657" spans="1:32" ht="15.75" customHeight="1">
      <c r="A1657" s="503"/>
      <c r="B1657" s="503"/>
      <c r="C1657" s="510"/>
      <c r="D1657" s="510"/>
      <c r="E1657" s="510"/>
      <c r="F1657" s="746"/>
      <c r="G1657" s="510"/>
      <c r="H1657" s="510"/>
      <c r="I1657" s="510"/>
      <c r="J1657" s="510"/>
      <c r="K1657" s="510"/>
      <c r="L1657" s="510"/>
      <c r="M1657" s="509"/>
      <c r="N1657" s="508"/>
      <c r="O1657" s="507"/>
      <c r="P1657" s="507"/>
      <c r="Q1657" s="505"/>
      <c r="R1657" s="506"/>
      <c r="S1657" s="506"/>
      <c r="T1657" s="506"/>
      <c r="U1657" s="505"/>
      <c r="V1657" s="505"/>
      <c r="W1657" s="505"/>
      <c r="X1657" s="504"/>
      <c r="Y1657" s="503"/>
      <c r="Z1657" s="503"/>
      <c r="AA1657" s="503"/>
      <c r="AB1657" s="503"/>
      <c r="AC1657" s="503"/>
      <c r="AD1657" s="503"/>
      <c r="AE1657" s="503"/>
      <c r="AF1657" s="503"/>
    </row>
    <row r="1658" spans="1:32" ht="15.75" customHeight="1">
      <c r="A1658" s="503"/>
      <c r="B1658" s="503"/>
      <c r="C1658" s="510"/>
      <c r="D1658" s="510"/>
      <c r="E1658" s="510"/>
      <c r="F1658" s="746"/>
      <c r="G1658" s="510"/>
      <c r="H1658" s="510"/>
      <c r="I1658" s="510"/>
      <c r="J1658" s="510"/>
      <c r="K1658" s="510"/>
      <c r="L1658" s="510"/>
      <c r="M1658" s="509"/>
      <c r="N1658" s="508"/>
      <c r="O1658" s="507"/>
      <c r="P1658" s="507"/>
      <c r="Q1658" s="505"/>
      <c r="R1658" s="506"/>
      <c r="S1658" s="506"/>
      <c r="T1658" s="506"/>
      <c r="U1658" s="505"/>
      <c r="V1658" s="505"/>
      <c r="W1658" s="505"/>
      <c r="X1658" s="504"/>
      <c r="Y1658" s="503"/>
      <c r="Z1658" s="503"/>
      <c r="AA1658" s="503"/>
      <c r="AB1658" s="503"/>
      <c r="AC1658" s="503"/>
      <c r="AD1658" s="503"/>
      <c r="AE1658" s="503"/>
      <c r="AF1658" s="503"/>
    </row>
    <row r="1659" spans="1:32" ht="15.75" customHeight="1">
      <c r="A1659" s="503"/>
      <c r="B1659" s="503"/>
      <c r="C1659" s="510"/>
      <c r="D1659" s="510"/>
      <c r="E1659" s="510"/>
      <c r="F1659" s="746"/>
      <c r="G1659" s="510"/>
      <c r="H1659" s="510"/>
      <c r="I1659" s="510"/>
      <c r="J1659" s="510"/>
      <c r="K1659" s="510"/>
      <c r="L1659" s="510"/>
      <c r="M1659" s="509"/>
      <c r="N1659" s="508"/>
      <c r="O1659" s="507"/>
      <c r="P1659" s="507"/>
      <c r="Q1659" s="505"/>
      <c r="R1659" s="506"/>
      <c r="S1659" s="506"/>
      <c r="T1659" s="506"/>
      <c r="U1659" s="505"/>
      <c r="V1659" s="505"/>
      <c r="W1659" s="505"/>
      <c r="X1659" s="504"/>
      <c r="Y1659" s="503"/>
      <c r="Z1659" s="503"/>
      <c r="AA1659" s="503"/>
      <c r="AB1659" s="503"/>
      <c r="AC1659" s="503"/>
      <c r="AD1659" s="503"/>
      <c r="AE1659" s="503"/>
      <c r="AF1659" s="503"/>
    </row>
    <row r="1660" spans="1:32" ht="15.75" customHeight="1">
      <c r="A1660" s="503"/>
      <c r="B1660" s="503"/>
      <c r="C1660" s="510"/>
      <c r="D1660" s="510"/>
      <c r="E1660" s="510"/>
      <c r="F1660" s="746"/>
      <c r="G1660" s="510"/>
      <c r="H1660" s="510"/>
      <c r="I1660" s="510"/>
      <c r="J1660" s="510"/>
      <c r="K1660" s="510"/>
      <c r="L1660" s="510"/>
      <c r="M1660" s="509"/>
      <c r="N1660" s="508"/>
      <c r="O1660" s="507"/>
      <c r="P1660" s="507"/>
      <c r="Q1660" s="505"/>
      <c r="R1660" s="506"/>
      <c r="S1660" s="506"/>
      <c r="T1660" s="506"/>
      <c r="U1660" s="505"/>
      <c r="V1660" s="505"/>
      <c r="W1660" s="505"/>
      <c r="X1660" s="504"/>
      <c r="Y1660" s="503"/>
      <c r="Z1660" s="503"/>
      <c r="AA1660" s="503"/>
      <c r="AB1660" s="503"/>
      <c r="AC1660" s="503"/>
      <c r="AD1660" s="503"/>
      <c r="AE1660" s="503"/>
      <c r="AF1660" s="503"/>
    </row>
    <row r="1661" spans="1:32" ht="15.75" customHeight="1">
      <c r="A1661" s="503"/>
      <c r="B1661" s="503"/>
      <c r="C1661" s="510"/>
      <c r="D1661" s="510"/>
      <c r="E1661" s="510"/>
      <c r="F1661" s="746"/>
      <c r="G1661" s="510"/>
      <c r="H1661" s="510"/>
      <c r="I1661" s="510"/>
      <c r="J1661" s="510"/>
      <c r="K1661" s="510"/>
      <c r="L1661" s="510"/>
      <c r="M1661" s="509"/>
      <c r="N1661" s="508"/>
      <c r="O1661" s="507"/>
      <c r="P1661" s="507"/>
      <c r="Q1661" s="505"/>
      <c r="R1661" s="506"/>
      <c r="S1661" s="506"/>
      <c r="T1661" s="506"/>
      <c r="U1661" s="505"/>
      <c r="V1661" s="505"/>
      <c r="W1661" s="505"/>
      <c r="X1661" s="504"/>
      <c r="Y1661" s="503"/>
      <c r="Z1661" s="503"/>
      <c r="AA1661" s="503"/>
      <c r="AB1661" s="503"/>
      <c r="AC1661" s="503"/>
      <c r="AD1661" s="503"/>
      <c r="AE1661" s="503"/>
      <c r="AF1661" s="503"/>
    </row>
    <row r="1662" spans="1:32" ht="15.75" customHeight="1">
      <c r="A1662" s="503"/>
      <c r="B1662" s="503"/>
      <c r="C1662" s="510"/>
      <c r="D1662" s="510"/>
      <c r="E1662" s="510"/>
      <c r="F1662" s="746"/>
      <c r="G1662" s="510"/>
      <c r="H1662" s="510"/>
      <c r="I1662" s="510"/>
      <c r="J1662" s="510"/>
      <c r="K1662" s="510"/>
      <c r="L1662" s="510"/>
      <c r="M1662" s="509"/>
      <c r="N1662" s="508"/>
      <c r="O1662" s="507"/>
      <c r="P1662" s="507"/>
      <c r="Q1662" s="505"/>
      <c r="R1662" s="506"/>
      <c r="S1662" s="506"/>
      <c r="T1662" s="506"/>
      <c r="U1662" s="505"/>
      <c r="V1662" s="505"/>
      <c r="W1662" s="505"/>
      <c r="X1662" s="504"/>
      <c r="Y1662" s="503"/>
      <c r="Z1662" s="503"/>
      <c r="AA1662" s="503"/>
      <c r="AB1662" s="503"/>
      <c r="AC1662" s="503"/>
      <c r="AD1662" s="503"/>
      <c r="AE1662" s="503"/>
      <c r="AF1662" s="503"/>
    </row>
    <row r="1663" spans="1:32" ht="15.75" customHeight="1">
      <c r="A1663" s="503"/>
      <c r="B1663" s="503"/>
      <c r="C1663" s="510"/>
      <c r="D1663" s="510"/>
      <c r="E1663" s="510"/>
      <c r="F1663" s="746"/>
      <c r="G1663" s="510"/>
      <c r="H1663" s="510"/>
      <c r="I1663" s="510"/>
      <c r="J1663" s="510"/>
      <c r="K1663" s="510"/>
      <c r="L1663" s="510"/>
      <c r="M1663" s="509"/>
      <c r="N1663" s="508"/>
      <c r="O1663" s="507"/>
      <c r="P1663" s="507"/>
      <c r="Q1663" s="505"/>
      <c r="R1663" s="506"/>
      <c r="S1663" s="506"/>
      <c r="T1663" s="506"/>
      <c r="U1663" s="505"/>
      <c r="V1663" s="505"/>
      <c r="W1663" s="505"/>
      <c r="X1663" s="504"/>
      <c r="Y1663" s="503"/>
      <c r="Z1663" s="503"/>
      <c r="AA1663" s="503"/>
      <c r="AB1663" s="503"/>
      <c r="AC1663" s="503"/>
      <c r="AD1663" s="503"/>
      <c r="AE1663" s="503"/>
      <c r="AF1663" s="503"/>
    </row>
    <row r="1664" spans="1:32" ht="15.75" customHeight="1">
      <c r="A1664" s="503"/>
      <c r="B1664" s="503"/>
      <c r="C1664" s="510"/>
      <c r="D1664" s="510"/>
      <c r="E1664" s="510"/>
      <c r="F1664" s="746"/>
      <c r="G1664" s="510"/>
      <c r="H1664" s="510"/>
      <c r="I1664" s="510"/>
      <c r="J1664" s="510"/>
      <c r="K1664" s="510"/>
      <c r="L1664" s="510"/>
      <c r="M1664" s="509"/>
      <c r="N1664" s="508"/>
      <c r="O1664" s="507"/>
      <c r="P1664" s="507"/>
      <c r="Q1664" s="505"/>
      <c r="R1664" s="506"/>
      <c r="S1664" s="506"/>
      <c r="T1664" s="506"/>
      <c r="U1664" s="505"/>
      <c r="V1664" s="505"/>
      <c r="W1664" s="505"/>
      <c r="X1664" s="504"/>
      <c r="Y1664" s="503"/>
      <c r="Z1664" s="503"/>
      <c r="AA1664" s="503"/>
      <c r="AB1664" s="503"/>
      <c r="AC1664" s="503"/>
      <c r="AD1664" s="503"/>
      <c r="AE1664" s="503"/>
      <c r="AF1664" s="503"/>
    </row>
    <row r="1665" spans="1:32" ht="15.75" customHeight="1">
      <c r="A1665" s="503"/>
      <c r="B1665" s="503"/>
      <c r="C1665" s="510"/>
      <c r="D1665" s="510"/>
      <c r="E1665" s="510"/>
      <c r="F1665" s="746"/>
      <c r="G1665" s="510"/>
      <c r="H1665" s="510"/>
      <c r="I1665" s="510"/>
      <c r="J1665" s="510"/>
      <c r="K1665" s="510"/>
      <c r="L1665" s="510"/>
      <c r="M1665" s="509"/>
      <c r="N1665" s="508"/>
      <c r="O1665" s="507"/>
      <c r="P1665" s="507"/>
      <c r="Q1665" s="505"/>
      <c r="R1665" s="506"/>
      <c r="S1665" s="506"/>
      <c r="T1665" s="506"/>
      <c r="U1665" s="505"/>
      <c r="V1665" s="505"/>
      <c r="W1665" s="505"/>
      <c r="X1665" s="504"/>
      <c r="Y1665" s="503"/>
      <c r="Z1665" s="503"/>
      <c r="AA1665" s="503"/>
      <c r="AB1665" s="503"/>
      <c r="AC1665" s="503"/>
      <c r="AD1665" s="503"/>
      <c r="AE1665" s="503"/>
      <c r="AF1665" s="503"/>
    </row>
    <row r="1666" spans="1:32" ht="15.75" customHeight="1">
      <c r="A1666" s="503"/>
      <c r="B1666" s="503"/>
      <c r="C1666" s="510"/>
      <c r="D1666" s="510"/>
      <c r="E1666" s="510"/>
      <c r="F1666" s="746"/>
      <c r="G1666" s="510"/>
      <c r="H1666" s="510"/>
      <c r="I1666" s="510"/>
      <c r="J1666" s="510"/>
      <c r="K1666" s="510"/>
      <c r="L1666" s="510"/>
      <c r="M1666" s="509"/>
      <c r="N1666" s="508"/>
      <c r="O1666" s="507"/>
      <c r="P1666" s="507"/>
      <c r="Q1666" s="505"/>
      <c r="R1666" s="506"/>
      <c r="S1666" s="506"/>
      <c r="T1666" s="506"/>
      <c r="U1666" s="505"/>
      <c r="V1666" s="505"/>
      <c r="W1666" s="505"/>
      <c r="X1666" s="504"/>
      <c r="Y1666" s="503"/>
      <c r="Z1666" s="503"/>
      <c r="AA1666" s="503"/>
      <c r="AB1666" s="503"/>
      <c r="AC1666" s="503"/>
      <c r="AD1666" s="503"/>
      <c r="AE1666" s="503"/>
      <c r="AF1666" s="503"/>
    </row>
    <row r="1667" spans="1:32" ht="15.75" customHeight="1">
      <c r="A1667" s="503"/>
      <c r="B1667" s="503"/>
      <c r="C1667" s="510"/>
      <c r="D1667" s="510"/>
      <c r="E1667" s="510"/>
      <c r="F1667" s="746"/>
      <c r="G1667" s="510"/>
      <c r="H1667" s="510"/>
      <c r="I1667" s="510"/>
      <c r="J1667" s="510"/>
      <c r="K1667" s="510"/>
      <c r="L1667" s="510"/>
      <c r="M1667" s="509"/>
      <c r="N1667" s="508"/>
      <c r="O1667" s="507"/>
      <c r="P1667" s="507"/>
      <c r="Q1667" s="505"/>
      <c r="R1667" s="506"/>
      <c r="S1667" s="506"/>
      <c r="T1667" s="506"/>
      <c r="U1667" s="505"/>
      <c r="V1667" s="505"/>
      <c r="W1667" s="505"/>
      <c r="X1667" s="504"/>
      <c r="Y1667" s="503"/>
      <c r="Z1667" s="503"/>
      <c r="AA1667" s="503"/>
      <c r="AB1667" s="503"/>
      <c r="AC1667" s="503"/>
      <c r="AD1667" s="503"/>
      <c r="AE1667" s="503"/>
      <c r="AF1667" s="503"/>
    </row>
    <row r="1668" spans="1:32" ht="15.75" customHeight="1">
      <c r="A1668" s="503"/>
      <c r="B1668" s="503"/>
      <c r="C1668" s="510"/>
      <c r="D1668" s="510"/>
      <c r="E1668" s="510"/>
      <c r="F1668" s="746"/>
      <c r="G1668" s="510"/>
      <c r="H1668" s="510"/>
      <c r="I1668" s="510"/>
      <c r="J1668" s="510"/>
      <c r="K1668" s="510"/>
      <c r="L1668" s="510"/>
      <c r="M1668" s="509"/>
      <c r="N1668" s="508"/>
      <c r="O1668" s="507"/>
      <c r="P1668" s="507"/>
      <c r="Q1668" s="505"/>
      <c r="R1668" s="506"/>
      <c r="S1668" s="506"/>
      <c r="T1668" s="506"/>
      <c r="U1668" s="505"/>
      <c r="V1668" s="505"/>
      <c r="W1668" s="505"/>
      <c r="X1668" s="504"/>
      <c r="Y1668" s="503"/>
      <c r="Z1668" s="503"/>
      <c r="AA1668" s="503"/>
      <c r="AB1668" s="503"/>
      <c r="AC1668" s="503"/>
      <c r="AD1668" s="503"/>
      <c r="AE1668" s="503"/>
      <c r="AF1668" s="503"/>
    </row>
    <row r="1669" spans="1:32" ht="15.75" customHeight="1">
      <c r="A1669" s="503"/>
      <c r="B1669" s="503"/>
      <c r="C1669" s="510"/>
      <c r="D1669" s="510"/>
      <c r="E1669" s="510"/>
      <c r="F1669" s="746"/>
      <c r="G1669" s="510"/>
      <c r="H1669" s="510"/>
      <c r="I1669" s="510"/>
      <c r="J1669" s="510"/>
      <c r="K1669" s="510"/>
      <c r="L1669" s="510"/>
      <c r="M1669" s="509"/>
      <c r="N1669" s="508"/>
      <c r="O1669" s="507"/>
      <c r="P1669" s="507"/>
      <c r="Q1669" s="505"/>
      <c r="R1669" s="506"/>
      <c r="S1669" s="506"/>
      <c r="T1669" s="506"/>
      <c r="U1669" s="505"/>
      <c r="V1669" s="505"/>
      <c r="W1669" s="505"/>
      <c r="X1669" s="504"/>
      <c r="Y1669" s="503"/>
      <c r="Z1669" s="503"/>
      <c r="AA1669" s="503"/>
      <c r="AB1669" s="503"/>
      <c r="AC1669" s="503"/>
      <c r="AD1669" s="503"/>
      <c r="AE1669" s="503"/>
      <c r="AF1669" s="503"/>
    </row>
    <row r="1670" spans="1:32" ht="15.75" customHeight="1">
      <c r="A1670" s="503"/>
      <c r="B1670" s="503"/>
      <c r="C1670" s="510"/>
      <c r="D1670" s="510"/>
      <c r="E1670" s="510"/>
      <c r="F1670" s="746"/>
      <c r="G1670" s="510"/>
      <c r="H1670" s="510"/>
      <c r="I1670" s="510"/>
      <c r="J1670" s="510"/>
      <c r="K1670" s="510"/>
      <c r="L1670" s="510"/>
      <c r="M1670" s="509"/>
      <c r="N1670" s="508"/>
      <c r="O1670" s="507"/>
      <c r="P1670" s="507"/>
      <c r="Q1670" s="505"/>
      <c r="R1670" s="506"/>
      <c r="S1670" s="506"/>
      <c r="T1670" s="506"/>
      <c r="U1670" s="505"/>
      <c r="V1670" s="505"/>
      <c r="W1670" s="505"/>
      <c r="X1670" s="504"/>
      <c r="Y1670" s="503"/>
      <c r="Z1670" s="503"/>
      <c r="AA1670" s="503"/>
      <c r="AB1670" s="503"/>
      <c r="AC1670" s="503"/>
      <c r="AD1670" s="503"/>
      <c r="AE1670" s="503"/>
      <c r="AF1670" s="503"/>
    </row>
    <row r="1671" spans="1:32" ht="15.75" customHeight="1">
      <c r="A1671" s="503"/>
      <c r="B1671" s="503"/>
      <c r="C1671" s="510"/>
      <c r="D1671" s="510"/>
      <c r="E1671" s="510"/>
      <c r="F1671" s="746"/>
      <c r="G1671" s="510"/>
      <c r="H1671" s="510"/>
      <c r="I1671" s="510"/>
      <c r="J1671" s="510"/>
      <c r="K1671" s="510"/>
      <c r="L1671" s="510"/>
      <c r="M1671" s="509"/>
      <c r="N1671" s="508"/>
      <c r="O1671" s="507"/>
      <c r="P1671" s="507"/>
      <c r="Q1671" s="505"/>
      <c r="R1671" s="506"/>
      <c r="S1671" s="506"/>
      <c r="T1671" s="506"/>
      <c r="U1671" s="505"/>
      <c r="V1671" s="505"/>
      <c r="W1671" s="505"/>
      <c r="X1671" s="504"/>
      <c r="Y1671" s="503"/>
      <c r="Z1671" s="503"/>
      <c r="AA1671" s="503"/>
      <c r="AB1671" s="503"/>
      <c r="AC1671" s="503"/>
      <c r="AD1671" s="503"/>
      <c r="AE1671" s="503"/>
      <c r="AF1671" s="503"/>
    </row>
    <row r="1672" spans="1:32" ht="15.75" customHeight="1">
      <c r="A1672" s="503"/>
      <c r="B1672" s="503"/>
      <c r="C1672" s="510"/>
      <c r="D1672" s="510"/>
      <c r="E1672" s="510"/>
      <c r="F1672" s="746"/>
      <c r="G1672" s="510"/>
      <c r="H1672" s="510"/>
      <c r="I1672" s="510"/>
      <c r="J1672" s="510"/>
      <c r="K1672" s="510"/>
      <c r="L1672" s="510"/>
      <c r="M1672" s="509"/>
      <c r="N1672" s="508"/>
      <c r="O1672" s="507"/>
      <c r="P1672" s="507"/>
      <c r="Q1672" s="505"/>
      <c r="R1672" s="506"/>
      <c r="S1672" s="506"/>
      <c r="T1672" s="506"/>
      <c r="U1672" s="505"/>
      <c r="V1672" s="505"/>
      <c r="W1672" s="505"/>
      <c r="X1672" s="504"/>
      <c r="Y1672" s="503"/>
      <c r="Z1672" s="503"/>
      <c r="AA1672" s="503"/>
      <c r="AB1672" s="503"/>
      <c r="AC1672" s="503"/>
      <c r="AD1672" s="503"/>
      <c r="AE1672" s="503"/>
      <c r="AF1672" s="503"/>
    </row>
    <row r="1673" spans="1:32" ht="15.75" customHeight="1">
      <c r="A1673" s="503"/>
      <c r="B1673" s="503"/>
      <c r="C1673" s="510"/>
      <c r="D1673" s="510"/>
      <c r="E1673" s="510"/>
      <c r="F1673" s="746"/>
      <c r="G1673" s="510"/>
      <c r="H1673" s="510"/>
      <c r="I1673" s="510"/>
      <c r="J1673" s="510"/>
      <c r="K1673" s="510"/>
      <c r="L1673" s="510"/>
      <c r="M1673" s="509"/>
      <c r="N1673" s="508"/>
      <c r="O1673" s="507"/>
      <c r="P1673" s="507"/>
      <c r="Q1673" s="505"/>
      <c r="R1673" s="506"/>
      <c r="S1673" s="506"/>
      <c r="T1673" s="506"/>
      <c r="U1673" s="505"/>
      <c r="V1673" s="505"/>
      <c r="W1673" s="505"/>
      <c r="X1673" s="504"/>
      <c r="Y1673" s="503"/>
      <c r="Z1673" s="503"/>
      <c r="AA1673" s="503"/>
      <c r="AB1673" s="503"/>
      <c r="AC1673" s="503"/>
      <c r="AD1673" s="503"/>
      <c r="AE1673" s="503"/>
      <c r="AF1673" s="503"/>
    </row>
    <row r="1674" spans="1:32" ht="15.75" customHeight="1">
      <c r="A1674" s="503"/>
      <c r="B1674" s="503"/>
      <c r="C1674" s="510"/>
      <c r="D1674" s="510"/>
      <c r="E1674" s="510"/>
      <c r="F1674" s="746"/>
      <c r="G1674" s="510"/>
      <c r="H1674" s="510"/>
      <c r="I1674" s="510"/>
      <c r="J1674" s="510"/>
      <c r="K1674" s="510"/>
      <c r="L1674" s="510"/>
      <c r="M1674" s="509"/>
      <c r="N1674" s="508"/>
      <c r="O1674" s="507"/>
      <c r="P1674" s="507"/>
      <c r="Q1674" s="505"/>
      <c r="R1674" s="506"/>
      <c r="S1674" s="506"/>
      <c r="T1674" s="506"/>
      <c r="U1674" s="505"/>
      <c r="V1674" s="505"/>
      <c r="W1674" s="505"/>
      <c r="X1674" s="504"/>
      <c r="Y1674" s="503"/>
      <c r="Z1674" s="503"/>
      <c r="AA1674" s="503"/>
      <c r="AB1674" s="503"/>
      <c r="AC1674" s="503"/>
      <c r="AD1674" s="503"/>
      <c r="AE1674" s="503"/>
      <c r="AF1674" s="503"/>
    </row>
    <row r="1675" spans="1:32" ht="15.75" customHeight="1">
      <c r="A1675" s="503"/>
      <c r="B1675" s="503"/>
      <c r="C1675" s="510"/>
      <c r="D1675" s="510"/>
      <c r="E1675" s="510"/>
      <c r="F1675" s="746"/>
      <c r="G1675" s="510"/>
      <c r="H1675" s="510"/>
      <c r="I1675" s="510"/>
      <c r="J1675" s="510"/>
      <c r="K1675" s="510"/>
      <c r="L1675" s="510"/>
      <c r="M1675" s="509"/>
      <c r="N1675" s="508"/>
      <c r="O1675" s="507"/>
      <c r="P1675" s="507"/>
      <c r="Q1675" s="505"/>
      <c r="R1675" s="506"/>
      <c r="S1675" s="506"/>
      <c r="T1675" s="506"/>
      <c r="U1675" s="505"/>
      <c r="V1675" s="505"/>
      <c r="W1675" s="505"/>
      <c r="X1675" s="504"/>
      <c r="Y1675" s="503"/>
      <c r="Z1675" s="503"/>
      <c r="AA1675" s="503"/>
      <c r="AB1675" s="503"/>
      <c r="AC1675" s="503"/>
      <c r="AD1675" s="503"/>
      <c r="AE1675" s="503"/>
      <c r="AF1675" s="503"/>
    </row>
    <row r="1676" spans="1:32" ht="15.75" customHeight="1">
      <c r="A1676" s="503"/>
      <c r="B1676" s="503"/>
      <c r="C1676" s="510"/>
      <c r="D1676" s="510"/>
      <c r="E1676" s="510"/>
      <c r="F1676" s="746"/>
      <c r="G1676" s="510"/>
      <c r="H1676" s="510"/>
      <c r="I1676" s="510"/>
      <c r="J1676" s="510"/>
      <c r="K1676" s="510"/>
      <c r="L1676" s="510"/>
      <c r="M1676" s="509"/>
      <c r="N1676" s="508"/>
      <c r="O1676" s="507"/>
      <c r="P1676" s="507"/>
      <c r="Q1676" s="505"/>
      <c r="R1676" s="506"/>
      <c r="S1676" s="506"/>
      <c r="T1676" s="506"/>
      <c r="U1676" s="505"/>
      <c r="V1676" s="505"/>
      <c r="W1676" s="505"/>
      <c r="X1676" s="504"/>
      <c r="Y1676" s="503"/>
      <c r="Z1676" s="503"/>
      <c r="AA1676" s="503"/>
      <c r="AB1676" s="503"/>
      <c r="AC1676" s="503"/>
      <c r="AD1676" s="503"/>
      <c r="AE1676" s="503"/>
      <c r="AF1676" s="503"/>
    </row>
    <row r="1677" spans="1:32" ht="15.75" customHeight="1">
      <c r="A1677" s="503"/>
      <c r="B1677" s="503"/>
      <c r="C1677" s="510"/>
      <c r="D1677" s="510"/>
      <c r="E1677" s="510"/>
      <c r="F1677" s="746"/>
      <c r="G1677" s="510"/>
      <c r="H1677" s="510"/>
      <c r="I1677" s="510"/>
      <c r="J1677" s="510"/>
      <c r="K1677" s="510"/>
      <c r="L1677" s="510"/>
      <c r="M1677" s="509"/>
      <c r="N1677" s="508"/>
      <c r="O1677" s="507"/>
      <c r="P1677" s="507"/>
      <c r="Q1677" s="505"/>
      <c r="R1677" s="506"/>
      <c r="S1677" s="506"/>
      <c r="T1677" s="506"/>
      <c r="U1677" s="505"/>
      <c r="V1677" s="505"/>
      <c r="W1677" s="505"/>
      <c r="X1677" s="504"/>
      <c r="Y1677" s="503"/>
      <c r="Z1677" s="503"/>
      <c r="AA1677" s="503"/>
      <c r="AB1677" s="503"/>
      <c r="AC1677" s="503"/>
      <c r="AD1677" s="503"/>
      <c r="AE1677" s="503"/>
      <c r="AF1677" s="503"/>
    </row>
    <row r="1678" spans="1:32" ht="15.75" customHeight="1">
      <c r="A1678" s="503"/>
      <c r="B1678" s="503"/>
      <c r="C1678" s="510"/>
      <c r="D1678" s="510"/>
      <c r="E1678" s="510"/>
      <c r="F1678" s="746"/>
      <c r="G1678" s="510"/>
      <c r="H1678" s="510"/>
      <c r="I1678" s="510"/>
      <c r="J1678" s="510"/>
      <c r="K1678" s="510"/>
      <c r="L1678" s="510"/>
      <c r="M1678" s="509"/>
      <c r="N1678" s="508"/>
      <c r="O1678" s="507"/>
      <c r="P1678" s="507"/>
      <c r="Q1678" s="505"/>
      <c r="R1678" s="506"/>
      <c r="S1678" s="506"/>
      <c r="T1678" s="506"/>
      <c r="U1678" s="505"/>
      <c r="V1678" s="505"/>
      <c r="W1678" s="505"/>
      <c r="X1678" s="504"/>
      <c r="Y1678" s="503"/>
      <c r="Z1678" s="503"/>
      <c r="AA1678" s="503"/>
      <c r="AB1678" s="503"/>
      <c r="AC1678" s="503"/>
      <c r="AD1678" s="503"/>
      <c r="AE1678" s="503"/>
      <c r="AF1678" s="503"/>
    </row>
    <row r="1679" spans="1:32" ht="15.75" customHeight="1">
      <c r="A1679" s="503"/>
      <c r="B1679" s="503"/>
      <c r="C1679" s="510"/>
      <c r="D1679" s="510"/>
      <c r="E1679" s="510"/>
      <c r="F1679" s="746"/>
      <c r="G1679" s="510"/>
      <c r="H1679" s="510"/>
      <c r="I1679" s="510"/>
      <c r="J1679" s="510"/>
      <c r="K1679" s="510"/>
      <c r="L1679" s="510"/>
      <c r="M1679" s="509"/>
      <c r="N1679" s="508"/>
      <c r="O1679" s="507"/>
      <c r="P1679" s="507"/>
      <c r="Q1679" s="505"/>
      <c r="R1679" s="506"/>
      <c r="S1679" s="506"/>
      <c r="T1679" s="506"/>
      <c r="U1679" s="505"/>
      <c r="V1679" s="505"/>
      <c r="W1679" s="505"/>
      <c r="X1679" s="504"/>
      <c r="Y1679" s="503"/>
      <c r="Z1679" s="503"/>
      <c r="AA1679" s="503"/>
      <c r="AB1679" s="503"/>
      <c r="AC1679" s="503"/>
      <c r="AD1679" s="503"/>
      <c r="AE1679" s="503"/>
      <c r="AF1679" s="503"/>
    </row>
    <row r="1680" spans="1:32" ht="15.75" customHeight="1">
      <c r="A1680" s="503"/>
      <c r="B1680" s="503"/>
      <c r="C1680" s="510"/>
      <c r="D1680" s="510"/>
      <c r="E1680" s="510"/>
      <c r="F1680" s="746"/>
      <c r="G1680" s="510"/>
      <c r="H1680" s="510"/>
      <c r="I1680" s="510"/>
      <c r="J1680" s="510"/>
      <c r="K1680" s="510"/>
      <c r="L1680" s="510"/>
      <c r="M1680" s="509"/>
      <c r="N1680" s="508"/>
      <c r="O1680" s="507"/>
      <c r="P1680" s="507"/>
      <c r="Q1680" s="505"/>
      <c r="R1680" s="506"/>
      <c r="S1680" s="506"/>
      <c r="T1680" s="506"/>
      <c r="U1680" s="505"/>
      <c r="V1680" s="505"/>
      <c r="W1680" s="505"/>
      <c r="X1680" s="504"/>
      <c r="Y1680" s="503"/>
      <c r="Z1680" s="503"/>
      <c r="AA1680" s="503"/>
      <c r="AB1680" s="503"/>
      <c r="AC1680" s="503"/>
      <c r="AD1680" s="503"/>
      <c r="AE1680" s="503"/>
      <c r="AF1680" s="503"/>
    </row>
    <row r="1681" spans="1:32" ht="15.75" customHeight="1">
      <c r="A1681" s="503"/>
      <c r="B1681" s="503"/>
      <c r="C1681" s="510"/>
      <c r="D1681" s="510"/>
      <c r="E1681" s="510"/>
      <c r="F1681" s="746"/>
      <c r="G1681" s="510"/>
      <c r="H1681" s="510"/>
      <c r="I1681" s="510"/>
      <c r="J1681" s="510"/>
      <c r="K1681" s="510"/>
      <c r="L1681" s="510"/>
      <c r="M1681" s="509"/>
      <c r="N1681" s="508"/>
      <c r="O1681" s="507"/>
      <c r="P1681" s="507"/>
      <c r="Q1681" s="505"/>
      <c r="R1681" s="506"/>
      <c r="S1681" s="506"/>
      <c r="T1681" s="506"/>
      <c r="U1681" s="505"/>
      <c r="V1681" s="505"/>
      <c r="W1681" s="505"/>
      <c r="X1681" s="504"/>
      <c r="Y1681" s="503"/>
      <c r="Z1681" s="503"/>
      <c r="AA1681" s="503"/>
      <c r="AB1681" s="503"/>
      <c r="AC1681" s="503"/>
      <c r="AD1681" s="503"/>
      <c r="AE1681" s="503"/>
      <c r="AF1681" s="503"/>
    </row>
    <row r="1682" spans="1:32" ht="15.75" customHeight="1">
      <c r="A1682" s="503"/>
      <c r="B1682" s="503"/>
      <c r="C1682" s="510"/>
      <c r="D1682" s="510"/>
      <c r="E1682" s="510"/>
      <c r="F1682" s="746"/>
      <c r="G1682" s="510"/>
      <c r="H1682" s="510"/>
      <c r="I1682" s="510"/>
      <c r="J1682" s="510"/>
      <c r="K1682" s="510"/>
      <c r="L1682" s="510"/>
      <c r="M1682" s="509"/>
      <c r="N1682" s="508"/>
      <c r="O1682" s="507"/>
      <c r="P1682" s="507"/>
      <c r="Q1682" s="505"/>
      <c r="R1682" s="506"/>
      <c r="S1682" s="506"/>
      <c r="T1682" s="506"/>
      <c r="U1682" s="505"/>
      <c r="V1682" s="505"/>
      <c r="W1682" s="505"/>
      <c r="X1682" s="504"/>
      <c r="Y1682" s="503"/>
      <c r="Z1682" s="503"/>
      <c r="AA1682" s="503"/>
      <c r="AB1682" s="503"/>
      <c r="AC1682" s="503"/>
      <c r="AD1682" s="503"/>
      <c r="AE1682" s="503"/>
      <c r="AF1682" s="503"/>
    </row>
    <row r="1683" spans="1:32" ht="15.75" customHeight="1">
      <c r="A1683" s="503"/>
      <c r="B1683" s="503"/>
      <c r="C1683" s="510"/>
      <c r="D1683" s="510"/>
      <c r="E1683" s="510"/>
      <c r="F1683" s="746"/>
      <c r="G1683" s="510"/>
      <c r="H1683" s="510"/>
      <c r="I1683" s="510"/>
      <c r="J1683" s="510"/>
      <c r="K1683" s="510"/>
      <c r="L1683" s="510"/>
      <c r="M1683" s="509"/>
      <c r="N1683" s="508"/>
      <c r="O1683" s="507"/>
      <c r="P1683" s="507"/>
      <c r="Q1683" s="505"/>
      <c r="R1683" s="506"/>
      <c r="S1683" s="506"/>
      <c r="T1683" s="506"/>
      <c r="U1683" s="505"/>
      <c r="V1683" s="505"/>
      <c r="W1683" s="505"/>
      <c r="X1683" s="504"/>
      <c r="Y1683" s="503"/>
      <c r="Z1683" s="503"/>
      <c r="AA1683" s="503"/>
      <c r="AB1683" s="503"/>
      <c r="AC1683" s="503"/>
      <c r="AD1683" s="503"/>
      <c r="AE1683" s="503"/>
      <c r="AF1683" s="503"/>
    </row>
    <row r="1684" spans="1:32" ht="15.75" customHeight="1">
      <c r="A1684" s="503"/>
      <c r="B1684" s="503"/>
      <c r="C1684" s="510"/>
      <c r="D1684" s="510"/>
      <c r="E1684" s="510"/>
      <c r="F1684" s="746"/>
      <c r="G1684" s="510"/>
      <c r="H1684" s="510"/>
      <c r="I1684" s="510"/>
      <c r="J1684" s="510"/>
      <c r="K1684" s="510"/>
      <c r="L1684" s="510"/>
      <c r="M1684" s="509"/>
      <c r="N1684" s="508"/>
      <c r="O1684" s="507"/>
      <c r="P1684" s="507"/>
      <c r="Q1684" s="505"/>
      <c r="R1684" s="506"/>
      <c r="S1684" s="506"/>
      <c r="T1684" s="506"/>
      <c r="U1684" s="505"/>
      <c r="V1684" s="505"/>
      <c r="W1684" s="505"/>
      <c r="X1684" s="504"/>
      <c r="Y1684" s="503"/>
      <c r="Z1684" s="503"/>
      <c r="AA1684" s="503"/>
      <c r="AB1684" s="503"/>
      <c r="AC1684" s="503"/>
      <c r="AD1684" s="503"/>
      <c r="AE1684" s="503"/>
      <c r="AF1684" s="503"/>
    </row>
    <row r="1685" spans="1:32" ht="15.75" customHeight="1">
      <c r="A1685" s="503"/>
      <c r="B1685" s="503"/>
      <c r="C1685" s="510"/>
      <c r="D1685" s="510"/>
      <c r="E1685" s="510"/>
      <c r="F1685" s="746"/>
      <c r="G1685" s="510"/>
      <c r="H1685" s="510"/>
      <c r="I1685" s="510"/>
      <c r="J1685" s="510"/>
      <c r="K1685" s="510"/>
      <c r="L1685" s="510"/>
      <c r="M1685" s="509"/>
      <c r="N1685" s="508"/>
      <c r="O1685" s="507"/>
      <c r="P1685" s="507"/>
      <c r="Q1685" s="505"/>
      <c r="R1685" s="506"/>
      <c r="S1685" s="506"/>
      <c r="T1685" s="506"/>
      <c r="U1685" s="505"/>
      <c r="V1685" s="505"/>
      <c r="W1685" s="505"/>
      <c r="X1685" s="504"/>
      <c r="Y1685" s="503"/>
      <c r="Z1685" s="503"/>
      <c r="AA1685" s="503"/>
      <c r="AB1685" s="503"/>
      <c r="AC1685" s="503"/>
      <c r="AD1685" s="503"/>
      <c r="AE1685" s="503"/>
      <c r="AF1685" s="503"/>
    </row>
    <row r="1686" spans="1:32" ht="15.75" customHeight="1">
      <c r="A1686" s="503"/>
      <c r="B1686" s="503"/>
      <c r="C1686" s="510"/>
      <c r="D1686" s="510"/>
      <c r="E1686" s="510"/>
      <c r="F1686" s="746"/>
      <c r="G1686" s="510"/>
      <c r="H1686" s="510"/>
      <c r="I1686" s="510"/>
      <c r="J1686" s="510"/>
      <c r="K1686" s="510"/>
      <c r="L1686" s="510"/>
      <c r="M1686" s="509"/>
      <c r="N1686" s="508"/>
      <c r="O1686" s="507"/>
      <c r="P1686" s="507"/>
      <c r="Q1686" s="505"/>
      <c r="R1686" s="506"/>
      <c r="S1686" s="506"/>
      <c r="T1686" s="506"/>
      <c r="U1686" s="505"/>
      <c r="V1686" s="505"/>
      <c r="W1686" s="505"/>
      <c r="X1686" s="504"/>
      <c r="Y1686" s="503"/>
      <c r="Z1686" s="503"/>
      <c r="AA1686" s="503"/>
      <c r="AB1686" s="503"/>
      <c r="AC1686" s="503"/>
      <c r="AD1686" s="503"/>
      <c r="AE1686" s="503"/>
      <c r="AF1686" s="503"/>
    </row>
    <row r="1687" spans="1:32" ht="15.75" customHeight="1">
      <c r="A1687" s="503"/>
      <c r="B1687" s="503"/>
      <c r="C1687" s="510"/>
      <c r="D1687" s="510"/>
      <c r="E1687" s="510"/>
      <c r="F1687" s="746"/>
      <c r="G1687" s="510"/>
      <c r="H1687" s="510"/>
      <c r="I1687" s="510"/>
      <c r="J1687" s="510"/>
      <c r="K1687" s="510"/>
      <c r="L1687" s="510"/>
      <c r="M1687" s="509"/>
      <c r="N1687" s="508"/>
      <c r="O1687" s="507"/>
      <c r="P1687" s="507"/>
      <c r="Q1687" s="505"/>
      <c r="R1687" s="506"/>
      <c r="S1687" s="506"/>
      <c r="T1687" s="506"/>
      <c r="U1687" s="505"/>
      <c r="V1687" s="505"/>
      <c r="W1687" s="505"/>
      <c r="X1687" s="504"/>
      <c r="Y1687" s="503"/>
      <c r="Z1687" s="503"/>
      <c r="AA1687" s="503"/>
      <c r="AB1687" s="503"/>
      <c r="AC1687" s="503"/>
      <c r="AD1687" s="503"/>
      <c r="AE1687" s="503"/>
      <c r="AF1687" s="503"/>
    </row>
    <row r="1688" spans="1:32" ht="15.75" customHeight="1">
      <c r="A1688" s="503"/>
      <c r="B1688" s="503"/>
      <c r="C1688" s="510"/>
      <c r="D1688" s="510"/>
      <c r="E1688" s="510"/>
      <c r="F1688" s="746"/>
      <c r="G1688" s="510"/>
      <c r="H1688" s="510"/>
      <c r="I1688" s="510"/>
      <c r="J1688" s="510"/>
      <c r="K1688" s="510"/>
      <c r="L1688" s="510"/>
      <c r="M1688" s="509"/>
      <c r="N1688" s="508"/>
      <c r="O1688" s="507"/>
      <c r="P1688" s="507"/>
      <c r="Q1688" s="505"/>
      <c r="R1688" s="506"/>
      <c r="S1688" s="506"/>
      <c r="T1688" s="506"/>
      <c r="U1688" s="505"/>
      <c r="V1688" s="505"/>
      <c r="W1688" s="505"/>
      <c r="X1688" s="504"/>
      <c r="Y1688" s="503"/>
      <c r="Z1688" s="503"/>
      <c r="AA1688" s="503"/>
      <c r="AB1688" s="503"/>
      <c r="AC1688" s="503"/>
      <c r="AD1688" s="503"/>
      <c r="AE1688" s="503"/>
      <c r="AF1688" s="503"/>
    </row>
    <row r="1689" spans="1:32" ht="15.75" customHeight="1">
      <c r="A1689" s="503"/>
      <c r="B1689" s="503"/>
      <c r="C1689" s="510"/>
      <c r="D1689" s="510"/>
      <c r="E1689" s="510"/>
      <c r="F1689" s="746"/>
      <c r="G1689" s="510"/>
      <c r="H1689" s="510"/>
      <c r="I1689" s="510"/>
      <c r="J1689" s="510"/>
      <c r="K1689" s="510"/>
      <c r="L1689" s="510"/>
      <c r="M1689" s="509"/>
      <c r="N1689" s="508"/>
      <c r="O1689" s="507"/>
      <c r="P1689" s="507"/>
      <c r="Q1689" s="505"/>
      <c r="R1689" s="506"/>
      <c r="S1689" s="506"/>
      <c r="T1689" s="506"/>
      <c r="U1689" s="505"/>
      <c r="V1689" s="505"/>
      <c r="W1689" s="505"/>
      <c r="X1689" s="504"/>
      <c r="Y1689" s="503"/>
      <c r="Z1689" s="503"/>
      <c r="AA1689" s="503"/>
      <c r="AB1689" s="503"/>
      <c r="AC1689" s="503"/>
      <c r="AD1689" s="503"/>
      <c r="AE1689" s="503"/>
      <c r="AF1689" s="503"/>
    </row>
    <row r="1690" spans="1:32" ht="15.75" customHeight="1">
      <c r="A1690" s="503"/>
      <c r="B1690" s="503"/>
      <c r="C1690" s="510"/>
      <c r="D1690" s="510"/>
      <c r="E1690" s="510"/>
      <c r="F1690" s="746"/>
      <c r="G1690" s="510"/>
      <c r="H1690" s="510"/>
      <c r="I1690" s="510"/>
      <c r="J1690" s="510"/>
      <c r="K1690" s="510"/>
      <c r="L1690" s="510"/>
      <c r="M1690" s="509"/>
      <c r="N1690" s="508"/>
      <c r="O1690" s="507"/>
      <c r="P1690" s="507"/>
      <c r="Q1690" s="505"/>
      <c r="R1690" s="506"/>
      <c r="S1690" s="506"/>
      <c r="T1690" s="506"/>
      <c r="U1690" s="505"/>
      <c r="V1690" s="505"/>
      <c r="W1690" s="505"/>
      <c r="X1690" s="504"/>
      <c r="Y1690" s="503"/>
      <c r="Z1690" s="503"/>
      <c r="AA1690" s="503"/>
      <c r="AB1690" s="503"/>
      <c r="AC1690" s="503"/>
      <c r="AD1690" s="503"/>
      <c r="AE1690" s="503"/>
      <c r="AF1690" s="503"/>
    </row>
    <row r="1691" spans="1:32" ht="15.75" customHeight="1">
      <c r="A1691" s="503"/>
      <c r="B1691" s="503"/>
      <c r="C1691" s="510"/>
      <c r="D1691" s="510"/>
      <c r="E1691" s="510"/>
      <c r="F1691" s="746"/>
      <c r="G1691" s="510"/>
      <c r="H1691" s="510"/>
      <c r="I1691" s="510"/>
      <c r="J1691" s="510"/>
      <c r="K1691" s="510"/>
      <c r="L1691" s="510"/>
      <c r="M1691" s="509"/>
      <c r="N1691" s="508"/>
      <c r="O1691" s="507"/>
      <c r="P1691" s="507"/>
      <c r="Q1691" s="505"/>
      <c r="R1691" s="506"/>
      <c r="S1691" s="506"/>
      <c r="T1691" s="506"/>
      <c r="U1691" s="505"/>
      <c r="V1691" s="505"/>
      <c r="W1691" s="505"/>
      <c r="X1691" s="504"/>
      <c r="Y1691" s="503"/>
      <c r="Z1691" s="503"/>
      <c r="AA1691" s="503"/>
      <c r="AB1691" s="503"/>
      <c r="AC1691" s="503"/>
      <c r="AD1691" s="503"/>
      <c r="AE1691" s="503"/>
      <c r="AF1691" s="503"/>
    </row>
    <row r="1692" spans="1:32" ht="15.75" customHeight="1">
      <c r="A1692" s="503"/>
      <c r="B1692" s="503"/>
      <c r="C1692" s="510"/>
      <c r="D1692" s="510"/>
      <c r="E1692" s="510"/>
      <c r="F1692" s="746"/>
      <c r="G1692" s="510"/>
      <c r="H1692" s="510"/>
      <c r="I1692" s="510"/>
      <c r="J1692" s="510"/>
      <c r="K1692" s="510"/>
      <c r="L1692" s="510"/>
      <c r="M1692" s="509"/>
      <c r="N1692" s="508"/>
      <c r="O1692" s="507"/>
      <c r="P1692" s="507"/>
      <c r="Q1692" s="505"/>
      <c r="R1692" s="506"/>
      <c r="S1692" s="506"/>
      <c r="T1692" s="506"/>
      <c r="U1692" s="505"/>
      <c r="V1692" s="505"/>
      <c r="W1692" s="505"/>
      <c r="X1692" s="504"/>
      <c r="Y1692" s="503"/>
      <c r="Z1692" s="503"/>
      <c r="AA1692" s="503"/>
      <c r="AB1692" s="503"/>
      <c r="AC1692" s="503"/>
      <c r="AD1692" s="503"/>
      <c r="AE1692" s="503"/>
      <c r="AF1692" s="503"/>
    </row>
    <row r="1693" spans="1:32" ht="15.75" customHeight="1">
      <c r="A1693" s="503"/>
      <c r="B1693" s="503"/>
      <c r="C1693" s="510"/>
      <c r="D1693" s="510"/>
      <c r="E1693" s="510"/>
      <c r="F1693" s="746"/>
      <c r="G1693" s="510"/>
      <c r="H1693" s="510"/>
      <c r="I1693" s="510"/>
      <c r="J1693" s="510"/>
      <c r="K1693" s="510"/>
      <c r="L1693" s="510"/>
      <c r="M1693" s="509"/>
      <c r="N1693" s="508"/>
      <c r="O1693" s="507"/>
      <c r="P1693" s="507"/>
      <c r="Q1693" s="505"/>
      <c r="R1693" s="506"/>
      <c r="S1693" s="506"/>
      <c r="T1693" s="506"/>
      <c r="U1693" s="505"/>
      <c r="V1693" s="505"/>
      <c r="W1693" s="505"/>
      <c r="X1693" s="504"/>
      <c r="Y1693" s="503"/>
      <c r="Z1693" s="503"/>
      <c r="AA1693" s="503"/>
      <c r="AB1693" s="503"/>
      <c r="AC1693" s="503"/>
      <c r="AD1693" s="503"/>
      <c r="AE1693" s="503"/>
      <c r="AF1693" s="503"/>
    </row>
    <row r="1694" spans="1:32" ht="15.75" customHeight="1">
      <c r="A1694" s="503"/>
      <c r="B1694" s="503"/>
      <c r="C1694" s="510"/>
      <c r="D1694" s="510"/>
      <c r="E1694" s="510"/>
      <c r="F1694" s="746"/>
      <c r="G1694" s="510"/>
      <c r="H1694" s="510"/>
      <c r="I1694" s="510"/>
      <c r="J1694" s="510"/>
      <c r="K1694" s="510"/>
      <c r="L1694" s="510"/>
      <c r="M1694" s="509"/>
      <c r="N1694" s="508"/>
      <c r="O1694" s="507"/>
      <c r="P1694" s="507"/>
      <c r="Q1694" s="505"/>
      <c r="R1694" s="506"/>
      <c r="S1694" s="506"/>
      <c r="T1694" s="506"/>
      <c r="U1694" s="505"/>
      <c r="V1694" s="505"/>
      <c r="W1694" s="505"/>
      <c r="X1694" s="504"/>
      <c r="Y1694" s="503"/>
      <c r="Z1694" s="503"/>
      <c r="AA1694" s="503"/>
      <c r="AB1694" s="503"/>
      <c r="AC1694" s="503"/>
      <c r="AD1694" s="503"/>
      <c r="AE1694" s="503"/>
      <c r="AF1694" s="503"/>
    </row>
    <row r="1695" spans="1:32" ht="15.75" customHeight="1">
      <c r="A1695" s="503"/>
      <c r="B1695" s="503"/>
      <c r="C1695" s="510"/>
      <c r="D1695" s="510"/>
      <c r="E1695" s="510"/>
      <c r="F1695" s="746"/>
      <c r="G1695" s="510"/>
      <c r="H1695" s="510"/>
      <c r="I1695" s="510"/>
      <c r="J1695" s="510"/>
      <c r="K1695" s="510"/>
      <c r="L1695" s="510"/>
      <c r="M1695" s="509"/>
      <c r="N1695" s="508"/>
      <c r="O1695" s="507"/>
      <c r="P1695" s="507"/>
      <c r="Q1695" s="505"/>
      <c r="R1695" s="506"/>
      <c r="S1695" s="506"/>
      <c r="T1695" s="506"/>
      <c r="U1695" s="505"/>
      <c r="V1695" s="505"/>
      <c r="W1695" s="505"/>
      <c r="X1695" s="504"/>
      <c r="Y1695" s="503"/>
      <c r="Z1695" s="503"/>
      <c r="AA1695" s="503"/>
      <c r="AB1695" s="503"/>
      <c r="AC1695" s="503"/>
      <c r="AD1695" s="503"/>
      <c r="AE1695" s="503"/>
      <c r="AF1695" s="503"/>
    </row>
    <row r="1696" spans="1:32" ht="15.75" customHeight="1">
      <c r="A1696" s="503"/>
      <c r="B1696" s="503"/>
      <c r="C1696" s="510"/>
      <c r="D1696" s="510"/>
      <c r="E1696" s="510"/>
      <c r="F1696" s="746"/>
      <c r="G1696" s="510"/>
      <c r="H1696" s="510"/>
      <c r="I1696" s="510"/>
      <c r="J1696" s="510"/>
      <c r="K1696" s="510"/>
      <c r="L1696" s="510"/>
      <c r="M1696" s="509"/>
      <c r="N1696" s="508"/>
      <c r="O1696" s="507"/>
      <c r="P1696" s="507"/>
      <c r="Q1696" s="505"/>
      <c r="R1696" s="506"/>
      <c r="S1696" s="506"/>
      <c r="T1696" s="506"/>
      <c r="U1696" s="505"/>
      <c r="V1696" s="505"/>
      <c r="W1696" s="505"/>
      <c r="X1696" s="504"/>
      <c r="Y1696" s="503"/>
      <c r="Z1696" s="503"/>
      <c r="AA1696" s="503"/>
      <c r="AB1696" s="503"/>
      <c r="AC1696" s="503"/>
      <c r="AD1696" s="503"/>
      <c r="AE1696" s="503"/>
      <c r="AF1696" s="503"/>
    </row>
    <row r="1697" spans="1:32" ht="15.75" customHeight="1">
      <c r="A1697" s="503"/>
      <c r="B1697" s="503"/>
      <c r="C1697" s="510"/>
      <c r="D1697" s="510"/>
      <c r="E1697" s="510"/>
      <c r="F1697" s="746"/>
      <c r="G1697" s="510"/>
      <c r="H1697" s="510"/>
      <c r="I1697" s="510"/>
      <c r="J1697" s="510"/>
      <c r="K1697" s="510"/>
      <c r="L1697" s="510"/>
      <c r="M1697" s="509"/>
      <c r="N1697" s="508"/>
      <c r="O1697" s="507"/>
      <c r="P1697" s="507"/>
      <c r="Q1697" s="505"/>
      <c r="R1697" s="506"/>
      <c r="S1697" s="506"/>
      <c r="T1697" s="506"/>
      <c r="U1697" s="505"/>
      <c r="V1697" s="505"/>
      <c r="W1697" s="505"/>
      <c r="X1697" s="504"/>
      <c r="Y1697" s="503"/>
      <c r="Z1697" s="503"/>
      <c r="AA1697" s="503"/>
      <c r="AB1697" s="503"/>
      <c r="AC1697" s="503"/>
      <c r="AD1697" s="503"/>
      <c r="AE1697" s="503"/>
      <c r="AF1697" s="503"/>
    </row>
    <row r="1698" spans="1:32" ht="15.75" customHeight="1">
      <c r="A1698" s="503"/>
      <c r="B1698" s="503"/>
      <c r="C1698" s="510"/>
      <c r="D1698" s="510"/>
      <c r="E1698" s="510"/>
      <c r="F1698" s="746"/>
      <c r="G1698" s="510"/>
      <c r="H1698" s="510"/>
      <c r="I1698" s="510"/>
      <c r="J1698" s="510"/>
      <c r="K1698" s="510"/>
      <c r="L1698" s="510"/>
      <c r="M1698" s="509"/>
      <c r="N1698" s="508"/>
      <c r="O1698" s="507"/>
      <c r="P1698" s="507"/>
      <c r="Q1698" s="505"/>
      <c r="R1698" s="506"/>
      <c r="S1698" s="506"/>
      <c r="T1698" s="506"/>
      <c r="U1698" s="505"/>
      <c r="V1698" s="505"/>
      <c r="W1698" s="505"/>
      <c r="X1698" s="504"/>
      <c r="Y1698" s="503"/>
      <c r="Z1698" s="503"/>
      <c r="AA1698" s="503"/>
      <c r="AB1698" s="503"/>
      <c r="AC1698" s="503"/>
      <c r="AD1698" s="503"/>
      <c r="AE1698" s="503"/>
      <c r="AF1698" s="503"/>
    </row>
    <row r="1699" spans="1:32" ht="15.75" customHeight="1">
      <c r="A1699" s="503"/>
      <c r="B1699" s="503"/>
      <c r="C1699" s="510"/>
      <c r="D1699" s="510"/>
      <c r="E1699" s="510"/>
      <c r="F1699" s="746"/>
      <c r="G1699" s="510"/>
      <c r="H1699" s="510"/>
      <c r="I1699" s="510"/>
      <c r="J1699" s="510"/>
      <c r="K1699" s="510"/>
      <c r="L1699" s="510"/>
      <c r="M1699" s="509"/>
      <c r="N1699" s="508"/>
      <c r="O1699" s="507"/>
      <c r="P1699" s="507"/>
      <c r="Q1699" s="505"/>
      <c r="R1699" s="506"/>
      <c r="S1699" s="506"/>
      <c r="T1699" s="506"/>
      <c r="U1699" s="505"/>
      <c r="V1699" s="505"/>
      <c r="W1699" s="505"/>
      <c r="X1699" s="504"/>
      <c r="Y1699" s="503"/>
      <c r="Z1699" s="503"/>
      <c r="AA1699" s="503"/>
      <c r="AB1699" s="503"/>
      <c r="AC1699" s="503"/>
      <c r="AD1699" s="503"/>
      <c r="AE1699" s="503"/>
      <c r="AF1699" s="503"/>
    </row>
    <row r="1700" spans="1:32" ht="15.75" customHeight="1">
      <c r="A1700" s="503"/>
      <c r="B1700" s="503"/>
      <c r="C1700" s="510"/>
      <c r="D1700" s="510"/>
      <c r="E1700" s="510"/>
      <c r="F1700" s="746"/>
      <c r="G1700" s="510"/>
      <c r="H1700" s="510"/>
      <c r="I1700" s="510"/>
      <c r="J1700" s="510"/>
      <c r="K1700" s="510"/>
      <c r="L1700" s="510"/>
      <c r="M1700" s="509"/>
      <c r="N1700" s="508"/>
      <c r="O1700" s="507"/>
      <c r="P1700" s="507"/>
      <c r="Q1700" s="505"/>
      <c r="R1700" s="506"/>
      <c r="S1700" s="506"/>
      <c r="T1700" s="506"/>
      <c r="U1700" s="505"/>
      <c r="V1700" s="505"/>
      <c r="W1700" s="505"/>
      <c r="X1700" s="504"/>
      <c r="Y1700" s="503"/>
      <c r="Z1700" s="503"/>
      <c r="AA1700" s="503"/>
      <c r="AB1700" s="503"/>
      <c r="AC1700" s="503"/>
      <c r="AD1700" s="503"/>
      <c r="AE1700" s="503"/>
      <c r="AF1700" s="503"/>
    </row>
    <row r="1701" spans="1:32" ht="15.75" customHeight="1">
      <c r="A1701" s="503"/>
      <c r="B1701" s="503"/>
      <c r="C1701" s="510"/>
      <c r="D1701" s="510"/>
      <c r="E1701" s="510"/>
      <c r="F1701" s="746"/>
      <c r="G1701" s="510"/>
      <c r="H1701" s="510"/>
      <c r="I1701" s="510"/>
      <c r="J1701" s="510"/>
      <c r="K1701" s="510"/>
      <c r="L1701" s="510"/>
      <c r="M1701" s="509"/>
      <c r="N1701" s="508"/>
      <c r="O1701" s="507"/>
      <c r="P1701" s="507"/>
      <c r="Q1701" s="505"/>
      <c r="R1701" s="506"/>
      <c r="S1701" s="506"/>
      <c r="T1701" s="506"/>
      <c r="U1701" s="505"/>
      <c r="V1701" s="505"/>
      <c r="W1701" s="505"/>
      <c r="X1701" s="504"/>
      <c r="Y1701" s="503"/>
      <c r="Z1701" s="503"/>
      <c r="AA1701" s="503"/>
      <c r="AB1701" s="503"/>
      <c r="AC1701" s="503"/>
      <c r="AD1701" s="503"/>
      <c r="AE1701" s="503"/>
      <c r="AF1701" s="503"/>
    </row>
    <row r="1702" spans="1:32" ht="15.75" customHeight="1">
      <c r="A1702" s="503"/>
      <c r="B1702" s="503"/>
      <c r="C1702" s="510"/>
      <c r="D1702" s="510"/>
      <c r="E1702" s="510"/>
      <c r="F1702" s="746"/>
      <c r="G1702" s="510"/>
      <c r="H1702" s="510"/>
      <c r="I1702" s="510"/>
      <c r="J1702" s="510"/>
      <c r="K1702" s="510"/>
      <c r="L1702" s="510"/>
      <c r="M1702" s="509"/>
      <c r="N1702" s="508"/>
      <c r="O1702" s="507"/>
      <c r="P1702" s="507"/>
      <c r="Q1702" s="505"/>
      <c r="R1702" s="506"/>
      <c r="S1702" s="506"/>
      <c r="T1702" s="506"/>
      <c r="U1702" s="505"/>
      <c r="V1702" s="505"/>
      <c r="W1702" s="505"/>
      <c r="X1702" s="504"/>
      <c r="Y1702" s="503"/>
      <c r="Z1702" s="503"/>
      <c r="AA1702" s="503"/>
      <c r="AB1702" s="503"/>
      <c r="AC1702" s="503"/>
      <c r="AD1702" s="503"/>
      <c r="AE1702" s="503"/>
      <c r="AF1702" s="503"/>
    </row>
    <row r="1703" spans="1:32" ht="15.75" customHeight="1">
      <c r="A1703" s="503"/>
      <c r="B1703" s="503"/>
      <c r="C1703" s="510"/>
      <c r="D1703" s="510"/>
      <c r="E1703" s="510"/>
      <c r="F1703" s="746"/>
      <c r="G1703" s="510"/>
      <c r="H1703" s="510"/>
      <c r="I1703" s="510"/>
      <c r="J1703" s="510"/>
      <c r="K1703" s="510"/>
      <c r="L1703" s="510"/>
      <c r="M1703" s="509"/>
      <c r="N1703" s="508"/>
      <c r="O1703" s="507"/>
      <c r="P1703" s="507"/>
      <c r="Q1703" s="505"/>
      <c r="R1703" s="506"/>
      <c r="S1703" s="506"/>
      <c r="T1703" s="506"/>
      <c r="U1703" s="505"/>
      <c r="V1703" s="505"/>
      <c r="W1703" s="505"/>
      <c r="X1703" s="504"/>
      <c r="Y1703" s="503"/>
      <c r="Z1703" s="503"/>
      <c r="AA1703" s="503"/>
      <c r="AB1703" s="503"/>
      <c r="AC1703" s="503"/>
      <c r="AD1703" s="503"/>
      <c r="AE1703" s="503"/>
      <c r="AF1703" s="503"/>
    </row>
    <row r="1704" spans="1:32" ht="15.75" customHeight="1">
      <c r="A1704" s="503"/>
      <c r="B1704" s="503"/>
      <c r="C1704" s="510"/>
      <c r="D1704" s="510"/>
      <c r="E1704" s="510"/>
      <c r="F1704" s="746"/>
      <c r="G1704" s="510"/>
      <c r="H1704" s="510"/>
      <c r="I1704" s="510"/>
      <c r="J1704" s="510"/>
      <c r="K1704" s="510"/>
      <c r="L1704" s="510"/>
      <c r="M1704" s="509"/>
      <c r="N1704" s="508"/>
      <c r="O1704" s="507"/>
      <c r="P1704" s="507"/>
      <c r="Q1704" s="505"/>
      <c r="R1704" s="506"/>
      <c r="S1704" s="506"/>
      <c r="T1704" s="506"/>
      <c r="U1704" s="505"/>
      <c r="V1704" s="505"/>
      <c r="W1704" s="505"/>
      <c r="X1704" s="504"/>
      <c r="Y1704" s="503"/>
      <c r="Z1704" s="503"/>
      <c r="AA1704" s="503"/>
      <c r="AB1704" s="503"/>
      <c r="AC1704" s="503"/>
      <c r="AD1704" s="503"/>
      <c r="AE1704" s="503"/>
      <c r="AF1704" s="503"/>
    </row>
    <row r="1705" spans="1:32" ht="15.75" customHeight="1">
      <c r="A1705" s="503"/>
      <c r="B1705" s="503"/>
      <c r="C1705" s="510"/>
      <c r="D1705" s="510"/>
      <c r="E1705" s="510"/>
      <c r="F1705" s="746"/>
      <c r="G1705" s="510"/>
      <c r="H1705" s="510"/>
      <c r="I1705" s="510"/>
      <c r="J1705" s="510"/>
      <c r="K1705" s="510"/>
      <c r="L1705" s="510"/>
      <c r="M1705" s="509"/>
      <c r="N1705" s="508"/>
      <c r="O1705" s="507"/>
      <c r="P1705" s="507"/>
      <c r="Q1705" s="505"/>
      <c r="R1705" s="506"/>
      <c r="S1705" s="506"/>
      <c r="T1705" s="506"/>
      <c r="U1705" s="505"/>
      <c r="V1705" s="505"/>
      <c r="W1705" s="505"/>
      <c r="X1705" s="504"/>
      <c r="Y1705" s="503"/>
      <c r="Z1705" s="503"/>
      <c r="AA1705" s="503"/>
      <c r="AB1705" s="503"/>
      <c r="AC1705" s="503"/>
      <c r="AD1705" s="503"/>
      <c r="AE1705" s="503"/>
      <c r="AF1705" s="503"/>
    </row>
    <row r="1706" spans="1:32" ht="15.75" customHeight="1">
      <c r="A1706" s="503"/>
      <c r="B1706" s="503"/>
      <c r="C1706" s="510"/>
      <c r="D1706" s="510"/>
      <c r="E1706" s="510"/>
      <c r="F1706" s="746"/>
      <c r="G1706" s="510"/>
      <c r="H1706" s="510"/>
      <c r="I1706" s="510"/>
      <c r="J1706" s="510"/>
      <c r="K1706" s="510"/>
      <c r="L1706" s="510"/>
      <c r="M1706" s="509"/>
      <c r="N1706" s="508"/>
      <c r="O1706" s="507"/>
      <c r="P1706" s="507"/>
      <c r="Q1706" s="505"/>
      <c r="R1706" s="506"/>
      <c r="S1706" s="506"/>
      <c r="T1706" s="506"/>
      <c r="U1706" s="505"/>
      <c r="V1706" s="505"/>
      <c r="W1706" s="505"/>
      <c r="X1706" s="504"/>
      <c r="Y1706" s="503"/>
      <c r="Z1706" s="503"/>
      <c r="AA1706" s="503"/>
      <c r="AB1706" s="503"/>
      <c r="AC1706" s="503"/>
      <c r="AD1706" s="503"/>
      <c r="AE1706" s="503"/>
      <c r="AF1706" s="503"/>
    </row>
    <row r="1707" spans="1:32" ht="15.75" customHeight="1">
      <c r="A1707" s="503"/>
      <c r="B1707" s="503"/>
      <c r="C1707" s="510"/>
      <c r="D1707" s="510"/>
      <c r="E1707" s="510"/>
      <c r="F1707" s="746"/>
      <c r="G1707" s="510"/>
      <c r="H1707" s="510"/>
      <c r="I1707" s="510"/>
      <c r="J1707" s="510"/>
      <c r="K1707" s="510"/>
      <c r="L1707" s="510"/>
      <c r="M1707" s="509"/>
      <c r="N1707" s="508"/>
      <c r="O1707" s="507"/>
      <c r="P1707" s="507"/>
      <c r="Q1707" s="505"/>
      <c r="R1707" s="506"/>
      <c r="S1707" s="506"/>
      <c r="T1707" s="506"/>
      <c r="U1707" s="505"/>
      <c r="V1707" s="505"/>
      <c r="W1707" s="505"/>
      <c r="X1707" s="504"/>
      <c r="Y1707" s="503"/>
      <c r="Z1707" s="503"/>
      <c r="AA1707" s="503"/>
      <c r="AB1707" s="503"/>
      <c r="AC1707" s="503"/>
      <c r="AD1707" s="503"/>
      <c r="AE1707" s="503"/>
      <c r="AF1707" s="503"/>
    </row>
    <row r="1708" spans="1:32" ht="15.75" customHeight="1">
      <c r="A1708" s="503"/>
      <c r="B1708" s="503"/>
      <c r="C1708" s="510"/>
      <c r="D1708" s="510"/>
      <c r="E1708" s="510"/>
      <c r="F1708" s="746"/>
      <c r="G1708" s="510"/>
      <c r="H1708" s="510"/>
      <c r="I1708" s="510"/>
      <c r="J1708" s="510"/>
      <c r="K1708" s="510"/>
      <c r="L1708" s="510"/>
      <c r="M1708" s="509"/>
      <c r="N1708" s="508"/>
      <c r="O1708" s="507"/>
      <c r="P1708" s="507"/>
      <c r="Q1708" s="505"/>
      <c r="R1708" s="506"/>
      <c r="S1708" s="506"/>
      <c r="T1708" s="506"/>
      <c r="U1708" s="505"/>
      <c r="V1708" s="505"/>
      <c r="W1708" s="505"/>
      <c r="X1708" s="504"/>
      <c r="Y1708" s="503"/>
      <c r="Z1708" s="503"/>
      <c r="AA1708" s="503"/>
      <c r="AB1708" s="503"/>
      <c r="AC1708" s="503"/>
      <c r="AD1708" s="503"/>
      <c r="AE1708" s="503"/>
      <c r="AF1708" s="503"/>
    </row>
    <row r="1709" spans="1:32" ht="15.75" customHeight="1">
      <c r="A1709" s="503"/>
      <c r="B1709" s="503"/>
      <c r="C1709" s="510"/>
      <c r="D1709" s="510"/>
      <c r="E1709" s="510"/>
      <c r="F1709" s="746"/>
      <c r="G1709" s="510"/>
      <c r="H1709" s="510"/>
      <c r="I1709" s="510"/>
      <c r="J1709" s="510"/>
      <c r="K1709" s="510"/>
      <c r="L1709" s="510"/>
      <c r="M1709" s="509"/>
      <c r="N1709" s="508"/>
      <c r="O1709" s="507"/>
      <c r="P1709" s="507"/>
      <c r="Q1709" s="505"/>
      <c r="R1709" s="506"/>
      <c r="S1709" s="506"/>
      <c r="T1709" s="506"/>
      <c r="U1709" s="505"/>
      <c r="V1709" s="505"/>
      <c r="W1709" s="505"/>
      <c r="X1709" s="504"/>
      <c r="Y1709" s="503"/>
      <c r="Z1709" s="503"/>
      <c r="AA1709" s="503"/>
      <c r="AB1709" s="503"/>
      <c r="AC1709" s="503"/>
      <c r="AD1709" s="503"/>
      <c r="AE1709" s="503"/>
      <c r="AF1709" s="503"/>
    </row>
    <row r="1710" spans="1:32" ht="15.75" customHeight="1">
      <c r="A1710" s="503"/>
      <c r="B1710" s="503"/>
      <c r="C1710" s="510"/>
      <c r="D1710" s="510"/>
      <c r="E1710" s="510"/>
      <c r="F1710" s="746"/>
      <c r="G1710" s="510"/>
      <c r="H1710" s="510"/>
      <c r="I1710" s="510"/>
      <c r="J1710" s="510"/>
      <c r="K1710" s="510"/>
      <c r="L1710" s="510"/>
      <c r="M1710" s="509"/>
      <c r="N1710" s="508"/>
      <c r="O1710" s="507"/>
      <c r="P1710" s="507"/>
      <c r="Q1710" s="505"/>
      <c r="R1710" s="506"/>
      <c r="S1710" s="506"/>
      <c r="T1710" s="506"/>
      <c r="U1710" s="505"/>
      <c r="V1710" s="505"/>
      <c r="W1710" s="505"/>
      <c r="X1710" s="504"/>
      <c r="Y1710" s="503"/>
      <c r="Z1710" s="503"/>
      <c r="AA1710" s="503"/>
      <c r="AB1710" s="503"/>
      <c r="AC1710" s="503"/>
      <c r="AD1710" s="503"/>
      <c r="AE1710" s="503"/>
      <c r="AF1710" s="503"/>
    </row>
    <row r="1711" spans="1:32" ht="15.75" customHeight="1">
      <c r="A1711" s="503"/>
      <c r="B1711" s="503"/>
      <c r="C1711" s="510"/>
      <c r="D1711" s="510"/>
      <c r="E1711" s="510"/>
      <c r="F1711" s="746"/>
      <c r="G1711" s="510"/>
      <c r="H1711" s="510"/>
      <c r="I1711" s="510"/>
      <c r="J1711" s="510"/>
      <c r="K1711" s="510"/>
      <c r="L1711" s="510"/>
      <c r="M1711" s="509"/>
      <c r="N1711" s="508"/>
      <c r="O1711" s="507"/>
      <c r="P1711" s="507"/>
      <c r="Q1711" s="505"/>
      <c r="R1711" s="506"/>
      <c r="S1711" s="506"/>
      <c r="T1711" s="506"/>
      <c r="U1711" s="505"/>
      <c r="V1711" s="505"/>
      <c r="W1711" s="505"/>
      <c r="X1711" s="504"/>
      <c r="Y1711" s="503"/>
      <c r="Z1711" s="503"/>
      <c r="AA1711" s="503"/>
      <c r="AB1711" s="503"/>
      <c r="AC1711" s="503"/>
      <c r="AD1711" s="503"/>
      <c r="AE1711" s="503"/>
      <c r="AF1711" s="503"/>
    </row>
    <row r="1712" spans="1:32" ht="15.75" customHeight="1">
      <c r="A1712" s="503"/>
      <c r="B1712" s="503"/>
      <c r="C1712" s="510"/>
      <c r="D1712" s="510"/>
      <c r="E1712" s="510"/>
      <c r="F1712" s="746"/>
      <c r="G1712" s="510"/>
      <c r="H1712" s="510"/>
      <c r="I1712" s="510"/>
      <c r="J1712" s="510"/>
      <c r="K1712" s="510"/>
      <c r="L1712" s="510"/>
      <c r="M1712" s="509"/>
      <c r="N1712" s="508"/>
      <c r="O1712" s="507"/>
      <c r="P1712" s="507"/>
      <c r="Q1712" s="505"/>
      <c r="R1712" s="506"/>
      <c r="S1712" s="506"/>
      <c r="T1712" s="506"/>
      <c r="U1712" s="505"/>
      <c r="V1712" s="505"/>
      <c r="W1712" s="505"/>
      <c r="X1712" s="504"/>
      <c r="Y1712" s="503"/>
      <c r="Z1712" s="503"/>
      <c r="AA1712" s="503"/>
      <c r="AB1712" s="503"/>
      <c r="AC1712" s="503"/>
      <c r="AD1712" s="503"/>
      <c r="AE1712" s="503"/>
      <c r="AF1712" s="503"/>
    </row>
    <row r="1713" spans="1:32" ht="15.75" customHeight="1">
      <c r="A1713" s="503"/>
      <c r="B1713" s="503"/>
      <c r="C1713" s="510"/>
      <c r="D1713" s="510"/>
      <c r="E1713" s="510"/>
      <c r="F1713" s="746"/>
      <c r="G1713" s="510"/>
      <c r="H1713" s="510"/>
      <c r="I1713" s="510"/>
      <c r="J1713" s="510"/>
      <c r="K1713" s="510"/>
      <c r="L1713" s="510"/>
      <c r="M1713" s="509"/>
      <c r="N1713" s="508"/>
      <c r="O1713" s="507"/>
      <c r="P1713" s="507"/>
      <c r="Q1713" s="505"/>
      <c r="R1713" s="506"/>
      <c r="S1713" s="506"/>
      <c r="T1713" s="506"/>
      <c r="U1713" s="505"/>
      <c r="V1713" s="505"/>
      <c r="W1713" s="505"/>
      <c r="X1713" s="504"/>
      <c r="Y1713" s="503"/>
      <c r="Z1713" s="503"/>
      <c r="AA1713" s="503"/>
      <c r="AB1713" s="503"/>
      <c r="AC1713" s="503"/>
      <c r="AD1713" s="503"/>
      <c r="AE1713" s="503"/>
      <c r="AF1713" s="503"/>
    </row>
    <row r="1714" spans="1:32" ht="15.75" customHeight="1">
      <c r="A1714" s="503"/>
      <c r="B1714" s="503"/>
      <c r="C1714" s="510"/>
      <c r="D1714" s="510"/>
      <c r="E1714" s="510"/>
      <c r="F1714" s="746"/>
      <c r="G1714" s="510"/>
      <c r="H1714" s="510"/>
      <c r="I1714" s="510"/>
      <c r="J1714" s="510"/>
      <c r="K1714" s="510"/>
      <c r="L1714" s="510"/>
      <c r="M1714" s="509"/>
      <c r="N1714" s="508"/>
      <c r="O1714" s="507"/>
      <c r="P1714" s="507"/>
      <c r="Q1714" s="505"/>
      <c r="R1714" s="506"/>
      <c r="S1714" s="506"/>
      <c r="T1714" s="506"/>
      <c r="U1714" s="505"/>
      <c r="V1714" s="505"/>
      <c r="W1714" s="505"/>
      <c r="X1714" s="504"/>
      <c r="Y1714" s="503"/>
      <c r="Z1714" s="503"/>
      <c r="AA1714" s="503"/>
      <c r="AB1714" s="503"/>
      <c r="AC1714" s="503"/>
      <c r="AD1714" s="503"/>
      <c r="AE1714" s="503"/>
      <c r="AF1714" s="503"/>
    </row>
    <row r="1715" spans="1:32" ht="15.75" customHeight="1">
      <c r="A1715" s="503"/>
      <c r="B1715" s="503"/>
      <c r="C1715" s="510"/>
      <c r="D1715" s="510"/>
      <c r="E1715" s="510"/>
      <c r="F1715" s="746"/>
      <c r="G1715" s="510"/>
      <c r="H1715" s="510"/>
      <c r="I1715" s="510"/>
      <c r="J1715" s="510"/>
      <c r="K1715" s="510"/>
      <c r="L1715" s="510"/>
      <c r="M1715" s="509"/>
      <c r="N1715" s="508"/>
      <c r="O1715" s="507"/>
      <c r="P1715" s="507"/>
      <c r="Q1715" s="505"/>
      <c r="R1715" s="506"/>
      <c r="S1715" s="506"/>
      <c r="T1715" s="506"/>
      <c r="U1715" s="505"/>
      <c r="V1715" s="505"/>
      <c r="W1715" s="505"/>
      <c r="X1715" s="504"/>
      <c r="Y1715" s="503"/>
      <c r="Z1715" s="503"/>
      <c r="AA1715" s="503"/>
      <c r="AB1715" s="503"/>
      <c r="AC1715" s="503"/>
      <c r="AD1715" s="503"/>
      <c r="AE1715" s="503"/>
      <c r="AF1715" s="503"/>
    </row>
    <row r="1716" spans="1:32" ht="15.75" customHeight="1">
      <c r="A1716" s="503"/>
      <c r="B1716" s="503"/>
      <c r="C1716" s="510"/>
      <c r="D1716" s="510"/>
      <c r="E1716" s="510"/>
      <c r="F1716" s="746"/>
      <c r="G1716" s="510"/>
      <c r="H1716" s="510"/>
      <c r="I1716" s="510"/>
      <c r="J1716" s="510"/>
      <c r="K1716" s="510"/>
      <c r="L1716" s="510"/>
      <c r="M1716" s="509"/>
      <c r="N1716" s="508"/>
      <c r="O1716" s="507"/>
      <c r="P1716" s="507"/>
      <c r="Q1716" s="505"/>
      <c r="R1716" s="506"/>
      <c r="S1716" s="506"/>
      <c r="T1716" s="506"/>
      <c r="U1716" s="505"/>
      <c r="V1716" s="505"/>
      <c r="W1716" s="505"/>
      <c r="X1716" s="504"/>
      <c r="Y1716" s="503"/>
      <c r="Z1716" s="503"/>
      <c r="AA1716" s="503"/>
      <c r="AB1716" s="503"/>
      <c r="AC1716" s="503"/>
      <c r="AD1716" s="503"/>
      <c r="AE1716" s="503"/>
      <c r="AF1716" s="503"/>
    </row>
    <row r="1717" spans="1:32" ht="15.75" customHeight="1">
      <c r="A1717" s="503"/>
      <c r="B1717" s="503"/>
      <c r="C1717" s="510"/>
      <c r="D1717" s="510"/>
      <c r="E1717" s="510"/>
      <c r="F1717" s="746"/>
      <c r="G1717" s="510"/>
      <c r="H1717" s="510"/>
      <c r="I1717" s="510"/>
      <c r="J1717" s="510"/>
      <c r="K1717" s="510"/>
      <c r="L1717" s="510"/>
      <c r="M1717" s="509"/>
      <c r="N1717" s="508"/>
      <c r="O1717" s="507"/>
      <c r="P1717" s="507"/>
      <c r="Q1717" s="505"/>
      <c r="R1717" s="506"/>
      <c r="S1717" s="506"/>
      <c r="T1717" s="506"/>
      <c r="U1717" s="505"/>
      <c r="V1717" s="505"/>
      <c r="W1717" s="505"/>
      <c r="X1717" s="504"/>
      <c r="Y1717" s="503"/>
      <c r="Z1717" s="503"/>
      <c r="AA1717" s="503"/>
      <c r="AB1717" s="503"/>
      <c r="AC1717" s="503"/>
      <c r="AD1717" s="503"/>
      <c r="AE1717" s="503"/>
      <c r="AF1717" s="503"/>
    </row>
    <row r="1718" spans="1:32" ht="15.75" customHeight="1">
      <c r="A1718" s="503"/>
      <c r="B1718" s="503"/>
      <c r="C1718" s="510"/>
      <c r="D1718" s="510"/>
      <c r="E1718" s="510"/>
      <c r="F1718" s="746"/>
      <c r="G1718" s="510"/>
      <c r="H1718" s="510"/>
      <c r="I1718" s="510"/>
      <c r="J1718" s="510"/>
      <c r="K1718" s="510"/>
      <c r="L1718" s="510"/>
      <c r="M1718" s="509"/>
      <c r="N1718" s="508"/>
      <c r="O1718" s="507"/>
      <c r="P1718" s="507"/>
      <c r="Q1718" s="505"/>
      <c r="R1718" s="506"/>
      <c r="S1718" s="506"/>
      <c r="T1718" s="506"/>
      <c r="U1718" s="505"/>
      <c r="V1718" s="505"/>
      <c r="W1718" s="505"/>
      <c r="X1718" s="504"/>
      <c r="Y1718" s="503"/>
      <c r="Z1718" s="503"/>
      <c r="AA1718" s="503"/>
      <c r="AB1718" s="503"/>
      <c r="AC1718" s="503"/>
      <c r="AD1718" s="503"/>
      <c r="AE1718" s="503"/>
      <c r="AF1718" s="503"/>
    </row>
    <row r="1719" spans="1:32" ht="15.75" customHeight="1">
      <c r="A1719" s="503"/>
      <c r="B1719" s="503"/>
      <c r="C1719" s="510"/>
      <c r="D1719" s="510"/>
      <c r="E1719" s="510"/>
      <c r="F1719" s="746"/>
      <c r="G1719" s="510"/>
      <c r="H1719" s="510"/>
      <c r="I1719" s="510"/>
      <c r="J1719" s="510"/>
      <c r="K1719" s="510"/>
      <c r="L1719" s="510"/>
      <c r="M1719" s="509"/>
      <c r="N1719" s="508"/>
      <c r="O1719" s="507"/>
      <c r="P1719" s="507"/>
      <c r="Q1719" s="505"/>
      <c r="R1719" s="506"/>
      <c r="S1719" s="506"/>
      <c r="T1719" s="506"/>
      <c r="U1719" s="505"/>
      <c r="V1719" s="505"/>
      <c r="W1719" s="505"/>
      <c r="X1719" s="504"/>
      <c r="Y1719" s="503"/>
      <c r="Z1719" s="503"/>
      <c r="AA1719" s="503"/>
      <c r="AB1719" s="503"/>
      <c r="AC1719" s="503"/>
      <c r="AD1719" s="503"/>
      <c r="AE1719" s="503"/>
      <c r="AF1719" s="503"/>
    </row>
    <row r="1720" spans="1:32" ht="15.75" customHeight="1">
      <c r="A1720" s="503"/>
      <c r="B1720" s="503"/>
      <c r="C1720" s="510"/>
      <c r="D1720" s="510"/>
      <c r="E1720" s="510"/>
      <c r="F1720" s="746"/>
      <c r="G1720" s="510"/>
      <c r="H1720" s="510"/>
      <c r="I1720" s="510"/>
      <c r="J1720" s="510"/>
      <c r="K1720" s="510"/>
      <c r="L1720" s="510"/>
      <c r="M1720" s="509"/>
      <c r="N1720" s="508"/>
      <c r="O1720" s="507"/>
      <c r="P1720" s="507"/>
      <c r="Q1720" s="505"/>
      <c r="R1720" s="506"/>
      <c r="S1720" s="506"/>
      <c r="T1720" s="506"/>
      <c r="U1720" s="505"/>
      <c r="V1720" s="505"/>
      <c r="W1720" s="505"/>
      <c r="X1720" s="504"/>
      <c r="Y1720" s="503"/>
      <c r="Z1720" s="503"/>
      <c r="AA1720" s="503"/>
      <c r="AB1720" s="503"/>
      <c r="AC1720" s="503"/>
      <c r="AD1720" s="503"/>
      <c r="AE1720" s="503"/>
      <c r="AF1720" s="503"/>
    </row>
    <row r="1721" spans="1:32" ht="15.75" customHeight="1">
      <c r="A1721" s="503"/>
      <c r="B1721" s="503"/>
      <c r="C1721" s="510"/>
      <c r="D1721" s="510"/>
      <c r="E1721" s="510"/>
      <c r="F1721" s="746"/>
      <c r="G1721" s="510"/>
      <c r="H1721" s="510"/>
      <c r="I1721" s="510"/>
      <c r="J1721" s="510"/>
      <c r="K1721" s="510"/>
      <c r="L1721" s="510"/>
      <c r="M1721" s="509"/>
      <c r="N1721" s="508"/>
      <c r="O1721" s="507"/>
      <c r="P1721" s="507"/>
      <c r="Q1721" s="505"/>
      <c r="R1721" s="506"/>
      <c r="S1721" s="506"/>
      <c r="T1721" s="506"/>
      <c r="U1721" s="505"/>
      <c r="V1721" s="505"/>
      <c r="W1721" s="505"/>
      <c r="X1721" s="504"/>
      <c r="Y1721" s="503"/>
      <c r="Z1721" s="503"/>
      <c r="AA1721" s="503"/>
      <c r="AB1721" s="503"/>
      <c r="AC1721" s="503"/>
      <c r="AD1721" s="503"/>
      <c r="AE1721" s="503"/>
      <c r="AF1721" s="503"/>
    </row>
    <row r="1722" spans="1:32" ht="15.75" customHeight="1">
      <c r="A1722" s="503"/>
      <c r="B1722" s="503"/>
      <c r="C1722" s="510"/>
      <c r="D1722" s="510"/>
      <c r="E1722" s="510"/>
      <c r="F1722" s="746"/>
      <c r="G1722" s="510"/>
      <c r="H1722" s="510"/>
      <c r="I1722" s="510"/>
      <c r="J1722" s="510"/>
      <c r="K1722" s="510"/>
      <c r="L1722" s="510"/>
      <c r="M1722" s="509"/>
      <c r="N1722" s="508"/>
      <c r="O1722" s="507"/>
      <c r="P1722" s="507"/>
      <c r="Q1722" s="505"/>
      <c r="R1722" s="506"/>
      <c r="S1722" s="506"/>
      <c r="T1722" s="506"/>
      <c r="U1722" s="505"/>
      <c r="V1722" s="505"/>
      <c r="W1722" s="505"/>
      <c r="X1722" s="504"/>
      <c r="Y1722" s="503"/>
      <c r="Z1722" s="503"/>
      <c r="AA1722" s="503"/>
      <c r="AB1722" s="503"/>
      <c r="AC1722" s="503"/>
      <c r="AD1722" s="503"/>
      <c r="AE1722" s="503"/>
      <c r="AF1722" s="503"/>
    </row>
    <row r="1723" spans="1:32" ht="15.75" customHeight="1">
      <c r="A1723" s="503"/>
      <c r="B1723" s="503"/>
      <c r="C1723" s="510"/>
      <c r="D1723" s="510"/>
      <c r="E1723" s="510"/>
      <c r="F1723" s="746"/>
      <c r="G1723" s="510"/>
      <c r="H1723" s="510"/>
      <c r="I1723" s="510"/>
      <c r="J1723" s="510"/>
      <c r="K1723" s="510"/>
      <c r="L1723" s="510"/>
      <c r="M1723" s="509"/>
      <c r="N1723" s="508"/>
      <c r="O1723" s="507"/>
      <c r="P1723" s="507"/>
      <c r="Q1723" s="505"/>
      <c r="R1723" s="506"/>
      <c r="S1723" s="506"/>
      <c r="T1723" s="506"/>
      <c r="U1723" s="505"/>
      <c r="V1723" s="505"/>
      <c r="W1723" s="505"/>
      <c r="X1723" s="504"/>
      <c r="Y1723" s="503"/>
      <c r="Z1723" s="503"/>
      <c r="AA1723" s="503"/>
      <c r="AB1723" s="503"/>
      <c r="AC1723" s="503"/>
      <c r="AD1723" s="503"/>
      <c r="AE1723" s="503"/>
      <c r="AF1723" s="503"/>
    </row>
    <row r="1724" spans="1:32" ht="15.75" customHeight="1">
      <c r="A1724" s="503"/>
      <c r="B1724" s="503"/>
      <c r="C1724" s="510"/>
      <c r="D1724" s="510"/>
      <c r="E1724" s="510"/>
      <c r="F1724" s="746"/>
      <c r="G1724" s="510"/>
      <c r="H1724" s="510"/>
      <c r="I1724" s="510"/>
      <c r="J1724" s="510"/>
      <c r="K1724" s="510"/>
      <c r="L1724" s="510"/>
      <c r="M1724" s="509"/>
      <c r="N1724" s="508"/>
      <c r="O1724" s="507"/>
      <c r="P1724" s="507"/>
      <c r="Q1724" s="505"/>
      <c r="R1724" s="506"/>
      <c r="S1724" s="506"/>
      <c r="T1724" s="506"/>
      <c r="U1724" s="505"/>
      <c r="V1724" s="505"/>
      <c r="W1724" s="505"/>
      <c r="X1724" s="504"/>
      <c r="Y1724" s="503"/>
      <c r="Z1724" s="503"/>
      <c r="AA1724" s="503"/>
      <c r="AB1724" s="503"/>
      <c r="AC1724" s="503"/>
      <c r="AD1724" s="503"/>
      <c r="AE1724" s="503"/>
      <c r="AF1724" s="503"/>
    </row>
    <row r="1725" spans="1:32" ht="15.75" customHeight="1">
      <c r="A1725" s="503"/>
      <c r="B1725" s="503"/>
      <c r="C1725" s="510"/>
      <c r="D1725" s="510"/>
      <c r="E1725" s="510"/>
      <c r="F1725" s="746"/>
      <c r="G1725" s="510"/>
      <c r="H1725" s="510"/>
      <c r="I1725" s="510"/>
      <c r="J1725" s="510"/>
      <c r="K1725" s="510"/>
      <c r="L1725" s="510"/>
      <c r="M1725" s="509"/>
      <c r="N1725" s="508"/>
      <c r="O1725" s="507"/>
      <c r="P1725" s="507"/>
      <c r="Q1725" s="505"/>
      <c r="R1725" s="506"/>
      <c r="S1725" s="506"/>
      <c r="T1725" s="506"/>
      <c r="U1725" s="505"/>
      <c r="V1725" s="505"/>
      <c r="W1725" s="505"/>
      <c r="X1725" s="504"/>
      <c r="Y1725" s="503"/>
      <c r="Z1725" s="503"/>
      <c r="AA1725" s="503"/>
      <c r="AB1725" s="503"/>
      <c r="AC1725" s="503"/>
      <c r="AD1725" s="503"/>
      <c r="AE1725" s="503"/>
      <c r="AF1725" s="503"/>
    </row>
    <row r="1726" spans="1:32" ht="15.75" customHeight="1">
      <c r="A1726" s="503"/>
      <c r="B1726" s="503"/>
      <c r="C1726" s="510"/>
      <c r="D1726" s="510"/>
      <c r="E1726" s="510"/>
      <c r="F1726" s="746"/>
      <c r="G1726" s="510"/>
      <c r="H1726" s="510"/>
      <c r="I1726" s="510"/>
      <c r="J1726" s="510"/>
      <c r="K1726" s="510"/>
      <c r="L1726" s="510"/>
      <c r="M1726" s="509"/>
      <c r="N1726" s="508"/>
      <c r="O1726" s="507"/>
      <c r="P1726" s="507"/>
      <c r="Q1726" s="505"/>
      <c r="R1726" s="506"/>
      <c r="S1726" s="506"/>
      <c r="T1726" s="506"/>
      <c r="U1726" s="505"/>
      <c r="V1726" s="505"/>
      <c r="W1726" s="505"/>
      <c r="X1726" s="504"/>
      <c r="Y1726" s="503"/>
      <c r="Z1726" s="503"/>
      <c r="AA1726" s="503"/>
      <c r="AB1726" s="503"/>
      <c r="AC1726" s="503"/>
      <c r="AD1726" s="503"/>
      <c r="AE1726" s="503"/>
      <c r="AF1726" s="503"/>
    </row>
    <row r="1727" spans="1:32" ht="15.75" customHeight="1">
      <c r="A1727" s="503"/>
      <c r="B1727" s="503"/>
      <c r="C1727" s="510"/>
      <c r="D1727" s="510"/>
      <c r="E1727" s="510"/>
      <c r="F1727" s="746"/>
      <c r="G1727" s="510"/>
      <c r="H1727" s="510"/>
      <c r="I1727" s="510"/>
      <c r="J1727" s="510"/>
      <c r="K1727" s="510"/>
      <c r="L1727" s="510"/>
      <c r="M1727" s="509"/>
      <c r="N1727" s="508"/>
      <c r="O1727" s="507"/>
      <c r="P1727" s="507"/>
      <c r="Q1727" s="505"/>
      <c r="R1727" s="506"/>
      <c r="S1727" s="506"/>
      <c r="T1727" s="506"/>
      <c r="U1727" s="505"/>
      <c r="V1727" s="505"/>
      <c r="W1727" s="505"/>
      <c r="X1727" s="504"/>
      <c r="Y1727" s="503"/>
      <c r="Z1727" s="503"/>
      <c r="AA1727" s="503"/>
      <c r="AB1727" s="503"/>
      <c r="AC1727" s="503"/>
      <c r="AD1727" s="503"/>
      <c r="AE1727" s="503"/>
      <c r="AF1727" s="503"/>
    </row>
    <row r="1728" spans="1:32" ht="15.75" customHeight="1">
      <c r="A1728" s="503"/>
      <c r="B1728" s="503"/>
      <c r="C1728" s="510"/>
      <c r="D1728" s="510"/>
      <c r="E1728" s="510"/>
      <c r="F1728" s="746"/>
      <c r="G1728" s="510"/>
      <c r="H1728" s="510"/>
      <c r="I1728" s="510"/>
      <c r="J1728" s="510"/>
      <c r="K1728" s="510"/>
      <c r="L1728" s="510"/>
      <c r="M1728" s="509"/>
      <c r="N1728" s="508"/>
      <c r="O1728" s="507"/>
      <c r="P1728" s="507"/>
      <c r="Q1728" s="505"/>
      <c r="R1728" s="506"/>
      <c r="S1728" s="506"/>
      <c r="T1728" s="506"/>
      <c r="U1728" s="505"/>
      <c r="V1728" s="505"/>
      <c r="W1728" s="505"/>
      <c r="X1728" s="504"/>
      <c r="Y1728" s="503"/>
      <c r="Z1728" s="503"/>
      <c r="AA1728" s="503"/>
      <c r="AB1728" s="503"/>
      <c r="AC1728" s="503"/>
      <c r="AD1728" s="503"/>
      <c r="AE1728" s="503"/>
      <c r="AF1728" s="503"/>
    </row>
    <row r="1729" spans="1:32" ht="15.75" customHeight="1">
      <c r="A1729" s="503"/>
      <c r="B1729" s="503"/>
      <c r="C1729" s="510"/>
      <c r="D1729" s="510"/>
      <c r="E1729" s="510"/>
      <c r="F1729" s="746"/>
      <c r="G1729" s="510"/>
      <c r="H1729" s="510"/>
      <c r="I1729" s="510"/>
      <c r="J1729" s="510"/>
      <c r="K1729" s="510"/>
      <c r="L1729" s="510"/>
      <c r="M1729" s="509"/>
      <c r="N1729" s="508"/>
      <c r="O1729" s="507"/>
      <c r="P1729" s="507"/>
      <c r="Q1729" s="505"/>
      <c r="R1729" s="506"/>
      <c r="S1729" s="506"/>
      <c r="T1729" s="506"/>
      <c r="U1729" s="505"/>
      <c r="V1729" s="505"/>
      <c r="W1729" s="505"/>
      <c r="X1729" s="504"/>
      <c r="Y1729" s="503"/>
      <c r="Z1729" s="503"/>
      <c r="AA1729" s="503"/>
      <c r="AB1729" s="503"/>
      <c r="AC1729" s="503"/>
      <c r="AD1729" s="503"/>
      <c r="AE1729" s="503"/>
      <c r="AF1729" s="503"/>
    </row>
    <row r="1730" spans="1:32" ht="15.75" customHeight="1">
      <c r="A1730" s="503"/>
      <c r="B1730" s="503"/>
      <c r="C1730" s="510"/>
      <c r="D1730" s="510"/>
      <c r="E1730" s="510"/>
      <c r="F1730" s="746"/>
      <c r="G1730" s="510"/>
      <c r="H1730" s="510"/>
      <c r="I1730" s="510"/>
      <c r="J1730" s="510"/>
      <c r="K1730" s="510"/>
      <c r="L1730" s="510"/>
      <c r="M1730" s="509"/>
      <c r="N1730" s="508"/>
      <c r="O1730" s="507"/>
      <c r="P1730" s="507"/>
      <c r="Q1730" s="505"/>
      <c r="R1730" s="506"/>
      <c r="S1730" s="506"/>
      <c r="T1730" s="506"/>
      <c r="U1730" s="505"/>
      <c r="V1730" s="505"/>
      <c r="W1730" s="505"/>
      <c r="X1730" s="504"/>
      <c r="Y1730" s="503"/>
      <c r="Z1730" s="503"/>
      <c r="AA1730" s="503"/>
      <c r="AB1730" s="503"/>
      <c r="AC1730" s="503"/>
      <c r="AD1730" s="503"/>
      <c r="AE1730" s="503"/>
      <c r="AF1730" s="503"/>
    </row>
    <row r="1731" spans="1:32" ht="15.75" customHeight="1">
      <c r="A1731" s="503"/>
      <c r="B1731" s="503"/>
      <c r="C1731" s="510"/>
      <c r="D1731" s="510"/>
      <c r="E1731" s="510"/>
      <c r="F1731" s="746"/>
      <c r="G1731" s="510"/>
      <c r="H1731" s="510"/>
      <c r="I1731" s="510"/>
      <c r="J1731" s="510"/>
      <c r="K1731" s="510"/>
      <c r="L1731" s="510"/>
      <c r="M1731" s="509"/>
      <c r="N1731" s="508"/>
      <c r="O1731" s="507"/>
      <c r="P1731" s="507"/>
      <c r="Q1731" s="505"/>
      <c r="R1731" s="506"/>
      <c r="S1731" s="506"/>
      <c r="T1731" s="506"/>
      <c r="U1731" s="505"/>
      <c r="V1731" s="505"/>
      <c r="W1731" s="505"/>
      <c r="X1731" s="504"/>
      <c r="Y1731" s="503"/>
      <c r="Z1731" s="503"/>
      <c r="AA1731" s="503"/>
      <c r="AB1731" s="503"/>
      <c r="AC1731" s="503"/>
      <c r="AD1731" s="503"/>
      <c r="AE1731" s="503"/>
      <c r="AF1731" s="503"/>
    </row>
    <row r="1732" spans="1:32" ht="15.75" customHeight="1">
      <c r="A1732" s="503"/>
      <c r="B1732" s="503"/>
      <c r="C1732" s="510"/>
      <c r="D1732" s="510"/>
      <c r="E1732" s="510"/>
      <c r="F1732" s="746"/>
      <c r="G1732" s="510"/>
      <c r="H1732" s="510"/>
      <c r="I1732" s="510"/>
      <c r="J1732" s="510"/>
      <c r="K1732" s="510"/>
      <c r="L1732" s="510"/>
      <c r="M1732" s="509"/>
      <c r="N1732" s="508"/>
      <c r="O1732" s="507"/>
      <c r="P1732" s="507"/>
      <c r="Q1732" s="505"/>
      <c r="R1732" s="506"/>
      <c r="S1732" s="506"/>
      <c r="T1732" s="506"/>
      <c r="U1732" s="505"/>
      <c r="V1732" s="505"/>
      <c r="W1732" s="505"/>
      <c r="X1732" s="504"/>
      <c r="Y1732" s="503"/>
      <c r="Z1732" s="503"/>
      <c r="AA1732" s="503"/>
      <c r="AB1732" s="503"/>
      <c r="AC1732" s="503"/>
      <c r="AD1732" s="503"/>
      <c r="AE1732" s="503"/>
      <c r="AF1732" s="503"/>
    </row>
    <row r="1733" spans="1:32" ht="15.75" customHeight="1">
      <c r="A1733" s="503"/>
      <c r="B1733" s="503"/>
      <c r="C1733" s="510"/>
      <c r="D1733" s="510"/>
      <c r="E1733" s="510"/>
      <c r="F1733" s="746"/>
      <c r="G1733" s="510"/>
      <c r="H1733" s="510"/>
      <c r="I1733" s="510"/>
      <c r="J1733" s="510"/>
      <c r="K1733" s="510"/>
      <c r="L1733" s="510"/>
      <c r="M1733" s="509"/>
      <c r="N1733" s="508"/>
      <c r="O1733" s="507"/>
      <c r="P1733" s="507"/>
      <c r="Q1733" s="505"/>
      <c r="R1733" s="506"/>
      <c r="S1733" s="506"/>
      <c r="T1733" s="506"/>
      <c r="U1733" s="505"/>
      <c r="V1733" s="505"/>
      <c r="W1733" s="505"/>
      <c r="X1733" s="504"/>
      <c r="Y1733" s="503"/>
      <c r="Z1733" s="503"/>
      <c r="AA1733" s="503"/>
      <c r="AB1733" s="503"/>
      <c r="AC1733" s="503"/>
      <c r="AD1733" s="503"/>
      <c r="AE1733" s="503"/>
      <c r="AF1733" s="503"/>
    </row>
    <row r="1734" spans="1:32" ht="15.75" customHeight="1">
      <c r="A1734" s="503"/>
      <c r="B1734" s="503"/>
      <c r="C1734" s="510"/>
      <c r="D1734" s="510"/>
      <c r="E1734" s="510"/>
      <c r="F1734" s="746"/>
      <c r="G1734" s="510"/>
      <c r="H1734" s="510"/>
      <c r="I1734" s="510"/>
      <c r="J1734" s="510"/>
      <c r="K1734" s="510"/>
      <c r="L1734" s="510"/>
      <c r="M1734" s="509"/>
      <c r="N1734" s="508"/>
      <c r="O1734" s="507"/>
      <c r="P1734" s="507"/>
      <c r="Q1734" s="505"/>
      <c r="R1734" s="506"/>
      <c r="S1734" s="506"/>
      <c r="T1734" s="506"/>
      <c r="U1734" s="505"/>
      <c r="V1734" s="505"/>
      <c r="W1734" s="505"/>
      <c r="X1734" s="504"/>
      <c r="Y1734" s="503"/>
      <c r="Z1734" s="503"/>
      <c r="AA1734" s="503"/>
      <c r="AB1734" s="503"/>
      <c r="AC1734" s="503"/>
      <c r="AD1734" s="503"/>
      <c r="AE1734" s="503"/>
      <c r="AF1734" s="503"/>
    </row>
    <row r="1735" spans="1:32" ht="15.75" customHeight="1">
      <c r="A1735" s="503"/>
      <c r="B1735" s="503"/>
      <c r="C1735" s="510"/>
      <c r="D1735" s="510"/>
      <c r="E1735" s="510"/>
      <c r="F1735" s="746"/>
      <c r="G1735" s="510"/>
      <c r="H1735" s="510"/>
      <c r="I1735" s="510"/>
      <c r="J1735" s="510"/>
      <c r="K1735" s="510"/>
      <c r="L1735" s="510"/>
      <c r="M1735" s="509"/>
      <c r="N1735" s="508"/>
      <c r="O1735" s="507"/>
      <c r="P1735" s="507"/>
      <c r="Q1735" s="505"/>
      <c r="R1735" s="506"/>
      <c r="S1735" s="506"/>
      <c r="T1735" s="506"/>
      <c r="U1735" s="505"/>
      <c r="V1735" s="505"/>
      <c r="W1735" s="505"/>
      <c r="X1735" s="504"/>
      <c r="Y1735" s="503"/>
      <c r="Z1735" s="503"/>
      <c r="AA1735" s="503"/>
      <c r="AB1735" s="503"/>
      <c r="AC1735" s="503"/>
      <c r="AD1735" s="503"/>
      <c r="AE1735" s="503"/>
      <c r="AF1735" s="503"/>
    </row>
    <row r="1736" spans="1:32" ht="15.75" customHeight="1">
      <c r="A1736" s="503"/>
      <c r="B1736" s="503"/>
      <c r="C1736" s="510"/>
      <c r="D1736" s="510"/>
      <c r="E1736" s="510"/>
      <c r="F1736" s="746"/>
      <c r="G1736" s="510"/>
      <c r="H1736" s="510"/>
      <c r="I1736" s="510"/>
      <c r="J1736" s="510"/>
      <c r="K1736" s="510"/>
      <c r="L1736" s="510"/>
      <c r="M1736" s="509"/>
      <c r="N1736" s="508"/>
      <c r="O1736" s="507"/>
      <c r="P1736" s="507"/>
      <c r="Q1736" s="505"/>
      <c r="R1736" s="506"/>
      <c r="S1736" s="506"/>
      <c r="T1736" s="506"/>
      <c r="U1736" s="505"/>
      <c r="V1736" s="505"/>
      <c r="W1736" s="505"/>
      <c r="X1736" s="504"/>
      <c r="Y1736" s="503"/>
      <c r="Z1736" s="503"/>
      <c r="AA1736" s="503"/>
      <c r="AB1736" s="503"/>
      <c r="AC1736" s="503"/>
      <c r="AD1736" s="503"/>
      <c r="AE1736" s="503"/>
      <c r="AF1736" s="503"/>
    </row>
    <row r="1737" spans="1:32" ht="15.75" customHeight="1">
      <c r="A1737" s="503"/>
      <c r="B1737" s="503"/>
      <c r="C1737" s="510"/>
      <c r="D1737" s="510"/>
      <c r="E1737" s="510"/>
      <c r="F1737" s="746"/>
      <c r="G1737" s="510"/>
      <c r="H1737" s="510"/>
      <c r="I1737" s="510"/>
      <c r="J1737" s="510"/>
      <c r="K1737" s="510"/>
      <c r="L1737" s="510"/>
      <c r="M1737" s="509"/>
      <c r="N1737" s="508"/>
      <c r="O1737" s="507"/>
      <c r="P1737" s="507"/>
      <c r="Q1737" s="505"/>
      <c r="R1737" s="506"/>
      <c r="S1737" s="506"/>
      <c r="T1737" s="506"/>
      <c r="U1737" s="505"/>
      <c r="V1737" s="505"/>
      <c r="W1737" s="505"/>
      <c r="X1737" s="504"/>
      <c r="Y1737" s="503"/>
      <c r="Z1737" s="503"/>
      <c r="AA1737" s="503"/>
      <c r="AB1737" s="503"/>
      <c r="AC1737" s="503"/>
      <c r="AD1737" s="503"/>
      <c r="AE1737" s="503"/>
      <c r="AF1737" s="503"/>
    </row>
    <row r="1738" spans="1:32" ht="15.75" customHeight="1">
      <c r="A1738" s="503"/>
      <c r="B1738" s="503"/>
      <c r="C1738" s="510"/>
      <c r="D1738" s="510"/>
      <c r="E1738" s="510"/>
      <c r="F1738" s="746"/>
      <c r="G1738" s="510"/>
      <c r="H1738" s="510"/>
      <c r="I1738" s="510"/>
      <c r="J1738" s="510"/>
      <c r="K1738" s="510"/>
      <c r="L1738" s="510"/>
      <c r="M1738" s="509"/>
      <c r="N1738" s="508"/>
      <c r="O1738" s="507"/>
      <c r="P1738" s="507"/>
      <c r="Q1738" s="505"/>
      <c r="R1738" s="506"/>
      <c r="S1738" s="506"/>
      <c r="T1738" s="506"/>
      <c r="U1738" s="505"/>
      <c r="V1738" s="505"/>
      <c r="W1738" s="505"/>
      <c r="X1738" s="504"/>
      <c r="Y1738" s="503"/>
      <c r="Z1738" s="503"/>
      <c r="AA1738" s="503"/>
      <c r="AB1738" s="503"/>
      <c r="AC1738" s="503"/>
      <c r="AD1738" s="503"/>
      <c r="AE1738" s="503"/>
      <c r="AF1738" s="503"/>
    </row>
    <row r="1739" spans="1:32" ht="15.75" customHeight="1">
      <c r="A1739" s="503"/>
      <c r="B1739" s="503"/>
      <c r="C1739" s="510"/>
      <c r="D1739" s="510"/>
      <c r="E1739" s="510"/>
      <c r="F1739" s="746"/>
      <c r="G1739" s="510"/>
      <c r="H1739" s="510"/>
      <c r="I1739" s="510"/>
      <c r="J1739" s="510"/>
      <c r="K1739" s="510"/>
      <c r="L1739" s="510"/>
      <c r="M1739" s="509"/>
      <c r="N1739" s="508"/>
      <c r="O1739" s="507"/>
      <c r="P1739" s="507"/>
      <c r="Q1739" s="505"/>
      <c r="R1739" s="506"/>
      <c r="S1739" s="506"/>
      <c r="T1739" s="506"/>
      <c r="U1739" s="505"/>
      <c r="V1739" s="505"/>
      <c r="W1739" s="505"/>
      <c r="X1739" s="504"/>
      <c r="Y1739" s="503"/>
      <c r="Z1739" s="503"/>
      <c r="AA1739" s="503"/>
      <c r="AB1739" s="503"/>
      <c r="AC1739" s="503"/>
      <c r="AD1739" s="503"/>
      <c r="AE1739" s="503"/>
      <c r="AF1739" s="503"/>
    </row>
    <row r="1740" spans="1:32" ht="15.75" customHeight="1">
      <c r="A1740" s="503"/>
      <c r="B1740" s="503"/>
      <c r="C1740" s="510"/>
      <c r="D1740" s="510"/>
      <c r="E1740" s="510"/>
      <c r="F1740" s="746"/>
      <c r="G1740" s="510"/>
      <c r="H1740" s="510"/>
      <c r="I1740" s="510"/>
      <c r="J1740" s="510"/>
      <c r="K1740" s="510"/>
      <c r="L1740" s="510"/>
      <c r="M1740" s="509"/>
      <c r="N1740" s="508"/>
      <c r="O1740" s="507"/>
      <c r="P1740" s="507"/>
      <c r="Q1740" s="505"/>
      <c r="R1740" s="506"/>
      <c r="S1740" s="506"/>
      <c r="T1740" s="506"/>
      <c r="U1740" s="505"/>
      <c r="V1740" s="505"/>
      <c r="W1740" s="505"/>
      <c r="X1740" s="504"/>
      <c r="Y1740" s="503"/>
      <c r="Z1740" s="503"/>
      <c r="AA1740" s="503"/>
      <c r="AB1740" s="503"/>
      <c r="AC1740" s="503"/>
      <c r="AD1740" s="503"/>
      <c r="AE1740" s="503"/>
      <c r="AF1740" s="503"/>
    </row>
    <row r="1741" spans="1:32" ht="15.75" customHeight="1">
      <c r="A1741" s="503"/>
      <c r="B1741" s="503"/>
      <c r="C1741" s="510"/>
      <c r="D1741" s="510"/>
      <c r="E1741" s="510"/>
      <c r="F1741" s="746"/>
      <c r="G1741" s="510"/>
      <c r="H1741" s="510"/>
      <c r="I1741" s="510"/>
      <c r="J1741" s="510"/>
      <c r="K1741" s="510"/>
      <c r="L1741" s="510"/>
      <c r="M1741" s="509"/>
      <c r="N1741" s="508"/>
      <c r="O1741" s="507"/>
      <c r="P1741" s="507"/>
      <c r="Q1741" s="505"/>
      <c r="R1741" s="506"/>
      <c r="S1741" s="506"/>
      <c r="T1741" s="506"/>
      <c r="U1741" s="505"/>
      <c r="V1741" s="505"/>
      <c r="W1741" s="505"/>
      <c r="X1741" s="504"/>
      <c r="Y1741" s="503"/>
      <c r="Z1741" s="503"/>
      <c r="AA1741" s="503"/>
      <c r="AB1741" s="503"/>
      <c r="AC1741" s="503"/>
      <c r="AD1741" s="503"/>
      <c r="AE1741" s="503"/>
      <c r="AF1741" s="503"/>
    </row>
    <row r="1742" spans="1:32" ht="15.75" customHeight="1">
      <c r="A1742" s="503"/>
      <c r="B1742" s="503"/>
      <c r="C1742" s="510"/>
      <c r="D1742" s="510"/>
      <c r="E1742" s="510"/>
      <c r="F1742" s="746"/>
      <c r="G1742" s="510"/>
      <c r="H1742" s="510"/>
      <c r="I1742" s="510"/>
      <c r="J1742" s="510"/>
      <c r="K1742" s="510"/>
      <c r="L1742" s="510"/>
      <c r="M1742" s="509"/>
      <c r="N1742" s="508"/>
      <c r="O1742" s="507"/>
      <c r="P1742" s="507"/>
      <c r="Q1742" s="505"/>
      <c r="R1742" s="506"/>
      <c r="S1742" s="506"/>
      <c r="T1742" s="506"/>
      <c r="U1742" s="505"/>
      <c r="V1742" s="505"/>
      <c r="W1742" s="505"/>
      <c r="X1742" s="504"/>
      <c r="Y1742" s="503"/>
      <c r="Z1742" s="503"/>
      <c r="AA1742" s="503"/>
      <c r="AB1742" s="503"/>
      <c r="AC1742" s="503"/>
      <c r="AD1742" s="503"/>
      <c r="AE1742" s="503"/>
      <c r="AF1742" s="503"/>
    </row>
    <row r="1743" spans="1:32" ht="15.75" customHeight="1">
      <c r="A1743" s="503"/>
      <c r="B1743" s="503"/>
      <c r="C1743" s="510"/>
      <c r="D1743" s="510"/>
      <c r="E1743" s="510"/>
      <c r="F1743" s="746"/>
      <c r="G1743" s="510"/>
      <c r="H1743" s="510"/>
      <c r="I1743" s="510"/>
      <c r="J1743" s="510"/>
      <c r="K1743" s="510"/>
      <c r="L1743" s="510"/>
      <c r="M1743" s="509"/>
      <c r="N1743" s="508"/>
      <c r="O1743" s="507"/>
      <c r="P1743" s="507"/>
      <c r="Q1743" s="505"/>
      <c r="R1743" s="506"/>
      <c r="S1743" s="506"/>
      <c r="T1743" s="506"/>
      <c r="U1743" s="505"/>
      <c r="V1743" s="505"/>
      <c r="W1743" s="505"/>
      <c r="X1743" s="504"/>
      <c r="Y1743" s="503"/>
      <c r="Z1743" s="503"/>
      <c r="AA1743" s="503"/>
      <c r="AB1743" s="503"/>
      <c r="AC1743" s="503"/>
      <c r="AD1743" s="503"/>
      <c r="AE1743" s="503"/>
      <c r="AF1743" s="503"/>
    </row>
    <row r="1744" spans="1:32" ht="15.75" customHeight="1">
      <c r="A1744" s="503"/>
      <c r="B1744" s="503"/>
      <c r="C1744" s="510"/>
      <c r="D1744" s="510"/>
      <c r="E1744" s="510"/>
      <c r="F1744" s="746"/>
      <c r="G1744" s="510"/>
      <c r="H1744" s="510"/>
      <c r="I1744" s="510"/>
      <c r="J1744" s="510"/>
      <c r="K1744" s="510"/>
      <c r="L1744" s="510"/>
      <c r="M1744" s="509"/>
      <c r="N1744" s="508"/>
      <c r="O1744" s="507"/>
      <c r="P1744" s="507"/>
      <c r="Q1744" s="505"/>
      <c r="R1744" s="506"/>
      <c r="S1744" s="506"/>
      <c r="T1744" s="506"/>
      <c r="U1744" s="505"/>
      <c r="V1744" s="505"/>
      <c r="W1744" s="505"/>
      <c r="X1744" s="504"/>
      <c r="Y1744" s="503"/>
      <c r="Z1744" s="503"/>
      <c r="AA1744" s="503"/>
      <c r="AB1744" s="503"/>
      <c r="AC1744" s="503"/>
      <c r="AD1744" s="503"/>
      <c r="AE1744" s="503"/>
      <c r="AF1744" s="503"/>
    </row>
    <row r="1745" spans="1:32" ht="15.75" customHeight="1">
      <c r="A1745" s="503"/>
      <c r="B1745" s="503"/>
      <c r="C1745" s="510"/>
      <c r="D1745" s="510"/>
      <c r="E1745" s="510"/>
      <c r="F1745" s="746"/>
      <c r="G1745" s="510"/>
      <c r="H1745" s="510"/>
      <c r="I1745" s="510"/>
      <c r="J1745" s="510"/>
      <c r="K1745" s="510"/>
      <c r="L1745" s="510"/>
      <c r="M1745" s="509"/>
      <c r="N1745" s="508"/>
      <c r="O1745" s="507"/>
      <c r="P1745" s="507"/>
      <c r="Q1745" s="505"/>
      <c r="R1745" s="506"/>
      <c r="S1745" s="506"/>
      <c r="T1745" s="506"/>
      <c r="U1745" s="505"/>
      <c r="V1745" s="505"/>
      <c r="W1745" s="505"/>
      <c r="X1745" s="504"/>
      <c r="Y1745" s="503"/>
      <c r="Z1745" s="503"/>
      <c r="AA1745" s="503"/>
      <c r="AB1745" s="503"/>
      <c r="AC1745" s="503"/>
      <c r="AD1745" s="503"/>
      <c r="AE1745" s="503"/>
      <c r="AF1745" s="503"/>
    </row>
    <row r="1746" spans="1:32" ht="15.75" customHeight="1">
      <c r="A1746" s="503"/>
      <c r="B1746" s="503"/>
      <c r="C1746" s="510"/>
      <c r="D1746" s="510"/>
      <c r="E1746" s="510"/>
      <c r="F1746" s="746"/>
      <c r="G1746" s="510"/>
      <c r="H1746" s="510"/>
      <c r="I1746" s="510"/>
      <c r="J1746" s="510"/>
      <c r="K1746" s="510"/>
      <c r="L1746" s="510"/>
      <c r="M1746" s="509"/>
      <c r="N1746" s="508"/>
      <c r="O1746" s="507"/>
      <c r="P1746" s="507"/>
      <c r="Q1746" s="505"/>
      <c r="R1746" s="506"/>
      <c r="S1746" s="506"/>
      <c r="T1746" s="506"/>
      <c r="U1746" s="505"/>
      <c r="V1746" s="505"/>
      <c r="W1746" s="505"/>
      <c r="X1746" s="504"/>
      <c r="Y1746" s="503"/>
      <c r="Z1746" s="503"/>
      <c r="AA1746" s="503"/>
      <c r="AB1746" s="503"/>
      <c r="AC1746" s="503"/>
      <c r="AD1746" s="503"/>
      <c r="AE1746" s="503"/>
      <c r="AF1746" s="503"/>
    </row>
    <row r="1747" spans="1:32" ht="15.75" customHeight="1">
      <c r="A1747" s="503"/>
      <c r="B1747" s="503"/>
      <c r="C1747" s="510"/>
      <c r="D1747" s="510"/>
      <c r="E1747" s="510"/>
      <c r="F1747" s="746"/>
      <c r="G1747" s="510"/>
      <c r="H1747" s="510"/>
      <c r="I1747" s="510"/>
      <c r="J1747" s="510"/>
      <c r="K1747" s="510"/>
      <c r="L1747" s="510"/>
      <c r="M1747" s="509"/>
      <c r="N1747" s="508"/>
      <c r="O1747" s="507"/>
      <c r="P1747" s="507"/>
      <c r="Q1747" s="505"/>
      <c r="R1747" s="506"/>
      <c r="S1747" s="506"/>
      <c r="T1747" s="506"/>
      <c r="U1747" s="505"/>
      <c r="V1747" s="505"/>
      <c r="W1747" s="505"/>
      <c r="X1747" s="504"/>
      <c r="Y1747" s="503"/>
      <c r="Z1747" s="503"/>
      <c r="AA1747" s="503"/>
      <c r="AB1747" s="503"/>
      <c r="AC1747" s="503"/>
      <c r="AD1747" s="503"/>
      <c r="AE1747" s="503"/>
      <c r="AF1747" s="503"/>
    </row>
    <row r="1748" spans="1:32" ht="15.75" customHeight="1">
      <c r="A1748" s="503"/>
      <c r="B1748" s="503"/>
      <c r="C1748" s="510"/>
      <c r="D1748" s="510"/>
      <c r="E1748" s="510"/>
      <c r="F1748" s="746"/>
      <c r="G1748" s="510"/>
      <c r="H1748" s="510"/>
      <c r="I1748" s="510"/>
      <c r="J1748" s="510"/>
      <c r="K1748" s="510"/>
      <c r="L1748" s="510"/>
      <c r="M1748" s="509"/>
      <c r="N1748" s="508"/>
      <c r="O1748" s="507"/>
      <c r="P1748" s="507"/>
      <c r="Q1748" s="505"/>
      <c r="R1748" s="506"/>
      <c r="S1748" s="506"/>
      <c r="T1748" s="506"/>
      <c r="U1748" s="505"/>
      <c r="V1748" s="505"/>
      <c r="W1748" s="505"/>
      <c r="X1748" s="504"/>
      <c r="Y1748" s="503"/>
      <c r="Z1748" s="503"/>
      <c r="AA1748" s="503"/>
      <c r="AB1748" s="503"/>
      <c r="AC1748" s="503"/>
      <c r="AD1748" s="503"/>
      <c r="AE1748" s="503"/>
      <c r="AF1748" s="503"/>
    </row>
    <row r="1749" spans="1:32" ht="15.75" customHeight="1">
      <c r="A1749" s="503"/>
      <c r="B1749" s="503"/>
      <c r="C1749" s="510"/>
      <c r="D1749" s="510"/>
      <c r="E1749" s="510"/>
      <c r="F1749" s="746"/>
      <c r="G1749" s="510"/>
      <c r="H1749" s="510"/>
      <c r="I1749" s="510"/>
      <c r="J1749" s="510"/>
      <c r="K1749" s="510"/>
      <c r="L1749" s="510"/>
      <c r="M1749" s="509"/>
      <c r="N1749" s="508"/>
      <c r="O1749" s="507"/>
      <c r="P1749" s="507"/>
      <c r="Q1749" s="505"/>
      <c r="R1749" s="506"/>
      <c r="S1749" s="506"/>
      <c r="T1749" s="506"/>
      <c r="U1749" s="505"/>
      <c r="V1749" s="505"/>
      <c r="W1749" s="505"/>
      <c r="X1749" s="504"/>
      <c r="Y1749" s="503"/>
      <c r="Z1749" s="503"/>
      <c r="AA1749" s="503"/>
      <c r="AB1749" s="503"/>
      <c r="AC1749" s="503"/>
      <c r="AD1749" s="503"/>
      <c r="AE1749" s="503"/>
      <c r="AF1749" s="503"/>
    </row>
    <row r="1750" spans="1:32" ht="15.75" customHeight="1">
      <c r="A1750" s="503"/>
      <c r="B1750" s="503"/>
      <c r="C1750" s="510"/>
      <c r="D1750" s="510"/>
      <c r="E1750" s="510"/>
      <c r="F1750" s="746"/>
      <c r="G1750" s="510"/>
      <c r="H1750" s="510"/>
      <c r="I1750" s="510"/>
      <c r="J1750" s="510"/>
      <c r="K1750" s="510"/>
      <c r="L1750" s="510"/>
      <c r="M1750" s="509"/>
      <c r="N1750" s="508"/>
      <c r="O1750" s="507"/>
      <c r="P1750" s="507"/>
      <c r="Q1750" s="505"/>
      <c r="R1750" s="506"/>
      <c r="S1750" s="506"/>
      <c r="T1750" s="506"/>
      <c r="U1750" s="505"/>
      <c r="V1750" s="505"/>
      <c r="W1750" s="505"/>
      <c r="X1750" s="504"/>
      <c r="Y1750" s="503"/>
      <c r="Z1750" s="503"/>
      <c r="AA1750" s="503"/>
      <c r="AB1750" s="503"/>
      <c r="AC1750" s="503"/>
      <c r="AD1750" s="503"/>
      <c r="AE1750" s="503"/>
      <c r="AF1750" s="503"/>
    </row>
    <row r="1751" spans="1:32" ht="15.75" customHeight="1">
      <c r="A1751" s="503"/>
      <c r="B1751" s="503"/>
      <c r="C1751" s="510"/>
      <c r="D1751" s="510"/>
      <c r="E1751" s="510"/>
      <c r="F1751" s="746"/>
      <c r="G1751" s="510"/>
      <c r="H1751" s="510"/>
      <c r="I1751" s="510"/>
      <c r="J1751" s="510"/>
      <c r="K1751" s="510"/>
      <c r="L1751" s="510"/>
      <c r="M1751" s="509"/>
      <c r="N1751" s="508"/>
      <c r="O1751" s="507"/>
      <c r="P1751" s="507"/>
      <c r="Q1751" s="505"/>
      <c r="R1751" s="506"/>
      <c r="S1751" s="506"/>
      <c r="T1751" s="506"/>
      <c r="U1751" s="505"/>
      <c r="V1751" s="505"/>
      <c r="W1751" s="505"/>
      <c r="X1751" s="504"/>
      <c r="Y1751" s="503"/>
      <c r="Z1751" s="503"/>
      <c r="AA1751" s="503"/>
      <c r="AB1751" s="503"/>
      <c r="AC1751" s="503"/>
      <c r="AD1751" s="503"/>
      <c r="AE1751" s="503"/>
      <c r="AF1751" s="503"/>
    </row>
    <row r="1752" spans="1:32" ht="15.75" customHeight="1">
      <c r="A1752" s="503"/>
      <c r="B1752" s="503"/>
      <c r="C1752" s="510"/>
      <c r="D1752" s="510"/>
      <c r="E1752" s="510"/>
      <c r="F1752" s="746"/>
      <c r="G1752" s="510"/>
      <c r="H1752" s="510"/>
      <c r="I1752" s="510"/>
      <c r="J1752" s="510"/>
      <c r="K1752" s="510"/>
      <c r="L1752" s="510"/>
      <c r="M1752" s="509"/>
      <c r="N1752" s="508"/>
      <c r="O1752" s="507"/>
      <c r="P1752" s="507"/>
      <c r="Q1752" s="505"/>
      <c r="R1752" s="506"/>
      <c r="S1752" s="506"/>
      <c r="T1752" s="506"/>
      <c r="U1752" s="505"/>
      <c r="V1752" s="505"/>
      <c r="W1752" s="505"/>
      <c r="X1752" s="504"/>
      <c r="Y1752" s="503"/>
      <c r="Z1752" s="503"/>
      <c r="AA1752" s="503"/>
      <c r="AB1752" s="503"/>
      <c r="AC1752" s="503"/>
      <c r="AD1752" s="503"/>
      <c r="AE1752" s="503"/>
      <c r="AF1752" s="503"/>
    </row>
    <row r="1753" spans="1:32" ht="15.75" customHeight="1">
      <c r="A1753" s="503"/>
      <c r="B1753" s="503"/>
      <c r="C1753" s="510"/>
      <c r="D1753" s="510"/>
      <c r="E1753" s="510"/>
      <c r="F1753" s="746"/>
      <c r="G1753" s="510"/>
      <c r="H1753" s="510"/>
      <c r="I1753" s="510"/>
      <c r="J1753" s="510"/>
      <c r="K1753" s="510"/>
      <c r="L1753" s="510"/>
      <c r="M1753" s="509"/>
      <c r="N1753" s="508"/>
      <c r="O1753" s="507"/>
      <c r="P1753" s="507"/>
      <c r="Q1753" s="505"/>
      <c r="R1753" s="506"/>
      <c r="S1753" s="506"/>
      <c r="T1753" s="506"/>
      <c r="U1753" s="505"/>
      <c r="V1753" s="505"/>
      <c r="W1753" s="505"/>
      <c r="X1753" s="504"/>
      <c r="Y1753" s="503"/>
      <c r="Z1753" s="503"/>
      <c r="AA1753" s="503"/>
      <c r="AB1753" s="503"/>
      <c r="AC1753" s="503"/>
      <c r="AD1753" s="503"/>
      <c r="AE1753" s="503"/>
      <c r="AF1753" s="503"/>
    </row>
    <row r="1754" spans="1:32" ht="15.75" customHeight="1">
      <c r="A1754" s="503"/>
      <c r="B1754" s="503"/>
      <c r="C1754" s="510"/>
      <c r="D1754" s="510"/>
      <c r="E1754" s="510"/>
      <c r="F1754" s="746"/>
      <c r="G1754" s="510"/>
      <c r="H1754" s="510"/>
      <c r="I1754" s="510"/>
      <c r="J1754" s="510"/>
      <c r="K1754" s="510"/>
      <c r="L1754" s="510"/>
      <c r="M1754" s="509"/>
      <c r="N1754" s="508"/>
      <c r="O1754" s="507"/>
      <c r="P1754" s="507"/>
      <c r="Q1754" s="505"/>
      <c r="R1754" s="506"/>
      <c r="S1754" s="506"/>
      <c r="T1754" s="506"/>
      <c r="U1754" s="505"/>
      <c r="V1754" s="505"/>
      <c r="W1754" s="505"/>
      <c r="X1754" s="504"/>
      <c r="Y1754" s="503"/>
      <c r="Z1754" s="503"/>
      <c r="AA1754" s="503"/>
      <c r="AB1754" s="503"/>
      <c r="AC1754" s="503"/>
      <c r="AD1754" s="503"/>
      <c r="AE1754" s="503"/>
      <c r="AF1754" s="503"/>
    </row>
    <row r="1755" spans="1:32" ht="15.75" customHeight="1">
      <c r="A1755" s="503"/>
      <c r="B1755" s="503"/>
      <c r="C1755" s="510"/>
      <c r="D1755" s="510"/>
      <c r="E1755" s="510"/>
      <c r="F1755" s="746"/>
      <c r="G1755" s="510"/>
      <c r="H1755" s="510"/>
      <c r="I1755" s="510"/>
      <c r="J1755" s="510"/>
      <c r="K1755" s="510"/>
      <c r="L1755" s="510"/>
      <c r="M1755" s="509"/>
      <c r="N1755" s="508"/>
      <c r="O1755" s="507"/>
      <c r="P1755" s="507"/>
      <c r="Q1755" s="505"/>
      <c r="R1755" s="506"/>
      <c r="S1755" s="506"/>
      <c r="T1755" s="506"/>
      <c r="U1755" s="505"/>
      <c r="V1755" s="505"/>
      <c r="W1755" s="505"/>
      <c r="X1755" s="504"/>
      <c r="Y1755" s="503"/>
      <c r="Z1755" s="503"/>
      <c r="AA1755" s="503"/>
      <c r="AB1755" s="503"/>
      <c r="AC1755" s="503"/>
      <c r="AD1755" s="503"/>
      <c r="AE1755" s="503"/>
      <c r="AF1755" s="503"/>
    </row>
    <row r="1756" spans="1:32" ht="15.75" customHeight="1">
      <c r="A1756" s="503"/>
      <c r="B1756" s="503"/>
      <c r="C1756" s="510"/>
      <c r="D1756" s="510"/>
      <c r="E1756" s="510"/>
      <c r="F1756" s="746"/>
      <c r="G1756" s="510"/>
      <c r="H1756" s="510"/>
      <c r="I1756" s="510"/>
      <c r="J1756" s="510"/>
      <c r="K1756" s="510"/>
      <c r="L1756" s="510"/>
      <c r="M1756" s="509"/>
      <c r="N1756" s="508"/>
      <c r="O1756" s="507"/>
      <c r="P1756" s="507"/>
      <c r="Q1756" s="505"/>
      <c r="R1756" s="506"/>
      <c r="S1756" s="506"/>
      <c r="T1756" s="506"/>
      <c r="U1756" s="505"/>
      <c r="V1756" s="505"/>
      <c r="W1756" s="505"/>
      <c r="X1756" s="504"/>
      <c r="Y1756" s="503"/>
      <c r="Z1756" s="503"/>
      <c r="AA1756" s="503"/>
      <c r="AB1756" s="503"/>
      <c r="AC1756" s="503"/>
      <c r="AD1756" s="503"/>
      <c r="AE1756" s="503"/>
      <c r="AF1756" s="503"/>
    </row>
    <row r="1757" spans="1:32" ht="15.75" customHeight="1">
      <c r="A1757" s="503"/>
      <c r="B1757" s="503"/>
      <c r="C1757" s="510"/>
      <c r="D1757" s="510"/>
      <c r="E1757" s="510"/>
      <c r="F1757" s="746"/>
      <c r="G1757" s="510"/>
      <c r="H1757" s="510"/>
      <c r="I1757" s="510"/>
      <c r="J1757" s="510"/>
      <c r="K1757" s="510"/>
      <c r="L1757" s="510"/>
      <c r="M1757" s="509"/>
      <c r="N1757" s="508"/>
      <c r="O1757" s="507"/>
      <c r="P1757" s="507"/>
      <c r="Q1757" s="505"/>
      <c r="R1757" s="506"/>
      <c r="S1757" s="506"/>
      <c r="T1757" s="506"/>
      <c r="U1757" s="505"/>
      <c r="V1757" s="505"/>
      <c r="W1757" s="505"/>
      <c r="X1757" s="504"/>
      <c r="Y1757" s="503"/>
      <c r="Z1757" s="503"/>
      <c r="AA1757" s="503"/>
      <c r="AB1757" s="503"/>
      <c r="AC1757" s="503"/>
      <c r="AD1757" s="503"/>
      <c r="AE1757" s="503"/>
      <c r="AF1757" s="503"/>
    </row>
    <row r="1758" spans="1:32" ht="15.75" customHeight="1">
      <c r="A1758" s="503"/>
      <c r="B1758" s="503"/>
      <c r="C1758" s="510"/>
      <c r="D1758" s="510"/>
      <c r="E1758" s="510"/>
      <c r="F1758" s="746"/>
      <c r="G1758" s="510"/>
      <c r="H1758" s="510"/>
      <c r="I1758" s="510"/>
      <c r="J1758" s="510"/>
      <c r="K1758" s="510"/>
      <c r="L1758" s="510"/>
      <c r="M1758" s="509"/>
      <c r="N1758" s="508"/>
      <c r="O1758" s="507"/>
      <c r="P1758" s="507"/>
      <c r="Q1758" s="505"/>
      <c r="R1758" s="506"/>
      <c r="S1758" s="506"/>
      <c r="T1758" s="506"/>
      <c r="U1758" s="505"/>
      <c r="V1758" s="505"/>
      <c r="W1758" s="505"/>
      <c r="X1758" s="504"/>
      <c r="Y1758" s="503"/>
      <c r="Z1758" s="503"/>
      <c r="AA1758" s="503"/>
      <c r="AB1758" s="503"/>
      <c r="AC1758" s="503"/>
      <c r="AD1758" s="503"/>
      <c r="AE1758" s="503"/>
      <c r="AF1758" s="503"/>
    </row>
    <row r="1759" spans="1:32" ht="15.75" customHeight="1">
      <c r="A1759" s="503"/>
      <c r="B1759" s="503"/>
      <c r="C1759" s="510"/>
      <c r="D1759" s="510"/>
      <c r="E1759" s="510"/>
      <c r="F1759" s="746"/>
      <c r="G1759" s="510"/>
      <c r="H1759" s="510"/>
      <c r="I1759" s="510"/>
      <c r="J1759" s="510"/>
      <c r="K1759" s="510"/>
      <c r="L1759" s="510"/>
      <c r="M1759" s="509"/>
      <c r="N1759" s="508"/>
      <c r="O1759" s="507"/>
      <c r="P1759" s="507"/>
      <c r="Q1759" s="505"/>
      <c r="R1759" s="506"/>
      <c r="S1759" s="506"/>
      <c r="T1759" s="506"/>
      <c r="U1759" s="505"/>
      <c r="V1759" s="505"/>
      <c r="W1759" s="505"/>
      <c r="X1759" s="504"/>
      <c r="Y1759" s="503"/>
      <c r="Z1759" s="503"/>
      <c r="AA1759" s="503"/>
      <c r="AB1759" s="503"/>
      <c r="AC1759" s="503"/>
      <c r="AD1759" s="503"/>
      <c r="AE1759" s="503"/>
      <c r="AF1759" s="503"/>
    </row>
    <row r="1760" spans="1:32" ht="15.75" customHeight="1">
      <c r="A1760" s="503"/>
      <c r="B1760" s="503"/>
      <c r="C1760" s="510"/>
      <c r="D1760" s="510"/>
      <c r="E1760" s="510"/>
      <c r="F1760" s="746"/>
      <c r="G1760" s="510"/>
      <c r="H1760" s="510"/>
      <c r="I1760" s="510"/>
      <c r="J1760" s="510"/>
      <c r="K1760" s="510"/>
      <c r="L1760" s="510"/>
      <c r="M1760" s="509"/>
      <c r="N1760" s="508"/>
      <c r="O1760" s="507"/>
      <c r="P1760" s="507"/>
      <c r="Q1760" s="505"/>
      <c r="R1760" s="506"/>
      <c r="S1760" s="506"/>
      <c r="T1760" s="506"/>
      <c r="U1760" s="505"/>
      <c r="V1760" s="505"/>
      <c r="W1760" s="505"/>
      <c r="X1760" s="504"/>
      <c r="Y1760" s="503"/>
      <c r="Z1760" s="503"/>
      <c r="AA1760" s="503"/>
      <c r="AB1760" s="503"/>
      <c r="AC1760" s="503"/>
      <c r="AD1760" s="503"/>
      <c r="AE1760" s="503"/>
      <c r="AF1760" s="503"/>
    </row>
    <row r="1761" spans="1:32" ht="15.75" customHeight="1">
      <c r="A1761" s="503"/>
      <c r="B1761" s="503"/>
      <c r="C1761" s="510"/>
      <c r="D1761" s="510"/>
      <c r="E1761" s="510"/>
      <c r="F1761" s="746"/>
      <c r="G1761" s="510"/>
      <c r="H1761" s="510"/>
      <c r="I1761" s="510"/>
      <c r="J1761" s="510"/>
      <c r="K1761" s="510"/>
      <c r="L1761" s="510"/>
      <c r="M1761" s="509"/>
      <c r="N1761" s="508"/>
      <c r="O1761" s="507"/>
      <c r="P1761" s="507"/>
      <c r="Q1761" s="505"/>
      <c r="R1761" s="506"/>
      <c r="S1761" s="506"/>
      <c r="T1761" s="506"/>
      <c r="U1761" s="505"/>
      <c r="V1761" s="505"/>
      <c r="W1761" s="505"/>
      <c r="X1761" s="504"/>
      <c r="Y1761" s="503"/>
      <c r="Z1761" s="503"/>
      <c r="AA1761" s="503"/>
      <c r="AB1761" s="503"/>
      <c r="AC1761" s="503"/>
      <c r="AD1761" s="503"/>
      <c r="AE1761" s="503"/>
      <c r="AF1761" s="503"/>
    </row>
    <row r="1762" spans="1:32" ht="15.75" customHeight="1">
      <c r="A1762" s="503"/>
      <c r="B1762" s="503"/>
      <c r="C1762" s="510"/>
      <c r="D1762" s="510"/>
      <c r="E1762" s="510"/>
      <c r="F1762" s="746"/>
      <c r="G1762" s="510"/>
      <c r="H1762" s="510"/>
      <c r="I1762" s="510"/>
      <c r="J1762" s="510"/>
      <c r="K1762" s="510"/>
      <c r="L1762" s="510"/>
      <c r="M1762" s="509"/>
      <c r="N1762" s="508"/>
      <c r="O1762" s="507"/>
      <c r="P1762" s="507"/>
      <c r="Q1762" s="505"/>
      <c r="R1762" s="506"/>
      <c r="S1762" s="506"/>
      <c r="T1762" s="506"/>
      <c r="U1762" s="505"/>
      <c r="V1762" s="505"/>
      <c r="W1762" s="505"/>
      <c r="X1762" s="504"/>
      <c r="Y1762" s="503"/>
      <c r="Z1762" s="503"/>
      <c r="AA1762" s="503"/>
      <c r="AB1762" s="503"/>
      <c r="AC1762" s="503"/>
      <c r="AD1762" s="503"/>
      <c r="AE1762" s="503"/>
      <c r="AF1762" s="503"/>
    </row>
    <row r="1763" spans="1:32" ht="15.75" customHeight="1">
      <c r="A1763" s="503"/>
      <c r="B1763" s="503"/>
      <c r="C1763" s="510"/>
      <c r="D1763" s="510"/>
      <c r="E1763" s="510"/>
      <c r="F1763" s="746"/>
      <c r="G1763" s="510"/>
      <c r="H1763" s="510"/>
      <c r="I1763" s="510"/>
      <c r="J1763" s="510"/>
      <c r="K1763" s="510"/>
      <c r="L1763" s="510"/>
      <c r="M1763" s="509"/>
      <c r="N1763" s="508"/>
      <c r="O1763" s="507"/>
      <c r="P1763" s="507"/>
      <c r="Q1763" s="505"/>
      <c r="R1763" s="506"/>
      <c r="S1763" s="506"/>
      <c r="T1763" s="506"/>
      <c r="U1763" s="505"/>
      <c r="V1763" s="505"/>
      <c r="W1763" s="505"/>
      <c r="X1763" s="504"/>
      <c r="Y1763" s="503"/>
      <c r="Z1763" s="503"/>
      <c r="AA1763" s="503"/>
      <c r="AB1763" s="503"/>
      <c r="AC1763" s="503"/>
      <c r="AD1763" s="503"/>
      <c r="AE1763" s="503"/>
      <c r="AF1763" s="503"/>
    </row>
    <row r="1764" spans="1:32" ht="15.75" customHeight="1">
      <c r="A1764" s="503"/>
      <c r="B1764" s="503"/>
      <c r="C1764" s="510"/>
      <c r="D1764" s="510"/>
      <c r="E1764" s="510"/>
      <c r="F1764" s="746"/>
      <c r="G1764" s="510"/>
      <c r="H1764" s="510"/>
      <c r="I1764" s="510"/>
      <c r="J1764" s="510"/>
      <c r="K1764" s="510"/>
      <c r="L1764" s="510"/>
      <c r="M1764" s="509"/>
      <c r="N1764" s="508"/>
      <c r="O1764" s="507"/>
      <c r="P1764" s="507"/>
      <c r="Q1764" s="505"/>
      <c r="R1764" s="506"/>
      <c r="S1764" s="506"/>
      <c r="T1764" s="506"/>
      <c r="U1764" s="505"/>
      <c r="V1764" s="505"/>
      <c r="W1764" s="505"/>
      <c r="X1764" s="504"/>
      <c r="Y1764" s="503"/>
      <c r="Z1764" s="503"/>
      <c r="AA1764" s="503"/>
      <c r="AB1764" s="503"/>
      <c r="AC1764" s="503"/>
      <c r="AD1764" s="503"/>
      <c r="AE1764" s="503"/>
      <c r="AF1764" s="503"/>
    </row>
    <row r="1765" spans="1:32" ht="15.75" customHeight="1">
      <c r="A1765" s="503"/>
      <c r="B1765" s="503"/>
      <c r="C1765" s="510"/>
      <c r="D1765" s="510"/>
      <c r="E1765" s="510"/>
      <c r="F1765" s="746"/>
      <c r="G1765" s="510"/>
      <c r="H1765" s="510"/>
      <c r="I1765" s="510"/>
      <c r="J1765" s="510"/>
      <c r="K1765" s="510"/>
      <c r="L1765" s="510"/>
      <c r="M1765" s="509"/>
      <c r="N1765" s="508"/>
      <c r="O1765" s="507"/>
      <c r="P1765" s="507"/>
      <c r="Q1765" s="505"/>
      <c r="R1765" s="506"/>
      <c r="S1765" s="506"/>
      <c r="T1765" s="506"/>
      <c r="U1765" s="505"/>
      <c r="V1765" s="505"/>
      <c r="W1765" s="505"/>
      <c r="X1765" s="504"/>
      <c r="Y1765" s="503"/>
      <c r="Z1765" s="503"/>
      <c r="AA1765" s="503"/>
      <c r="AB1765" s="503"/>
      <c r="AC1765" s="503"/>
      <c r="AD1765" s="503"/>
      <c r="AE1765" s="503"/>
      <c r="AF1765" s="503"/>
    </row>
    <row r="1766" spans="1:32" ht="15.75" customHeight="1">
      <c r="A1766" s="503"/>
      <c r="B1766" s="503"/>
      <c r="C1766" s="510"/>
      <c r="D1766" s="510"/>
      <c r="E1766" s="510"/>
      <c r="F1766" s="746"/>
      <c r="G1766" s="510"/>
      <c r="H1766" s="510"/>
      <c r="I1766" s="510"/>
      <c r="J1766" s="510"/>
      <c r="K1766" s="510"/>
      <c r="L1766" s="510"/>
      <c r="M1766" s="509"/>
      <c r="N1766" s="508"/>
      <c r="O1766" s="507"/>
      <c r="P1766" s="507"/>
      <c r="Q1766" s="505"/>
      <c r="R1766" s="506"/>
      <c r="S1766" s="506"/>
      <c r="T1766" s="506"/>
      <c r="U1766" s="505"/>
      <c r="V1766" s="505"/>
      <c r="W1766" s="505"/>
      <c r="X1766" s="504"/>
      <c r="Y1766" s="503"/>
      <c r="Z1766" s="503"/>
      <c r="AA1766" s="503"/>
      <c r="AB1766" s="503"/>
      <c r="AC1766" s="503"/>
      <c r="AD1766" s="503"/>
      <c r="AE1766" s="503"/>
      <c r="AF1766" s="503"/>
    </row>
    <row r="1767" spans="1:32" ht="15.75" customHeight="1">
      <c r="A1767" s="503"/>
      <c r="B1767" s="503"/>
      <c r="C1767" s="510"/>
      <c r="D1767" s="510"/>
      <c r="E1767" s="510"/>
      <c r="F1767" s="746"/>
      <c r="G1767" s="510"/>
      <c r="H1767" s="510"/>
      <c r="I1767" s="510"/>
      <c r="J1767" s="510"/>
      <c r="K1767" s="510"/>
      <c r="L1767" s="510"/>
      <c r="M1767" s="509"/>
      <c r="N1767" s="508"/>
      <c r="O1767" s="507"/>
      <c r="P1767" s="507"/>
      <c r="Q1767" s="505"/>
      <c r="R1767" s="506"/>
      <c r="S1767" s="506"/>
      <c r="T1767" s="506"/>
      <c r="U1767" s="505"/>
      <c r="V1767" s="505"/>
      <c r="W1767" s="505"/>
      <c r="X1767" s="504"/>
      <c r="Y1767" s="503"/>
      <c r="Z1767" s="503"/>
      <c r="AA1767" s="503"/>
      <c r="AB1767" s="503"/>
      <c r="AC1767" s="503"/>
      <c r="AD1767" s="503"/>
      <c r="AE1767" s="503"/>
      <c r="AF1767" s="503"/>
    </row>
    <row r="1768" spans="1:32" ht="15.75" customHeight="1">
      <c r="A1768" s="503"/>
      <c r="B1768" s="503"/>
      <c r="C1768" s="510"/>
      <c r="D1768" s="510"/>
      <c r="E1768" s="510"/>
      <c r="F1768" s="746"/>
      <c r="G1768" s="510"/>
      <c r="H1768" s="510"/>
      <c r="I1768" s="510"/>
      <c r="J1768" s="510"/>
      <c r="K1768" s="510"/>
      <c r="L1768" s="510"/>
      <c r="M1768" s="509"/>
      <c r="N1768" s="508"/>
      <c r="O1768" s="507"/>
      <c r="P1768" s="507"/>
      <c r="Q1768" s="505"/>
      <c r="R1768" s="506"/>
      <c r="S1768" s="506"/>
      <c r="T1768" s="506"/>
      <c r="U1768" s="505"/>
      <c r="V1768" s="505"/>
      <c r="W1768" s="505"/>
      <c r="X1768" s="504"/>
      <c r="Y1768" s="503"/>
      <c r="Z1768" s="503"/>
      <c r="AA1768" s="503"/>
      <c r="AB1768" s="503"/>
      <c r="AC1768" s="503"/>
      <c r="AD1768" s="503"/>
      <c r="AE1768" s="503"/>
      <c r="AF1768" s="503"/>
    </row>
    <row r="1769" spans="1:32" ht="15.75" customHeight="1">
      <c r="A1769" s="503"/>
      <c r="B1769" s="503"/>
      <c r="C1769" s="510"/>
      <c r="D1769" s="510"/>
      <c r="E1769" s="510"/>
      <c r="F1769" s="746"/>
      <c r="G1769" s="510"/>
      <c r="H1769" s="510"/>
      <c r="I1769" s="510"/>
      <c r="J1769" s="510"/>
      <c r="K1769" s="510"/>
      <c r="L1769" s="510"/>
      <c r="M1769" s="509"/>
      <c r="N1769" s="508"/>
      <c r="O1769" s="507"/>
      <c r="P1769" s="507"/>
      <c r="Q1769" s="505"/>
      <c r="R1769" s="506"/>
      <c r="S1769" s="506"/>
      <c r="T1769" s="506"/>
      <c r="U1769" s="505"/>
      <c r="V1769" s="505"/>
      <c r="W1769" s="505"/>
      <c r="X1769" s="504"/>
      <c r="Y1769" s="503"/>
      <c r="Z1769" s="503"/>
      <c r="AA1769" s="503"/>
      <c r="AB1769" s="503"/>
      <c r="AC1769" s="503"/>
      <c r="AD1769" s="503"/>
      <c r="AE1769" s="503"/>
      <c r="AF1769" s="503"/>
    </row>
    <row r="1770" spans="1:32" ht="15.75" customHeight="1">
      <c r="A1770" s="503"/>
      <c r="B1770" s="503"/>
      <c r="C1770" s="510"/>
      <c r="D1770" s="510"/>
      <c r="E1770" s="510"/>
      <c r="F1770" s="746"/>
      <c r="G1770" s="510"/>
      <c r="H1770" s="510"/>
      <c r="I1770" s="510"/>
      <c r="J1770" s="510"/>
      <c r="K1770" s="510"/>
      <c r="L1770" s="510"/>
      <c r="M1770" s="509"/>
      <c r="N1770" s="508"/>
      <c r="O1770" s="507"/>
      <c r="P1770" s="507"/>
      <c r="Q1770" s="505"/>
      <c r="R1770" s="506"/>
      <c r="S1770" s="506"/>
      <c r="T1770" s="506"/>
      <c r="U1770" s="505"/>
      <c r="V1770" s="505"/>
      <c r="W1770" s="505"/>
      <c r="X1770" s="504"/>
      <c r="Y1770" s="503"/>
      <c r="Z1770" s="503"/>
      <c r="AA1770" s="503"/>
      <c r="AB1770" s="503"/>
      <c r="AC1770" s="503"/>
      <c r="AD1770" s="503"/>
      <c r="AE1770" s="503"/>
      <c r="AF1770" s="503"/>
    </row>
    <row r="1771" spans="1:32" ht="15.75" customHeight="1">
      <c r="A1771" s="503"/>
      <c r="B1771" s="503"/>
      <c r="C1771" s="510"/>
      <c r="D1771" s="510"/>
      <c r="E1771" s="510"/>
      <c r="F1771" s="746"/>
      <c r="G1771" s="510"/>
      <c r="H1771" s="510"/>
      <c r="I1771" s="510"/>
      <c r="J1771" s="510"/>
      <c r="K1771" s="510"/>
      <c r="L1771" s="510"/>
      <c r="M1771" s="509"/>
      <c r="N1771" s="508"/>
      <c r="O1771" s="507"/>
      <c r="P1771" s="507"/>
      <c r="Q1771" s="505"/>
      <c r="R1771" s="506"/>
      <c r="S1771" s="506"/>
      <c r="T1771" s="506"/>
      <c r="U1771" s="505"/>
      <c r="V1771" s="505"/>
      <c r="W1771" s="505"/>
      <c r="X1771" s="504"/>
      <c r="Y1771" s="503"/>
      <c r="Z1771" s="503"/>
      <c r="AA1771" s="503"/>
      <c r="AB1771" s="503"/>
      <c r="AC1771" s="503"/>
      <c r="AD1771" s="503"/>
      <c r="AE1771" s="503"/>
      <c r="AF1771" s="503"/>
    </row>
    <row r="1772" spans="1:32" ht="15.75" customHeight="1">
      <c r="A1772" s="503"/>
      <c r="B1772" s="503"/>
      <c r="C1772" s="510"/>
      <c r="D1772" s="510"/>
      <c r="E1772" s="510"/>
      <c r="F1772" s="746"/>
      <c r="G1772" s="510"/>
      <c r="H1772" s="510"/>
      <c r="I1772" s="510"/>
      <c r="J1772" s="510"/>
      <c r="K1772" s="510"/>
      <c r="L1772" s="510"/>
      <c r="M1772" s="509"/>
      <c r="N1772" s="508"/>
      <c r="O1772" s="507"/>
      <c r="P1772" s="507"/>
      <c r="Q1772" s="505"/>
      <c r="R1772" s="506"/>
      <c r="S1772" s="506"/>
      <c r="T1772" s="506"/>
      <c r="U1772" s="505"/>
      <c r="V1772" s="505"/>
      <c r="W1772" s="505"/>
      <c r="X1772" s="504"/>
      <c r="Y1772" s="503"/>
      <c r="Z1772" s="503"/>
      <c r="AA1772" s="503"/>
      <c r="AB1772" s="503"/>
      <c r="AC1772" s="503"/>
      <c r="AD1772" s="503"/>
      <c r="AE1772" s="503"/>
      <c r="AF1772" s="503"/>
    </row>
    <row r="1773" spans="1:32" ht="15.75" customHeight="1">
      <c r="A1773" s="503"/>
      <c r="B1773" s="503"/>
      <c r="C1773" s="510"/>
      <c r="D1773" s="510"/>
      <c r="E1773" s="510"/>
      <c r="F1773" s="746"/>
      <c r="G1773" s="510"/>
      <c r="H1773" s="510"/>
      <c r="I1773" s="510"/>
      <c r="J1773" s="510"/>
      <c r="K1773" s="510"/>
      <c r="L1773" s="510"/>
      <c r="M1773" s="509"/>
      <c r="N1773" s="508"/>
      <c r="O1773" s="507"/>
      <c r="P1773" s="507"/>
      <c r="Q1773" s="505"/>
      <c r="R1773" s="506"/>
      <c r="S1773" s="506"/>
      <c r="T1773" s="506"/>
      <c r="U1773" s="505"/>
      <c r="V1773" s="505"/>
      <c r="W1773" s="505"/>
      <c r="X1773" s="504"/>
      <c r="Y1773" s="503"/>
      <c r="Z1773" s="503"/>
      <c r="AA1773" s="503"/>
      <c r="AB1773" s="503"/>
      <c r="AC1773" s="503"/>
      <c r="AD1773" s="503"/>
      <c r="AE1773" s="503"/>
      <c r="AF1773" s="503"/>
    </row>
    <row r="1774" spans="1:32" ht="15.75" customHeight="1">
      <c r="A1774" s="503"/>
      <c r="B1774" s="503"/>
      <c r="C1774" s="510"/>
      <c r="D1774" s="510"/>
      <c r="E1774" s="510"/>
      <c r="F1774" s="746"/>
      <c r="G1774" s="510"/>
      <c r="H1774" s="510"/>
      <c r="I1774" s="510"/>
      <c r="J1774" s="510"/>
      <c r="K1774" s="510"/>
      <c r="L1774" s="510"/>
      <c r="M1774" s="509"/>
      <c r="N1774" s="508"/>
      <c r="O1774" s="507"/>
      <c r="P1774" s="507"/>
      <c r="Q1774" s="505"/>
      <c r="R1774" s="506"/>
      <c r="S1774" s="506"/>
      <c r="T1774" s="506"/>
      <c r="U1774" s="505"/>
      <c r="V1774" s="505"/>
      <c r="W1774" s="505"/>
      <c r="X1774" s="504"/>
      <c r="Y1774" s="503"/>
      <c r="Z1774" s="503"/>
      <c r="AA1774" s="503"/>
      <c r="AB1774" s="503"/>
      <c r="AC1774" s="503"/>
      <c r="AD1774" s="503"/>
      <c r="AE1774" s="503"/>
      <c r="AF1774" s="503"/>
    </row>
    <row r="1775" spans="1:32" ht="15.75" customHeight="1">
      <c r="A1775" s="503"/>
      <c r="B1775" s="503"/>
      <c r="C1775" s="510"/>
      <c r="D1775" s="510"/>
      <c r="E1775" s="510"/>
      <c r="F1775" s="746"/>
      <c r="G1775" s="510"/>
      <c r="H1775" s="510"/>
      <c r="I1775" s="510"/>
      <c r="J1775" s="510"/>
      <c r="K1775" s="510"/>
      <c r="L1775" s="510"/>
      <c r="M1775" s="509"/>
      <c r="N1775" s="508"/>
      <c r="O1775" s="507"/>
      <c r="P1775" s="507"/>
      <c r="Q1775" s="505"/>
      <c r="R1775" s="506"/>
      <c r="S1775" s="506"/>
      <c r="T1775" s="506"/>
      <c r="U1775" s="505"/>
      <c r="V1775" s="505"/>
      <c r="W1775" s="505"/>
      <c r="X1775" s="504"/>
      <c r="Y1775" s="503"/>
      <c r="Z1775" s="503"/>
      <c r="AA1775" s="503"/>
      <c r="AB1775" s="503"/>
      <c r="AC1775" s="503"/>
      <c r="AD1775" s="503"/>
      <c r="AE1775" s="503"/>
      <c r="AF1775" s="503"/>
    </row>
    <row r="1776" spans="1:32" ht="15.75" customHeight="1">
      <c r="A1776" s="503"/>
      <c r="B1776" s="503"/>
      <c r="C1776" s="510"/>
      <c r="D1776" s="510"/>
      <c r="E1776" s="510"/>
      <c r="F1776" s="746"/>
      <c r="G1776" s="510"/>
      <c r="H1776" s="510"/>
      <c r="I1776" s="510"/>
      <c r="J1776" s="510"/>
      <c r="K1776" s="510"/>
      <c r="L1776" s="510"/>
      <c r="M1776" s="509"/>
      <c r="N1776" s="508"/>
      <c r="O1776" s="507"/>
      <c r="P1776" s="507"/>
      <c r="Q1776" s="505"/>
      <c r="R1776" s="506"/>
      <c r="S1776" s="506"/>
      <c r="T1776" s="506"/>
      <c r="U1776" s="505"/>
      <c r="V1776" s="505"/>
      <c r="W1776" s="505"/>
      <c r="X1776" s="504"/>
      <c r="Y1776" s="503"/>
      <c r="Z1776" s="503"/>
      <c r="AA1776" s="503"/>
      <c r="AB1776" s="503"/>
      <c r="AC1776" s="503"/>
      <c r="AD1776" s="503"/>
      <c r="AE1776" s="503"/>
      <c r="AF1776" s="503"/>
    </row>
    <row r="1777" spans="1:32" ht="15.75" customHeight="1">
      <c r="A1777" s="503"/>
      <c r="B1777" s="503"/>
      <c r="C1777" s="510"/>
      <c r="D1777" s="510"/>
      <c r="E1777" s="510"/>
      <c r="F1777" s="746"/>
      <c r="G1777" s="510"/>
      <c r="H1777" s="510"/>
      <c r="I1777" s="510"/>
      <c r="J1777" s="510"/>
      <c r="K1777" s="510"/>
      <c r="L1777" s="510"/>
      <c r="M1777" s="509"/>
      <c r="N1777" s="508"/>
      <c r="O1777" s="507"/>
      <c r="P1777" s="507"/>
      <c r="Q1777" s="505"/>
      <c r="R1777" s="506"/>
      <c r="S1777" s="506"/>
      <c r="T1777" s="506"/>
      <c r="U1777" s="505"/>
      <c r="V1777" s="505"/>
      <c r="W1777" s="505"/>
      <c r="X1777" s="504"/>
      <c r="Y1777" s="503"/>
      <c r="Z1777" s="503"/>
      <c r="AA1777" s="503"/>
      <c r="AB1777" s="503"/>
      <c r="AC1777" s="503"/>
      <c r="AD1777" s="503"/>
      <c r="AE1777" s="503"/>
      <c r="AF1777" s="503"/>
    </row>
    <row r="1778" spans="1:32" ht="15.75" customHeight="1">
      <c r="A1778" s="503"/>
      <c r="B1778" s="503"/>
      <c r="C1778" s="510"/>
      <c r="D1778" s="510"/>
      <c r="E1778" s="510"/>
      <c r="F1778" s="746"/>
      <c r="G1778" s="510"/>
      <c r="H1778" s="510"/>
      <c r="I1778" s="510"/>
      <c r="J1778" s="510"/>
      <c r="K1778" s="510"/>
      <c r="L1778" s="510"/>
      <c r="M1778" s="509"/>
      <c r="N1778" s="508"/>
      <c r="O1778" s="507"/>
      <c r="P1778" s="507"/>
      <c r="Q1778" s="505"/>
      <c r="R1778" s="506"/>
      <c r="S1778" s="506"/>
      <c r="T1778" s="506"/>
      <c r="U1778" s="505"/>
      <c r="V1778" s="505"/>
      <c r="W1778" s="505"/>
      <c r="X1778" s="504"/>
      <c r="Y1778" s="503"/>
      <c r="Z1778" s="503"/>
      <c r="AA1778" s="503"/>
      <c r="AB1778" s="503"/>
      <c r="AC1778" s="503"/>
      <c r="AD1778" s="503"/>
      <c r="AE1778" s="503"/>
      <c r="AF1778" s="503"/>
    </row>
    <row r="1779" spans="1:32" ht="15.75" customHeight="1">
      <c r="A1779" s="503"/>
      <c r="B1779" s="503"/>
      <c r="C1779" s="510"/>
      <c r="D1779" s="510"/>
      <c r="E1779" s="510"/>
      <c r="F1779" s="746"/>
      <c r="G1779" s="510"/>
      <c r="H1779" s="510"/>
      <c r="I1779" s="510"/>
      <c r="J1779" s="510"/>
      <c r="K1779" s="510"/>
      <c r="L1779" s="510"/>
      <c r="M1779" s="509"/>
      <c r="N1779" s="508"/>
      <c r="O1779" s="507"/>
      <c r="P1779" s="507"/>
      <c r="Q1779" s="505"/>
      <c r="R1779" s="506"/>
      <c r="S1779" s="506"/>
      <c r="T1779" s="506"/>
      <c r="U1779" s="505"/>
      <c r="V1779" s="505"/>
      <c r="W1779" s="505"/>
      <c r="X1779" s="504"/>
      <c r="Y1779" s="503"/>
      <c r="Z1779" s="503"/>
      <c r="AA1779" s="503"/>
      <c r="AB1779" s="503"/>
      <c r="AC1779" s="503"/>
      <c r="AD1779" s="503"/>
      <c r="AE1779" s="503"/>
      <c r="AF1779" s="503"/>
    </row>
    <row r="1780" spans="1:32" ht="15.75" customHeight="1">
      <c r="A1780" s="503"/>
      <c r="B1780" s="503"/>
      <c r="C1780" s="510"/>
      <c r="D1780" s="510"/>
      <c r="E1780" s="510"/>
      <c r="F1780" s="746"/>
      <c r="G1780" s="510"/>
      <c r="H1780" s="510"/>
      <c r="I1780" s="510"/>
      <c r="J1780" s="510"/>
      <c r="K1780" s="510"/>
      <c r="L1780" s="510"/>
      <c r="M1780" s="509"/>
      <c r="N1780" s="508"/>
      <c r="O1780" s="507"/>
      <c r="P1780" s="507"/>
      <c r="Q1780" s="505"/>
      <c r="R1780" s="506"/>
      <c r="S1780" s="506"/>
      <c r="T1780" s="506"/>
      <c r="U1780" s="505"/>
      <c r="V1780" s="505"/>
      <c r="W1780" s="505"/>
      <c r="X1780" s="504"/>
      <c r="Y1780" s="503"/>
      <c r="Z1780" s="503"/>
      <c r="AA1780" s="503"/>
      <c r="AB1780" s="503"/>
      <c r="AC1780" s="503"/>
      <c r="AD1780" s="503"/>
      <c r="AE1780" s="503"/>
      <c r="AF1780" s="503"/>
    </row>
    <row r="1781" spans="1:32" ht="15.75" customHeight="1">
      <c r="A1781" s="503"/>
      <c r="B1781" s="503"/>
      <c r="C1781" s="510"/>
      <c r="D1781" s="510"/>
      <c r="E1781" s="510"/>
      <c r="F1781" s="746"/>
      <c r="G1781" s="510"/>
      <c r="H1781" s="510"/>
      <c r="I1781" s="510"/>
      <c r="J1781" s="510"/>
      <c r="K1781" s="510"/>
      <c r="L1781" s="510"/>
      <c r="M1781" s="509"/>
      <c r="N1781" s="508"/>
      <c r="O1781" s="507"/>
      <c r="P1781" s="507"/>
      <c r="Q1781" s="505"/>
      <c r="R1781" s="506"/>
      <c r="S1781" s="506"/>
      <c r="T1781" s="506"/>
      <c r="U1781" s="505"/>
      <c r="V1781" s="505"/>
      <c r="W1781" s="505"/>
      <c r="X1781" s="504"/>
      <c r="Y1781" s="503"/>
      <c r="Z1781" s="503"/>
      <c r="AA1781" s="503"/>
      <c r="AB1781" s="503"/>
      <c r="AC1781" s="503"/>
      <c r="AD1781" s="503"/>
      <c r="AE1781" s="503"/>
      <c r="AF1781" s="503"/>
    </row>
    <row r="1782" spans="1:32" ht="15.75" customHeight="1">
      <c r="A1782" s="503"/>
      <c r="B1782" s="503"/>
      <c r="C1782" s="510"/>
      <c r="D1782" s="510"/>
      <c r="E1782" s="510"/>
      <c r="F1782" s="746"/>
      <c r="G1782" s="510"/>
      <c r="H1782" s="510"/>
      <c r="I1782" s="510"/>
      <c r="J1782" s="510"/>
      <c r="K1782" s="510"/>
      <c r="L1782" s="510"/>
      <c r="M1782" s="509"/>
      <c r="N1782" s="508"/>
      <c r="O1782" s="507"/>
      <c r="P1782" s="507"/>
      <c r="Q1782" s="505"/>
      <c r="R1782" s="506"/>
      <c r="S1782" s="506"/>
      <c r="T1782" s="506"/>
      <c r="U1782" s="505"/>
      <c r="V1782" s="505"/>
      <c r="W1782" s="505"/>
      <c r="X1782" s="504"/>
      <c r="Y1782" s="503"/>
      <c r="Z1782" s="503"/>
      <c r="AA1782" s="503"/>
      <c r="AB1782" s="503"/>
      <c r="AC1782" s="503"/>
      <c r="AD1782" s="503"/>
      <c r="AE1782" s="503"/>
      <c r="AF1782" s="503"/>
    </row>
    <row r="1783" spans="1:32" ht="15.75" customHeight="1">
      <c r="A1783" s="503"/>
      <c r="B1783" s="503"/>
      <c r="C1783" s="510"/>
      <c r="D1783" s="510"/>
      <c r="E1783" s="510"/>
      <c r="F1783" s="746"/>
      <c r="G1783" s="510"/>
      <c r="H1783" s="510"/>
      <c r="I1783" s="510"/>
      <c r="J1783" s="510"/>
      <c r="K1783" s="510"/>
      <c r="L1783" s="510"/>
      <c r="M1783" s="509"/>
      <c r="N1783" s="508"/>
      <c r="O1783" s="507"/>
      <c r="P1783" s="507"/>
      <c r="Q1783" s="505"/>
      <c r="R1783" s="506"/>
      <c r="S1783" s="506"/>
      <c r="T1783" s="506"/>
      <c r="U1783" s="505"/>
      <c r="V1783" s="505"/>
      <c r="W1783" s="505"/>
      <c r="X1783" s="504"/>
      <c r="Y1783" s="503"/>
      <c r="Z1783" s="503"/>
      <c r="AA1783" s="503"/>
      <c r="AB1783" s="503"/>
      <c r="AC1783" s="503"/>
      <c r="AD1783" s="503"/>
      <c r="AE1783" s="503"/>
      <c r="AF1783" s="503"/>
    </row>
    <row r="1784" spans="1:32" ht="15.75" customHeight="1">
      <c r="A1784" s="503"/>
      <c r="B1784" s="503"/>
      <c r="C1784" s="510"/>
      <c r="D1784" s="510"/>
      <c r="E1784" s="510"/>
      <c r="F1784" s="746"/>
      <c r="G1784" s="510"/>
      <c r="H1784" s="510"/>
      <c r="I1784" s="510"/>
      <c r="J1784" s="510"/>
      <c r="K1784" s="510"/>
      <c r="L1784" s="510"/>
      <c r="M1784" s="509"/>
      <c r="N1784" s="508"/>
      <c r="O1784" s="507"/>
      <c r="P1784" s="507"/>
      <c r="Q1784" s="505"/>
      <c r="R1784" s="506"/>
      <c r="S1784" s="506"/>
      <c r="T1784" s="506"/>
      <c r="U1784" s="505"/>
      <c r="V1784" s="505"/>
      <c r="W1784" s="505"/>
      <c r="X1784" s="504"/>
      <c r="Y1784" s="503"/>
      <c r="Z1784" s="503"/>
      <c r="AA1784" s="503"/>
      <c r="AB1784" s="503"/>
      <c r="AC1784" s="503"/>
      <c r="AD1784" s="503"/>
      <c r="AE1784" s="503"/>
      <c r="AF1784" s="503"/>
    </row>
    <row r="1785" spans="1:32" ht="15.75" customHeight="1">
      <c r="A1785" s="503"/>
      <c r="B1785" s="503"/>
      <c r="C1785" s="510"/>
      <c r="D1785" s="510"/>
      <c r="E1785" s="510"/>
      <c r="F1785" s="746"/>
      <c r="G1785" s="510"/>
      <c r="H1785" s="510"/>
      <c r="I1785" s="510"/>
      <c r="J1785" s="510"/>
      <c r="K1785" s="510"/>
      <c r="L1785" s="510"/>
      <c r="M1785" s="509"/>
      <c r="N1785" s="508"/>
      <c r="O1785" s="507"/>
      <c r="P1785" s="507"/>
      <c r="Q1785" s="505"/>
      <c r="R1785" s="506"/>
      <c r="S1785" s="506"/>
      <c r="T1785" s="506"/>
      <c r="U1785" s="505"/>
      <c r="V1785" s="505"/>
      <c r="W1785" s="505"/>
      <c r="X1785" s="504"/>
      <c r="Y1785" s="503"/>
      <c r="Z1785" s="503"/>
      <c r="AA1785" s="503"/>
      <c r="AB1785" s="503"/>
      <c r="AC1785" s="503"/>
      <c r="AD1785" s="503"/>
      <c r="AE1785" s="503"/>
      <c r="AF1785" s="503"/>
    </row>
    <row r="1786" spans="1:32" ht="15.75" customHeight="1">
      <c r="A1786" s="503"/>
      <c r="B1786" s="503"/>
      <c r="C1786" s="510"/>
      <c r="D1786" s="510"/>
      <c r="E1786" s="510"/>
      <c r="F1786" s="746"/>
      <c r="G1786" s="510"/>
      <c r="H1786" s="510"/>
      <c r="I1786" s="510"/>
      <c r="J1786" s="510"/>
      <c r="K1786" s="510"/>
      <c r="L1786" s="510"/>
      <c r="M1786" s="509"/>
      <c r="N1786" s="508"/>
      <c r="O1786" s="507"/>
      <c r="P1786" s="507"/>
      <c r="Q1786" s="505"/>
      <c r="R1786" s="506"/>
      <c r="S1786" s="506"/>
      <c r="T1786" s="506"/>
      <c r="U1786" s="505"/>
      <c r="V1786" s="505"/>
      <c r="W1786" s="505"/>
      <c r="X1786" s="504"/>
      <c r="Y1786" s="503"/>
      <c r="Z1786" s="503"/>
      <c r="AA1786" s="503"/>
      <c r="AB1786" s="503"/>
      <c r="AC1786" s="503"/>
      <c r="AD1786" s="503"/>
      <c r="AE1786" s="503"/>
      <c r="AF1786" s="503"/>
    </row>
    <row r="1787" spans="1:32" ht="15.75" customHeight="1">
      <c r="A1787" s="503"/>
      <c r="B1787" s="503"/>
      <c r="C1787" s="510"/>
      <c r="D1787" s="510"/>
      <c r="E1787" s="510"/>
      <c r="F1787" s="746"/>
      <c r="G1787" s="510"/>
      <c r="H1787" s="510"/>
      <c r="I1787" s="510"/>
      <c r="J1787" s="510"/>
      <c r="K1787" s="510"/>
      <c r="L1787" s="510"/>
      <c r="M1787" s="509"/>
      <c r="N1787" s="508"/>
      <c r="O1787" s="507"/>
      <c r="P1787" s="507"/>
      <c r="Q1787" s="505"/>
      <c r="R1787" s="506"/>
      <c r="S1787" s="506"/>
      <c r="T1787" s="506"/>
      <c r="U1787" s="505"/>
      <c r="V1787" s="505"/>
      <c r="W1787" s="505"/>
      <c r="X1787" s="504"/>
      <c r="Y1787" s="503"/>
      <c r="Z1787" s="503"/>
      <c r="AA1787" s="503"/>
      <c r="AB1787" s="503"/>
      <c r="AC1787" s="503"/>
      <c r="AD1787" s="503"/>
      <c r="AE1787" s="503"/>
      <c r="AF1787" s="503"/>
    </row>
    <row r="1788" spans="1:32" ht="15.75" customHeight="1">
      <c r="A1788" s="503"/>
      <c r="B1788" s="503"/>
      <c r="C1788" s="510"/>
      <c r="D1788" s="510"/>
      <c r="E1788" s="510"/>
      <c r="F1788" s="746"/>
      <c r="G1788" s="510"/>
      <c r="H1788" s="510"/>
      <c r="I1788" s="510"/>
      <c r="J1788" s="510"/>
      <c r="K1788" s="510"/>
      <c r="L1788" s="510"/>
      <c r="M1788" s="509"/>
      <c r="N1788" s="508"/>
      <c r="O1788" s="507"/>
      <c r="P1788" s="507"/>
      <c r="Q1788" s="505"/>
      <c r="R1788" s="506"/>
      <c r="S1788" s="506"/>
      <c r="T1788" s="506"/>
      <c r="U1788" s="505"/>
      <c r="V1788" s="505"/>
      <c r="W1788" s="505"/>
      <c r="X1788" s="504"/>
      <c r="Y1788" s="503"/>
      <c r="Z1788" s="503"/>
      <c r="AA1788" s="503"/>
      <c r="AB1788" s="503"/>
      <c r="AC1788" s="503"/>
      <c r="AD1788" s="503"/>
      <c r="AE1788" s="503"/>
      <c r="AF1788" s="503"/>
    </row>
    <row r="1789" spans="1:32" ht="15.75" customHeight="1">
      <c r="A1789" s="503"/>
      <c r="B1789" s="503"/>
      <c r="C1789" s="510"/>
      <c r="D1789" s="510"/>
      <c r="E1789" s="510"/>
      <c r="F1789" s="746"/>
      <c r="G1789" s="510"/>
      <c r="H1789" s="510"/>
      <c r="I1789" s="510"/>
      <c r="J1789" s="510"/>
      <c r="K1789" s="510"/>
      <c r="L1789" s="510"/>
      <c r="M1789" s="509"/>
      <c r="N1789" s="508"/>
      <c r="O1789" s="507"/>
      <c r="P1789" s="507"/>
      <c r="Q1789" s="505"/>
      <c r="R1789" s="506"/>
      <c r="S1789" s="506"/>
      <c r="T1789" s="506"/>
      <c r="U1789" s="505"/>
      <c r="V1789" s="505"/>
      <c r="W1789" s="505"/>
      <c r="X1789" s="504"/>
      <c r="Y1789" s="503"/>
      <c r="Z1789" s="503"/>
      <c r="AA1789" s="503"/>
      <c r="AB1789" s="503"/>
      <c r="AC1789" s="503"/>
      <c r="AD1789" s="503"/>
      <c r="AE1789" s="503"/>
      <c r="AF1789" s="503"/>
    </row>
    <row r="1790" spans="1:32" ht="15.75" customHeight="1">
      <c r="A1790" s="503"/>
      <c r="B1790" s="503"/>
      <c r="C1790" s="510"/>
      <c r="D1790" s="510"/>
      <c r="E1790" s="510"/>
      <c r="F1790" s="746"/>
      <c r="G1790" s="510"/>
      <c r="H1790" s="510"/>
      <c r="I1790" s="510"/>
      <c r="J1790" s="510"/>
      <c r="K1790" s="510"/>
      <c r="L1790" s="510"/>
      <c r="M1790" s="509"/>
      <c r="N1790" s="508"/>
      <c r="O1790" s="507"/>
      <c r="P1790" s="507"/>
      <c r="Q1790" s="505"/>
      <c r="R1790" s="506"/>
      <c r="S1790" s="506"/>
      <c r="T1790" s="506"/>
      <c r="U1790" s="505"/>
      <c r="V1790" s="505"/>
      <c r="W1790" s="505"/>
      <c r="X1790" s="504"/>
      <c r="Y1790" s="503"/>
      <c r="Z1790" s="503"/>
      <c r="AA1790" s="503"/>
      <c r="AB1790" s="503"/>
      <c r="AC1790" s="503"/>
      <c r="AD1790" s="503"/>
      <c r="AE1790" s="503"/>
      <c r="AF1790" s="503"/>
    </row>
    <row r="1791" spans="1:32" ht="15.75" customHeight="1">
      <c r="A1791" s="503"/>
      <c r="B1791" s="503"/>
      <c r="C1791" s="510"/>
      <c r="D1791" s="510"/>
      <c r="E1791" s="510"/>
      <c r="F1791" s="746"/>
      <c r="G1791" s="510"/>
      <c r="H1791" s="510"/>
      <c r="I1791" s="510"/>
      <c r="J1791" s="510"/>
      <c r="K1791" s="510"/>
      <c r="L1791" s="510"/>
      <c r="M1791" s="509"/>
      <c r="N1791" s="508"/>
      <c r="O1791" s="507"/>
      <c r="P1791" s="507"/>
      <c r="Q1791" s="505"/>
      <c r="R1791" s="506"/>
      <c r="S1791" s="506"/>
      <c r="T1791" s="506"/>
      <c r="U1791" s="505"/>
      <c r="V1791" s="505"/>
      <c r="W1791" s="505"/>
      <c r="X1791" s="504"/>
      <c r="Y1791" s="503"/>
      <c r="Z1791" s="503"/>
      <c r="AA1791" s="503"/>
      <c r="AB1791" s="503"/>
      <c r="AC1791" s="503"/>
      <c r="AD1791" s="503"/>
      <c r="AE1791" s="503"/>
      <c r="AF1791" s="503"/>
    </row>
    <row r="1792" spans="1:32" ht="15.75" customHeight="1">
      <c r="A1792" s="503"/>
      <c r="B1792" s="503"/>
      <c r="C1792" s="510"/>
      <c r="D1792" s="510"/>
      <c r="E1792" s="510"/>
      <c r="F1792" s="746"/>
      <c r="G1792" s="510"/>
      <c r="H1792" s="510"/>
      <c r="I1792" s="510"/>
      <c r="J1792" s="510"/>
      <c r="K1792" s="510"/>
      <c r="L1792" s="510"/>
      <c r="M1792" s="509"/>
      <c r="N1792" s="508"/>
      <c r="O1792" s="507"/>
      <c r="P1792" s="507"/>
      <c r="Q1792" s="505"/>
      <c r="R1792" s="506"/>
      <c r="S1792" s="506"/>
      <c r="T1792" s="506"/>
      <c r="U1792" s="505"/>
      <c r="V1792" s="505"/>
      <c r="W1792" s="505"/>
      <c r="X1792" s="504"/>
      <c r="Y1792" s="503"/>
      <c r="Z1792" s="503"/>
      <c r="AA1792" s="503"/>
      <c r="AB1792" s="503"/>
      <c r="AC1792" s="503"/>
      <c r="AD1792" s="503"/>
      <c r="AE1792" s="503"/>
      <c r="AF1792" s="503"/>
    </row>
    <row r="1793" spans="1:32" ht="15.75" customHeight="1">
      <c r="A1793" s="503"/>
      <c r="B1793" s="503"/>
      <c r="C1793" s="510"/>
      <c r="D1793" s="510"/>
      <c r="E1793" s="510"/>
      <c r="F1793" s="746"/>
      <c r="G1793" s="510"/>
      <c r="H1793" s="510"/>
      <c r="I1793" s="510"/>
      <c r="J1793" s="510"/>
      <c r="K1793" s="510"/>
      <c r="L1793" s="510"/>
      <c r="M1793" s="509"/>
      <c r="N1793" s="508"/>
      <c r="O1793" s="507"/>
      <c r="P1793" s="507"/>
      <c r="Q1793" s="505"/>
      <c r="R1793" s="506"/>
      <c r="S1793" s="506"/>
      <c r="T1793" s="506"/>
      <c r="U1793" s="505"/>
      <c r="V1793" s="505"/>
      <c r="W1793" s="505"/>
      <c r="X1793" s="504"/>
      <c r="Y1793" s="503"/>
      <c r="Z1793" s="503"/>
      <c r="AA1793" s="503"/>
      <c r="AB1793" s="503"/>
      <c r="AC1793" s="503"/>
      <c r="AD1793" s="503"/>
      <c r="AE1793" s="503"/>
      <c r="AF1793" s="503"/>
    </row>
    <row r="1794" spans="1:32" ht="15.75" customHeight="1">
      <c r="A1794" s="503"/>
      <c r="B1794" s="503"/>
      <c r="C1794" s="510"/>
      <c r="D1794" s="510"/>
      <c r="E1794" s="510"/>
      <c r="F1794" s="746"/>
      <c r="G1794" s="510"/>
      <c r="H1794" s="510"/>
      <c r="I1794" s="510"/>
      <c r="J1794" s="510"/>
      <c r="K1794" s="510"/>
      <c r="L1794" s="510"/>
      <c r="M1794" s="509"/>
      <c r="N1794" s="508"/>
      <c r="O1794" s="507"/>
      <c r="P1794" s="507"/>
      <c r="Q1794" s="505"/>
      <c r="R1794" s="506"/>
      <c r="S1794" s="506"/>
      <c r="T1794" s="506"/>
      <c r="U1794" s="505"/>
      <c r="V1794" s="505"/>
      <c r="W1794" s="505"/>
      <c r="X1794" s="504"/>
      <c r="Y1794" s="503"/>
      <c r="Z1794" s="503"/>
      <c r="AA1794" s="503"/>
      <c r="AB1794" s="503"/>
      <c r="AC1794" s="503"/>
      <c r="AD1794" s="503"/>
      <c r="AE1794" s="503"/>
      <c r="AF1794" s="503"/>
    </row>
    <row r="1795" spans="1:32" ht="15.75" customHeight="1">
      <c r="A1795" s="503"/>
      <c r="B1795" s="503"/>
      <c r="C1795" s="510"/>
      <c r="D1795" s="510"/>
      <c r="E1795" s="510"/>
      <c r="F1795" s="746"/>
      <c r="G1795" s="510"/>
      <c r="H1795" s="510"/>
      <c r="I1795" s="510"/>
      <c r="J1795" s="510"/>
      <c r="K1795" s="510"/>
      <c r="L1795" s="510"/>
      <c r="M1795" s="509"/>
      <c r="N1795" s="508"/>
      <c r="O1795" s="507"/>
      <c r="P1795" s="507"/>
      <c r="Q1795" s="505"/>
      <c r="R1795" s="506"/>
      <c r="S1795" s="506"/>
      <c r="T1795" s="506"/>
      <c r="U1795" s="505"/>
      <c r="V1795" s="505"/>
      <c r="W1795" s="505"/>
      <c r="X1795" s="504"/>
      <c r="Y1795" s="503"/>
      <c r="Z1795" s="503"/>
      <c r="AA1795" s="503"/>
      <c r="AB1795" s="503"/>
      <c r="AC1795" s="503"/>
      <c r="AD1795" s="503"/>
      <c r="AE1795" s="503"/>
      <c r="AF1795" s="503"/>
    </row>
    <row r="1796" spans="1:32" ht="15.75" customHeight="1">
      <c r="A1796" s="503"/>
      <c r="B1796" s="503"/>
      <c r="C1796" s="510"/>
      <c r="D1796" s="510"/>
      <c r="E1796" s="510"/>
      <c r="F1796" s="746"/>
      <c r="G1796" s="510"/>
      <c r="H1796" s="510"/>
      <c r="I1796" s="510"/>
      <c r="J1796" s="510"/>
      <c r="K1796" s="510"/>
      <c r="L1796" s="510"/>
      <c r="M1796" s="509"/>
      <c r="N1796" s="508"/>
      <c r="O1796" s="507"/>
      <c r="P1796" s="507"/>
      <c r="Q1796" s="505"/>
      <c r="R1796" s="506"/>
      <c r="S1796" s="506"/>
      <c r="T1796" s="506"/>
      <c r="U1796" s="505"/>
      <c r="V1796" s="505"/>
      <c r="W1796" s="505"/>
      <c r="X1796" s="504"/>
      <c r="Y1796" s="503"/>
      <c r="Z1796" s="503"/>
      <c r="AA1796" s="503"/>
      <c r="AB1796" s="503"/>
      <c r="AC1796" s="503"/>
      <c r="AD1796" s="503"/>
      <c r="AE1796" s="503"/>
      <c r="AF1796" s="503"/>
    </row>
    <row r="1797" spans="1:32" ht="15.75" customHeight="1">
      <c r="A1797" s="503"/>
      <c r="B1797" s="503"/>
      <c r="C1797" s="510"/>
      <c r="D1797" s="510"/>
      <c r="E1797" s="510"/>
      <c r="F1797" s="746"/>
      <c r="G1797" s="510"/>
      <c r="H1797" s="510"/>
      <c r="I1797" s="510"/>
      <c r="J1797" s="510"/>
      <c r="K1797" s="510"/>
      <c r="L1797" s="510"/>
      <c r="M1797" s="509"/>
      <c r="N1797" s="508"/>
      <c r="O1797" s="507"/>
      <c r="P1797" s="507"/>
      <c r="Q1797" s="505"/>
      <c r="R1797" s="506"/>
      <c r="S1797" s="506"/>
      <c r="T1797" s="506"/>
      <c r="U1797" s="505"/>
      <c r="V1797" s="505"/>
      <c r="W1797" s="505"/>
      <c r="X1797" s="504"/>
      <c r="Y1797" s="503"/>
      <c r="Z1797" s="503"/>
      <c r="AA1797" s="503"/>
      <c r="AB1797" s="503"/>
      <c r="AC1797" s="503"/>
      <c r="AD1797" s="503"/>
      <c r="AE1797" s="503"/>
      <c r="AF1797" s="503"/>
    </row>
    <row r="1798" spans="1:32" ht="15.75" customHeight="1">
      <c r="A1798" s="503"/>
      <c r="B1798" s="503"/>
      <c r="C1798" s="510"/>
      <c r="D1798" s="510"/>
      <c r="E1798" s="510"/>
      <c r="F1798" s="746"/>
      <c r="G1798" s="510"/>
      <c r="H1798" s="510"/>
      <c r="I1798" s="510"/>
      <c r="J1798" s="510"/>
      <c r="K1798" s="510"/>
      <c r="L1798" s="510"/>
      <c r="M1798" s="509"/>
      <c r="N1798" s="508"/>
      <c r="O1798" s="507"/>
      <c r="P1798" s="507"/>
      <c r="Q1798" s="505"/>
      <c r="R1798" s="506"/>
      <c r="S1798" s="506"/>
      <c r="T1798" s="506"/>
      <c r="U1798" s="505"/>
      <c r="V1798" s="505"/>
      <c r="W1798" s="505"/>
      <c r="X1798" s="504"/>
      <c r="Y1798" s="503"/>
      <c r="Z1798" s="503"/>
      <c r="AA1798" s="503"/>
      <c r="AB1798" s="503"/>
      <c r="AC1798" s="503"/>
      <c r="AD1798" s="503"/>
      <c r="AE1798" s="503"/>
      <c r="AF1798" s="503"/>
    </row>
    <row r="1799" spans="1:32" ht="15.75" customHeight="1">
      <c r="A1799" s="503"/>
      <c r="B1799" s="503"/>
      <c r="C1799" s="510"/>
      <c r="D1799" s="510"/>
      <c r="E1799" s="510"/>
      <c r="F1799" s="746"/>
      <c r="G1799" s="510"/>
      <c r="H1799" s="510"/>
      <c r="I1799" s="510"/>
      <c r="J1799" s="510"/>
      <c r="K1799" s="510"/>
      <c r="L1799" s="510"/>
      <c r="M1799" s="509"/>
      <c r="N1799" s="508"/>
      <c r="O1799" s="507"/>
      <c r="P1799" s="507"/>
      <c r="Q1799" s="505"/>
      <c r="R1799" s="506"/>
      <c r="S1799" s="506"/>
      <c r="T1799" s="506"/>
      <c r="U1799" s="505"/>
      <c r="V1799" s="505"/>
      <c r="W1799" s="505"/>
      <c r="X1799" s="504"/>
      <c r="Y1799" s="503"/>
      <c r="Z1799" s="503"/>
      <c r="AA1799" s="503"/>
      <c r="AB1799" s="503"/>
      <c r="AC1799" s="503"/>
      <c r="AD1799" s="503"/>
      <c r="AE1799" s="503"/>
      <c r="AF1799" s="503"/>
    </row>
    <row r="1800" spans="1:32" ht="15.75" customHeight="1">
      <c r="A1800" s="503"/>
      <c r="B1800" s="503"/>
      <c r="C1800" s="510"/>
      <c r="D1800" s="510"/>
      <c r="E1800" s="510"/>
      <c r="F1800" s="746"/>
      <c r="G1800" s="510"/>
      <c r="H1800" s="510"/>
      <c r="I1800" s="510"/>
      <c r="J1800" s="510"/>
      <c r="K1800" s="510"/>
      <c r="L1800" s="510"/>
      <c r="M1800" s="509"/>
      <c r="N1800" s="508"/>
      <c r="O1800" s="507"/>
      <c r="P1800" s="507"/>
      <c r="Q1800" s="505"/>
      <c r="R1800" s="506"/>
      <c r="S1800" s="506"/>
      <c r="T1800" s="506"/>
      <c r="U1800" s="505"/>
      <c r="V1800" s="505"/>
      <c r="W1800" s="505"/>
      <c r="X1800" s="504"/>
      <c r="Y1800" s="503"/>
      <c r="Z1800" s="503"/>
      <c r="AA1800" s="503"/>
      <c r="AB1800" s="503"/>
      <c r="AC1800" s="503"/>
      <c r="AD1800" s="503"/>
      <c r="AE1800" s="503"/>
      <c r="AF1800" s="503"/>
    </row>
    <row r="1801" spans="1:32" ht="15.75" customHeight="1">
      <c r="A1801" s="503"/>
      <c r="B1801" s="503"/>
      <c r="C1801" s="510"/>
      <c r="D1801" s="510"/>
      <c r="E1801" s="510"/>
      <c r="F1801" s="746"/>
      <c r="G1801" s="510"/>
      <c r="H1801" s="510"/>
      <c r="I1801" s="510"/>
      <c r="J1801" s="510"/>
      <c r="K1801" s="510"/>
      <c r="L1801" s="510"/>
      <c r="M1801" s="509"/>
      <c r="N1801" s="508"/>
      <c r="O1801" s="507"/>
      <c r="P1801" s="507"/>
      <c r="Q1801" s="505"/>
      <c r="R1801" s="506"/>
      <c r="S1801" s="506"/>
      <c r="T1801" s="506"/>
      <c r="U1801" s="505"/>
      <c r="V1801" s="505"/>
      <c r="W1801" s="505"/>
      <c r="X1801" s="504"/>
      <c r="Y1801" s="503"/>
      <c r="Z1801" s="503"/>
      <c r="AA1801" s="503"/>
      <c r="AB1801" s="503"/>
      <c r="AC1801" s="503"/>
      <c r="AD1801" s="503"/>
      <c r="AE1801" s="503"/>
      <c r="AF1801" s="503"/>
    </row>
    <row r="1802" spans="1:32" ht="15.75" customHeight="1">
      <c r="A1802" s="503"/>
      <c r="B1802" s="503"/>
      <c r="C1802" s="510"/>
      <c r="D1802" s="510"/>
      <c r="E1802" s="510"/>
      <c r="F1802" s="746"/>
      <c r="G1802" s="510"/>
      <c r="H1802" s="510"/>
      <c r="I1802" s="510"/>
      <c r="J1802" s="510"/>
      <c r="K1802" s="510"/>
      <c r="L1802" s="510"/>
      <c r="M1802" s="509"/>
      <c r="N1802" s="508"/>
      <c r="O1802" s="507"/>
      <c r="P1802" s="507"/>
      <c r="Q1802" s="505"/>
      <c r="R1802" s="506"/>
      <c r="S1802" s="506"/>
      <c r="T1802" s="506"/>
      <c r="U1802" s="505"/>
      <c r="V1802" s="505"/>
      <c r="W1802" s="505"/>
      <c r="X1802" s="504"/>
      <c r="Y1802" s="503"/>
      <c r="Z1802" s="503"/>
      <c r="AA1802" s="503"/>
      <c r="AB1802" s="503"/>
      <c r="AC1802" s="503"/>
      <c r="AD1802" s="503"/>
      <c r="AE1802" s="503"/>
      <c r="AF1802" s="503"/>
    </row>
    <row r="1803" spans="1:32" ht="15.75" customHeight="1">
      <c r="A1803" s="503"/>
      <c r="B1803" s="503"/>
      <c r="C1803" s="510"/>
      <c r="D1803" s="510"/>
      <c r="E1803" s="510"/>
      <c r="F1803" s="746"/>
      <c r="G1803" s="510"/>
      <c r="H1803" s="510"/>
      <c r="I1803" s="510"/>
      <c r="J1803" s="510"/>
      <c r="K1803" s="510"/>
      <c r="L1803" s="510"/>
      <c r="M1803" s="509"/>
      <c r="N1803" s="508"/>
      <c r="O1803" s="507"/>
      <c r="P1803" s="507"/>
      <c r="Q1803" s="505"/>
      <c r="R1803" s="506"/>
      <c r="S1803" s="506"/>
      <c r="T1803" s="506"/>
      <c r="U1803" s="505"/>
      <c r="V1803" s="505"/>
      <c r="W1803" s="505"/>
      <c r="X1803" s="504"/>
      <c r="Y1803" s="503"/>
      <c r="Z1803" s="503"/>
      <c r="AA1803" s="503"/>
      <c r="AB1803" s="503"/>
      <c r="AC1803" s="503"/>
      <c r="AD1803" s="503"/>
      <c r="AE1803" s="503"/>
      <c r="AF1803" s="503"/>
    </row>
    <row r="1804" spans="1:32" ht="15.75" customHeight="1">
      <c r="A1804" s="503"/>
      <c r="B1804" s="503"/>
      <c r="C1804" s="510"/>
      <c r="D1804" s="510"/>
      <c r="E1804" s="510"/>
      <c r="F1804" s="746"/>
      <c r="G1804" s="510"/>
      <c r="H1804" s="510"/>
      <c r="I1804" s="510"/>
      <c r="J1804" s="510"/>
      <c r="K1804" s="510"/>
      <c r="L1804" s="510"/>
      <c r="M1804" s="509"/>
      <c r="N1804" s="508"/>
      <c r="O1804" s="507"/>
      <c r="P1804" s="507"/>
      <c r="Q1804" s="505"/>
      <c r="R1804" s="506"/>
      <c r="S1804" s="506"/>
      <c r="T1804" s="506"/>
      <c r="U1804" s="505"/>
      <c r="V1804" s="505"/>
      <c r="W1804" s="505"/>
      <c r="X1804" s="504"/>
      <c r="Y1804" s="503"/>
      <c r="Z1804" s="503"/>
      <c r="AA1804" s="503"/>
      <c r="AB1804" s="503"/>
      <c r="AC1804" s="503"/>
      <c r="AD1804" s="503"/>
      <c r="AE1804" s="503"/>
      <c r="AF1804" s="503"/>
    </row>
    <row r="1805" spans="1:32" ht="15.75" customHeight="1">
      <c r="A1805" s="503"/>
      <c r="B1805" s="503"/>
      <c r="C1805" s="510"/>
      <c r="D1805" s="510"/>
      <c r="E1805" s="510"/>
      <c r="F1805" s="746"/>
      <c r="G1805" s="510"/>
      <c r="H1805" s="510"/>
      <c r="I1805" s="510"/>
      <c r="J1805" s="510"/>
      <c r="K1805" s="510"/>
      <c r="L1805" s="510"/>
      <c r="M1805" s="509"/>
      <c r="N1805" s="508"/>
      <c r="O1805" s="507"/>
      <c r="P1805" s="507"/>
      <c r="Q1805" s="505"/>
      <c r="R1805" s="506"/>
      <c r="S1805" s="506"/>
      <c r="T1805" s="506"/>
      <c r="U1805" s="505"/>
      <c r="V1805" s="505"/>
      <c r="W1805" s="505"/>
      <c r="X1805" s="504"/>
      <c r="Y1805" s="503"/>
      <c r="Z1805" s="503"/>
      <c r="AA1805" s="503"/>
      <c r="AB1805" s="503"/>
      <c r="AC1805" s="503"/>
      <c r="AD1805" s="503"/>
      <c r="AE1805" s="503"/>
      <c r="AF1805" s="503"/>
    </row>
    <row r="1806" spans="1:32" ht="15.75" customHeight="1">
      <c r="A1806" s="503"/>
      <c r="B1806" s="503"/>
      <c r="C1806" s="510"/>
      <c r="D1806" s="510"/>
      <c r="E1806" s="510"/>
      <c r="F1806" s="746"/>
      <c r="G1806" s="510"/>
      <c r="H1806" s="510"/>
      <c r="I1806" s="510"/>
      <c r="J1806" s="510"/>
      <c r="K1806" s="510"/>
      <c r="L1806" s="510"/>
      <c r="M1806" s="509"/>
      <c r="N1806" s="508"/>
      <c r="O1806" s="507"/>
      <c r="P1806" s="507"/>
      <c r="Q1806" s="505"/>
      <c r="R1806" s="506"/>
      <c r="S1806" s="506"/>
      <c r="T1806" s="506"/>
      <c r="U1806" s="505"/>
      <c r="V1806" s="505"/>
      <c r="W1806" s="505"/>
      <c r="X1806" s="504"/>
      <c r="Y1806" s="503"/>
      <c r="Z1806" s="503"/>
      <c r="AA1806" s="503"/>
      <c r="AB1806" s="503"/>
      <c r="AC1806" s="503"/>
      <c r="AD1806" s="503"/>
      <c r="AE1806" s="503"/>
      <c r="AF1806" s="503"/>
    </row>
    <row r="1807" spans="1:32" ht="15.75" customHeight="1">
      <c r="A1807" s="503"/>
      <c r="B1807" s="503"/>
      <c r="C1807" s="510"/>
      <c r="D1807" s="510"/>
      <c r="E1807" s="510"/>
      <c r="F1807" s="746"/>
      <c r="G1807" s="510"/>
      <c r="H1807" s="510"/>
      <c r="I1807" s="510"/>
      <c r="J1807" s="510"/>
      <c r="K1807" s="510"/>
      <c r="L1807" s="510"/>
      <c r="M1807" s="509"/>
      <c r="N1807" s="508"/>
      <c r="O1807" s="507"/>
      <c r="P1807" s="507"/>
      <c r="Q1807" s="505"/>
      <c r="R1807" s="506"/>
      <c r="S1807" s="506"/>
      <c r="T1807" s="506"/>
      <c r="U1807" s="505"/>
      <c r="V1807" s="505"/>
      <c r="W1807" s="505"/>
      <c r="X1807" s="504"/>
      <c r="Y1807" s="503"/>
      <c r="Z1807" s="503"/>
      <c r="AA1807" s="503"/>
      <c r="AB1807" s="503"/>
      <c r="AC1807" s="503"/>
      <c r="AD1807" s="503"/>
      <c r="AE1807" s="503"/>
      <c r="AF1807" s="503"/>
    </row>
    <row r="1808" spans="1:32" ht="15.75" customHeight="1">
      <c r="A1808" s="503"/>
      <c r="B1808" s="503"/>
      <c r="C1808" s="510"/>
      <c r="D1808" s="510"/>
      <c r="E1808" s="510"/>
      <c r="F1808" s="746"/>
      <c r="G1808" s="510"/>
      <c r="H1808" s="510"/>
      <c r="I1808" s="510"/>
      <c r="J1808" s="510"/>
      <c r="K1808" s="510"/>
      <c r="L1808" s="510"/>
      <c r="M1808" s="509"/>
      <c r="N1808" s="508"/>
      <c r="O1808" s="507"/>
      <c r="P1808" s="507"/>
      <c r="Q1808" s="505"/>
      <c r="R1808" s="506"/>
      <c r="S1808" s="506"/>
      <c r="T1808" s="506"/>
      <c r="U1808" s="505"/>
      <c r="V1808" s="505"/>
      <c r="W1808" s="505"/>
      <c r="X1808" s="504"/>
      <c r="Y1808" s="503"/>
      <c r="Z1808" s="503"/>
      <c r="AA1808" s="503"/>
      <c r="AB1808" s="503"/>
      <c r="AC1808" s="503"/>
      <c r="AD1808" s="503"/>
      <c r="AE1808" s="503"/>
      <c r="AF1808" s="503"/>
    </row>
    <row r="1809" spans="1:32" ht="15.75" customHeight="1">
      <c r="A1809" s="503"/>
      <c r="B1809" s="503"/>
      <c r="C1809" s="510"/>
      <c r="D1809" s="510"/>
      <c r="E1809" s="510"/>
      <c r="F1809" s="746"/>
      <c r="G1809" s="510"/>
      <c r="H1809" s="510"/>
      <c r="I1809" s="510"/>
      <c r="J1809" s="510"/>
      <c r="K1809" s="510"/>
      <c r="L1809" s="510"/>
      <c r="M1809" s="509"/>
      <c r="N1809" s="508"/>
      <c r="O1809" s="507"/>
      <c r="P1809" s="507"/>
      <c r="Q1809" s="505"/>
      <c r="R1809" s="506"/>
      <c r="S1809" s="506"/>
      <c r="T1809" s="506"/>
      <c r="U1809" s="505"/>
      <c r="V1809" s="505"/>
      <c r="W1809" s="505"/>
      <c r="X1809" s="504"/>
      <c r="Y1809" s="503"/>
      <c r="Z1809" s="503"/>
      <c r="AA1809" s="503"/>
      <c r="AB1809" s="503"/>
      <c r="AC1809" s="503"/>
      <c r="AD1809" s="503"/>
      <c r="AE1809" s="503"/>
      <c r="AF1809" s="503"/>
    </row>
    <row r="1810" spans="1:32" ht="15.75" customHeight="1">
      <c r="A1810" s="503"/>
      <c r="B1810" s="503"/>
      <c r="C1810" s="510"/>
      <c r="D1810" s="510"/>
      <c r="E1810" s="510"/>
      <c r="F1810" s="746"/>
      <c r="G1810" s="510"/>
      <c r="H1810" s="510"/>
      <c r="I1810" s="510"/>
      <c r="J1810" s="510"/>
      <c r="K1810" s="510"/>
      <c r="L1810" s="510"/>
      <c r="M1810" s="509"/>
      <c r="N1810" s="508"/>
      <c r="O1810" s="507"/>
      <c r="P1810" s="507"/>
      <c r="Q1810" s="505"/>
      <c r="R1810" s="506"/>
      <c r="S1810" s="506"/>
      <c r="T1810" s="506"/>
      <c r="U1810" s="505"/>
      <c r="V1810" s="505"/>
      <c r="W1810" s="505"/>
      <c r="X1810" s="504"/>
      <c r="Y1810" s="503"/>
      <c r="Z1810" s="503"/>
      <c r="AA1810" s="503"/>
      <c r="AB1810" s="503"/>
      <c r="AC1810" s="503"/>
      <c r="AD1810" s="503"/>
      <c r="AE1810" s="503"/>
      <c r="AF1810" s="503"/>
    </row>
    <row r="1811" spans="1:32" ht="15.75" customHeight="1">
      <c r="A1811" s="503"/>
      <c r="B1811" s="503"/>
      <c r="C1811" s="510"/>
      <c r="D1811" s="510"/>
      <c r="E1811" s="510"/>
      <c r="F1811" s="746"/>
      <c r="G1811" s="510"/>
      <c r="H1811" s="510"/>
      <c r="I1811" s="510"/>
      <c r="J1811" s="510"/>
      <c r="K1811" s="510"/>
      <c r="L1811" s="510"/>
      <c r="M1811" s="509"/>
      <c r="N1811" s="508"/>
      <c r="O1811" s="507"/>
      <c r="P1811" s="507"/>
      <c r="Q1811" s="505"/>
      <c r="R1811" s="506"/>
      <c r="S1811" s="506"/>
      <c r="T1811" s="506"/>
      <c r="U1811" s="505"/>
      <c r="V1811" s="505"/>
      <c r="W1811" s="505"/>
      <c r="X1811" s="504"/>
      <c r="Y1811" s="503"/>
      <c r="Z1811" s="503"/>
      <c r="AA1811" s="503"/>
      <c r="AB1811" s="503"/>
      <c r="AC1811" s="503"/>
      <c r="AD1811" s="503"/>
      <c r="AE1811" s="503"/>
      <c r="AF1811" s="503"/>
    </row>
    <row r="1812" spans="1:32" ht="15.75" customHeight="1">
      <c r="A1812" s="503"/>
      <c r="B1812" s="503"/>
      <c r="C1812" s="510"/>
      <c r="D1812" s="510"/>
      <c r="E1812" s="510"/>
      <c r="F1812" s="746"/>
      <c r="G1812" s="510"/>
      <c r="H1812" s="510"/>
      <c r="I1812" s="510"/>
      <c r="J1812" s="510"/>
      <c r="K1812" s="510"/>
      <c r="L1812" s="510"/>
      <c r="M1812" s="509"/>
      <c r="N1812" s="508"/>
      <c r="O1812" s="507"/>
      <c r="P1812" s="507"/>
      <c r="Q1812" s="505"/>
      <c r="R1812" s="506"/>
      <c r="S1812" s="506"/>
      <c r="T1812" s="506"/>
      <c r="U1812" s="505"/>
      <c r="V1812" s="505"/>
      <c r="W1812" s="505"/>
      <c r="X1812" s="504"/>
      <c r="Y1812" s="503"/>
      <c r="Z1812" s="503"/>
      <c r="AA1812" s="503"/>
      <c r="AB1812" s="503"/>
      <c r="AC1812" s="503"/>
      <c r="AD1812" s="503"/>
      <c r="AE1812" s="503"/>
      <c r="AF1812" s="503"/>
    </row>
    <row r="1813" spans="1:32" ht="15.75" customHeight="1">
      <c r="A1813" s="503"/>
      <c r="B1813" s="503"/>
      <c r="C1813" s="510"/>
      <c r="D1813" s="510"/>
      <c r="E1813" s="510"/>
      <c r="F1813" s="746"/>
      <c r="G1813" s="510"/>
      <c r="H1813" s="510"/>
      <c r="I1813" s="510"/>
      <c r="J1813" s="510"/>
      <c r="K1813" s="510"/>
      <c r="L1813" s="510"/>
      <c r="M1813" s="509"/>
      <c r="N1813" s="508"/>
      <c r="O1813" s="507"/>
      <c r="P1813" s="507"/>
      <c r="Q1813" s="505"/>
      <c r="R1813" s="506"/>
      <c r="S1813" s="506"/>
      <c r="T1813" s="506"/>
      <c r="U1813" s="505"/>
      <c r="V1813" s="505"/>
      <c r="W1813" s="505"/>
      <c r="X1813" s="504"/>
      <c r="Y1813" s="503"/>
      <c r="Z1813" s="503"/>
      <c r="AA1813" s="503"/>
      <c r="AB1813" s="503"/>
      <c r="AC1813" s="503"/>
      <c r="AD1813" s="503"/>
      <c r="AE1813" s="503"/>
      <c r="AF1813" s="503"/>
    </row>
    <row r="1814" spans="1:32" ht="15.75" customHeight="1">
      <c r="A1814" s="503"/>
      <c r="B1814" s="503"/>
      <c r="C1814" s="510"/>
      <c r="D1814" s="510"/>
      <c r="E1814" s="510"/>
      <c r="F1814" s="746"/>
      <c r="G1814" s="510"/>
      <c r="H1814" s="510"/>
      <c r="I1814" s="510"/>
      <c r="J1814" s="510"/>
      <c r="K1814" s="510"/>
      <c r="L1814" s="510"/>
      <c r="M1814" s="509"/>
      <c r="N1814" s="508"/>
      <c r="O1814" s="507"/>
      <c r="P1814" s="507"/>
      <c r="Q1814" s="505"/>
      <c r="R1814" s="506"/>
      <c r="S1814" s="506"/>
      <c r="T1814" s="506"/>
      <c r="U1814" s="505"/>
      <c r="V1814" s="505"/>
      <c r="W1814" s="505"/>
      <c r="X1814" s="504"/>
      <c r="Y1814" s="503"/>
      <c r="Z1814" s="503"/>
      <c r="AA1814" s="503"/>
      <c r="AB1814" s="503"/>
      <c r="AC1814" s="503"/>
      <c r="AD1814" s="503"/>
      <c r="AE1814" s="503"/>
      <c r="AF1814" s="503"/>
    </row>
    <row r="1815" spans="1:32" ht="15.75" customHeight="1">
      <c r="A1815" s="503"/>
      <c r="B1815" s="503"/>
      <c r="C1815" s="510"/>
      <c r="D1815" s="510"/>
      <c r="E1815" s="510"/>
      <c r="F1815" s="746"/>
      <c r="G1815" s="510"/>
      <c r="H1815" s="510"/>
      <c r="I1815" s="510"/>
      <c r="J1815" s="510"/>
      <c r="K1815" s="510"/>
      <c r="L1815" s="510"/>
      <c r="M1815" s="509"/>
      <c r="N1815" s="508"/>
      <c r="O1815" s="507"/>
      <c r="P1815" s="507"/>
      <c r="Q1815" s="505"/>
      <c r="R1815" s="506"/>
      <c r="S1815" s="506"/>
      <c r="T1815" s="506"/>
      <c r="U1815" s="505"/>
      <c r="V1815" s="505"/>
      <c r="W1815" s="505"/>
      <c r="X1815" s="504"/>
      <c r="Y1815" s="503"/>
      <c r="Z1815" s="503"/>
      <c r="AA1815" s="503"/>
      <c r="AB1815" s="503"/>
      <c r="AC1815" s="503"/>
      <c r="AD1815" s="503"/>
      <c r="AE1815" s="503"/>
      <c r="AF1815" s="503"/>
    </row>
    <row r="1816" spans="1:32" ht="15.75" customHeight="1">
      <c r="A1816" s="503"/>
      <c r="B1816" s="503"/>
      <c r="C1816" s="510"/>
      <c r="D1816" s="510"/>
      <c r="E1816" s="510"/>
      <c r="F1816" s="746"/>
      <c r="G1816" s="510"/>
      <c r="H1816" s="510"/>
      <c r="I1816" s="510"/>
      <c r="J1816" s="510"/>
      <c r="K1816" s="510"/>
      <c r="L1816" s="510"/>
      <c r="M1816" s="509"/>
      <c r="N1816" s="508"/>
      <c r="O1816" s="507"/>
      <c r="P1816" s="507"/>
      <c r="Q1816" s="505"/>
      <c r="R1816" s="506"/>
      <c r="S1816" s="506"/>
      <c r="T1816" s="506"/>
      <c r="U1816" s="505"/>
      <c r="V1816" s="505"/>
      <c r="W1816" s="505"/>
      <c r="X1816" s="504"/>
      <c r="Y1816" s="503"/>
      <c r="Z1816" s="503"/>
      <c r="AA1816" s="503"/>
      <c r="AB1816" s="503"/>
      <c r="AC1816" s="503"/>
      <c r="AD1816" s="503"/>
      <c r="AE1816" s="503"/>
      <c r="AF1816" s="503"/>
    </row>
    <row r="1817" spans="1:32" ht="15.75" customHeight="1">
      <c r="A1817" s="503"/>
      <c r="B1817" s="503"/>
      <c r="C1817" s="510"/>
      <c r="D1817" s="510"/>
      <c r="E1817" s="510"/>
      <c r="F1817" s="746"/>
      <c r="G1817" s="510"/>
      <c r="H1817" s="510"/>
      <c r="I1817" s="510"/>
      <c r="J1817" s="510"/>
      <c r="K1817" s="510"/>
      <c r="L1817" s="510"/>
      <c r="M1817" s="509"/>
      <c r="N1817" s="508"/>
      <c r="O1817" s="507"/>
      <c r="P1817" s="507"/>
      <c r="Q1817" s="505"/>
      <c r="R1817" s="506"/>
      <c r="S1817" s="506"/>
      <c r="T1817" s="506"/>
      <c r="U1817" s="505"/>
      <c r="V1817" s="505"/>
      <c r="W1817" s="505"/>
      <c r="X1817" s="504"/>
      <c r="Y1817" s="503"/>
      <c r="Z1817" s="503"/>
      <c r="AA1817" s="503"/>
      <c r="AB1817" s="503"/>
      <c r="AC1817" s="503"/>
      <c r="AD1817" s="503"/>
      <c r="AE1817" s="503"/>
      <c r="AF1817" s="503"/>
    </row>
    <row r="1818" spans="1:32" ht="15.75" customHeight="1">
      <c r="A1818" s="503"/>
      <c r="B1818" s="503"/>
      <c r="C1818" s="510"/>
      <c r="D1818" s="510"/>
      <c r="E1818" s="510"/>
      <c r="F1818" s="746"/>
      <c r="G1818" s="510"/>
      <c r="H1818" s="510"/>
      <c r="I1818" s="510"/>
      <c r="J1818" s="510"/>
      <c r="K1818" s="510"/>
      <c r="L1818" s="510"/>
      <c r="M1818" s="509"/>
      <c r="N1818" s="508"/>
      <c r="O1818" s="507"/>
      <c r="P1818" s="507"/>
      <c r="Q1818" s="505"/>
      <c r="R1818" s="506"/>
      <c r="S1818" s="506"/>
      <c r="T1818" s="506"/>
      <c r="U1818" s="505"/>
      <c r="V1818" s="505"/>
      <c r="W1818" s="505"/>
      <c r="X1818" s="504"/>
      <c r="Y1818" s="503"/>
      <c r="Z1818" s="503"/>
      <c r="AA1818" s="503"/>
      <c r="AB1818" s="503"/>
      <c r="AC1818" s="503"/>
      <c r="AD1818" s="503"/>
      <c r="AE1818" s="503"/>
      <c r="AF1818" s="503"/>
    </row>
    <row r="1819" spans="1:32" ht="15.75" customHeight="1">
      <c r="A1819" s="503"/>
      <c r="B1819" s="503"/>
      <c r="C1819" s="510"/>
      <c r="D1819" s="510"/>
      <c r="E1819" s="510"/>
      <c r="F1819" s="746"/>
      <c r="G1819" s="510"/>
      <c r="H1819" s="510"/>
      <c r="I1819" s="510"/>
      <c r="J1819" s="510"/>
      <c r="K1819" s="510"/>
      <c r="L1819" s="510"/>
      <c r="M1819" s="509"/>
      <c r="N1819" s="508"/>
      <c r="O1819" s="507"/>
      <c r="P1819" s="507"/>
      <c r="Q1819" s="505"/>
      <c r="R1819" s="506"/>
      <c r="S1819" s="506"/>
      <c r="T1819" s="506"/>
      <c r="U1819" s="505"/>
      <c r="V1819" s="505"/>
      <c r="W1819" s="505"/>
      <c r="X1819" s="504"/>
      <c r="Y1819" s="503"/>
      <c r="Z1819" s="503"/>
      <c r="AA1819" s="503"/>
      <c r="AB1819" s="503"/>
      <c r="AC1819" s="503"/>
      <c r="AD1819" s="503"/>
      <c r="AE1819" s="503"/>
      <c r="AF1819" s="503"/>
    </row>
    <row r="1820" spans="1:32" ht="15.75" customHeight="1">
      <c r="A1820" s="503"/>
      <c r="B1820" s="503"/>
      <c r="C1820" s="510"/>
      <c r="D1820" s="510"/>
      <c r="E1820" s="510"/>
      <c r="F1820" s="746"/>
      <c r="G1820" s="510"/>
      <c r="H1820" s="510"/>
      <c r="I1820" s="510"/>
      <c r="J1820" s="510"/>
      <c r="K1820" s="510"/>
      <c r="L1820" s="510"/>
      <c r="M1820" s="509"/>
      <c r="N1820" s="508"/>
      <c r="O1820" s="507"/>
      <c r="P1820" s="507"/>
      <c r="Q1820" s="505"/>
      <c r="R1820" s="506"/>
      <c r="S1820" s="506"/>
      <c r="T1820" s="506"/>
      <c r="U1820" s="505"/>
      <c r="V1820" s="505"/>
      <c r="W1820" s="505"/>
      <c r="X1820" s="504"/>
      <c r="Y1820" s="503"/>
      <c r="Z1820" s="503"/>
      <c r="AA1820" s="503"/>
      <c r="AB1820" s="503"/>
      <c r="AC1820" s="503"/>
      <c r="AD1820" s="503"/>
      <c r="AE1820" s="503"/>
      <c r="AF1820" s="503"/>
    </row>
    <row r="1821" spans="1:32" ht="15.75" customHeight="1">
      <c r="A1821" s="503"/>
      <c r="B1821" s="503"/>
      <c r="C1821" s="510"/>
      <c r="D1821" s="510"/>
      <c r="E1821" s="510"/>
      <c r="F1821" s="746"/>
      <c r="G1821" s="510"/>
      <c r="H1821" s="510"/>
      <c r="I1821" s="510"/>
      <c r="J1821" s="510"/>
      <c r="K1821" s="510"/>
      <c r="L1821" s="510"/>
      <c r="M1821" s="509"/>
      <c r="N1821" s="508"/>
      <c r="O1821" s="507"/>
      <c r="P1821" s="507"/>
      <c r="Q1821" s="505"/>
      <c r="R1821" s="506"/>
      <c r="S1821" s="506"/>
      <c r="T1821" s="506"/>
      <c r="U1821" s="505"/>
      <c r="V1821" s="505"/>
      <c r="W1821" s="505"/>
      <c r="X1821" s="504"/>
      <c r="Y1821" s="503"/>
      <c r="Z1821" s="503"/>
      <c r="AA1821" s="503"/>
      <c r="AB1821" s="503"/>
      <c r="AC1821" s="503"/>
      <c r="AD1821" s="503"/>
      <c r="AE1821" s="503"/>
      <c r="AF1821" s="503"/>
    </row>
    <row r="1822" spans="1:32" ht="15.75" customHeight="1">
      <c r="A1822" s="503"/>
      <c r="B1822" s="503"/>
      <c r="C1822" s="510"/>
      <c r="D1822" s="510"/>
      <c r="E1822" s="510"/>
      <c r="F1822" s="746"/>
      <c r="G1822" s="510"/>
      <c r="H1822" s="510"/>
      <c r="I1822" s="510"/>
      <c r="J1822" s="510"/>
      <c r="K1822" s="510"/>
      <c r="L1822" s="510"/>
      <c r="M1822" s="509"/>
      <c r="N1822" s="508"/>
      <c r="O1822" s="507"/>
      <c r="P1822" s="507"/>
      <c r="Q1822" s="505"/>
      <c r="R1822" s="506"/>
      <c r="S1822" s="506"/>
      <c r="T1822" s="506"/>
      <c r="U1822" s="505"/>
      <c r="V1822" s="505"/>
      <c r="W1822" s="505"/>
      <c r="X1822" s="504"/>
      <c r="Y1822" s="503"/>
      <c r="Z1822" s="503"/>
      <c r="AA1822" s="503"/>
      <c r="AB1822" s="503"/>
      <c r="AC1822" s="503"/>
      <c r="AD1822" s="503"/>
      <c r="AE1822" s="503"/>
      <c r="AF1822" s="503"/>
    </row>
    <row r="1823" spans="1:32" ht="15.75" customHeight="1">
      <c r="A1823" s="503"/>
      <c r="B1823" s="503"/>
      <c r="C1823" s="510"/>
      <c r="D1823" s="510"/>
      <c r="E1823" s="510"/>
      <c r="F1823" s="746"/>
      <c r="G1823" s="510"/>
      <c r="H1823" s="510"/>
      <c r="I1823" s="510"/>
      <c r="J1823" s="510"/>
      <c r="K1823" s="510"/>
      <c r="L1823" s="510"/>
      <c r="M1823" s="509"/>
      <c r="N1823" s="508"/>
      <c r="O1823" s="507"/>
      <c r="P1823" s="507"/>
      <c r="Q1823" s="505"/>
      <c r="R1823" s="506"/>
      <c r="S1823" s="506"/>
      <c r="T1823" s="506"/>
      <c r="U1823" s="505"/>
      <c r="V1823" s="505"/>
      <c r="W1823" s="505"/>
      <c r="X1823" s="504"/>
      <c r="Y1823" s="503"/>
      <c r="Z1823" s="503"/>
      <c r="AA1823" s="503"/>
      <c r="AB1823" s="503"/>
      <c r="AC1823" s="503"/>
      <c r="AD1823" s="503"/>
      <c r="AE1823" s="503"/>
      <c r="AF1823" s="503"/>
    </row>
    <row r="1824" spans="1:32" ht="15.75" customHeight="1">
      <c r="A1824" s="503"/>
      <c r="B1824" s="503"/>
      <c r="C1824" s="510"/>
      <c r="D1824" s="510"/>
      <c r="E1824" s="510"/>
      <c r="F1824" s="746"/>
      <c r="G1824" s="510"/>
      <c r="H1824" s="510"/>
      <c r="I1824" s="510"/>
      <c r="J1824" s="510"/>
      <c r="K1824" s="510"/>
      <c r="L1824" s="510"/>
      <c r="M1824" s="509"/>
      <c r="N1824" s="508"/>
      <c r="O1824" s="507"/>
      <c r="P1824" s="507"/>
      <c r="Q1824" s="505"/>
      <c r="R1824" s="506"/>
      <c r="S1824" s="506"/>
      <c r="T1824" s="506"/>
      <c r="U1824" s="505"/>
      <c r="V1824" s="505"/>
      <c r="W1824" s="505"/>
      <c r="X1824" s="504"/>
      <c r="Y1824" s="503"/>
      <c r="Z1824" s="503"/>
      <c r="AA1824" s="503"/>
      <c r="AB1824" s="503"/>
      <c r="AC1824" s="503"/>
      <c r="AD1824" s="503"/>
      <c r="AE1824" s="503"/>
      <c r="AF1824" s="503"/>
    </row>
    <row r="1825" spans="1:32" ht="15.75" customHeight="1">
      <c r="A1825" s="503"/>
      <c r="B1825" s="503"/>
      <c r="C1825" s="510"/>
      <c r="D1825" s="510"/>
      <c r="E1825" s="510"/>
      <c r="F1825" s="746"/>
      <c r="G1825" s="510"/>
      <c r="H1825" s="510"/>
      <c r="I1825" s="510"/>
      <c r="J1825" s="510"/>
      <c r="K1825" s="510"/>
      <c r="L1825" s="510"/>
      <c r="M1825" s="509"/>
      <c r="N1825" s="508"/>
      <c r="O1825" s="507"/>
      <c r="P1825" s="507"/>
      <c r="Q1825" s="505"/>
      <c r="R1825" s="506"/>
      <c r="S1825" s="506"/>
      <c r="T1825" s="506"/>
      <c r="U1825" s="505"/>
      <c r="V1825" s="505"/>
      <c r="W1825" s="505"/>
      <c r="X1825" s="504"/>
      <c r="Y1825" s="503"/>
      <c r="Z1825" s="503"/>
      <c r="AA1825" s="503"/>
      <c r="AB1825" s="503"/>
      <c r="AC1825" s="503"/>
      <c r="AD1825" s="503"/>
      <c r="AE1825" s="503"/>
      <c r="AF1825" s="503"/>
    </row>
    <row r="1826" spans="1:32" ht="15.75" customHeight="1">
      <c r="A1826" s="503"/>
      <c r="B1826" s="503"/>
      <c r="C1826" s="510"/>
      <c r="D1826" s="510"/>
      <c r="E1826" s="510"/>
      <c r="F1826" s="746"/>
      <c r="G1826" s="510"/>
      <c r="H1826" s="510"/>
      <c r="I1826" s="510"/>
      <c r="J1826" s="510"/>
      <c r="K1826" s="510"/>
      <c r="L1826" s="510"/>
      <c r="M1826" s="509"/>
      <c r="N1826" s="508"/>
      <c r="O1826" s="507"/>
      <c r="P1826" s="507"/>
      <c r="Q1826" s="505"/>
      <c r="R1826" s="506"/>
      <c r="S1826" s="506"/>
      <c r="T1826" s="506"/>
      <c r="U1826" s="505"/>
      <c r="V1826" s="505"/>
      <c r="W1826" s="505"/>
      <c r="X1826" s="504"/>
      <c r="Y1826" s="503"/>
      <c r="Z1826" s="503"/>
      <c r="AA1826" s="503"/>
      <c r="AB1826" s="503"/>
      <c r="AC1826" s="503"/>
      <c r="AD1826" s="503"/>
      <c r="AE1826" s="503"/>
      <c r="AF1826" s="503"/>
    </row>
    <row r="1827" spans="1:32" ht="15.75" customHeight="1">
      <c r="A1827" s="503"/>
      <c r="B1827" s="503"/>
      <c r="C1827" s="510"/>
      <c r="D1827" s="510"/>
      <c r="E1827" s="510"/>
      <c r="F1827" s="746"/>
      <c r="G1827" s="510"/>
      <c r="H1827" s="510"/>
      <c r="I1827" s="510"/>
      <c r="J1827" s="510"/>
      <c r="K1827" s="510"/>
      <c r="L1827" s="510"/>
      <c r="M1827" s="509"/>
      <c r="N1827" s="508"/>
      <c r="O1827" s="507"/>
      <c r="P1827" s="507"/>
      <c r="Q1827" s="505"/>
      <c r="R1827" s="506"/>
      <c r="S1827" s="506"/>
      <c r="T1827" s="506"/>
      <c r="U1827" s="505"/>
      <c r="V1827" s="505"/>
      <c r="W1827" s="505"/>
      <c r="X1827" s="504"/>
      <c r="Y1827" s="503"/>
      <c r="Z1827" s="503"/>
      <c r="AA1827" s="503"/>
      <c r="AB1827" s="503"/>
      <c r="AC1827" s="503"/>
      <c r="AD1827" s="503"/>
      <c r="AE1827" s="503"/>
      <c r="AF1827" s="503"/>
    </row>
    <row r="1828" spans="1:32" ht="15.75" customHeight="1">
      <c r="A1828" s="503"/>
      <c r="B1828" s="503"/>
      <c r="C1828" s="510"/>
      <c r="D1828" s="510"/>
      <c r="E1828" s="510"/>
      <c r="F1828" s="746"/>
      <c r="G1828" s="510"/>
      <c r="H1828" s="510"/>
      <c r="I1828" s="510"/>
      <c r="J1828" s="510"/>
      <c r="K1828" s="510"/>
      <c r="L1828" s="510"/>
      <c r="M1828" s="509"/>
      <c r="N1828" s="508"/>
      <c r="O1828" s="507"/>
      <c r="P1828" s="507"/>
      <c r="Q1828" s="505"/>
      <c r="R1828" s="506"/>
      <c r="S1828" s="506"/>
      <c r="T1828" s="506"/>
      <c r="U1828" s="505"/>
      <c r="V1828" s="505"/>
      <c r="W1828" s="505"/>
      <c r="X1828" s="504"/>
      <c r="Y1828" s="503"/>
      <c r="Z1828" s="503"/>
      <c r="AA1828" s="503"/>
      <c r="AB1828" s="503"/>
      <c r="AC1828" s="503"/>
      <c r="AD1828" s="503"/>
      <c r="AE1828" s="503"/>
      <c r="AF1828" s="503"/>
    </row>
    <row r="1829" spans="1:32" ht="15.75" customHeight="1">
      <c r="A1829" s="503"/>
      <c r="B1829" s="503"/>
      <c r="C1829" s="510"/>
      <c r="D1829" s="510"/>
      <c r="E1829" s="510"/>
      <c r="F1829" s="746"/>
      <c r="G1829" s="510"/>
      <c r="H1829" s="510"/>
      <c r="I1829" s="510"/>
      <c r="J1829" s="510"/>
      <c r="K1829" s="510"/>
      <c r="L1829" s="510"/>
      <c r="M1829" s="509"/>
      <c r="N1829" s="508"/>
      <c r="O1829" s="507"/>
      <c r="P1829" s="507"/>
      <c r="Q1829" s="505"/>
      <c r="R1829" s="506"/>
      <c r="S1829" s="506"/>
      <c r="T1829" s="506"/>
      <c r="U1829" s="505"/>
      <c r="V1829" s="505"/>
      <c r="W1829" s="505"/>
      <c r="X1829" s="504"/>
      <c r="Y1829" s="503"/>
      <c r="Z1829" s="503"/>
      <c r="AA1829" s="503"/>
      <c r="AB1829" s="503"/>
      <c r="AC1829" s="503"/>
      <c r="AD1829" s="503"/>
      <c r="AE1829" s="503"/>
      <c r="AF1829" s="503"/>
    </row>
    <row r="1830" spans="1:32" ht="15.75" customHeight="1">
      <c r="A1830" s="503"/>
      <c r="B1830" s="503"/>
      <c r="C1830" s="510"/>
      <c r="D1830" s="510"/>
      <c r="E1830" s="510"/>
      <c r="F1830" s="746"/>
      <c r="G1830" s="510"/>
      <c r="H1830" s="510"/>
      <c r="I1830" s="510"/>
      <c r="J1830" s="510"/>
      <c r="K1830" s="510"/>
      <c r="L1830" s="510"/>
      <c r="M1830" s="509"/>
      <c r="N1830" s="508"/>
      <c r="O1830" s="507"/>
      <c r="P1830" s="507"/>
      <c r="Q1830" s="505"/>
      <c r="R1830" s="506"/>
      <c r="S1830" s="506"/>
      <c r="T1830" s="506"/>
      <c r="U1830" s="505"/>
      <c r="V1830" s="505"/>
      <c r="W1830" s="505"/>
      <c r="X1830" s="504"/>
      <c r="Y1830" s="503"/>
      <c r="Z1830" s="503"/>
      <c r="AA1830" s="503"/>
      <c r="AB1830" s="503"/>
      <c r="AC1830" s="503"/>
      <c r="AD1830" s="503"/>
      <c r="AE1830" s="503"/>
      <c r="AF1830" s="503"/>
    </row>
    <row r="1831" spans="1:32" ht="15.75" customHeight="1">
      <c r="A1831" s="503"/>
      <c r="B1831" s="503"/>
      <c r="C1831" s="510"/>
      <c r="D1831" s="510"/>
      <c r="E1831" s="510"/>
      <c r="F1831" s="746"/>
      <c r="G1831" s="510"/>
      <c r="H1831" s="510"/>
      <c r="I1831" s="510"/>
      <c r="J1831" s="510"/>
      <c r="K1831" s="510"/>
      <c r="L1831" s="510"/>
      <c r="M1831" s="509"/>
      <c r="N1831" s="508"/>
      <c r="O1831" s="507"/>
      <c r="P1831" s="507"/>
      <c r="Q1831" s="505"/>
      <c r="R1831" s="506"/>
      <c r="S1831" s="506"/>
      <c r="T1831" s="506"/>
      <c r="U1831" s="505"/>
      <c r="V1831" s="505"/>
      <c r="W1831" s="505"/>
      <c r="X1831" s="504"/>
      <c r="Y1831" s="503"/>
      <c r="Z1831" s="503"/>
      <c r="AA1831" s="503"/>
      <c r="AB1831" s="503"/>
      <c r="AC1831" s="503"/>
      <c r="AD1831" s="503"/>
      <c r="AE1831" s="503"/>
      <c r="AF1831" s="503"/>
    </row>
    <row r="1832" spans="1:32" ht="15.75" customHeight="1">
      <c r="A1832" s="503"/>
      <c r="B1832" s="503"/>
      <c r="C1832" s="510"/>
      <c r="D1832" s="510"/>
      <c r="E1832" s="510"/>
      <c r="F1832" s="746"/>
      <c r="G1832" s="510"/>
      <c r="H1832" s="510"/>
      <c r="I1832" s="510"/>
      <c r="J1832" s="510"/>
      <c r="K1832" s="510"/>
      <c r="L1832" s="510"/>
      <c r="M1832" s="509"/>
      <c r="N1832" s="508"/>
      <c r="O1832" s="507"/>
      <c r="P1832" s="507"/>
      <c r="Q1832" s="505"/>
      <c r="R1832" s="506"/>
      <c r="S1832" s="506"/>
      <c r="T1832" s="506"/>
      <c r="U1832" s="505"/>
      <c r="V1832" s="505"/>
      <c r="W1832" s="505"/>
      <c r="X1832" s="504"/>
      <c r="Y1832" s="503"/>
      <c r="Z1832" s="503"/>
      <c r="AA1832" s="503"/>
      <c r="AB1832" s="503"/>
      <c r="AC1832" s="503"/>
      <c r="AD1832" s="503"/>
      <c r="AE1832" s="503"/>
      <c r="AF1832" s="503"/>
    </row>
    <row r="1833" spans="1:32" ht="15.75" customHeight="1">
      <c r="A1833" s="503"/>
      <c r="B1833" s="503"/>
      <c r="C1833" s="510"/>
      <c r="D1833" s="510"/>
      <c r="E1833" s="510"/>
      <c r="F1833" s="746"/>
      <c r="G1833" s="510"/>
      <c r="H1833" s="510"/>
      <c r="I1833" s="510"/>
      <c r="J1833" s="510"/>
      <c r="K1833" s="510"/>
      <c r="L1833" s="510"/>
      <c r="M1833" s="509"/>
      <c r="N1833" s="508"/>
      <c r="O1833" s="507"/>
      <c r="P1833" s="507"/>
      <c r="Q1833" s="505"/>
      <c r="R1833" s="506"/>
      <c r="S1833" s="506"/>
      <c r="T1833" s="506"/>
      <c r="U1833" s="505"/>
      <c r="V1833" s="505"/>
      <c r="W1833" s="505"/>
      <c r="X1833" s="504"/>
      <c r="Y1833" s="503"/>
      <c r="Z1833" s="503"/>
      <c r="AA1833" s="503"/>
      <c r="AB1833" s="503"/>
      <c r="AC1833" s="503"/>
      <c r="AD1833" s="503"/>
      <c r="AE1833" s="503"/>
      <c r="AF1833" s="503"/>
    </row>
    <row r="1834" spans="1:32" ht="15.75" customHeight="1">
      <c r="A1834" s="503"/>
      <c r="B1834" s="503"/>
      <c r="C1834" s="510"/>
      <c r="D1834" s="510"/>
      <c r="E1834" s="510"/>
      <c r="F1834" s="746"/>
      <c r="G1834" s="510"/>
      <c r="H1834" s="510"/>
      <c r="I1834" s="510"/>
      <c r="J1834" s="510"/>
      <c r="K1834" s="510"/>
      <c r="L1834" s="510"/>
      <c r="M1834" s="509"/>
      <c r="N1834" s="508"/>
      <c r="O1834" s="507"/>
      <c r="P1834" s="507"/>
      <c r="Q1834" s="505"/>
      <c r="R1834" s="506"/>
      <c r="S1834" s="506"/>
      <c r="T1834" s="506"/>
      <c r="U1834" s="505"/>
      <c r="V1834" s="505"/>
      <c r="W1834" s="505"/>
      <c r="X1834" s="504"/>
      <c r="Y1834" s="503"/>
      <c r="Z1834" s="503"/>
      <c r="AA1834" s="503"/>
      <c r="AB1834" s="503"/>
      <c r="AC1834" s="503"/>
      <c r="AD1834" s="503"/>
      <c r="AE1834" s="503"/>
      <c r="AF1834" s="503"/>
    </row>
    <row r="1835" spans="1:32" ht="15.75" customHeight="1">
      <c r="A1835" s="503"/>
      <c r="B1835" s="503"/>
      <c r="C1835" s="510"/>
      <c r="D1835" s="510"/>
      <c r="E1835" s="510"/>
      <c r="F1835" s="746"/>
      <c r="G1835" s="510"/>
      <c r="H1835" s="510"/>
      <c r="I1835" s="510"/>
      <c r="J1835" s="510"/>
      <c r="K1835" s="510"/>
      <c r="L1835" s="510"/>
      <c r="M1835" s="509"/>
      <c r="N1835" s="508"/>
      <c r="O1835" s="507"/>
      <c r="P1835" s="507"/>
      <c r="Q1835" s="505"/>
      <c r="R1835" s="506"/>
      <c r="S1835" s="506"/>
      <c r="T1835" s="506"/>
      <c r="U1835" s="505"/>
      <c r="V1835" s="505"/>
      <c r="W1835" s="505"/>
      <c r="X1835" s="504"/>
      <c r="Y1835" s="503"/>
      <c r="Z1835" s="503"/>
      <c r="AA1835" s="503"/>
      <c r="AB1835" s="503"/>
      <c r="AC1835" s="503"/>
      <c r="AD1835" s="503"/>
      <c r="AE1835" s="503"/>
      <c r="AF1835" s="503"/>
    </row>
    <row r="1836" spans="1:32" ht="15.75" customHeight="1">
      <c r="A1836" s="503"/>
      <c r="B1836" s="503"/>
      <c r="C1836" s="510"/>
      <c r="D1836" s="510"/>
      <c r="E1836" s="510"/>
      <c r="F1836" s="746"/>
      <c r="G1836" s="510"/>
      <c r="H1836" s="510"/>
      <c r="I1836" s="510"/>
      <c r="J1836" s="510"/>
      <c r="K1836" s="510"/>
      <c r="L1836" s="510"/>
      <c r="M1836" s="509"/>
      <c r="N1836" s="508"/>
      <c r="O1836" s="507"/>
      <c r="P1836" s="507"/>
      <c r="Q1836" s="505"/>
      <c r="R1836" s="506"/>
      <c r="S1836" s="506"/>
      <c r="T1836" s="506"/>
      <c r="U1836" s="505"/>
      <c r="V1836" s="505"/>
      <c r="W1836" s="505"/>
      <c r="X1836" s="504"/>
      <c r="Y1836" s="503"/>
      <c r="Z1836" s="503"/>
      <c r="AA1836" s="503"/>
      <c r="AB1836" s="503"/>
      <c r="AC1836" s="503"/>
      <c r="AD1836" s="503"/>
      <c r="AE1836" s="503"/>
      <c r="AF1836" s="503"/>
    </row>
    <row r="1837" spans="1:32" ht="15.75" customHeight="1">
      <c r="A1837" s="503"/>
      <c r="B1837" s="503"/>
      <c r="C1837" s="510"/>
      <c r="D1837" s="510"/>
      <c r="E1837" s="510"/>
      <c r="F1837" s="746"/>
      <c r="G1837" s="510"/>
      <c r="H1837" s="510"/>
      <c r="I1837" s="510"/>
      <c r="J1837" s="510"/>
      <c r="K1837" s="510"/>
      <c r="L1837" s="510"/>
      <c r="M1837" s="509"/>
      <c r="N1837" s="508"/>
      <c r="O1837" s="507"/>
      <c r="P1837" s="507"/>
      <c r="Q1837" s="505"/>
      <c r="R1837" s="506"/>
      <c r="S1837" s="506"/>
      <c r="T1837" s="506"/>
      <c r="U1837" s="505"/>
      <c r="V1837" s="505"/>
      <c r="W1837" s="505"/>
      <c r="X1837" s="504"/>
      <c r="Y1837" s="503"/>
      <c r="Z1837" s="503"/>
      <c r="AA1837" s="503"/>
      <c r="AB1837" s="503"/>
      <c r="AC1837" s="503"/>
      <c r="AD1837" s="503"/>
      <c r="AE1837" s="503"/>
      <c r="AF1837" s="503"/>
    </row>
    <row r="1838" spans="1:32" ht="15.75" customHeight="1">
      <c r="A1838" s="503"/>
      <c r="B1838" s="503"/>
      <c r="C1838" s="510"/>
      <c r="D1838" s="510"/>
      <c r="E1838" s="510"/>
      <c r="F1838" s="746"/>
      <c r="G1838" s="510"/>
      <c r="H1838" s="510"/>
      <c r="I1838" s="510"/>
      <c r="J1838" s="510"/>
      <c r="K1838" s="510"/>
      <c r="L1838" s="510"/>
      <c r="M1838" s="509"/>
      <c r="N1838" s="508"/>
      <c r="O1838" s="507"/>
      <c r="P1838" s="507"/>
      <c r="Q1838" s="505"/>
      <c r="R1838" s="506"/>
      <c r="S1838" s="506"/>
      <c r="T1838" s="506"/>
      <c r="U1838" s="505"/>
      <c r="V1838" s="505"/>
      <c r="W1838" s="505"/>
      <c r="X1838" s="504"/>
      <c r="Y1838" s="503"/>
      <c r="Z1838" s="503"/>
      <c r="AA1838" s="503"/>
      <c r="AB1838" s="503"/>
      <c r="AC1838" s="503"/>
      <c r="AD1838" s="503"/>
      <c r="AE1838" s="503"/>
      <c r="AF1838" s="503"/>
    </row>
    <row r="1839" spans="1:32" ht="15.75" customHeight="1">
      <c r="A1839" s="503"/>
      <c r="B1839" s="503"/>
      <c r="C1839" s="510"/>
      <c r="D1839" s="510"/>
      <c r="E1839" s="510"/>
      <c r="F1839" s="746"/>
      <c r="G1839" s="510"/>
      <c r="H1839" s="510"/>
      <c r="I1839" s="510"/>
      <c r="J1839" s="510"/>
      <c r="K1839" s="510"/>
      <c r="L1839" s="510"/>
      <c r="M1839" s="509"/>
      <c r="N1839" s="508"/>
      <c r="O1839" s="507"/>
      <c r="P1839" s="507"/>
      <c r="Q1839" s="505"/>
      <c r="R1839" s="506"/>
      <c r="S1839" s="506"/>
      <c r="T1839" s="506"/>
      <c r="U1839" s="505"/>
      <c r="V1839" s="505"/>
      <c r="W1839" s="505"/>
      <c r="X1839" s="504"/>
      <c r="Y1839" s="503"/>
      <c r="Z1839" s="503"/>
      <c r="AA1839" s="503"/>
      <c r="AB1839" s="503"/>
      <c r="AC1839" s="503"/>
      <c r="AD1839" s="503"/>
      <c r="AE1839" s="503"/>
      <c r="AF1839" s="503"/>
    </row>
    <row r="1840" spans="1:32" ht="15.75" customHeight="1">
      <c r="A1840" s="503"/>
      <c r="B1840" s="503"/>
      <c r="C1840" s="510"/>
      <c r="D1840" s="510"/>
      <c r="E1840" s="510"/>
      <c r="F1840" s="746"/>
      <c r="G1840" s="510"/>
      <c r="H1840" s="510"/>
      <c r="I1840" s="510"/>
      <c r="J1840" s="510"/>
      <c r="K1840" s="510"/>
      <c r="L1840" s="510"/>
      <c r="M1840" s="509"/>
      <c r="N1840" s="508"/>
      <c r="O1840" s="507"/>
      <c r="P1840" s="507"/>
      <c r="Q1840" s="505"/>
      <c r="R1840" s="506"/>
      <c r="S1840" s="506"/>
      <c r="T1840" s="506"/>
      <c r="U1840" s="505"/>
      <c r="V1840" s="505"/>
      <c r="W1840" s="505"/>
      <c r="X1840" s="504"/>
      <c r="Y1840" s="503"/>
      <c r="Z1840" s="503"/>
      <c r="AA1840" s="503"/>
      <c r="AB1840" s="503"/>
      <c r="AC1840" s="503"/>
      <c r="AD1840" s="503"/>
      <c r="AE1840" s="503"/>
      <c r="AF1840" s="503"/>
    </row>
    <row r="1841" spans="1:32" ht="15.75" customHeight="1">
      <c r="A1841" s="503"/>
      <c r="B1841" s="503"/>
      <c r="C1841" s="510"/>
      <c r="D1841" s="510"/>
      <c r="E1841" s="510"/>
      <c r="F1841" s="746"/>
      <c r="G1841" s="510"/>
      <c r="H1841" s="510"/>
      <c r="I1841" s="510"/>
      <c r="J1841" s="510"/>
      <c r="K1841" s="510"/>
      <c r="L1841" s="510"/>
      <c r="M1841" s="509"/>
      <c r="N1841" s="508"/>
      <c r="O1841" s="507"/>
      <c r="P1841" s="507"/>
      <c r="Q1841" s="505"/>
      <c r="R1841" s="506"/>
      <c r="S1841" s="506"/>
      <c r="T1841" s="506"/>
      <c r="U1841" s="505"/>
      <c r="V1841" s="505"/>
      <c r="W1841" s="505"/>
      <c r="X1841" s="504"/>
      <c r="Y1841" s="503"/>
      <c r="Z1841" s="503"/>
      <c r="AA1841" s="503"/>
      <c r="AB1841" s="503"/>
      <c r="AC1841" s="503"/>
      <c r="AD1841" s="503"/>
      <c r="AE1841" s="503"/>
      <c r="AF1841" s="503"/>
    </row>
    <row r="1842" spans="1:32" ht="15.75" customHeight="1">
      <c r="A1842" s="503"/>
      <c r="B1842" s="503"/>
      <c r="C1842" s="510"/>
      <c r="D1842" s="510"/>
      <c r="E1842" s="510"/>
      <c r="F1842" s="746"/>
      <c r="G1842" s="510"/>
      <c r="H1842" s="510"/>
      <c r="I1842" s="510"/>
      <c r="J1842" s="510"/>
      <c r="K1842" s="510"/>
      <c r="L1842" s="510"/>
      <c r="M1842" s="509"/>
      <c r="N1842" s="508"/>
      <c r="O1842" s="507"/>
      <c r="P1842" s="507"/>
      <c r="Q1842" s="505"/>
      <c r="R1842" s="506"/>
      <c r="S1842" s="506"/>
      <c r="T1842" s="506"/>
      <c r="U1842" s="505"/>
      <c r="V1842" s="505"/>
      <c r="W1842" s="505"/>
      <c r="X1842" s="504"/>
      <c r="Y1842" s="503"/>
      <c r="Z1842" s="503"/>
      <c r="AA1842" s="503"/>
      <c r="AB1842" s="503"/>
      <c r="AC1842" s="503"/>
      <c r="AD1842" s="503"/>
      <c r="AE1842" s="503"/>
      <c r="AF1842" s="503"/>
    </row>
    <row r="1843" spans="1:32" ht="15.75" customHeight="1">
      <c r="A1843" s="503"/>
      <c r="B1843" s="503"/>
      <c r="C1843" s="510"/>
      <c r="D1843" s="510"/>
      <c r="E1843" s="510"/>
      <c r="F1843" s="746"/>
      <c r="G1843" s="510"/>
      <c r="H1843" s="510"/>
      <c r="I1843" s="510"/>
      <c r="J1843" s="510"/>
      <c r="K1843" s="510"/>
      <c r="L1843" s="510"/>
      <c r="M1843" s="509"/>
      <c r="N1843" s="508"/>
      <c r="O1843" s="507"/>
      <c r="P1843" s="507"/>
      <c r="Q1843" s="505"/>
      <c r="R1843" s="506"/>
      <c r="S1843" s="506"/>
      <c r="T1843" s="506"/>
      <c r="U1843" s="505"/>
      <c r="V1843" s="505"/>
      <c r="W1843" s="505"/>
      <c r="X1843" s="504"/>
      <c r="Y1843" s="503"/>
      <c r="Z1843" s="503"/>
      <c r="AA1843" s="503"/>
      <c r="AB1843" s="503"/>
      <c r="AC1843" s="503"/>
      <c r="AD1843" s="503"/>
      <c r="AE1843" s="503"/>
      <c r="AF1843" s="503"/>
    </row>
    <row r="1844" spans="1:32" ht="15.75" customHeight="1">
      <c r="A1844" s="503"/>
      <c r="B1844" s="503"/>
      <c r="C1844" s="510"/>
      <c r="D1844" s="510"/>
      <c r="E1844" s="510"/>
      <c r="F1844" s="746"/>
      <c r="G1844" s="510"/>
      <c r="H1844" s="510"/>
      <c r="I1844" s="510"/>
      <c r="J1844" s="510"/>
      <c r="K1844" s="510"/>
      <c r="L1844" s="510"/>
      <c r="M1844" s="509"/>
      <c r="N1844" s="508"/>
      <c r="O1844" s="507"/>
      <c r="P1844" s="507"/>
      <c r="Q1844" s="505"/>
      <c r="R1844" s="506"/>
      <c r="S1844" s="506"/>
      <c r="T1844" s="506"/>
      <c r="U1844" s="505"/>
      <c r="V1844" s="505"/>
      <c r="W1844" s="505"/>
      <c r="X1844" s="504"/>
      <c r="Y1844" s="503"/>
      <c r="Z1844" s="503"/>
      <c r="AA1844" s="503"/>
      <c r="AB1844" s="503"/>
      <c r="AC1844" s="503"/>
      <c r="AD1844" s="503"/>
      <c r="AE1844" s="503"/>
      <c r="AF1844" s="503"/>
    </row>
    <row r="1845" spans="1:32" ht="15.75" customHeight="1">
      <c r="A1845" s="503"/>
      <c r="B1845" s="503"/>
      <c r="C1845" s="510"/>
      <c r="D1845" s="510"/>
      <c r="E1845" s="510"/>
      <c r="F1845" s="746"/>
      <c r="G1845" s="510"/>
      <c r="H1845" s="510"/>
      <c r="I1845" s="510"/>
      <c r="J1845" s="510"/>
      <c r="K1845" s="510"/>
      <c r="L1845" s="510"/>
      <c r="M1845" s="509"/>
      <c r="N1845" s="508"/>
      <c r="O1845" s="507"/>
      <c r="P1845" s="507"/>
      <c r="Q1845" s="505"/>
      <c r="R1845" s="506"/>
      <c r="S1845" s="506"/>
      <c r="T1845" s="506"/>
      <c r="U1845" s="505"/>
      <c r="V1845" s="505"/>
      <c r="W1845" s="505"/>
      <c r="X1845" s="504"/>
      <c r="Y1845" s="503"/>
      <c r="Z1845" s="503"/>
      <c r="AA1845" s="503"/>
      <c r="AB1845" s="503"/>
      <c r="AC1845" s="503"/>
      <c r="AD1845" s="503"/>
      <c r="AE1845" s="503"/>
      <c r="AF1845" s="503"/>
    </row>
    <row r="1846" spans="1:32" ht="15.75" customHeight="1">
      <c r="A1846" s="503"/>
      <c r="B1846" s="503"/>
      <c r="C1846" s="510"/>
      <c r="D1846" s="510"/>
      <c r="E1846" s="510"/>
      <c r="F1846" s="746"/>
      <c r="G1846" s="510"/>
      <c r="H1846" s="510"/>
      <c r="I1846" s="510"/>
      <c r="J1846" s="510"/>
      <c r="K1846" s="510"/>
      <c r="L1846" s="510"/>
      <c r="M1846" s="509"/>
      <c r="N1846" s="508"/>
      <c r="O1846" s="507"/>
      <c r="P1846" s="507"/>
      <c r="Q1846" s="505"/>
      <c r="R1846" s="506"/>
      <c r="S1846" s="506"/>
      <c r="T1846" s="506"/>
      <c r="U1846" s="505"/>
      <c r="V1846" s="505"/>
      <c r="W1846" s="505"/>
      <c r="X1846" s="504"/>
      <c r="Y1846" s="503"/>
      <c r="Z1846" s="503"/>
      <c r="AA1846" s="503"/>
      <c r="AB1846" s="503"/>
      <c r="AC1846" s="503"/>
      <c r="AD1846" s="503"/>
      <c r="AE1846" s="503"/>
      <c r="AF1846" s="503"/>
    </row>
    <row r="1847" spans="1:32" ht="15.75" customHeight="1">
      <c r="A1847" s="503"/>
      <c r="B1847" s="503"/>
      <c r="C1847" s="510"/>
      <c r="D1847" s="510"/>
      <c r="E1847" s="510"/>
      <c r="F1847" s="746"/>
      <c r="G1847" s="510"/>
      <c r="H1847" s="510"/>
      <c r="I1847" s="510"/>
      <c r="J1847" s="510"/>
      <c r="K1847" s="510"/>
      <c r="L1847" s="510"/>
      <c r="M1847" s="509"/>
      <c r="N1847" s="508"/>
      <c r="O1847" s="507"/>
      <c r="P1847" s="507"/>
      <c r="Q1847" s="505"/>
      <c r="R1847" s="506"/>
      <c r="S1847" s="506"/>
      <c r="T1847" s="506"/>
      <c r="U1847" s="505"/>
      <c r="V1847" s="505"/>
      <c r="W1847" s="505"/>
      <c r="X1847" s="504"/>
      <c r="Y1847" s="503"/>
      <c r="Z1847" s="503"/>
      <c r="AA1847" s="503"/>
      <c r="AB1847" s="503"/>
      <c r="AC1847" s="503"/>
      <c r="AD1847" s="503"/>
      <c r="AE1847" s="503"/>
      <c r="AF1847" s="503"/>
    </row>
    <row r="1848" spans="1:32" ht="15.75" customHeight="1">
      <c r="A1848" s="503"/>
      <c r="B1848" s="503"/>
      <c r="C1848" s="510"/>
      <c r="D1848" s="510"/>
      <c r="E1848" s="510"/>
      <c r="F1848" s="746"/>
      <c r="G1848" s="510"/>
      <c r="H1848" s="510"/>
      <c r="I1848" s="510"/>
      <c r="J1848" s="510"/>
      <c r="K1848" s="510"/>
      <c r="L1848" s="510"/>
      <c r="M1848" s="509"/>
      <c r="N1848" s="508"/>
      <c r="O1848" s="507"/>
      <c r="P1848" s="507"/>
      <c r="Q1848" s="505"/>
      <c r="R1848" s="506"/>
      <c r="S1848" s="506"/>
      <c r="T1848" s="506"/>
      <c r="U1848" s="505"/>
      <c r="V1848" s="505"/>
      <c r="W1848" s="505"/>
      <c r="X1848" s="504"/>
      <c r="Y1848" s="503"/>
      <c r="Z1848" s="503"/>
      <c r="AA1848" s="503"/>
      <c r="AB1848" s="503"/>
      <c r="AC1848" s="503"/>
      <c r="AD1848" s="503"/>
      <c r="AE1848" s="503"/>
      <c r="AF1848" s="503"/>
    </row>
    <row r="1849" spans="1:32" ht="15.75" customHeight="1">
      <c r="A1849" s="503"/>
      <c r="B1849" s="503"/>
      <c r="C1849" s="510"/>
      <c r="D1849" s="510"/>
      <c r="E1849" s="510"/>
      <c r="F1849" s="746"/>
      <c r="G1849" s="510"/>
      <c r="H1849" s="510"/>
      <c r="I1849" s="510"/>
      <c r="J1849" s="510"/>
      <c r="K1849" s="510"/>
      <c r="L1849" s="510"/>
      <c r="M1849" s="509"/>
      <c r="N1849" s="508"/>
      <c r="O1849" s="507"/>
      <c r="P1849" s="507"/>
      <c r="Q1849" s="505"/>
      <c r="R1849" s="506"/>
      <c r="S1849" s="506"/>
      <c r="T1849" s="506"/>
      <c r="U1849" s="505"/>
      <c r="V1849" s="505"/>
      <c r="W1849" s="505"/>
      <c r="X1849" s="504"/>
      <c r="Y1849" s="503"/>
      <c r="Z1849" s="503"/>
      <c r="AA1849" s="503"/>
      <c r="AB1849" s="503"/>
      <c r="AC1849" s="503"/>
      <c r="AD1849" s="503"/>
      <c r="AE1849" s="503"/>
      <c r="AF1849" s="503"/>
    </row>
    <row r="1850" spans="1:32" ht="15.75" customHeight="1">
      <c r="A1850" s="503"/>
      <c r="B1850" s="503"/>
      <c r="C1850" s="510"/>
      <c r="D1850" s="510"/>
      <c r="E1850" s="510"/>
      <c r="F1850" s="746"/>
      <c r="G1850" s="510"/>
      <c r="H1850" s="510"/>
      <c r="I1850" s="510"/>
      <c r="J1850" s="510"/>
      <c r="K1850" s="510"/>
      <c r="L1850" s="510"/>
      <c r="M1850" s="509"/>
      <c r="N1850" s="508"/>
      <c r="O1850" s="507"/>
      <c r="P1850" s="507"/>
      <c r="Q1850" s="505"/>
      <c r="R1850" s="506"/>
      <c r="S1850" s="506"/>
      <c r="T1850" s="506"/>
      <c r="U1850" s="505"/>
      <c r="V1850" s="505"/>
      <c r="W1850" s="505"/>
      <c r="X1850" s="504"/>
      <c r="Y1850" s="503"/>
      <c r="Z1850" s="503"/>
      <c r="AA1850" s="503"/>
      <c r="AB1850" s="503"/>
      <c r="AC1850" s="503"/>
      <c r="AD1850" s="503"/>
      <c r="AE1850" s="503"/>
      <c r="AF1850" s="503"/>
    </row>
    <row r="1851" spans="1:32" ht="15.75" customHeight="1">
      <c r="A1851" s="503"/>
      <c r="B1851" s="503"/>
      <c r="C1851" s="510"/>
      <c r="D1851" s="510"/>
      <c r="E1851" s="510"/>
      <c r="F1851" s="746"/>
      <c r="G1851" s="510"/>
      <c r="H1851" s="510"/>
      <c r="I1851" s="510"/>
      <c r="J1851" s="510"/>
      <c r="K1851" s="510"/>
      <c r="L1851" s="510"/>
      <c r="M1851" s="509"/>
      <c r="N1851" s="508"/>
      <c r="O1851" s="507"/>
      <c r="P1851" s="507"/>
      <c r="Q1851" s="505"/>
      <c r="R1851" s="506"/>
      <c r="S1851" s="506"/>
      <c r="T1851" s="506"/>
      <c r="U1851" s="505"/>
      <c r="V1851" s="505"/>
      <c r="W1851" s="505"/>
      <c r="X1851" s="504"/>
      <c r="Y1851" s="503"/>
      <c r="Z1851" s="503"/>
      <c r="AA1851" s="503"/>
      <c r="AB1851" s="503"/>
      <c r="AC1851" s="503"/>
      <c r="AD1851" s="503"/>
      <c r="AE1851" s="503"/>
      <c r="AF1851" s="503"/>
    </row>
    <row r="1852" spans="1:32" ht="15.75" customHeight="1">
      <c r="A1852" s="503"/>
      <c r="B1852" s="503"/>
      <c r="C1852" s="510"/>
      <c r="D1852" s="510"/>
      <c r="E1852" s="510"/>
      <c r="F1852" s="746"/>
      <c r="G1852" s="510"/>
      <c r="H1852" s="510"/>
      <c r="I1852" s="510"/>
      <c r="J1852" s="510"/>
      <c r="K1852" s="510"/>
      <c r="L1852" s="510"/>
      <c r="M1852" s="509"/>
      <c r="N1852" s="508"/>
      <c r="O1852" s="507"/>
      <c r="P1852" s="507"/>
      <c r="Q1852" s="505"/>
      <c r="R1852" s="506"/>
      <c r="S1852" s="506"/>
      <c r="T1852" s="506"/>
      <c r="U1852" s="505"/>
      <c r="V1852" s="505"/>
      <c r="W1852" s="505"/>
      <c r="X1852" s="504"/>
      <c r="Y1852" s="503"/>
      <c r="Z1852" s="503"/>
      <c r="AA1852" s="503"/>
      <c r="AB1852" s="503"/>
      <c r="AC1852" s="503"/>
      <c r="AD1852" s="503"/>
      <c r="AE1852" s="503"/>
      <c r="AF1852" s="503"/>
    </row>
    <row r="1853" spans="1:32" ht="15.75" customHeight="1">
      <c r="A1853" s="503"/>
      <c r="B1853" s="503"/>
      <c r="C1853" s="510"/>
      <c r="D1853" s="510"/>
      <c r="E1853" s="510"/>
      <c r="F1853" s="746"/>
      <c r="G1853" s="510"/>
      <c r="H1853" s="510"/>
      <c r="I1853" s="510"/>
      <c r="J1853" s="510"/>
      <c r="K1853" s="510"/>
      <c r="L1853" s="510"/>
      <c r="M1853" s="509"/>
      <c r="N1853" s="508"/>
      <c r="O1853" s="507"/>
      <c r="P1853" s="507"/>
      <c r="Q1853" s="505"/>
      <c r="R1853" s="506"/>
      <c r="S1853" s="506"/>
      <c r="T1853" s="506"/>
      <c r="U1853" s="505"/>
      <c r="V1853" s="505"/>
      <c r="W1853" s="505"/>
      <c r="X1853" s="504"/>
      <c r="Y1853" s="503"/>
      <c r="Z1853" s="503"/>
      <c r="AA1853" s="503"/>
      <c r="AB1853" s="503"/>
      <c r="AC1853" s="503"/>
      <c r="AD1853" s="503"/>
      <c r="AE1853" s="503"/>
      <c r="AF1853" s="503"/>
    </row>
    <row r="1854" spans="1:32" ht="15.75" customHeight="1">
      <c r="A1854" s="503"/>
      <c r="B1854" s="503"/>
      <c r="C1854" s="510"/>
      <c r="D1854" s="510"/>
      <c r="E1854" s="510"/>
      <c r="F1854" s="746"/>
      <c r="G1854" s="510"/>
      <c r="H1854" s="510"/>
      <c r="I1854" s="510"/>
      <c r="J1854" s="510"/>
      <c r="K1854" s="510"/>
      <c r="L1854" s="510"/>
      <c r="M1854" s="509"/>
      <c r="N1854" s="508"/>
      <c r="O1854" s="507"/>
      <c r="P1854" s="507"/>
      <c r="Q1854" s="505"/>
      <c r="R1854" s="506"/>
      <c r="S1854" s="506"/>
      <c r="T1854" s="506"/>
      <c r="U1854" s="505"/>
      <c r="V1854" s="505"/>
      <c r="W1854" s="505"/>
      <c r="X1854" s="504"/>
      <c r="Y1854" s="503"/>
      <c r="Z1854" s="503"/>
      <c r="AA1854" s="503"/>
      <c r="AB1854" s="503"/>
      <c r="AC1854" s="503"/>
      <c r="AD1854" s="503"/>
      <c r="AE1854" s="503"/>
      <c r="AF1854" s="503"/>
    </row>
    <row r="1855" spans="1:32" ht="15.75" customHeight="1">
      <c r="A1855" s="503"/>
      <c r="B1855" s="503"/>
      <c r="C1855" s="510"/>
      <c r="D1855" s="510"/>
      <c r="E1855" s="510"/>
      <c r="F1855" s="746"/>
      <c r="G1855" s="510"/>
      <c r="H1855" s="510"/>
      <c r="I1855" s="510"/>
      <c r="J1855" s="510"/>
      <c r="K1855" s="510"/>
      <c r="L1855" s="510"/>
      <c r="M1855" s="509"/>
      <c r="N1855" s="508"/>
      <c r="O1855" s="507"/>
      <c r="P1855" s="507"/>
      <c r="Q1855" s="505"/>
      <c r="R1855" s="506"/>
      <c r="S1855" s="506"/>
      <c r="T1855" s="506"/>
      <c r="U1855" s="505"/>
      <c r="V1855" s="505"/>
      <c r="W1855" s="505"/>
      <c r="X1855" s="504"/>
      <c r="Y1855" s="503"/>
      <c r="Z1855" s="503"/>
      <c r="AA1855" s="503"/>
      <c r="AB1855" s="503"/>
      <c r="AC1855" s="503"/>
      <c r="AD1855" s="503"/>
      <c r="AE1855" s="503"/>
      <c r="AF1855" s="503"/>
    </row>
    <row r="1856" spans="1:32" ht="15.75" customHeight="1">
      <c r="A1856" s="503"/>
      <c r="B1856" s="503"/>
      <c r="C1856" s="510"/>
      <c r="D1856" s="510"/>
      <c r="E1856" s="510"/>
      <c r="F1856" s="746"/>
      <c r="G1856" s="510"/>
      <c r="H1856" s="510"/>
      <c r="I1856" s="510"/>
      <c r="J1856" s="510"/>
      <c r="K1856" s="510"/>
      <c r="L1856" s="510"/>
      <c r="M1856" s="509"/>
      <c r="N1856" s="508"/>
      <c r="O1856" s="507"/>
      <c r="P1856" s="507"/>
      <c r="Q1856" s="505"/>
      <c r="R1856" s="506"/>
      <c r="S1856" s="506"/>
      <c r="T1856" s="506"/>
      <c r="U1856" s="505"/>
      <c r="V1856" s="505"/>
      <c r="W1856" s="505"/>
      <c r="X1856" s="504"/>
      <c r="Y1856" s="503"/>
      <c r="Z1856" s="503"/>
      <c r="AA1856" s="503"/>
      <c r="AB1856" s="503"/>
      <c r="AC1856" s="503"/>
      <c r="AD1856" s="503"/>
      <c r="AE1856" s="503"/>
      <c r="AF1856" s="503"/>
    </row>
    <row r="1857" spans="1:32" ht="15.75" customHeight="1">
      <c r="A1857" s="503"/>
      <c r="B1857" s="503"/>
      <c r="C1857" s="510"/>
      <c r="D1857" s="510"/>
      <c r="E1857" s="510"/>
      <c r="F1857" s="746"/>
      <c r="G1857" s="510"/>
      <c r="H1857" s="510"/>
      <c r="I1857" s="510"/>
      <c r="J1857" s="510"/>
      <c r="K1857" s="510"/>
      <c r="L1857" s="510"/>
      <c r="M1857" s="509"/>
      <c r="N1857" s="508"/>
      <c r="O1857" s="507"/>
      <c r="P1857" s="507"/>
      <c r="Q1857" s="505"/>
      <c r="R1857" s="506"/>
      <c r="S1857" s="506"/>
      <c r="T1857" s="506"/>
      <c r="U1857" s="505"/>
      <c r="V1857" s="505"/>
      <c r="W1857" s="505"/>
      <c r="X1857" s="504"/>
      <c r="Y1857" s="503"/>
      <c r="Z1857" s="503"/>
      <c r="AA1857" s="503"/>
      <c r="AB1857" s="503"/>
      <c r="AC1857" s="503"/>
      <c r="AD1857" s="503"/>
      <c r="AE1857" s="503"/>
      <c r="AF1857" s="503"/>
    </row>
    <row r="1858" spans="1:32" ht="15.75" customHeight="1">
      <c r="A1858" s="503"/>
      <c r="B1858" s="503"/>
      <c r="C1858" s="510"/>
      <c r="D1858" s="510"/>
      <c r="E1858" s="510"/>
      <c r="F1858" s="746"/>
      <c r="G1858" s="510"/>
      <c r="H1858" s="510"/>
      <c r="I1858" s="510"/>
      <c r="J1858" s="510"/>
      <c r="K1858" s="510"/>
      <c r="L1858" s="510"/>
      <c r="M1858" s="509"/>
      <c r="N1858" s="508"/>
      <c r="O1858" s="507"/>
      <c r="P1858" s="507"/>
      <c r="Q1858" s="505"/>
      <c r="R1858" s="506"/>
      <c r="S1858" s="506"/>
      <c r="T1858" s="506"/>
      <c r="U1858" s="505"/>
      <c r="V1858" s="505"/>
      <c r="W1858" s="505"/>
      <c r="X1858" s="504"/>
      <c r="Y1858" s="503"/>
      <c r="Z1858" s="503"/>
      <c r="AA1858" s="503"/>
      <c r="AB1858" s="503"/>
      <c r="AC1858" s="503"/>
      <c r="AD1858" s="503"/>
      <c r="AE1858" s="503"/>
      <c r="AF1858" s="503"/>
    </row>
    <row r="1859" spans="1:32" ht="15.75" customHeight="1">
      <c r="A1859" s="503"/>
      <c r="B1859" s="503"/>
      <c r="C1859" s="510"/>
      <c r="D1859" s="510"/>
      <c r="E1859" s="510"/>
      <c r="F1859" s="746"/>
      <c r="G1859" s="510"/>
      <c r="H1859" s="510"/>
      <c r="I1859" s="510"/>
      <c r="J1859" s="510"/>
      <c r="K1859" s="510"/>
      <c r="L1859" s="510"/>
      <c r="M1859" s="509"/>
      <c r="N1859" s="508"/>
      <c r="O1859" s="507"/>
      <c r="P1859" s="507"/>
      <c r="Q1859" s="505"/>
      <c r="R1859" s="506"/>
      <c r="S1859" s="506"/>
      <c r="T1859" s="506"/>
      <c r="U1859" s="505"/>
      <c r="V1859" s="505"/>
      <c r="W1859" s="505"/>
      <c r="X1859" s="504"/>
      <c r="Y1859" s="503"/>
      <c r="Z1859" s="503"/>
      <c r="AA1859" s="503"/>
      <c r="AB1859" s="503"/>
      <c r="AC1859" s="503"/>
      <c r="AD1859" s="503"/>
      <c r="AE1859" s="503"/>
      <c r="AF1859" s="503"/>
    </row>
    <row r="1860" spans="1:32" ht="15.75" customHeight="1">
      <c r="A1860" s="503"/>
      <c r="B1860" s="503"/>
      <c r="C1860" s="510"/>
      <c r="D1860" s="510"/>
      <c r="E1860" s="510"/>
      <c r="F1860" s="746"/>
      <c r="G1860" s="510"/>
      <c r="H1860" s="510"/>
      <c r="I1860" s="510"/>
      <c r="J1860" s="510"/>
      <c r="K1860" s="510"/>
      <c r="L1860" s="510"/>
      <c r="M1860" s="509"/>
      <c r="N1860" s="508"/>
      <c r="O1860" s="507"/>
      <c r="P1860" s="507"/>
      <c r="Q1860" s="505"/>
      <c r="R1860" s="506"/>
      <c r="S1860" s="506"/>
      <c r="T1860" s="506"/>
      <c r="U1860" s="505"/>
      <c r="V1860" s="505"/>
      <c r="W1860" s="505"/>
      <c r="X1860" s="504"/>
      <c r="Y1860" s="503"/>
      <c r="Z1860" s="503"/>
      <c r="AA1860" s="503"/>
      <c r="AB1860" s="503"/>
      <c r="AC1860" s="503"/>
      <c r="AD1860" s="503"/>
      <c r="AE1860" s="503"/>
      <c r="AF1860" s="503"/>
    </row>
    <row r="1861" spans="1:32" ht="15.75" customHeight="1">
      <c r="A1861" s="503"/>
      <c r="B1861" s="503"/>
      <c r="C1861" s="510"/>
      <c r="D1861" s="510"/>
      <c r="E1861" s="510"/>
      <c r="F1861" s="746"/>
      <c r="G1861" s="510"/>
      <c r="H1861" s="510"/>
      <c r="I1861" s="510"/>
      <c r="J1861" s="510"/>
      <c r="K1861" s="510"/>
      <c r="L1861" s="510"/>
      <c r="M1861" s="509"/>
      <c r="N1861" s="508"/>
      <c r="O1861" s="507"/>
      <c r="P1861" s="507"/>
      <c r="Q1861" s="505"/>
      <c r="R1861" s="506"/>
      <c r="S1861" s="506"/>
      <c r="T1861" s="506"/>
      <c r="U1861" s="505"/>
      <c r="V1861" s="505"/>
      <c r="W1861" s="505"/>
      <c r="X1861" s="504"/>
      <c r="Y1861" s="503"/>
      <c r="Z1861" s="503"/>
      <c r="AA1861" s="503"/>
      <c r="AB1861" s="503"/>
      <c r="AC1861" s="503"/>
      <c r="AD1861" s="503"/>
      <c r="AE1861" s="503"/>
      <c r="AF1861" s="503"/>
    </row>
    <row r="1862" spans="1:32" ht="15.75" customHeight="1">
      <c r="A1862" s="503"/>
      <c r="B1862" s="503"/>
      <c r="C1862" s="510"/>
      <c r="D1862" s="510"/>
      <c r="E1862" s="510"/>
      <c r="F1862" s="746"/>
      <c r="G1862" s="510"/>
      <c r="H1862" s="510"/>
      <c r="I1862" s="510"/>
      <c r="J1862" s="510"/>
      <c r="K1862" s="510"/>
      <c r="L1862" s="510"/>
      <c r="M1862" s="509"/>
      <c r="N1862" s="508"/>
      <c r="O1862" s="507"/>
      <c r="P1862" s="507"/>
      <c r="Q1862" s="505"/>
      <c r="R1862" s="506"/>
      <c r="S1862" s="506"/>
      <c r="T1862" s="506"/>
      <c r="U1862" s="505"/>
      <c r="V1862" s="505"/>
      <c r="W1862" s="505"/>
      <c r="X1862" s="504"/>
      <c r="Y1862" s="503"/>
      <c r="Z1862" s="503"/>
      <c r="AA1862" s="503"/>
      <c r="AB1862" s="503"/>
      <c r="AC1862" s="503"/>
      <c r="AD1862" s="503"/>
      <c r="AE1862" s="503"/>
      <c r="AF1862" s="503"/>
    </row>
    <row r="1863" spans="1:32" ht="15.75" customHeight="1">
      <c r="A1863" s="503"/>
      <c r="B1863" s="503"/>
      <c r="C1863" s="510"/>
      <c r="D1863" s="510"/>
      <c r="E1863" s="510"/>
      <c r="F1863" s="746"/>
      <c r="G1863" s="510"/>
      <c r="H1863" s="510"/>
      <c r="I1863" s="510"/>
      <c r="J1863" s="510"/>
      <c r="K1863" s="510"/>
      <c r="L1863" s="510"/>
      <c r="M1863" s="509"/>
      <c r="N1863" s="508"/>
      <c r="O1863" s="507"/>
      <c r="P1863" s="507"/>
      <c r="Q1863" s="505"/>
      <c r="R1863" s="506"/>
      <c r="S1863" s="506"/>
      <c r="T1863" s="506"/>
      <c r="U1863" s="505"/>
      <c r="V1863" s="505"/>
      <c r="W1863" s="505"/>
      <c r="X1863" s="504"/>
      <c r="Y1863" s="503"/>
      <c r="Z1863" s="503"/>
      <c r="AA1863" s="503"/>
      <c r="AB1863" s="503"/>
      <c r="AC1863" s="503"/>
      <c r="AD1863" s="503"/>
      <c r="AE1863" s="503"/>
      <c r="AF1863" s="503"/>
    </row>
    <row r="1864" spans="1:32" ht="15.75" customHeight="1">
      <c r="A1864" s="503"/>
      <c r="B1864" s="503"/>
      <c r="C1864" s="510"/>
      <c r="D1864" s="510"/>
      <c r="E1864" s="510"/>
      <c r="F1864" s="746"/>
      <c r="G1864" s="510"/>
      <c r="H1864" s="510"/>
      <c r="I1864" s="510"/>
      <c r="J1864" s="510"/>
      <c r="K1864" s="510"/>
      <c r="L1864" s="510"/>
      <c r="M1864" s="509"/>
      <c r="N1864" s="508"/>
      <c r="O1864" s="507"/>
      <c r="P1864" s="507"/>
      <c r="Q1864" s="505"/>
      <c r="R1864" s="506"/>
      <c r="S1864" s="506"/>
      <c r="T1864" s="506"/>
      <c r="U1864" s="505"/>
      <c r="V1864" s="505"/>
      <c r="W1864" s="505"/>
      <c r="X1864" s="504"/>
      <c r="Y1864" s="503"/>
      <c r="Z1864" s="503"/>
      <c r="AA1864" s="503"/>
      <c r="AB1864" s="503"/>
      <c r="AC1864" s="503"/>
      <c r="AD1864" s="503"/>
      <c r="AE1864" s="503"/>
      <c r="AF1864" s="503"/>
    </row>
    <row r="1865" spans="1:32" ht="15.75" customHeight="1">
      <c r="A1865" s="503"/>
      <c r="B1865" s="503"/>
      <c r="C1865" s="510"/>
      <c r="D1865" s="510"/>
      <c r="E1865" s="510"/>
      <c r="F1865" s="746"/>
      <c r="G1865" s="510"/>
      <c r="H1865" s="510"/>
      <c r="I1865" s="510"/>
      <c r="J1865" s="510"/>
      <c r="K1865" s="510"/>
      <c r="L1865" s="510"/>
      <c r="M1865" s="509"/>
      <c r="N1865" s="508"/>
      <c r="O1865" s="507"/>
      <c r="P1865" s="507"/>
      <c r="Q1865" s="505"/>
      <c r="R1865" s="506"/>
      <c r="S1865" s="506"/>
      <c r="T1865" s="506"/>
      <c r="U1865" s="505"/>
      <c r="V1865" s="505"/>
      <c r="W1865" s="505"/>
      <c r="X1865" s="504"/>
      <c r="Y1865" s="503"/>
      <c r="Z1865" s="503"/>
      <c r="AA1865" s="503"/>
      <c r="AB1865" s="503"/>
      <c r="AC1865" s="503"/>
      <c r="AD1865" s="503"/>
      <c r="AE1865" s="503"/>
      <c r="AF1865" s="503"/>
    </row>
    <row r="1866" spans="1:32" ht="15.75" customHeight="1">
      <c r="A1866" s="503"/>
      <c r="B1866" s="503"/>
      <c r="C1866" s="510"/>
      <c r="D1866" s="510"/>
      <c r="E1866" s="510"/>
      <c r="F1866" s="746"/>
      <c r="G1866" s="510"/>
      <c r="H1866" s="510"/>
      <c r="I1866" s="510"/>
      <c r="J1866" s="510"/>
      <c r="K1866" s="510"/>
      <c r="L1866" s="510"/>
      <c r="M1866" s="509"/>
      <c r="N1866" s="508"/>
      <c r="O1866" s="507"/>
      <c r="P1866" s="507"/>
      <c r="Q1866" s="505"/>
      <c r="R1866" s="506"/>
      <c r="S1866" s="506"/>
      <c r="T1866" s="506"/>
      <c r="U1866" s="505"/>
      <c r="V1866" s="505"/>
      <c r="W1866" s="505"/>
      <c r="X1866" s="504"/>
      <c r="Y1866" s="503"/>
      <c r="Z1866" s="503"/>
      <c r="AA1866" s="503"/>
      <c r="AB1866" s="503"/>
      <c r="AC1866" s="503"/>
      <c r="AD1866" s="503"/>
      <c r="AE1866" s="503"/>
      <c r="AF1866" s="503"/>
    </row>
    <row r="1867" spans="1:32" ht="15.75" customHeight="1">
      <c r="A1867" s="503"/>
      <c r="B1867" s="503"/>
      <c r="C1867" s="510"/>
      <c r="D1867" s="510"/>
      <c r="E1867" s="510"/>
      <c r="F1867" s="746"/>
      <c r="G1867" s="510"/>
      <c r="H1867" s="510"/>
      <c r="I1867" s="510"/>
      <c r="J1867" s="510"/>
      <c r="K1867" s="510"/>
      <c r="L1867" s="510"/>
      <c r="M1867" s="509"/>
      <c r="N1867" s="508"/>
      <c r="O1867" s="507"/>
      <c r="P1867" s="507"/>
      <c r="Q1867" s="505"/>
      <c r="R1867" s="506"/>
      <c r="S1867" s="506"/>
      <c r="T1867" s="506"/>
      <c r="U1867" s="505"/>
      <c r="V1867" s="505"/>
      <c r="W1867" s="505"/>
      <c r="X1867" s="504"/>
      <c r="Y1867" s="503"/>
      <c r="Z1867" s="503"/>
      <c r="AA1867" s="503"/>
      <c r="AB1867" s="503"/>
      <c r="AC1867" s="503"/>
      <c r="AD1867" s="503"/>
      <c r="AE1867" s="503"/>
      <c r="AF1867" s="503"/>
    </row>
    <row r="1868" spans="1:32" ht="15.75" customHeight="1">
      <c r="A1868" s="503"/>
      <c r="B1868" s="503"/>
      <c r="C1868" s="510"/>
      <c r="D1868" s="510"/>
      <c r="E1868" s="510"/>
      <c r="F1868" s="746"/>
      <c r="G1868" s="510"/>
      <c r="H1868" s="510"/>
      <c r="I1868" s="510"/>
      <c r="J1868" s="510"/>
      <c r="K1868" s="510"/>
      <c r="L1868" s="510"/>
      <c r="M1868" s="509"/>
      <c r="N1868" s="508"/>
      <c r="O1868" s="507"/>
      <c r="P1868" s="507"/>
      <c r="Q1868" s="505"/>
      <c r="R1868" s="506"/>
      <c r="S1868" s="506"/>
      <c r="T1868" s="506"/>
      <c r="U1868" s="505"/>
      <c r="V1868" s="505"/>
      <c r="W1868" s="505"/>
      <c r="X1868" s="504"/>
      <c r="Y1868" s="503"/>
      <c r="Z1868" s="503"/>
      <c r="AA1868" s="503"/>
      <c r="AB1868" s="503"/>
      <c r="AC1868" s="503"/>
      <c r="AD1868" s="503"/>
      <c r="AE1868" s="503"/>
      <c r="AF1868" s="503"/>
    </row>
    <row r="1869" spans="1:32" ht="15.75" customHeight="1">
      <c r="A1869" s="503"/>
      <c r="B1869" s="503"/>
      <c r="C1869" s="510"/>
      <c r="D1869" s="510"/>
      <c r="E1869" s="510"/>
      <c r="F1869" s="746"/>
      <c r="G1869" s="510"/>
      <c r="H1869" s="510"/>
      <c r="I1869" s="510"/>
      <c r="J1869" s="510"/>
      <c r="K1869" s="510"/>
      <c r="L1869" s="510"/>
      <c r="M1869" s="509"/>
      <c r="N1869" s="508"/>
      <c r="O1869" s="507"/>
      <c r="P1869" s="507"/>
      <c r="Q1869" s="505"/>
      <c r="R1869" s="506"/>
      <c r="S1869" s="506"/>
      <c r="T1869" s="506"/>
      <c r="U1869" s="505"/>
      <c r="V1869" s="505"/>
      <c r="W1869" s="505"/>
      <c r="X1869" s="504"/>
      <c r="Y1869" s="503"/>
      <c r="Z1869" s="503"/>
      <c r="AA1869" s="503"/>
      <c r="AB1869" s="503"/>
      <c r="AC1869" s="503"/>
      <c r="AD1869" s="503"/>
      <c r="AE1869" s="503"/>
      <c r="AF1869" s="503"/>
    </row>
    <row r="1870" spans="1:32" ht="15.75" customHeight="1">
      <c r="A1870" s="503"/>
      <c r="B1870" s="503"/>
      <c r="C1870" s="510"/>
      <c r="D1870" s="510"/>
      <c r="E1870" s="510"/>
      <c r="F1870" s="746"/>
      <c r="G1870" s="510"/>
      <c r="H1870" s="510"/>
      <c r="I1870" s="510"/>
      <c r="J1870" s="510"/>
      <c r="K1870" s="510"/>
      <c r="L1870" s="510"/>
      <c r="M1870" s="509"/>
      <c r="N1870" s="508"/>
      <c r="O1870" s="507"/>
      <c r="P1870" s="507"/>
      <c r="Q1870" s="505"/>
      <c r="R1870" s="506"/>
      <c r="S1870" s="506"/>
      <c r="T1870" s="506"/>
      <c r="U1870" s="505"/>
      <c r="V1870" s="505"/>
      <c r="W1870" s="505"/>
      <c r="X1870" s="504"/>
      <c r="Y1870" s="503"/>
      <c r="Z1870" s="503"/>
      <c r="AA1870" s="503"/>
      <c r="AB1870" s="503"/>
      <c r="AC1870" s="503"/>
      <c r="AD1870" s="503"/>
      <c r="AE1870" s="503"/>
      <c r="AF1870" s="503"/>
    </row>
    <row r="1871" spans="1:32" ht="15.75" customHeight="1">
      <c r="A1871" s="503"/>
      <c r="B1871" s="503"/>
      <c r="C1871" s="510"/>
      <c r="D1871" s="510"/>
      <c r="E1871" s="510"/>
      <c r="F1871" s="746"/>
      <c r="G1871" s="510"/>
      <c r="H1871" s="510"/>
      <c r="I1871" s="510"/>
      <c r="J1871" s="510"/>
      <c r="K1871" s="510"/>
      <c r="L1871" s="510"/>
      <c r="M1871" s="509"/>
      <c r="N1871" s="508"/>
      <c r="O1871" s="507"/>
      <c r="P1871" s="507"/>
      <c r="Q1871" s="505"/>
      <c r="R1871" s="506"/>
      <c r="S1871" s="506"/>
      <c r="T1871" s="506"/>
      <c r="U1871" s="505"/>
      <c r="V1871" s="505"/>
      <c r="W1871" s="505"/>
      <c r="X1871" s="504"/>
      <c r="Y1871" s="503"/>
      <c r="Z1871" s="503"/>
      <c r="AA1871" s="503"/>
      <c r="AB1871" s="503"/>
      <c r="AC1871" s="503"/>
      <c r="AD1871" s="503"/>
      <c r="AE1871" s="503"/>
      <c r="AF1871" s="503"/>
    </row>
    <row r="1872" spans="1:32" ht="15.75" customHeight="1">
      <c r="A1872" s="503"/>
      <c r="B1872" s="503"/>
      <c r="C1872" s="510"/>
      <c r="D1872" s="510"/>
      <c r="E1872" s="510"/>
      <c r="F1872" s="746"/>
      <c r="G1872" s="510"/>
      <c r="H1872" s="510"/>
      <c r="I1872" s="510"/>
      <c r="J1872" s="510"/>
      <c r="K1872" s="510"/>
      <c r="L1872" s="510"/>
      <c r="M1872" s="509"/>
      <c r="N1872" s="508"/>
      <c r="O1872" s="507"/>
      <c r="P1872" s="507"/>
      <c r="Q1872" s="505"/>
      <c r="R1872" s="506"/>
      <c r="S1872" s="506"/>
      <c r="T1872" s="506"/>
      <c r="U1872" s="505"/>
      <c r="V1872" s="505"/>
      <c r="W1872" s="505"/>
      <c r="X1872" s="504"/>
      <c r="Y1872" s="503"/>
      <c r="Z1872" s="503"/>
      <c r="AA1872" s="503"/>
      <c r="AB1872" s="503"/>
      <c r="AC1872" s="503"/>
      <c r="AD1872" s="503"/>
      <c r="AE1872" s="503"/>
      <c r="AF1872" s="503"/>
    </row>
    <row r="1873" spans="1:32" ht="15.75" customHeight="1">
      <c r="A1873" s="503"/>
      <c r="B1873" s="503"/>
      <c r="C1873" s="510"/>
      <c r="D1873" s="510"/>
      <c r="E1873" s="510"/>
      <c r="F1873" s="746"/>
      <c r="G1873" s="510"/>
      <c r="H1873" s="510"/>
      <c r="I1873" s="510"/>
      <c r="J1873" s="510"/>
      <c r="K1873" s="510"/>
      <c r="L1873" s="510"/>
      <c r="M1873" s="509"/>
      <c r="N1873" s="508"/>
      <c r="O1873" s="507"/>
      <c r="P1873" s="507"/>
      <c r="Q1873" s="505"/>
      <c r="R1873" s="506"/>
      <c r="S1873" s="506"/>
      <c r="T1873" s="506"/>
      <c r="U1873" s="505"/>
      <c r="V1873" s="505"/>
      <c r="W1873" s="505"/>
      <c r="X1873" s="504"/>
      <c r="Y1873" s="503"/>
      <c r="Z1873" s="503"/>
      <c r="AA1873" s="503"/>
      <c r="AB1873" s="503"/>
      <c r="AC1873" s="503"/>
      <c r="AD1873" s="503"/>
      <c r="AE1873" s="503"/>
      <c r="AF1873" s="503"/>
    </row>
    <row r="1874" spans="1:32" ht="15.75" customHeight="1">
      <c r="A1874" s="503"/>
      <c r="B1874" s="503"/>
      <c r="C1874" s="510"/>
      <c r="D1874" s="510"/>
      <c r="E1874" s="510"/>
      <c r="F1874" s="746"/>
      <c r="G1874" s="510"/>
      <c r="H1874" s="510"/>
      <c r="I1874" s="510"/>
      <c r="J1874" s="510"/>
      <c r="K1874" s="510"/>
      <c r="L1874" s="510"/>
      <c r="M1874" s="509"/>
      <c r="N1874" s="508"/>
      <c r="O1874" s="507"/>
      <c r="P1874" s="507"/>
      <c r="Q1874" s="505"/>
      <c r="R1874" s="506"/>
      <c r="S1874" s="506"/>
      <c r="T1874" s="506"/>
      <c r="U1874" s="505"/>
      <c r="V1874" s="505"/>
      <c r="W1874" s="505"/>
      <c r="X1874" s="504"/>
      <c r="Y1874" s="503"/>
      <c r="Z1874" s="503"/>
      <c r="AA1874" s="503"/>
      <c r="AB1874" s="503"/>
      <c r="AC1874" s="503"/>
      <c r="AD1874" s="503"/>
      <c r="AE1874" s="503"/>
      <c r="AF1874" s="503"/>
    </row>
    <row r="1875" spans="1:32" ht="15.75" customHeight="1">
      <c r="A1875" s="503"/>
      <c r="B1875" s="503"/>
      <c r="C1875" s="510"/>
      <c r="D1875" s="510"/>
      <c r="E1875" s="510"/>
      <c r="F1875" s="746"/>
      <c r="G1875" s="510"/>
      <c r="H1875" s="510"/>
      <c r="I1875" s="510"/>
      <c r="J1875" s="510"/>
      <c r="K1875" s="510"/>
      <c r="L1875" s="510"/>
      <c r="M1875" s="509"/>
      <c r="N1875" s="508"/>
      <c r="O1875" s="507"/>
      <c r="P1875" s="507"/>
      <c r="Q1875" s="505"/>
      <c r="R1875" s="506"/>
      <c r="S1875" s="506"/>
      <c r="T1875" s="506"/>
      <c r="U1875" s="505"/>
      <c r="V1875" s="505"/>
      <c r="W1875" s="505"/>
      <c r="X1875" s="504"/>
      <c r="Y1875" s="503"/>
      <c r="Z1875" s="503"/>
      <c r="AA1875" s="503"/>
      <c r="AB1875" s="503"/>
      <c r="AC1875" s="503"/>
      <c r="AD1875" s="503"/>
      <c r="AE1875" s="503"/>
      <c r="AF1875" s="503"/>
    </row>
    <row r="1876" spans="1:32" ht="15.75" customHeight="1">
      <c r="A1876" s="503"/>
      <c r="B1876" s="503"/>
      <c r="C1876" s="510"/>
      <c r="D1876" s="510"/>
      <c r="E1876" s="510"/>
      <c r="F1876" s="746"/>
      <c r="G1876" s="510"/>
      <c r="H1876" s="510"/>
      <c r="I1876" s="510"/>
      <c r="J1876" s="510"/>
      <c r="K1876" s="510"/>
      <c r="L1876" s="510"/>
      <c r="M1876" s="509"/>
      <c r="N1876" s="508"/>
      <c r="O1876" s="507"/>
      <c r="P1876" s="507"/>
      <c r="Q1876" s="505"/>
      <c r="R1876" s="506"/>
      <c r="S1876" s="506"/>
      <c r="T1876" s="506"/>
      <c r="U1876" s="505"/>
      <c r="V1876" s="505"/>
      <c r="W1876" s="505"/>
      <c r="X1876" s="504"/>
      <c r="Y1876" s="503"/>
      <c r="Z1876" s="503"/>
      <c r="AA1876" s="503"/>
      <c r="AB1876" s="503"/>
      <c r="AC1876" s="503"/>
      <c r="AD1876" s="503"/>
      <c r="AE1876" s="503"/>
      <c r="AF1876" s="503"/>
    </row>
    <row r="1877" spans="1:32" ht="15.75" customHeight="1">
      <c r="A1877" s="503"/>
      <c r="B1877" s="503"/>
      <c r="C1877" s="510"/>
      <c r="D1877" s="510"/>
      <c r="E1877" s="510"/>
      <c r="F1877" s="746"/>
      <c r="G1877" s="510"/>
      <c r="H1877" s="510"/>
      <c r="I1877" s="510"/>
      <c r="J1877" s="510"/>
      <c r="K1877" s="510"/>
      <c r="L1877" s="510"/>
      <c r="M1877" s="509"/>
      <c r="N1877" s="508"/>
      <c r="O1877" s="507"/>
      <c r="P1877" s="507"/>
      <c r="Q1877" s="505"/>
      <c r="R1877" s="506"/>
      <c r="S1877" s="506"/>
      <c r="T1877" s="506"/>
      <c r="U1877" s="505"/>
      <c r="V1877" s="505"/>
      <c r="W1877" s="505"/>
      <c r="X1877" s="504"/>
      <c r="Y1877" s="503"/>
      <c r="Z1877" s="503"/>
      <c r="AA1877" s="503"/>
      <c r="AB1877" s="503"/>
      <c r="AC1877" s="503"/>
      <c r="AD1877" s="503"/>
      <c r="AE1877" s="503"/>
      <c r="AF1877" s="503"/>
    </row>
    <row r="1878" spans="1:32" ht="15.75" customHeight="1">
      <c r="A1878" s="503"/>
      <c r="B1878" s="503"/>
      <c r="C1878" s="510"/>
      <c r="D1878" s="510"/>
      <c r="E1878" s="510"/>
      <c r="F1878" s="746"/>
      <c r="G1878" s="510"/>
      <c r="H1878" s="510"/>
      <c r="I1878" s="510"/>
      <c r="J1878" s="510"/>
      <c r="K1878" s="510"/>
      <c r="L1878" s="510"/>
      <c r="M1878" s="509"/>
      <c r="N1878" s="508"/>
      <c r="O1878" s="507"/>
      <c r="P1878" s="507"/>
      <c r="Q1878" s="505"/>
      <c r="R1878" s="506"/>
      <c r="S1878" s="506"/>
      <c r="T1878" s="506"/>
      <c r="U1878" s="505"/>
      <c r="V1878" s="505"/>
      <c r="W1878" s="505"/>
      <c r="X1878" s="504"/>
      <c r="Y1878" s="503"/>
      <c r="Z1878" s="503"/>
      <c r="AA1878" s="503"/>
      <c r="AB1878" s="503"/>
      <c r="AC1878" s="503"/>
      <c r="AD1878" s="503"/>
      <c r="AE1878" s="503"/>
      <c r="AF1878" s="503"/>
    </row>
    <row r="1879" spans="1:32" ht="15.75" customHeight="1">
      <c r="A1879" s="503"/>
      <c r="B1879" s="503"/>
      <c r="C1879" s="510"/>
      <c r="D1879" s="510"/>
      <c r="E1879" s="510"/>
      <c r="F1879" s="746"/>
      <c r="G1879" s="510"/>
      <c r="H1879" s="510"/>
      <c r="I1879" s="510"/>
      <c r="J1879" s="510"/>
      <c r="K1879" s="510"/>
      <c r="L1879" s="510"/>
      <c r="M1879" s="509"/>
      <c r="N1879" s="508"/>
      <c r="O1879" s="507"/>
      <c r="P1879" s="507"/>
      <c r="Q1879" s="505"/>
      <c r="R1879" s="506"/>
      <c r="S1879" s="506"/>
      <c r="T1879" s="506"/>
      <c r="U1879" s="505"/>
      <c r="V1879" s="505"/>
      <c r="W1879" s="505"/>
      <c r="X1879" s="504"/>
      <c r="Y1879" s="503"/>
      <c r="Z1879" s="503"/>
      <c r="AA1879" s="503"/>
      <c r="AB1879" s="503"/>
      <c r="AC1879" s="503"/>
      <c r="AD1879" s="503"/>
      <c r="AE1879" s="503"/>
      <c r="AF1879" s="503"/>
    </row>
    <row r="1880" spans="1:32" ht="15.75" customHeight="1">
      <c r="A1880" s="503"/>
      <c r="B1880" s="503"/>
      <c r="C1880" s="510"/>
      <c r="D1880" s="510"/>
      <c r="E1880" s="510"/>
      <c r="F1880" s="746"/>
      <c r="G1880" s="510"/>
      <c r="H1880" s="510"/>
      <c r="I1880" s="510"/>
      <c r="J1880" s="510"/>
      <c r="K1880" s="510"/>
      <c r="L1880" s="510"/>
      <c r="M1880" s="509"/>
      <c r="N1880" s="508"/>
      <c r="O1880" s="507"/>
      <c r="P1880" s="507"/>
      <c r="Q1880" s="505"/>
      <c r="R1880" s="506"/>
      <c r="S1880" s="506"/>
      <c r="T1880" s="506"/>
      <c r="U1880" s="505"/>
      <c r="V1880" s="505"/>
      <c r="W1880" s="505"/>
      <c r="X1880" s="504"/>
      <c r="Y1880" s="503"/>
      <c r="Z1880" s="503"/>
      <c r="AA1880" s="503"/>
      <c r="AB1880" s="503"/>
      <c r="AC1880" s="503"/>
      <c r="AD1880" s="503"/>
      <c r="AE1880" s="503"/>
      <c r="AF1880" s="503"/>
    </row>
    <row r="1881" spans="1:32" ht="15.75" customHeight="1">
      <c r="A1881" s="503"/>
      <c r="B1881" s="503"/>
      <c r="C1881" s="510"/>
      <c r="D1881" s="510"/>
      <c r="E1881" s="510"/>
      <c r="F1881" s="746"/>
      <c r="G1881" s="510"/>
      <c r="H1881" s="510"/>
      <c r="I1881" s="510"/>
      <c r="J1881" s="510"/>
      <c r="K1881" s="510"/>
      <c r="L1881" s="510"/>
      <c r="M1881" s="509"/>
      <c r="N1881" s="508"/>
      <c r="O1881" s="507"/>
      <c r="P1881" s="507"/>
      <c r="Q1881" s="505"/>
      <c r="R1881" s="506"/>
      <c r="S1881" s="506"/>
      <c r="T1881" s="506"/>
      <c r="U1881" s="505"/>
      <c r="V1881" s="505"/>
      <c r="W1881" s="505"/>
      <c r="X1881" s="504"/>
      <c r="Y1881" s="503"/>
      <c r="Z1881" s="503"/>
      <c r="AA1881" s="503"/>
      <c r="AB1881" s="503"/>
      <c r="AC1881" s="503"/>
      <c r="AD1881" s="503"/>
      <c r="AE1881" s="503"/>
      <c r="AF1881" s="503"/>
    </row>
    <row r="1882" spans="1:32" ht="15.75" customHeight="1">
      <c r="A1882" s="503"/>
      <c r="B1882" s="503"/>
      <c r="C1882" s="510"/>
      <c r="D1882" s="510"/>
      <c r="E1882" s="510"/>
      <c r="F1882" s="746"/>
      <c r="G1882" s="510"/>
      <c r="H1882" s="510"/>
      <c r="I1882" s="510"/>
      <c r="J1882" s="510"/>
      <c r="K1882" s="510"/>
      <c r="L1882" s="510"/>
      <c r="M1882" s="509"/>
      <c r="N1882" s="508"/>
      <c r="O1882" s="507"/>
      <c r="P1882" s="507"/>
      <c r="Q1882" s="505"/>
      <c r="R1882" s="506"/>
      <c r="S1882" s="506"/>
      <c r="T1882" s="506"/>
      <c r="U1882" s="505"/>
      <c r="V1882" s="505"/>
      <c r="W1882" s="505"/>
      <c r="X1882" s="504"/>
      <c r="Y1882" s="503"/>
      <c r="Z1882" s="503"/>
      <c r="AA1882" s="503"/>
      <c r="AB1882" s="503"/>
      <c r="AC1882" s="503"/>
      <c r="AD1882" s="503"/>
      <c r="AE1882" s="503"/>
      <c r="AF1882" s="503"/>
    </row>
    <row r="1883" spans="1:32" ht="15.75" customHeight="1">
      <c r="A1883" s="503"/>
      <c r="B1883" s="503"/>
      <c r="C1883" s="510"/>
      <c r="D1883" s="510"/>
      <c r="E1883" s="510"/>
      <c r="F1883" s="746"/>
      <c r="G1883" s="510"/>
      <c r="H1883" s="510"/>
      <c r="I1883" s="510"/>
      <c r="J1883" s="510"/>
      <c r="K1883" s="510"/>
      <c r="L1883" s="510"/>
      <c r="M1883" s="509"/>
      <c r="N1883" s="508"/>
      <c r="O1883" s="507"/>
      <c r="P1883" s="507"/>
      <c r="Q1883" s="505"/>
      <c r="R1883" s="506"/>
      <c r="S1883" s="506"/>
      <c r="T1883" s="506"/>
      <c r="U1883" s="505"/>
      <c r="V1883" s="505"/>
      <c r="W1883" s="505"/>
      <c r="X1883" s="504"/>
      <c r="Y1883" s="503"/>
      <c r="Z1883" s="503"/>
      <c r="AA1883" s="503"/>
      <c r="AB1883" s="503"/>
      <c r="AC1883" s="503"/>
      <c r="AD1883" s="503"/>
      <c r="AE1883" s="503"/>
      <c r="AF1883" s="503"/>
    </row>
    <row r="1884" spans="1:32" ht="15.75" customHeight="1">
      <c r="A1884" s="503"/>
      <c r="B1884" s="503"/>
      <c r="C1884" s="510"/>
      <c r="D1884" s="510"/>
      <c r="E1884" s="510"/>
      <c r="F1884" s="746"/>
      <c r="G1884" s="510"/>
      <c r="H1884" s="510"/>
      <c r="I1884" s="510"/>
      <c r="J1884" s="510"/>
      <c r="K1884" s="510"/>
      <c r="L1884" s="510"/>
      <c r="M1884" s="509"/>
      <c r="N1884" s="508"/>
      <c r="O1884" s="507"/>
      <c r="P1884" s="507"/>
      <c r="Q1884" s="505"/>
      <c r="R1884" s="506"/>
      <c r="S1884" s="506"/>
      <c r="T1884" s="506"/>
      <c r="U1884" s="505"/>
      <c r="V1884" s="505"/>
      <c r="W1884" s="505"/>
      <c r="X1884" s="504"/>
      <c r="Y1884" s="503"/>
      <c r="Z1884" s="503"/>
      <c r="AA1884" s="503"/>
      <c r="AB1884" s="503"/>
      <c r="AC1884" s="503"/>
      <c r="AD1884" s="503"/>
      <c r="AE1884" s="503"/>
      <c r="AF1884" s="503"/>
    </row>
    <row r="1885" spans="1:32" ht="15.75" customHeight="1">
      <c r="A1885" s="503"/>
      <c r="B1885" s="503"/>
      <c r="C1885" s="510"/>
      <c r="D1885" s="510"/>
      <c r="E1885" s="510"/>
      <c r="F1885" s="746"/>
      <c r="G1885" s="510"/>
      <c r="H1885" s="510"/>
      <c r="I1885" s="510"/>
      <c r="J1885" s="510"/>
      <c r="K1885" s="510"/>
      <c r="L1885" s="510"/>
      <c r="M1885" s="509"/>
      <c r="N1885" s="508"/>
      <c r="O1885" s="507"/>
      <c r="P1885" s="507"/>
      <c r="Q1885" s="505"/>
      <c r="R1885" s="506"/>
      <c r="S1885" s="506"/>
      <c r="T1885" s="506"/>
      <c r="U1885" s="505"/>
      <c r="V1885" s="505"/>
      <c r="W1885" s="505"/>
      <c r="X1885" s="504"/>
      <c r="Y1885" s="503"/>
      <c r="Z1885" s="503"/>
      <c r="AA1885" s="503"/>
      <c r="AB1885" s="503"/>
      <c r="AC1885" s="503"/>
      <c r="AD1885" s="503"/>
      <c r="AE1885" s="503"/>
      <c r="AF1885" s="503"/>
    </row>
    <row r="1886" spans="1:32" ht="15.75" customHeight="1">
      <c r="A1886" s="503"/>
      <c r="B1886" s="503"/>
      <c r="C1886" s="510"/>
      <c r="D1886" s="510"/>
      <c r="E1886" s="510"/>
      <c r="F1886" s="746"/>
      <c r="G1886" s="510"/>
      <c r="H1886" s="510"/>
      <c r="I1886" s="510"/>
      <c r="J1886" s="510"/>
      <c r="K1886" s="510"/>
      <c r="L1886" s="510"/>
      <c r="M1886" s="509"/>
      <c r="N1886" s="508"/>
      <c r="O1886" s="507"/>
      <c r="P1886" s="507"/>
      <c r="Q1886" s="505"/>
      <c r="R1886" s="506"/>
      <c r="S1886" s="506"/>
      <c r="T1886" s="506"/>
      <c r="U1886" s="505"/>
      <c r="V1886" s="505"/>
      <c r="W1886" s="505"/>
      <c r="X1886" s="504"/>
      <c r="Y1886" s="503"/>
      <c r="Z1886" s="503"/>
      <c r="AA1886" s="503"/>
      <c r="AB1886" s="503"/>
      <c r="AC1886" s="503"/>
      <c r="AD1886" s="503"/>
      <c r="AE1886" s="503"/>
      <c r="AF1886" s="503"/>
    </row>
    <row r="1887" spans="1:32" ht="15.75" customHeight="1">
      <c r="A1887" s="503"/>
      <c r="B1887" s="503"/>
      <c r="C1887" s="510"/>
      <c r="D1887" s="510"/>
      <c r="E1887" s="510"/>
      <c r="F1887" s="746"/>
      <c r="G1887" s="510"/>
      <c r="H1887" s="510"/>
      <c r="I1887" s="510"/>
      <c r="J1887" s="510"/>
      <c r="K1887" s="510"/>
      <c r="L1887" s="510"/>
      <c r="M1887" s="509"/>
      <c r="N1887" s="508"/>
      <c r="O1887" s="507"/>
      <c r="P1887" s="507"/>
      <c r="Q1887" s="505"/>
      <c r="R1887" s="506"/>
      <c r="S1887" s="506"/>
      <c r="T1887" s="506"/>
      <c r="U1887" s="505"/>
      <c r="V1887" s="505"/>
      <c r="W1887" s="505"/>
      <c r="X1887" s="504"/>
      <c r="Y1887" s="503"/>
      <c r="Z1887" s="503"/>
      <c r="AA1887" s="503"/>
      <c r="AB1887" s="503"/>
      <c r="AC1887" s="503"/>
      <c r="AD1887" s="503"/>
      <c r="AE1887" s="503"/>
      <c r="AF1887" s="503"/>
    </row>
    <row r="1888" spans="1:32" ht="15.75" customHeight="1">
      <c r="A1888" s="503"/>
      <c r="B1888" s="503"/>
      <c r="C1888" s="510"/>
      <c r="D1888" s="510"/>
      <c r="E1888" s="510"/>
      <c r="F1888" s="746"/>
      <c r="G1888" s="510"/>
      <c r="H1888" s="510"/>
      <c r="I1888" s="510"/>
      <c r="J1888" s="510"/>
      <c r="K1888" s="510"/>
      <c r="L1888" s="510"/>
      <c r="M1888" s="509"/>
      <c r="N1888" s="508"/>
      <c r="O1888" s="507"/>
      <c r="P1888" s="507"/>
      <c r="Q1888" s="505"/>
      <c r="R1888" s="506"/>
      <c r="S1888" s="506"/>
      <c r="T1888" s="506"/>
      <c r="U1888" s="505"/>
      <c r="V1888" s="505"/>
      <c r="W1888" s="505"/>
      <c r="X1888" s="504"/>
      <c r="Y1888" s="503"/>
      <c r="Z1888" s="503"/>
      <c r="AA1888" s="503"/>
      <c r="AB1888" s="503"/>
      <c r="AC1888" s="503"/>
      <c r="AD1888" s="503"/>
      <c r="AE1888" s="503"/>
      <c r="AF1888" s="503"/>
    </row>
    <row r="1889" spans="1:32" ht="15.75" customHeight="1">
      <c r="A1889" s="503"/>
      <c r="B1889" s="503"/>
      <c r="C1889" s="510"/>
      <c r="D1889" s="510"/>
      <c r="E1889" s="510"/>
      <c r="F1889" s="746"/>
      <c r="G1889" s="510"/>
      <c r="H1889" s="510"/>
      <c r="I1889" s="510"/>
      <c r="J1889" s="510"/>
      <c r="K1889" s="510"/>
      <c r="L1889" s="510"/>
      <c r="M1889" s="509"/>
      <c r="N1889" s="508"/>
      <c r="O1889" s="507"/>
      <c r="P1889" s="507"/>
      <c r="Q1889" s="505"/>
      <c r="R1889" s="506"/>
      <c r="S1889" s="506"/>
      <c r="T1889" s="506"/>
      <c r="U1889" s="505"/>
      <c r="V1889" s="505"/>
      <c r="W1889" s="505"/>
      <c r="X1889" s="504"/>
      <c r="Y1889" s="503"/>
      <c r="Z1889" s="503"/>
      <c r="AA1889" s="503"/>
      <c r="AB1889" s="503"/>
      <c r="AC1889" s="503"/>
      <c r="AD1889" s="503"/>
      <c r="AE1889" s="503"/>
      <c r="AF1889" s="503"/>
    </row>
    <row r="1890" spans="1:32" ht="15.75" customHeight="1">
      <c r="A1890" s="503"/>
      <c r="B1890" s="503"/>
      <c r="C1890" s="510"/>
      <c r="D1890" s="510"/>
      <c r="E1890" s="510"/>
      <c r="F1890" s="746"/>
      <c r="G1890" s="510"/>
      <c r="H1890" s="510"/>
      <c r="I1890" s="510"/>
      <c r="J1890" s="510"/>
      <c r="K1890" s="510"/>
      <c r="L1890" s="510"/>
      <c r="M1890" s="509"/>
      <c r="N1890" s="508"/>
      <c r="O1890" s="507"/>
      <c r="P1890" s="507"/>
      <c r="Q1890" s="505"/>
      <c r="R1890" s="506"/>
      <c r="S1890" s="506"/>
      <c r="T1890" s="506"/>
      <c r="U1890" s="505"/>
      <c r="V1890" s="505"/>
      <c r="W1890" s="505"/>
      <c r="X1890" s="504"/>
      <c r="Y1890" s="503"/>
      <c r="Z1890" s="503"/>
      <c r="AA1890" s="503"/>
      <c r="AB1890" s="503"/>
      <c r="AC1890" s="503"/>
      <c r="AD1890" s="503"/>
      <c r="AE1890" s="503"/>
      <c r="AF1890" s="503"/>
    </row>
    <row r="1891" spans="1:32" ht="15.75" customHeight="1">
      <c r="A1891" s="503"/>
      <c r="B1891" s="503"/>
      <c r="C1891" s="510"/>
      <c r="D1891" s="510"/>
      <c r="E1891" s="510"/>
      <c r="F1891" s="746"/>
      <c r="G1891" s="510"/>
      <c r="H1891" s="510"/>
      <c r="I1891" s="510"/>
      <c r="J1891" s="510"/>
      <c r="K1891" s="510"/>
      <c r="L1891" s="510"/>
      <c r="M1891" s="509"/>
      <c r="N1891" s="508"/>
      <c r="O1891" s="507"/>
      <c r="P1891" s="507"/>
      <c r="Q1891" s="505"/>
      <c r="R1891" s="506"/>
      <c r="S1891" s="506"/>
      <c r="T1891" s="506"/>
      <c r="U1891" s="505"/>
      <c r="V1891" s="505"/>
      <c r="W1891" s="505"/>
      <c r="X1891" s="504"/>
      <c r="Y1891" s="503"/>
      <c r="Z1891" s="503"/>
      <c r="AA1891" s="503"/>
      <c r="AB1891" s="503"/>
      <c r="AC1891" s="503"/>
      <c r="AD1891" s="503"/>
      <c r="AE1891" s="503"/>
      <c r="AF1891" s="503"/>
    </row>
    <row r="1892" spans="1:32" ht="15.75" customHeight="1">
      <c r="A1892" s="503"/>
      <c r="B1892" s="503"/>
      <c r="C1892" s="510"/>
      <c r="D1892" s="510"/>
      <c r="E1892" s="510"/>
      <c r="F1892" s="746"/>
      <c r="G1892" s="510"/>
      <c r="H1892" s="510"/>
      <c r="I1892" s="510"/>
      <c r="J1892" s="510"/>
      <c r="K1892" s="510"/>
      <c r="L1892" s="510"/>
      <c r="M1892" s="509"/>
      <c r="N1892" s="508"/>
      <c r="O1892" s="507"/>
      <c r="P1892" s="507"/>
      <c r="Q1892" s="505"/>
      <c r="R1892" s="506"/>
      <c r="S1892" s="506"/>
      <c r="T1892" s="506"/>
      <c r="U1892" s="505"/>
      <c r="V1892" s="505"/>
      <c r="W1892" s="505"/>
      <c r="X1892" s="504"/>
      <c r="Y1892" s="503"/>
      <c r="Z1892" s="503"/>
      <c r="AA1892" s="503"/>
      <c r="AB1892" s="503"/>
      <c r="AC1892" s="503"/>
      <c r="AD1892" s="503"/>
      <c r="AE1892" s="503"/>
      <c r="AF1892" s="503"/>
    </row>
    <row r="1893" spans="1:32" ht="15.75" customHeight="1">
      <c r="A1893" s="503"/>
      <c r="B1893" s="503"/>
      <c r="C1893" s="510"/>
      <c r="D1893" s="510"/>
      <c r="E1893" s="510"/>
      <c r="F1893" s="746"/>
      <c r="G1893" s="510"/>
      <c r="H1893" s="510"/>
      <c r="I1893" s="510"/>
      <c r="J1893" s="510"/>
      <c r="K1893" s="510"/>
      <c r="L1893" s="510"/>
      <c r="M1893" s="509"/>
      <c r="N1893" s="508"/>
      <c r="O1893" s="507"/>
      <c r="P1893" s="507"/>
      <c r="Q1893" s="505"/>
      <c r="R1893" s="506"/>
      <c r="S1893" s="506"/>
      <c r="T1893" s="506"/>
      <c r="U1893" s="505"/>
      <c r="V1893" s="505"/>
      <c r="W1893" s="505"/>
      <c r="X1893" s="504"/>
      <c r="Y1893" s="503"/>
      <c r="Z1893" s="503"/>
      <c r="AA1893" s="503"/>
      <c r="AB1893" s="503"/>
      <c r="AC1893" s="503"/>
      <c r="AD1893" s="503"/>
      <c r="AE1893" s="503"/>
      <c r="AF1893" s="503"/>
    </row>
    <row r="1894" spans="1:32" ht="15.75" customHeight="1">
      <c r="A1894" s="503"/>
      <c r="B1894" s="503"/>
      <c r="C1894" s="510"/>
      <c r="D1894" s="510"/>
      <c r="E1894" s="510"/>
      <c r="F1894" s="746"/>
      <c r="G1894" s="510"/>
      <c r="H1894" s="510"/>
      <c r="I1894" s="510"/>
      <c r="J1894" s="510"/>
      <c r="K1894" s="510"/>
      <c r="L1894" s="510"/>
      <c r="M1894" s="509"/>
      <c r="N1894" s="508"/>
      <c r="O1894" s="507"/>
      <c r="P1894" s="507"/>
      <c r="Q1894" s="505"/>
      <c r="R1894" s="506"/>
      <c r="S1894" s="506"/>
      <c r="T1894" s="506"/>
      <c r="U1894" s="505"/>
      <c r="V1894" s="505"/>
      <c r="W1894" s="505"/>
      <c r="X1894" s="504"/>
      <c r="Y1894" s="503"/>
      <c r="Z1894" s="503"/>
      <c r="AA1894" s="503"/>
      <c r="AB1894" s="503"/>
      <c r="AC1894" s="503"/>
      <c r="AD1894" s="503"/>
      <c r="AE1894" s="503"/>
      <c r="AF1894" s="503"/>
    </row>
    <row r="1895" spans="1:32" ht="15.75" customHeight="1">
      <c r="A1895" s="503"/>
      <c r="B1895" s="503"/>
      <c r="C1895" s="510"/>
      <c r="D1895" s="510"/>
      <c r="E1895" s="510"/>
      <c r="F1895" s="746"/>
      <c r="G1895" s="510"/>
      <c r="H1895" s="510"/>
      <c r="I1895" s="510"/>
      <c r="J1895" s="510"/>
      <c r="K1895" s="510"/>
      <c r="L1895" s="510"/>
      <c r="M1895" s="509"/>
      <c r="N1895" s="508"/>
      <c r="O1895" s="507"/>
      <c r="P1895" s="507"/>
      <c r="Q1895" s="505"/>
      <c r="R1895" s="506"/>
      <c r="S1895" s="506"/>
      <c r="T1895" s="506"/>
      <c r="U1895" s="505"/>
      <c r="V1895" s="505"/>
      <c r="W1895" s="505"/>
      <c r="X1895" s="504"/>
      <c r="Y1895" s="503"/>
      <c r="Z1895" s="503"/>
      <c r="AA1895" s="503"/>
      <c r="AB1895" s="503"/>
      <c r="AC1895" s="503"/>
      <c r="AD1895" s="503"/>
      <c r="AE1895" s="503"/>
      <c r="AF1895" s="503"/>
    </row>
    <row r="1896" spans="1:32" ht="15.75" customHeight="1">
      <c r="A1896" s="503"/>
      <c r="B1896" s="503"/>
      <c r="C1896" s="510"/>
      <c r="D1896" s="510"/>
      <c r="E1896" s="510"/>
      <c r="F1896" s="746"/>
      <c r="G1896" s="510"/>
      <c r="H1896" s="510"/>
      <c r="I1896" s="510"/>
      <c r="J1896" s="510"/>
      <c r="K1896" s="510"/>
      <c r="L1896" s="510"/>
      <c r="M1896" s="509"/>
      <c r="N1896" s="508"/>
      <c r="O1896" s="507"/>
      <c r="P1896" s="507"/>
      <c r="Q1896" s="505"/>
      <c r="R1896" s="506"/>
      <c r="S1896" s="506"/>
      <c r="T1896" s="506"/>
      <c r="U1896" s="505"/>
      <c r="V1896" s="505"/>
      <c r="W1896" s="505"/>
      <c r="X1896" s="504"/>
      <c r="Y1896" s="503"/>
      <c r="Z1896" s="503"/>
      <c r="AA1896" s="503"/>
      <c r="AB1896" s="503"/>
      <c r="AC1896" s="503"/>
      <c r="AD1896" s="503"/>
      <c r="AE1896" s="503"/>
      <c r="AF1896" s="503"/>
    </row>
    <row r="1897" spans="1:32" ht="15.75" customHeight="1">
      <c r="A1897" s="503"/>
      <c r="B1897" s="503"/>
      <c r="C1897" s="510"/>
      <c r="D1897" s="510"/>
      <c r="E1897" s="510"/>
      <c r="F1897" s="746"/>
      <c r="G1897" s="510"/>
      <c r="H1897" s="510"/>
      <c r="I1897" s="510"/>
      <c r="J1897" s="510"/>
      <c r="K1897" s="510"/>
      <c r="L1897" s="510"/>
      <c r="M1897" s="509"/>
      <c r="N1897" s="508"/>
      <c r="O1897" s="507"/>
      <c r="P1897" s="507"/>
      <c r="Q1897" s="505"/>
      <c r="R1897" s="506"/>
      <c r="S1897" s="506"/>
      <c r="T1897" s="506"/>
      <c r="U1897" s="505"/>
      <c r="V1897" s="505"/>
      <c r="W1897" s="505"/>
      <c r="X1897" s="504"/>
      <c r="Y1897" s="503"/>
      <c r="Z1897" s="503"/>
      <c r="AA1897" s="503"/>
      <c r="AB1897" s="503"/>
      <c r="AC1897" s="503"/>
      <c r="AD1897" s="503"/>
      <c r="AE1897" s="503"/>
      <c r="AF1897" s="503"/>
    </row>
    <row r="1898" spans="1:32" ht="15.75" customHeight="1">
      <c r="A1898" s="503"/>
      <c r="B1898" s="503"/>
      <c r="C1898" s="510"/>
      <c r="D1898" s="510"/>
      <c r="E1898" s="510"/>
      <c r="F1898" s="746"/>
      <c r="G1898" s="510"/>
      <c r="H1898" s="510"/>
      <c r="I1898" s="510"/>
      <c r="J1898" s="510"/>
      <c r="K1898" s="510"/>
      <c r="L1898" s="510"/>
      <c r="M1898" s="509"/>
      <c r="N1898" s="508"/>
      <c r="O1898" s="507"/>
      <c r="P1898" s="507"/>
      <c r="Q1898" s="505"/>
      <c r="R1898" s="506"/>
      <c r="S1898" s="506"/>
      <c r="T1898" s="506"/>
      <c r="U1898" s="505"/>
      <c r="V1898" s="505"/>
      <c r="W1898" s="505"/>
      <c r="X1898" s="504"/>
      <c r="Y1898" s="503"/>
      <c r="Z1898" s="503"/>
      <c r="AA1898" s="503"/>
      <c r="AB1898" s="503"/>
      <c r="AC1898" s="503"/>
      <c r="AD1898" s="503"/>
      <c r="AE1898" s="503"/>
      <c r="AF1898" s="503"/>
    </row>
    <row r="1899" spans="1:32" ht="15.75" customHeight="1">
      <c r="A1899" s="503"/>
      <c r="B1899" s="503"/>
      <c r="C1899" s="510"/>
      <c r="D1899" s="510"/>
      <c r="E1899" s="510"/>
      <c r="F1899" s="746"/>
      <c r="G1899" s="510"/>
      <c r="H1899" s="510"/>
      <c r="I1899" s="510"/>
      <c r="J1899" s="510"/>
      <c r="K1899" s="510"/>
      <c r="L1899" s="510"/>
      <c r="M1899" s="509"/>
      <c r="N1899" s="508"/>
      <c r="O1899" s="507"/>
      <c r="P1899" s="507"/>
      <c r="Q1899" s="505"/>
      <c r="R1899" s="506"/>
      <c r="S1899" s="506"/>
      <c r="T1899" s="506"/>
      <c r="U1899" s="505"/>
      <c r="V1899" s="505"/>
      <c r="W1899" s="505"/>
      <c r="X1899" s="504"/>
      <c r="Y1899" s="503"/>
      <c r="Z1899" s="503"/>
      <c r="AA1899" s="503"/>
      <c r="AB1899" s="503"/>
      <c r="AC1899" s="503"/>
      <c r="AD1899" s="503"/>
      <c r="AE1899" s="503"/>
      <c r="AF1899" s="503"/>
    </row>
    <row r="1900" spans="1:32" ht="15.75" customHeight="1">
      <c r="A1900" s="503"/>
      <c r="B1900" s="503"/>
      <c r="C1900" s="510"/>
      <c r="D1900" s="510"/>
      <c r="E1900" s="510"/>
      <c r="F1900" s="746"/>
      <c r="G1900" s="510"/>
      <c r="H1900" s="510"/>
      <c r="I1900" s="510"/>
      <c r="J1900" s="510"/>
      <c r="K1900" s="510"/>
      <c r="L1900" s="510"/>
      <c r="M1900" s="509"/>
      <c r="N1900" s="508"/>
      <c r="O1900" s="507"/>
      <c r="P1900" s="507"/>
      <c r="Q1900" s="505"/>
      <c r="R1900" s="506"/>
      <c r="S1900" s="506"/>
      <c r="T1900" s="506"/>
      <c r="U1900" s="505"/>
      <c r="V1900" s="505"/>
      <c r="W1900" s="505"/>
      <c r="X1900" s="504"/>
      <c r="Y1900" s="503"/>
      <c r="Z1900" s="503"/>
      <c r="AA1900" s="503"/>
      <c r="AB1900" s="503"/>
      <c r="AC1900" s="503"/>
      <c r="AD1900" s="503"/>
      <c r="AE1900" s="503"/>
      <c r="AF1900" s="503"/>
    </row>
    <row r="1901" spans="1:32" ht="15.75" customHeight="1">
      <c r="A1901" s="503"/>
      <c r="B1901" s="503"/>
      <c r="C1901" s="510"/>
      <c r="D1901" s="510"/>
      <c r="E1901" s="510"/>
      <c r="F1901" s="746"/>
      <c r="G1901" s="510"/>
      <c r="H1901" s="510"/>
      <c r="I1901" s="510"/>
      <c r="J1901" s="510"/>
      <c r="K1901" s="510"/>
      <c r="L1901" s="510"/>
      <c r="M1901" s="509"/>
      <c r="N1901" s="508"/>
      <c r="O1901" s="507"/>
      <c r="P1901" s="507"/>
      <c r="Q1901" s="505"/>
      <c r="R1901" s="506"/>
      <c r="S1901" s="506"/>
      <c r="T1901" s="506"/>
      <c r="U1901" s="505"/>
      <c r="V1901" s="505"/>
      <c r="W1901" s="505"/>
      <c r="X1901" s="504"/>
      <c r="Y1901" s="503"/>
      <c r="Z1901" s="503"/>
      <c r="AA1901" s="503"/>
      <c r="AB1901" s="503"/>
      <c r="AC1901" s="503"/>
      <c r="AD1901" s="503"/>
      <c r="AE1901" s="503"/>
      <c r="AF1901" s="503"/>
    </row>
    <row r="1902" spans="1:32" ht="15.75" customHeight="1">
      <c r="A1902" s="503"/>
      <c r="B1902" s="503"/>
      <c r="C1902" s="510"/>
      <c r="D1902" s="510"/>
      <c r="E1902" s="510"/>
      <c r="F1902" s="746"/>
      <c r="G1902" s="510"/>
      <c r="H1902" s="510"/>
      <c r="I1902" s="510"/>
      <c r="J1902" s="510"/>
      <c r="K1902" s="510"/>
      <c r="L1902" s="510"/>
      <c r="M1902" s="509"/>
      <c r="N1902" s="508"/>
      <c r="O1902" s="507"/>
      <c r="P1902" s="507"/>
      <c r="Q1902" s="505"/>
      <c r="R1902" s="506"/>
      <c r="S1902" s="506"/>
      <c r="T1902" s="506"/>
      <c r="U1902" s="505"/>
      <c r="V1902" s="505"/>
      <c r="W1902" s="505"/>
      <c r="X1902" s="504"/>
      <c r="Y1902" s="503"/>
      <c r="Z1902" s="503"/>
      <c r="AA1902" s="503"/>
      <c r="AB1902" s="503"/>
      <c r="AC1902" s="503"/>
      <c r="AD1902" s="503"/>
      <c r="AE1902" s="503"/>
      <c r="AF1902" s="503"/>
    </row>
    <row r="1903" spans="1:32" ht="15.75" customHeight="1">
      <c r="A1903" s="503"/>
      <c r="B1903" s="503"/>
      <c r="C1903" s="510"/>
      <c r="D1903" s="510"/>
      <c r="E1903" s="510"/>
      <c r="F1903" s="746"/>
      <c r="G1903" s="510"/>
      <c r="H1903" s="510"/>
      <c r="I1903" s="510"/>
      <c r="J1903" s="510"/>
      <c r="K1903" s="510"/>
      <c r="L1903" s="510"/>
      <c r="M1903" s="509"/>
      <c r="N1903" s="508"/>
      <c r="O1903" s="507"/>
      <c r="P1903" s="507"/>
      <c r="Q1903" s="505"/>
      <c r="R1903" s="506"/>
      <c r="S1903" s="506"/>
      <c r="T1903" s="506"/>
      <c r="U1903" s="505"/>
      <c r="V1903" s="505"/>
      <c r="W1903" s="505"/>
      <c r="X1903" s="504"/>
      <c r="Y1903" s="503"/>
      <c r="Z1903" s="503"/>
      <c r="AA1903" s="503"/>
      <c r="AB1903" s="503"/>
      <c r="AC1903" s="503"/>
      <c r="AD1903" s="503"/>
      <c r="AE1903" s="503"/>
      <c r="AF1903" s="503"/>
    </row>
    <row r="1904" spans="1:32" ht="15.75" customHeight="1">
      <c r="A1904" s="503"/>
      <c r="B1904" s="503"/>
      <c r="C1904" s="510"/>
      <c r="D1904" s="510"/>
      <c r="E1904" s="510"/>
      <c r="F1904" s="746"/>
      <c r="G1904" s="510"/>
      <c r="H1904" s="510"/>
      <c r="I1904" s="510"/>
      <c r="J1904" s="510"/>
      <c r="K1904" s="510"/>
      <c r="L1904" s="510"/>
      <c r="M1904" s="509"/>
      <c r="N1904" s="508"/>
      <c r="O1904" s="507"/>
      <c r="P1904" s="507"/>
      <c r="Q1904" s="505"/>
      <c r="R1904" s="506"/>
      <c r="S1904" s="506"/>
      <c r="T1904" s="506"/>
      <c r="U1904" s="505"/>
      <c r="V1904" s="505"/>
      <c r="W1904" s="505"/>
      <c r="X1904" s="504"/>
      <c r="Y1904" s="503"/>
      <c r="Z1904" s="503"/>
      <c r="AA1904" s="503"/>
      <c r="AB1904" s="503"/>
      <c r="AC1904" s="503"/>
      <c r="AD1904" s="503"/>
      <c r="AE1904" s="503"/>
      <c r="AF1904" s="503"/>
    </row>
    <row r="1905" spans="1:32" ht="15.75" customHeight="1">
      <c r="A1905" s="503"/>
      <c r="B1905" s="503"/>
      <c r="C1905" s="510"/>
      <c r="D1905" s="510"/>
      <c r="E1905" s="510"/>
      <c r="F1905" s="746"/>
      <c r="G1905" s="510"/>
      <c r="H1905" s="510"/>
      <c r="I1905" s="510"/>
      <c r="J1905" s="510"/>
      <c r="K1905" s="510"/>
      <c r="L1905" s="510"/>
      <c r="M1905" s="509"/>
      <c r="N1905" s="508"/>
      <c r="O1905" s="507"/>
      <c r="P1905" s="507"/>
      <c r="Q1905" s="505"/>
      <c r="R1905" s="506"/>
      <c r="S1905" s="506"/>
      <c r="T1905" s="506"/>
      <c r="U1905" s="505"/>
      <c r="V1905" s="505"/>
      <c r="W1905" s="505"/>
      <c r="X1905" s="504"/>
      <c r="Y1905" s="503"/>
      <c r="Z1905" s="503"/>
      <c r="AA1905" s="503"/>
      <c r="AB1905" s="503"/>
      <c r="AC1905" s="503"/>
      <c r="AD1905" s="503"/>
      <c r="AE1905" s="503"/>
      <c r="AF1905" s="503"/>
    </row>
    <row r="1906" spans="1:32" ht="15.75" customHeight="1">
      <c r="A1906" s="503"/>
      <c r="B1906" s="503"/>
      <c r="C1906" s="510"/>
      <c r="D1906" s="510"/>
      <c r="E1906" s="510"/>
      <c r="F1906" s="746"/>
      <c r="G1906" s="510"/>
      <c r="H1906" s="510"/>
      <c r="I1906" s="510"/>
      <c r="J1906" s="510"/>
      <c r="K1906" s="510"/>
      <c r="L1906" s="510"/>
      <c r="M1906" s="509"/>
      <c r="N1906" s="508"/>
      <c r="O1906" s="507"/>
      <c r="P1906" s="507"/>
      <c r="Q1906" s="505"/>
      <c r="R1906" s="506"/>
      <c r="S1906" s="506"/>
      <c r="T1906" s="506"/>
      <c r="U1906" s="505"/>
      <c r="V1906" s="505"/>
      <c r="W1906" s="505"/>
      <c r="X1906" s="504"/>
      <c r="Y1906" s="503"/>
      <c r="Z1906" s="503"/>
      <c r="AA1906" s="503"/>
      <c r="AB1906" s="503"/>
      <c r="AC1906" s="503"/>
      <c r="AD1906" s="503"/>
      <c r="AE1906" s="503"/>
      <c r="AF1906" s="503"/>
    </row>
    <row r="1907" spans="1:32" ht="15.75" customHeight="1">
      <c r="A1907" s="503"/>
      <c r="B1907" s="503"/>
      <c r="C1907" s="510"/>
      <c r="D1907" s="510"/>
      <c r="E1907" s="510"/>
      <c r="F1907" s="746"/>
      <c r="G1907" s="510"/>
      <c r="H1907" s="510"/>
      <c r="I1907" s="510"/>
      <c r="J1907" s="510"/>
      <c r="K1907" s="510"/>
      <c r="L1907" s="510"/>
      <c r="M1907" s="509"/>
      <c r="N1907" s="508"/>
      <c r="O1907" s="507"/>
      <c r="P1907" s="507"/>
      <c r="Q1907" s="505"/>
      <c r="R1907" s="506"/>
      <c r="S1907" s="506"/>
      <c r="T1907" s="506"/>
      <c r="U1907" s="505"/>
      <c r="V1907" s="505"/>
      <c r="W1907" s="505"/>
      <c r="X1907" s="504"/>
      <c r="Y1907" s="503"/>
      <c r="Z1907" s="503"/>
      <c r="AA1907" s="503"/>
      <c r="AB1907" s="503"/>
      <c r="AC1907" s="503"/>
      <c r="AD1907" s="503"/>
      <c r="AE1907" s="503"/>
      <c r="AF1907" s="503"/>
    </row>
    <row r="1908" spans="1:32" ht="15.75" customHeight="1">
      <c r="A1908" s="503"/>
      <c r="B1908" s="503"/>
      <c r="C1908" s="510"/>
      <c r="D1908" s="510"/>
      <c r="E1908" s="510"/>
      <c r="F1908" s="746"/>
      <c r="G1908" s="510"/>
      <c r="H1908" s="510"/>
      <c r="I1908" s="510"/>
      <c r="J1908" s="510"/>
      <c r="K1908" s="510"/>
      <c r="L1908" s="510"/>
      <c r="M1908" s="509"/>
      <c r="N1908" s="508"/>
      <c r="O1908" s="507"/>
      <c r="P1908" s="507"/>
      <c r="Q1908" s="505"/>
      <c r="R1908" s="506"/>
      <c r="S1908" s="506"/>
      <c r="T1908" s="506"/>
      <c r="U1908" s="505"/>
      <c r="V1908" s="505"/>
      <c r="W1908" s="505"/>
      <c r="X1908" s="504"/>
      <c r="Y1908" s="503"/>
      <c r="Z1908" s="503"/>
      <c r="AA1908" s="503"/>
      <c r="AB1908" s="503"/>
      <c r="AC1908" s="503"/>
      <c r="AD1908" s="503"/>
      <c r="AE1908" s="503"/>
      <c r="AF1908" s="503"/>
    </row>
    <row r="1909" spans="1:32" ht="15.75" customHeight="1">
      <c r="A1909" s="503"/>
      <c r="B1909" s="503"/>
      <c r="C1909" s="510"/>
      <c r="D1909" s="510"/>
      <c r="E1909" s="510"/>
      <c r="F1909" s="746"/>
      <c r="G1909" s="510"/>
      <c r="H1909" s="510"/>
      <c r="I1909" s="510"/>
      <c r="J1909" s="510"/>
      <c r="K1909" s="510"/>
      <c r="L1909" s="510"/>
      <c r="M1909" s="509"/>
      <c r="N1909" s="508"/>
      <c r="O1909" s="507"/>
      <c r="P1909" s="507"/>
      <c r="Q1909" s="505"/>
      <c r="R1909" s="506"/>
      <c r="S1909" s="506"/>
      <c r="T1909" s="506"/>
      <c r="U1909" s="505"/>
      <c r="V1909" s="505"/>
      <c r="W1909" s="505"/>
      <c r="X1909" s="504"/>
      <c r="Y1909" s="503"/>
      <c r="Z1909" s="503"/>
      <c r="AA1909" s="503"/>
      <c r="AB1909" s="503"/>
      <c r="AC1909" s="503"/>
      <c r="AD1909" s="503"/>
      <c r="AE1909" s="503"/>
      <c r="AF1909" s="503"/>
    </row>
    <row r="1910" spans="1:32" ht="15.75" customHeight="1">
      <c r="A1910" s="503"/>
      <c r="B1910" s="503"/>
      <c r="C1910" s="510"/>
      <c r="D1910" s="510"/>
      <c r="E1910" s="510"/>
      <c r="F1910" s="746"/>
      <c r="G1910" s="510"/>
      <c r="H1910" s="510"/>
      <c r="I1910" s="510"/>
      <c r="J1910" s="510"/>
      <c r="K1910" s="510"/>
      <c r="L1910" s="510"/>
      <c r="M1910" s="509"/>
      <c r="N1910" s="508"/>
      <c r="O1910" s="507"/>
      <c r="P1910" s="507"/>
      <c r="Q1910" s="505"/>
      <c r="R1910" s="506"/>
      <c r="S1910" s="506"/>
      <c r="T1910" s="506"/>
      <c r="U1910" s="505"/>
      <c r="V1910" s="505"/>
      <c r="W1910" s="505"/>
      <c r="X1910" s="504"/>
      <c r="Y1910" s="503"/>
      <c r="Z1910" s="503"/>
      <c r="AA1910" s="503"/>
      <c r="AB1910" s="503"/>
      <c r="AC1910" s="503"/>
      <c r="AD1910" s="503"/>
      <c r="AE1910" s="503"/>
      <c r="AF1910" s="503"/>
    </row>
    <row r="1911" spans="1:32" ht="15.75" customHeight="1">
      <c r="A1911" s="503"/>
      <c r="B1911" s="503"/>
      <c r="C1911" s="510"/>
      <c r="D1911" s="510"/>
      <c r="E1911" s="510"/>
      <c r="F1911" s="746"/>
      <c r="G1911" s="510"/>
      <c r="H1911" s="510"/>
      <c r="I1911" s="510"/>
      <c r="J1911" s="510"/>
      <c r="K1911" s="510"/>
      <c r="L1911" s="510"/>
      <c r="M1911" s="509"/>
      <c r="N1911" s="508"/>
      <c r="O1911" s="507"/>
      <c r="P1911" s="507"/>
      <c r="Q1911" s="505"/>
      <c r="R1911" s="506"/>
      <c r="S1911" s="506"/>
      <c r="T1911" s="506"/>
      <c r="U1911" s="505"/>
      <c r="V1911" s="505"/>
      <c r="W1911" s="505"/>
      <c r="X1911" s="504"/>
      <c r="Y1911" s="503"/>
      <c r="Z1911" s="503"/>
      <c r="AA1911" s="503"/>
      <c r="AB1911" s="503"/>
      <c r="AC1911" s="503"/>
      <c r="AD1911" s="503"/>
      <c r="AE1911" s="503"/>
      <c r="AF1911" s="503"/>
    </row>
    <row r="1912" spans="1:32" ht="15.75" customHeight="1">
      <c r="A1912" s="503"/>
      <c r="B1912" s="503"/>
      <c r="C1912" s="510"/>
      <c r="D1912" s="510"/>
      <c r="E1912" s="510"/>
      <c r="F1912" s="746"/>
      <c r="G1912" s="510"/>
      <c r="H1912" s="510"/>
      <c r="I1912" s="510"/>
      <c r="J1912" s="510"/>
      <c r="K1912" s="510"/>
      <c r="L1912" s="510"/>
      <c r="M1912" s="509"/>
      <c r="N1912" s="508"/>
      <c r="O1912" s="507"/>
      <c r="P1912" s="507"/>
      <c r="Q1912" s="505"/>
      <c r="R1912" s="506"/>
      <c r="S1912" s="506"/>
      <c r="T1912" s="506"/>
      <c r="U1912" s="505"/>
      <c r="V1912" s="505"/>
      <c r="W1912" s="505"/>
      <c r="X1912" s="504"/>
      <c r="Y1912" s="503"/>
      <c r="Z1912" s="503"/>
      <c r="AA1912" s="503"/>
      <c r="AB1912" s="503"/>
      <c r="AC1912" s="503"/>
      <c r="AD1912" s="503"/>
      <c r="AE1912" s="503"/>
      <c r="AF1912" s="503"/>
    </row>
    <row r="1913" spans="1:32" ht="15.75" customHeight="1">
      <c r="A1913" s="503"/>
      <c r="B1913" s="503"/>
      <c r="C1913" s="510"/>
      <c r="D1913" s="510"/>
      <c r="E1913" s="510"/>
      <c r="F1913" s="746"/>
      <c r="G1913" s="510"/>
      <c r="H1913" s="510"/>
      <c r="I1913" s="510"/>
      <c r="J1913" s="510"/>
      <c r="K1913" s="510"/>
      <c r="L1913" s="510"/>
      <c r="M1913" s="509"/>
      <c r="N1913" s="508"/>
      <c r="O1913" s="507"/>
      <c r="P1913" s="507"/>
      <c r="Q1913" s="505"/>
      <c r="R1913" s="506"/>
      <c r="S1913" s="506"/>
      <c r="T1913" s="506"/>
      <c r="U1913" s="505"/>
      <c r="V1913" s="505"/>
      <c r="W1913" s="505"/>
      <c r="X1913" s="504"/>
      <c r="Y1913" s="503"/>
      <c r="Z1913" s="503"/>
      <c r="AA1913" s="503"/>
      <c r="AB1913" s="503"/>
      <c r="AC1913" s="503"/>
      <c r="AD1913" s="503"/>
      <c r="AE1913" s="503"/>
      <c r="AF1913" s="503"/>
    </row>
    <row r="1914" spans="1:32" ht="15.75" customHeight="1">
      <c r="A1914" s="503"/>
      <c r="B1914" s="503"/>
      <c r="C1914" s="510"/>
      <c r="D1914" s="510"/>
      <c r="E1914" s="510"/>
      <c r="F1914" s="746"/>
      <c r="G1914" s="510"/>
      <c r="H1914" s="510"/>
      <c r="I1914" s="510"/>
      <c r="J1914" s="510"/>
      <c r="K1914" s="510"/>
      <c r="L1914" s="510"/>
      <c r="M1914" s="509"/>
      <c r="N1914" s="508"/>
      <c r="O1914" s="507"/>
      <c r="P1914" s="507"/>
      <c r="Q1914" s="505"/>
      <c r="R1914" s="506"/>
      <c r="S1914" s="506"/>
      <c r="T1914" s="506"/>
      <c r="U1914" s="505"/>
      <c r="V1914" s="505"/>
      <c r="W1914" s="505"/>
      <c r="X1914" s="504"/>
      <c r="Y1914" s="503"/>
      <c r="Z1914" s="503"/>
      <c r="AA1914" s="503"/>
      <c r="AB1914" s="503"/>
      <c r="AC1914" s="503"/>
      <c r="AD1914" s="503"/>
      <c r="AE1914" s="503"/>
      <c r="AF1914" s="503"/>
    </row>
    <row r="1915" spans="1:32" ht="15.75" customHeight="1">
      <c r="A1915" s="503"/>
      <c r="B1915" s="503"/>
      <c r="C1915" s="510"/>
      <c r="D1915" s="510"/>
      <c r="E1915" s="510"/>
      <c r="F1915" s="746"/>
      <c r="G1915" s="510"/>
      <c r="H1915" s="510"/>
      <c r="I1915" s="510"/>
      <c r="J1915" s="510"/>
      <c r="K1915" s="510"/>
      <c r="L1915" s="510"/>
      <c r="M1915" s="509"/>
      <c r="N1915" s="508"/>
      <c r="O1915" s="507"/>
      <c r="P1915" s="507"/>
      <c r="Q1915" s="505"/>
      <c r="R1915" s="506"/>
      <c r="S1915" s="506"/>
      <c r="T1915" s="506"/>
      <c r="U1915" s="505"/>
      <c r="V1915" s="505"/>
      <c r="W1915" s="505"/>
      <c r="X1915" s="504"/>
      <c r="Y1915" s="503"/>
      <c r="Z1915" s="503"/>
      <c r="AA1915" s="503"/>
      <c r="AB1915" s="503"/>
      <c r="AC1915" s="503"/>
      <c r="AD1915" s="503"/>
      <c r="AE1915" s="503"/>
      <c r="AF1915" s="503"/>
    </row>
    <row r="1916" spans="1:32" ht="15.75" customHeight="1">
      <c r="A1916" s="503"/>
      <c r="B1916" s="503"/>
      <c r="C1916" s="510"/>
      <c r="D1916" s="510"/>
      <c r="E1916" s="510"/>
      <c r="F1916" s="746"/>
      <c r="G1916" s="510"/>
      <c r="H1916" s="510"/>
      <c r="I1916" s="510"/>
      <c r="J1916" s="510"/>
      <c r="K1916" s="510"/>
      <c r="L1916" s="510"/>
      <c r="M1916" s="509"/>
      <c r="N1916" s="508"/>
      <c r="O1916" s="507"/>
      <c r="P1916" s="507"/>
      <c r="Q1916" s="505"/>
      <c r="R1916" s="506"/>
      <c r="S1916" s="506"/>
      <c r="T1916" s="506"/>
      <c r="U1916" s="505"/>
      <c r="V1916" s="505"/>
      <c r="W1916" s="505"/>
      <c r="X1916" s="504"/>
      <c r="Y1916" s="503"/>
      <c r="Z1916" s="503"/>
      <c r="AA1916" s="503"/>
      <c r="AB1916" s="503"/>
      <c r="AC1916" s="503"/>
      <c r="AD1916" s="503"/>
      <c r="AE1916" s="503"/>
      <c r="AF1916" s="503"/>
    </row>
    <row r="1917" spans="1:32" ht="15.75" customHeight="1">
      <c r="A1917" s="503"/>
      <c r="B1917" s="503"/>
      <c r="C1917" s="510"/>
      <c r="D1917" s="510"/>
      <c r="E1917" s="510"/>
      <c r="F1917" s="746"/>
      <c r="G1917" s="510"/>
      <c r="H1917" s="510"/>
      <c r="I1917" s="510"/>
      <c r="J1917" s="510"/>
      <c r="K1917" s="510"/>
      <c r="L1917" s="510"/>
      <c r="M1917" s="509"/>
      <c r="N1917" s="508"/>
      <c r="O1917" s="507"/>
      <c r="P1917" s="507"/>
      <c r="Q1917" s="505"/>
      <c r="R1917" s="506"/>
      <c r="S1917" s="506"/>
      <c r="T1917" s="506"/>
      <c r="U1917" s="505"/>
      <c r="V1917" s="505"/>
      <c r="W1917" s="505"/>
      <c r="X1917" s="504"/>
      <c r="Y1917" s="503"/>
      <c r="Z1917" s="503"/>
      <c r="AA1917" s="503"/>
      <c r="AB1917" s="503"/>
      <c r="AC1917" s="503"/>
      <c r="AD1917" s="503"/>
      <c r="AE1917" s="503"/>
      <c r="AF1917" s="503"/>
    </row>
    <row r="1918" spans="1:32" ht="15.75" customHeight="1">
      <c r="A1918" s="503"/>
      <c r="B1918" s="503"/>
      <c r="C1918" s="510"/>
      <c r="D1918" s="510"/>
      <c r="E1918" s="510"/>
      <c r="F1918" s="746"/>
      <c r="G1918" s="510"/>
      <c r="H1918" s="510"/>
      <c r="I1918" s="510"/>
      <c r="J1918" s="510"/>
      <c r="K1918" s="510"/>
      <c r="L1918" s="510"/>
      <c r="M1918" s="509"/>
      <c r="N1918" s="508"/>
      <c r="O1918" s="507"/>
      <c r="P1918" s="507"/>
      <c r="Q1918" s="505"/>
      <c r="R1918" s="506"/>
      <c r="S1918" s="506"/>
      <c r="T1918" s="506"/>
      <c r="U1918" s="505"/>
      <c r="V1918" s="505"/>
      <c r="W1918" s="505"/>
      <c r="X1918" s="504"/>
      <c r="Y1918" s="503"/>
      <c r="Z1918" s="503"/>
      <c r="AA1918" s="503"/>
      <c r="AB1918" s="503"/>
      <c r="AC1918" s="503"/>
      <c r="AD1918" s="503"/>
      <c r="AE1918" s="503"/>
      <c r="AF1918" s="503"/>
    </row>
    <row r="1919" spans="1:32" ht="15.75" customHeight="1">
      <c r="A1919" s="503"/>
      <c r="B1919" s="503"/>
      <c r="C1919" s="510"/>
      <c r="D1919" s="510"/>
      <c r="E1919" s="510"/>
      <c r="F1919" s="746"/>
      <c r="G1919" s="510"/>
      <c r="H1919" s="510"/>
      <c r="I1919" s="510"/>
      <c r="J1919" s="510"/>
      <c r="K1919" s="510"/>
      <c r="L1919" s="510"/>
      <c r="M1919" s="509"/>
      <c r="N1919" s="508"/>
      <c r="O1919" s="507"/>
      <c r="P1919" s="507"/>
      <c r="Q1919" s="505"/>
      <c r="R1919" s="506"/>
      <c r="S1919" s="506"/>
      <c r="T1919" s="506"/>
      <c r="U1919" s="505"/>
      <c r="V1919" s="505"/>
      <c r="W1919" s="505"/>
      <c r="X1919" s="504"/>
      <c r="Y1919" s="503"/>
      <c r="Z1919" s="503"/>
      <c r="AA1919" s="503"/>
      <c r="AB1919" s="503"/>
      <c r="AC1919" s="503"/>
      <c r="AD1919" s="503"/>
      <c r="AE1919" s="503"/>
      <c r="AF1919" s="503"/>
    </row>
    <row r="1920" spans="1:32" ht="15.75" customHeight="1">
      <c r="A1920" s="503"/>
      <c r="B1920" s="503"/>
      <c r="C1920" s="510"/>
      <c r="D1920" s="510"/>
      <c r="E1920" s="510"/>
      <c r="F1920" s="746"/>
      <c r="G1920" s="510"/>
      <c r="H1920" s="510"/>
      <c r="I1920" s="510"/>
      <c r="J1920" s="510"/>
      <c r="K1920" s="510"/>
      <c r="L1920" s="510"/>
      <c r="M1920" s="509"/>
      <c r="N1920" s="508"/>
      <c r="O1920" s="507"/>
      <c r="P1920" s="507"/>
      <c r="Q1920" s="505"/>
      <c r="R1920" s="506"/>
      <c r="S1920" s="506"/>
      <c r="T1920" s="506"/>
      <c r="U1920" s="505"/>
      <c r="V1920" s="505"/>
      <c r="W1920" s="505"/>
      <c r="X1920" s="504"/>
      <c r="Y1920" s="503"/>
      <c r="Z1920" s="503"/>
      <c r="AA1920" s="503"/>
      <c r="AB1920" s="503"/>
      <c r="AC1920" s="503"/>
      <c r="AD1920" s="503"/>
      <c r="AE1920" s="503"/>
      <c r="AF1920" s="503"/>
    </row>
    <row r="1921" spans="1:32" ht="15.75" customHeight="1">
      <c r="A1921" s="503"/>
      <c r="B1921" s="503"/>
      <c r="C1921" s="510"/>
      <c r="D1921" s="510"/>
      <c r="E1921" s="510"/>
      <c r="F1921" s="746"/>
      <c r="G1921" s="510"/>
      <c r="H1921" s="510"/>
      <c r="I1921" s="510"/>
      <c r="J1921" s="510"/>
      <c r="K1921" s="510"/>
      <c r="L1921" s="510"/>
      <c r="M1921" s="509"/>
      <c r="N1921" s="508"/>
      <c r="O1921" s="507"/>
      <c r="P1921" s="507"/>
      <c r="Q1921" s="505"/>
      <c r="R1921" s="506"/>
      <c r="S1921" s="506"/>
      <c r="T1921" s="506"/>
      <c r="U1921" s="505"/>
      <c r="V1921" s="505"/>
      <c r="W1921" s="505"/>
      <c r="X1921" s="504"/>
      <c r="Y1921" s="503"/>
      <c r="Z1921" s="503"/>
      <c r="AA1921" s="503"/>
      <c r="AB1921" s="503"/>
      <c r="AC1921" s="503"/>
      <c r="AD1921" s="503"/>
      <c r="AE1921" s="503"/>
      <c r="AF1921" s="503"/>
    </row>
    <row r="1922" spans="1:32" ht="15.75" customHeight="1">
      <c r="A1922" s="503"/>
      <c r="B1922" s="503"/>
      <c r="C1922" s="510"/>
      <c r="D1922" s="510"/>
      <c r="E1922" s="510"/>
      <c r="F1922" s="746"/>
      <c r="G1922" s="510"/>
      <c r="H1922" s="510"/>
      <c r="I1922" s="510"/>
      <c r="J1922" s="510"/>
      <c r="K1922" s="510"/>
      <c r="L1922" s="510"/>
      <c r="M1922" s="509"/>
      <c r="N1922" s="508"/>
      <c r="O1922" s="507"/>
      <c r="P1922" s="507"/>
      <c r="Q1922" s="505"/>
      <c r="R1922" s="506"/>
      <c r="S1922" s="506"/>
      <c r="T1922" s="506"/>
      <c r="U1922" s="505"/>
      <c r="V1922" s="505"/>
      <c r="W1922" s="505"/>
      <c r="X1922" s="504"/>
      <c r="Y1922" s="503"/>
      <c r="Z1922" s="503"/>
      <c r="AA1922" s="503"/>
      <c r="AB1922" s="503"/>
      <c r="AC1922" s="503"/>
      <c r="AD1922" s="503"/>
      <c r="AE1922" s="503"/>
      <c r="AF1922" s="503"/>
    </row>
    <row r="1923" spans="1:32" ht="15.75" customHeight="1">
      <c r="A1923" s="503"/>
      <c r="B1923" s="503"/>
      <c r="C1923" s="510"/>
      <c r="D1923" s="510"/>
      <c r="E1923" s="510"/>
      <c r="F1923" s="746"/>
      <c r="G1923" s="510"/>
      <c r="H1923" s="510"/>
      <c r="I1923" s="510"/>
      <c r="J1923" s="510"/>
      <c r="K1923" s="510"/>
      <c r="L1923" s="510"/>
      <c r="M1923" s="509"/>
      <c r="N1923" s="508"/>
      <c r="O1923" s="507"/>
      <c r="P1923" s="507"/>
      <c r="Q1923" s="505"/>
      <c r="R1923" s="506"/>
      <c r="S1923" s="506"/>
      <c r="T1923" s="506"/>
      <c r="U1923" s="505"/>
      <c r="V1923" s="505"/>
      <c r="W1923" s="505"/>
      <c r="X1923" s="504"/>
      <c r="Y1923" s="503"/>
      <c r="Z1923" s="503"/>
      <c r="AA1923" s="503"/>
      <c r="AB1923" s="503"/>
      <c r="AC1923" s="503"/>
      <c r="AD1923" s="503"/>
      <c r="AE1923" s="503"/>
      <c r="AF1923" s="503"/>
    </row>
    <row r="1924" spans="1:32" ht="15.75" customHeight="1">
      <c r="A1924" s="503"/>
      <c r="B1924" s="503"/>
      <c r="C1924" s="510"/>
      <c r="D1924" s="510"/>
      <c r="E1924" s="510"/>
      <c r="F1924" s="746"/>
      <c r="G1924" s="510"/>
      <c r="H1924" s="510"/>
      <c r="I1924" s="510"/>
      <c r="J1924" s="510"/>
      <c r="K1924" s="510"/>
      <c r="L1924" s="510"/>
      <c r="M1924" s="509"/>
      <c r="N1924" s="508"/>
      <c r="O1924" s="507"/>
      <c r="P1924" s="507"/>
      <c r="Q1924" s="505"/>
      <c r="R1924" s="506"/>
      <c r="S1924" s="506"/>
      <c r="T1924" s="506"/>
      <c r="U1924" s="505"/>
      <c r="V1924" s="505"/>
      <c r="W1924" s="505"/>
      <c r="X1924" s="504"/>
      <c r="Y1924" s="503"/>
      <c r="Z1924" s="503"/>
      <c r="AA1924" s="503"/>
      <c r="AB1924" s="503"/>
      <c r="AC1924" s="503"/>
      <c r="AD1924" s="503"/>
      <c r="AE1924" s="503"/>
      <c r="AF1924" s="503"/>
    </row>
    <row r="1925" spans="1:32" ht="15.75" customHeight="1">
      <c r="A1925" s="503"/>
      <c r="B1925" s="503"/>
      <c r="C1925" s="510"/>
      <c r="D1925" s="510"/>
      <c r="E1925" s="510"/>
      <c r="F1925" s="746"/>
      <c r="G1925" s="510"/>
      <c r="H1925" s="510"/>
      <c r="I1925" s="510"/>
      <c r="J1925" s="510"/>
      <c r="K1925" s="510"/>
      <c r="L1925" s="510"/>
      <c r="M1925" s="509"/>
      <c r="N1925" s="508"/>
      <c r="O1925" s="507"/>
      <c r="P1925" s="507"/>
      <c r="Q1925" s="505"/>
      <c r="R1925" s="506"/>
      <c r="S1925" s="506"/>
      <c r="T1925" s="506"/>
      <c r="U1925" s="505"/>
      <c r="V1925" s="505"/>
      <c r="W1925" s="505"/>
      <c r="X1925" s="504"/>
      <c r="Y1925" s="503"/>
      <c r="Z1925" s="503"/>
      <c r="AA1925" s="503"/>
      <c r="AB1925" s="503"/>
      <c r="AC1925" s="503"/>
      <c r="AD1925" s="503"/>
      <c r="AE1925" s="503"/>
      <c r="AF1925" s="503"/>
    </row>
    <row r="1926" spans="1:32" ht="15.75" customHeight="1">
      <c r="A1926" s="503"/>
      <c r="B1926" s="503"/>
      <c r="C1926" s="510"/>
      <c r="D1926" s="510"/>
      <c r="E1926" s="510"/>
      <c r="F1926" s="746"/>
      <c r="G1926" s="510"/>
      <c r="H1926" s="510"/>
      <c r="I1926" s="510"/>
      <c r="J1926" s="510"/>
      <c r="K1926" s="510"/>
      <c r="L1926" s="510"/>
      <c r="M1926" s="509"/>
      <c r="N1926" s="508"/>
      <c r="O1926" s="507"/>
      <c r="P1926" s="507"/>
      <c r="Q1926" s="505"/>
      <c r="R1926" s="506"/>
      <c r="S1926" s="506"/>
      <c r="T1926" s="506"/>
      <c r="U1926" s="505"/>
      <c r="V1926" s="505"/>
      <c r="W1926" s="505"/>
      <c r="X1926" s="504"/>
      <c r="Y1926" s="503"/>
      <c r="Z1926" s="503"/>
      <c r="AA1926" s="503"/>
      <c r="AB1926" s="503"/>
      <c r="AC1926" s="503"/>
      <c r="AD1926" s="503"/>
      <c r="AE1926" s="503"/>
      <c r="AF1926" s="503"/>
    </row>
    <row r="1927" spans="1:32" ht="15.75" customHeight="1">
      <c r="A1927" s="503"/>
      <c r="B1927" s="503"/>
      <c r="C1927" s="510"/>
      <c r="D1927" s="510"/>
      <c r="E1927" s="510"/>
      <c r="F1927" s="746"/>
      <c r="G1927" s="510"/>
      <c r="H1927" s="510"/>
      <c r="I1927" s="510"/>
      <c r="J1927" s="510"/>
      <c r="K1927" s="510"/>
      <c r="L1927" s="510"/>
      <c r="M1927" s="509"/>
      <c r="N1927" s="508"/>
      <c r="O1927" s="507"/>
      <c r="P1927" s="507"/>
      <c r="Q1927" s="505"/>
      <c r="R1927" s="506"/>
      <c r="S1927" s="506"/>
      <c r="T1927" s="506"/>
      <c r="U1927" s="505"/>
      <c r="V1927" s="505"/>
      <c r="W1927" s="505"/>
      <c r="X1927" s="504"/>
      <c r="Y1927" s="503"/>
      <c r="Z1927" s="503"/>
      <c r="AA1927" s="503"/>
      <c r="AB1927" s="503"/>
      <c r="AC1927" s="503"/>
      <c r="AD1927" s="503"/>
      <c r="AE1927" s="503"/>
      <c r="AF1927" s="503"/>
    </row>
    <row r="1928" spans="1:32" ht="15.75" customHeight="1">
      <c r="A1928" s="503"/>
      <c r="B1928" s="503"/>
      <c r="C1928" s="510"/>
      <c r="D1928" s="510"/>
      <c r="E1928" s="510"/>
      <c r="F1928" s="746"/>
      <c r="G1928" s="510"/>
      <c r="H1928" s="510"/>
      <c r="I1928" s="510"/>
      <c r="J1928" s="510"/>
      <c r="K1928" s="510"/>
      <c r="L1928" s="510"/>
      <c r="M1928" s="509"/>
      <c r="N1928" s="508"/>
      <c r="O1928" s="507"/>
      <c r="P1928" s="507"/>
      <c r="Q1928" s="505"/>
      <c r="R1928" s="506"/>
      <c r="S1928" s="506"/>
      <c r="T1928" s="506"/>
      <c r="U1928" s="505"/>
      <c r="V1928" s="505"/>
      <c r="W1928" s="505"/>
      <c r="X1928" s="504"/>
      <c r="Y1928" s="503"/>
      <c r="Z1928" s="503"/>
      <c r="AA1928" s="503"/>
      <c r="AB1928" s="503"/>
      <c r="AC1928" s="503"/>
      <c r="AD1928" s="503"/>
      <c r="AE1928" s="503"/>
      <c r="AF1928" s="503"/>
    </row>
    <row r="1929" spans="1:32" ht="15.75" customHeight="1">
      <c r="A1929" s="503"/>
      <c r="B1929" s="503"/>
      <c r="C1929" s="510"/>
      <c r="D1929" s="510"/>
      <c r="E1929" s="510"/>
      <c r="F1929" s="746"/>
      <c r="G1929" s="510"/>
      <c r="H1929" s="510"/>
      <c r="I1929" s="510"/>
      <c r="J1929" s="510"/>
      <c r="K1929" s="510"/>
      <c r="L1929" s="510"/>
      <c r="M1929" s="509"/>
      <c r="N1929" s="508"/>
      <c r="O1929" s="507"/>
      <c r="P1929" s="507"/>
      <c r="Q1929" s="505"/>
      <c r="R1929" s="506"/>
      <c r="S1929" s="506"/>
      <c r="T1929" s="506"/>
      <c r="U1929" s="505"/>
      <c r="V1929" s="505"/>
      <c r="W1929" s="505"/>
      <c r="X1929" s="504"/>
      <c r="Y1929" s="503"/>
      <c r="Z1929" s="503"/>
      <c r="AA1929" s="503"/>
      <c r="AB1929" s="503"/>
      <c r="AC1929" s="503"/>
      <c r="AD1929" s="503"/>
      <c r="AE1929" s="503"/>
      <c r="AF1929" s="503"/>
    </row>
    <row r="1930" spans="1:32" ht="15.75" customHeight="1">
      <c r="A1930" s="503"/>
      <c r="B1930" s="503"/>
      <c r="C1930" s="510"/>
      <c r="D1930" s="510"/>
      <c r="E1930" s="510"/>
      <c r="F1930" s="746"/>
      <c r="G1930" s="510"/>
      <c r="H1930" s="510"/>
      <c r="I1930" s="510"/>
      <c r="J1930" s="510"/>
      <c r="K1930" s="510"/>
      <c r="L1930" s="510"/>
      <c r="M1930" s="509"/>
      <c r="N1930" s="508"/>
      <c r="O1930" s="507"/>
      <c r="P1930" s="507"/>
      <c r="Q1930" s="505"/>
      <c r="R1930" s="506"/>
      <c r="S1930" s="506"/>
      <c r="T1930" s="506"/>
      <c r="U1930" s="505"/>
      <c r="V1930" s="505"/>
      <c r="W1930" s="505"/>
      <c r="X1930" s="504"/>
      <c r="Y1930" s="503"/>
      <c r="Z1930" s="503"/>
      <c r="AA1930" s="503"/>
      <c r="AB1930" s="503"/>
      <c r="AC1930" s="503"/>
      <c r="AD1930" s="503"/>
      <c r="AE1930" s="503"/>
      <c r="AF1930" s="503"/>
    </row>
    <row r="1931" spans="1:32" ht="15.75" customHeight="1">
      <c r="A1931" s="503"/>
      <c r="B1931" s="503"/>
      <c r="C1931" s="510"/>
      <c r="D1931" s="510"/>
      <c r="E1931" s="510"/>
      <c r="F1931" s="746"/>
      <c r="G1931" s="510"/>
      <c r="H1931" s="510"/>
      <c r="I1931" s="510"/>
      <c r="J1931" s="510"/>
      <c r="K1931" s="510"/>
      <c r="L1931" s="510"/>
      <c r="M1931" s="509"/>
      <c r="N1931" s="508"/>
      <c r="O1931" s="507"/>
      <c r="P1931" s="507"/>
      <c r="Q1931" s="505"/>
      <c r="R1931" s="506"/>
      <c r="S1931" s="506"/>
      <c r="T1931" s="506"/>
      <c r="U1931" s="505"/>
      <c r="V1931" s="505"/>
      <c r="W1931" s="505"/>
      <c r="X1931" s="504"/>
      <c r="Y1931" s="503"/>
      <c r="Z1931" s="503"/>
      <c r="AA1931" s="503"/>
      <c r="AB1931" s="503"/>
      <c r="AC1931" s="503"/>
      <c r="AD1931" s="503"/>
      <c r="AE1931" s="503"/>
      <c r="AF1931" s="503"/>
    </row>
    <row r="1932" spans="1:32" ht="15.75" customHeight="1">
      <c r="A1932" s="503"/>
      <c r="B1932" s="503"/>
      <c r="C1932" s="510"/>
      <c r="D1932" s="510"/>
      <c r="E1932" s="510"/>
      <c r="F1932" s="746"/>
      <c r="G1932" s="510"/>
      <c r="H1932" s="510"/>
      <c r="I1932" s="510"/>
      <c r="J1932" s="510"/>
      <c r="K1932" s="510"/>
      <c r="L1932" s="510"/>
      <c r="M1932" s="509"/>
      <c r="N1932" s="508"/>
      <c r="O1932" s="507"/>
      <c r="P1932" s="507"/>
      <c r="Q1932" s="505"/>
      <c r="R1932" s="506"/>
      <c r="S1932" s="506"/>
      <c r="T1932" s="506"/>
      <c r="U1932" s="505"/>
      <c r="V1932" s="505"/>
      <c r="W1932" s="505"/>
      <c r="X1932" s="504"/>
      <c r="Y1932" s="503"/>
      <c r="Z1932" s="503"/>
      <c r="AA1932" s="503"/>
      <c r="AB1932" s="503"/>
      <c r="AC1932" s="503"/>
      <c r="AD1932" s="503"/>
      <c r="AE1932" s="503"/>
      <c r="AF1932" s="503"/>
    </row>
    <row r="1933" spans="1:32" ht="15.75" customHeight="1">
      <c r="A1933" s="503"/>
      <c r="B1933" s="503"/>
      <c r="C1933" s="510"/>
      <c r="D1933" s="510"/>
      <c r="E1933" s="510"/>
      <c r="F1933" s="746"/>
      <c r="G1933" s="510"/>
      <c r="H1933" s="510"/>
      <c r="I1933" s="510"/>
      <c r="J1933" s="510"/>
      <c r="K1933" s="510"/>
      <c r="L1933" s="510"/>
      <c r="M1933" s="509"/>
      <c r="N1933" s="508"/>
      <c r="O1933" s="507"/>
      <c r="P1933" s="507"/>
      <c r="Q1933" s="505"/>
      <c r="R1933" s="506"/>
      <c r="S1933" s="506"/>
      <c r="T1933" s="506"/>
      <c r="U1933" s="505"/>
      <c r="V1933" s="505"/>
      <c r="W1933" s="505"/>
      <c r="X1933" s="504"/>
      <c r="Y1933" s="503"/>
      <c r="Z1933" s="503"/>
      <c r="AA1933" s="503"/>
      <c r="AB1933" s="503"/>
      <c r="AC1933" s="503"/>
      <c r="AD1933" s="503"/>
      <c r="AE1933" s="503"/>
      <c r="AF1933" s="503"/>
    </row>
    <row r="1934" spans="1:32" ht="15.75" customHeight="1">
      <c r="A1934" s="503"/>
      <c r="B1934" s="503"/>
      <c r="C1934" s="510"/>
      <c r="D1934" s="510"/>
      <c r="E1934" s="510"/>
      <c r="F1934" s="746"/>
      <c r="G1934" s="510"/>
      <c r="H1934" s="510"/>
      <c r="I1934" s="510"/>
      <c r="J1934" s="510"/>
      <c r="K1934" s="510"/>
      <c r="L1934" s="510"/>
      <c r="M1934" s="509"/>
      <c r="N1934" s="508"/>
      <c r="O1934" s="507"/>
      <c r="P1934" s="507"/>
      <c r="Q1934" s="505"/>
      <c r="R1934" s="506"/>
      <c r="S1934" s="506"/>
      <c r="T1934" s="506"/>
      <c r="U1934" s="505"/>
      <c r="V1934" s="505"/>
      <c r="W1934" s="505"/>
      <c r="X1934" s="504"/>
      <c r="Y1934" s="503"/>
      <c r="Z1934" s="503"/>
      <c r="AA1934" s="503"/>
      <c r="AB1934" s="503"/>
      <c r="AC1934" s="503"/>
      <c r="AD1934" s="503"/>
      <c r="AE1934" s="503"/>
      <c r="AF1934" s="503"/>
    </row>
    <row r="1935" spans="1:32" ht="15.75" customHeight="1">
      <c r="A1935" s="503"/>
      <c r="B1935" s="503"/>
      <c r="C1935" s="510"/>
      <c r="D1935" s="510"/>
      <c r="E1935" s="510"/>
      <c r="F1935" s="746"/>
      <c r="G1935" s="510"/>
      <c r="H1935" s="510"/>
      <c r="I1935" s="510"/>
      <c r="J1935" s="510"/>
      <c r="K1935" s="510"/>
      <c r="L1935" s="510"/>
      <c r="M1935" s="509"/>
      <c r="N1935" s="508"/>
      <c r="O1935" s="507"/>
      <c r="P1935" s="507"/>
      <c r="Q1935" s="505"/>
      <c r="R1935" s="506"/>
      <c r="S1935" s="506"/>
      <c r="T1935" s="506"/>
      <c r="U1935" s="505"/>
      <c r="V1935" s="505"/>
      <c r="W1935" s="505"/>
      <c r="X1935" s="504"/>
      <c r="Y1935" s="503"/>
      <c r="Z1935" s="503"/>
      <c r="AA1935" s="503"/>
      <c r="AB1935" s="503"/>
      <c r="AC1935" s="503"/>
      <c r="AD1935" s="503"/>
      <c r="AE1935" s="503"/>
      <c r="AF1935" s="503"/>
    </row>
    <row r="1936" spans="1:32" ht="15.75" customHeight="1">
      <c r="A1936" s="503"/>
      <c r="B1936" s="503"/>
      <c r="C1936" s="510"/>
      <c r="D1936" s="510"/>
      <c r="E1936" s="510"/>
      <c r="F1936" s="746"/>
      <c r="G1936" s="510"/>
      <c r="H1936" s="510"/>
      <c r="I1936" s="510"/>
      <c r="J1936" s="510"/>
      <c r="K1936" s="510"/>
      <c r="L1936" s="510"/>
      <c r="M1936" s="509"/>
      <c r="N1936" s="508"/>
      <c r="O1936" s="507"/>
      <c r="P1936" s="507"/>
      <c r="Q1936" s="505"/>
      <c r="R1936" s="506"/>
      <c r="S1936" s="506"/>
      <c r="T1936" s="506"/>
      <c r="U1936" s="505"/>
      <c r="V1936" s="505"/>
      <c r="W1936" s="505"/>
      <c r="X1936" s="504"/>
      <c r="Y1936" s="503"/>
      <c r="Z1936" s="503"/>
      <c r="AA1936" s="503"/>
      <c r="AB1936" s="503"/>
      <c r="AC1936" s="503"/>
      <c r="AD1936" s="503"/>
      <c r="AE1936" s="503"/>
      <c r="AF1936" s="503"/>
    </row>
    <row r="1937" spans="1:32" ht="15.75" customHeight="1">
      <c r="A1937" s="503"/>
      <c r="B1937" s="503"/>
      <c r="C1937" s="510"/>
      <c r="D1937" s="510"/>
      <c r="E1937" s="510"/>
      <c r="F1937" s="746"/>
      <c r="G1937" s="510"/>
      <c r="H1937" s="510"/>
      <c r="I1937" s="510"/>
      <c r="J1937" s="510"/>
      <c r="K1937" s="510"/>
      <c r="L1937" s="510"/>
      <c r="M1937" s="509"/>
      <c r="N1937" s="508"/>
      <c r="O1937" s="507"/>
      <c r="P1937" s="507"/>
      <c r="Q1937" s="505"/>
      <c r="R1937" s="506"/>
      <c r="S1937" s="506"/>
      <c r="T1937" s="506"/>
      <c r="U1937" s="505"/>
      <c r="V1937" s="505"/>
      <c r="W1937" s="505"/>
      <c r="X1937" s="504"/>
      <c r="Y1937" s="503"/>
      <c r="Z1937" s="503"/>
      <c r="AA1937" s="503"/>
      <c r="AB1937" s="503"/>
      <c r="AC1937" s="503"/>
      <c r="AD1937" s="503"/>
      <c r="AE1937" s="503"/>
      <c r="AF1937" s="503"/>
    </row>
    <row r="1938" spans="1:32" ht="15.75" customHeight="1">
      <c r="A1938" s="503"/>
      <c r="B1938" s="503"/>
      <c r="C1938" s="510"/>
      <c r="D1938" s="510"/>
      <c r="E1938" s="510"/>
      <c r="F1938" s="746"/>
      <c r="G1938" s="510"/>
      <c r="H1938" s="510"/>
      <c r="I1938" s="510"/>
      <c r="J1938" s="510"/>
      <c r="K1938" s="510"/>
      <c r="L1938" s="510"/>
      <c r="M1938" s="509"/>
      <c r="N1938" s="508"/>
      <c r="O1938" s="507"/>
      <c r="P1938" s="507"/>
      <c r="Q1938" s="505"/>
      <c r="R1938" s="506"/>
      <c r="S1938" s="506"/>
      <c r="T1938" s="506"/>
      <c r="U1938" s="505"/>
      <c r="V1938" s="505"/>
      <c r="W1938" s="505"/>
      <c r="X1938" s="504"/>
      <c r="Y1938" s="503"/>
      <c r="Z1938" s="503"/>
      <c r="AA1938" s="503"/>
      <c r="AB1938" s="503"/>
      <c r="AC1938" s="503"/>
      <c r="AD1938" s="503"/>
      <c r="AE1938" s="503"/>
      <c r="AF1938" s="503"/>
    </row>
    <row r="1939" spans="1:32" ht="15.75" customHeight="1">
      <c r="A1939" s="503"/>
      <c r="B1939" s="503"/>
      <c r="C1939" s="510"/>
      <c r="D1939" s="510"/>
      <c r="E1939" s="510"/>
      <c r="F1939" s="746"/>
      <c r="G1939" s="510"/>
      <c r="H1939" s="510"/>
      <c r="I1939" s="510"/>
      <c r="J1939" s="510"/>
      <c r="K1939" s="510"/>
      <c r="L1939" s="510"/>
      <c r="M1939" s="509"/>
      <c r="N1939" s="508"/>
      <c r="O1939" s="507"/>
      <c r="P1939" s="507"/>
      <c r="Q1939" s="505"/>
      <c r="R1939" s="506"/>
      <c r="S1939" s="506"/>
      <c r="T1939" s="506"/>
      <c r="U1939" s="505"/>
      <c r="V1939" s="505"/>
      <c r="W1939" s="505"/>
      <c r="X1939" s="504"/>
      <c r="Y1939" s="503"/>
      <c r="Z1939" s="503"/>
      <c r="AA1939" s="503"/>
      <c r="AB1939" s="503"/>
      <c r="AC1939" s="503"/>
      <c r="AD1939" s="503"/>
      <c r="AE1939" s="503"/>
      <c r="AF1939" s="503"/>
    </row>
    <row r="1940" spans="1:32" ht="15.75" customHeight="1">
      <c r="A1940" s="503"/>
      <c r="B1940" s="503"/>
      <c r="C1940" s="510"/>
      <c r="D1940" s="510"/>
      <c r="E1940" s="510"/>
      <c r="F1940" s="746"/>
      <c r="G1940" s="510"/>
      <c r="H1940" s="510"/>
      <c r="I1940" s="510"/>
      <c r="J1940" s="510"/>
      <c r="K1940" s="510"/>
      <c r="L1940" s="510"/>
      <c r="M1940" s="509"/>
      <c r="N1940" s="508"/>
      <c r="O1940" s="507"/>
      <c r="P1940" s="507"/>
      <c r="Q1940" s="505"/>
      <c r="R1940" s="506"/>
      <c r="S1940" s="506"/>
      <c r="T1940" s="506"/>
      <c r="U1940" s="505"/>
      <c r="V1940" s="505"/>
      <c r="W1940" s="505"/>
      <c r="X1940" s="504"/>
      <c r="Y1940" s="503"/>
      <c r="Z1940" s="503"/>
      <c r="AA1940" s="503"/>
      <c r="AB1940" s="503"/>
      <c r="AC1940" s="503"/>
      <c r="AD1940" s="503"/>
      <c r="AE1940" s="503"/>
      <c r="AF1940" s="503"/>
    </row>
    <row r="1941" spans="1:32" ht="15.75" customHeight="1">
      <c r="A1941" s="503"/>
      <c r="B1941" s="503"/>
      <c r="C1941" s="510"/>
      <c r="D1941" s="510"/>
      <c r="E1941" s="510"/>
      <c r="F1941" s="746"/>
      <c r="G1941" s="510"/>
      <c r="H1941" s="510"/>
      <c r="I1941" s="510"/>
      <c r="J1941" s="510"/>
      <c r="K1941" s="510"/>
      <c r="L1941" s="510"/>
      <c r="M1941" s="509"/>
      <c r="N1941" s="508"/>
      <c r="O1941" s="507"/>
      <c r="P1941" s="507"/>
      <c r="Q1941" s="505"/>
      <c r="R1941" s="506"/>
      <c r="S1941" s="506"/>
      <c r="T1941" s="506"/>
      <c r="U1941" s="505"/>
      <c r="V1941" s="505"/>
      <c r="W1941" s="505"/>
      <c r="X1941" s="504"/>
      <c r="Y1941" s="503"/>
      <c r="Z1941" s="503"/>
      <c r="AA1941" s="503"/>
      <c r="AB1941" s="503"/>
      <c r="AC1941" s="503"/>
      <c r="AD1941" s="503"/>
      <c r="AE1941" s="503"/>
      <c r="AF1941" s="503"/>
    </row>
    <row r="1942" spans="1:32" ht="15.75" customHeight="1">
      <c r="A1942" s="503"/>
      <c r="B1942" s="503"/>
      <c r="C1942" s="510"/>
      <c r="D1942" s="510"/>
      <c r="E1942" s="510"/>
      <c r="F1942" s="746"/>
      <c r="G1942" s="510"/>
      <c r="H1942" s="510"/>
      <c r="I1942" s="510"/>
      <c r="J1942" s="510"/>
      <c r="K1942" s="510"/>
      <c r="L1942" s="510"/>
      <c r="M1942" s="509"/>
      <c r="N1942" s="508"/>
      <c r="O1942" s="507"/>
      <c r="P1942" s="507"/>
      <c r="Q1942" s="505"/>
      <c r="R1942" s="506"/>
      <c r="S1942" s="506"/>
      <c r="T1942" s="506"/>
      <c r="U1942" s="505"/>
      <c r="V1942" s="505"/>
      <c r="W1942" s="505"/>
      <c r="X1942" s="504"/>
      <c r="Y1942" s="503"/>
      <c r="Z1942" s="503"/>
      <c r="AA1942" s="503"/>
      <c r="AB1942" s="503"/>
      <c r="AC1942" s="503"/>
      <c r="AD1942" s="503"/>
      <c r="AE1942" s="503"/>
      <c r="AF1942" s="503"/>
    </row>
    <row r="1943" spans="1:32" ht="15.75" customHeight="1">
      <c r="A1943" s="503"/>
      <c r="B1943" s="503"/>
      <c r="C1943" s="510"/>
      <c r="D1943" s="510"/>
      <c r="E1943" s="510"/>
      <c r="F1943" s="746"/>
      <c r="G1943" s="510"/>
      <c r="H1943" s="510"/>
      <c r="I1943" s="510"/>
      <c r="J1943" s="510"/>
      <c r="K1943" s="510"/>
      <c r="L1943" s="510"/>
      <c r="M1943" s="509"/>
      <c r="N1943" s="508"/>
      <c r="O1943" s="507"/>
      <c r="P1943" s="507"/>
      <c r="Q1943" s="505"/>
      <c r="R1943" s="506"/>
      <c r="S1943" s="506"/>
      <c r="T1943" s="506"/>
      <c r="U1943" s="505"/>
      <c r="V1943" s="505"/>
      <c r="W1943" s="505"/>
      <c r="X1943" s="504"/>
      <c r="Y1943" s="503"/>
      <c r="Z1943" s="503"/>
      <c r="AA1943" s="503"/>
      <c r="AB1943" s="503"/>
      <c r="AC1943" s="503"/>
      <c r="AD1943" s="503"/>
      <c r="AE1943" s="503"/>
      <c r="AF1943" s="503"/>
    </row>
    <row r="1944" spans="1:32" ht="15.75" customHeight="1">
      <c r="A1944" s="503"/>
      <c r="B1944" s="503"/>
      <c r="C1944" s="510"/>
      <c r="D1944" s="510"/>
      <c r="E1944" s="510"/>
      <c r="F1944" s="746"/>
      <c r="G1944" s="510"/>
      <c r="H1944" s="510"/>
      <c r="I1944" s="510"/>
      <c r="J1944" s="510"/>
      <c r="K1944" s="510"/>
      <c r="L1944" s="510"/>
      <c r="M1944" s="509"/>
      <c r="N1944" s="508"/>
      <c r="O1944" s="507"/>
      <c r="P1944" s="507"/>
      <c r="Q1944" s="505"/>
      <c r="R1944" s="506"/>
      <c r="S1944" s="506"/>
      <c r="T1944" s="506"/>
      <c r="U1944" s="505"/>
      <c r="V1944" s="505"/>
      <c r="W1944" s="505"/>
      <c r="X1944" s="504"/>
      <c r="Y1944" s="503"/>
      <c r="Z1944" s="503"/>
      <c r="AA1944" s="503"/>
      <c r="AB1944" s="503"/>
      <c r="AC1944" s="503"/>
      <c r="AD1944" s="503"/>
      <c r="AE1944" s="503"/>
      <c r="AF1944" s="503"/>
    </row>
    <row r="1945" spans="1:32" ht="15.75" customHeight="1">
      <c r="A1945" s="503"/>
      <c r="B1945" s="503"/>
      <c r="C1945" s="510"/>
      <c r="D1945" s="510"/>
      <c r="E1945" s="510"/>
      <c r="F1945" s="746"/>
      <c r="G1945" s="510"/>
      <c r="H1945" s="510"/>
      <c r="I1945" s="510"/>
      <c r="J1945" s="510"/>
      <c r="K1945" s="510"/>
      <c r="L1945" s="510"/>
      <c r="M1945" s="509"/>
      <c r="N1945" s="508"/>
      <c r="O1945" s="507"/>
      <c r="P1945" s="507"/>
      <c r="Q1945" s="505"/>
      <c r="R1945" s="506"/>
      <c r="S1945" s="506"/>
      <c r="T1945" s="506"/>
      <c r="U1945" s="505"/>
      <c r="V1945" s="505"/>
      <c r="W1945" s="505"/>
      <c r="X1945" s="504"/>
      <c r="Y1945" s="503"/>
      <c r="Z1945" s="503"/>
      <c r="AA1945" s="503"/>
      <c r="AB1945" s="503"/>
      <c r="AC1945" s="503"/>
      <c r="AD1945" s="503"/>
      <c r="AE1945" s="503"/>
      <c r="AF1945" s="503"/>
    </row>
    <row r="1946" spans="1:32" ht="15.75" customHeight="1">
      <c r="A1946" s="503"/>
      <c r="B1946" s="503"/>
      <c r="C1946" s="510"/>
      <c r="D1946" s="510"/>
      <c r="E1946" s="510"/>
      <c r="F1946" s="746"/>
      <c r="G1946" s="510"/>
      <c r="H1946" s="510"/>
      <c r="I1946" s="510"/>
      <c r="J1946" s="510"/>
      <c r="K1946" s="510"/>
      <c r="L1946" s="510"/>
      <c r="M1946" s="509"/>
      <c r="N1946" s="508"/>
      <c r="O1946" s="507"/>
      <c r="P1946" s="507"/>
      <c r="Q1946" s="505"/>
      <c r="R1946" s="506"/>
      <c r="S1946" s="506"/>
      <c r="T1946" s="506"/>
      <c r="U1946" s="505"/>
      <c r="V1946" s="505"/>
      <c r="W1946" s="505"/>
      <c r="X1946" s="504"/>
      <c r="Y1946" s="503"/>
      <c r="Z1946" s="503"/>
      <c r="AA1946" s="503"/>
      <c r="AB1946" s="503"/>
      <c r="AC1946" s="503"/>
      <c r="AD1946" s="503"/>
      <c r="AE1946" s="503"/>
      <c r="AF1946" s="503"/>
    </row>
    <row r="1947" spans="1:32" ht="15.75" customHeight="1">
      <c r="A1947" s="503"/>
      <c r="B1947" s="503"/>
      <c r="C1947" s="510"/>
      <c r="D1947" s="510"/>
      <c r="E1947" s="510"/>
      <c r="F1947" s="746"/>
      <c r="G1947" s="510"/>
      <c r="H1947" s="510"/>
      <c r="I1947" s="510"/>
      <c r="J1947" s="510"/>
      <c r="K1947" s="510"/>
      <c r="L1947" s="510"/>
      <c r="M1947" s="509"/>
      <c r="N1947" s="508"/>
      <c r="O1947" s="507"/>
      <c r="P1947" s="507"/>
      <c r="Q1947" s="505"/>
      <c r="R1947" s="506"/>
      <c r="S1947" s="506"/>
      <c r="T1947" s="506"/>
      <c r="U1947" s="505"/>
      <c r="V1947" s="505"/>
      <c r="W1947" s="505"/>
      <c r="X1947" s="504"/>
      <c r="Y1947" s="503"/>
      <c r="Z1947" s="503"/>
      <c r="AA1947" s="503"/>
      <c r="AB1947" s="503"/>
      <c r="AC1947" s="503"/>
      <c r="AD1947" s="503"/>
      <c r="AE1947" s="503"/>
      <c r="AF1947" s="503"/>
    </row>
    <row r="1948" spans="1:32" ht="15.75" customHeight="1">
      <c r="A1948" s="503"/>
      <c r="B1948" s="503"/>
      <c r="C1948" s="510"/>
      <c r="D1948" s="510"/>
      <c r="E1948" s="510"/>
      <c r="F1948" s="746"/>
      <c r="G1948" s="510"/>
      <c r="H1948" s="510"/>
      <c r="I1948" s="510"/>
      <c r="J1948" s="510"/>
      <c r="K1948" s="510"/>
      <c r="L1948" s="510"/>
      <c r="M1948" s="509"/>
      <c r="N1948" s="508"/>
      <c r="O1948" s="507"/>
      <c r="P1948" s="507"/>
      <c r="Q1948" s="505"/>
      <c r="R1948" s="506"/>
      <c r="S1948" s="506"/>
      <c r="T1948" s="506"/>
      <c r="U1948" s="505"/>
      <c r="V1948" s="505"/>
      <c r="W1948" s="505"/>
      <c r="X1948" s="504"/>
      <c r="Y1948" s="503"/>
      <c r="Z1948" s="503"/>
      <c r="AA1948" s="503"/>
      <c r="AB1948" s="503"/>
      <c r="AC1948" s="503"/>
      <c r="AD1948" s="503"/>
      <c r="AE1948" s="503"/>
      <c r="AF1948" s="503"/>
    </row>
    <row r="1949" spans="1:32" ht="15.75" customHeight="1">
      <c r="A1949" s="503"/>
      <c r="B1949" s="503"/>
      <c r="C1949" s="510"/>
      <c r="D1949" s="510"/>
      <c r="E1949" s="510"/>
      <c r="F1949" s="746"/>
      <c r="G1949" s="510"/>
      <c r="H1949" s="510"/>
      <c r="I1949" s="510"/>
      <c r="J1949" s="510"/>
      <c r="K1949" s="510"/>
      <c r="L1949" s="510"/>
      <c r="M1949" s="509"/>
      <c r="N1949" s="508"/>
      <c r="O1949" s="507"/>
      <c r="P1949" s="507"/>
      <c r="Q1949" s="505"/>
      <c r="R1949" s="506"/>
      <c r="S1949" s="506"/>
      <c r="T1949" s="506"/>
      <c r="U1949" s="505"/>
      <c r="V1949" s="505"/>
      <c r="W1949" s="505"/>
      <c r="X1949" s="504"/>
      <c r="Y1949" s="503"/>
      <c r="Z1949" s="503"/>
      <c r="AA1949" s="503"/>
      <c r="AB1949" s="503"/>
      <c r="AC1949" s="503"/>
      <c r="AD1949" s="503"/>
      <c r="AE1949" s="503"/>
      <c r="AF1949" s="503"/>
    </row>
    <row r="1950" spans="1:32" ht="15.75" customHeight="1">
      <c r="A1950" s="503"/>
      <c r="B1950" s="503"/>
      <c r="C1950" s="510"/>
      <c r="D1950" s="510"/>
      <c r="E1950" s="510"/>
      <c r="F1950" s="746"/>
      <c r="G1950" s="510"/>
      <c r="H1950" s="510"/>
      <c r="I1950" s="510"/>
      <c r="J1950" s="510"/>
      <c r="K1950" s="510"/>
      <c r="L1950" s="510"/>
      <c r="M1950" s="509"/>
      <c r="N1950" s="508"/>
      <c r="O1950" s="507"/>
      <c r="P1950" s="507"/>
      <c r="Q1950" s="505"/>
      <c r="R1950" s="506"/>
      <c r="S1950" s="506"/>
      <c r="T1950" s="506"/>
      <c r="U1950" s="505"/>
      <c r="V1950" s="505"/>
      <c r="W1950" s="505"/>
      <c r="X1950" s="504"/>
      <c r="Y1950" s="503"/>
      <c r="Z1950" s="503"/>
      <c r="AA1950" s="503"/>
      <c r="AB1950" s="503"/>
      <c r="AC1950" s="503"/>
      <c r="AD1950" s="503"/>
      <c r="AE1950" s="503"/>
      <c r="AF1950" s="503"/>
    </row>
    <row r="1951" spans="1:32" ht="15.75" customHeight="1">
      <c r="A1951" s="503"/>
      <c r="B1951" s="503"/>
      <c r="C1951" s="510"/>
      <c r="D1951" s="510"/>
      <c r="E1951" s="510"/>
      <c r="F1951" s="746"/>
      <c r="G1951" s="510"/>
      <c r="H1951" s="510"/>
      <c r="I1951" s="510"/>
      <c r="J1951" s="510"/>
      <c r="K1951" s="510"/>
      <c r="L1951" s="510"/>
      <c r="M1951" s="509"/>
      <c r="N1951" s="508"/>
      <c r="O1951" s="507"/>
      <c r="P1951" s="507"/>
      <c r="Q1951" s="505"/>
      <c r="R1951" s="506"/>
      <c r="S1951" s="506"/>
      <c r="T1951" s="506"/>
      <c r="U1951" s="505"/>
      <c r="V1951" s="505"/>
      <c r="W1951" s="505"/>
      <c r="X1951" s="504"/>
      <c r="Y1951" s="503"/>
      <c r="Z1951" s="503"/>
      <c r="AA1951" s="503"/>
      <c r="AB1951" s="503"/>
      <c r="AC1951" s="503"/>
      <c r="AD1951" s="503"/>
      <c r="AE1951" s="503"/>
      <c r="AF1951" s="503"/>
    </row>
    <row r="1952" spans="1:32" ht="15.75" customHeight="1">
      <c r="A1952" s="503"/>
      <c r="B1952" s="503"/>
      <c r="C1952" s="510"/>
      <c r="D1952" s="510"/>
      <c r="E1952" s="510"/>
      <c r="F1952" s="746"/>
      <c r="G1952" s="510"/>
      <c r="H1952" s="510"/>
      <c r="I1952" s="510"/>
      <c r="J1952" s="510"/>
      <c r="K1952" s="510"/>
      <c r="L1952" s="510"/>
      <c r="M1952" s="509"/>
      <c r="N1952" s="508"/>
      <c r="O1952" s="507"/>
      <c r="P1952" s="507"/>
      <c r="Q1952" s="505"/>
      <c r="R1952" s="506"/>
      <c r="S1952" s="506"/>
      <c r="T1952" s="506"/>
      <c r="U1952" s="505"/>
      <c r="V1952" s="505"/>
      <c r="W1952" s="505"/>
      <c r="X1952" s="504"/>
      <c r="Y1952" s="503"/>
      <c r="Z1952" s="503"/>
      <c r="AA1952" s="503"/>
      <c r="AB1952" s="503"/>
      <c r="AC1952" s="503"/>
      <c r="AD1952" s="503"/>
      <c r="AE1952" s="503"/>
      <c r="AF1952" s="503"/>
    </row>
    <row r="1953" spans="1:32" ht="15.75" customHeight="1">
      <c r="A1953" s="503"/>
      <c r="B1953" s="503"/>
      <c r="C1953" s="510"/>
      <c r="D1953" s="510"/>
      <c r="E1953" s="510"/>
      <c r="F1953" s="746"/>
      <c r="G1953" s="510"/>
      <c r="H1953" s="510"/>
      <c r="I1953" s="510"/>
      <c r="J1953" s="510"/>
      <c r="K1953" s="510"/>
      <c r="L1953" s="510"/>
      <c r="M1953" s="509"/>
      <c r="N1953" s="508"/>
      <c r="O1953" s="507"/>
      <c r="P1953" s="507"/>
      <c r="Q1953" s="505"/>
      <c r="R1953" s="506"/>
      <c r="S1953" s="506"/>
      <c r="T1953" s="506"/>
      <c r="U1953" s="505"/>
      <c r="V1953" s="505"/>
      <c r="W1953" s="505"/>
      <c r="X1953" s="504"/>
      <c r="Y1953" s="503"/>
      <c r="Z1953" s="503"/>
      <c r="AA1953" s="503"/>
      <c r="AB1953" s="503"/>
      <c r="AC1953" s="503"/>
      <c r="AD1953" s="503"/>
      <c r="AE1953" s="503"/>
      <c r="AF1953" s="503"/>
    </row>
    <row r="1954" spans="1:32" ht="15.75" customHeight="1">
      <c r="A1954" s="503"/>
      <c r="B1954" s="503"/>
      <c r="C1954" s="510"/>
      <c r="D1954" s="510"/>
      <c r="E1954" s="510"/>
      <c r="F1954" s="746"/>
      <c r="G1954" s="510"/>
      <c r="H1954" s="510"/>
      <c r="I1954" s="510"/>
      <c r="J1954" s="510"/>
      <c r="K1954" s="510"/>
      <c r="L1954" s="510"/>
      <c r="M1954" s="509"/>
      <c r="N1954" s="508"/>
      <c r="O1954" s="507"/>
      <c r="P1954" s="507"/>
      <c r="Q1954" s="505"/>
      <c r="R1954" s="506"/>
      <c r="S1954" s="506"/>
      <c r="T1954" s="506"/>
      <c r="U1954" s="505"/>
      <c r="V1954" s="505"/>
      <c r="W1954" s="505"/>
      <c r="X1954" s="504"/>
      <c r="Y1954" s="503"/>
      <c r="Z1954" s="503"/>
      <c r="AA1954" s="503"/>
      <c r="AB1954" s="503"/>
      <c r="AC1954" s="503"/>
      <c r="AD1954" s="503"/>
      <c r="AE1954" s="503"/>
      <c r="AF1954" s="503"/>
    </row>
    <row r="1955" spans="1:32" ht="15.75" customHeight="1">
      <c r="A1955" s="503"/>
      <c r="B1955" s="503"/>
      <c r="C1955" s="510"/>
      <c r="D1955" s="510"/>
      <c r="E1955" s="510"/>
      <c r="F1955" s="746"/>
      <c r="G1955" s="510"/>
      <c r="H1955" s="510"/>
      <c r="I1955" s="510"/>
      <c r="J1955" s="510"/>
      <c r="K1955" s="510"/>
      <c r="L1955" s="510"/>
      <c r="M1955" s="509"/>
      <c r="N1955" s="508"/>
      <c r="O1955" s="507"/>
      <c r="P1955" s="507"/>
      <c r="Q1955" s="505"/>
      <c r="R1955" s="506"/>
      <c r="S1955" s="506"/>
      <c r="T1955" s="506"/>
      <c r="U1955" s="505"/>
      <c r="V1955" s="505"/>
      <c r="W1955" s="505"/>
      <c r="X1955" s="504"/>
      <c r="Y1955" s="503"/>
      <c r="Z1955" s="503"/>
      <c r="AA1955" s="503"/>
      <c r="AB1955" s="503"/>
      <c r="AC1955" s="503"/>
      <c r="AD1955" s="503"/>
      <c r="AE1955" s="503"/>
      <c r="AF1955" s="503"/>
    </row>
    <row r="1956" spans="1:32" ht="15.75" customHeight="1">
      <c r="A1956" s="503"/>
      <c r="B1956" s="503"/>
      <c r="C1956" s="510"/>
      <c r="D1956" s="510"/>
      <c r="E1956" s="510"/>
      <c r="F1956" s="746"/>
      <c r="G1956" s="510"/>
      <c r="H1956" s="510"/>
      <c r="I1956" s="510"/>
      <c r="J1956" s="510"/>
      <c r="K1956" s="510"/>
      <c r="L1956" s="510"/>
      <c r="M1956" s="509"/>
      <c r="N1956" s="508"/>
      <c r="O1956" s="507"/>
      <c r="P1956" s="507"/>
      <c r="Q1956" s="505"/>
      <c r="R1956" s="506"/>
      <c r="S1956" s="506"/>
      <c r="T1956" s="506"/>
      <c r="U1956" s="505"/>
      <c r="V1956" s="505"/>
      <c r="W1956" s="505"/>
      <c r="X1956" s="504"/>
      <c r="Y1956" s="503"/>
      <c r="Z1956" s="503"/>
      <c r="AA1956" s="503"/>
      <c r="AB1956" s="503"/>
      <c r="AC1956" s="503"/>
      <c r="AD1956" s="503"/>
      <c r="AE1956" s="503"/>
      <c r="AF1956" s="503"/>
    </row>
    <row r="1957" spans="1:32" ht="15.75" customHeight="1">
      <c r="A1957" s="503"/>
      <c r="B1957" s="503"/>
      <c r="C1957" s="510"/>
      <c r="D1957" s="510"/>
      <c r="E1957" s="510"/>
      <c r="F1957" s="746"/>
      <c r="G1957" s="510"/>
      <c r="H1957" s="510"/>
      <c r="I1957" s="510"/>
      <c r="J1957" s="510"/>
      <c r="K1957" s="510"/>
      <c r="L1957" s="510"/>
      <c r="M1957" s="509"/>
      <c r="N1957" s="508"/>
      <c r="O1957" s="507"/>
      <c r="P1957" s="507"/>
      <c r="Q1957" s="505"/>
      <c r="R1957" s="506"/>
      <c r="S1957" s="506"/>
      <c r="T1957" s="506"/>
      <c r="U1957" s="505"/>
      <c r="V1957" s="505"/>
      <c r="W1957" s="505"/>
      <c r="X1957" s="504"/>
      <c r="Y1957" s="503"/>
      <c r="Z1957" s="503"/>
      <c r="AA1957" s="503"/>
      <c r="AB1957" s="503"/>
      <c r="AC1957" s="503"/>
      <c r="AD1957" s="503"/>
      <c r="AE1957" s="503"/>
      <c r="AF1957" s="503"/>
    </row>
    <row r="1958" spans="1:32" ht="15.75" customHeight="1">
      <c r="A1958" s="503"/>
      <c r="B1958" s="503"/>
      <c r="C1958" s="510"/>
      <c r="D1958" s="510"/>
      <c r="E1958" s="510"/>
      <c r="F1958" s="746"/>
      <c r="G1958" s="510"/>
      <c r="H1958" s="510"/>
      <c r="I1958" s="510"/>
      <c r="J1958" s="510"/>
      <c r="K1958" s="510"/>
      <c r="L1958" s="510"/>
      <c r="M1958" s="509"/>
      <c r="N1958" s="508"/>
      <c r="O1958" s="507"/>
      <c r="P1958" s="507"/>
      <c r="Q1958" s="505"/>
      <c r="R1958" s="506"/>
      <c r="S1958" s="506"/>
      <c r="T1958" s="506"/>
      <c r="U1958" s="505"/>
      <c r="V1958" s="505"/>
      <c r="W1958" s="505"/>
      <c r="X1958" s="504"/>
      <c r="Y1958" s="503"/>
      <c r="Z1958" s="503"/>
      <c r="AA1958" s="503"/>
      <c r="AB1958" s="503"/>
      <c r="AC1958" s="503"/>
      <c r="AD1958" s="503"/>
      <c r="AE1958" s="503"/>
      <c r="AF1958" s="503"/>
    </row>
    <row r="1959" spans="1:32" ht="15.75" customHeight="1">
      <c r="A1959" s="503"/>
      <c r="B1959" s="503"/>
      <c r="C1959" s="510"/>
      <c r="D1959" s="510"/>
      <c r="E1959" s="510"/>
      <c r="F1959" s="746"/>
      <c r="G1959" s="510"/>
      <c r="H1959" s="510"/>
      <c r="I1959" s="510"/>
      <c r="J1959" s="510"/>
      <c r="K1959" s="510"/>
      <c r="L1959" s="510"/>
      <c r="M1959" s="509"/>
      <c r="N1959" s="508"/>
      <c r="O1959" s="507"/>
      <c r="P1959" s="507"/>
      <c r="Q1959" s="505"/>
      <c r="R1959" s="506"/>
      <c r="S1959" s="506"/>
      <c r="T1959" s="506"/>
      <c r="U1959" s="505"/>
      <c r="V1959" s="505"/>
      <c r="W1959" s="505"/>
      <c r="X1959" s="504"/>
      <c r="Y1959" s="503"/>
      <c r="Z1959" s="503"/>
      <c r="AA1959" s="503"/>
      <c r="AB1959" s="503"/>
      <c r="AC1959" s="503"/>
      <c r="AD1959" s="503"/>
      <c r="AE1959" s="503"/>
      <c r="AF1959" s="503"/>
    </row>
    <row r="1960" spans="1:32" ht="15.75" customHeight="1">
      <c r="A1960" s="503"/>
      <c r="B1960" s="503"/>
      <c r="C1960" s="510"/>
      <c r="D1960" s="510"/>
      <c r="E1960" s="510"/>
      <c r="F1960" s="746"/>
      <c r="G1960" s="510"/>
      <c r="H1960" s="510"/>
      <c r="I1960" s="510"/>
      <c r="J1960" s="510"/>
      <c r="K1960" s="510"/>
      <c r="L1960" s="510"/>
      <c r="M1960" s="509"/>
      <c r="N1960" s="508"/>
      <c r="O1960" s="507"/>
      <c r="P1960" s="507"/>
      <c r="Q1960" s="505"/>
      <c r="R1960" s="506"/>
      <c r="S1960" s="506"/>
      <c r="T1960" s="506"/>
      <c r="U1960" s="505"/>
      <c r="V1960" s="505"/>
      <c r="W1960" s="505"/>
      <c r="X1960" s="504"/>
      <c r="Y1960" s="503"/>
      <c r="Z1960" s="503"/>
      <c r="AA1960" s="503"/>
      <c r="AB1960" s="503"/>
      <c r="AC1960" s="503"/>
      <c r="AD1960" s="503"/>
      <c r="AE1960" s="503"/>
      <c r="AF1960" s="503"/>
    </row>
    <row r="1961" spans="1:32" ht="15.75" customHeight="1">
      <c r="A1961" s="503"/>
      <c r="B1961" s="503"/>
      <c r="C1961" s="510"/>
      <c r="D1961" s="510"/>
      <c r="E1961" s="510"/>
      <c r="F1961" s="746"/>
      <c r="G1961" s="510"/>
      <c r="H1961" s="510"/>
      <c r="I1961" s="510"/>
      <c r="J1961" s="510"/>
      <c r="K1961" s="510"/>
      <c r="L1961" s="510"/>
      <c r="M1961" s="509"/>
      <c r="N1961" s="508"/>
      <c r="O1961" s="507"/>
      <c r="P1961" s="507"/>
      <c r="Q1961" s="505"/>
      <c r="R1961" s="506"/>
      <c r="S1961" s="506"/>
      <c r="T1961" s="506"/>
      <c r="U1961" s="505"/>
      <c r="V1961" s="505"/>
      <c r="W1961" s="505"/>
      <c r="X1961" s="504"/>
      <c r="Y1961" s="503"/>
      <c r="Z1961" s="503"/>
      <c r="AA1961" s="503"/>
      <c r="AB1961" s="503"/>
      <c r="AC1961" s="503"/>
      <c r="AD1961" s="503"/>
      <c r="AE1961" s="503"/>
      <c r="AF1961" s="503"/>
    </row>
    <row r="1962" spans="1:32" ht="15.75" customHeight="1">
      <c r="A1962" s="503"/>
      <c r="B1962" s="503"/>
      <c r="C1962" s="510"/>
      <c r="D1962" s="510"/>
      <c r="E1962" s="510"/>
      <c r="F1962" s="746"/>
      <c r="G1962" s="510"/>
      <c r="H1962" s="510"/>
      <c r="I1962" s="510"/>
      <c r="J1962" s="510"/>
      <c r="K1962" s="510"/>
      <c r="L1962" s="510"/>
      <c r="M1962" s="509"/>
      <c r="N1962" s="508"/>
      <c r="O1962" s="507"/>
      <c r="P1962" s="507"/>
      <c r="Q1962" s="505"/>
      <c r="R1962" s="506"/>
      <c r="S1962" s="506"/>
      <c r="T1962" s="506"/>
      <c r="U1962" s="505"/>
      <c r="V1962" s="505"/>
      <c r="W1962" s="505"/>
      <c r="X1962" s="504"/>
      <c r="Y1962" s="503"/>
      <c r="Z1962" s="503"/>
      <c r="AA1962" s="503"/>
      <c r="AB1962" s="503"/>
      <c r="AC1962" s="503"/>
      <c r="AD1962" s="503"/>
      <c r="AE1962" s="503"/>
      <c r="AF1962" s="503"/>
    </row>
    <row r="1963" spans="1:32" ht="15.75" customHeight="1">
      <c r="A1963" s="503"/>
      <c r="B1963" s="503"/>
      <c r="C1963" s="510"/>
      <c r="D1963" s="510"/>
      <c r="E1963" s="510"/>
      <c r="F1963" s="746"/>
      <c r="G1963" s="510"/>
      <c r="H1963" s="510"/>
      <c r="I1963" s="510"/>
      <c r="J1963" s="510"/>
      <c r="K1963" s="510"/>
      <c r="L1963" s="510"/>
      <c r="M1963" s="509"/>
      <c r="N1963" s="508"/>
      <c r="O1963" s="507"/>
      <c r="P1963" s="507"/>
      <c r="Q1963" s="505"/>
      <c r="R1963" s="506"/>
      <c r="S1963" s="506"/>
      <c r="T1963" s="506"/>
      <c r="U1963" s="505"/>
      <c r="V1963" s="505"/>
      <c r="W1963" s="505"/>
      <c r="X1963" s="504"/>
      <c r="Y1963" s="503"/>
      <c r="Z1963" s="503"/>
      <c r="AA1963" s="503"/>
      <c r="AB1963" s="503"/>
      <c r="AC1963" s="503"/>
      <c r="AD1963" s="503"/>
      <c r="AE1963" s="503"/>
      <c r="AF1963" s="503"/>
    </row>
    <row r="1964" spans="1:32" ht="15.75" customHeight="1">
      <c r="A1964" s="503"/>
      <c r="B1964" s="503"/>
      <c r="C1964" s="510"/>
      <c r="D1964" s="510"/>
      <c r="E1964" s="510"/>
      <c r="F1964" s="746"/>
      <c r="G1964" s="510"/>
      <c r="H1964" s="510"/>
      <c r="I1964" s="510"/>
      <c r="J1964" s="510"/>
      <c r="K1964" s="510"/>
      <c r="L1964" s="510"/>
      <c r="M1964" s="509"/>
      <c r="N1964" s="508"/>
      <c r="O1964" s="507"/>
      <c r="P1964" s="507"/>
      <c r="Q1964" s="505"/>
      <c r="R1964" s="506"/>
      <c r="S1964" s="506"/>
      <c r="T1964" s="506"/>
      <c r="U1964" s="505"/>
      <c r="V1964" s="505"/>
      <c r="W1964" s="505"/>
      <c r="X1964" s="504"/>
      <c r="Y1964" s="503"/>
      <c r="Z1964" s="503"/>
      <c r="AA1964" s="503"/>
      <c r="AB1964" s="503"/>
      <c r="AC1964" s="503"/>
      <c r="AD1964" s="503"/>
      <c r="AE1964" s="503"/>
      <c r="AF1964" s="503"/>
    </row>
    <row r="1965" spans="1:32" ht="15.75" customHeight="1">
      <c r="A1965" s="503"/>
      <c r="B1965" s="503"/>
      <c r="C1965" s="510"/>
      <c r="D1965" s="510"/>
      <c r="E1965" s="510"/>
      <c r="F1965" s="746"/>
      <c r="G1965" s="510"/>
      <c r="H1965" s="510"/>
      <c r="I1965" s="510"/>
      <c r="J1965" s="510"/>
      <c r="K1965" s="510"/>
      <c r="L1965" s="510"/>
      <c r="M1965" s="509"/>
      <c r="N1965" s="508"/>
      <c r="O1965" s="507"/>
      <c r="P1965" s="507"/>
      <c r="Q1965" s="505"/>
      <c r="R1965" s="506"/>
      <c r="S1965" s="506"/>
      <c r="T1965" s="506"/>
      <c r="U1965" s="505"/>
      <c r="V1965" s="505"/>
      <c r="W1965" s="505"/>
      <c r="X1965" s="504"/>
      <c r="Y1965" s="503"/>
      <c r="Z1965" s="503"/>
      <c r="AA1965" s="503"/>
      <c r="AB1965" s="503"/>
      <c r="AC1965" s="503"/>
      <c r="AD1965" s="503"/>
      <c r="AE1965" s="503"/>
      <c r="AF1965" s="503"/>
    </row>
    <row r="1966" spans="1:32" ht="15.75" customHeight="1">
      <c r="A1966" s="503"/>
      <c r="B1966" s="503"/>
      <c r="C1966" s="510"/>
      <c r="D1966" s="510"/>
      <c r="E1966" s="510"/>
      <c r="F1966" s="746"/>
      <c r="G1966" s="510"/>
      <c r="H1966" s="510"/>
      <c r="I1966" s="510"/>
      <c r="J1966" s="510"/>
      <c r="K1966" s="510"/>
      <c r="L1966" s="510"/>
      <c r="M1966" s="509"/>
      <c r="N1966" s="508"/>
      <c r="O1966" s="507"/>
      <c r="P1966" s="507"/>
      <c r="Q1966" s="505"/>
      <c r="R1966" s="506"/>
      <c r="S1966" s="506"/>
      <c r="T1966" s="506"/>
      <c r="U1966" s="505"/>
      <c r="V1966" s="505"/>
      <c r="W1966" s="505"/>
      <c r="X1966" s="504"/>
      <c r="Y1966" s="503"/>
      <c r="Z1966" s="503"/>
      <c r="AA1966" s="503"/>
      <c r="AB1966" s="503"/>
      <c r="AC1966" s="503"/>
      <c r="AD1966" s="503"/>
      <c r="AE1966" s="503"/>
      <c r="AF1966" s="503"/>
    </row>
    <row r="1967" spans="1:32" ht="15.75" customHeight="1">
      <c r="A1967" s="503"/>
      <c r="B1967" s="503"/>
      <c r="C1967" s="510"/>
      <c r="D1967" s="510"/>
      <c r="E1967" s="510"/>
      <c r="F1967" s="746"/>
      <c r="G1967" s="510"/>
      <c r="H1967" s="510"/>
      <c r="I1967" s="510"/>
      <c r="J1967" s="510"/>
      <c r="K1967" s="510"/>
      <c r="L1967" s="510"/>
      <c r="M1967" s="509"/>
      <c r="N1967" s="508"/>
      <c r="O1967" s="507"/>
      <c r="P1967" s="507"/>
      <c r="Q1967" s="505"/>
      <c r="R1967" s="506"/>
      <c r="S1967" s="506"/>
      <c r="T1967" s="506"/>
      <c r="U1967" s="505"/>
      <c r="V1967" s="505"/>
      <c r="W1967" s="505"/>
      <c r="X1967" s="504"/>
      <c r="Y1967" s="503"/>
      <c r="Z1967" s="503"/>
      <c r="AA1967" s="503"/>
      <c r="AB1967" s="503"/>
      <c r="AC1967" s="503"/>
      <c r="AD1967" s="503"/>
      <c r="AE1967" s="503"/>
      <c r="AF1967" s="503"/>
    </row>
    <row r="1968" spans="1:32" ht="15.75" customHeight="1">
      <c r="A1968" s="503"/>
      <c r="B1968" s="503"/>
      <c r="C1968" s="510"/>
      <c r="D1968" s="510"/>
      <c r="E1968" s="510"/>
      <c r="F1968" s="746"/>
      <c r="G1968" s="510"/>
      <c r="H1968" s="510"/>
      <c r="I1968" s="510"/>
      <c r="J1968" s="510"/>
      <c r="K1968" s="510"/>
      <c r="L1968" s="510"/>
      <c r="M1968" s="509"/>
      <c r="N1968" s="508"/>
      <c r="O1968" s="507"/>
      <c r="P1968" s="507"/>
      <c r="Q1968" s="505"/>
      <c r="R1968" s="506"/>
      <c r="S1968" s="506"/>
      <c r="T1968" s="506"/>
      <c r="U1968" s="505"/>
      <c r="V1968" s="505"/>
      <c r="W1968" s="505"/>
      <c r="X1968" s="504"/>
      <c r="Y1968" s="503"/>
      <c r="Z1968" s="503"/>
      <c r="AA1968" s="503"/>
      <c r="AB1968" s="503"/>
      <c r="AC1968" s="503"/>
      <c r="AD1968" s="503"/>
      <c r="AE1968" s="503"/>
      <c r="AF1968" s="503"/>
    </row>
    <row r="1969" spans="1:32" ht="15.75" customHeight="1">
      <c r="A1969" s="503"/>
      <c r="B1969" s="503"/>
      <c r="C1969" s="510"/>
      <c r="D1969" s="510"/>
      <c r="E1969" s="510"/>
      <c r="F1969" s="746"/>
      <c r="G1969" s="510"/>
      <c r="H1969" s="510"/>
      <c r="I1969" s="510"/>
      <c r="J1969" s="510"/>
      <c r="K1969" s="510"/>
      <c r="L1969" s="510"/>
      <c r="M1969" s="509"/>
      <c r="N1969" s="508"/>
      <c r="O1969" s="507"/>
      <c r="P1969" s="507"/>
      <c r="Q1969" s="505"/>
      <c r="R1969" s="506"/>
      <c r="S1969" s="506"/>
      <c r="T1969" s="506"/>
      <c r="U1969" s="505"/>
      <c r="V1969" s="505"/>
      <c r="W1969" s="505"/>
      <c r="X1969" s="504"/>
      <c r="Y1969" s="503"/>
      <c r="Z1969" s="503"/>
      <c r="AA1969" s="503"/>
      <c r="AB1969" s="503"/>
      <c r="AC1969" s="503"/>
      <c r="AD1969" s="503"/>
      <c r="AE1969" s="503"/>
      <c r="AF1969" s="503"/>
    </row>
    <row r="1970" spans="1:32" ht="15.75" customHeight="1">
      <c r="A1970" s="503"/>
      <c r="B1970" s="503"/>
      <c r="C1970" s="510"/>
      <c r="D1970" s="510"/>
      <c r="E1970" s="510"/>
      <c r="F1970" s="746"/>
      <c r="G1970" s="510"/>
      <c r="H1970" s="510"/>
      <c r="I1970" s="510"/>
      <c r="J1970" s="510"/>
      <c r="K1970" s="510"/>
      <c r="L1970" s="510"/>
      <c r="M1970" s="509"/>
      <c r="N1970" s="508"/>
      <c r="O1970" s="507"/>
      <c r="P1970" s="507"/>
      <c r="Q1970" s="505"/>
      <c r="R1970" s="506"/>
      <c r="S1970" s="506"/>
      <c r="T1970" s="506"/>
      <c r="U1970" s="505"/>
      <c r="V1970" s="505"/>
      <c r="W1970" s="505"/>
      <c r="X1970" s="504"/>
      <c r="Y1970" s="503"/>
      <c r="Z1970" s="503"/>
      <c r="AA1970" s="503"/>
      <c r="AB1970" s="503"/>
      <c r="AC1970" s="503"/>
      <c r="AD1970" s="503"/>
      <c r="AE1970" s="503"/>
      <c r="AF1970" s="503"/>
    </row>
    <row r="1971" spans="1:32" ht="15.75" customHeight="1">
      <c r="A1971" s="503"/>
      <c r="B1971" s="503"/>
      <c r="C1971" s="510"/>
      <c r="D1971" s="510"/>
      <c r="E1971" s="510"/>
      <c r="F1971" s="746"/>
      <c r="G1971" s="510"/>
      <c r="H1971" s="510"/>
      <c r="I1971" s="510"/>
      <c r="J1971" s="510"/>
      <c r="K1971" s="510"/>
      <c r="L1971" s="510"/>
      <c r="M1971" s="509"/>
      <c r="N1971" s="508"/>
      <c r="O1971" s="507"/>
      <c r="P1971" s="507"/>
      <c r="Q1971" s="505"/>
      <c r="R1971" s="506"/>
      <c r="S1971" s="506"/>
      <c r="T1971" s="506"/>
      <c r="U1971" s="505"/>
      <c r="V1971" s="505"/>
      <c r="W1971" s="505"/>
      <c r="X1971" s="504"/>
      <c r="Y1971" s="503"/>
      <c r="Z1971" s="503"/>
      <c r="AA1971" s="503"/>
      <c r="AB1971" s="503"/>
      <c r="AC1971" s="503"/>
      <c r="AD1971" s="503"/>
      <c r="AE1971" s="503"/>
      <c r="AF1971" s="503"/>
    </row>
    <row r="1972" spans="1:32" ht="15.75" customHeight="1">
      <c r="A1972" s="503"/>
      <c r="B1972" s="503"/>
      <c r="C1972" s="510"/>
      <c r="D1972" s="510"/>
      <c r="E1972" s="510"/>
      <c r="F1972" s="746"/>
      <c r="G1972" s="510"/>
      <c r="H1972" s="510"/>
      <c r="I1972" s="510"/>
      <c r="J1972" s="510"/>
      <c r="K1972" s="510"/>
      <c r="L1972" s="510"/>
      <c r="M1972" s="509"/>
      <c r="N1972" s="508"/>
      <c r="O1972" s="507"/>
      <c r="P1972" s="507"/>
      <c r="Q1972" s="505"/>
      <c r="R1972" s="506"/>
      <c r="S1972" s="506"/>
      <c r="T1972" s="506"/>
      <c r="U1972" s="505"/>
      <c r="V1972" s="505"/>
      <c r="W1972" s="505"/>
      <c r="X1972" s="504"/>
      <c r="Y1972" s="503"/>
      <c r="Z1972" s="503"/>
      <c r="AA1972" s="503"/>
      <c r="AB1972" s="503"/>
      <c r="AC1972" s="503"/>
      <c r="AD1972" s="503"/>
      <c r="AE1972" s="503"/>
      <c r="AF1972" s="503"/>
    </row>
    <row r="1973" spans="1:32" ht="15.75" customHeight="1">
      <c r="A1973" s="503"/>
      <c r="B1973" s="503"/>
      <c r="C1973" s="510"/>
      <c r="D1973" s="510"/>
      <c r="E1973" s="510"/>
      <c r="F1973" s="746"/>
      <c r="G1973" s="510"/>
      <c r="H1973" s="510"/>
      <c r="I1973" s="510"/>
      <c r="J1973" s="510"/>
      <c r="K1973" s="510"/>
      <c r="L1973" s="510"/>
      <c r="M1973" s="509"/>
      <c r="N1973" s="508"/>
      <c r="O1973" s="507"/>
      <c r="P1973" s="507"/>
      <c r="Q1973" s="505"/>
      <c r="R1973" s="506"/>
      <c r="S1973" s="506"/>
      <c r="T1973" s="506"/>
      <c r="U1973" s="505"/>
      <c r="V1973" s="505"/>
      <c r="W1973" s="505"/>
      <c r="X1973" s="504"/>
      <c r="Y1973" s="503"/>
      <c r="Z1973" s="503"/>
      <c r="AA1973" s="503"/>
      <c r="AB1973" s="503"/>
      <c r="AC1973" s="503"/>
      <c r="AD1973" s="503"/>
      <c r="AE1973" s="503"/>
      <c r="AF1973" s="503"/>
    </row>
    <row r="1974" spans="1:32" ht="15.75" customHeight="1">
      <c r="A1974" s="503"/>
      <c r="B1974" s="503"/>
      <c r="C1974" s="510"/>
      <c r="D1974" s="510"/>
      <c r="E1974" s="510"/>
      <c r="F1974" s="746"/>
      <c r="G1974" s="510"/>
      <c r="H1974" s="510"/>
      <c r="I1974" s="510"/>
      <c r="J1974" s="510"/>
      <c r="K1974" s="510"/>
      <c r="L1974" s="510"/>
      <c r="M1974" s="509"/>
      <c r="N1974" s="508"/>
      <c r="O1974" s="507"/>
      <c r="P1974" s="507"/>
      <c r="Q1974" s="505"/>
      <c r="R1974" s="506"/>
      <c r="S1974" s="506"/>
      <c r="T1974" s="506"/>
      <c r="U1974" s="505"/>
      <c r="V1974" s="505"/>
      <c r="W1974" s="505"/>
      <c r="X1974" s="504"/>
      <c r="Y1974" s="503"/>
      <c r="Z1974" s="503"/>
      <c r="AA1974" s="503"/>
      <c r="AB1974" s="503"/>
      <c r="AC1974" s="503"/>
      <c r="AD1974" s="503"/>
      <c r="AE1974" s="503"/>
      <c r="AF1974" s="503"/>
    </row>
    <row r="1975" spans="1:32" ht="15.75" customHeight="1">
      <c r="A1975" s="503"/>
      <c r="B1975" s="503"/>
      <c r="C1975" s="510"/>
      <c r="D1975" s="510"/>
      <c r="E1975" s="510"/>
      <c r="F1975" s="746"/>
      <c r="G1975" s="510"/>
      <c r="H1975" s="510"/>
      <c r="I1975" s="510"/>
      <c r="J1975" s="510"/>
      <c r="K1975" s="510"/>
      <c r="L1975" s="510"/>
      <c r="M1975" s="509"/>
      <c r="N1975" s="508"/>
      <c r="O1975" s="507"/>
      <c r="P1975" s="507"/>
      <c r="Q1975" s="505"/>
      <c r="R1975" s="506"/>
      <c r="S1975" s="506"/>
      <c r="T1975" s="506"/>
      <c r="U1975" s="505"/>
      <c r="V1975" s="505"/>
      <c r="W1975" s="505"/>
      <c r="X1975" s="504"/>
      <c r="Y1975" s="503"/>
      <c r="Z1975" s="503"/>
      <c r="AA1975" s="503"/>
      <c r="AB1975" s="503"/>
      <c r="AC1975" s="503"/>
      <c r="AD1975" s="503"/>
      <c r="AE1975" s="503"/>
      <c r="AF1975" s="503"/>
    </row>
    <row r="1976" spans="1:32" ht="15.75" customHeight="1">
      <c r="A1976" s="503"/>
      <c r="B1976" s="503"/>
      <c r="C1976" s="510"/>
      <c r="D1976" s="510"/>
      <c r="E1976" s="510"/>
      <c r="F1976" s="746"/>
      <c r="G1976" s="510"/>
      <c r="H1976" s="510"/>
      <c r="I1976" s="510"/>
      <c r="J1976" s="510"/>
      <c r="K1976" s="510"/>
      <c r="L1976" s="510"/>
      <c r="M1976" s="509"/>
      <c r="N1976" s="508"/>
      <c r="O1976" s="507"/>
      <c r="P1976" s="507"/>
      <c r="Q1976" s="505"/>
      <c r="R1976" s="506"/>
      <c r="S1976" s="506"/>
      <c r="T1976" s="506"/>
      <c r="U1976" s="505"/>
      <c r="V1976" s="505"/>
      <c r="W1976" s="505"/>
      <c r="X1976" s="504"/>
      <c r="Y1976" s="503"/>
      <c r="Z1976" s="503"/>
      <c r="AA1976" s="503"/>
      <c r="AB1976" s="503"/>
      <c r="AC1976" s="503"/>
      <c r="AD1976" s="503"/>
      <c r="AE1976" s="503"/>
      <c r="AF1976" s="503"/>
    </row>
    <row r="1977" spans="1:32" ht="15.75" customHeight="1">
      <c r="A1977" s="503"/>
      <c r="B1977" s="503"/>
      <c r="C1977" s="510"/>
      <c r="D1977" s="510"/>
      <c r="E1977" s="510"/>
      <c r="F1977" s="746"/>
      <c r="G1977" s="510"/>
      <c r="H1977" s="510"/>
      <c r="I1977" s="510"/>
      <c r="J1977" s="510"/>
      <c r="K1977" s="510"/>
      <c r="L1977" s="510"/>
      <c r="M1977" s="509"/>
      <c r="N1977" s="508"/>
      <c r="O1977" s="507"/>
      <c r="P1977" s="507"/>
      <c r="Q1977" s="505"/>
      <c r="R1977" s="506"/>
      <c r="S1977" s="506"/>
      <c r="T1977" s="506"/>
      <c r="U1977" s="505"/>
      <c r="V1977" s="505"/>
      <c r="W1977" s="505"/>
      <c r="X1977" s="504"/>
      <c r="Y1977" s="503"/>
      <c r="Z1977" s="503"/>
      <c r="AA1977" s="503"/>
      <c r="AB1977" s="503"/>
      <c r="AC1977" s="503"/>
      <c r="AD1977" s="503"/>
      <c r="AE1977" s="503"/>
      <c r="AF1977" s="503"/>
    </row>
    <row r="1978" spans="1:32" ht="15.75" customHeight="1">
      <c r="A1978" s="503"/>
      <c r="B1978" s="503"/>
      <c r="C1978" s="510"/>
      <c r="D1978" s="510"/>
      <c r="E1978" s="510"/>
      <c r="F1978" s="746"/>
      <c r="G1978" s="510"/>
      <c r="H1978" s="510"/>
      <c r="I1978" s="510"/>
      <c r="J1978" s="510"/>
      <c r="K1978" s="510"/>
      <c r="L1978" s="510"/>
      <c r="M1978" s="509"/>
      <c r="N1978" s="508"/>
      <c r="O1978" s="507"/>
      <c r="P1978" s="507"/>
      <c r="Q1978" s="505"/>
      <c r="R1978" s="506"/>
      <c r="S1978" s="506"/>
      <c r="T1978" s="506"/>
      <c r="U1978" s="505"/>
      <c r="V1978" s="505"/>
      <c r="W1978" s="505"/>
      <c r="X1978" s="504"/>
      <c r="Y1978" s="503"/>
      <c r="Z1978" s="503"/>
      <c r="AA1978" s="503"/>
      <c r="AB1978" s="503"/>
      <c r="AC1978" s="503"/>
      <c r="AD1978" s="503"/>
      <c r="AE1978" s="503"/>
      <c r="AF1978" s="503"/>
    </row>
    <row r="1979" spans="1:32" ht="15.75" customHeight="1">
      <c r="A1979" s="503"/>
      <c r="B1979" s="503"/>
      <c r="C1979" s="510"/>
      <c r="D1979" s="510"/>
      <c r="E1979" s="510"/>
      <c r="F1979" s="746"/>
      <c r="G1979" s="510"/>
      <c r="H1979" s="510"/>
      <c r="I1979" s="510"/>
      <c r="J1979" s="510"/>
      <c r="K1979" s="510"/>
      <c r="L1979" s="510"/>
      <c r="M1979" s="509"/>
      <c r="N1979" s="508"/>
      <c r="O1979" s="507"/>
      <c r="P1979" s="507"/>
      <c r="Q1979" s="505"/>
      <c r="R1979" s="506"/>
      <c r="S1979" s="506"/>
      <c r="T1979" s="506"/>
      <c r="U1979" s="505"/>
      <c r="V1979" s="505"/>
      <c r="W1979" s="505"/>
      <c r="X1979" s="504"/>
      <c r="Y1979" s="503"/>
      <c r="Z1979" s="503"/>
      <c r="AA1979" s="503"/>
      <c r="AB1979" s="503"/>
      <c r="AC1979" s="503"/>
      <c r="AD1979" s="503"/>
      <c r="AE1979" s="503"/>
      <c r="AF1979" s="503"/>
    </row>
    <row r="1980" spans="1:32" ht="15.75" customHeight="1">
      <c r="A1980" s="503"/>
      <c r="B1980" s="503"/>
      <c r="C1980" s="510"/>
      <c r="D1980" s="510"/>
      <c r="E1980" s="510"/>
      <c r="F1980" s="746"/>
      <c r="G1980" s="510"/>
      <c r="H1980" s="510"/>
      <c r="I1980" s="510"/>
      <c r="J1980" s="510"/>
      <c r="K1980" s="510"/>
      <c r="L1980" s="510"/>
      <c r="M1980" s="509"/>
      <c r="N1980" s="508"/>
      <c r="O1980" s="507"/>
      <c r="P1980" s="507"/>
      <c r="Q1980" s="505"/>
      <c r="R1980" s="506"/>
      <c r="S1980" s="506"/>
      <c r="T1980" s="506"/>
      <c r="U1980" s="505"/>
      <c r="V1980" s="505"/>
      <c r="W1980" s="505"/>
      <c r="X1980" s="504"/>
      <c r="Y1980" s="503"/>
      <c r="Z1980" s="503"/>
      <c r="AA1980" s="503"/>
      <c r="AB1980" s="503"/>
      <c r="AC1980" s="503"/>
      <c r="AD1980" s="503"/>
      <c r="AE1980" s="503"/>
      <c r="AF1980" s="503"/>
    </row>
    <row r="1981" spans="1:32" ht="15.75" customHeight="1">
      <c r="A1981" s="503"/>
      <c r="B1981" s="503"/>
      <c r="C1981" s="510"/>
      <c r="D1981" s="510"/>
      <c r="E1981" s="510"/>
      <c r="F1981" s="746"/>
      <c r="G1981" s="510"/>
      <c r="H1981" s="510"/>
      <c r="I1981" s="510"/>
      <c r="J1981" s="510"/>
      <c r="K1981" s="510"/>
      <c r="L1981" s="510"/>
      <c r="M1981" s="509"/>
      <c r="N1981" s="508"/>
      <c r="O1981" s="507"/>
      <c r="P1981" s="507"/>
      <c r="Q1981" s="505"/>
      <c r="R1981" s="506"/>
      <c r="S1981" s="506"/>
      <c r="T1981" s="506"/>
      <c r="U1981" s="505"/>
      <c r="V1981" s="505"/>
      <c r="W1981" s="505"/>
      <c r="X1981" s="504"/>
      <c r="Y1981" s="503"/>
      <c r="Z1981" s="503"/>
      <c r="AA1981" s="503"/>
      <c r="AB1981" s="503"/>
      <c r="AC1981" s="503"/>
      <c r="AD1981" s="503"/>
      <c r="AE1981" s="503"/>
      <c r="AF1981" s="503"/>
    </row>
    <row r="1982" spans="1:32" ht="15.75" customHeight="1">
      <c r="A1982" s="503"/>
      <c r="B1982" s="503"/>
      <c r="C1982" s="510"/>
      <c r="D1982" s="510"/>
      <c r="E1982" s="510"/>
      <c r="F1982" s="746"/>
      <c r="G1982" s="510"/>
      <c r="H1982" s="510"/>
      <c r="I1982" s="510"/>
      <c r="J1982" s="510"/>
      <c r="K1982" s="510"/>
      <c r="L1982" s="510"/>
      <c r="M1982" s="509"/>
      <c r="N1982" s="508"/>
      <c r="O1982" s="507"/>
      <c r="P1982" s="507"/>
      <c r="Q1982" s="505"/>
      <c r="R1982" s="506"/>
      <c r="S1982" s="506"/>
      <c r="T1982" s="506"/>
      <c r="U1982" s="505"/>
      <c r="V1982" s="505"/>
      <c r="W1982" s="505"/>
      <c r="X1982" s="504"/>
      <c r="Y1982" s="503"/>
      <c r="Z1982" s="503"/>
      <c r="AA1982" s="503"/>
      <c r="AB1982" s="503"/>
      <c r="AC1982" s="503"/>
      <c r="AD1982" s="503"/>
      <c r="AE1982" s="503"/>
      <c r="AF1982" s="503"/>
    </row>
    <row r="1983" spans="1:32" ht="15.75" customHeight="1">
      <c r="A1983" s="503"/>
      <c r="B1983" s="503"/>
      <c r="C1983" s="510"/>
      <c r="D1983" s="510"/>
      <c r="E1983" s="510"/>
      <c r="F1983" s="746"/>
      <c r="G1983" s="510"/>
      <c r="H1983" s="510"/>
      <c r="I1983" s="510"/>
      <c r="J1983" s="510"/>
      <c r="K1983" s="510"/>
      <c r="L1983" s="510"/>
      <c r="M1983" s="509"/>
      <c r="N1983" s="508"/>
      <c r="O1983" s="507"/>
      <c r="P1983" s="507"/>
      <c r="Q1983" s="505"/>
      <c r="R1983" s="506"/>
      <c r="S1983" s="506"/>
      <c r="T1983" s="506"/>
      <c r="U1983" s="505"/>
      <c r="V1983" s="505"/>
      <c r="W1983" s="505"/>
      <c r="X1983" s="504"/>
      <c r="Y1983" s="503"/>
      <c r="Z1983" s="503"/>
      <c r="AA1983" s="503"/>
      <c r="AB1983" s="503"/>
      <c r="AC1983" s="503"/>
      <c r="AD1983" s="503"/>
      <c r="AE1983" s="503"/>
      <c r="AF1983" s="503"/>
    </row>
    <row r="1984" spans="1:32" ht="15.75" customHeight="1">
      <c r="A1984" s="503"/>
      <c r="B1984" s="503"/>
      <c r="C1984" s="510"/>
      <c r="D1984" s="510"/>
      <c r="E1984" s="510"/>
      <c r="F1984" s="746"/>
      <c r="G1984" s="510"/>
      <c r="H1984" s="510"/>
      <c r="I1984" s="510"/>
      <c r="J1984" s="510"/>
      <c r="K1984" s="510"/>
      <c r="L1984" s="510"/>
      <c r="M1984" s="509"/>
      <c r="N1984" s="508"/>
      <c r="O1984" s="507"/>
      <c r="P1984" s="507"/>
      <c r="Q1984" s="505"/>
      <c r="R1984" s="506"/>
      <c r="S1984" s="506"/>
      <c r="T1984" s="506"/>
      <c r="U1984" s="505"/>
      <c r="V1984" s="505"/>
      <c r="W1984" s="505"/>
      <c r="X1984" s="504"/>
      <c r="Y1984" s="503"/>
      <c r="Z1984" s="503"/>
      <c r="AA1984" s="503"/>
      <c r="AB1984" s="503"/>
      <c r="AC1984" s="503"/>
      <c r="AD1984" s="503"/>
      <c r="AE1984" s="503"/>
      <c r="AF1984" s="503"/>
    </row>
    <row r="1985" spans="1:32" ht="15.75" customHeight="1">
      <c r="A1985" s="503"/>
      <c r="B1985" s="503"/>
      <c r="C1985" s="510"/>
      <c r="D1985" s="510"/>
      <c r="E1985" s="510"/>
      <c r="F1985" s="746"/>
      <c r="G1985" s="510"/>
      <c r="H1985" s="510"/>
      <c r="I1985" s="510"/>
      <c r="J1985" s="510"/>
      <c r="K1985" s="510"/>
      <c r="L1985" s="510"/>
      <c r="M1985" s="509"/>
      <c r="N1985" s="508"/>
      <c r="O1985" s="507"/>
      <c r="P1985" s="507"/>
      <c r="Q1985" s="505"/>
      <c r="R1985" s="506"/>
      <c r="S1985" s="506"/>
      <c r="T1985" s="506"/>
      <c r="U1985" s="505"/>
      <c r="V1985" s="505"/>
      <c r="W1985" s="505"/>
      <c r="X1985" s="504"/>
      <c r="Y1985" s="503"/>
      <c r="Z1985" s="503"/>
      <c r="AA1985" s="503"/>
      <c r="AB1985" s="503"/>
      <c r="AC1985" s="503"/>
      <c r="AD1985" s="503"/>
      <c r="AE1985" s="503"/>
      <c r="AF1985" s="503"/>
    </row>
    <row r="1986" spans="1:32" ht="15.75" customHeight="1">
      <c r="A1986" s="503"/>
      <c r="B1986" s="503"/>
      <c r="C1986" s="510"/>
      <c r="D1986" s="510"/>
      <c r="E1986" s="510"/>
      <c r="F1986" s="746"/>
      <c r="G1986" s="510"/>
      <c r="H1986" s="510"/>
      <c r="I1986" s="510"/>
      <c r="J1986" s="510"/>
      <c r="K1986" s="510"/>
      <c r="L1986" s="510"/>
      <c r="M1986" s="509"/>
      <c r="N1986" s="508"/>
      <c r="O1986" s="507"/>
      <c r="P1986" s="507"/>
      <c r="Q1986" s="505"/>
      <c r="R1986" s="506"/>
      <c r="S1986" s="506"/>
      <c r="T1986" s="506"/>
      <c r="U1986" s="505"/>
      <c r="V1986" s="505"/>
      <c r="W1986" s="505"/>
      <c r="X1986" s="504"/>
      <c r="Y1986" s="503"/>
      <c r="Z1986" s="503"/>
      <c r="AA1986" s="503"/>
      <c r="AB1986" s="503"/>
      <c r="AC1986" s="503"/>
      <c r="AD1986" s="503"/>
      <c r="AE1986" s="503"/>
      <c r="AF1986" s="503"/>
    </row>
    <row r="1987" spans="1:32" ht="15.75" customHeight="1">
      <c r="A1987" s="503"/>
      <c r="B1987" s="503"/>
      <c r="C1987" s="510"/>
      <c r="D1987" s="510"/>
      <c r="E1987" s="510"/>
      <c r="F1987" s="746"/>
      <c r="G1987" s="510"/>
      <c r="H1987" s="510"/>
      <c r="I1987" s="510"/>
      <c r="J1987" s="510"/>
      <c r="K1987" s="510"/>
      <c r="L1987" s="510"/>
      <c r="M1987" s="509"/>
      <c r="N1987" s="508"/>
      <c r="O1987" s="507"/>
      <c r="P1987" s="507"/>
      <c r="Q1987" s="505"/>
      <c r="R1987" s="506"/>
      <c r="S1987" s="506"/>
      <c r="T1987" s="506"/>
      <c r="U1987" s="505"/>
      <c r="V1987" s="505"/>
      <c r="W1987" s="505"/>
      <c r="X1987" s="504"/>
      <c r="Y1987" s="503"/>
      <c r="Z1987" s="503"/>
      <c r="AA1987" s="503"/>
      <c r="AB1987" s="503"/>
      <c r="AC1987" s="503"/>
      <c r="AD1987" s="503"/>
      <c r="AE1987" s="503"/>
      <c r="AF1987" s="503"/>
    </row>
    <row r="1988" spans="1:32" ht="15.75" customHeight="1">
      <c r="A1988" s="503"/>
      <c r="B1988" s="503"/>
      <c r="C1988" s="510"/>
      <c r="D1988" s="510"/>
      <c r="E1988" s="510"/>
      <c r="F1988" s="746"/>
      <c r="G1988" s="510"/>
      <c r="H1988" s="510"/>
      <c r="I1988" s="510"/>
      <c r="J1988" s="510"/>
      <c r="K1988" s="510"/>
      <c r="L1988" s="510"/>
      <c r="M1988" s="509"/>
      <c r="N1988" s="508"/>
      <c r="O1988" s="507"/>
      <c r="P1988" s="507"/>
      <c r="Q1988" s="505"/>
      <c r="R1988" s="506"/>
      <c r="S1988" s="506"/>
      <c r="T1988" s="506"/>
      <c r="U1988" s="505"/>
      <c r="V1988" s="505"/>
      <c r="W1988" s="505"/>
      <c r="X1988" s="504"/>
      <c r="Y1988" s="503"/>
      <c r="Z1988" s="503"/>
      <c r="AA1988" s="503"/>
      <c r="AB1988" s="503"/>
      <c r="AC1988" s="503"/>
      <c r="AD1988" s="503"/>
      <c r="AE1988" s="503"/>
      <c r="AF1988" s="503"/>
    </row>
    <row r="1989" spans="1:32" ht="15.75" customHeight="1">
      <c r="A1989" s="503"/>
      <c r="B1989" s="503"/>
      <c r="C1989" s="510"/>
      <c r="D1989" s="510"/>
      <c r="E1989" s="510"/>
      <c r="F1989" s="746"/>
      <c r="G1989" s="510"/>
      <c r="H1989" s="510"/>
      <c r="I1989" s="510"/>
      <c r="J1989" s="510"/>
      <c r="K1989" s="510"/>
      <c r="L1989" s="510"/>
      <c r="M1989" s="509"/>
      <c r="N1989" s="508"/>
      <c r="O1989" s="507"/>
      <c r="P1989" s="507"/>
      <c r="Q1989" s="505"/>
      <c r="R1989" s="506"/>
      <c r="S1989" s="506"/>
      <c r="T1989" s="506"/>
      <c r="U1989" s="505"/>
      <c r="V1989" s="505"/>
      <c r="W1989" s="505"/>
      <c r="X1989" s="504"/>
      <c r="Y1989" s="503"/>
      <c r="Z1989" s="503"/>
      <c r="AA1989" s="503"/>
      <c r="AB1989" s="503"/>
      <c r="AC1989" s="503"/>
      <c r="AD1989" s="503"/>
      <c r="AE1989" s="503"/>
      <c r="AF1989" s="503"/>
    </row>
    <row r="1990" spans="1:32" ht="15.75" customHeight="1">
      <c r="A1990" s="503"/>
      <c r="B1990" s="503"/>
      <c r="C1990" s="510"/>
      <c r="D1990" s="510"/>
      <c r="E1990" s="510"/>
      <c r="F1990" s="746"/>
      <c r="G1990" s="510"/>
      <c r="H1990" s="510"/>
      <c r="I1990" s="510"/>
      <c r="J1990" s="510"/>
      <c r="K1990" s="510"/>
      <c r="L1990" s="510"/>
      <c r="M1990" s="509"/>
      <c r="N1990" s="508"/>
      <c r="O1990" s="507"/>
      <c r="P1990" s="507"/>
      <c r="Q1990" s="505"/>
      <c r="R1990" s="506"/>
      <c r="S1990" s="506"/>
      <c r="T1990" s="506"/>
      <c r="U1990" s="505"/>
      <c r="V1990" s="505"/>
      <c r="W1990" s="505"/>
      <c r="X1990" s="504"/>
      <c r="Y1990" s="503"/>
      <c r="Z1990" s="503"/>
      <c r="AA1990" s="503"/>
      <c r="AB1990" s="503"/>
      <c r="AC1990" s="503"/>
      <c r="AD1990" s="503"/>
      <c r="AE1990" s="503"/>
      <c r="AF1990" s="503"/>
    </row>
    <row r="1991" spans="1:32" ht="15.75" customHeight="1">
      <c r="A1991" s="503"/>
      <c r="B1991" s="503"/>
      <c r="C1991" s="510"/>
      <c r="D1991" s="510"/>
      <c r="E1991" s="510"/>
      <c r="F1991" s="746"/>
      <c r="G1991" s="510"/>
      <c r="H1991" s="510"/>
      <c r="I1991" s="510"/>
      <c r="J1991" s="510"/>
      <c r="K1991" s="510"/>
      <c r="L1991" s="510"/>
      <c r="M1991" s="509"/>
      <c r="N1991" s="508"/>
      <c r="O1991" s="507"/>
      <c r="P1991" s="507"/>
      <c r="Q1991" s="505"/>
      <c r="R1991" s="506"/>
      <c r="S1991" s="506"/>
      <c r="T1991" s="506"/>
      <c r="U1991" s="505"/>
      <c r="V1991" s="505"/>
      <c r="W1991" s="505"/>
      <c r="X1991" s="504"/>
      <c r="Y1991" s="503"/>
      <c r="Z1991" s="503"/>
      <c r="AA1991" s="503"/>
      <c r="AB1991" s="503"/>
      <c r="AC1991" s="503"/>
      <c r="AD1991" s="503"/>
      <c r="AE1991" s="503"/>
      <c r="AF1991" s="503"/>
    </row>
    <row r="1992" spans="1:32" ht="15.75" customHeight="1">
      <c r="A1992" s="503"/>
      <c r="B1992" s="503"/>
      <c r="C1992" s="510"/>
      <c r="D1992" s="510"/>
      <c r="E1992" s="510"/>
      <c r="F1992" s="746"/>
      <c r="G1992" s="510"/>
      <c r="H1992" s="510"/>
      <c r="I1992" s="510"/>
      <c r="J1992" s="510"/>
      <c r="K1992" s="510"/>
      <c r="L1992" s="510"/>
      <c r="M1992" s="509"/>
      <c r="N1992" s="508"/>
      <c r="O1992" s="507"/>
      <c r="P1992" s="507"/>
      <c r="Q1992" s="505"/>
      <c r="R1992" s="506"/>
      <c r="S1992" s="506"/>
      <c r="T1992" s="506"/>
      <c r="U1992" s="505"/>
      <c r="V1992" s="505"/>
      <c r="W1992" s="505"/>
      <c r="X1992" s="504"/>
      <c r="Y1992" s="503"/>
      <c r="Z1992" s="503"/>
      <c r="AA1992" s="503"/>
      <c r="AB1992" s="503"/>
      <c r="AC1992" s="503"/>
      <c r="AD1992" s="503"/>
      <c r="AE1992" s="503"/>
      <c r="AF1992" s="503"/>
    </row>
    <row r="1993" spans="1:32" ht="15.75" customHeight="1">
      <c r="A1993" s="503"/>
      <c r="B1993" s="503"/>
      <c r="C1993" s="510"/>
      <c r="D1993" s="510"/>
      <c r="E1993" s="510"/>
      <c r="F1993" s="746"/>
      <c r="G1993" s="510"/>
      <c r="H1993" s="510"/>
      <c r="I1993" s="510"/>
      <c r="J1993" s="510"/>
      <c r="K1993" s="510"/>
      <c r="L1993" s="510"/>
      <c r="M1993" s="509"/>
      <c r="N1993" s="508"/>
      <c r="O1993" s="507"/>
      <c r="P1993" s="507"/>
      <c r="Q1993" s="505"/>
      <c r="R1993" s="506"/>
      <c r="S1993" s="506"/>
      <c r="T1993" s="506"/>
      <c r="U1993" s="505"/>
      <c r="V1993" s="505"/>
      <c r="W1993" s="505"/>
      <c r="X1993" s="504"/>
      <c r="Y1993" s="503"/>
      <c r="Z1993" s="503"/>
      <c r="AA1993" s="503"/>
      <c r="AB1993" s="503"/>
      <c r="AC1993" s="503"/>
      <c r="AD1993" s="503"/>
      <c r="AE1993" s="503"/>
      <c r="AF1993" s="503"/>
    </row>
    <row r="1994" spans="1:32" ht="15.75" customHeight="1">
      <c r="A1994" s="503"/>
      <c r="B1994" s="503"/>
      <c r="C1994" s="510"/>
      <c r="D1994" s="510"/>
      <c r="E1994" s="510"/>
      <c r="F1994" s="746"/>
      <c r="G1994" s="510"/>
      <c r="H1994" s="510"/>
      <c r="I1994" s="510"/>
      <c r="J1994" s="510"/>
      <c r="K1994" s="510"/>
      <c r="L1994" s="510"/>
      <c r="M1994" s="509"/>
      <c r="N1994" s="508"/>
      <c r="O1994" s="507"/>
      <c r="P1994" s="507"/>
      <c r="Q1994" s="505"/>
      <c r="R1994" s="506"/>
      <c r="S1994" s="506"/>
      <c r="T1994" s="506"/>
      <c r="U1994" s="505"/>
      <c r="V1994" s="505"/>
      <c r="W1994" s="505"/>
      <c r="X1994" s="504"/>
      <c r="Y1994" s="503"/>
      <c r="Z1994" s="503"/>
      <c r="AA1994" s="503"/>
      <c r="AB1994" s="503"/>
      <c r="AC1994" s="503"/>
      <c r="AD1994" s="503"/>
      <c r="AE1994" s="503"/>
      <c r="AF1994" s="503"/>
    </row>
    <row r="1995" spans="1:32" ht="15.75" customHeight="1">
      <c r="A1995" s="503"/>
      <c r="B1995" s="503"/>
      <c r="C1995" s="510"/>
      <c r="D1995" s="510"/>
      <c r="E1995" s="510"/>
      <c r="F1995" s="746"/>
      <c r="G1995" s="510"/>
      <c r="H1995" s="510"/>
      <c r="I1995" s="510"/>
      <c r="J1995" s="510"/>
      <c r="K1995" s="510"/>
      <c r="L1995" s="510"/>
      <c r="M1995" s="509"/>
      <c r="N1995" s="508"/>
      <c r="O1995" s="507"/>
      <c r="P1995" s="507"/>
      <c r="Q1995" s="505"/>
      <c r="R1995" s="506"/>
      <c r="S1995" s="506"/>
      <c r="T1995" s="506"/>
      <c r="U1995" s="505"/>
      <c r="V1995" s="505"/>
      <c r="W1995" s="505"/>
      <c r="X1995" s="504"/>
      <c r="Y1995" s="503"/>
      <c r="Z1995" s="503"/>
      <c r="AA1995" s="503"/>
      <c r="AB1995" s="503"/>
      <c r="AC1995" s="503"/>
      <c r="AD1995" s="503"/>
      <c r="AE1995" s="503"/>
      <c r="AF1995" s="503"/>
    </row>
    <row r="1996" spans="1:32" ht="15.75" customHeight="1">
      <c r="A1996" s="503"/>
      <c r="B1996" s="503"/>
      <c r="C1996" s="510"/>
      <c r="D1996" s="510"/>
      <c r="E1996" s="510"/>
      <c r="F1996" s="746"/>
      <c r="G1996" s="510"/>
      <c r="H1996" s="510"/>
      <c r="I1996" s="510"/>
      <c r="J1996" s="510"/>
      <c r="K1996" s="510"/>
      <c r="L1996" s="510"/>
      <c r="M1996" s="509"/>
      <c r="N1996" s="508"/>
      <c r="O1996" s="507"/>
      <c r="P1996" s="507"/>
      <c r="Q1996" s="505"/>
      <c r="R1996" s="506"/>
      <c r="S1996" s="506"/>
      <c r="T1996" s="506"/>
      <c r="U1996" s="505"/>
      <c r="V1996" s="505"/>
      <c r="W1996" s="505"/>
      <c r="X1996" s="504"/>
      <c r="Y1996" s="503"/>
      <c r="Z1996" s="503"/>
      <c r="AA1996" s="503"/>
      <c r="AB1996" s="503"/>
      <c r="AC1996" s="503"/>
      <c r="AD1996" s="503"/>
      <c r="AE1996" s="503"/>
      <c r="AF1996" s="503"/>
    </row>
    <row r="1997" spans="1:32" ht="15.75" customHeight="1">
      <c r="A1997" s="503"/>
      <c r="B1997" s="503"/>
      <c r="C1997" s="510"/>
      <c r="D1997" s="510"/>
      <c r="E1997" s="510"/>
      <c r="F1997" s="746"/>
      <c r="G1997" s="510"/>
      <c r="H1997" s="510"/>
      <c r="I1997" s="510"/>
      <c r="J1997" s="510"/>
      <c r="K1997" s="510"/>
      <c r="L1997" s="510"/>
      <c r="M1997" s="509"/>
      <c r="N1997" s="508"/>
      <c r="O1997" s="507"/>
      <c r="P1997" s="507"/>
      <c r="Q1997" s="505"/>
      <c r="R1997" s="506"/>
      <c r="S1997" s="506"/>
      <c r="T1997" s="506"/>
      <c r="U1997" s="505"/>
      <c r="V1997" s="505"/>
      <c r="W1997" s="505"/>
      <c r="X1997" s="504"/>
      <c r="Y1997" s="503"/>
      <c r="Z1997" s="503"/>
      <c r="AA1997" s="503"/>
      <c r="AB1997" s="503"/>
      <c r="AC1997" s="503"/>
      <c r="AD1997" s="503"/>
      <c r="AE1997" s="503"/>
      <c r="AF1997" s="503"/>
    </row>
    <row r="1998" spans="1:32" ht="15.75" customHeight="1">
      <c r="A1998" s="503"/>
      <c r="B1998" s="503"/>
      <c r="C1998" s="510"/>
      <c r="D1998" s="510"/>
      <c r="E1998" s="510"/>
      <c r="F1998" s="746"/>
      <c r="G1998" s="510"/>
      <c r="H1998" s="510"/>
      <c r="I1998" s="510"/>
      <c r="J1998" s="510"/>
      <c r="K1998" s="510"/>
      <c r="L1998" s="510"/>
      <c r="M1998" s="509"/>
      <c r="N1998" s="508"/>
      <c r="O1998" s="507"/>
      <c r="P1998" s="507"/>
      <c r="Q1998" s="505"/>
      <c r="R1998" s="506"/>
      <c r="S1998" s="506"/>
      <c r="T1998" s="506"/>
      <c r="U1998" s="505"/>
      <c r="V1998" s="505"/>
      <c r="W1998" s="505"/>
      <c r="X1998" s="504"/>
      <c r="Y1998" s="503"/>
      <c r="Z1998" s="503"/>
      <c r="AA1998" s="503"/>
      <c r="AB1998" s="503"/>
      <c r="AC1998" s="503"/>
      <c r="AD1998" s="503"/>
      <c r="AE1998" s="503"/>
      <c r="AF1998" s="503"/>
    </row>
    <row r="1999" spans="1:32" ht="15.75" customHeight="1">
      <c r="A1999" s="503"/>
      <c r="B1999" s="503"/>
      <c r="C1999" s="510"/>
      <c r="D1999" s="510"/>
      <c r="E1999" s="510"/>
      <c r="F1999" s="746"/>
      <c r="G1999" s="510"/>
      <c r="H1999" s="510"/>
      <c r="I1999" s="510"/>
      <c r="J1999" s="510"/>
      <c r="K1999" s="510"/>
      <c r="L1999" s="510"/>
      <c r="M1999" s="509"/>
      <c r="N1999" s="508"/>
      <c r="O1999" s="507"/>
      <c r="P1999" s="507"/>
      <c r="Q1999" s="505"/>
      <c r="R1999" s="506"/>
      <c r="S1999" s="506"/>
      <c r="T1999" s="506"/>
      <c r="U1999" s="505"/>
      <c r="V1999" s="505"/>
      <c r="W1999" s="505"/>
      <c r="X1999" s="504"/>
      <c r="Y1999" s="503"/>
      <c r="Z1999" s="503"/>
      <c r="AA1999" s="503"/>
      <c r="AB1999" s="503"/>
      <c r="AC1999" s="503"/>
      <c r="AD1999" s="503"/>
      <c r="AE1999" s="503"/>
      <c r="AF1999" s="503"/>
    </row>
    <row r="2000" spans="1:32" ht="15.75" customHeight="1">
      <c r="A2000" s="503"/>
      <c r="B2000" s="503"/>
      <c r="C2000" s="510"/>
      <c r="D2000" s="510"/>
      <c r="E2000" s="510"/>
      <c r="F2000" s="746"/>
      <c r="G2000" s="510"/>
      <c r="H2000" s="510"/>
      <c r="I2000" s="510"/>
      <c r="J2000" s="510"/>
      <c r="K2000" s="510"/>
      <c r="L2000" s="510"/>
      <c r="M2000" s="509"/>
      <c r="N2000" s="508"/>
      <c r="O2000" s="507"/>
      <c r="P2000" s="507"/>
      <c r="Q2000" s="505"/>
      <c r="R2000" s="506"/>
      <c r="S2000" s="506"/>
      <c r="T2000" s="506"/>
      <c r="U2000" s="505"/>
      <c r="V2000" s="505"/>
      <c r="W2000" s="505"/>
      <c r="X2000" s="504"/>
      <c r="Y2000" s="503"/>
      <c r="Z2000" s="503"/>
      <c r="AA2000" s="503"/>
      <c r="AB2000" s="503"/>
      <c r="AC2000" s="503"/>
      <c r="AD2000" s="503"/>
      <c r="AE2000" s="503"/>
      <c r="AF2000" s="503"/>
    </row>
    <row r="2001" spans="1:32" ht="15.75" customHeight="1">
      <c r="A2001" s="503"/>
      <c r="B2001" s="503"/>
      <c r="C2001" s="510"/>
      <c r="D2001" s="510"/>
      <c r="E2001" s="510"/>
      <c r="F2001" s="746"/>
      <c r="G2001" s="510"/>
      <c r="H2001" s="510"/>
      <c r="I2001" s="510"/>
      <c r="J2001" s="510"/>
      <c r="K2001" s="510"/>
      <c r="L2001" s="510"/>
      <c r="M2001" s="509"/>
      <c r="N2001" s="508"/>
      <c r="O2001" s="507"/>
      <c r="P2001" s="507"/>
      <c r="Q2001" s="505"/>
      <c r="R2001" s="506"/>
      <c r="S2001" s="506"/>
      <c r="T2001" s="506"/>
      <c r="U2001" s="505"/>
      <c r="V2001" s="505"/>
      <c r="W2001" s="505"/>
      <c r="X2001" s="504"/>
      <c r="Y2001" s="503"/>
      <c r="Z2001" s="503"/>
      <c r="AA2001" s="503"/>
      <c r="AB2001" s="503"/>
      <c r="AC2001" s="503"/>
      <c r="AD2001" s="503"/>
      <c r="AE2001" s="503"/>
      <c r="AF2001" s="503"/>
    </row>
    <row r="2002" spans="1:32" ht="15.75" customHeight="1">
      <c r="A2002" s="503"/>
      <c r="B2002" s="503"/>
      <c r="C2002" s="510"/>
      <c r="D2002" s="510"/>
      <c r="E2002" s="510"/>
      <c r="F2002" s="746"/>
      <c r="G2002" s="510"/>
      <c r="H2002" s="510"/>
      <c r="I2002" s="510"/>
      <c r="J2002" s="510"/>
      <c r="K2002" s="510"/>
      <c r="L2002" s="510"/>
      <c r="M2002" s="509"/>
      <c r="N2002" s="508"/>
      <c r="O2002" s="507"/>
      <c r="P2002" s="507"/>
      <c r="Q2002" s="505"/>
      <c r="R2002" s="506"/>
      <c r="S2002" s="506"/>
      <c r="T2002" s="506"/>
      <c r="U2002" s="505"/>
      <c r="V2002" s="505"/>
      <c r="W2002" s="505"/>
      <c r="X2002" s="504"/>
      <c r="Y2002" s="503"/>
      <c r="Z2002" s="503"/>
      <c r="AA2002" s="503"/>
      <c r="AB2002" s="503"/>
      <c r="AC2002" s="503"/>
      <c r="AD2002" s="503"/>
      <c r="AE2002" s="503"/>
      <c r="AF2002" s="503"/>
    </row>
    <row r="2003" spans="1:32" ht="15.75" customHeight="1">
      <c r="A2003" s="503"/>
      <c r="B2003" s="503"/>
      <c r="C2003" s="510"/>
      <c r="D2003" s="510"/>
      <c r="E2003" s="510"/>
      <c r="F2003" s="746"/>
      <c r="G2003" s="510"/>
      <c r="H2003" s="510"/>
      <c r="I2003" s="510"/>
      <c r="J2003" s="510"/>
      <c r="K2003" s="510"/>
      <c r="L2003" s="510"/>
      <c r="M2003" s="509"/>
      <c r="N2003" s="508"/>
      <c r="O2003" s="507"/>
      <c r="P2003" s="507"/>
      <c r="Q2003" s="505"/>
      <c r="R2003" s="506"/>
      <c r="S2003" s="506"/>
      <c r="T2003" s="506"/>
      <c r="U2003" s="505"/>
      <c r="V2003" s="505"/>
      <c r="W2003" s="505"/>
      <c r="X2003" s="504"/>
      <c r="Y2003" s="503"/>
      <c r="Z2003" s="503"/>
      <c r="AA2003" s="503"/>
      <c r="AB2003" s="503"/>
      <c r="AC2003" s="503"/>
      <c r="AD2003" s="503"/>
      <c r="AE2003" s="503"/>
      <c r="AF2003" s="503"/>
    </row>
    <row r="2004" spans="1:32" ht="15.75" customHeight="1">
      <c r="A2004" s="503"/>
      <c r="B2004" s="503"/>
      <c r="C2004" s="510"/>
      <c r="D2004" s="510"/>
      <c r="E2004" s="510"/>
      <c r="F2004" s="746"/>
      <c r="G2004" s="510"/>
      <c r="H2004" s="510"/>
      <c r="I2004" s="510"/>
      <c r="J2004" s="510"/>
      <c r="K2004" s="510"/>
      <c r="L2004" s="510"/>
      <c r="M2004" s="509"/>
      <c r="N2004" s="508"/>
      <c r="O2004" s="507"/>
      <c r="P2004" s="507"/>
      <c r="Q2004" s="505"/>
      <c r="R2004" s="506"/>
      <c r="S2004" s="506"/>
      <c r="T2004" s="506"/>
      <c r="U2004" s="505"/>
      <c r="V2004" s="505"/>
      <c r="W2004" s="505"/>
      <c r="X2004" s="504"/>
      <c r="Y2004" s="503"/>
      <c r="Z2004" s="503"/>
      <c r="AA2004" s="503"/>
      <c r="AB2004" s="503"/>
      <c r="AC2004" s="503"/>
      <c r="AD2004" s="503"/>
      <c r="AE2004" s="503"/>
      <c r="AF2004" s="503"/>
    </row>
    <row r="2005" spans="1:32" ht="15.75" customHeight="1">
      <c r="A2005" s="503"/>
      <c r="B2005" s="503"/>
      <c r="C2005" s="510"/>
      <c r="D2005" s="510"/>
      <c r="E2005" s="510"/>
      <c r="F2005" s="746"/>
      <c r="G2005" s="510"/>
      <c r="H2005" s="510"/>
      <c r="I2005" s="510"/>
      <c r="J2005" s="510"/>
      <c r="K2005" s="510"/>
      <c r="L2005" s="510"/>
      <c r="M2005" s="509"/>
      <c r="N2005" s="508"/>
      <c r="O2005" s="507"/>
      <c r="P2005" s="507"/>
      <c r="Q2005" s="505"/>
      <c r="R2005" s="506"/>
      <c r="S2005" s="506"/>
      <c r="T2005" s="506"/>
      <c r="U2005" s="505"/>
      <c r="V2005" s="505"/>
      <c r="W2005" s="505"/>
      <c r="X2005" s="504"/>
      <c r="Y2005" s="503"/>
      <c r="Z2005" s="503"/>
      <c r="AA2005" s="503"/>
      <c r="AB2005" s="503"/>
      <c r="AC2005" s="503"/>
      <c r="AD2005" s="503"/>
      <c r="AE2005" s="503"/>
      <c r="AF2005" s="503"/>
    </row>
    <row r="2006" spans="1:32" ht="15.75" customHeight="1">
      <c r="A2006" s="503"/>
      <c r="B2006" s="503"/>
      <c r="C2006" s="510"/>
      <c r="D2006" s="510"/>
      <c r="E2006" s="510"/>
      <c r="F2006" s="746"/>
      <c r="G2006" s="510"/>
      <c r="H2006" s="510"/>
      <c r="I2006" s="510"/>
      <c r="J2006" s="510"/>
      <c r="K2006" s="510"/>
      <c r="L2006" s="510"/>
      <c r="M2006" s="509"/>
      <c r="N2006" s="508"/>
      <c r="O2006" s="507"/>
      <c r="P2006" s="507"/>
      <c r="Q2006" s="505"/>
      <c r="R2006" s="506"/>
      <c r="S2006" s="506"/>
      <c r="T2006" s="506"/>
      <c r="U2006" s="505"/>
      <c r="V2006" s="505"/>
      <c r="W2006" s="505"/>
      <c r="X2006" s="504"/>
      <c r="Y2006" s="503"/>
      <c r="Z2006" s="503"/>
      <c r="AA2006" s="503"/>
      <c r="AB2006" s="503"/>
      <c r="AC2006" s="503"/>
      <c r="AD2006" s="503"/>
      <c r="AE2006" s="503"/>
      <c r="AF2006" s="503"/>
    </row>
    <row r="2007" spans="1:32" ht="15.75" customHeight="1">
      <c r="A2007" s="503"/>
      <c r="B2007" s="503"/>
      <c r="C2007" s="510"/>
      <c r="D2007" s="510"/>
      <c r="E2007" s="510"/>
      <c r="F2007" s="746"/>
      <c r="G2007" s="510"/>
      <c r="H2007" s="510"/>
      <c r="I2007" s="510"/>
      <c r="J2007" s="510"/>
      <c r="K2007" s="510"/>
      <c r="L2007" s="510"/>
      <c r="M2007" s="509"/>
      <c r="N2007" s="508"/>
      <c r="O2007" s="507"/>
      <c r="P2007" s="507"/>
      <c r="Q2007" s="505"/>
      <c r="R2007" s="506"/>
      <c r="S2007" s="506"/>
      <c r="T2007" s="506"/>
      <c r="U2007" s="505"/>
      <c r="V2007" s="505"/>
      <c r="W2007" s="505"/>
      <c r="X2007" s="504"/>
      <c r="Y2007" s="503"/>
      <c r="Z2007" s="503"/>
      <c r="AA2007" s="503"/>
      <c r="AB2007" s="503"/>
      <c r="AC2007" s="503"/>
      <c r="AD2007" s="503"/>
      <c r="AE2007" s="503"/>
      <c r="AF2007" s="503"/>
    </row>
    <row r="2008" spans="1:32" ht="15.75" customHeight="1">
      <c r="A2008" s="503"/>
      <c r="B2008" s="503"/>
      <c r="C2008" s="510"/>
      <c r="D2008" s="510"/>
      <c r="E2008" s="510"/>
      <c r="F2008" s="746"/>
      <c r="G2008" s="510"/>
      <c r="H2008" s="510"/>
      <c r="I2008" s="510"/>
      <c r="J2008" s="510"/>
      <c r="K2008" s="510"/>
      <c r="L2008" s="510"/>
      <c r="M2008" s="509"/>
      <c r="N2008" s="508"/>
      <c r="O2008" s="507"/>
      <c r="P2008" s="507"/>
      <c r="Q2008" s="505"/>
      <c r="R2008" s="506"/>
      <c r="S2008" s="506"/>
      <c r="T2008" s="506"/>
      <c r="U2008" s="505"/>
      <c r="V2008" s="505"/>
      <c r="W2008" s="505"/>
      <c r="X2008" s="504"/>
      <c r="Y2008" s="503"/>
      <c r="Z2008" s="503"/>
      <c r="AA2008" s="503"/>
      <c r="AB2008" s="503"/>
      <c r="AC2008" s="503"/>
      <c r="AD2008" s="503"/>
      <c r="AE2008" s="503"/>
      <c r="AF2008" s="503"/>
    </row>
    <row r="2009" spans="1:32" ht="15.75" customHeight="1">
      <c r="A2009" s="503"/>
      <c r="B2009" s="503"/>
      <c r="C2009" s="510"/>
      <c r="D2009" s="510"/>
      <c r="E2009" s="510"/>
      <c r="F2009" s="746"/>
      <c r="G2009" s="510"/>
      <c r="H2009" s="510"/>
      <c r="I2009" s="510"/>
      <c r="J2009" s="510"/>
      <c r="K2009" s="510"/>
      <c r="L2009" s="510"/>
      <c r="M2009" s="509"/>
      <c r="N2009" s="508"/>
      <c r="O2009" s="507"/>
      <c r="P2009" s="507"/>
      <c r="Q2009" s="505"/>
      <c r="R2009" s="506"/>
      <c r="S2009" s="506"/>
      <c r="T2009" s="506"/>
      <c r="U2009" s="505"/>
      <c r="V2009" s="505"/>
      <c r="W2009" s="505"/>
      <c r="X2009" s="504"/>
      <c r="Y2009" s="503"/>
      <c r="Z2009" s="503"/>
      <c r="AA2009" s="503"/>
      <c r="AB2009" s="503"/>
      <c r="AC2009" s="503"/>
      <c r="AD2009" s="503"/>
      <c r="AE2009" s="503"/>
      <c r="AF2009" s="503"/>
    </row>
    <row r="2010" spans="1:32" ht="15.75" customHeight="1">
      <c r="A2010" s="503"/>
      <c r="B2010" s="503"/>
      <c r="C2010" s="510"/>
      <c r="D2010" s="510"/>
      <c r="E2010" s="510"/>
      <c r="F2010" s="746"/>
      <c r="G2010" s="510"/>
      <c r="H2010" s="510"/>
      <c r="I2010" s="510"/>
      <c r="J2010" s="510"/>
      <c r="K2010" s="510"/>
      <c r="L2010" s="510"/>
      <c r="M2010" s="509"/>
      <c r="N2010" s="508"/>
      <c r="O2010" s="507"/>
      <c r="P2010" s="507"/>
      <c r="Q2010" s="505"/>
      <c r="R2010" s="506"/>
      <c r="S2010" s="506"/>
      <c r="T2010" s="506"/>
      <c r="U2010" s="505"/>
      <c r="V2010" s="505"/>
      <c r="W2010" s="505"/>
      <c r="X2010" s="504"/>
      <c r="Y2010" s="503"/>
      <c r="Z2010" s="503"/>
      <c r="AA2010" s="503"/>
      <c r="AB2010" s="503"/>
      <c r="AC2010" s="503"/>
      <c r="AD2010" s="503"/>
      <c r="AE2010" s="503"/>
      <c r="AF2010" s="503"/>
    </row>
    <row r="2011" spans="1:32" ht="15.75" customHeight="1">
      <c r="A2011" s="503"/>
      <c r="B2011" s="503"/>
      <c r="C2011" s="510"/>
      <c r="D2011" s="510"/>
      <c r="E2011" s="510"/>
      <c r="F2011" s="746"/>
      <c r="G2011" s="510"/>
      <c r="H2011" s="510"/>
      <c r="I2011" s="510"/>
      <c r="J2011" s="510"/>
      <c r="K2011" s="510"/>
      <c r="L2011" s="510"/>
      <c r="M2011" s="509"/>
      <c r="N2011" s="508"/>
      <c r="O2011" s="507"/>
      <c r="P2011" s="507"/>
      <c r="Q2011" s="505"/>
      <c r="R2011" s="506"/>
      <c r="S2011" s="506"/>
      <c r="T2011" s="506"/>
      <c r="U2011" s="505"/>
      <c r="V2011" s="505"/>
      <c r="W2011" s="505"/>
      <c r="X2011" s="504"/>
      <c r="Y2011" s="503"/>
      <c r="Z2011" s="503"/>
      <c r="AA2011" s="503"/>
      <c r="AB2011" s="503"/>
      <c r="AC2011" s="503"/>
      <c r="AD2011" s="503"/>
      <c r="AE2011" s="503"/>
      <c r="AF2011" s="503"/>
    </row>
    <row r="2012" spans="1:32" ht="15.75" customHeight="1">
      <c r="A2012" s="503"/>
      <c r="B2012" s="503"/>
      <c r="C2012" s="510"/>
      <c r="D2012" s="510"/>
      <c r="E2012" s="510"/>
      <c r="F2012" s="746"/>
      <c r="G2012" s="510"/>
      <c r="H2012" s="510"/>
      <c r="I2012" s="510"/>
      <c r="J2012" s="510"/>
      <c r="K2012" s="510"/>
      <c r="L2012" s="510"/>
      <c r="M2012" s="509"/>
      <c r="N2012" s="508"/>
      <c r="O2012" s="507"/>
      <c r="P2012" s="507"/>
      <c r="Q2012" s="505"/>
      <c r="R2012" s="506"/>
      <c r="S2012" s="506"/>
      <c r="T2012" s="506"/>
      <c r="U2012" s="505"/>
      <c r="V2012" s="505"/>
      <c r="W2012" s="505"/>
      <c r="X2012" s="504"/>
      <c r="Y2012" s="503"/>
      <c r="Z2012" s="503"/>
      <c r="AA2012" s="503"/>
      <c r="AB2012" s="503"/>
      <c r="AC2012" s="503"/>
      <c r="AD2012" s="503"/>
      <c r="AE2012" s="503"/>
      <c r="AF2012" s="503"/>
    </row>
    <row r="2013" spans="1:32" ht="15.75" customHeight="1">
      <c r="A2013" s="503"/>
      <c r="B2013" s="503"/>
      <c r="C2013" s="510"/>
      <c r="D2013" s="510"/>
      <c r="E2013" s="510"/>
      <c r="F2013" s="746"/>
      <c r="G2013" s="510"/>
      <c r="H2013" s="510"/>
      <c r="I2013" s="510"/>
      <c r="J2013" s="510"/>
      <c r="K2013" s="510"/>
      <c r="L2013" s="510"/>
      <c r="M2013" s="509"/>
      <c r="N2013" s="508"/>
      <c r="O2013" s="507"/>
      <c r="P2013" s="507"/>
      <c r="Q2013" s="505"/>
      <c r="R2013" s="506"/>
      <c r="S2013" s="506"/>
      <c r="T2013" s="506"/>
      <c r="U2013" s="505"/>
      <c r="V2013" s="505"/>
      <c r="W2013" s="505"/>
      <c r="X2013" s="504"/>
      <c r="Y2013" s="503"/>
      <c r="Z2013" s="503"/>
      <c r="AA2013" s="503"/>
      <c r="AB2013" s="503"/>
      <c r="AC2013" s="503"/>
      <c r="AD2013" s="503"/>
      <c r="AE2013" s="503"/>
      <c r="AF2013" s="503"/>
    </row>
    <row r="2014" spans="1:32" ht="15.75" customHeight="1">
      <c r="A2014" s="503"/>
      <c r="B2014" s="503"/>
      <c r="C2014" s="510"/>
      <c r="D2014" s="510"/>
      <c r="E2014" s="510"/>
      <c r="F2014" s="746"/>
      <c r="G2014" s="510"/>
      <c r="H2014" s="510"/>
      <c r="I2014" s="510"/>
      <c r="J2014" s="510"/>
      <c r="K2014" s="510"/>
      <c r="L2014" s="510"/>
      <c r="M2014" s="509"/>
      <c r="N2014" s="508"/>
      <c r="O2014" s="507"/>
      <c r="P2014" s="507"/>
      <c r="Q2014" s="505"/>
      <c r="R2014" s="506"/>
      <c r="S2014" s="506"/>
      <c r="T2014" s="506"/>
      <c r="U2014" s="505"/>
      <c r="V2014" s="505"/>
      <c r="W2014" s="505"/>
      <c r="X2014" s="504"/>
      <c r="Y2014" s="503"/>
      <c r="Z2014" s="503"/>
      <c r="AA2014" s="503"/>
      <c r="AB2014" s="503"/>
      <c r="AC2014" s="503"/>
      <c r="AD2014" s="503"/>
      <c r="AE2014" s="503"/>
      <c r="AF2014" s="503"/>
    </row>
    <row r="2015" spans="1:32" ht="15.75" customHeight="1">
      <c r="A2015" s="503"/>
      <c r="B2015" s="503"/>
      <c r="C2015" s="510"/>
      <c r="D2015" s="510"/>
      <c r="E2015" s="510"/>
      <c r="F2015" s="746"/>
      <c r="G2015" s="510"/>
      <c r="H2015" s="510"/>
      <c r="I2015" s="510"/>
      <c r="J2015" s="510"/>
      <c r="K2015" s="510"/>
      <c r="L2015" s="510"/>
      <c r="M2015" s="509"/>
      <c r="N2015" s="508"/>
      <c r="O2015" s="507"/>
      <c r="P2015" s="507"/>
      <c r="Q2015" s="505"/>
      <c r="R2015" s="506"/>
      <c r="S2015" s="506"/>
      <c r="T2015" s="506"/>
      <c r="U2015" s="505"/>
      <c r="V2015" s="505"/>
      <c r="W2015" s="505"/>
      <c r="X2015" s="504"/>
      <c r="Y2015" s="503"/>
      <c r="Z2015" s="503"/>
      <c r="AA2015" s="503"/>
      <c r="AB2015" s="503"/>
      <c r="AC2015" s="503"/>
      <c r="AD2015" s="503"/>
      <c r="AE2015" s="503"/>
      <c r="AF2015" s="503"/>
    </row>
    <row r="2016" spans="1:32" ht="15.75" customHeight="1">
      <c r="A2016" s="503"/>
      <c r="B2016" s="503"/>
      <c r="C2016" s="510"/>
      <c r="D2016" s="510"/>
      <c r="E2016" s="510"/>
      <c r="F2016" s="746"/>
      <c r="G2016" s="510"/>
      <c r="H2016" s="510"/>
      <c r="I2016" s="510"/>
      <c r="J2016" s="510"/>
      <c r="K2016" s="510"/>
      <c r="L2016" s="510"/>
      <c r="M2016" s="509"/>
      <c r="N2016" s="508"/>
      <c r="O2016" s="507"/>
      <c r="P2016" s="507"/>
      <c r="Q2016" s="505"/>
      <c r="R2016" s="506"/>
      <c r="S2016" s="506"/>
      <c r="T2016" s="506"/>
      <c r="U2016" s="505"/>
      <c r="V2016" s="505"/>
      <c r="W2016" s="505"/>
      <c r="X2016" s="504"/>
      <c r="Y2016" s="503"/>
      <c r="Z2016" s="503"/>
      <c r="AA2016" s="503"/>
      <c r="AB2016" s="503"/>
      <c r="AC2016" s="503"/>
      <c r="AD2016" s="503"/>
      <c r="AE2016" s="503"/>
      <c r="AF2016" s="503"/>
    </row>
    <row r="2017" spans="1:32" ht="15.75" customHeight="1">
      <c r="A2017" s="503"/>
      <c r="B2017" s="503"/>
      <c r="C2017" s="510"/>
      <c r="D2017" s="510"/>
      <c r="E2017" s="510"/>
      <c r="F2017" s="746"/>
      <c r="G2017" s="510"/>
      <c r="H2017" s="510"/>
      <c r="I2017" s="510"/>
      <c r="J2017" s="510"/>
      <c r="K2017" s="510"/>
      <c r="L2017" s="510"/>
      <c r="M2017" s="509"/>
      <c r="N2017" s="508"/>
      <c r="O2017" s="507"/>
      <c r="P2017" s="507"/>
      <c r="Q2017" s="505"/>
      <c r="R2017" s="506"/>
      <c r="S2017" s="506"/>
      <c r="T2017" s="506"/>
      <c r="U2017" s="505"/>
      <c r="V2017" s="505"/>
      <c r="W2017" s="505"/>
      <c r="X2017" s="504"/>
      <c r="Y2017" s="503"/>
      <c r="Z2017" s="503"/>
      <c r="AA2017" s="503"/>
      <c r="AB2017" s="503"/>
      <c r="AC2017" s="503"/>
      <c r="AD2017" s="503"/>
      <c r="AE2017" s="503"/>
      <c r="AF2017" s="503"/>
    </row>
    <row r="2018" spans="1:32" ht="15.75" customHeight="1">
      <c r="A2018" s="503"/>
      <c r="B2018" s="503"/>
      <c r="C2018" s="510"/>
      <c r="D2018" s="510"/>
      <c r="E2018" s="510"/>
      <c r="F2018" s="746"/>
      <c r="G2018" s="510"/>
      <c r="H2018" s="510"/>
      <c r="I2018" s="510"/>
      <c r="J2018" s="510"/>
      <c r="K2018" s="510"/>
      <c r="L2018" s="510"/>
      <c r="M2018" s="509"/>
      <c r="N2018" s="508"/>
      <c r="O2018" s="507"/>
      <c r="P2018" s="507"/>
      <c r="Q2018" s="505"/>
      <c r="R2018" s="506"/>
      <c r="S2018" s="506"/>
      <c r="T2018" s="506"/>
      <c r="U2018" s="505"/>
      <c r="V2018" s="505"/>
      <c r="W2018" s="505"/>
      <c r="X2018" s="504"/>
      <c r="Y2018" s="503"/>
      <c r="Z2018" s="503"/>
      <c r="AA2018" s="503"/>
      <c r="AB2018" s="503"/>
      <c r="AC2018" s="503"/>
      <c r="AD2018" s="503"/>
      <c r="AE2018" s="503"/>
      <c r="AF2018" s="503"/>
    </row>
    <row r="2019" spans="1:32" ht="15.75" customHeight="1">
      <c r="A2019" s="503"/>
      <c r="B2019" s="503"/>
      <c r="C2019" s="510"/>
      <c r="D2019" s="510"/>
      <c r="E2019" s="510"/>
      <c r="F2019" s="746"/>
      <c r="G2019" s="510"/>
      <c r="H2019" s="510"/>
      <c r="I2019" s="510"/>
      <c r="J2019" s="510"/>
      <c r="K2019" s="510"/>
      <c r="L2019" s="510"/>
      <c r="M2019" s="509"/>
      <c r="N2019" s="508"/>
      <c r="O2019" s="507"/>
      <c r="P2019" s="507"/>
      <c r="Q2019" s="505"/>
      <c r="R2019" s="506"/>
      <c r="S2019" s="506"/>
      <c r="T2019" s="506"/>
      <c r="U2019" s="505"/>
      <c r="V2019" s="505"/>
      <c r="W2019" s="505"/>
      <c r="X2019" s="504"/>
      <c r="Y2019" s="503"/>
      <c r="Z2019" s="503"/>
      <c r="AA2019" s="503"/>
      <c r="AB2019" s="503"/>
      <c r="AC2019" s="503"/>
      <c r="AD2019" s="503"/>
      <c r="AE2019" s="503"/>
      <c r="AF2019" s="503"/>
    </row>
    <row r="2020" spans="1:32" ht="15.75" customHeight="1">
      <c r="A2020" s="503"/>
      <c r="B2020" s="503"/>
      <c r="C2020" s="510"/>
      <c r="D2020" s="510"/>
      <c r="E2020" s="510"/>
      <c r="F2020" s="746"/>
      <c r="G2020" s="510"/>
      <c r="H2020" s="510"/>
      <c r="I2020" s="510"/>
      <c r="J2020" s="510"/>
      <c r="K2020" s="510"/>
      <c r="L2020" s="510"/>
      <c r="M2020" s="509"/>
      <c r="N2020" s="508"/>
      <c r="O2020" s="507"/>
      <c r="P2020" s="507"/>
      <c r="Q2020" s="505"/>
      <c r="R2020" s="506"/>
      <c r="S2020" s="506"/>
      <c r="T2020" s="506"/>
      <c r="U2020" s="505"/>
      <c r="V2020" s="505"/>
      <c r="W2020" s="505"/>
      <c r="X2020" s="504"/>
      <c r="Y2020" s="503"/>
      <c r="Z2020" s="503"/>
      <c r="AA2020" s="503"/>
      <c r="AB2020" s="503"/>
      <c r="AC2020" s="503"/>
      <c r="AD2020" s="503"/>
      <c r="AE2020" s="503"/>
      <c r="AF2020" s="503"/>
    </row>
    <row r="2021" spans="1:32" ht="15.75" customHeight="1">
      <c r="A2021" s="503"/>
      <c r="B2021" s="503"/>
      <c r="C2021" s="510"/>
      <c r="D2021" s="510"/>
      <c r="E2021" s="510"/>
      <c r="F2021" s="746"/>
      <c r="G2021" s="510"/>
      <c r="H2021" s="510"/>
      <c r="I2021" s="510"/>
      <c r="J2021" s="510"/>
      <c r="K2021" s="510"/>
      <c r="L2021" s="510"/>
      <c r="M2021" s="509"/>
      <c r="N2021" s="508"/>
      <c r="O2021" s="507"/>
      <c r="P2021" s="507"/>
      <c r="Q2021" s="505"/>
      <c r="R2021" s="506"/>
      <c r="S2021" s="506"/>
      <c r="T2021" s="506"/>
      <c r="U2021" s="505"/>
      <c r="V2021" s="505"/>
      <c r="W2021" s="505"/>
      <c r="X2021" s="504"/>
      <c r="Y2021" s="503"/>
      <c r="Z2021" s="503"/>
      <c r="AA2021" s="503"/>
      <c r="AB2021" s="503"/>
      <c r="AC2021" s="503"/>
      <c r="AD2021" s="503"/>
      <c r="AE2021" s="503"/>
      <c r="AF2021" s="503"/>
    </row>
    <row r="2022" spans="1:32" ht="15.75" customHeight="1">
      <c r="A2022" s="503"/>
      <c r="B2022" s="503"/>
      <c r="C2022" s="510"/>
      <c r="D2022" s="510"/>
      <c r="E2022" s="510"/>
      <c r="F2022" s="746"/>
      <c r="G2022" s="510"/>
      <c r="H2022" s="510"/>
      <c r="I2022" s="510"/>
      <c r="J2022" s="510"/>
      <c r="K2022" s="510"/>
      <c r="L2022" s="510"/>
      <c r="M2022" s="509"/>
      <c r="N2022" s="508"/>
      <c r="O2022" s="507"/>
      <c r="P2022" s="507"/>
      <c r="Q2022" s="505"/>
      <c r="R2022" s="506"/>
      <c r="S2022" s="506"/>
      <c r="T2022" s="506"/>
      <c r="U2022" s="505"/>
      <c r="V2022" s="505"/>
      <c r="W2022" s="505"/>
      <c r="X2022" s="504"/>
      <c r="Y2022" s="503"/>
      <c r="Z2022" s="503"/>
      <c r="AA2022" s="503"/>
      <c r="AB2022" s="503"/>
      <c r="AC2022" s="503"/>
      <c r="AD2022" s="503"/>
      <c r="AE2022" s="503"/>
      <c r="AF2022" s="503"/>
    </row>
    <row r="2023" spans="1:32" ht="15.75" customHeight="1">
      <c r="A2023" s="503"/>
      <c r="B2023" s="503"/>
      <c r="C2023" s="510"/>
      <c r="D2023" s="510"/>
      <c r="E2023" s="510"/>
      <c r="F2023" s="746"/>
      <c r="G2023" s="510"/>
      <c r="H2023" s="510"/>
      <c r="I2023" s="510"/>
      <c r="J2023" s="510"/>
      <c r="K2023" s="510"/>
      <c r="L2023" s="510"/>
      <c r="M2023" s="509"/>
      <c r="N2023" s="508"/>
      <c r="O2023" s="507"/>
      <c r="P2023" s="507"/>
      <c r="Q2023" s="505"/>
      <c r="R2023" s="506"/>
      <c r="S2023" s="506"/>
      <c r="T2023" s="506"/>
      <c r="U2023" s="505"/>
      <c r="V2023" s="505"/>
      <c r="W2023" s="505"/>
      <c r="X2023" s="504"/>
      <c r="Y2023" s="503"/>
      <c r="Z2023" s="503"/>
      <c r="AA2023" s="503"/>
      <c r="AB2023" s="503"/>
      <c r="AC2023" s="503"/>
      <c r="AD2023" s="503"/>
      <c r="AE2023" s="503"/>
      <c r="AF2023" s="503"/>
    </row>
    <row r="2024" spans="1:32" ht="15.75" customHeight="1">
      <c r="A2024" s="503"/>
      <c r="B2024" s="503"/>
      <c r="C2024" s="510"/>
      <c r="D2024" s="510"/>
      <c r="E2024" s="510"/>
      <c r="F2024" s="746"/>
      <c r="G2024" s="510"/>
      <c r="H2024" s="510"/>
      <c r="I2024" s="510"/>
      <c r="J2024" s="510"/>
      <c r="K2024" s="510"/>
      <c r="L2024" s="510"/>
      <c r="M2024" s="509"/>
      <c r="N2024" s="508"/>
      <c r="O2024" s="507"/>
      <c r="P2024" s="507"/>
      <c r="Q2024" s="505"/>
      <c r="R2024" s="506"/>
      <c r="S2024" s="506"/>
      <c r="T2024" s="506"/>
      <c r="U2024" s="505"/>
      <c r="V2024" s="505"/>
      <c r="W2024" s="505"/>
      <c r="X2024" s="504"/>
      <c r="Y2024" s="503"/>
      <c r="Z2024" s="503"/>
      <c r="AA2024" s="503"/>
      <c r="AB2024" s="503"/>
      <c r="AC2024" s="503"/>
      <c r="AD2024" s="503"/>
      <c r="AE2024" s="503"/>
      <c r="AF2024" s="503"/>
    </row>
  </sheetData>
  <mergeCells count="21">
    <mergeCell ref="A16:A43"/>
    <mergeCell ref="B272:B383"/>
    <mergeCell ref="B386:B419"/>
    <mergeCell ref="A97:A113"/>
    <mergeCell ref="A4:A10"/>
    <mergeCell ref="A119:A120"/>
    <mergeCell ref="A45:A95"/>
    <mergeCell ref="A122:A124"/>
    <mergeCell ref="F488:G488"/>
    <mergeCell ref="B133:B190"/>
    <mergeCell ref="B193:B268"/>
    <mergeCell ref="E2:F3"/>
    <mergeCell ref="B2:B3"/>
    <mergeCell ref="C2:C3"/>
    <mergeCell ref="D2:D3"/>
    <mergeCell ref="B421:B454"/>
    <mergeCell ref="B456:X458"/>
    <mergeCell ref="B460:B466"/>
    <mergeCell ref="H2:H3"/>
    <mergeCell ref="G2:G3"/>
    <mergeCell ref="B469:B470"/>
  </mergeCells>
  <phoneticPr fontId="12" type="noConversion"/>
  <pageMargins left="0.51181102362204722" right="0.51181102362204722" top="0.78740157480314965" bottom="0.78740157480314965" header="0" footer="0"/>
  <pageSetup paperSize="9" orientation="landscape" r:id="rId1"/>
  <ignoredErrors>
    <ignoredError sqref="Q27 Q23 Q19 Q32 Q34 Q5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H43"/>
  <sheetViews>
    <sheetView showGridLines="0" zoomScale="70" zoomScaleNormal="70" workbookViewId="0">
      <selection activeCell="H18" sqref="H18"/>
    </sheetView>
  </sheetViews>
  <sheetFormatPr defaultColWidth="15.77734375" defaultRowHeight="13.2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0.049999999999997" customHeight="1">
      <c r="A1" s="59" t="s">
        <v>283</v>
      </c>
      <c r="B1" s="60"/>
      <c r="C1" s="60"/>
      <c r="D1" s="60"/>
      <c r="E1" s="60"/>
    </row>
    <row r="2" spans="1:8" ht="15" customHeight="1">
      <c r="A2" s="24" t="s">
        <v>286</v>
      </c>
      <c r="E2" s="61"/>
    </row>
    <row r="3" spans="1:8" ht="15" customHeight="1" thickBot="1">
      <c r="A3" s="24"/>
      <c r="E3" s="61"/>
    </row>
    <row r="4" spans="1:8" ht="42.45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831">
        <v>2.69</v>
      </c>
    </row>
    <row r="5" spans="1:8" s="24" customFormat="1" ht="15" customHeight="1">
      <c r="A5" s="2">
        <v>1</v>
      </c>
      <c r="B5" s="64">
        <f>ROUND(H7,3)</f>
        <v>4.0000000000000001E-3</v>
      </c>
      <c r="C5" s="62">
        <f>H4</f>
        <v>2.69</v>
      </c>
      <c r="D5" s="63">
        <f xml:space="preserve"> ( ( Vazões!$C4+Vazões!F4+Vazões!I4 ) * ( 86.4 ) * ( 365 ) * ($B5 ) )</f>
        <v>57014.515484503245</v>
      </c>
      <c r="E5" s="17">
        <f xml:space="preserve"> ( ( C5 ) * ( D5 ) )</f>
        <v>153369.04665331374</v>
      </c>
    </row>
    <row r="6" spans="1:8" ht="15" customHeight="1">
      <c r="A6" s="2">
        <f xml:space="preserve"> ( ( A5 ) + ( 1 ) )</f>
        <v>2</v>
      </c>
      <c r="B6" s="64">
        <f>B5</f>
        <v>4.0000000000000001E-3</v>
      </c>
      <c r="C6" s="62">
        <f>C5</f>
        <v>2.69</v>
      </c>
      <c r="D6" s="63">
        <f xml:space="preserve"> ( ( Vazões!$C5+Vazões!F5+Vazões!I5 ) * ( 86.4 ) * ( 365 ) * ($B6 ) )</f>
        <v>56107.657455160857</v>
      </c>
      <c r="E6" s="17">
        <f t="shared" ref="E6:E34" si="0" xml:space="preserve"> ( ( C6 ) * ( D6 ) )</f>
        <v>150929.59855438271</v>
      </c>
    </row>
    <row r="7" spans="1:8" ht="15" customHeight="1">
      <c r="A7" s="2">
        <f t="shared" ref="A7:A34" si="1" xml:space="preserve"> ( ( A6 ) + ( 1 ) )</f>
        <v>3</v>
      </c>
      <c r="B7" s="64">
        <f t="shared" ref="B7:C34" si="2">B6</f>
        <v>4.0000000000000001E-3</v>
      </c>
      <c r="C7" s="62">
        <f t="shared" si="2"/>
        <v>2.69</v>
      </c>
      <c r="D7" s="63">
        <f xml:space="preserve"> ( ( Vazões!$C6+Vazões!F6+Vazões!I6 ) * ( 86.4 ) * ( 365 ) * ($B7 ) )</f>
        <v>55433.500884774905</v>
      </c>
      <c r="E7" s="17">
        <f t="shared" si="0"/>
        <v>149116.11738004448</v>
      </c>
      <c r="H7" s="167">
        <v>4.0000000000000001E-3</v>
      </c>
    </row>
    <row r="8" spans="1:8" ht="15" customHeight="1">
      <c r="A8" s="2">
        <f t="shared" si="1"/>
        <v>4</v>
      </c>
      <c r="B8" s="64">
        <f t="shared" si="2"/>
        <v>4.0000000000000001E-3</v>
      </c>
      <c r="C8" s="62">
        <f t="shared" si="2"/>
        <v>2.69</v>
      </c>
      <c r="D8" s="63">
        <f xml:space="preserve"> ( ( Vazões!$C7+Vazões!F7+Vazões!I7 ) * ( 86.4 ) * ( 365 ) * ($B8 ) )</f>
        <v>53911.085275374266</v>
      </c>
      <c r="E8" s="17">
        <f t="shared" si="0"/>
        <v>145020.81939075678</v>
      </c>
    </row>
    <row r="9" spans="1:8" s="24" customFormat="1" ht="15" customHeight="1">
      <c r="A9" s="2">
        <f t="shared" si="1"/>
        <v>5</v>
      </c>
      <c r="B9" s="64">
        <f t="shared" si="2"/>
        <v>4.0000000000000001E-3</v>
      </c>
      <c r="C9" s="62">
        <f t="shared" si="2"/>
        <v>2.69</v>
      </c>
      <c r="D9" s="63">
        <f xml:space="preserve"> ( ( Vazões!$C8+Vazões!F8+Vazões!I8 ) * ( 86.4 ) * ( 365 ) * ($B9 ) )</f>
        <v>53400.061660959764</v>
      </c>
      <c r="E9" s="17">
        <f t="shared" si="0"/>
        <v>143646.16586798176</v>
      </c>
    </row>
    <row r="10" spans="1:8" ht="15" customHeight="1">
      <c r="A10" s="2">
        <f t="shared" si="1"/>
        <v>6</v>
      </c>
      <c r="B10" s="64">
        <f t="shared" si="2"/>
        <v>4.0000000000000001E-3</v>
      </c>
      <c r="C10" s="62">
        <f t="shared" si="2"/>
        <v>2.69</v>
      </c>
      <c r="D10" s="63">
        <f xml:space="preserve"> ( ( Vazões!$C9+Vazões!F9+Vazões!I9 ) * ( 86.4 ) * ( 365 ) * ($B10 ) )</f>
        <v>51609.623192883468</v>
      </c>
      <c r="E10" s="17">
        <f t="shared" si="0"/>
        <v>138829.88638885654</v>
      </c>
    </row>
    <row r="11" spans="1:8" ht="15" customHeight="1">
      <c r="A11" s="2">
        <f t="shared" si="1"/>
        <v>7</v>
      </c>
      <c r="B11" s="64">
        <f t="shared" si="2"/>
        <v>4.0000000000000001E-3</v>
      </c>
      <c r="C11" s="62">
        <f t="shared" si="2"/>
        <v>2.69</v>
      </c>
      <c r="D11" s="63">
        <f xml:space="preserve"> ( ( Vazões!$C10+Vazões!F10+Vazões!I10 ) * ( 86.4 ) * ( 365 ) * ($B11 ) )</f>
        <v>49976.728865136043</v>
      </c>
      <c r="E11" s="17">
        <f t="shared" si="0"/>
        <v>134437.40064721595</v>
      </c>
    </row>
    <row r="12" spans="1:8" ht="15" customHeight="1">
      <c r="A12" s="2">
        <f t="shared" si="1"/>
        <v>8</v>
      </c>
      <c r="B12" s="64">
        <f t="shared" si="2"/>
        <v>4.0000000000000001E-3</v>
      </c>
      <c r="C12" s="62">
        <f t="shared" si="2"/>
        <v>2.69</v>
      </c>
      <c r="D12" s="63">
        <f xml:space="preserve"> ( ( Vazões!$C11+Vazões!F11+Vazões!I11 ) * ( 86.4 ) * ( 365 ) * ($B12 ) )</f>
        <v>47808.466918348262</v>
      </c>
      <c r="E12" s="17">
        <f t="shared" si="0"/>
        <v>128604.77601035683</v>
      </c>
    </row>
    <row r="13" spans="1:8" s="24" customFormat="1" ht="15" customHeight="1">
      <c r="A13" s="2">
        <f t="shared" si="1"/>
        <v>9</v>
      </c>
      <c r="B13" s="64">
        <f t="shared" si="2"/>
        <v>4.0000000000000001E-3</v>
      </c>
      <c r="C13" s="62">
        <f t="shared" si="2"/>
        <v>2.69</v>
      </c>
      <c r="D13" s="63">
        <f xml:space="preserve"> ( ( Vazões!$C12+Vazões!F12+Vazões!I12 ) * ( 86.4 ) * ( 365 ) * ($B13 ) )</f>
        <v>47108.130721795926</v>
      </c>
      <c r="E13" s="17">
        <f t="shared" si="0"/>
        <v>126720.87164163103</v>
      </c>
    </row>
    <row r="14" spans="1:8" s="24" customFormat="1" ht="15" customHeight="1">
      <c r="A14" s="2">
        <f t="shared" si="1"/>
        <v>10</v>
      </c>
      <c r="B14" s="64">
        <f t="shared" si="2"/>
        <v>4.0000000000000001E-3</v>
      </c>
      <c r="C14" s="62">
        <f t="shared" si="2"/>
        <v>2.69</v>
      </c>
      <c r="D14" s="63">
        <f xml:space="preserve"> ( ( Vazões!$C13+Vazões!F13+Vazões!I13 ) * ( 86.4 ) * ( 365 ) * ($B14 ) )</f>
        <v>47063.916382729614</v>
      </c>
      <c r="E14" s="17">
        <f t="shared" si="0"/>
        <v>126601.93506954265</v>
      </c>
    </row>
    <row r="15" spans="1:8" ht="15" customHeight="1">
      <c r="A15" s="2">
        <f t="shared" si="1"/>
        <v>11</v>
      </c>
      <c r="B15" s="64">
        <f t="shared" si="2"/>
        <v>4.0000000000000001E-3</v>
      </c>
      <c r="C15" s="62">
        <f t="shared" si="2"/>
        <v>2.69</v>
      </c>
      <c r="D15" s="63">
        <f xml:space="preserve"> ( ( Vazões!$C14+Vazões!F14+Vazões!I14 ) * ( 86.4 ) * ( 365 ) * ($B15 ) )</f>
        <v>47647.810453287282</v>
      </c>
      <c r="E15" s="17">
        <f t="shared" si="0"/>
        <v>128172.61011934279</v>
      </c>
    </row>
    <row r="16" spans="1:8" ht="15" customHeight="1">
      <c r="A16" s="2">
        <f t="shared" si="1"/>
        <v>12</v>
      </c>
      <c r="B16" s="64">
        <f t="shared" si="2"/>
        <v>4.0000000000000001E-3</v>
      </c>
      <c r="C16" s="62">
        <f t="shared" si="2"/>
        <v>2.69</v>
      </c>
      <c r="D16" s="63">
        <f xml:space="preserve"> ( ( Vazões!$C15+Vazões!F15+Vazões!I15 ) * ( 86.4 ) * ( 365 ) * ($B16 ) )</f>
        <v>48231.704523844935</v>
      </c>
      <c r="E16" s="17">
        <f t="shared" si="0"/>
        <v>129743.28516914288</v>
      </c>
    </row>
    <row r="17" spans="1:5" ht="15" customHeight="1">
      <c r="A17" s="2">
        <f t="shared" si="1"/>
        <v>13</v>
      </c>
      <c r="B17" s="64">
        <f t="shared" si="2"/>
        <v>4.0000000000000001E-3</v>
      </c>
      <c r="C17" s="62">
        <f t="shared" si="2"/>
        <v>2.69</v>
      </c>
      <c r="D17" s="63">
        <f xml:space="preserve"> ( ( Vazões!$C16+Vazões!F16+Vazões!I16 ) * ( 86.4 ) * ( 365 ) * ($B17 ) )</f>
        <v>48815.598594402582</v>
      </c>
      <c r="E17" s="17">
        <f t="shared" si="0"/>
        <v>131313.96021894293</v>
      </c>
    </row>
    <row r="18" spans="1:5" ht="15" customHeight="1">
      <c r="A18" s="2">
        <f t="shared" si="1"/>
        <v>14</v>
      </c>
      <c r="B18" s="64">
        <f t="shared" si="2"/>
        <v>4.0000000000000001E-3</v>
      </c>
      <c r="C18" s="62">
        <f t="shared" si="2"/>
        <v>2.69</v>
      </c>
      <c r="D18" s="63">
        <f xml:space="preserve"> ( ( Vazões!$C17+Vazões!F17+Vazões!I17 ) * ( 86.4 ) * ( 365 ) * ($B18 ) )</f>
        <v>49399.492664960242</v>
      </c>
      <c r="E18" s="17">
        <f t="shared" si="0"/>
        <v>132884.63526874306</v>
      </c>
    </row>
    <row r="19" spans="1:5" ht="15" customHeight="1">
      <c r="A19" s="2">
        <f t="shared" si="1"/>
        <v>15</v>
      </c>
      <c r="B19" s="64">
        <f t="shared" si="2"/>
        <v>4.0000000000000001E-3</v>
      </c>
      <c r="C19" s="62">
        <f t="shared" si="2"/>
        <v>2.69</v>
      </c>
      <c r="D19" s="63">
        <f xml:space="preserve"> ( ( Vazões!$C18+Vazões!F18+Vazões!I18 ) * ( 86.4 ) * ( 365 ) * ($B19 ) )</f>
        <v>49983.781792399175</v>
      </c>
      <c r="E19" s="17">
        <f t="shared" si="0"/>
        <v>134456.37302155377</v>
      </c>
    </row>
    <row r="20" spans="1:5" ht="15" customHeight="1">
      <c r="A20" s="2">
        <f t="shared" si="1"/>
        <v>16</v>
      </c>
      <c r="B20" s="64">
        <f t="shared" si="2"/>
        <v>4.0000000000000001E-3</v>
      </c>
      <c r="C20" s="62">
        <f t="shared" si="2"/>
        <v>2.69</v>
      </c>
      <c r="D20" s="63">
        <f xml:space="preserve"> ( ( Vazões!$C19+Vazões!F19+Vazões!I19 ) * ( 86.4 ) * ( 365 ) * ($B20 ) )</f>
        <v>50567.67586295685</v>
      </c>
      <c r="E20" s="17">
        <f t="shared" si="0"/>
        <v>136027.04807135393</v>
      </c>
    </row>
    <row r="21" spans="1:5" ht="15" customHeight="1">
      <c r="A21" s="2">
        <f t="shared" si="1"/>
        <v>17</v>
      </c>
      <c r="B21" s="64">
        <f t="shared" si="2"/>
        <v>4.0000000000000001E-3</v>
      </c>
      <c r="C21" s="62">
        <f t="shared" si="2"/>
        <v>2.69</v>
      </c>
      <c r="D21" s="63">
        <f xml:space="preserve"> ( ( Vazões!$C20+Vazões!F20+Vazões!I20 ) * ( 86.4 ) * ( 365 ) * ($B21 ) )</f>
        <v>51151.569933514489</v>
      </c>
      <c r="E21" s="17">
        <f t="shared" si="0"/>
        <v>137597.72312115398</v>
      </c>
    </row>
    <row r="22" spans="1:5" ht="15" customHeight="1">
      <c r="A22" s="2">
        <f t="shared" si="1"/>
        <v>18</v>
      </c>
      <c r="B22" s="64">
        <f t="shared" si="2"/>
        <v>4.0000000000000001E-3</v>
      </c>
      <c r="C22" s="62">
        <f t="shared" si="2"/>
        <v>2.69</v>
      </c>
      <c r="D22" s="63">
        <f xml:space="preserve"> ( ( Vazões!$C21+Vazões!F21+Vazões!I21 ) * ( 86.4 ) * ( 365 ) * ($B22 ) )</f>
        <v>51739.809629766431</v>
      </c>
      <c r="E22" s="17">
        <f t="shared" si="0"/>
        <v>139180.0879040717</v>
      </c>
    </row>
    <row r="23" spans="1:5" ht="15" customHeight="1">
      <c r="A23" s="2">
        <f t="shared" si="1"/>
        <v>19</v>
      </c>
      <c r="B23" s="64">
        <f t="shared" si="2"/>
        <v>4.0000000000000001E-3</v>
      </c>
      <c r="C23" s="62">
        <f t="shared" si="2"/>
        <v>2.69</v>
      </c>
      <c r="D23" s="63">
        <f xml:space="preserve"> ( ( Vazões!$C22+Vazões!F22+Vazões!I22 ) * ( 86.4 ) * ( 365 ) * ($B23 ) )</f>
        <v>52334.765293000411</v>
      </c>
      <c r="E23" s="17">
        <f t="shared" si="0"/>
        <v>140780.51863817111</v>
      </c>
    </row>
    <row r="24" spans="1:5" ht="15" customHeight="1">
      <c r="A24" s="2">
        <f t="shared" si="1"/>
        <v>20</v>
      </c>
      <c r="B24" s="64">
        <f t="shared" si="2"/>
        <v>4.0000000000000001E-3</v>
      </c>
      <c r="C24" s="62">
        <f t="shared" si="2"/>
        <v>2.69</v>
      </c>
      <c r="D24" s="63">
        <f xml:space="preserve"> ( ( Vazões!$C23+Vazões!F23+Vazões!I23 ) * ( 86.4 ) * ( 365 ) * ($B24 ) )</f>
        <v>52936.436923216454</v>
      </c>
      <c r="E24" s="17">
        <f t="shared" si="0"/>
        <v>142399.01532345224</v>
      </c>
    </row>
    <row r="25" spans="1:5" ht="15" customHeight="1">
      <c r="A25" s="2">
        <f t="shared" si="1"/>
        <v>21</v>
      </c>
      <c r="B25" s="64">
        <f t="shared" si="2"/>
        <v>4.0000000000000001E-3</v>
      </c>
      <c r="C25" s="62">
        <f t="shared" si="2"/>
        <v>2.69</v>
      </c>
      <c r="D25" s="63">
        <f xml:space="preserve"> ( ( Vazões!$C24+Vazões!F24+Vazões!I24 ) * ( 86.4 ) * ( 365 ) * ($B25 ) )</f>
        <v>53545.219577295858</v>
      </c>
      <c r="E25" s="17">
        <f t="shared" si="0"/>
        <v>144036.64066292587</v>
      </c>
    </row>
    <row r="26" spans="1:5" ht="15" customHeight="1">
      <c r="A26" s="2">
        <f t="shared" si="1"/>
        <v>22</v>
      </c>
      <c r="B26" s="64">
        <f t="shared" si="2"/>
        <v>4.0000000000000001E-3</v>
      </c>
      <c r="C26" s="62">
        <f t="shared" si="2"/>
        <v>2.69</v>
      </c>
      <c r="D26" s="63">
        <f xml:space="preserve"> ( ( Vazões!$C25+Vazões!F25+Vazões!I25 ) * ( 86.4 ) * ( 365 ) * ($B26 ) )</f>
        <v>54161.11325523859</v>
      </c>
      <c r="E26" s="17">
        <f t="shared" si="0"/>
        <v>145693.39465659182</v>
      </c>
    </row>
    <row r="27" spans="1:5" ht="15" customHeight="1">
      <c r="A27" s="2">
        <f t="shared" si="1"/>
        <v>23</v>
      </c>
      <c r="B27" s="64">
        <f t="shared" si="2"/>
        <v>4.0000000000000001E-3</v>
      </c>
      <c r="C27" s="62">
        <f t="shared" si="2"/>
        <v>2.69</v>
      </c>
      <c r="D27" s="63">
        <f xml:space="preserve"> ( ( Vazões!$C26+Vazões!F26+Vazões!I26 ) * ( 86.4 ) * ( 365 ) * ($B27 ) )</f>
        <v>54784.117957044677</v>
      </c>
      <c r="E27" s="17">
        <f t="shared" si="0"/>
        <v>147369.27730445017</v>
      </c>
    </row>
    <row r="28" spans="1:5" s="24" customFormat="1" ht="15" customHeight="1">
      <c r="A28" s="2">
        <f t="shared" si="1"/>
        <v>24</v>
      </c>
      <c r="B28" s="64">
        <f t="shared" si="2"/>
        <v>4.0000000000000001E-3</v>
      </c>
      <c r="C28" s="62">
        <f t="shared" si="2"/>
        <v>2.69</v>
      </c>
      <c r="D28" s="63">
        <f xml:space="preserve"> ( ( Vazões!$C27+Vazões!F27+Vazões!I27 ) * ( 86.4 ) * ( 365 ) * ($B28 ) )</f>
        <v>55414.628739595435</v>
      </c>
      <c r="E28" s="17">
        <f t="shared" si="0"/>
        <v>149065.35130951172</v>
      </c>
    </row>
    <row r="29" spans="1:5" s="24" customFormat="1" ht="15" customHeight="1">
      <c r="A29" s="2">
        <f t="shared" si="1"/>
        <v>25</v>
      </c>
      <c r="B29" s="64">
        <f t="shared" si="2"/>
        <v>4.0000000000000001E-3</v>
      </c>
      <c r="C29" s="62">
        <f t="shared" si="2"/>
        <v>2.69</v>
      </c>
      <c r="D29" s="63">
        <f xml:space="preserve"> ( ( Vazões!$C28+Vazões!F28+Vazões!I28 ) * ( 86.4 ) * ( 365 ) * ($B29 ) )</f>
        <v>56052.645602890836</v>
      </c>
      <c r="E29" s="17">
        <f t="shared" si="0"/>
        <v>150781.61667177634</v>
      </c>
    </row>
    <row r="30" spans="1:5" ht="15" customHeight="1">
      <c r="A30" s="2">
        <f t="shared" si="1"/>
        <v>26</v>
      </c>
      <c r="B30" s="64">
        <f t="shared" si="2"/>
        <v>4.0000000000000001E-3</v>
      </c>
      <c r="C30" s="62">
        <f t="shared" si="2"/>
        <v>2.69</v>
      </c>
      <c r="D30" s="63">
        <f xml:space="preserve"> ( ( Vazões!$C29+Vazões!F29+Vazões!I29 ) * ( 86.4 ) * ( 365 ) * ($B30 ) )</f>
        <v>56697.378433168327</v>
      </c>
      <c r="E30" s="17">
        <f t="shared" si="0"/>
        <v>152515.9479852228</v>
      </c>
    </row>
    <row r="31" spans="1:5" s="24" customFormat="1" ht="15" customHeight="1">
      <c r="A31" s="2">
        <f t="shared" si="1"/>
        <v>27</v>
      </c>
      <c r="B31" s="64">
        <f t="shared" si="2"/>
        <v>4.0000000000000001E-3</v>
      </c>
      <c r="C31" s="62">
        <f t="shared" si="2"/>
        <v>2.69</v>
      </c>
      <c r="D31" s="63">
        <f xml:space="preserve"> ( ( Vazões!$C30+Vazões!F30+Vazões!I30 ) * ( 86.4 ) * ( 365 ) * ($B31 ) )</f>
        <v>57349.617344190425</v>
      </c>
      <c r="E31" s="17">
        <f t="shared" si="0"/>
        <v>154270.47065587225</v>
      </c>
    </row>
    <row r="32" spans="1:5" s="24" customFormat="1" ht="15" customHeight="1">
      <c r="A32" s="2">
        <f t="shared" si="1"/>
        <v>28</v>
      </c>
      <c r="B32" s="64">
        <f t="shared" si="2"/>
        <v>4.0000000000000001E-3</v>
      </c>
      <c r="C32" s="62">
        <f t="shared" si="2"/>
        <v>2.69</v>
      </c>
      <c r="D32" s="63">
        <f xml:space="preserve"> ( ( Vazões!$C31+Vazões!F31+Vazões!I31 ) * ( 86.4 ) * ( 365 ) * ($B32 ) )</f>
        <v>58009.362335957208</v>
      </c>
      <c r="E32" s="17">
        <f t="shared" si="0"/>
        <v>156045.18468372489</v>
      </c>
    </row>
    <row r="33" spans="1:5" s="24" customFormat="1" ht="15" customHeight="1">
      <c r="A33" s="2">
        <f t="shared" si="1"/>
        <v>29</v>
      </c>
      <c r="B33" s="64">
        <f t="shared" si="2"/>
        <v>4.0000000000000001E-3</v>
      </c>
      <c r="C33" s="62">
        <f t="shared" si="2"/>
        <v>2.69</v>
      </c>
      <c r="D33" s="63">
        <f xml:space="preserve"> ( ( Vazões!$C32+Vazões!F32+Vazões!I32 ) * ( 86.4 ) * ( 365 ) * ($B33 ) )</f>
        <v>58676.613408468605</v>
      </c>
      <c r="E33" s="17">
        <f t="shared" si="0"/>
        <v>157840.09006878056</v>
      </c>
    </row>
    <row r="34" spans="1:5" s="24" customFormat="1" ht="15" customHeight="1">
      <c r="A34" s="2">
        <f t="shared" si="1"/>
        <v>30</v>
      </c>
      <c r="B34" s="64">
        <f t="shared" si="2"/>
        <v>4.0000000000000001E-3</v>
      </c>
      <c r="C34" s="62">
        <f t="shared" si="2"/>
        <v>2.69</v>
      </c>
      <c r="D34" s="63">
        <f xml:space="preserve"> ( ( Vazões!$C33+Vazões!F33+Vazões!I33 ) * ( 86.4 ) * ( 365 ) * ($B34 ) )</f>
        <v>59351.76561860599</v>
      </c>
      <c r="E34" s="17">
        <f t="shared" si="0"/>
        <v>159656.24951405011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1586284.7947854707</v>
      </c>
      <c r="E35" s="65">
        <f>SUM(E5:E34)</f>
        <v>4267106.0979729174</v>
      </c>
    </row>
    <row r="38" spans="1:5" ht="15" customHeight="1">
      <c r="C38" s="82"/>
    </row>
    <row r="39" spans="1:5" ht="15" customHeight="1"/>
    <row r="40" spans="1:5" ht="15" customHeight="1"/>
    <row r="41" spans="1:5" ht="15" customHeight="1"/>
    <row r="42" spans="1:5" ht="15" customHeight="1"/>
    <row r="43" spans="1:5" ht="15" customHeight="1"/>
  </sheetData>
  <mergeCells count="1">
    <mergeCell ref="A35:C35"/>
  </mergeCell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J35"/>
  <sheetViews>
    <sheetView showGridLines="0" showZeros="0" zoomScale="70" zoomScaleNormal="70" zoomScalePageLayoutView="90" workbookViewId="0">
      <selection activeCell="H15" sqref="H15"/>
    </sheetView>
  </sheetViews>
  <sheetFormatPr defaultColWidth="15.77734375" defaultRowHeight="15" customHeight="1"/>
  <cols>
    <col min="1" max="1" width="10.77734375" style="25" customWidth="1"/>
    <col min="2" max="2" width="18.77734375" style="25" customWidth="1"/>
    <col min="3" max="4" width="22.77734375" style="25" customWidth="1"/>
    <col min="5" max="6" width="18.77734375" style="25" customWidth="1"/>
    <col min="7" max="10" width="15.77734375" style="25"/>
    <col min="11" max="11" width="15.77734375" style="25" customWidth="1"/>
    <col min="12" max="16384" width="15.77734375" style="25"/>
  </cols>
  <sheetData>
    <row r="1" spans="1:10" s="23" customFormat="1" ht="40.049999999999997" customHeight="1">
      <c r="A1" s="59" t="s">
        <v>289</v>
      </c>
      <c r="B1" s="59"/>
      <c r="C1" s="59"/>
      <c r="D1" s="59"/>
      <c r="E1" s="59"/>
    </row>
    <row r="2" spans="1:10" ht="15" customHeight="1">
      <c r="A2" s="24" t="s">
        <v>287</v>
      </c>
    </row>
    <row r="3" spans="1:10" ht="15" customHeight="1">
      <c r="A3" s="24"/>
    </row>
    <row r="4" spans="1:10" ht="41.55" customHeight="1">
      <c r="A4" s="2" t="s">
        <v>1</v>
      </c>
      <c r="B4" s="6" t="s">
        <v>61</v>
      </c>
      <c r="C4" s="1" t="s">
        <v>292</v>
      </c>
      <c r="D4" s="6" t="s">
        <v>2</v>
      </c>
      <c r="E4" s="6" t="s">
        <v>62</v>
      </c>
      <c r="F4" s="6" t="s">
        <v>63</v>
      </c>
      <c r="H4" s="846" t="s">
        <v>479</v>
      </c>
      <c r="I4" s="847">
        <v>22</v>
      </c>
      <c r="J4" s="250"/>
    </row>
    <row r="5" spans="1:10" s="24" customFormat="1" ht="15" customHeight="1">
      <c r="A5" s="2">
        <v>1</v>
      </c>
      <c r="B5" s="66">
        <f>I5</f>
        <v>2.0000000000000001E-4</v>
      </c>
      <c r="C5" s="62">
        <f>$I$5*(Vazões!C4+Vazões!F4+Vazões!I4)*86.4*30*12</f>
        <v>2811.6747362220785</v>
      </c>
      <c r="D5" s="62">
        <f>I4</f>
        <v>22</v>
      </c>
      <c r="E5" s="63">
        <f xml:space="preserve"> ( ( 'Evolução Atendimento'!I4+'Evolução Atendimento'!J4+'Evolução Atendimento'!K4 ) * ( $B5 ) *  ( $C5 ) )</f>
        <v>58680.214079902027</v>
      </c>
      <c r="F5" s="17">
        <f xml:space="preserve"> ( $D5 ) * ( $E5 )</f>
        <v>1290964.7097578447</v>
      </c>
      <c r="H5" s="846"/>
      <c r="I5" s="848">
        <v>2.0000000000000001E-4</v>
      </c>
    </row>
    <row r="6" spans="1:10" ht="15" customHeight="1">
      <c r="A6" s="2">
        <f xml:space="preserve"> ( ( A5 ) + ( 1 ) )</f>
        <v>2</v>
      </c>
      <c r="B6" s="66">
        <f>B5</f>
        <v>2.0000000000000001E-4</v>
      </c>
      <c r="C6" s="62">
        <f>$I$5*(Vazões!C5+Vazões!F5+Vazões!I5)*86.4*30*12</f>
        <v>2766.9529703914941</v>
      </c>
      <c r="D6" s="62">
        <f>D5</f>
        <v>22</v>
      </c>
      <c r="E6" s="63">
        <f xml:space="preserve"> ( ( 'Evolução Atendimento'!I5+'Evolução Atendimento'!J5+'Evolução Atendimento'!K5 ) * ( $B6 ) *  ( $C6 ) )</f>
        <v>58564.773180712291</v>
      </c>
      <c r="F6" s="17">
        <f t="shared" ref="F6:F34" si="0" xml:space="preserve"> ( $D6 ) * ( $E6 )</f>
        <v>1288425.0099756704</v>
      </c>
    </row>
    <row r="7" spans="1:10" ht="15" customHeight="1">
      <c r="A7" s="2">
        <f t="shared" ref="A7:A34" si="1" xml:space="preserve"> ( ( A6 ) + ( 1 ) )</f>
        <v>3</v>
      </c>
      <c r="B7" s="66">
        <f t="shared" ref="B7:B34" si="2">B6</f>
        <v>2.0000000000000001E-4</v>
      </c>
      <c r="C7" s="62">
        <f>$I$5*(Vazões!C6+Vazões!F6+Vazões!I6)*86.4*30*12</f>
        <v>2733.7068929478037</v>
      </c>
      <c r="D7" s="62">
        <f t="shared" ref="D7:D34" si="3">D6</f>
        <v>22</v>
      </c>
      <c r="E7" s="63">
        <f xml:space="preserve"> ( ( 'Evolução Atendimento'!I6+'Evolução Atendimento'!J6+'Evolução Atendimento'!K6 ) * ( $B7 ) *  ( $C7 ) )</f>
        <v>58669.177112309997</v>
      </c>
      <c r="F7" s="17">
        <f t="shared" si="0"/>
        <v>1290721.8964708198</v>
      </c>
    </row>
    <row r="8" spans="1:10" ht="15" customHeight="1">
      <c r="A8" s="2">
        <f t="shared" si="1"/>
        <v>4</v>
      </c>
      <c r="B8" s="66">
        <f t="shared" si="2"/>
        <v>2.0000000000000001E-4</v>
      </c>
      <c r="C8" s="62">
        <f>$I$5*(Vazões!C7+Vazões!F7+Vazões!I7)*86.4*30*12</f>
        <v>2658.6288628951688</v>
      </c>
      <c r="D8" s="62">
        <f t="shared" si="3"/>
        <v>22</v>
      </c>
      <c r="E8" s="63">
        <f xml:space="preserve"> ( ( 'Evolução Atendimento'!I7+'Evolução Atendimento'!J7+'Evolução Atendimento'!K7 ) * ( $B8 ) *  ( $C8 ) )</f>
        <v>57843.788170010193</v>
      </c>
      <c r="F8" s="17">
        <f t="shared" si="0"/>
        <v>1272563.3397402242</v>
      </c>
      <c r="H8" s="24"/>
      <c r="I8" s="24"/>
    </row>
    <row r="9" spans="1:10" s="24" customFormat="1" ht="15" customHeight="1">
      <c r="A9" s="2">
        <f t="shared" si="1"/>
        <v>5</v>
      </c>
      <c r="B9" s="66">
        <f t="shared" si="2"/>
        <v>2.0000000000000001E-4</v>
      </c>
      <c r="C9" s="62">
        <f>$I$5*(Vazões!C8+Vazões!F8+Vazões!I8)*86.4*30*12</f>
        <v>2633.4276983487007</v>
      </c>
      <c r="D9" s="62">
        <f t="shared" si="3"/>
        <v>22</v>
      </c>
      <c r="E9" s="63">
        <f xml:space="preserve"> ( ( 'Evolução Atendimento'!I8+'Evolução Atendimento'!J8+'Evolução Atendimento'!K8 ) * ( $B9 ) *  ( $C9 ) )</f>
        <v>58073.927660604561</v>
      </c>
      <c r="F9" s="17">
        <f t="shared" si="0"/>
        <v>1277626.4085333003</v>
      </c>
      <c r="H9" s="25"/>
      <c r="I9" s="25"/>
    </row>
    <row r="10" spans="1:10" ht="15" customHeight="1">
      <c r="A10" s="2">
        <f t="shared" si="1"/>
        <v>6</v>
      </c>
      <c r="B10" s="66">
        <f t="shared" si="2"/>
        <v>2.0000000000000001E-4</v>
      </c>
      <c r="C10" s="62">
        <f>$I$5*(Vazões!C9+Vazões!F9+Vazões!I9)*86.4*30*12</f>
        <v>2545.1321026627465</v>
      </c>
      <c r="D10" s="62">
        <f t="shared" si="3"/>
        <v>22</v>
      </c>
      <c r="E10" s="63">
        <f xml:space="preserve"> ( ( 'Evolução Atendimento'!I9+'Evolução Atendimento'!J9+'Evolução Atendimento'!K9 ) * ( $B10 ) *  ( $C10 ) )</f>
        <v>56879.121256727594</v>
      </c>
      <c r="F10" s="17">
        <f t="shared" si="0"/>
        <v>1251340.6676480072</v>
      </c>
    </row>
    <row r="11" spans="1:10" ht="15" customHeight="1">
      <c r="A11" s="2">
        <f t="shared" si="1"/>
        <v>7</v>
      </c>
      <c r="B11" s="66">
        <f t="shared" si="2"/>
        <v>2.0000000000000001E-4</v>
      </c>
      <c r="C11" s="62">
        <f>$I$5*(Vazões!C10+Vazões!F10+Vazões!I10)*86.4*30*12</f>
        <v>2464.6058070478048</v>
      </c>
      <c r="D11" s="62">
        <f t="shared" si="3"/>
        <v>22</v>
      </c>
      <c r="E11" s="63">
        <f xml:space="preserve"> ( ( 'Evolução Atendimento'!I10+'Evolução Atendimento'!J10+'Evolução Atendimento'!K10 ) * ( $B11 ) *  ( $C11 ) )</f>
        <v>55808.533894790497</v>
      </c>
      <c r="F11" s="17">
        <f t="shared" si="0"/>
        <v>1227787.7456853909</v>
      </c>
    </row>
    <row r="12" spans="1:10" ht="15" customHeight="1">
      <c r="A12" s="2">
        <f t="shared" si="1"/>
        <v>8</v>
      </c>
      <c r="B12" s="66">
        <f t="shared" si="2"/>
        <v>2.0000000000000001E-4</v>
      </c>
      <c r="C12" s="62">
        <f>$I$5*(Vazões!C11+Vazões!F11+Vazões!I11)*86.4*30*12</f>
        <v>2357.6778206308732</v>
      </c>
      <c r="D12" s="62">
        <f t="shared" si="3"/>
        <v>22</v>
      </c>
      <c r="E12" s="63">
        <f xml:space="preserve"> ( ( 'Evolução Atendimento'!I11+'Evolução Atendimento'!J11+'Evolução Atendimento'!K11 ) * ( $B12 ) *  ( $C12 ) )</f>
        <v>54084.18613414398</v>
      </c>
      <c r="F12" s="17">
        <f t="shared" si="0"/>
        <v>1189852.0949511675</v>
      </c>
      <c r="H12" s="24"/>
      <c r="I12" s="24"/>
    </row>
    <row r="13" spans="1:10" s="24" customFormat="1" ht="15" customHeight="1">
      <c r="A13" s="2">
        <f t="shared" si="1"/>
        <v>9</v>
      </c>
      <c r="B13" s="66">
        <f t="shared" si="2"/>
        <v>2.0000000000000001E-4</v>
      </c>
      <c r="C13" s="62">
        <f>$I$5*(Vazões!C12+Vazões!F12+Vazões!I12)*86.4*30*12</f>
        <v>2323.1406931296624</v>
      </c>
      <c r="D13" s="62">
        <f t="shared" si="3"/>
        <v>22</v>
      </c>
      <c r="E13" s="63">
        <f xml:space="preserve"> ( ( 'Evolução Atendimento'!I12+'Evolução Atendimento'!J12+'Evolução Atendimento'!K12 ) * ( $B13 ) *  ( $C13 ) )</f>
        <v>53978.63863300634</v>
      </c>
      <c r="F13" s="17">
        <f t="shared" si="0"/>
        <v>1187530.0499261394</v>
      </c>
    </row>
    <row r="14" spans="1:10" s="24" customFormat="1" ht="15" customHeight="1">
      <c r="A14" s="2">
        <f t="shared" si="1"/>
        <v>10</v>
      </c>
      <c r="B14" s="66">
        <f t="shared" si="2"/>
        <v>2.0000000000000001E-4</v>
      </c>
      <c r="C14" s="62">
        <f>$I$5*(Vazões!C13+Vazões!F13+Vazões!I13)*86.4*30*12</f>
        <v>2320.9602599702275</v>
      </c>
      <c r="D14" s="62">
        <f t="shared" si="3"/>
        <v>22</v>
      </c>
      <c r="E14" s="63">
        <f xml:space="preserve"> ( ( 'Evolução Atendimento'!I13+'Evolução Atendimento'!J13+'Evolução Atendimento'!K13 ) * ( $B14 ) *  ( $C14 ) )</f>
        <v>54614.051685307437</v>
      </c>
      <c r="F14" s="17">
        <f t="shared" si="0"/>
        <v>1201509.1370767637</v>
      </c>
      <c r="H14" s="25"/>
      <c r="I14" s="25"/>
    </row>
    <row r="15" spans="1:10" ht="15" customHeight="1">
      <c r="A15" s="2">
        <f t="shared" si="1"/>
        <v>11</v>
      </c>
      <c r="B15" s="66">
        <f t="shared" si="2"/>
        <v>2.0000000000000001E-4</v>
      </c>
      <c r="C15" s="62">
        <f>$I$5*(Vazões!C14+Vazões!F14+Vazões!I14)*86.4*30*12</f>
        <v>2349.7550360525238</v>
      </c>
      <c r="D15" s="62">
        <f t="shared" si="3"/>
        <v>22</v>
      </c>
      <c r="E15" s="63">
        <f xml:space="preserve"> ( ( 'Evolução Atendimento'!I14+'Evolução Atendimento'!J14+'Evolução Atendimento'!K14 ) * ( $B15 ) *  ( $C15 ) )</f>
        <v>55986.203391001851</v>
      </c>
      <c r="F15" s="17">
        <f t="shared" si="0"/>
        <v>1231696.4746020408</v>
      </c>
    </row>
    <row r="16" spans="1:10" ht="15" customHeight="1">
      <c r="A16" s="2">
        <f t="shared" si="1"/>
        <v>12</v>
      </c>
      <c r="B16" s="66">
        <f t="shared" si="2"/>
        <v>2.0000000000000001E-4</v>
      </c>
      <c r="C16" s="62">
        <f>$I$5*(Vazões!C15+Vazões!F15+Vazões!I15)*86.4*30*12</f>
        <v>2378.5498121348187</v>
      </c>
      <c r="D16" s="62">
        <f t="shared" si="3"/>
        <v>22</v>
      </c>
      <c r="E16" s="63">
        <f xml:space="preserve"> ( ( 'Evolução Atendimento'!I15+'Evolução Atendimento'!J15+'Evolução Atendimento'!K15 ) * ( $B16 ) *  ( $C16 ) )</f>
        <v>57375.378568316097</v>
      </c>
      <c r="F16" s="17">
        <f t="shared" si="0"/>
        <v>1262258.3285029542</v>
      </c>
    </row>
    <row r="17" spans="1:9" ht="15" customHeight="1">
      <c r="A17" s="2">
        <f t="shared" si="1"/>
        <v>13</v>
      </c>
      <c r="B17" s="66">
        <f t="shared" si="2"/>
        <v>2.0000000000000001E-4</v>
      </c>
      <c r="C17" s="62">
        <f>$I$5*(Vazões!C16+Vazões!F16+Vazões!I16)*86.4*30*12</f>
        <v>2407.3445882171136</v>
      </c>
      <c r="D17" s="62">
        <f t="shared" si="3"/>
        <v>22</v>
      </c>
      <c r="E17" s="63">
        <f xml:space="preserve"> ( ( 'Evolução Atendimento'!I16+'Evolução Atendimento'!J16+'Evolução Atendimento'!K16 ) * ( $B17 ) *  ( $C17 ) )</f>
        <v>58781.577217250197</v>
      </c>
      <c r="F17" s="17">
        <f t="shared" si="0"/>
        <v>1293194.6987795043</v>
      </c>
    </row>
    <row r="18" spans="1:9" ht="15" customHeight="1">
      <c r="A18" s="2">
        <f t="shared" si="1"/>
        <v>14</v>
      </c>
      <c r="B18" s="66">
        <f t="shared" si="2"/>
        <v>2.0000000000000001E-4</v>
      </c>
      <c r="C18" s="62">
        <f>$I$5*(Vazões!C17+Vazões!F17+Vazões!I17)*86.4*30*12</f>
        <v>2436.1393642994099</v>
      </c>
      <c r="D18" s="62">
        <f t="shared" si="3"/>
        <v>22</v>
      </c>
      <c r="E18" s="63">
        <f xml:space="preserve"> ( ( 'Evolução Atendimento'!I17+'Evolução Atendimento'!J17+'Evolução Atendimento'!K17 ) * ( $B18 ) *  ( $C18 ) )</f>
        <v>60204.799337804179</v>
      </c>
      <c r="F18" s="17">
        <f t="shared" si="0"/>
        <v>1324505.585431692</v>
      </c>
    </row>
    <row r="19" spans="1:9" ht="15" customHeight="1">
      <c r="A19" s="2">
        <f t="shared" si="1"/>
        <v>15</v>
      </c>
      <c r="B19" s="66">
        <f t="shared" si="2"/>
        <v>2.0000000000000001E-4</v>
      </c>
      <c r="C19" s="62">
        <f>$I$5*(Vazões!C18+Vazões!F18+Vazões!I18)*86.4*30*12</f>
        <v>2464.9536226388641</v>
      </c>
      <c r="D19" s="62">
        <f t="shared" si="3"/>
        <v>22</v>
      </c>
      <c r="E19" s="63">
        <f xml:space="preserve"> ( ( 'Evolução Atendimento'!I18+'Evolução Atendimento'!J18+'Evolução Atendimento'!K18 ) * ( $B19 ) *  ( $C19 ) )</f>
        <v>61645.532157850823</v>
      </c>
      <c r="F19" s="17">
        <f t="shared" si="0"/>
        <v>1356201.7074727181</v>
      </c>
    </row>
    <row r="20" spans="1:9" ht="15" customHeight="1">
      <c r="A20" s="2">
        <f t="shared" si="1"/>
        <v>16</v>
      </c>
      <c r="B20" s="66">
        <f t="shared" si="2"/>
        <v>2.0000000000000001E-4</v>
      </c>
      <c r="C20" s="62">
        <f>$I$5*(Vazões!C19+Vazões!F19+Vazões!I19)*86.4*30*12</f>
        <v>2493.7483987211599</v>
      </c>
      <c r="D20" s="62">
        <f t="shared" si="3"/>
        <v>22</v>
      </c>
      <c r="E20" s="63">
        <f xml:space="preserve"> ( ( 'Evolução Atendimento'!I19+'Evolução Atendimento'!J19+'Evolução Atendimento'!K19 ) * ( $B20 ) *  ( $C20 ) )</f>
        <v>63103.305730279462</v>
      </c>
      <c r="F20" s="17">
        <f t="shared" si="0"/>
        <v>1388272.7260661481</v>
      </c>
    </row>
    <row r="21" spans="1:9" ht="15" customHeight="1">
      <c r="A21" s="2">
        <f t="shared" si="1"/>
        <v>17</v>
      </c>
      <c r="B21" s="66">
        <f t="shared" si="2"/>
        <v>2.0000000000000001E-4</v>
      </c>
      <c r="C21" s="62">
        <f>$I$5*(Vazões!C20+Vazões!F20+Vazões!I20)*86.4*30*12</f>
        <v>2522.5431748034543</v>
      </c>
      <c r="D21" s="62">
        <f t="shared" si="3"/>
        <v>22</v>
      </c>
      <c r="E21" s="63">
        <f xml:space="preserve"> ( ( 'Evolução Atendimento'!I20+'Evolução Atendimento'!J20+'Evolução Atendimento'!K20 ) * ( $B21 ) *  ( $C21 ) )</f>
        <v>64577.609783603395</v>
      </c>
      <c r="F21" s="17">
        <f t="shared" si="0"/>
        <v>1420707.4152392747</v>
      </c>
    </row>
    <row r="22" spans="1:9" ht="15" customHeight="1">
      <c r="A22" s="2">
        <f t="shared" si="1"/>
        <v>18</v>
      </c>
      <c r="B22" s="66">
        <f t="shared" si="2"/>
        <v>2.0000000000000001E-4</v>
      </c>
      <c r="C22" s="62">
        <f>$I$5*(Vazões!C21+Vazões!F21+Vazões!I21)*86.4*30*12</f>
        <v>2551.5522557145086</v>
      </c>
      <c r="D22" s="62">
        <f t="shared" si="3"/>
        <v>22</v>
      </c>
      <c r="E22" s="63">
        <f xml:space="preserve"> ( ( 'Evolução Atendimento'!I21+'Evolução Atendimento'!J21+'Evolução Atendimento'!K21 ) * ( $B22 ) *  ( $C22 ) )</f>
        <v>66074.486903531782</v>
      </c>
      <c r="F22" s="17">
        <f t="shared" si="0"/>
        <v>1453638.7118776992</v>
      </c>
    </row>
    <row r="23" spans="1:9" ht="15" customHeight="1">
      <c r="A23" s="2">
        <f t="shared" si="1"/>
        <v>19</v>
      </c>
      <c r="B23" s="66">
        <f t="shared" si="2"/>
        <v>2.0000000000000001E-4</v>
      </c>
      <c r="C23" s="62">
        <f>$I$5*(Vazões!C22+Vazões!F22+Vazões!I22)*86.4*30*12</f>
        <v>2580.8925349972806</v>
      </c>
      <c r="D23" s="62">
        <f t="shared" si="3"/>
        <v>22</v>
      </c>
      <c r="E23" s="63">
        <f xml:space="preserve"> ( ( 'Evolução Atendimento'!I22+'Evolução Atendimento'!J22+'Evolução Atendimento'!K22 ) * ( $B23 ) *  ( $C23 ) )</f>
        <v>67602.866704704764</v>
      </c>
      <c r="F23" s="17">
        <f t="shared" si="0"/>
        <v>1487263.0675035049</v>
      </c>
    </row>
    <row r="24" spans="1:9" ht="15" customHeight="1">
      <c r="A24" s="2">
        <f t="shared" si="1"/>
        <v>20</v>
      </c>
      <c r="B24" s="66">
        <f t="shared" si="2"/>
        <v>2.0000000000000001E-4</v>
      </c>
      <c r="C24" s="62">
        <f>$I$5*(Vazões!C23+Vazões!F23+Vazões!I23)*86.4*30*12</f>
        <v>2610.5640126517706</v>
      </c>
      <c r="D24" s="62">
        <f t="shared" si="3"/>
        <v>22</v>
      </c>
      <c r="E24" s="63">
        <f xml:space="preserve"> ( ( 'Evolução Atendimento'!I23+'Evolução Atendimento'!J23+'Evolução Atendimento'!K23 ) * ( $B24 ) *  ( $C24 ) )</f>
        <v>69166.371402406134</v>
      </c>
      <c r="F24" s="17">
        <f t="shared" si="0"/>
        <v>1521660.1708529349</v>
      </c>
    </row>
    <row r="25" spans="1:9" ht="15" customHeight="1">
      <c r="A25" s="2">
        <f t="shared" si="1"/>
        <v>21</v>
      </c>
      <c r="B25" s="66">
        <f t="shared" si="2"/>
        <v>2.0000000000000001E-4</v>
      </c>
      <c r="C25" s="62">
        <f>$I$5*(Vazões!C24+Vazões!F24+Vazões!I24)*86.4*30*12</f>
        <v>2640.5861709351375</v>
      </c>
      <c r="D25" s="62">
        <f t="shared" si="3"/>
        <v>22</v>
      </c>
      <c r="E25" s="63">
        <f xml:space="preserve"> ( ( 'Evolução Atendimento'!I24+'Evolução Atendimento'!J24+'Evolução Atendimento'!K24 ) * ( $B25 ) *  ( $C25 ) )</f>
        <v>70766.125029359129</v>
      </c>
      <c r="F25" s="17">
        <f t="shared" si="0"/>
        <v>1556854.7506459008</v>
      </c>
    </row>
    <row r="26" spans="1:9" ht="15" customHeight="1">
      <c r="A26" s="2">
        <f t="shared" si="1"/>
        <v>22</v>
      </c>
      <c r="B26" s="66">
        <f t="shared" si="2"/>
        <v>2.0000000000000001E-4</v>
      </c>
      <c r="C26" s="62">
        <f>$I$5*(Vazões!C25+Vazões!F25+Vazões!I25)*86.4*30*12</f>
        <v>2670.9590098473823</v>
      </c>
      <c r="D26" s="62">
        <f t="shared" si="3"/>
        <v>22</v>
      </c>
      <c r="E26" s="63">
        <f xml:space="preserve"> ( ( 'Evolução Atendimento'!I25+'Evolução Atendimento'!J25+'Evolução Atendimento'!K25 ) * ( $B26 ) *  ( $C26 ) )</f>
        <v>72403.288455338901</v>
      </c>
      <c r="F26" s="17">
        <f t="shared" si="0"/>
        <v>1592872.3460174559</v>
      </c>
    </row>
    <row r="27" spans="1:9" ht="15" customHeight="1">
      <c r="A27" s="2">
        <f t="shared" si="1"/>
        <v>23</v>
      </c>
      <c r="B27" s="66">
        <f t="shared" si="2"/>
        <v>2.0000000000000001E-4</v>
      </c>
      <c r="C27" s="62">
        <f>$I$5*(Vazões!C26+Vazões!F26+Vazões!I26)*86.4*30*12</f>
        <v>2701.6825293885049</v>
      </c>
      <c r="D27" s="62">
        <f t="shared" si="3"/>
        <v>22</v>
      </c>
      <c r="E27" s="63">
        <f xml:space="preserve"> ( ( 'Evolução Atendimento'!I26+'Evolução Atendimento'!J26+'Evolução Atendimento'!K26 ) * ( $B27 ) *  ( $C27 ) )</f>
        <v>74078.513946315172</v>
      </c>
      <c r="F27" s="17">
        <f t="shared" si="0"/>
        <v>1629727.3068189337</v>
      </c>
      <c r="H27" s="24"/>
      <c r="I27" s="24"/>
    </row>
    <row r="28" spans="1:9" s="24" customFormat="1" ht="15" customHeight="1">
      <c r="A28" s="2">
        <f t="shared" si="1"/>
        <v>24</v>
      </c>
      <c r="B28" s="66">
        <f t="shared" si="2"/>
        <v>2.0000000000000001E-4</v>
      </c>
      <c r="C28" s="62">
        <f>$I$5*(Vazões!C27+Vazões!F27+Vazões!I27)*86.4*30*12</f>
        <v>2732.7762118156652</v>
      </c>
      <c r="D28" s="62">
        <f t="shared" si="3"/>
        <v>22</v>
      </c>
      <c r="E28" s="63">
        <f xml:space="preserve"> ( ( 'Evolução Atendimento'!I27+'Evolução Atendimento'!J27+'Evolução Atendimento'!K27 ) * ( $B28 ) *  ( $C28 ) )</f>
        <v>75793.001679465116</v>
      </c>
      <c r="F28" s="17">
        <f t="shared" si="0"/>
        <v>1667446.0369482324</v>
      </c>
    </row>
    <row r="29" spans="1:9" s="24" customFormat="1" ht="15" customHeight="1">
      <c r="A29" s="2">
        <f t="shared" si="1"/>
        <v>25</v>
      </c>
      <c r="B29" s="66">
        <f t="shared" si="2"/>
        <v>2.0000000000000001E-4</v>
      </c>
      <c r="C29" s="62">
        <f>$I$5*(Vazões!C28+Vazões!F28+Vazões!I28)*86.4*30*12</f>
        <v>2764.2400571288636</v>
      </c>
      <c r="D29" s="62">
        <f t="shared" si="3"/>
        <v>22</v>
      </c>
      <c r="E29" s="63">
        <f xml:space="preserve"> ( ( 'Evolução Atendimento'!I28+'Evolução Atendimento'!J28+'Evolução Atendimento'!K28 ) * ( $B29 ) *  ( $C29 ) )</f>
        <v>77547.990562693143</v>
      </c>
      <c r="F29" s="17">
        <f t="shared" si="0"/>
        <v>1706055.7923792491</v>
      </c>
      <c r="H29" s="25"/>
      <c r="I29" s="25"/>
    </row>
    <row r="30" spans="1:9" ht="15" customHeight="1">
      <c r="A30" s="2">
        <f t="shared" si="1"/>
        <v>26</v>
      </c>
      <c r="B30" s="66">
        <f t="shared" si="2"/>
        <v>2.0000000000000001E-4</v>
      </c>
      <c r="C30" s="62">
        <f>$I$5*(Vazões!C29+Vazões!F29+Vazões!I29)*86.4*30*12</f>
        <v>2796.0351008137804</v>
      </c>
      <c r="D30" s="62">
        <f t="shared" si="3"/>
        <v>22</v>
      </c>
      <c r="E30" s="63">
        <f xml:space="preserve"> ( ( 'Evolução Atendimento'!I29+'Evolução Atendimento'!J29+'Evolução Atendimento'!K29 ) * ( $B30 ) *  ( $C30 ) )</f>
        <v>79343.088055792658</v>
      </c>
      <c r="F30" s="17">
        <f t="shared" si="0"/>
        <v>1745547.9372274384</v>
      </c>
      <c r="H30" s="24"/>
      <c r="I30" s="24"/>
    </row>
    <row r="31" spans="1:9" s="24" customFormat="1" ht="15" customHeight="1">
      <c r="A31" s="2">
        <f t="shared" si="1"/>
        <v>27</v>
      </c>
      <c r="B31" s="66">
        <f t="shared" si="2"/>
        <v>2.0000000000000001E-4</v>
      </c>
      <c r="C31" s="62">
        <f>$I$5*(Vazões!C30+Vazões!F30+Vazões!I30)*86.4*30*12</f>
        <v>2828.2003073847336</v>
      </c>
      <c r="D31" s="62">
        <f t="shared" si="3"/>
        <v>22</v>
      </c>
      <c r="E31" s="63">
        <f xml:space="preserve"> ( ( 'Evolução Atendimento'!I30+'Evolução Atendimento'!J30+'Evolução Atendimento'!K30 ) * ( $B31 ) *  ( $C31 ) )</f>
        <v>81178.964702986967</v>
      </c>
      <c r="F31" s="17">
        <f t="shared" si="0"/>
        <v>1785937.2234657132</v>
      </c>
    </row>
    <row r="32" spans="1:9" s="24" customFormat="1" ht="15" customHeight="1">
      <c r="A32" s="2">
        <f t="shared" si="1"/>
        <v>28</v>
      </c>
      <c r="B32" s="66">
        <f t="shared" si="2"/>
        <v>2.0000000000000001E-4</v>
      </c>
      <c r="C32" s="62">
        <f>$I$5*(Vazões!C31+Vazões!F31+Vazões!I31)*86.4*30*12</f>
        <v>2860.7356768417253</v>
      </c>
      <c r="D32" s="62">
        <f t="shared" si="3"/>
        <v>22</v>
      </c>
      <c r="E32" s="63">
        <f xml:space="preserve"> ( ( 'Evolução Atendimento'!I31+'Evolução Atendimento'!J31+'Evolução Atendimento'!K31 ) * ( $B32 ) *  ( $C32 ) )</f>
        <v>83057.455347151918</v>
      </c>
      <c r="F32" s="17">
        <f t="shared" si="0"/>
        <v>1827264.0176373422</v>
      </c>
    </row>
    <row r="33" spans="1:9" s="24" customFormat="1" ht="15" customHeight="1">
      <c r="A33" s="2">
        <f t="shared" si="1"/>
        <v>29</v>
      </c>
      <c r="B33" s="66">
        <f t="shared" si="2"/>
        <v>2.0000000000000001E-4</v>
      </c>
      <c r="C33" s="62">
        <f>$I$5*(Vazões!C32+Vazões!F32+Vazões!I32)*86.4*30*12</f>
        <v>2893.6412091847533</v>
      </c>
      <c r="D33" s="62">
        <f t="shared" si="3"/>
        <v>22</v>
      </c>
      <c r="E33" s="63">
        <f xml:space="preserve"> ( ( 'Evolução Atendimento'!I32+'Evolução Atendimento'!J32+'Evolução Atendimento'!K32 ) * ( $B33 ) *  ( $C33 ) )</f>
        <v>84979.297574854165</v>
      </c>
      <c r="F33" s="17">
        <f t="shared" si="0"/>
        <v>1869544.5466467915</v>
      </c>
    </row>
    <row r="34" spans="1:9" s="24" customFormat="1" ht="15" customHeight="1">
      <c r="A34" s="2">
        <f t="shared" si="1"/>
        <v>30</v>
      </c>
      <c r="B34" s="66">
        <f t="shared" si="2"/>
        <v>2.0000000000000001E-4</v>
      </c>
      <c r="C34" s="62">
        <f>$I$5*(Vazões!C33+Vazões!F33+Vazões!I33)*86.4*30*12</f>
        <v>2926.93638667098</v>
      </c>
      <c r="D34" s="62">
        <f t="shared" si="3"/>
        <v>22</v>
      </c>
      <c r="E34" s="63">
        <f xml:space="preserve"> ( ( 'Evolução Atendimento'!I33+'Evolução Atendimento'!J33+'Evolução Atendimento'!K33 ) * ( $B34 ) *  ( $C34 ) )</f>
        <v>86945.816140616138</v>
      </c>
      <c r="F34" s="17">
        <f t="shared" si="0"/>
        <v>1912807.9550935552</v>
      </c>
    </row>
    <row r="35" spans="1:9" s="24" customFormat="1" ht="15" customHeight="1">
      <c r="A35" s="1000" t="s">
        <v>0</v>
      </c>
      <c r="B35" s="1001"/>
      <c r="C35" s="1001"/>
      <c r="D35" s="69"/>
      <c r="E35" s="11">
        <f>SUM(E5:E34)</f>
        <v>1977808.0844988371</v>
      </c>
      <c r="F35" s="65">
        <f>SUM(F5:F34)</f>
        <v>43511777.858974412</v>
      </c>
      <c r="H35" s="25"/>
      <c r="I35" s="25"/>
    </row>
  </sheetData>
  <mergeCells count="1">
    <mergeCell ref="A35:C35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  <ignoredErrors>
    <ignoredError sqref="C6:C34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K39"/>
  <sheetViews>
    <sheetView showGridLines="0" showZeros="0" zoomScale="70" zoomScaleNormal="70" zoomScalePageLayoutView="90" workbookViewId="0">
      <selection activeCell="J21" sqref="J21"/>
    </sheetView>
  </sheetViews>
  <sheetFormatPr defaultColWidth="15.77734375" defaultRowHeight="15" customHeight="1"/>
  <cols>
    <col min="1" max="1" width="10.77734375" style="25" customWidth="1"/>
    <col min="2" max="5" width="18.77734375" style="25" customWidth="1"/>
    <col min="6" max="16384" width="15.77734375" style="25"/>
  </cols>
  <sheetData>
    <row r="1" spans="1:11" s="22" customFormat="1" ht="41.25" customHeight="1">
      <c r="A1" s="59" t="s">
        <v>283</v>
      </c>
      <c r="B1" s="60"/>
      <c r="C1" s="60"/>
      <c r="D1" s="60"/>
      <c r="E1" s="60"/>
    </row>
    <row r="2" spans="1:11" ht="15" customHeight="1">
      <c r="A2" s="24" t="s">
        <v>529</v>
      </c>
      <c r="E2" s="61"/>
    </row>
    <row r="3" spans="1:11" ht="15" customHeight="1" thickBot="1">
      <c r="A3" s="24"/>
      <c r="E3" s="61"/>
    </row>
    <row r="4" spans="1:11" ht="41.55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831">
        <v>23.8</v>
      </c>
    </row>
    <row r="5" spans="1:11" s="24" customFormat="1" ht="15" customHeight="1">
      <c r="A5" s="2">
        <v>1</v>
      </c>
      <c r="B5" s="64">
        <f>ROUND(H7,3)</f>
        <v>1E-3</v>
      </c>
      <c r="C5" s="62">
        <f>H4</f>
        <v>23.8</v>
      </c>
      <c r="D5" s="63">
        <f xml:space="preserve"> ( ( (Vazões!$C4+Vazões!F4+Vazões!I4)*0.89*$H$9 ) * ( 86.4 ) * ( 365 ) * ($B5 ) )</f>
        <v>5328.0064720268292</v>
      </c>
      <c r="E5" s="17">
        <f xml:space="preserve"> ( ( C5 ) * ( D5 ) )</f>
        <v>126806.55403423854</v>
      </c>
    </row>
    <row r="6" spans="1:11" ht="15" customHeight="1">
      <c r="A6" s="2">
        <f xml:space="preserve"> ( ( A5 ) + ( 1 ) )</f>
        <v>2</v>
      </c>
      <c r="B6" s="64">
        <f>B5</f>
        <v>1E-3</v>
      </c>
      <c r="C6" s="62">
        <f>C5</f>
        <v>23.8</v>
      </c>
      <c r="D6" s="63">
        <f xml:space="preserve"> ( ( (Vazões!$C5+Vazões!F5+Vazões!I5)*0.89*$H$9 ) * ( 86.4 ) * ( 365 ) * ($B6 ) )</f>
        <v>5243.2605891847807</v>
      </c>
      <c r="E6" s="17">
        <f t="shared" ref="E6:E34" si="0" xml:space="preserve"> ( ( C6 ) * ( D6 ) )</f>
        <v>124789.60202259778</v>
      </c>
    </row>
    <row r="7" spans="1:11" ht="15" customHeight="1">
      <c r="A7" s="2">
        <f t="shared" ref="A7:A34" si="1" xml:space="preserve"> ( ( A6 ) + ( 1 ) )</f>
        <v>3</v>
      </c>
      <c r="B7" s="64">
        <f t="shared" ref="B7:C22" si="2">B6</f>
        <v>1E-3</v>
      </c>
      <c r="C7" s="62">
        <f t="shared" si="2"/>
        <v>23.8</v>
      </c>
      <c r="D7" s="63">
        <f xml:space="preserve"> ( ( (Vazões!$C6+Vazões!F6+Vazões!I6)*0.89*$H$9 ) * ( 86.4 ) * ( 365 ) * ($B7 ) )</f>
        <v>5180.2606576822154</v>
      </c>
      <c r="E7" s="17">
        <f t="shared" si="0"/>
        <v>123290.20365283673</v>
      </c>
      <c r="H7" s="1008">
        <v>1E-3</v>
      </c>
      <c r="I7" s="1009"/>
      <c r="J7" s="1009"/>
      <c r="K7" s="1010"/>
    </row>
    <row r="8" spans="1:11" ht="15" customHeight="1">
      <c r="A8" s="2">
        <f t="shared" si="1"/>
        <v>4</v>
      </c>
      <c r="B8" s="64">
        <f t="shared" si="2"/>
        <v>1E-3</v>
      </c>
      <c r="C8" s="62">
        <f t="shared" si="2"/>
        <v>23.8</v>
      </c>
      <c r="D8" s="63">
        <f xml:space="preserve"> ( ( (Vazões!$C7+Vazões!F7+Vazões!I7)*0.89*$H$9 ) * ( 86.4 ) * ( 365 ) * ($B8 ) )</f>
        <v>5037.9909189837244</v>
      </c>
      <c r="E8" s="17">
        <f t="shared" si="0"/>
        <v>119904.18387181264</v>
      </c>
      <c r="H8" s="1005" t="s">
        <v>530</v>
      </c>
      <c r="I8" s="1006"/>
      <c r="J8" s="1006"/>
      <c r="K8" s="1007"/>
    </row>
    <row r="9" spans="1:11" s="24" customFormat="1" ht="15" customHeight="1">
      <c r="A9" s="2">
        <f t="shared" si="1"/>
        <v>5</v>
      </c>
      <c r="B9" s="64">
        <f t="shared" si="2"/>
        <v>1E-3</v>
      </c>
      <c r="C9" s="62">
        <f t="shared" si="2"/>
        <v>23.8</v>
      </c>
      <c r="D9" s="63">
        <f xml:space="preserve"> ( ( (Vazões!$C8+Vazões!F8+Vazões!I8)*0.89*$H$9 ) * ( 86.4 ) * ( 365 ) * ($B9 ) )</f>
        <v>4990.2357622166901</v>
      </c>
      <c r="E9" s="17">
        <f t="shared" si="0"/>
        <v>118767.61114075723</v>
      </c>
      <c r="H9" s="1002">
        <v>0.42</v>
      </c>
      <c r="I9" s="1003"/>
      <c r="J9" s="1003"/>
      <c r="K9" s="1004"/>
    </row>
    <row r="10" spans="1:11" ht="15" customHeight="1">
      <c r="A10" s="2">
        <f t="shared" si="1"/>
        <v>6</v>
      </c>
      <c r="B10" s="64">
        <f t="shared" si="2"/>
        <v>1E-3</v>
      </c>
      <c r="C10" s="62">
        <f t="shared" si="2"/>
        <v>23.8</v>
      </c>
      <c r="D10" s="63">
        <f xml:space="preserve"> ( ( (Vazões!$C9+Vazões!F9+Vazões!I9)*0.89*$H$9 ) * ( 86.4 ) * ( 365 ) * ($B10 ) )</f>
        <v>4822.9192873749607</v>
      </c>
      <c r="E10" s="17">
        <f t="shared" si="0"/>
        <v>114785.47903952407</v>
      </c>
    </row>
    <row r="11" spans="1:11" ht="15" customHeight="1">
      <c r="A11" s="2">
        <f t="shared" si="1"/>
        <v>7</v>
      </c>
      <c r="B11" s="64">
        <f t="shared" si="2"/>
        <v>1E-3</v>
      </c>
      <c r="C11" s="62">
        <f t="shared" si="2"/>
        <v>23.8</v>
      </c>
      <c r="D11" s="63">
        <f xml:space="preserve"> ( ( (Vazões!$C10+Vazões!F10+Vazões!I10)*0.89*$H$9 ) * ( 86.4 ) * ( 365 ) * ($B11 ) )</f>
        <v>4670.3253124469629</v>
      </c>
      <c r="E11" s="17">
        <f t="shared" si="0"/>
        <v>111153.74243623772</v>
      </c>
    </row>
    <row r="12" spans="1:11" ht="15" customHeight="1">
      <c r="A12" s="2">
        <f t="shared" si="1"/>
        <v>8</v>
      </c>
      <c r="B12" s="64">
        <f t="shared" si="2"/>
        <v>1E-3</v>
      </c>
      <c r="C12" s="62">
        <f t="shared" si="2"/>
        <v>23.8</v>
      </c>
      <c r="D12" s="63">
        <f xml:space="preserve"> ( ( (Vazões!$C11+Vazões!F11+Vazões!I11)*0.89*$H$9 ) * ( 86.4 ) * ( 365 ) * ($B12 ) )</f>
        <v>4467.7012335196459</v>
      </c>
      <c r="E12" s="17">
        <f t="shared" si="0"/>
        <v>106331.28935776757</v>
      </c>
      <c r="H12" s="24"/>
      <c r="I12" s="24"/>
      <c r="J12" s="24"/>
      <c r="K12" s="24"/>
    </row>
    <row r="13" spans="1:11" s="24" customFormat="1" ht="15" customHeight="1">
      <c r="A13" s="2">
        <f t="shared" si="1"/>
        <v>9</v>
      </c>
      <c r="B13" s="64">
        <f t="shared" si="2"/>
        <v>1E-3</v>
      </c>
      <c r="C13" s="62">
        <f t="shared" si="2"/>
        <v>23.8</v>
      </c>
      <c r="D13" s="63">
        <f xml:space="preserve"> ( ( (Vazões!$C12+Vazões!F12+Vazões!I12)*0.89*$H$9 ) * ( 86.4 ) * ( 365 ) * ($B13 ) )</f>
        <v>4402.2548159518301</v>
      </c>
      <c r="E13" s="17">
        <f t="shared" si="0"/>
        <v>104773.66461965356</v>
      </c>
    </row>
    <row r="14" spans="1:11" s="24" customFormat="1" ht="15" customHeight="1">
      <c r="A14" s="2">
        <f t="shared" si="1"/>
        <v>10</v>
      </c>
      <c r="B14" s="64">
        <f t="shared" si="2"/>
        <v>1E-3</v>
      </c>
      <c r="C14" s="62">
        <f t="shared" si="2"/>
        <v>23.8</v>
      </c>
      <c r="D14" s="63">
        <f xml:space="preserve"> ( ( (Vazões!$C13+Vazões!F13+Vazões!I13)*0.89*$H$9 ) * ( 86.4 ) * ( 365 ) * ($B14 ) )</f>
        <v>4398.1229859660816</v>
      </c>
      <c r="E14" s="17">
        <f t="shared" si="0"/>
        <v>104675.32706599275</v>
      </c>
      <c r="H14" s="25"/>
      <c r="I14" s="25"/>
      <c r="J14" s="25"/>
      <c r="K14" s="25"/>
    </row>
    <row r="15" spans="1:11" ht="15" customHeight="1">
      <c r="A15" s="2">
        <f t="shared" si="1"/>
        <v>11</v>
      </c>
      <c r="B15" s="64">
        <f t="shared" si="2"/>
        <v>1E-3</v>
      </c>
      <c r="C15" s="62">
        <f t="shared" si="2"/>
        <v>23.8</v>
      </c>
      <c r="D15" s="63">
        <f xml:space="preserve"> ( ( (Vazões!$C14+Vazões!F14+Vazões!I14)*0.89*$H$9 ) * ( 86.4 ) * ( 365 ) * ($B15 ) )</f>
        <v>4452.6878868596968</v>
      </c>
      <c r="E15" s="17">
        <f t="shared" si="0"/>
        <v>105973.97170726079</v>
      </c>
    </row>
    <row r="16" spans="1:11" ht="15" customHeight="1">
      <c r="A16" s="2">
        <f t="shared" si="1"/>
        <v>12</v>
      </c>
      <c r="B16" s="64">
        <f t="shared" si="2"/>
        <v>1E-3</v>
      </c>
      <c r="C16" s="62">
        <f t="shared" si="2"/>
        <v>23.8</v>
      </c>
      <c r="D16" s="63">
        <f xml:space="preserve"> ( ( (Vazões!$C15+Vazões!F15+Vazões!I15)*0.89*$H$9 ) * ( 86.4 ) * ( 365 ) * ($B16 ) )</f>
        <v>4507.2527877533093</v>
      </c>
      <c r="E16" s="17">
        <f t="shared" si="0"/>
        <v>107272.61634852877</v>
      </c>
    </row>
    <row r="17" spans="1:11" ht="15" customHeight="1">
      <c r="A17" s="2">
        <f t="shared" si="1"/>
        <v>13</v>
      </c>
      <c r="B17" s="64">
        <f t="shared" si="2"/>
        <v>1E-3</v>
      </c>
      <c r="C17" s="62">
        <f t="shared" si="2"/>
        <v>23.8</v>
      </c>
      <c r="D17" s="63">
        <f xml:space="preserve"> ( ( (Vazões!$C16+Vazões!F16+Vazões!I16)*0.89*$H$9 ) * ( 86.4 ) * ( 365 ) * ($B17 ) )</f>
        <v>4561.8176886469209</v>
      </c>
      <c r="E17" s="17">
        <f t="shared" si="0"/>
        <v>108571.26098979672</v>
      </c>
    </row>
    <row r="18" spans="1:11" ht="15" customHeight="1">
      <c r="A18" s="2">
        <f t="shared" si="1"/>
        <v>14</v>
      </c>
      <c r="B18" s="64">
        <f t="shared" si="2"/>
        <v>1E-3</v>
      </c>
      <c r="C18" s="62">
        <f t="shared" si="2"/>
        <v>23.8</v>
      </c>
      <c r="D18" s="63">
        <f xml:space="preserve"> ( ( (Vazões!$C17+Vazões!F17+Vazões!I17)*0.89*$H$9 ) * ( 86.4 ) * ( 365 ) * ($B18 ) )</f>
        <v>4616.3825895405344</v>
      </c>
      <c r="E18" s="17">
        <f t="shared" si="0"/>
        <v>109869.90563106471</v>
      </c>
    </row>
    <row r="19" spans="1:11" ht="15" customHeight="1">
      <c r="A19" s="2">
        <f t="shared" si="1"/>
        <v>15</v>
      </c>
      <c r="B19" s="64">
        <f t="shared" si="2"/>
        <v>1E-3</v>
      </c>
      <c r="C19" s="62">
        <f t="shared" si="2"/>
        <v>23.8</v>
      </c>
      <c r="D19" s="63">
        <f xml:space="preserve"> ( ( (Vazões!$C18+Vazões!F18+Vazões!I18)*0.89*$H$9 ) * ( 86.4 ) * ( 365 ) * ($B19 ) )</f>
        <v>4670.984408499703</v>
      </c>
      <c r="E19" s="17">
        <f t="shared" si="0"/>
        <v>111169.42892229294</v>
      </c>
    </row>
    <row r="20" spans="1:11" ht="15" customHeight="1">
      <c r="A20" s="2">
        <f t="shared" si="1"/>
        <v>16</v>
      </c>
      <c r="B20" s="64">
        <f t="shared" si="2"/>
        <v>1E-3</v>
      </c>
      <c r="C20" s="62">
        <f t="shared" si="2"/>
        <v>23.8</v>
      </c>
      <c r="D20" s="63">
        <f xml:space="preserve"> ( ( (Vazões!$C19+Vazões!F19+Vazões!I19)*0.89*$H$9 ) * ( 86.4 ) * ( 365 ) * ($B20 ) )</f>
        <v>4725.5493093933173</v>
      </c>
      <c r="E20" s="17">
        <f t="shared" si="0"/>
        <v>112468.07356356096</v>
      </c>
    </row>
    <row r="21" spans="1:11" ht="15" customHeight="1">
      <c r="A21" s="2">
        <f t="shared" si="1"/>
        <v>17</v>
      </c>
      <c r="B21" s="64">
        <f t="shared" si="2"/>
        <v>1E-3</v>
      </c>
      <c r="C21" s="62">
        <f t="shared" si="2"/>
        <v>23.8</v>
      </c>
      <c r="D21" s="63">
        <f xml:space="preserve"> ( ( (Vazões!$C20+Vazões!F20+Vazões!I20)*0.89*$H$9 ) * ( 86.4 ) * ( 365 ) * ($B21 ) )</f>
        <v>4780.114210286928</v>
      </c>
      <c r="E21" s="17">
        <f t="shared" si="0"/>
        <v>113766.7182048289</v>
      </c>
    </row>
    <row r="22" spans="1:11" ht="15" customHeight="1">
      <c r="A22" s="2">
        <f t="shared" si="1"/>
        <v>18</v>
      </c>
      <c r="B22" s="64">
        <f t="shared" si="2"/>
        <v>1E-3</v>
      </c>
      <c r="C22" s="62">
        <f t="shared" si="2"/>
        <v>23.8</v>
      </c>
      <c r="D22" s="63">
        <f xml:space="preserve"> ( ( (Vazões!$C21+Vazões!F21+Vazões!I21)*0.89*$H$9 ) * ( 86.4 ) * ( 365 ) * ($B22 ) )</f>
        <v>4835.0852099016729</v>
      </c>
      <c r="E22" s="17">
        <f t="shared" si="0"/>
        <v>115075.02799565982</v>
      </c>
    </row>
    <row r="23" spans="1:11" ht="15" customHeight="1">
      <c r="A23" s="2">
        <f t="shared" si="1"/>
        <v>19</v>
      </c>
      <c r="B23" s="64">
        <f t="shared" ref="B23:C34" si="3">B22</f>
        <v>1E-3</v>
      </c>
      <c r="C23" s="62">
        <f t="shared" si="3"/>
        <v>23.8</v>
      </c>
      <c r="D23" s="63">
        <f xml:space="preserve"> ( ( (Vazões!$C22+Vazões!F22+Vazões!I22)*0.89*$H$9 ) * ( 86.4 ) * ( 365 ) * ($B23 ) )</f>
        <v>4890.683816630888</v>
      </c>
      <c r="E23" s="17">
        <f t="shared" si="0"/>
        <v>116398.27483581514</v>
      </c>
    </row>
    <row r="24" spans="1:11" ht="15" customHeight="1">
      <c r="A24" s="2">
        <f t="shared" si="1"/>
        <v>20</v>
      </c>
      <c r="B24" s="64">
        <f t="shared" si="3"/>
        <v>1E-3</v>
      </c>
      <c r="C24" s="62">
        <f t="shared" si="3"/>
        <v>23.8</v>
      </c>
      <c r="D24" s="63">
        <f xml:space="preserve"> ( ( (Vazões!$C23+Vazões!F23+Vazões!I23)*0.89*$H$9 ) * ( 86.4 ) * ( 365 ) * ($B24 ) )</f>
        <v>4946.910030474578</v>
      </c>
      <c r="E24" s="17">
        <f t="shared" si="0"/>
        <v>117736.45872529496</v>
      </c>
    </row>
    <row r="25" spans="1:11" ht="15" customHeight="1">
      <c r="A25" s="2">
        <f t="shared" si="1"/>
        <v>21</v>
      </c>
      <c r="B25" s="64">
        <f t="shared" si="3"/>
        <v>1E-3</v>
      </c>
      <c r="C25" s="62">
        <f t="shared" si="3"/>
        <v>23.8</v>
      </c>
      <c r="D25" s="63">
        <f xml:space="preserve"> ( ( (Vazões!$C24+Vazões!F24+Vazões!I24)*0.89*$H$9 ) * ( 86.4 ) * ( 365 ) * ($B25 ) )</f>
        <v>5003.8007694982971</v>
      </c>
      <c r="E25" s="17">
        <f t="shared" si="0"/>
        <v>119090.45831405948</v>
      </c>
    </row>
    <row r="26" spans="1:11" ht="15" customHeight="1">
      <c r="A26" s="2">
        <f t="shared" si="1"/>
        <v>22</v>
      </c>
      <c r="B26" s="64">
        <f t="shared" si="3"/>
        <v>1E-3</v>
      </c>
      <c r="C26" s="62">
        <f t="shared" si="3"/>
        <v>23.8</v>
      </c>
      <c r="D26" s="63">
        <f xml:space="preserve"> ( ( (Vazões!$C25+Vazões!F25+Vazões!I25)*0.89*$H$9 ) * ( 86.4 ) * ( 365 ) * ($B26 ) )</f>
        <v>5061.3560337020454</v>
      </c>
      <c r="E26" s="17">
        <f t="shared" si="0"/>
        <v>120460.27360210869</v>
      </c>
    </row>
    <row r="27" spans="1:11" ht="15" customHeight="1">
      <c r="A27" s="2">
        <f t="shared" si="1"/>
        <v>23</v>
      </c>
      <c r="B27" s="64">
        <f t="shared" si="3"/>
        <v>1E-3</v>
      </c>
      <c r="C27" s="62">
        <f t="shared" si="3"/>
        <v>23.8</v>
      </c>
      <c r="D27" s="63">
        <f xml:space="preserve"> ( ( (Vazões!$C26+Vazões!F26+Vazões!I26)*0.89*$H$9 ) * ( 86.4 ) * ( 365 ) * ($B27 ) )</f>
        <v>5119.5758230858255</v>
      </c>
      <c r="E27" s="17">
        <f t="shared" si="0"/>
        <v>121845.90458944265</v>
      </c>
      <c r="H27" s="24"/>
      <c r="I27" s="24"/>
      <c r="J27" s="24"/>
      <c r="K27" s="24"/>
    </row>
    <row r="28" spans="1:11" s="24" customFormat="1" ht="15" customHeight="1">
      <c r="A28" s="2">
        <f t="shared" si="1"/>
        <v>24</v>
      </c>
      <c r="B28" s="64">
        <f t="shared" si="3"/>
        <v>1E-3</v>
      </c>
      <c r="C28" s="62">
        <f t="shared" si="3"/>
        <v>23.8</v>
      </c>
      <c r="D28" s="63">
        <f xml:space="preserve"> ( ( (Vazões!$C27+Vazões!F27+Vazões!I27)*0.89*$H$9 ) * ( 86.4 ) * ( 365 ) * ($B28 ) )</f>
        <v>5178.4970557151937</v>
      </c>
      <c r="E28" s="17">
        <f t="shared" si="0"/>
        <v>123248.22992602161</v>
      </c>
    </row>
    <row r="29" spans="1:11" s="24" customFormat="1" ht="15" customHeight="1">
      <c r="A29" s="2">
        <f t="shared" si="1"/>
        <v>25</v>
      </c>
      <c r="B29" s="64">
        <f t="shared" si="3"/>
        <v>1E-3</v>
      </c>
      <c r="C29" s="62">
        <f t="shared" si="3"/>
        <v>23.8</v>
      </c>
      <c r="D29" s="63">
        <f xml:space="preserve"> ( ( (Vazões!$C28+Vazões!F28+Vazões!I28)*0.89*$H$9 ) * ( 86.4 ) * ( 365 ) * ($B29 ) )</f>
        <v>5238.1197315901491</v>
      </c>
      <c r="E29" s="17">
        <f t="shared" si="0"/>
        <v>124667.24961184555</v>
      </c>
      <c r="H29" s="25"/>
      <c r="I29" s="25"/>
      <c r="J29" s="25"/>
      <c r="K29" s="25"/>
    </row>
    <row r="30" spans="1:11" ht="15" customHeight="1">
      <c r="A30" s="2">
        <f t="shared" si="1"/>
        <v>26</v>
      </c>
      <c r="B30" s="64">
        <f t="shared" si="3"/>
        <v>1E-3</v>
      </c>
      <c r="C30" s="62">
        <f t="shared" si="3"/>
        <v>23.8</v>
      </c>
      <c r="D30" s="63">
        <f xml:space="preserve"> ( ( (Vazões!$C29+Vazões!F29+Vazões!I29)*0.89*$H$9 ) * ( 86.4 ) * ( 365 ) * ($B30 ) )</f>
        <v>5298.370014579581</v>
      </c>
      <c r="E30" s="17">
        <f t="shared" si="0"/>
        <v>126101.20634699403</v>
      </c>
      <c r="H30" s="24"/>
      <c r="I30" s="24"/>
      <c r="J30" s="24"/>
      <c r="K30" s="24"/>
    </row>
    <row r="31" spans="1:11" s="24" customFormat="1" ht="15" customHeight="1">
      <c r="A31" s="2">
        <f t="shared" si="1"/>
        <v>27</v>
      </c>
      <c r="B31" s="64">
        <f t="shared" si="3"/>
        <v>1E-3</v>
      </c>
      <c r="C31" s="62">
        <f t="shared" si="3"/>
        <v>23.8</v>
      </c>
      <c r="D31" s="63">
        <f xml:space="preserve"> ( ( (Vazões!$C30+Vazões!F30+Vazões!I30)*0.89*$H$9 ) * ( 86.4 ) * ( 365 ) * ($B31 ) )</f>
        <v>5359.3217408145947</v>
      </c>
      <c r="E31" s="17">
        <f t="shared" si="0"/>
        <v>127551.85743138735</v>
      </c>
    </row>
    <row r="32" spans="1:11" s="24" customFormat="1" ht="15" customHeight="1">
      <c r="A32" s="2">
        <f t="shared" si="1"/>
        <v>28</v>
      </c>
      <c r="B32" s="64">
        <f t="shared" si="3"/>
        <v>1E-3</v>
      </c>
      <c r="C32" s="62">
        <f t="shared" si="3"/>
        <v>23.8</v>
      </c>
      <c r="D32" s="63">
        <f xml:space="preserve"> ( ( (Vazões!$C31+Vazões!F31+Vazões!I31)*0.89*$H$9 ) * ( 86.4 ) * ( 365 ) * ($B32 ) )</f>
        <v>5420.9749102952001</v>
      </c>
      <c r="E32" s="17">
        <f t="shared" si="0"/>
        <v>129019.20286502577</v>
      </c>
    </row>
    <row r="33" spans="1:11" s="24" customFormat="1" ht="15" customHeight="1">
      <c r="A33" s="2">
        <f t="shared" si="1"/>
        <v>29</v>
      </c>
      <c r="B33" s="64">
        <f t="shared" si="3"/>
        <v>1E-3</v>
      </c>
      <c r="C33" s="62">
        <f t="shared" si="3"/>
        <v>23.8</v>
      </c>
      <c r="D33" s="63">
        <f xml:space="preserve"> ( ( (Vazões!$C32+Vazões!F32+Vazões!I32)*0.89*$H$9 ) * ( 86.4 ) * ( 365 ) * ($B33 ) )</f>
        <v>5483.3295230213907</v>
      </c>
      <c r="E33" s="17">
        <f t="shared" si="0"/>
        <v>130503.24264790911</v>
      </c>
    </row>
    <row r="34" spans="1:11" s="24" customFormat="1" ht="15" customHeight="1">
      <c r="A34" s="2">
        <f t="shared" si="1"/>
        <v>30</v>
      </c>
      <c r="B34" s="64">
        <f t="shared" si="3"/>
        <v>1E-3</v>
      </c>
      <c r="C34" s="62">
        <f t="shared" si="3"/>
        <v>23.8</v>
      </c>
      <c r="D34" s="63">
        <f xml:space="preserve"> ( ( (Vazões!$C33+Vazões!F33+Vazões!I33)*0.89*$H$9 ) * ( 86.4 ) * ( 365 ) * ($B34 ) )</f>
        <v>5546.4224970587293</v>
      </c>
      <c r="E34" s="17">
        <f t="shared" si="0"/>
        <v>132004.85542999775</v>
      </c>
    </row>
    <row r="35" spans="1:11" s="24" customFormat="1" ht="15" customHeight="1">
      <c r="A35" s="1000" t="s">
        <v>0</v>
      </c>
      <c r="B35" s="1001"/>
      <c r="C35" s="1001"/>
      <c r="D35" s="11">
        <f>SUM(D5:D34)</f>
        <v>148238.31407270228</v>
      </c>
      <c r="E35" s="65">
        <f xml:space="preserve"> SUM( E5:E34)</f>
        <v>3528071.8749303143</v>
      </c>
      <c r="H35" s="25"/>
      <c r="I35" s="25"/>
      <c r="J35" s="25"/>
      <c r="K35" s="25"/>
    </row>
    <row r="38" spans="1:11" ht="15" customHeight="1">
      <c r="C38" s="82"/>
    </row>
    <row r="39" spans="1:11" ht="15" customHeight="1">
      <c r="C39" s="68"/>
      <c r="D39" s="68"/>
    </row>
  </sheetData>
  <mergeCells count="4">
    <mergeCell ref="A35:C35"/>
    <mergeCell ref="H9:K9"/>
    <mergeCell ref="H8:K8"/>
    <mergeCell ref="H7:K7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H44"/>
  <sheetViews>
    <sheetView showGridLines="0" zoomScale="70" zoomScaleNormal="70" workbookViewId="0">
      <selection activeCell="K15" sqref="K15"/>
    </sheetView>
  </sheetViews>
  <sheetFormatPr defaultColWidth="15.77734375" defaultRowHeight="13.2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1.25" customHeight="1">
      <c r="A1" s="59" t="s">
        <v>284</v>
      </c>
      <c r="B1" s="60"/>
      <c r="C1" s="60"/>
      <c r="D1" s="60"/>
      <c r="E1" s="60"/>
    </row>
    <row r="2" spans="1:8" ht="15" customHeight="1">
      <c r="A2" s="24" t="s">
        <v>163</v>
      </c>
      <c r="E2" s="61"/>
    </row>
    <row r="3" spans="1:8" ht="15" customHeight="1" thickBot="1">
      <c r="A3" s="24"/>
      <c r="E3" s="61"/>
    </row>
    <row r="4" spans="1:8" ht="40.200000000000003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249">
        <v>2.1</v>
      </c>
    </row>
    <row r="5" spans="1:8" s="24" customFormat="1" ht="15" customHeight="1">
      <c r="A5" s="2">
        <v>1</v>
      </c>
      <c r="B5" s="62">
        <v>0.02</v>
      </c>
      <c r="C5" s="62">
        <f>H4</f>
        <v>2.1</v>
      </c>
      <c r="D5" s="63">
        <f xml:space="preserve"> ( ( Vazões!K4+Vazões!N4+Vazões!Q4 ) * ( 86.4 ) * ( 365 ) * ($B5 ) )</f>
        <v>0</v>
      </c>
      <c r="E5" s="17">
        <f xml:space="preserve"> ( ( C5 ) * ( D5 ) )</f>
        <v>0</v>
      </c>
    </row>
    <row r="6" spans="1:8" ht="15" customHeight="1">
      <c r="A6" s="2">
        <f xml:space="preserve"> ( ( A5 ) + ( 1 ) )</f>
        <v>2</v>
      </c>
      <c r="B6" s="62">
        <v>0.02</v>
      </c>
      <c r="C6" s="62">
        <f>C5</f>
        <v>2.1</v>
      </c>
      <c r="D6" s="63">
        <f xml:space="preserve"> ( ( Vazões!K5+Vazões!N5+Vazões!Q5 ) * ( 86.4 ) * ( 365 ) * ($B6 ) )</f>
        <v>0</v>
      </c>
      <c r="E6" s="17">
        <f t="shared" ref="E6:E34" si="0" xml:space="preserve"> ( ( C6 ) * ( D6 ) )</f>
        <v>0</v>
      </c>
    </row>
    <row r="7" spans="1:8" ht="15" customHeight="1">
      <c r="A7" s="2">
        <f t="shared" ref="A7:A34" si="1" xml:space="preserve"> ( ( A6 ) + ( 1 ) )</f>
        <v>3</v>
      </c>
      <c r="B7" s="62">
        <v>0.02</v>
      </c>
      <c r="C7" s="62">
        <f t="shared" ref="C7:C34" si="2">C6</f>
        <v>2.1</v>
      </c>
      <c r="D7" s="63">
        <f xml:space="preserve"> ( ( Vazões!K6+Vazões!N6+Vazões!Q6 ) * ( 86.4 ) * ( 365 ) * ($B7 ) )</f>
        <v>0</v>
      </c>
      <c r="E7" s="17">
        <f t="shared" si="0"/>
        <v>0</v>
      </c>
    </row>
    <row r="8" spans="1:8" ht="15" customHeight="1">
      <c r="A8" s="2">
        <f t="shared" si="1"/>
        <v>4</v>
      </c>
      <c r="B8" s="62">
        <v>0.02</v>
      </c>
      <c r="C8" s="62">
        <f t="shared" si="2"/>
        <v>2.1</v>
      </c>
      <c r="D8" s="63">
        <f xml:space="preserve"> ( ( Vazões!K7+Vazões!N7+Vazões!Q7 ) * ( 86.4 ) * ( 365 ) * ($B8 ) )</f>
        <v>30930.884884411666</v>
      </c>
      <c r="E8" s="17">
        <f t="shared" si="0"/>
        <v>64954.858257264503</v>
      </c>
    </row>
    <row r="9" spans="1:8" s="24" customFormat="1" ht="15" customHeight="1">
      <c r="A9" s="2">
        <f t="shared" si="1"/>
        <v>5</v>
      </c>
      <c r="B9" s="62">
        <v>0.02</v>
      </c>
      <c r="C9" s="62">
        <f t="shared" si="2"/>
        <v>2.1</v>
      </c>
      <c r="D9" s="63">
        <f xml:space="preserve"> ( ( Vazões!K8+Vazões!N8+Vazões!Q8 ) * ( 86.4 ) * ( 365 ) * ($B9 ) )</f>
        <v>58027.213142332905</v>
      </c>
      <c r="E9" s="17">
        <f t="shared" si="0"/>
        <v>121857.1475988991</v>
      </c>
    </row>
    <row r="10" spans="1:8" ht="15" customHeight="1">
      <c r="A10" s="2">
        <f t="shared" si="1"/>
        <v>6</v>
      </c>
      <c r="B10" s="62">
        <v>0.02</v>
      </c>
      <c r="C10" s="62">
        <f t="shared" si="2"/>
        <v>2.1</v>
      </c>
      <c r="D10" s="63">
        <f xml:space="preserve"> ( ( Vazões!K9+Vazões!N9+Vazões!Q9 ) * ( 86.4 ) * ( 365 ) * ($B10 ) )</f>
        <v>85493.414484433568</v>
      </c>
      <c r="E10" s="17">
        <f t="shared" si="0"/>
        <v>179536.1704173105</v>
      </c>
    </row>
    <row r="11" spans="1:8" ht="15" customHeight="1">
      <c r="A11" s="2">
        <f t="shared" si="1"/>
        <v>7</v>
      </c>
      <c r="B11" s="62">
        <v>0.02</v>
      </c>
      <c r="C11" s="62">
        <f t="shared" si="2"/>
        <v>2.1</v>
      </c>
      <c r="D11" s="63">
        <f xml:space="preserve"> ( ( Vazões!K10+Vazões!N10+Vazões!Q10 ) * ( 86.4 ) * ( 365 ) * ($B11 ) )</f>
        <v>102358.64831199305</v>
      </c>
      <c r="E11" s="17">
        <f t="shared" si="0"/>
        <v>214953.16145518541</v>
      </c>
    </row>
    <row r="12" spans="1:8" ht="15" customHeight="1">
      <c r="A12" s="2">
        <f t="shared" si="1"/>
        <v>8</v>
      </c>
      <c r="B12" s="62">
        <v>0.02</v>
      </c>
      <c r="C12" s="62">
        <f t="shared" si="2"/>
        <v>2.1</v>
      </c>
      <c r="D12" s="63">
        <f xml:space="preserve"> ( ( Vazões!K11+Vazões!N11+Vazões!Q11 ) * ( 86.4 ) * ( 365 ) * ($B12 ) )</f>
        <v>119511.95170562508</v>
      </c>
      <c r="E12" s="17">
        <f t="shared" si="0"/>
        <v>250975.09858181266</v>
      </c>
    </row>
    <row r="13" spans="1:8" s="24" customFormat="1" ht="15" customHeight="1">
      <c r="A13" s="2">
        <f t="shared" si="1"/>
        <v>9</v>
      </c>
      <c r="B13" s="62">
        <v>0.02</v>
      </c>
      <c r="C13" s="62">
        <f t="shared" si="2"/>
        <v>2.1</v>
      </c>
      <c r="D13" s="63">
        <f xml:space="preserve"> ( ( Vazões!K12+Vazões!N12+Vazões!Q12 ) * ( 86.4 ) * ( 365 ) * ($B13 ) )</f>
        <v>136953.29629465126</v>
      </c>
      <c r="E13" s="17">
        <f t="shared" si="0"/>
        <v>287601.92221876764</v>
      </c>
    </row>
    <row r="14" spans="1:8" s="24" customFormat="1" ht="15" customHeight="1">
      <c r="A14" s="2">
        <f t="shared" si="1"/>
        <v>10</v>
      </c>
      <c r="B14" s="62">
        <v>0.02</v>
      </c>
      <c r="C14" s="62">
        <f t="shared" si="2"/>
        <v>2.1</v>
      </c>
      <c r="D14" s="63">
        <f xml:space="preserve"> ( ( Vazões!K13+Vazões!N13+Vazões!Q13 ) * ( 86.4 ) * ( 365 ) * ($B14 ) )</f>
        <v>138570.9694541631</v>
      </c>
      <c r="E14" s="17">
        <f t="shared" si="0"/>
        <v>290999.03585374251</v>
      </c>
    </row>
    <row r="15" spans="1:8" ht="15" customHeight="1">
      <c r="A15" s="2">
        <f t="shared" si="1"/>
        <v>11</v>
      </c>
      <c r="B15" s="62">
        <v>0.02</v>
      </c>
      <c r="C15" s="62">
        <f t="shared" si="2"/>
        <v>2.1</v>
      </c>
      <c r="D15" s="63">
        <f xml:space="preserve"> ( ( Vazões!K14+Vazões!N14+Vazões!Q14 ) * ( 86.4 ) * ( 365 ) * ($B15 ) )</f>
        <v>140189.04962760361</v>
      </c>
      <c r="E15" s="17">
        <f t="shared" si="0"/>
        <v>294397.00421796762</v>
      </c>
    </row>
    <row r="16" spans="1:8" ht="15" customHeight="1">
      <c r="A16" s="2">
        <f t="shared" si="1"/>
        <v>12</v>
      </c>
      <c r="B16" s="62">
        <v>0.02</v>
      </c>
      <c r="C16" s="62">
        <f t="shared" si="2"/>
        <v>2.1</v>
      </c>
      <c r="D16" s="63">
        <f xml:space="preserve"> ( ( Vazões!K15+Vazões!N15+Vazões!Q15 ) * ( 86.4 ) * ( 365 ) * ($B16 ) )</f>
        <v>141807.00365709214</v>
      </c>
      <c r="E16" s="17">
        <f t="shared" si="0"/>
        <v>297794.70767989347</v>
      </c>
    </row>
    <row r="17" spans="1:5" ht="15" customHeight="1">
      <c r="A17" s="2">
        <f t="shared" si="1"/>
        <v>13</v>
      </c>
      <c r="B17" s="62">
        <v>0.02</v>
      </c>
      <c r="C17" s="62">
        <f t="shared" si="2"/>
        <v>2.1</v>
      </c>
      <c r="D17" s="63">
        <f xml:space="preserve"> ( ( Vazões!K16+Vazões!N16+Vazões!Q16 ) * ( 86.4 ) * ( 365 ) * ($B17 ) )</f>
        <v>143424.80296074794</v>
      </c>
      <c r="E17" s="17">
        <f t="shared" si="0"/>
        <v>301192.0862175707</v>
      </c>
    </row>
    <row r="18" spans="1:5" ht="15" customHeight="1">
      <c r="A18" s="2">
        <f t="shared" si="1"/>
        <v>14</v>
      </c>
      <c r="B18" s="62">
        <v>0.02</v>
      </c>
      <c r="C18" s="62">
        <f t="shared" si="2"/>
        <v>2.1</v>
      </c>
      <c r="D18" s="63">
        <f xml:space="preserve"> ( ( Vazões!K17+Vazões!N17+Vazões!Q17 ) * ( 86.4 ) * ( 365 ) * ($B18 ) )</f>
        <v>145042.7569903273</v>
      </c>
      <c r="E18" s="17">
        <f t="shared" si="0"/>
        <v>304589.78967968735</v>
      </c>
    </row>
    <row r="19" spans="1:5" ht="15" customHeight="1">
      <c r="A19" s="2">
        <f t="shared" si="1"/>
        <v>15</v>
      </c>
      <c r="B19" s="62">
        <v>0.02</v>
      </c>
      <c r="C19" s="62">
        <f t="shared" si="2"/>
        <v>2.1</v>
      </c>
      <c r="D19" s="63">
        <f xml:space="preserve"> ( ( Vazões!K18+Vazões!N18+Vazões!Q18 ) * ( 86.4 ) * ( 365 ) * ($B19 ) )</f>
        <v>146661.74178991868</v>
      </c>
      <c r="E19" s="17">
        <f t="shared" si="0"/>
        <v>307989.65775882924</v>
      </c>
    </row>
    <row r="20" spans="1:5" ht="15" customHeight="1">
      <c r="A20" s="2">
        <f t="shared" si="1"/>
        <v>16</v>
      </c>
      <c r="B20" s="62">
        <v>0.02</v>
      </c>
      <c r="C20" s="62">
        <f t="shared" si="2"/>
        <v>2.1</v>
      </c>
      <c r="D20" s="63">
        <f xml:space="preserve"> ( ( Vazões!K19+Vazões!N19+Vazões!Q19 ) * ( 86.4 ) * ( 365 ) * ($B20 ) )</f>
        <v>148279.56967562751</v>
      </c>
      <c r="E20" s="17">
        <f t="shared" si="0"/>
        <v>311387.09631881781</v>
      </c>
    </row>
    <row r="21" spans="1:5" ht="15" customHeight="1">
      <c r="A21" s="2">
        <f t="shared" si="1"/>
        <v>17</v>
      </c>
      <c r="B21" s="62">
        <v>0.02</v>
      </c>
      <c r="C21" s="62">
        <f t="shared" si="2"/>
        <v>2.1</v>
      </c>
      <c r="D21" s="63">
        <f xml:space="preserve"> ( ( Vazões!K20+Vazões!N20+Vazões!Q20 ) * ( 86.4 ) * ( 365 ) * ($B21 ) )</f>
        <v>149897.64984937542</v>
      </c>
      <c r="E21" s="17">
        <f t="shared" si="0"/>
        <v>314785.0646836884</v>
      </c>
    </row>
    <row r="22" spans="1:5" ht="15" customHeight="1">
      <c r="A22" s="2">
        <f t="shared" si="1"/>
        <v>18</v>
      </c>
      <c r="B22" s="62">
        <v>0.02</v>
      </c>
      <c r="C22" s="62">
        <f t="shared" si="2"/>
        <v>2.1</v>
      </c>
      <c r="D22" s="63">
        <f xml:space="preserve"> ( ( Vazões!K21+Vazões!N21+Vazões!Q21 ) * ( 86.4 ) * ( 365 ) * ($B22 ) )</f>
        <v>151527.28202877942</v>
      </c>
      <c r="E22" s="17">
        <f t="shared" si="0"/>
        <v>318207.29226043681</v>
      </c>
    </row>
    <row r="23" spans="1:5" ht="15" customHeight="1">
      <c r="A23" s="2">
        <f t="shared" si="1"/>
        <v>19</v>
      </c>
      <c r="B23" s="62">
        <v>0.02</v>
      </c>
      <c r="C23" s="62">
        <f t="shared" si="2"/>
        <v>2.1</v>
      </c>
      <c r="D23" s="63">
        <f xml:space="preserve"> ( ( Vazões!K22+Vazões!N22+Vazões!Q22 ) * ( 86.4 ) * ( 365 ) * ($B23 ) )</f>
        <v>153175.42446351258</v>
      </c>
      <c r="E23" s="17">
        <f t="shared" si="0"/>
        <v>321668.39137337642</v>
      </c>
    </row>
    <row r="24" spans="1:5" ht="15" customHeight="1">
      <c r="A24" s="2">
        <f t="shared" si="1"/>
        <v>20</v>
      </c>
      <c r="B24" s="62">
        <v>0.02</v>
      </c>
      <c r="C24" s="62">
        <f t="shared" si="2"/>
        <v>2.1</v>
      </c>
      <c r="D24" s="63">
        <f xml:space="preserve"> ( ( Vazões!K23+Vazões!N23+Vazões!Q23 ) * ( 86.4 ) * ( 365 ) * ($B24 ) )</f>
        <v>154842.76503689433</v>
      </c>
      <c r="E24" s="17">
        <f t="shared" si="0"/>
        <v>325169.80657747813</v>
      </c>
    </row>
    <row r="25" spans="1:5" ht="15" customHeight="1">
      <c r="A25" s="2">
        <f t="shared" si="1"/>
        <v>21</v>
      </c>
      <c r="B25" s="62">
        <v>0.02</v>
      </c>
      <c r="C25" s="62">
        <f t="shared" si="2"/>
        <v>2.1</v>
      </c>
      <c r="D25" s="63">
        <f xml:space="preserve"> ( ( Vazões!K24+Vazões!N24+Vazões!Q24 ) * ( 86.4 ) * ( 365 ) * ($B25 ) )</f>
        <v>156529.67521689457</v>
      </c>
      <c r="E25" s="17">
        <f t="shared" si="0"/>
        <v>328712.31795547862</v>
      </c>
    </row>
    <row r="26" spans="1:5" ht="15" customHeight="1">
      <c r="A26" s="2">
        <f t="shared" si="1"/>
        <v>22</v>
      </c>
      <c r="B26" s="62">
        <v>0.02</v>
      </c>
      <c r="C26" s="62">
        <f t="shared" si="2"/>
        <v>2.1</v>
      </c>
      <c r="D26" s="63">
        <f xml:space="preserve"> ( ( Vazões!K25+Vazões!N25+Vazões!Q25 ) * ( 86.4 ) * ( 365 ) * ($B26 ) )</f>
        <v>158236.5334363789</v>
      </c>
      <c r="E26" s="17">
        <f t="shared" si="0"/>
        <v>332296.72021639568</v>
      </c>
    </row>
    <row r="27" spans="1:5" ht="15" customHeight="1">
      <c r="A27" s="2">
        <f t="shared" si="1"/>
        <v>23</v>
      </c>
      <c r="B27" s="62">
        <v>0.02</v>
      </c>
      <c r="C27" s="62">
        <f t="shared" si="2"/>
        <v>2.1</v>
      </c>
      <c r="D27" s="63">
        <f xml:space="preserve"> ( ( Vazões!K26+Vazões!N26+Vazões!Q26 ) * ( 86.4 ) * ( 365 ) * ($B27 ) )</f>
        <v>159962.83512111267</v>
      </c>
      <c r="E27" s="17">
        <f t="shared" si="0"/>
        <v>335921.95375433663</v>
      </c>
    </row>
    <row r="28" spans="1:5" s="24" customFormat="1" ht="15" customHeight="1">
      <c r="A28" s="2">
        <f t="shared" si="1"/>
        <v>24</v>
      </c>
      <c r="B28" s="62">
        <v>0.02</v>
      </c>
      <c r="C28" s="62">
        <f t="shared" si="2"/>
        <v>2.1</v>
      </c>
      <c r="D28" s="63">
        <f xml:space="preserve"> ( ( Vazões!K27+Vazões!N27+Vazões!Q27 ) * ( 86.4 ) * ( 365 ) * ($B28 ) )</f>
        <v>161710.70594232398</v>
      </c>
      <c r="E28" s="17">
        <f t="shared" si="0"/>
        <v>339592.48247888038</v>
      </c>
    </row>
    <row r="29" spans="1:5" s="24" customFormat="1" ht="15" customHeight="1">
      <c r="A29" s="2">
        <f t="shared" si="1"/>
        <v>25</v>
      </c>
      <c r="B29" s="62">
        <v>0.02</v>
      </c>
      <c r="C29" s="62">
        <f t="shared" si="2"/>
        <v>2.1</v>
      </c>
      <c r="D29" s="63">
        <f xml:space="preserve"> ( ( Vazões!K28+Vazões!N28+Vazões!Q28 ) * ( 86.4 ) * ( 365 ) * ($B29 ) )</f>
        <v>163479.30329560497</v>
      </c>
      <c r="E29" s="17">
        <f t="shared" si="0"/>
        <v>343306.53692077048</v>
      </c>
    </row>
    <row r="30" spans="1:5" ht="15" customHeight="1">
      <c r="A30" s="2">
        <f t="shared" si="1"/>
        <v>26</v>
      </c>
      <c r="B30" s="62">
        <v>0.02</v>
      </c>
      <c r="C30" s="62">
        <f t="shared" si="2"/>
        <v>2.1</v>
      </c>
      <c r="D30" s="63">
        <f xml:space="preserve"> ( ( Vazões!K29+Vazões!N29+Vazões!Q29 ) * ( 86.4 ) * ( 365 ) * ($B30 ) )</f>
        <v>165265.76504656571</v>
      </c>
      <c r="E30" s="17">
        <f t="shared" si="0"/>
        <v>347058.10659778799</v>
      </c>
    </row>
    <row r="31" spans="1:5" s="24" customFormat="1" ht="15" customHeight="1">
      <c r="A31" s="2">
        <f t="shared" si="1"/>
        <v>27</v>
      </c>
      <c r="B31" s="62">
        <v>0.02</v>
      </c>
      <c r="C31" s="62">
        <f t="shared" si="2"/>
        <v>2.1</v>
      </c>
      <c r="D31" s="63">
        <f xml:space="preserve"> ( ( Vazões!K30+Vazões!N30+Vazões!Q30 ) * ( 86.4 ) * ( 365 ) * ($B31 ) )</f>
        <v>167073.10805084006</v>
      </c>
      <c r="E31" s="17">
        <f t="shared" si="0"/>
        <v>350853.52690676413</v>
      </c>
    </row>
    <row r="32" spans="1:5" s="24" customFormat="1" ht="15" customHeight="1">
      <c r="A32" s="2">
        <f t="shared" si="1"/>
        <v>28</v>
      </c>
      <c r="B32" s="62">
        <v>0.02</v>
      </c>
      <c r="C32" s="62">
        <f t="shared" si="2"/>
        <v>2.1</v>
      </c>
      <c r="D32" s="63">
        <f xml:space="preserve"> ( ( Vazões!K31+Vazões!N31+Vazões!Q31 ) * ( 86.4 ) * ( 365 ) * ($B32 ) )</f>
        <v>168901.73932426394</v>
      </c>
      <c r="E32" s="17">
        <f t="shared" si="0"/>
        <v>354693.65258095431</v>
      </c>
    </row>
    <row r="33" spans="1:5" s="24" customFormat="1" ht="15" customHeight="1">
      <c r="A33" s="2">
        <f t="shared" si="1"/>
        <v>29</v>
      </c>
      <c r="B33" s="62">
        <v>0.02</v>
      </c>
      <c r="C33" s="62">
        <f t="shared" si="2"/>
        <v>2.1</v>
      </c>
      <c r="D33" s="63">
        <f xml:space="preserve"> ( ( Vazões!K32+Vazões!N32+Vazões!Q32 ) * ( 86.4 ) * ( 365 ) * ($B33 ) )</f>
        <v>170750.32511106721</v>
      </c>
      <c r="E33" s="17">
        <f t="shared" si="0"/>
        <v>358575.68273324118</v>
      </c>
    </row>
    <row r="34" spans="1:5" s="24" customFormat="1" ht="15" customHeight="1">
      <c r="A34" s="2">
        <f t="shared" si="1"/>
        <v>30</v>
      </c>
      <c r="B34" s="62">
        <v>0.02</v>
      </c>
      <c r="C34" s="62">
        <f t="shared" si="2"/>
        <v>2.1</v>
      </c>
      <c r="D34" s="63">
        <f xml:space="preserve"> ( ( Vazões!K33+Vazões!N33+Vazões!Q33 ) * ( 86.4 ) * ( 365 ) * ($B34 ) )</f>
        <v>172621.90455637636</v>
      </c>
      <c r="E34" s="17">
        <f t="shared" si="0"/>
        <v>362505.99956839037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3791226.3194589182</v>
      </c>
      <c r="E35" s="65">
        <f>SUM(E5:E34)</f>
        <v>7961575.2708637277</v>
      </c>
    </row>
    <row r="38" spans="1:5" ht="15" customHeight="1">
      <c r="C38" s="82"/>
    </row>
    <row r="39" spans="1:5" ht="15" customHeight="1">
      <c r="C39" s="68"/>
      <c r="D39" s="68"/>
    </row>
    <row r="40" spans="1:5" ht="15" customHeight="1"/>
    <row r="41" spans="1:5" ht="15" customHeight="1"/>
    <row r="42" spans="1:5" ht="15" customHeight="1"/>
    <row r="43" spans="1:5" ht="15" customHeight="1"/>
    <row r="44" spans="1:5" ht="15" customHeight="1"/>
  </sheetData>
  <mergeCells count="1">
    <mergeCell ref="A35:C35"/>
  </mergeCell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</sheetPr>
  <dimension ref="A1:H38"/>
  <sheetViews>
    <sheetView showGridLines="0" showZeros="0" zoomScale="70" zoomScaleNormal="70" zoomScalePageLayoutView="90" workbookViewId="0">
      <selection activeCell="G24" sqref="G24"/>
    </sheetView>
  </sheetViews>
  <sheetFormatPr defaultColWidth="15.77734375" defaultRowHeight="15" customHeight="1"/>
  <cols>
    <col min="1" max="1" width="10.77734375" style="25" customWidth="1"/>
    <col min="2" max="5" width="18.77734375" style="25" customWidth="1"/>
    <col min="6" max="16384" width="15.77734375" style="25"/>
  </cols>
  <sheetData>
    <row r="1" spans="1:8" s="23" customFormat="1" ht="40.049999999999997" customHeight="1">
      <c r="A1" s="59" t="s">
        <v>284</v>
      </c>
      <c r="B1" s="59"/>
      <c r="C1" s="59"/>
      <c r="D1" s="59"/>
      <c r="E1" s="59"/>
    </row>
    <row r="2" spans="1:8" ht="15" customHeight="1">
      <c r="A2" s="24" t="s">
        <v>160</v>
      </c>
      <c r="E2" s="61"/>
    </row>
    <row r="3" spans="1:8" ht="15" customHeight="1" thickBot="1">
      <c r="A3" s="24"/>
      <c r="E3" s="61"/>
    </row>
    <row r="4" spans="1:8" ht="43.8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249">
        <v>15</v>
      </c>
    </row>
    <row r="5" spans="1:8" s="24" customFormat="1" ht="15" customHeight="1">
      <c r="A5" s="2">
        <v>1</v>
      </c>
      <c r="B5" s="66">
        <v>4.0000000000000001E-3</v>
      </c>
      <c r="C5" s="62">
        <f>H4</f>
        <v>15</v>
      </c>
      <c r="D5" s="63">
        <f xml:space="preserve"> ( ( Vazões!$K4+Vazões!N4+Vazões!Q4 ) * ( 86.4 ) * ( 365 ) * ($B5 ) )</f>
        <v>0</v>
      </c>
      <c r="E5" s="17">
        <f xml:space="preserve"> ( ( C5 ) * ( D5 ) )</f>
        <v>0</v>
      </c>
    </row>
    <row r="6" spans="1:8" ht="15" customHeight="1">
      <c r="A6" s="2">
        <f xml:space="preserve"> ( ( A5 ) + ( 1 ) )</f>
        <v>2</v>
      </c>
      <c r="B6" s="66">
        <v>4.0000000000000001E-3</v>
      </c>
      <c r="C6" s="62">
        <f>C5</f>
        <v>15</v>
      </c>
      <c r="D6" s="63">
        <f xml:space="preserve"> ( ( Vazões!$K5+Vazões!N5+Vazões!Q5 ) * ( 86.4 ) * ( 365 ) * ($B6 ) )</f>
        <v>0</v>
      </c>
      <c r="E6" s="17">
        <f t="shared" ref="E6:E34" si="0" xml:space="preserve"> ( ( C6 ) * ( D6 ) )</f>
        <v>0</v>
      </c>
    </row>
    <row r="7" spans="1:8" ht="15" customHeight="1">
      <c r="A7" s="2">
        <f t="shared" ref="A7:A34" si="1" xml:space="preserve"> ( ( A6 ) + ( 1 ) )</f>
        <v>3</v>
      </c>
      <c r="B7" s="66">
        <v>4.0000000000000001E-3</v>
      </c>
      <c r="C7" s="62">
        <f t="shared" ref="C7:C34" si="2">C6</f>
        <v>15</v>
      </c>
      <c r="D7" s="63">
        <f xml:space="preserve"> ( ( Vazões!$K6+Vazões!N6+Vazões!Q6 ) * ( 86.4 ) * ( 365 ) * ($B7 ) )</f>
        <v>0</v>
      </c>
      <c r="E7" s="17">
        <f t="shared" si="0"/>
        <v>0</v>
      </c>
    </row>
    <row r="8" spans="1:8" ht="15" customHeight="1">
      <c r="A8" s="2">
        <f t="shared" si="1"/>
        <v>4</v>
      </c>
      <c r="B8" s="66">
        <v>4.0000000000000001E-3</v>
      </c>
      <c r="C8" s="62">
        <f t="shared" si="2"/>
        <v>15</v>
      </c>
      <c r="D8" s="63">
        <f xml:space="preserve"> ( ( Vazões!$K7+Vazões!N7+Vazões!Q7 ) * ( 86.4 ) * ( 365 ) * ($B8 ) )</f>
        <v>6186.1769768823333</v>
      </c>
      <c r="E8" s="17">
        <f t="shared" si="0"/>
        <v>92792.654653235004</v>
      </c>
    </row>
    <row r="9" spans="1:8" s="24" customFormat="1" ht="15" customHeight="1">
      <c r="A9" s="2">
        <f t="shared" si="1"/>
        <v>5</v>
      </c>
      <c r="B9" s="66">
        <v>4.0000000000000001E-3</v>
      </c>
      <c r="C9" s="62">
        <f t="shared" si="2"/>
        <v>15</v>
      </c>
      <c r="D9" s="63">
        <f xml:space="preserve"> ( ( Vazões!$K8+Vazões!N8+Vazões!Q8 ) * ( 86.4 ) * ( 365 ) * ($B9 ) )</f>
        <v>11605.442628466581</v>
      </c>
      <c r="E9" s="17">
        <f t="shared" si="0"/>
        <v>174081.63942699871</v>
      </c>
    </row>
    <row r="10" spans="1:8" ht="15" customHeight="1">
      <c r="A10" s="2">
        <f t="shared" si="1"/>
        <v>6</v>
      </c>
      <c r="B10" s="66">
        <v>4.0000000000000001E-3</v>
      </c>
      <c r="C10" s="62">
        <f t="shared" si="2"/>
        <v>15</v>
      </c>
      <c r="D10" s="63">
        <f xml:space="preserve"> ( ( Vazões!$K9+Vazões!N9+Vazões!Q9 ) * ( 86.4 ) * ( 365 ) * ($B10 ) )</f>
        <v>17098.682896886716</v>
      </c>
      <c r="E10" s="17">
        <f t="shared" si="0"/>
        <v>256480.24345330073</v>
      </c>
    </row>
    <row r="11" spans="1:8" ht="15" customHeight="1">
      <c r="A11" s="2">
        <f t="shared" si="1"/>
        <v>7</v>
      </c>
      <c r="B11" s="66">
        <v>4.0000000000000001E-3</v>
      </c>
      <c r="C11" s="62">
        <f t="shared" si="2"/>
        <v>15</v>
      </c>
      <c r="D11" s="63">
        <f xml:space="preserve"> ( ( Vazões!$K10+Vazões!N10+Vazões!Q10 ) * ( 86.4 ) * ( 365 ) * ($B11 ) )</f>
        <v>20471.729662398611</v>
      </c>
      <c r="E11" s="17">
        <f t="shared" si="0"/>
        <v>307075.94493597915</v>
      </c>
    </row>
    <row r="12" spans="1:8" ht="15" customHeight="1">
      <c r="A12" s="2">
        <f t="shared" si="1"/>
        <v>8</v>
      </c>
      <c r="B12" s="66">
        <v>4.0000000000000001E-3</v>
      </c>
      <c r="C12" s="62">
        <f t="shared" si="2"/>
        <v>15</v>
      </c>
      <c r="D12" s="63">
        <f xml:space="preserve"> ( ( Vazões!$K11+Vazões!N11+Vazões!Q11 ) * ( 86.4 ) * ( 365 ) * ($B12 ) )</f>
        <v>23902.390341125014</v>
      </c>
      <c r="E12" s="17">
        <f t="shared" si="0"/>
        <v>358535.8551168752</v>
      </c>
    </row>
    <row r="13" spans="1:8" s="24" customFormat="1" ht="15" customHeight="1">
      <c r="A13" s="2">
        <f t="shared" si="1"/>
        <v>9</v>
      </c>
      <c r="B13" s="66">
        <v>4.0000000000000001E-3</v>
      </c>
      <c r="C13" s="62">
        <f t="shared" si="2"/>
        <v>15</v>
      </c>
      <c r="D13" s="63">
        <f xml:space="preserve"> ( ( Vazões!$K12+Vazões!N12+Vazões!Q12 ) * ( 86.4 ) * ( 365 ) * ($B13 ) )</f>
        <v>27390.659258930253</v>
      </c>
      <c r="E13" s="17">
        <f t="shared" si="0"/>
        <v>410859.8888839538</v>
      </c>
    </row>
    <row r="14" spans="1:8" s="24" customFormat="1" ht="15" customHeight="1">
      <c r="A14" s="2">
        <f t="shared" si="1"/>
        <v>10</v>
      </c>
      <c r="B14" s="66">
        <v>4.0000000000000001E-3</v>
      </c>
      <c r="C14" s="62">
        <f t="shared" si="2"/>
        <v>15</v>
      </c>
      <c r="D14" s="63">
        <f xml:space="preserve"> ( ( Vazões!$K13+Vazões!N13+Vazões!Q13 ) * ( 86.4 ) * ( 365 ) * ($B14 ) )</f>
        <v>27714.193890832623</v>
      </c>
      <c r="E14" s="17">
        <f t="shared" si="0"/>
        <v>415712.90836248937</v>
      </c>
    </row>
    <row r="15" spans="1:8" ht="15" customHeight="1">
      <c r="A15" s="2">
        <f t="shared" si="1"/>
        <v>11</v>
      </c>
      <c r="B15" s="66">
        <v>4.0000000000000001E-3</v>
      </c>
      <c r="C15" s="62">
        <f t="shared" si="2"/>
        <v>15</v>
      </c>
      <c r="D15" s="63">
        <f xml:space="preserve"> ( ( Vazões!$K14+Vazões!N14+Vazões!Q14 ) * ( 86.4 ) * ( 365 ) * ($B15 ) )</f>
        <v>28037.809925520723</v>
      </c>
      <c r="E15" s="17">
        <f t="shared" si="0"/>
        <v>420567.14888281084</v>
      </c>
    </row>
    <row r="16" spans="1:8" ht="15" customHeight="1">
      <c r="A16" s="2">
        <f t="shared" si="1"/>
        <v>12</v>
      </c>
      <c r="B16" s="66">
        <v>4.0000000000000001E-3</v>
      </c>
      <c r="C16" s="62">
        <f t="shared" si="2"/>
        <v>15</v>
      </c>
      <c r="D16" s="63">
        <f xml:space="preserve"> ( ( Vazões!$K15+Vazões!N15+Vazões!Q15 ) * ( 86.4 ) * ( 365 ) * ($B16 ) )</f>
        <v>28361.400731418427</v>
      </c>
      <c r="E16" s="17">
        <f t="shared" si="0"/>
        <v>425421.01097127644</v>
      </c>
    </row>
    <row r="17" spans="1:5" ht="15" customHeight="1">
      <c r="A17" s="2">
        <f t="shared" si="1"/>
        <v>13</v>
      </c>
      <c r="B17" s="66">
        <v>4.0000000000000001E-3</v>
      </c>
      <c r="C17" s="62">
        <f t="shared" si="2"/>
        <v>15</v>
      </c>
      <c r="D17" s="63">
        <f xml:space="preserve"> ( ( Vazões!$K16+Vazões!N16+Vazões!Q16 ) * ( 86.4 ) * ( 365 ) * ($B17 ) )</f>
        <v>28684.960592149586</v>
      </c>
      <c r="E17" s="17">
        <f t="shared" si="0"/>
        <v>430274.40888224379</v>
      </c>
    </row>
    <row r="18" spans="1:5" ht="15" customHeight="1">
      <c r="A18" s="2">
        <f t="shared" si="1"/>
        <v>14</v>
      </c>
      <c r="B18" s="66">
        <v>4.0000000000000001E-3</v>
      </c>
      <c r="C18" s="62">
        <f t="shared" si="2"/>
        <v>15</v>
      </c>
      <c r="D18" s="63">
        <f xml:space="preserve"> ( ( Vazões!$K17+Vazões!N17+Vazões!Q17 ) * ( 86.4 ) * ( 365 ) * ($B18 ) )</f>
        <v>29008.551398065461</v>
      </c>
      <c r="E18" s="17">
        <f t="shared" si="0"/>
        <v>435128.27097098192</v>
      </c>
    </row>
    <row r="19" spans="1:5" ht="15" customHeight="1">
      <c r="A19" s="2">
        <f t="shared" si="1"/>
        <v>15</v>
      </c>
      <c r="B19" s="66">
        <v>4.0000000000000001E-3</v>
      </c>
      <c r="C19" s="62">
        <f t="shared" si="2"/>
        <v>15</v>
      </c>
      <c r="D19" s="63">
        <f xml:space="preserve"> ( ( Vazões!$K18+Vazões!N18+Vazões!Q18 ) * ( 86.4 ) * ( 365 ) * ($B19 ) )</f>
        <v>29332.348357983734</v>
      </c>
      <c r="E19" s="17">
        <f t="shared" si="0"/>
        <v>439985.22536975599</v>
      </c>
    </row>
    <row r="20" spans="1:5" ht="15" customHeight="1">
      <c r="A20" s="2">
        <f t="shared" si="1"/>
        <v>16</v>
      </c>
      <c r="B20" s="66">
        <v>4.0000000000000001E-3</v>
      </c>
      <c r="C20" s="62">
        <f t="shared" si="2"/>
        <v>15</v>
      </c>
      <c r="D20" s="63">
        <f xml:space="preserve"> ( ( Vazões!$K19+Vazões!N19+Vazões!Q19 ) * ( 86.4 ) * ( 365 ) * ($B20 ) )</f>
        <v>29655.9139351255</v>
      </c>
      <c r="E20" s="17">
        <f t="shared" si="0"/>
        <v>444838.70902688248</v>
      </c>
    </row>
    <row r="21" spans="1:5" ht="15" customHeight="1">
      <c r="A21" s="2">
        <f t="shared" si="1"/>
        <v>17</v>
      </c>
      <c r="B21" s="66">
        <v>4.0000000000000001E-3</v>
      </c>
      <c r="C21" s="62">
        <f t="shared" si="2"/>
        <v>15</v>
      </c>
      <c r="D21" s="63">
        <f xml:space="preserve"> ( ( Vazões!$K20+Vazões!N20+Vazões!Q20 ) * ( 86.4 ) * ( 365 ) * ($B21 ) )</f>
        <v>29979.529969875082</v>
      </c>
      <c r="E21" s="17">
        <f t="shared" si="0"/>
        <v>449692.94954812626</v>
      </c>
    </row>
    <row r="22" spans="1:5" ht="15" customHeight="1">
      <c r="A22" s="2">
        <f t="shared" si="1"/>
        <v>18</v>
      </c>
      <c r="B22" s="66">
        <v>4.0000000000000001E-3</v>
      </c>
      <c r="C22" s="62">
        <f t="shared" si="2"/>
        <v>15</v>
      </c>
      <c r="D22" s="63">
        <f xml:space="preserve"> ( ( Vazões!$K21+Vazões!N21+Vazões!Q21 ) * ( 86.4 ) * ( 365 ) * ($B22 ) )</f>
        <v>30305.456405755885</v>
      </c>
      <c r="E22" s="17">
        <f t="shared" si="0"/>
        <v>454581.84608633828</v>
      </c>
    </row>
    <row r="23" spans="1:5" ht="15" customHeight="1">
      <c r="A23" s="2">
        <f t="shared" si="1"/>
        <v>19</v>
      </c>
      <c r="B23" s="66">
        <v>4.0000000000000001E-3</v>
      </c>
      <c r="C23" s="62">
        <f t="shared" si="2"/>
        <v>15</v>
      </c>
      <c r="D23" s="63">
        <f xml:space="preserve"> ( ( Vazões!$K22+Vazões!N22+Vazões!Q22 ) * ( 86.4 ) * ( 365 ) * ($B23 ) )</f>
        <v>30635.084892702518</v>
      </c>
      <c r="E23" s="17">
        <f t="shared" si="0"/>
        <v>459526.27339053777</v>
      </c>
    </row>
    <row r="24" spans="1:5" ht="15" customHeight="1">
      <c r="A24" s="2">
        <f t="shared" si="1"/>
        <v>20</v>
      </c>
      <c r="B24" s="66">
        <v>4.0000000000000001E-3</v>
      </c>
      <c r="C24" s="62">
        <f t="shared" si="2"/>
        <v>15</v>
      </c>
      <c r="D24" s="63">
        <f xml:space="preserve"> ( ( Vazões!$K23+Vazões!N23+Vazões!Q23 ) * ( 86.4 ) * ( 365 ) * ($B24 ) )</f>
        <v>30968.553007378865</v>
      </c>
      <c r="E24" s="17">
        <f t="shared" si="0"/>
        <v>464528.29511068296</v>
      </c>
    </row>
    <row r="25" spans="1:5" ht="15" customHeight="1">
      <c r="A25" s="2">
        <f t="shared" si="1"/>
        <v>21</v>
      </c>
      <c r="B25" s="66">
        <v>4.0000000000000001E-3</v>
      </c>
      <c r="C25" s="62">
        <f t="shared" si="2"/>
        <v>15</v>
      </c>
      <c r="D25" s="63">
        <f xml:space="preserve"> ( ( Vazões!$K24+Vazões!N24+Vazões!Q24 ) * ( 86.4 ) * ( 365 ) * ($B25 ) )</f>
        <v>31305.935043378915</v>
      </c>
      <c r="E25" s="17">
        <f t="shared" si="0"/>
        <v>469589.02565068373</v>
      </c>
    </row>
    <row r="26" spans="1:5" ht="15" customHeight="1">
      <c r="A26" s="2">
        <f t="shared" si="1"/>
        <v>22</v>
      </c>
      <c r="B26" s="66">
        <v>4.0000000000000001E-3</v>
      </c>
      <c r="C26" s="62">
        <f t="shared" si="2"/>
        <v>15</v>
      </c>
      <c r="D26" s="63">
        <f xml:space="preserve"> ( ( Vazões!$K25+Vazões!N25+Vazões!Q25 ) * ( 86.4 ) * ( 365 ) * ($B26 ) )</f>
        <v>31647.306687275781</v>
      </c>
      <c r="E26" s="17">
        <f t="shared" si="0"/>
        <v>474709.60030913673</v>
      </c>
    </row>
    <row r="27" spans="1:5" ht="15" customHeight="1">
      <c r="A27" s="2">
        <f t="shared" si="1"/>
        <v>23</v>
      </c>
      <c r="B27" s="66">
        <v>4.0000000000000001E-3</v>
      </c>
      <c r="C27" s="62">
        <f t="shared" si="2"/>
        <v>15</v>
      </c>
      <c r="D27" s="63">
        <f xml:space="preserve"> ( ( Vazões!$K26+Vazões!N26+Vazões!Q26 ) * ( 86.4 ) * ( 365 ) * ($B27 ) )</f>
        <v>31992.567024222535</v>
      </c>
      <c r="E27" s="17">
        <f t="shared" si="0"/>
        <v>479888.50536333804</v>
      </c>
    </row>
    <row r="28" spans="1:5" s="24" customFormat="1" ht="15" customHeight="1">
      <c r="A28" s="2">
        <f t="shared" si="1"/>
        <v>24</v>
      </c>
      <c r="B28" s="66">
        <v>4.0000000000000001E-3</v>
      </c>
      <c r="C28" s="62">
        <f t="shared" si="2"/>
        <v>15</v>
      </c>
      <c r="D28" s="63">
        <f xml:space="preserve"> ( ( Vazões!$K27+Vazões!N27+Vazões!Q27 ) * ( 86.4 ) * ( 365 ) * ($B28 ) )</f>
        <v>32342.141188464793</v>
      </c>
      <c r="E28" s="17">
        <f t="shared" si="0"/>
        <v>485132.11782697192</v>
      </c>
    </row>
    <row r="29" spans="1:5" s="24" customFormat="1" ht="15" customHeight="1">
      <c r="A29" s="2">
        <f t="shared" si="1"/>
        <v>25</v>
      </c>
      <c r="B29" s="66">
        <v>4.0000000000000001E-3</v>
      </c>
      <c r="C29" s="62">
        <f t="shared" si="2"/>
        <v>15</v>
      </c>
      <c r="D29" s="63">
        <f xml:space="preserve"> ( ( Vazões!$K28+Vazões!N28+Vazões!Q28 ) * ( 86.4 ) * ( 365 ) * ($B29 ) )</f>
        <v>32695.860659120994</v>
      </c>
      <c r="E29" s="17">
        <f t="shared" si="0"/>
        <v>490437.90988681489</v>
      </c>
    </row>
    <row r="30" spans="1:5" ht="15" customHeight="1">
      <c r="A30" s="2">
        <f t="shared" si="1"/>
        <v>26</v>
      </c>
      <c r="B30" s="66">
        <v>4.0000000000000001E-3</v>
      </c>
      <c r="C30" s="62">
        <f t="shared" si="2"/>
        <v>15</v>
      </c>
      <c r="D30" s="63">
        <f xml:space="preserve"> ( ( Vazões!$K29+Vazões!N29+Vazões!Q29 ) * ( 86.4 ) * ( 365 ) * ($B30 ) )</f>
        <v>33053.153009313144</v>
      </c>
      <c r="E30" s="17">
        <f t="shared" si="0"/>
        <v>495797.29513969715</v>
      </c>
    </row>
    <row r="31" spans="1:5" s="24" customFormat="1" ht="15" customHeight="1">
      <c r="A31" s="2">
        <f t="shared" si="1"/>
        <v>27</v>
      </c>
      <c r="B31" s="66">
        <v>4.0000000000000001E-3</v>
      </c>
      <c r="C31" s="62">
        <f t="shared" si="2"/>
        <v>15</v>
      </c>
      <c r="D31" s="63">
        <f xml:space="preserve"> ( ( Vazões!$K30+Vazões!N30+Vazões!Q30 ) * ( 86.4 ) * ( 365 ) * ($B31 ) )</f>
        <v>33414.621610168011</v>
      </c>
      <c r="E31" s="17">
        <f t="shared" si="0"/>
        <v>501219.32415252016</v>
      </c>
    </row>
    <row r="32" spans="1:5" s="24" customFormat="1" ht="15" customHeight="1">
      <c r="A32" s="2">
        <f t="shared" si="1"/>
        <v>28</v>
      </c>
      <c r="B32" s="66">
        <v>4.0000000000000001E-3</v>
      </c>
      <c r="C32" s="62">
        <f t="shared" si="2"/>
        <v>15</v>
      </c>
      <c r="D32" s="63">
        <f xml:space="preserve"> ( ( Vazões!$K31+Vazões!N31+Vazões!Q31 ) * ( 86.4 ) * ( 365 ) * ($B32 ) )</f>
        <v>33780.347864852789</v>
      </c>
      <c r="E32" s="17">
        <f t="shared" si="0"/>
        <v>506705.21797279181</v>
      </c>
    </row>
    <row r="33" spans="1:5" s="24" customFormat="1" ht="15" customHeight="1">
      <c r="A33" s="2">
        <f t="shared" si="1"/>
        <v>29</v>
      </c>
      <c r="B33" s="66">
        <v>4.0000000000000001E-3</v>
      </c>
      <c r="C33" s="62">
        <f t="shared" si="2"/>
        <v>15</v>
      </c>
      <c r="D33" s="63">
        <f xml:space="preserve"> ( ( Vazões!$K32+Vazões!N32+Vazões!Q32 ) * ( 86.4 ) * ( 365 ) * ($B33 ) )</f>
        <v>34150.065022213443</v>
      </c>
      <c r="E33" s="17">
        <f t="shared" si="0"/>
        <v>512250.97533320164</v>
      </c>
    </row>
    <row r="34" spans="1:5" s="24" customFormat="1" ht="15" customHeight="1">
      <c r="A34" s="2">
        <f t="shared" si="1"/>
        <v>30</v>
      </c>
      <c r="B34" s="66">
        <v>4.0000000000000001E-3</v>
      </c>
      <c r="C34" s="62">
        <f t="shared" si="2"/>
        <v>15</v>
      </c>
      <c r="D34" s="63">
        <f xml:space="preserve"> ( ( Vazões!$K33+Vazões!N33+Vazões!Q33 ) * ( 86.4 ) * ( 365 ) * ($B34 ) )</f>
        <v>34524.380911275279</v>
      </c>
      <c r="E34" s="17">
        <f t="shared" si="0"/>
        <v>517865.71366912918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758245.26389178354</v>
      </c>
      <c r="E35" s="65">
        <f>SUM(E5:E34)</f>
        <v>11373678.958376752</v>
      </c>
    </row>
    <row r="38" spans="1:5" ht="15" customHeight="1">
      <c r="C38" s="82"/>
    </row>
  </sheetData>
  <mergeCells count="1">
    <mergeCell ref="A35:C35"/>
  </mergeCells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H43"/>
  <sheetViews>
    <sheetView showGridLines="0" zoomScale="70" zoomScaleNormal="70" workbookViewId="0">
      <selection activeCell="H4" sqref="H4"/>
    </sheetView>
  </sheetViews>
  <sheetFormatPr defaultColWidth="15.77734375" defaultRowHeight="13.2"/>
  <cols>
    <col min="1" max="1" width="10.77734375" style="25" customWidth="1"/>
    <col min="2" max="5" width="18.77734375" style="25" customWidth="1"/>
    <col min="6" max="16384" width="15.77734375" style="25"/>
  </cols>
  <sheetData>
    <row r="1" spans="1:8" s="22" customFormat="1" ht="40.049999999999997" customHeight="1">
      <c r="A1" s="59" t="s">
        <v>284</v>
      </c>
      <c r="B1" s="60"/>
      <c r="C1" s="60"/>
      <c r="D1" s="60"/>
      <c r="E1" s="60"/>
    </row>
    <row r="2" spans="1:8" ht="15" customHeight="1">
      <c r="A2" s="24" t="s">
        <v>162</v>
      </c>
      <c r="E2" s="61"/>
    </row>
    <row r="3" spans="1:8" ht="15" customHeight="1" thickBot="1">
      <c r="A3" s="24"/>
      <c r="E3" s="61"/>
    </row>
    <row r="4" spans="1:8" ht="38.549999999999997" customHeight="1" thickBot="1">
      <c r="A4" s="2" t="s">
        <v>1</v>
      </c>
      <c r="B4" s="6" t="s">
        <v>61</v>
      </c>
      <c r="C4" s="6" t="s">
        <v>2</v>
      </c>
      <c r="D4" s="6" t="s">
        <v>62</v>
      </c>
      <c r="E4" s="6" t="s">
        <v>63</v>
      </c>
      <c r="G4" s="248" t="s">
        <v>479</v>
      </c>
      <c r="H4" s="831">
        <f>'PQ03-ETA'!H4</f>
        <v>2.65</v>
      </c>
    </row>
    <row r="5" spans="1:8" s="24" customFormat="1" ht="15" customHeight="1">
      <c r="A5" s="2">
        <v>1</v>
      </c>
      <c r="B5" s="64">
        <v>5.0000000000000001E-3</v>
      </c>
      <c r="C5" s="62">
        <f>H4</f>
        <v>2.65</v>
      </c>
      <c r="D5" s="63">
        <f xml:space="preserve"> ( ( Vazões!$K4+Vazões!N4+Vazões!Q4 ) * ( 86.4 ) * ( 365 ) * ($B5 ) )</f>
        <v>0</v>
      </c>
      <c r="E5" s="17">
        <f xml:space="preserve"> ( ( C5 ) * ( D5 ) )</f>
        <v>0</v>
      </c>
    </row>
    <row r="6" spans="1:8" ht="15" customHeight="1">
      <c r="A6" s="2">
        <f xml:space="preserve"> ( ( A5 ) + ( 1 ) )</f>
        <v>2</v>
      </c>
      <c r="B6" s="64">
        <v>5.0000000000000001E-3</v>
      </c>
      <c r="C6" s="62">
        <f>C5</f>
        <v>2.65</v>
      </c>
      <c r="D6" s="63">
        <f xml:space="preserve"> ( ( Vazões!$K5+Vazões!N5+Vazões!Q5 ) * ( 86.4 ) * ( 365 ) * ($B6 ) )</f>
        <v>0</v>
      </c>
      <c r="E6" s="17">
        <f t="shared" ref="E6:E34" si="0" xml:space="preserve"> ( ( C6 ) * ( D6 ) )</f>
        <v>0</v>
      </c>
    </row>
    <row r="7" spans="1:8" ht="15" customHeight="1">
      <c r="A7" s="2">
        <f t="shared" ref="A7:A34" si="1" xml:space="preserve"> ( ( A6 ) + ( 1 ) )</f>
        <v>3</v>
      </c>
      <c r="B7" s="64">
        <v>5.0000000000000001E-3</v>
      </c>
      <c r="C7" s="62">
        <f t="shared" ref="C7:C34" si="2">C6</f>
        <v>2.65</v>
      </c>
      <c r="D7" s="63">
        <f xml:space="preserve"> ( ( Vazões!$K6+Vazões!N6+Vazões!Q6 ) * ( 86.4 ) * ( 365 ) * ($B7 ) )</f>
        <v>0</v>
      </c>
      <c r="E7" s="17">
        <f t="shared" si="0"/>
        <v>0</v>
      </c>
    </row>
    <row r="8" spans="1:8" ht="15" customHeight="1">
      <c r="A8" s="2">
        <f t="shared" si="1"/>
        <v>4</v>
      </c>
      <c r="B8" s="64">
        <v>5.0000000000000001E-3</v>
      </c>
      <c r="C8" s="62">
        <f t="shared" si="2"/>
        <v>2.65</v>
      </c>
      <c r="D8" s="63">
        <f xml:space="preserve"> ( ( Vazões!$K7+Vazões!N7+Vazões!Q7 ) * ( 86.4 ) * ( 365 ) * ($B8 ) )</f>
        <v>7732.7212211029164</v>
      </c>
      <c r="E8" s="17">
        <f t="shared" si="0"/>
        <v>20491.711235922729</v>
      </c>
    </row>
    <row r="9" spans="1:8" s="24" customFormat="1" ht="15" customHeight="1">
      <c r="A9" s="2">
        <f t="shared" si="1"/>
        <v>5</v>
      </c>
      <c r="B9" s="64">
        <v>5.0000000000000001E-3</v>
      </c>
      <c r="C9" s="62">
        <f t="shared" si="2"/>
        <v>2.65</v>
      </c>
      <c r="D9" s="63">
        <f xml:space="preserve"> ( ( Vazões!$K8+Vazões!N8+Vazões!Q8 ) * ( 86.4 ) * ( 365 ) * ($B9 ) )</f>
        <v>14506.803285583226</v>
      </c>
      <c r="E9" s="17">
        <f t="shared" si="0"/>
        <v>38443.028706795551</v>
      </c>
    </row>
    <row r="10" spans="1:8" ht="15" customHeight="1">
      <c r="A10" s="2">
        <f t="shared" si="1"/>
        <v>6</v>
      </c>
      <c r="B10" s="64">
        <v>5.0000000000000001E-3</v>
      </c>
      <c r="C10" s="62">
        <f t="shared" si="2"/>
        <v>2.65</v>
      </c>
      <c r="D10" s="63">
        <f xml:space="preserve"> ( ( Vazões!$K9+Vazões!N9+Vazões!Q9 ) * ( 86.4 ) * ( 365 ) * ($B10 ) )</f>
        <v>21373.353621108392</v>
      </c>
      <c r="E10" s="17">
        <f t="shared" si="0"/>
        <v>56639.387095937236</v>
      </c>
    </row>
    <row r="11" spans="1:8" ht="15" customHeight="1">
      <c r="A11" s="2">
        <f t="shared" si="1"/>
        <v>7</v>
      </c>
      <c r="B11" s="64">
        <v>5.0000000000000001E-3</v>
      </c>
      <c r="C11" s="62">
        <f t="shared" si="2"/>
        <v>2.65</v>
      </c>
      <c r="D11" s="63">
        <f xml:space="preserve"> ( ( Vazões!$K10+Vazões!N10+Vazões!Q10 ) * ( 86.4 ) * ( 365 ) * ($B11 ) )</f>
        <v>25589.662077998262</v>
      </c>
      <c r="E11" s="17">
        <f t="shared" si="0"/>
        <v>67812.604506695396</v>
      </c>
    </row>
    <row r="12" spans="1:8" ht="15" customHeight="1">
      <c r="A12" s="2">
        <f t="shared" si="1"/>
        <v>8</v>
      </c>
      <c r="B12" s="64">
        <v>5.0000000000000001E-3</v>
      </c>
      <c r="C12" s="62">
        <f t="shared" si="2"/>
        <v>2.65</v>
      </c>
      <c r="D12" s="63">
        <f xml:space="preserve"> ( ( Vazões!$K11+Vazões!N11+Vazões!Q11 ) * ( 86.4 ) * ( 365 ) * ($B12 ) )</f>
        <v>29877.987926406269</v>
      </c>
      <c r="E12" s="17">
        <f t="shared" si="0"/>
        <v>79176.668004976615</v>
      </c>
    </row>
    <row r="13" spans="1:8" s="24" customFormat="1" ht="15" customHeight="1">
      <c r="A13" s="2">
        <f t="shared" si="1"/>
        <v>9</v>
      </c>
      <c r="B13" s="64">
        <v>5.0000000000000001E-3</v>
      </c>
      <c r="C13" s="62">
        <f t="shared" si="2"/>
        <v>2.65</v>
      </c>
      <c r="D13" s="63">
        <f xml:space="preserve"> ( ( Vazões!$K12+Vazões!N12+Vazões!Q12 ) * ( 86.4 ) * ( 365 ) * ($B13 ) )</f>
        <v>34238.324073662814</v>
      </c>
      <c r="E13" s="17">
        <f t="shared" si="0"/>
        <v>90731.558795206452</v>
      </c>
    </row>
    <row r="14" spans="1:8" s="24" customFormat="1" ht="15" customHeight="1">
      <c r="A14" s="2">
        <f t="shared" si="1"/>
        <v>10</v>
      </c>
      <c r="B14" s="64">
        <v>5.0000000000000001E-3</v>
      </c>
      <c r="C14" s="62">
        <f t="shared" si="2"/>
        <v>2.65</v>
      </c>
      <c r="D14" s="63">
        <f xml:space="preserve"> ( ( Vazões!$K13+Vazões!N13+Vazões!Q13 ) * ( 86.4 ) * ( 365 ) * ($B14 ) )</f>
        <v>34642.742363540776</v>
      </c>
      <c r="E14" s="17">
        <f t="shared" si="0"/>
        <v>91803.267263383052</v>
      </c>
    </row>
    <row r="15" spans="1:8" ht="15" customHeight="1">
      <c r="A15" s="2">
        <f t="shared" si="1"/>
        <v>11</v>
      </c>
      <c r="B15" s="64">
        <v>5.0000000000000001E-3</v>
      </c>
      <c r="C15" s="62">
        <f t="shared" si="2"/>
        <v>2.65</v>
      </c>
      <c r="D15" s="63">
        <f xml:space="preserve"> ( ( Vazões!$K14+Vazões!N14+Vazões!Q14 ) * ( 86.4 ) * ( 365 ) * ($B15 ) )</f>
        <v>35047.262406900903</v>
      </c>
      <c r="E15" s="17">
        <f t="shared" si="0"/>
        <v>92875.245378287393</v>
      </c>
    </row>
    <row r="16" spans="1:8" ht="15" customHeight="1">
      <c r="A16" s="2">
        <f t="shared" si="1"/>
        <v>12</v>
      </c>
      <c r="B16" s="64">
        <v>5.0000000000000001E-3</v>
      </c>
      <c r="C16" s="62">
        <f t="shared" si="2"/>
        <v>2.65</v>
      </c>
      <c r="D16" s="63">
        <f xml:space="preserve"> ( ( Vazões!$K15+Vazões!N15+Vazões!Q15 ) * ( 86.4 ) * ( 365 ) * ($B16 ) )</f>
        <v>35451.750914273034</v>
      </c>
      <c r="E16" s="17">
        <f t="shared" si="0"/>
        <v>93947.139922823539</v>
      </c>
    </row>
    <row r="17" spans="1:5" ht="15" customHeight="1">
      <c r="A17" s="2">
        <f t="shared" si="1"/>
        <v>13</v>
      </c>
      <c r="B17" s="64">
        <v>5.0000000000000001E-3</v>
      </c>
      <c r="C17" s="62">
        <f t="shared" si="2"/>
        <v>2.65</v>
      </c>
      <c r="D17" s="63">
        <f xml:space="preserve"> ( ( Vazões!$K16+Vazões!N16+Vazões!Q16 ) * ( 86.4 ) * ( 365 ) * ($B17 ) )</f>
        <v>35856.200740186985</v>
      </c>
      <c r="E17" s="17">
        <f t="shared" si="0"/>
        <v>95018.931961495502</v>
      </c>
    </row>
    <row r="18" spans="1:5" ht="15" customHeight="1">
      <c r="A18" s="2">
        <f t="shared" si="1"/>
        <v>14</v>
      </c>
      <c r="B18" s="64">
        <v>5.0000000000000001E-3</v>
      </c>
      <c r="C18" s="62">
        <f t="shared" si="2"/>
        <v>2.65</v>
      </c>
      <c r="D18" s="63">
        <f xml:space="preserve"> ( ( Vazões!$K17+Vazões!N17+Vazões!Q17 ) * ( 86.4 ) * ( 365 ) * ($B18 ) )</f>
        <v>36260.689247581824</v>
      </c>
      <c r="E18" s="17">
        <f t="shared" si="0"/>
        <v>96090.826506091835</v>
      </c>
    </row>
    <row r="19" spans="1:5" ht="15" customHeight="1">
      <c r="A19" s="2">
        <f t="shared" si="1"/>
        <v>15</v>
      </c>
      <c r="B19" s="64">
        <v>5.0000000000000001E-3</v>
      </c>
      <c r="C19" s="62">
        <f t="shared" si="2"/>
        <v>2.65</v>
      </c>
      <c r="D19" s="63">
        <f xml:space="preserve"> ( ( Vazões!$K18+Vazões!N18+Vazões!Q18 ) * ( 86.4 ) * ( 365 ) * ($B19 ) )</f>
        <v>36665.435447479671</v>
      </c>
      <c r="E19" s="17">
        <f t="shared" si="0"/>
        <v>97163.40393582113</v>
      </c>
    </row>
    <row r="20" spans="1:5" ht="15" customHeight="1">
      <c r="A20" s="2">
        <f t="shared" si="1"/>
        <v>16</v>
      </c>
      <c r="B20" s="64">
        <v>5.0000000000000001E-3</v>
      </c>
      <c r="C20" s="62">
        <f t="shared" si="2"/>
        <v>2.65</v>
      </c>
      <c r="D20" s="63">
        <f xml:space="preserve"> ( ( Vazões!$K19+Vazões!N19+Vazões!Q19 ) * ( 86.4 ) * ( 365 ) * ($B20 ) )</f>
        <v>37069.892418906878</v>
      </c>
      <c r="E20" s="17">
        <f t="shared" si="0"/>
        <v>98235.214910103226</v>
      </c>
    </row>
    <row r="21" spans="1:5" ht="15" customHeight="1">
      <c r="A21" s="2">
        <f t="shared" si="1"/>
        <v>17</v>
      </c>
      <c r="B21" s="64">
        <v>5.0000000000000001E-3</v>
      </c>
      <c r="C21" s="62">
        <f t="shared" si="2"/>
        <v>2.65</v>
      </c>
      <c r="D21" s="63">
        <f xml:space="preserve"> ( ( Vazões!$K20+Vazões!N20+Vazões!Q20 ) * ( 86.4 ) * ( 365 ) * ($B21 ) )</f>
        <v>37474.412462343855</v>
      </c>
      <c r="E21" s="17">
        <f t="shared" si="0"/>
        <v>99307.193025211207</v>
      </c>
    </row>
    <row r="22" spans="1:5" ht="15" customHeight="1">
      <c r="A22" s="2">
        <f t="shared" si="1"/>
        <v>18</v>
      </c>
      <c r="B22" s="64">
        <v>5.0000000000000001E-3</v>
      </c>
      <c r="C22" s="62">
        <f t="shared" si="2"/>
        <v>2.65</v>
      </c>
      <c r="D22" s="63">
        <f xml:space="preserve"> ( ( Vazões!$K21+Vazões!N21+Vazões!Q21 ) * ( 86.4 ) * ( 365 ) * ($B22 ) )</f>
        <v>37881.820507194854</v>
      </c>
      <c r="E22" s="17">
        <f t="shared" si="0"/>
        <v>100386.82434406636</v>
      </c>
    </row>
    <row r="23" spans="1:5" ht="15" customHeight="1">
      <c r="A23" s="2">
        <f t="shared" si="1"/>
        <v>19</v>
      </c>
      <c r="B23" s="64">
        <v>5.0000000000000001E-3</v>
      </c>
      <c r="C23" s="62">
        <f t="shared" si="2"/>
        <v>2.65</v>
      </c>
      <c r="D23" s="63">
        <f xml:space="preserve"> ( ( Vazões!$K22+Vazões!N22+Vazões!Q22 ) * ( 86.4 ) * ( 365 ) * ($B23 ) )</f>
        <v>38293.856115878145</v>
      </c>
      <c r="E23" s="17">
        <f t="shared" si="0"/>
        <v>101478.71870707707</v>
      </c>
    </row>
    <row r="24" spans="1:5" ht="15" customHeight="1">
      <c r="A24" s="2">
        <f t="shared" si="1"/>
        <v>20</v>
      </c>
      <c r="B24" s="64">
        <v>5.0000000000000001E-3</v>
      </c>
      <c r="C24" s="62">
        <f t="shared" si="2"/>
        <v>2.65</v>
      </c>
      <c r="D24" s="63">
        <f xml:space="preserve"> ( ( Vazões!$K23+Vazões!N23+Vazões!Q23 ) * ( 86.4 ) * ( 365 ) * ($B24 ) )</f>
        <v>38710.691259223582</v>
      </c>
      <c r="E24" s="17">
        <f t="shared" si="0"/>
        <v>102583.3318369425</v>
      </c>
    </row>
    <row r="25" spans="1:5" ht="15" customHeight="1">
      <c r="A25" s="2">
        <f t="shared" si="1"/>
        <v>21</v>
      </c>
      <c r="B25" s="64">
        <v>5.0000000000000001E-3</v>
      </c>
      <c r="C25" s="62">
        <f t="shared" si="2"/>
        <v>2.65</v>
      </c>
      <c r="D25" s="63">
        <f xml:space="preserve"> ( ( Vazões!$K24+Vazões!N24+Vazões!Q24 ) * ( 86.4 ) * ( 365 ) * ($B25 ) )</f>
        <v>39132.418804223642</v>
      </c>
      <c r="E25" s="17">
        <f t="shared" si="0"/>
        <v>103700.90983119265</v>
      </c>
    </row>
    <row r="26" spans="1:5" ht="15" customHeight="1">
      <c r="A26" s="2">
        <f t="shared" si="1"/>
        <v>22</v>
      </c>
      <c r="B26" s="64">
        <v>5.0000000000000001E-3</v>
      </c>
      <c r="C26" s="62">
        <f t="shared" si="2"/>
        <v>2.65</v>
      </c>
      <c r="D26" s="63">
        <f xml:space="preserve"> ( ( Vazões!$K25+Vazões!N25+Vazões!Q25 ) * ( 86.4 ) * ( 365 ) * ($B26 ) )</f>
        <v>39559.133359094725</v>
      </c>
      <c r="E26" s="17">
        <f t="shared" si="0"/>
        <v>104831.70340160101</v>
      </c>
    </row>
    <row r="27" spans="1:5" ht="15" customHeight="1">
      <c r="A27" s="2">
        <f t="shared" si="1"/>
        <v>23</v>
      </c>
      <c r="B27" s="64">
        <v>5.0000000000000001E-3</v>
      </c>
      <c r="C27" s="62">
        <f t="shared" si="2"/>
        <v>2.65</v>
      </c>
      <c r="D27" s="63">
        <f xml:space="preserve"> ( ( Vazões!$K26+Vazões!N26+Vazões!Q26 ) * ( 86.4 ) * ( 365 ) * ($B27 ) )</f>
        <v>39990.708780278168</v>
      </c>
      <c r="E27" s="17">
        <f t="shared" si="0"/>
        <v>105975.37826773713</v>
      </c>
    </row>
    <row r="28" spans="1:5" s="24" customFormat="1" ht="15" customHeight="1">
      <c r="A28" s="2">
        <f t="shared" si="1"/>
        <v>24</v>
      </c>
      <c r="B28" s="64">
        <v>5.0000000000000001E-3</v>
      </c>
      <c r="C28" s="62">
        <f t="shared" si="2"/>
        <v>2.65</v>
      </c>
      <c r="D28" s="63">
        <f xml:space="preserve"> ( ( Vazões!$K27+Vazões!N27+Vazões!Q27 ) * ( 86.4 ) * ( 365 ) * ($B28 ) )</f>
        <v>40427.676485580996</v>
      </c>
      <c r="E28" s="17">
        <f t="shared" si="0"/>
        <v>107133.34268678963</v>
      </c>
    </row>
    <row r="29" spans="1:5" s="24" customFormat="1" ht="15" customHeight="1">
      <c r="A29" s="2">
        <f t="shared" si="1"/>
        <v>25</v>
      </c>
      <c r="B29" s="64">
        <v>5.0000000000000001E-3</v>
      </c>
      <c r="C29" s="62">
        <f t="shared" si="2"/>
        <v>2.65</v>
      </c>
      <c r="D29" s="63">
        <f xml:space="preserve"> ( ( Vazões!$K28+Vazões!N28+Vazões!Q28 ) * ( 86.4 ) * ( 365 ) * ($B29 ) )</f>
        <v>40869.825823901243</v>
      </c>
      <c r="E29" s="17">
        <f t="shared" si="0"/>
        <v>108305.0384333383</v>
      </c>
    </row>
    <row r="30" spans="1:5" ht="15" customHeight="1">
      <c r="A30" s="2">
        <f t="shared" si="1"/>
        <v>26</v>
      </c>
      <c r="B30" s="64">
        <v>5.0000000000000001E-3</v>
      </c>
      <c r="C30" s="62">
        <f t="shared" si="2"/>
        <v>2.65</v>
      </c>
      <c r="D30" s="63">
        <f xml:space="preserve"> ( ( Vazões!$K29+Vazões!N29+Vazões!Q29 ) * ( 86.4 ) * ( 365 ) * ($B30 ) )</f>
        <v>41316.441261641427</v>
      </c>
      <c r="E30" s="17">
        <f t="shared" si="0"/>
        <v>109488.56934334978</v>
      </c>
    </row>
    <row r="31" spans="1:5" s="24" customFormat="1" ht="15" customHeight="1">
      <c r="A31" s="2">
        <f t="shared" si="1"/>
        <v>27</v>
      </c>
      <c r="B31" s="64">
        <v>5.0000000000000001E-3</v>
      </c>
      <c r="C31" s="62">
        <f t="shared" si="2"/>
        <v>2.65</v>
      </c>
      <c r="D31" s="63">
        <f xml:space="preserve"> ( ( Vazões!$K30+Vazões!N30+Vazões!Q30 ) * ( 86.4 ) * ( 365 ) * ($B31 ) )</f>
        <v>41768.277012710016</v>
      </c>
      <c r="E31" s="17">
        <f t="shared" si="0"/>
        <v>110685.93408368154</v>
      </c>
    </row>
    <row r="32" spans="1:5" s="24" customFormat="1" ht="15" customHeight="1">
      <c r="A32" s="2">
        <f t="shared" si="1"/>
        <v>28</v>
      </c>
      <c r="B32" s="64">
        <v>5.0000000000000001E-3</v>
      </c>
      <c r="C32" s="62">
        <f t="shared" si="2"/>
        <v>2.65</v>
      </c>
      <c r="D32" s="63">
        <f xml:space="preserve"> ( ( Vazões!$K31+Vazões!N31+Vazões!Q31 ) * ( 86.4 ) * ( 365 ) * ($B32 ) )</f>
        <v>42225.434831065984</v>
      </c>
      <c r="E32" s="17">
        <f t="shared" si="0"/>
        <v>111897.40230232486</v>
      </c>
    </row>
    <row r="33" spans="1:5" s="24" customFormat="1" ht="15" customHeight="1">
      <c r="A33" s="2">
        <f t="shared" si="1"/>
        <v>29</v>
      </c>
      <c r="B33" s="64">
        <v>5.0000000000000001E-3</v>
      </c>
      <c r="C33" s="62">
        <f t="shared" si="2"/>
        <v>2.65</v>
      </c>
      <c r="D33" s="63">
        <f xml:space="preserve"> ( ( Vazões!$K32+Vazões!N32+Vazões!Q32 ) * ( 86.4 ) * ( 365 ) * ($B33 ) )</f>
        <v>42687.581277766803</v>
      </c>
      <c r="E33" s="17">
        <f t="shared" si="0"/>
        <v>113122.09038608203</v>
      </c>
    </row>
    <row r="34" spans="1:5" s="24" customFormat="1" ht="15" customHeight="1">
      <c r="A34" s="2">
        <f t="shared" si="1"/>
        <v>30</v>
      </c>
      <c r="B34" s="64">
        <v>5.0000000000000001E-3</v>
      </c>
      <c r="C34" s="62">
        <f t="shared" si="2"/>
        <v>2.65</v>
      </c>
      <c r="D34" s="63">
        <f xml:space="preserve"> ( ( Vazões!$K33+Vazões!N33+Vazões!Q33 ) * ( 86.4 ) * ( 365 ) * ($B34 ) )</f>
        <v>43155.476139094091</v>
      </c>
      <c r="E34" s="17">
        <f t="shared" si="0"/>
        <v>114362.01176859933</v>
      </c>
    </row>
    <row r="35" spans="1:5" s="24" customFormat="1" ht="15" customHeight="1">
      <c r="A35" s="1000" t="s">
        <v>0</v>
      </c>
      <c r="B35" s="1001"/>
      <c r="C35" s="1001"/>
      <c r="D35" s="11">
        <f>SUM(D5:D34)</f>
        <v>947806.57986472955</v>
      </c>
      <c r="E35" s="65">
        <f>SUM(E5:E34)</f>
        <v>2511687.4366415329</v>
      </c>
    </row>
    <row r="38" spans="1:5" ht="15" customHeight="1">
      <c r="C38" s="82"/>
    </row>
    <row r="39" spans="1:5" ht="15" customHeight="1"/>
    <row r="40" spans="1:5" ht="15" customHeight="1"/>
    <row r="41" spans="1:5" ht="15" customHeight="1"/>
    <row r="42" spans="1:5" ht="15" customHeight="1"/>
    <row r="43" spans="1:5" ht="15" customHeight="1"/>
  </sheetData>
  <mergeCells count="1">
    <mergeCell ref="A35:C35"/>
  </mergeCell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</sheetPr>
  <dimension ref="A1:J43"/>
  <sheetViews>
    <sheetView showGridLines="0" zoomScale="70" zoomScaleNormal="70" workbookViewId="0">
      <selection activeCell="J4" sqref="J4"/>
    </sheetView>
  </sheetViews>
  <sheetFormatPr defaultColWidth="15.77734375" defaultRowHeight="13.2"/>
  <cols>
    <col min="1" max="1" width="10.77734375" style="25" customWidth="1"/>
    <col min="2" max="3" width="18.77734375" style="25" customWidth="1"/>
    <col min="4" max="5" width="22.77734375" style="25" customWidth="1"/>
    <col min="6" max="7" width="18.77734375" style="25" customWidth="1"/>
    <col min="8" max="16384" width="15.77734375" style="25"/>
  </cols>
  <sheetData>
    <row r="1" spans="1:10" s="23" customFormat="1" ht="40.049999999999997" customHeight="1">
      <c r="A1" s="59" t="s">
        <v>288</v>
      </c>
      <c r="B1" s="59"/>
      <c r="C1" s="59"/>
      <c r="D1" s="59"/>
      <c r="E1" s="59"/>
      <c r="F1" s="59"/>
    </row>
    <row r="2" spans="1:10" ht="15" customHeight="1">
      <c r="A2" s="24" t="s">
        <v>287</v>
      </c>
    </row>
    <row r="3" spans="1:10" ht="15" customHeight="1" thickBot="1">
      <c r="A3" s="24"/>
    </row>
    <row r="4" spans="1:10" ht="46.2" customHeight="1" thickBot="1">
      <c r="A4" s="2" t="s">
        <v>1</v>
      </c>
      <c r="B4" s="6" t="s">
        <v>61</v>
      </c>
      <c r="C4" s="6" t="s">
        <v>164</v>
      </c>
      <c r="D4" s="1" t="s">
        <v>257</v>
      </c>
      <c r="E4" s="6" t="s">
        <v>2</v>
      </c>
      <c r="F4" s="6" t="s">
        <v>62</v>
      </c>
      <c r="G4" s="6" t="s">
        <v>63</v>
      </c>
      <c r="I4" s="248" t="s">
        <v>479</v>
      </c>
      <c r="J4" s="831">
        <v>30</v>
      </c>
    </row>
    <row r="5" spans="1:10" s="24" customFormat="1" ht="15" customHeight="1">
      <c r="A5" s="2">
        <v>1</v>
      </c>
      <c r="B5" s="66">
        <v>1E-3</v>
      </c>
      <c r="C5" s="66">
        <v>4.4999999999999998E-2</v>
      </c>
      <c r="D5" s="62">
        <f xml:space="preserve"> ( ( $C5 ) * ( 365 ) )</f>
        <v>16.425000000000001</v>
      </c>
      <c r="E5" s="62">
        <f>J4</f>
        <v>30</v>
      </c>
      <c r="F5" s="63">
        <f xml:space="preserve"> ( ( 'Evolução Atendimento'!$R4+'Evolução Atendimento'!S4+'Evolução Atendimento'!T4 ) * ( $B5 ) *  ( $D5 ) )</f>
        <v>0</v>
      </c>
      <c r="G5" s="17">
        <f t="shared" ref="G5:G34" si="0" xml:space="preserve"> ( $E5 ) * ( $F5 )</f>
        <v>0</v>
      </c>
    </row>
    <row r="6" spans="1:10" ht="15" customHeight="1">
      <c r="A6" s="2">
        <f xml:space="preserve"> ( ( A5 ) + ( 1 ) )</f>
        <v>2</v>
      </c>
      <c r="B6" s="66">
        <f>B5</f>
        <v>1E-3</v>
      </c>
      <c r="C6" s="66">
        <v>4.4999999999999998E-2</v>
      </c>
      <c r="D6" s="62">
        <f t="shared" ref="D6:D34" si="1" xml:space="preserve"> ( ( $C6 ) * ( 365 ) )</f>
        <v>16.425000000000001</v>
      </c>
      <c r="E6" s="62">
        <f>E5</f>
        <v>30</v>
      </c>
      <c r="F6" s="63">
        <f xml:space="preserve"> ( ( 'Evolução Atendimento'!$R5+'Evolução Atendimento'!S5+'Evolução Atendimento'!T5 ) * ( $B6 ) *  ( $D6 ) )</f>
        <v>0</v>
      </c>
      <c r="G6" s="17">
        <f t="shared" si="0"/>
        <v>0</v>
      </c>
    </row>
    <row r="7" spans="1:10" ht="15" customHeight="1">
      <c r="A7" s="2">
        <f t="shared" ref="A7:A34" si="2" xml:space="preserve"> ( ( A6 ) + ( 1 ) )</f>
        <v>3</v>
      </c>
      <c r="B7" s="66">
        <f t="shared" ref="B7:B34" si="3">B6</f>
        <v>1E-3</v>
      </c>
      <c r="C7" s="66">
        <v>4.4999999999999998E-2</v>
      </c>
      <c r="D7" s="62">
        <f t="shared" si="1"/>
        <v>16.425000000000001</v>
      </c>
      <c r="E7" s="62">
        <f t="shared" ref="E7:E34" si="4">E6</f>
        <v>30</v>
      </c>
      <c r="F7" s="63">
        <f xml:space="preserve"> ( ( 'Evolução Atendimento'!$R6+'Evolução Atendimento'!S6+'Evolução Atendimento'!T6 ) * ( $B7 ) *  ( $D7 ) )</f>
        <v>0</v>
      </c>
      <c r="G7" s="17">
        <f xml:space="preserve"> ( $E7 ) * ( $F7 )</f>
        <v>0</v>
      </c>
    </row>
    <row r="8" spans="1:10" ht="15" customHeight="1">
      <c r="A8" s="2">
        <f t="shared" si="2"/>
        <v>4</v>
      </c>
      <c r="B8" s="66">
        <f t="shared" si="3"/>
        <v>1E-3</v>
      </c>
      <c r="C8" s="66">
        <v>4.4999999999999998E-2</v>
      </c>
      <c r="D8" s="62">
        <f t="shared" si="1"/>
        <v>16.425000000000001</v>
      </c>
      <c r="E8" s="62">
        <f t="shared" si="4"/>
        <v>30</v>
      </c>
      <c r="F8" s="63">
        <f xml:space="preserve"> ( ( 'Evolução Atendimento'!$R7+'Evolução Atendimento'!S7+'Evolução Atendimento'!T7 ) * ( $B8 ) *  ( $D8 ) )</f>
        <v>0</v>
      </c>
      <c r="G8" s="17">
        <f t="shared" si="0"/>
        <v>0</v>
      </c>
    </row>
    <row r="9" spans="1:10" s="24" customFormat="1" ht="15" customHeight="1">
      <c r="A9" s="2">
        <f t="shared" si="2"/>
        <v>5</v>
      </c>
      <c r="B9" s="66">
        <f t="shared" si="3"/>
        <v>1E-3</v>
      </c>
      <c r="C9" s="66">
        <v>4.4999999999999998E-2</v>
      </c>
      <c r="D9" s="62">
        <f t="shared" si="1"/>
        <v>16.425000000000001</v>
      </c>
      <c r="E9" s="62">
        <f t="shared" si="4"/>
        <v>30</v>
      </c>
      <c r="F9" s="63">
        <f xml:space="preserve"> ( ( 'Evolução Atendimento'!$R8+'Evolução Atendimento'!S8+'Evolução Atendimento'!T8 ) * ( $B9 ) *  ( $D9 ) )</f>
        <v>347.42160000000001</v>
      </c>
      <c r="G9" s="17">
        <f t="shared" si="0"/>
        <v>10422.648000000001</v>
      </c>
    </row>
    <row r="10" spans="1:10" ht="15" customHeight="1">
      <c r="A10" s="2">
        <f t="shared" si="2"/>
        <v>6</v>
      </c>
      <c r="B10" s="66">
        <f t="shared" si="3"/>
        <v>1E-3</v>
      </c>
      <c r="C10" s="66">
        <v>4.4999999999999998E-2</v>
      </c>
      <c r="D10" s="62">
        <f t="shared" si="1"/>
        <v>16.425000000000001</v>
      </c>
      <c r="E10" s="62">
        <f t="shared" si="4"/>
        <v>30</v>
      </c>
      <c r="F10" s="63">
        <f xml:space="preserve"> ( ( 'Evolução Atendimento'!$R9+'Evolução Atendimento'!S9+'Evolução Atendimento'!T9 ) * ( $B10 ) *  ( $D10 ) )</f>
        <v>704.17259999999999</v>
      </c>
      <c r="G10" s="17">
        <f t="shared" si="0"/>
        <v>21125.178</v>
      </c>
    </row>
    <row r="11" spans="1:10" ht="15" customHeight="1">
      <c r="A11" s="2">
        <f t="shared" si="2"/>
        <v>7</v>
      </c>
      <c r="B11" s="66">
        <f t="shared" si="3"/>
        <v>1E-3</v>
      </c>
      <c r="C11" s="66">
        <v>4.4999999999999998E-2</v>
      </c>
      <c r="D11" s="62">
        <f t="shared" si="1"/>
        <v>16.425000000000001</v>
      </c>
      <c r="E11" s="62">
        <f t="shared" si="4"/>
        <v>30</v>
      </c>
      <c r="F11" s="63">
        <f xml:space="preserve"> ( ( 'Evolução Atendimento'!$R10+'Evolução Atendimento'!S10+'Evolução Atendimento'!T10 ) * ( $B11 ) *  ( $D11 ) )</f>
        <v>1070.2365750000001</v>
      </c>
      <c r="G11" s="17">
        <f t="shared" si="0"/>
        <v>32107.097250000003</v>
      </c>
    </row>
    <row r="12" spans="1:10" ht="15" customHeight="1">
      <c r="A12" s="2">
        <f t="shared" si="2"/>
        <v>8</v>
      </c>
      <c r="B12" s="66">
        <f t="shared" si="3"/>
        <v>1E-3</v>
      </c>
      <c r="C12" s="66">
        <v>4.4999999999999998E-2</v>
      </c>
      <c r="D12" s="62">
        <f t="shared" si="1"/>
        <v>16.425000000000001</v>
      </c>
      <c r="E12" s="62">
        <f t="shared" si="4"/>
        <v>30</v>
      </c>
      <c r="F12" s="63">
        <f xml:space="preserve"> ( ( 'Evolução Atendimento'!$R11+'Evolução Atendimento'!S11+'Evolução Atendimento'!T11 ) * ( $B12 ) *  ( $D12 ) )</f>
        <v>1264.905675</v>
      </c>
      <c r="G12" s="17">
        <f t="shared" si="0"/>
        <v>37947.170249999996</v>
      </c>
    </row>
    <row r="13" spans="1:10" s="24" customFormat="1" ht="15" customHeight="1">
      <c r="A13" s="2">
        <f t="shared" si="2"/>
        <v>9</v>
      </c>
      <c r="B13" s="66">
        <f t="shared" si="3"/>
        <v>1E-3</v>
      </c>
      <c r="C13" s="66">
        <v>4.4999999999999998E-2</v>
      </c>
      <c r="D13" s="62">
        <f t="shared" si="1"/>
        <v>16.425000000000001</v>
      </c>
      <c r="E13" s="62">
        <f t="shared" si="4"/>
        <v>30</v>
      </c>
      <c r="F13" s="63">
        <f xml:space="preserve"> ( ( 'Evolução Atendimento'!$R12+'Evolução Atendimento'!S12+'Evolução Atendimento'!T12 ) * ( $B13 ) *  ( $D13 ) )</f>
        <v>1464.2394750000001</v>
      </c>
      <c r="G13" s="17">
        <f t="shared" si="0"/>
        <v>43927.184250000006</v>
      </c>
    </row>
    <row r="14" spans="1:10" s="24" customFormat="1" ht="15" customHeight="1">
      <c r="A14" s="2">
        <f t="shared" si="2"/>
        <v>10</v>
      </c>
      <c r="B14" s="66">
        <f t="shared" si="3"/>
        <v>1E-3</v>
      </c>
      <c r="C14" s="66">
        <v>4.4999999999999998E-2</v>
      </c>
      <c r="D14" s="62">
        <f t="shared" si="1"/>
        <v>16.425000000000001</v>
      </c>
      <c r="E14" s="62">
        <f t="shared" si="4"/>
        <v>30</v>
      </c>
      <c r="F14" s="63">
        <f xml:space="preserve"> ( ( 'Evolução Atendimento'!$R13+'Evolução Atendimento'!S13+'Evolução Atendimento'!T13 ) * ( $B14 ) *  ( $D14 ) )</f>
        <v>1668.2215500000002</v>
      </c>
      <c r="G14" s="17">
        <f t="shared" si="0"/>
        <v>50046.646500000003</v>
      </c>
    </row>
    <row r="15" spans="1:10" ht="15" customHeight="1">
      <c r="A15" s="2">
        <f t="shared" si="2"/>
        <v>11</v>
      </c>
      <c r="B15" s="66">
        <f t="shared" si="3"/>
        <v>1E-3</v>
      </c>
      <c r="C15" s="66">
        <v>4.4999999999999998E-2</v>
      </c>
      <c r="D15" s="62">
        <f t="shared" si="1"/>
        <v>16.425000000000001</v>
      </c>
      <c r="E15" s="62">
        <f t="shared" si="4"/>
        <v>30</v>
      </c>
      <c r="F15" s="63">
        <f xml:space="preserve"> ( ( 'Evolução Atendimento'!$R14+'Evolução Atendimento'!S14+'Evolução Atendimento'!T14 ) * ( $B15 ) *  ( $D15 ) )</f>
        <v>1689.1634250000002</v>
      </c>
      <c r="G15" s="17">
        <f t="shared" si="0"/>
        <v>50674.902750000008</v>
      </c>
    </row>
    <row r="16" spans="1:10" ht="15" customHeight="1">
      <c r="A16" s="2">
        <f t="shared" si="2"/>
        <v>12</v>
      </c>
      <c r="B16" s="66">
        <f t="shared" si="3"/>
        <v>1E-3</v>
      </c>
      <c r="C16" s="66">
        <v>4.4999999999999998E-2</v>
      </c>
      <c r="D16" s="62">
        <f t="shared" si="1"/>
        <v>16.425000000000001</v>
      </c>
      <c r="E16" s="62">
        <f t="shared" si="4"/>
        <v>30</v>
      </c>
      <c r="F16" s="63">
        <f xml:space="preserve"> ( ( 'Evolução Atendimento'!$R15+'Evolução Atendimento'!S15+'Evolução Atendimento'!T15 ) * ( $B16 ) *  ( $D16 ) )</f>
        <v>1710.1381500000002</v>
      </c>
      <c r="G16" s="17">
        <f t="shared" si="0"/>
        <v>51304.144500000009</v>
      </c>
    </row>
    <row r="17" spans="1:7" ht="15" customHeight="1">
      <c r="A17" s="2">
        <f t="shared" si="2"/>
        <v>13</v>
      </c>
      <c r="B17" s="66">
        <f t="shared" si="3"/>
        <v>1E-3</v>
      </c>
      <c r="C17" s="66">
        <v>4.4999999999999998E-2</v>
      </c>
      <c r="D17" s="62">
        <f t="shared" si="1"/>
        <v>16.425000000000001</v>
      </c>
      <c r="E17" s="62">
        <f t="shared" si="4"/>
        <v>30</v>
      </c>
      <c r="F17" s="63">
        <f xml:space="preserve"> ( ( 'Evolução Atendimento'!$R16+'Evolução Atendimento'!S16+'Evolução Atendimento'!T16 ) * ( $B17 ) *  ( $D17 ) )</f>
        <v>1731.0964500000002</v>
      </c>
      <c r="G17" s="17">
        <f t="shared" si="0"/>
        <v>51932.893500000006</v>
      </c>
    </row>
    <row r="18" spans="1:7" ht="15" customHeight="1">
      <c r="A18" s="2">
        <f t="shared" si="2"/>
        <v>14</v>
      </c>
      <c r="B18" s="66">
        <f t="shared" si="3"/>
        <v>1E-3</v>
      </c>
      <c r="C18" s="66">
        <v>4.4999999999999998E-2</v>
      </c>
      <c r="D18" s="62">
        <f t="shared" si="1"/>
        <v>16.425000000000001</v>
      </c>
      <c r="E18" s="62">
        <f t="shared" si="4"/>
        <v>30</v>
      </c>
      <c r="F18" s="63">
        <f xml:space="preserve"> ( ( 'Evolução Atendimento'!$R17+'Evolução Atendimento'!S17+'Evolução Atendimento'!T17 ) * ( $B18 ) *  ( $D18 ) )</f>
        <v>1752.05475</v>
      </c>
      <c r="G18" s="17">
        <f t="shared" si="0"/>
        <v>52561.642500000002</v>
      </c>
    </row>
    <row r="19" spans="1:7" ht="15" customHeight="1">
      <c r="A19" s="2">
        <f t="shared" si="2"/>
        <v>15</v>
      </c>
      <c r="B19" s="66">
        <f t="shared" si="3"/>
        <v>1E-3</v>
      </c>
      <c r="C19" s="66">
        <v>4.4999999999999998E-2</v>
      </c>
      <c r="D19" s="62">
        <f t="shared" si="1"/>
        <v>16.425000000000001</v>
      </c>
      <c r="E19" s="62">
        <f t="shared" si="4"/>
        <v>30</v>
      </c>
      <c r="F19" s="63">
        <f xml:space="preserve"> ( ( 'Evolução Atendimento'!$R18+'Evolução Atendimento'!S18+'Evolução Atendimento'!T18 ) * ( $B19 ) *  ( $D19 ) )</f>
        <v>1773.01305</v>
      </c>
      <c r="G19" s="17">
        <f t="shared" si="0"/>
        <v>53190.391499999998</v>
      </c>
    </row>
    <row r="20" spans="1:7" ht="15" customHeight="1">
      <c r="A20" s="2">
        <f t="shared" si="2"/>
        <v>16</v>
      </c>
      <c r="B20" s="66">
        <f t="shared" si="3"/>
        <v>1E-3</v>
      </c>
      <c r="C20" s="66">
        <v>4.4999999999999998E-2</v>
      </c>
      <c r="D20" s="62">
        <f t="shared" si="1"/>
        <v>16.425000000000001</v>
      </c>
      <c r="E20" s="62">
        <f t="shared" si="4"/>
        <v>30</v>
      </c>
      <c r="F20" s="63">
        <f xml:space="preserve"> ( ( 'Evolução Atendimento'!$R19+'Evolução Atendimento'!S19+'Evolução Atendimento'!T19 ) * ( $B20 ) *  ( $D20 ) )</f>
        <v>1793.9877750000001</v>
      </c>
      <c r="G20" s="17">
        <f t="shared" si="0"/>
        <v>53819.633249999999</v>
      </c>
    </row>
    <row r="21" spans="1:7" ht="15" customHeight="1">
      <c r="A21" s="2">
        <f t="shared" si="2"/>
        <v>17</v>
      </c>
      <c r="B21" s="66">
        <f t="shared" si="3"/>
        <v>1E-3</v>
      </c>
      <c r="C21" s="66">
        <v>4.4999999999999998E-2</v>
      </c>
      <c r="D21" s="62">
        <f t="shared" si="1"/>
        <v>16.425000000000001</v>
      </c>
      <c r="E21" s="62">
        <f t="shared" si="4"/>
        <v>30</v>
      </c>
      <c r="F21" s="63">
        <f xml:space="preserve"> ( ( 'Evolução Atendimento'!$R20+'Evolução Atendimento'!S20+'Evolução Atendimento'!T20 ) * ( $B21 ) *  ( $D21 ) )</f>
        <v>1814.9296500000003</v>
      </c>
      <c r="G21" s="17">
        <f t="shared" si="0"/>
        <v>54447.889500000005</v>
      </c>
    </row>
    <row r="22" spans="1:7" ht="15" customHeight="1">
      <c r="A22" s="2">
        <f t="shared" si="2"/>
        <v>18</v>
      </c>
      <c r="B22" s="66">
        <f t="shared" si="3"/>
        <v>1E-3</v>
      </c>
      <c r="C22" s="66">
        <v>4.4999999999999998E-2</v>
      </c>
      <c r="D22" s="62">
        <f t="shared" si="1"/>
        <v>16.425000000000001</v>
      </c>
      <c r="E22" s="62">
        <f t="shared" si="4"/>
        <v>30</v>
      </c>
      <c r="F22" s="63">
        <f xml:space="preserve"> ( ( 'Evolução Atendimento'!$R21+'Evolução Atendimento'!S21+'Evolução Atendimento'!T21 ) * ( $B22 ) *  ( $D22 ) )</f>
        <v>1835.9043750000001</v>
      </c>
      <c r="G22" s="17">
        <f t="shared" si="0"/>
        <v>55077.131250000006</v>
      </c>
    </row>
    <row r="23" spans="1:7" ht="15" customHeight="1">
      <c r="A23" s="2">
        <f t="shared" si="2"/>
        <v>19</v>
      </c>
      <c r="B23" s="66">
        <f t="shared" si="3"/>
        <v>1E-3</v>
      </c>
      <c r="C23" s="66">
        <v>4.4999999999999998E-2</v>
      </c>
      <c r="D23" s="62">
        <f t="shared" si="1"/>
        <v>16.425000000000001</v>
      </c>
      <c r="E23" s="62">
        <f t="shared" si="4"/>
        <v>30</v>
      </c>
      <c r="F23" s="63">
        <f xml:space="preserve"> ( ( 'Evolução Atendimento'!$R22+'Evolução Atendimento'!S22+'Evolução Atendimento'!T22 ) * ( $B23 ) *  ( $D23 ) )</f>
        <v>1857.0105000000001</v>
      </c>
      <c r="G23" s="17">
        <f t="shared" si="0"/>
        <v>55710.315000000002</v>
      </c>
    </row>
    <row r="24" spans="1:7" ht="15" customHeight="1">
      <c r="A24" s="2">
        <f t="shared" si="2"/>
        <v>20</v>
      </c>
      <c r="B24" s="66">
        <f t="shared" si="3"/>
        <v>1E-3</v>
      </c>
      <c r="C24" s="66">
        <v>4.4999999999999998E-2</v>
      </c>
      <c r="D24" s="62">
        <f t="shared" si="1"/>
        <v>16.425000000000001</v>
      </c>
      <c r="E24" s="62">
        <f t="shared" si="4"/>
        <v>30</v>
      </c>
      <c r="F24" s="63">
        <f xml:space="preserve"> ( ( 'Evolução Atendimento'!$R23+'Evolução Atendimento'!S23+'Evolução Atendimento'!T23 ) * ( $B24 ) *  ( $D24 ) )</f>
        <v>1878.3465750000003</v>
      </c>
      <c r="G24" s="17">
        <f t="shared" si="0"/>
        <v>56350.397250000009</v>
      </c>
    </row>
    <row r="25" spans="1:7" ht="15" customHeight="1">
      <c r="A25" s="2">
        <f t="shared" si="2"/>
        <v>21</v>
      </c>
      <c r="B25" s="66">
        <f t="shared" si="3"/>
        <v>1E-3</v>
      </c>
      <c r="C25" s="66">
        <v>4.4999999999999998E-2</v>
      </c>
      <c r="D25" s="62">
        <f t="shared" si="1"/>
        <v>16.425000000000001</v>
      </c>
      <c r="E25" s="62">
        <f t="shared" si="4"/>
        <v>30</v>
      </c>
      <c r="F25" s="63">
        <f xml:space="preserve"> ( ( 'Evolução Atendimento'!$R24+'Evolução Atendimento'!S24+'Evolução Atendimento'!T24 ) * ( $B25 ) *  ( $D25 ) )</f>
        <v>1899.961875</v>
      </c>
      <c r="G25" s="17">
        <f t="shared" si="0"/>
        <v>56998.856249999997</v>
      </c>
    </row>
    <row r="26" spans="1:7" ht="15" customHeight="1">
      <c r="A26" s="2">
        <f t="shared" si="2"/>
        <v>22</v>
      </c>
      <c r="B26" s="66">
        <f t="shared" si="3"/>
        <v>1E-3</v>
      </c>
      <c r="C26" s="66">
        <v>4.4999999999999998E-2</v>
      </c>
      <c r="D26" s="62">
        <f t="shared" si="1"/>
        <v>16.425000000000001</v>
      </c>
      <c r="E26" s="62">
        <f t="shared" si="4"/>
        <v>30</v>
      </c>
      <c r="F26" s="63">
        <f xml:space="preserve"> ( ( 'Evolução Atendimento'!$R25+'Evolução Atendimento'!S25+'Evolução Atendimento'!T25 ) * ( $B26 ) *  ( $D26 ) )</f>
        <v>1921.807125</v>
      </c>
      <c r="G26" s="17">
        <f t="shared" si="0"/>
        <v>57654.213750000003</v>
      </c>
    </row>
    <row r="27" spans="1:7" ht="15" customHeight="1">
      <c r="A27" s="2">
        <f t="shared" si="2"/>
        <v>23</v>
      </c>
      <c r="B27" s="66">
        <f t="shared" si="3"/>
        <v>1E-3</v>
      </c>
      <c r="C27" s="66">
        <v>4.4999999999999998E-2</v>
      </c>
      <c r="D27" s="62">
        <f t="shared" si="1"/>
        <v>16.425000000000001</v>
      </c>
      <c r="E27" s="62">
        <f t="shared" si="4"/>
        <v>30</v>
      </c>
      <c r="F27" s="63">
        <f xml:space="preserve"> ( ( 'Evolução Atendimento'!$R26+'Evolução Atendimento'!S26+'Evolução Atendimento'!T26 ) * ( $B27 ) *  ( $D27 ) )</f>
        <v>1943.9316000000001</v>
      </c>
      <c r="G27" s="17">
        <f t="shared" si="0"/>
        <v>58317.948000000004</v>
      </c>
    </row>
    <row r="28" spans="1:7" s="24" customFormat="1" ht="15" customHeight="1">
      <c r="A28" s="2">
        <f t="shared" si="2"/>
        <v>24</v>
      </c>
      <c r="B28" s="66">
        <f t="shared" si="3"/>
        <v>1E-3</v>
      </c>
      <c r="C28" s="66">
        <v>4.4999999999999998E-2</v>
      </c>
      <c r="D28" s="62">
        <f t="shared" si="1"/>
        <v>16.425000000000001</v>
      </c>
      <c r="E28" s="62">
        <f t="shared" si="4"/>
        <v>30</v>
      </c>
      <c r="F28" s="63">
        <f xml:space="preserve"> ( ( 'Evolução Atendimento'!$R27+'Evolução Atendimento'!S27+'Evolução Atendimento'!T27 ) * ( $B28 ) *  ( $D28 ) )</f>
        <v>1966.2696000000001</v>
      </c>
      <c r="G28" s="17">
        <f t="shared" si="0"/>
        <v>58988.088000000003</v>
      </c>
    </row>
    <row r="29" spans="1:7" s="24" customFormat="1" ht="15" customHeight="1">
      <c r="A29" s="2">
        <f t="shared" si="2"/>
        <v>25</v>
      </c>
      <c r="B29" s="66">
        <f t="shared" si="3"/>
        <v>1E-3</v>
      </c>
      <c r="C29" s="66">
        <v>4.4999999999999998E-2</v>
      </c>
      <c r="D29" s="62">
        <f t="shared" si="1"/>
        <v>16.425000000000001</v>
      </c>
      <c r="E29" s="62">
        <f t="shared" si="4"/>
        <v>30</v>
      </c>
      <c r="F29" s="63">
        <f xml:space="preserve"> ( ( 'Evolução Atendimento'!$R28+'Evolução Atendimento'!S28+'Evolução Atendimento'!T28 ) * ( $B29 ) *  ( $D29 ) )</f>
        <v>1988.9196750000003</v>
      </c>
      <c r="G29" s="17">
        <f t="shared" si="0"/>
        <v>59667.590250000008</v>
      </c>
    </row>
    <row r="30" spans="1:7" ht="15" customHeight="1">
      <c r="A30" s="2">
        <f t="shared" si="2"/>
        <v>26</v>
      </c>
      <c r="B30" s="66">
        <f t="shared" si="3"/>
        <v>1E-3</v>
      </c>
      <c r="C30" s="66">
        <v>4.4999999999999998E-2</v>
      </c>
      <c r="D30" s="62">
        <f t="shared" si="1"/>
        <v>16.425000000000001</v>
      </c>
      <c r="E30" s="62">
        <f t="shared" si="4"/>
        <v>30</v>
      </c>
      <c r="F30" s="63">
        <f xml:space="preserve"> ( ( 'Evolução Atendimento'!$R29+'Evolução Atendimento'!S29+'Evolução Atendimento'!T29 ) * ( $B30 ) *  ( $D30 ) )</f>
        <v>2011.8325500000001</v>
      </c>
      <c r="G30" s="17">
        <f t="shared" si="0"/>
        <v>60354.976500000004</v>
      </c>
    </row>
    <row r="31" spans="1:7" s="24" customFormat="1" ht="15" customHeight="1">
      <c r="A31" s="2">
        <f t="shared" si="2"/>
        <v>27</v>
      </c>
      <c r="B31" s="66">
        <f t="shared" si="3"/>
        <v>1E-3</v>
      </c>
      <c r="C31" s="66">
        <v>4.4999999999999998E-2</v>
      </c>
      <c r="D31" s="62">
        <f t="shared" si="1"/>
        <v>16.425000000000001</v>
      </c>
      <c r="E31" s="62">
        <f t="shared" si="4"/>
        <v>30</v>
      </c>
      <c r="F31" s="63">
        <f xml:space="preserve"> ( ( 'Evolução Atendimento'!$R30+'Evolução Atendimento'!S30+'Evolução Atendimento'!T30 ) * ( $B31 ) *  ( $D31 ) )</f>
        <v>2034.975375</v>
      </c>
      <c r="G31" s="17">
        <f t="shared" si="0"/>
        <v>61049.261249999996</v>
      </c>
    </row>
    <row r="32" spans="1:7" s="24" customFormat="1" ht="15" customHeight="1">
      <c r="A32" s="2">
        <f t="shared" si="2"/>
        <v>28</v>
      </c>
      <c r="B32" s="66">
        <f t="shared" si="3"/>
        <v>1E-3</v>
      </c>
      <c r="C32" s="66">
        <v>4.4999999999999998E-2</v>
      </c>
      <c r="D32" s="62">
        <f t="shared" si="1"/>
        <v>16.425000000000001</v>
      </c>
      <c r="E32" s="62">
        <f t="shared" si="4"/>
        <v>30</v>
      </c>
      <c r="F32" s="63">
        <f xml:space="preserve"> ( ( 'Evolução Atendimento'!$R31+'Evolução Atendimento'!S31+'Evolução Atendimento'!T31 ) * ( $B32 ) *  ( $D32 ) )</f>
        <v>2058.3810000000003</v>
      </c>
      <c r="G32" s="17">
        <f t="shared" si="0"/>
        <v>61751.430000000008</v>
      </c>
    </row>
    <row r="33" spans="1:7" s="24" customFormat="1" ht="15" customHeight="1">
      <c r="A33" s="2">
        <f t="shared" si="2"/>
        <v>29</v>
      </c>
      <c r="B33" s="66">
        <f t="shared" si="3"/>
        <v>1E-3</v>
      </c>
      <c r="C33" s="66">
        <v>4.4999999999999998E-2</v>
      </c>
      <c r="D33" s="62">
        <f t="shared" si="1"/>
        <v>16.425000000000001</v>
      </c>
      <c r="E33" s="62">
        <f t="shared" si="4"/>
        <v>30</v>
      </c>
      <c r="F33" s="63">
        <f xml:space="preserve"> ( ( 'Evolução Atendimento'!$R32+'Evolução Atendimento'!S32+'Evolução Atendimento'!T32 ) * ( $B33 ) *  ( $D33 ) )</f>
        <v>2082.0822750000002</v>
      </c>
      <c r="G33" s="17">
        <f t="shared" si="0"/>
        <v>62462.468250000005</v>
      </c>
    </row>
    <row r="34" spans="1:7" s="24" customFormat="1" ht="15" customHeight="1">
      <c r="A34" s="2">
        <f t="shared" si="2"/>
        <v>30</v>
      </c>
      <c r="B34" s="66">
        <f t="shared" si="3"/>
        <v>1E-3</v>
      </c>
      <c r="C34" s="66">
        <v>4.4999999999999998E-2</v>
      </c>
      <c r="D34" s="62">
        <f t="shared" si="1"/>
        <v>16.425000000000001</v>
      </c>
      <c r="E34" s="62">
        <f t="shared" si="4"/>
        <v>30</v>
      </c>
      <c r="F34" s="63">
        <f xml:space="preserve"> ( ( 'Evolução Atendimento'!$R33+'Evolução Atendimento'!S33+'Evolução Atendimento'!T33 ) * ( $B34 ) *  ( $D34 ) )</f>
        <v>2106.0299250000003</v>
      </c>
      <c r="G34" s="17">
        <f t="shared" si="0"/>
        <v>63180.897750000011</v>
      </c>
    </row>
    <row r="35" spans="1:7" s="24" customFormat="1" ht="15" customHeight="1">
      <c r="A35" s="1011" t="s">
        <v>0</v>
      </c>
      <c r="B35" s="1012"/>
      <c r="C35" s="1012"/>
      <c r="D35" s="1012"/>
      <c r="E35" s="1013"/>
      <c r="F35" s="11">
        <f>SUM(F5:F34)</f>
        <v>44369.033175000011</v>
      </c>
      <c r="G35" s="65">
        <f>SUM(G5:G34)</f>
        <v>1331070.9952499999</v>
      </c>
    </row>
    <row r="38" spans="1:7" ht="15" customHeight="1">
      <c r="C38" s="82"/>
    </row>
    <row r="39" spans="1:7" ht="15" customHeight="1"/>
    <row r="40" spans="1:7" ht="15" customHeight="1"/>
    <row r="41" spans="1:7" ht="15" customHeight="1"/>
    <row r="42" spans="1:7" ht="15" customHeight="1"/>
    <row r="43" spans="1:7" ht="15" customHeight="1"/>
  </sheetData>
  <mergeCells count="1">
    <mergeCell ref="A35:E35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</sheetPr>
  <dimension ref="A1:E38"/>
  <sheetViews>
    <sheetView zoomScale="70" zoomScaleNormal="70" zoomScalePageLayoutView="90" workbookViewId="0">
      <selection activeCell="F40" sqref="F40"/>
    </sheetView>
  </sheetViews>
  <sheetFormatPr defaultColWidth="15.77734375" defaultRowHeight="15" customHeight="1"/>
  <cols>
    <col min="1" max="1" width="10.77734375" style="68" customWidth="1"/>
    <col min="2" max="2" width="21.77734375" style="68" customWidth="1"/>
    <col min="3" max="4" width="25.6640625" style="68" customWidth="1"/>
    <col min="5" max="5" width="2.77734375" style="68" customWidth="1"/>
    <col min="6" max="16384" width="15.77734375" style="68"/>
  </cols>
  <sheetData>
    <row r="1" spans="1:5" s="23" customFormat="1" ht="40.049999999999997" customHeight="1">
      <c r="A1" s="59" t="s">
        <v>58</v>
      </c>
      <c r="B1" s="59"/>
      <c r="C1" s="59"/>
      <c r="D1" s="59"/>
      <c r="E1" s="59"/>
    </row>
    <row r="2" spans="1:5" ht="15" customHeight="1">
      <c r="A2" s="67" t="s">
        <v>50</v>
      </c>
    </row>
    <row r="3" spans="1:5" ht="15" customHeight="1">
      <c r="A3" s="67"/>
    </row>
    <row r="4" spans="1:5" ht="51" customHeight="1">
      <c r="A4" s="36" t="s">
        <v>1</v>
      </c>
      <c r="B4" s="6" t="s">
        <v>281</v>
      </c>
      <c r="C4" s="6" t="s">
        <v>282</v>
      </c>
      <c r="D4" s="6" t="s">
        <v>290</v>
      </c>
      <c r="E4" s="67"/>
    </row>
    <row r="5" spans="1:5" s="67" customFormat="1" ht="15" customHeight="1">
      <c r="A5" s="2">
        <v>1</v>
      </c>
      <c r="B5" s="12">
        <f>'PQ01-ETA'!E5+'PQ02-ETA'!E5+'PQ03-ETA'!E5+'PA04-ETA'!E5+'PQ05-ETA'!F5+'PQ06-ETA'!E5</f>
        <v>2417093.1839467138</v>
      </c>
      <c r="C5" s="12">
        <f>'PQ07-ETE'!E5+'PQ08-ETE'!E5+'PQ09-ETE'!E5+'PQ10-ETE'!G5</f>
        <v>0</v>
      </c>
      <c r="D5" s="12">
        <f>B5+C5</f>
        <v>2417093.1839467138</v>
      </c>
    </row>
    <row r="6" spans="1:5" ht="15" customHeight="1">
      <c r="A6" s="2">
        <f xml:space="preserve"> ( ( A5 ) + ( 1 ) )</f>
        <v>2</v>
      </c>
      <c r="B6" s="12">
        <f>'PQ01-ETA'!E6+'PQ02-ETA'!E6+'PQ03-ETA'!E6+'PA04-ETA'!E6+'PQ05-ETA'!F6+'PQ06-ETA'!E6</f>
        <v>2396641.5780435996</v>
      </c>
      <c r="C6" s="12">
        <f>'PQ07-ETE'!E6+'PQ08-ETE'!E6+'PQ09-ETE'!E6+'PQ10-ETE'!G6</f>
        <v>0</v>
      </c>
      <c r="D6" s="12">
        <f t="shared" ref="D6:D34" si="0">B6+C6</f>
        <v>2396641.5780435996</v>
      </c>
    </row>
    <row r="7" spans="1:5" ht="15" customHeight="1">
      <c r="A7" s="2">
        <f t="shared" ref="A7:A34" si="1" xml:space="preserve"> ( ( A6 ) + ( 1 ) )</f>
        <v>3</v>
      </c>
      <c r="B7" s="12">
        <f>'PQ01-ETA'!E7+'PQ02-ETA'!E7+'PQ03-ETA'!E7+'PA04-ETA'!E7+'PQ05-ETA'!F7+'PQ06-ETA'!E7</f>
        <v>2385622.7868815488</v>
      </c>
      <c r="C7" s="12">
        <f>'PQ07-ETE'!E7+'PQ08-ETE'!E7+'PQ09-ETE'!E7+'PQ10-ETE'!G7</f>
        <v>0</v>
      </c>
      <c r="D7" s="12">
        <f t="shared" si="0"/>
        <v>2385622.7868815488</v>
      </c>
    </row>
    <row r="8" spans="1:5" ht="15" customHeight="1">
      <c r="A8" s="2">
        <f t="shared" si="1"/>
        <v>4</v>
      </c>
      <c r="B8" s="12">
        <f>'PQ01-ETA'!E8+'PQ02-ETA'!E8+'PQ03-ETA'!E8+'PA04-ETA'!E8+'PQ05-ETA'!F8+'PQ06-ETA'!E8</f>
        <v>2337394.0707761594</v>
      </c>
      <c r="C8" s="12">
        <f>'PQ07-ETE'!E8+'PQ08-ETE'!E8+'PQ09-ETE'!E8+'PQ10-ETE'!G8</f>
        <v>178239.22414642223</v>
      </c>
      <c r="D8" s="12">
        <f t="shared" si="0"/>
        <v>2515633.2949225819</v>
      </c>
    </row>
    <row r="9" spans="1:5" s="67" customFormat="1" ht="15" customHeight="1">
      <c r="A9" s="2">
        <f t="shared" si="1"/>
        <v>5</v>
      </c>
      <c r="B9" s="12">
        <f>'PQ01-ETA'!E9+'PQ02-ETA'!E9+'PQ03-ETA'!E9+'PA04-ETA'!E9+'PQ05-ETA'!F9+'PQ06-ETA'!E9</f>
        <v>2332363.6004365296</v>
      </c>
      <c r="C9" s="12">
        <f>'PQ07-ETE'!E9+'PQ08-ETE'!E9+'PQ09-ETE'!E9+'PQ10-ETE'!G9</f>
        <v>344804.46373269334</v>
      </c>
      <c r="D9" s="12">
        <f t="shared" si="0"/>
        <v>2677168.064169223</v>
      </c>
    </row>
    <row r="10" spans="1:5" ht="15" customHeight="1">
      <c r="A10" s="2">
        <f t="shared" si="1"/>
        <v>6</v>
      </c>
      <c r="B10" s="12">
        <f>'PQ01-ETA'!E10+'PQ02-ETA'!E10+'PQ03-ETA'!E10+'PA04-ETA'!E10+'PQ05-ETA'!F10+'PQ06-ETA'!E10</f>
        <v>2270713.8172007962</v>
      </c>
      <c r="C10" s="12">
        <f>'PQ07-ETE'!E10+'PQ08-ETE'!E10+'PQ09-ETE'!E10+'PQ10-ETE'!G10</f>
        <v>513780.97896654846</v>
      </c>
      <c r="D10" s="12">
        <f t="shared" si="0"/>
        <v>2784494.7961673448</v>
      </c>
    </row>
    <row r="11" spans="1:5" ht="15" customHeight="1">
      <c r="A11" s="2">
        <f t="shared" si="1"/>
        <v>7</v>
      </c>
      <c r="B11" s="12">
        <f>'PQ01-ETA'!E11+'PQ02-ETA'!E11+'PQ03-ETA'!E11+'PA04-ETA'!E11+'PQ05-ETA'!F11+'PQ06-ETA'!E11</f>
        <v>2214908.6033053007</v>
      </c>
      <c r="C11" s="12">
        <f>'PQ07-ETE'!E11+'PQ08-ETE'!E11+'PQ09-ETE'!E11+'PQ10-ETE'!G11</f>
        <v>621948.80814785999</v>
      </c>
      <c r="D11" s="12">
        <f t="shared" si="0"/>
        <v>2836857.4114531605</v>
      </c>
    </row>
    <row r="12" spans="1:5" ht="15" customHeight="1">
      <c r="A12" s="2">
        <f t="shared" si="1"/>
        <v>8</v>
      </c>
      <c r="B12" s="12">
        <f>'PQ01-ETA'!E12+'PQ02-ETA'!E12+'PQ03-ETA'!E12+'PA04-ETA'!E12+'PQ05-ETA'!F12+'PQ06-ETA'!E12</f>
        <v>2134146.288220284</v>
      </c>
      <c r="C12" s="12">
        <f>'PQ07-ETE'!E12+'PQ08-ETE'!E12+'PQ09-ETE'!E12+'PQ10-ETE'!G12</f>
        <v>726634.79195366439</v>
      </c>
      <c r="D12" s="12">
        <f t="shared" si="0"/>
        <v>2860781.0801739483</v>
      </c>
    </row>
    <row r="13" spans="1:5" s="67" customFormat="1" ht="15" customHeight="1">
      <c r="A13" s="2">
        <f t="shared" si="1"/>
        <v>9</v>
      </c>
      <c r="B13" s="12">
        <f>'PQ01-ETA'!E13+'PQ02-ETA'!E13+'PQ03-ETA'!E13+'PA04-ETA'!E13+'PQ05-ETA'!F13+'PQ06-ETA'!E13</f>
        <v>2117991.4757720712</v>
      </c>
      <c r="C13" s="12">
        <f>'PQ07-ETE'!E13+'PQ08-ETE'!E13+'PQ09-ETE'!E13+'PQ10-ETE'!G13</f>
        <v>833120.55414792791</v>
      </c>
      <c r="D13" s="12">
        <f t="shared" si="0"/>
        <v>2951112.0299199992</v>
      </c>
    </row>
    <row r="14" spans="1:5" s="67" customFormat="1" ht="15" customHeight="1">
      <c r="A14" s="2">
        <f t="shared" si="1"/>
        <v>10</v>
      </c>
      <c r="B14" s="12">
        <f>'PQ01-ETA'!E14+'PQ02-ETA'!E14+'PQ03-ETA'!E14+'PA04-ETA'!E14+'PQ05-ETA'!F14+'PQ06-ETA'!E14</f>
        <v>2131097.2585410494</v>
      </c>
      <c r="C14" s="12">
        <f>'PQ07-ETE'!E14+'PQ08-ETE'!E14+'PQ09-ETE'!E14+'PQ10-ETE'!G14</f>
        <v>848561.85797961487</v>
      </c>
      <c r="D14" s="12">
        <f t="shared" si="0"/>
        <v>2979659.1165206642</v>
      </c>
    </row>
    <row r="15" spans="1:5" ht="15" customHeight="1">
      <c r="A15" s="2">
        <f t="shared" si="1"/>
        <v>11</v>
      </c>
      <c r="B15" s="12">
        <f>'PQ01-ETA'!E15+'PQ02-ETA'!E15+'PQ03-ETA'!E15+'PA04-ETA'!E15+'PQ05-ETA'!F15+'PQ06-ETA'!E15</f>
        <v>2172817.4440292944</v>
      </c>
      <c r="C15" s="12">
        <f>'PQ07-ETE'!E15+'PQ08-ETE'!E15+'PQ09-ETE'!E15+'PQ10-ETE'!G15</f>
        <v>858514.30122906587</v>
      </c>
      <c r="D15" s="12">
        <f t="shared" si="0"/>
        <v>3031331.7452583602</v>
      </c>
    </row>
    <row r="16" spans="1:5" ht="15" customHeight="1">
      <c r="A16" s="2">
        <f t="shared" si="1"/>
        <v>12</v>
      </c>
      <c r="B16" s="12">
        <f>'PQ01-ETA'!E16+'PQ02-ETA'!E16+'PQ03-ETA'!E16+'PA04-ETA'!E16+'PQ05-ETA'!F16+'PQ06-ETA'!E16</f>
        <v>2214912.1458931752</v>
      </c>
      <c r="C16" s="12">
        <f>'PQ07-ETE'!E16+'PQ08-ETE'!E16+'PQ09-ETE'!E16+'PQ10-ETE'!G16</f>
        <v>868467.00307399349</v>
      </c>
      <c r="D16" s="12">
        <f t="shared" si="0"/>
        <v>3083379.1489671688</v>
      </c>
    </row>
    <row r="17" spans="1:4" ht="15" customHeight="1">
      <c r="A17" s="2">
        <f t="shared" si="1"/>
        <v>13</v>
      </c>
      <c r="B17" s="12">
        <f>'PQ01-ETA'!E17+'PQ02-ETA'!E17+'PQ03-ETA'!E17+'PA04-ETA'!E17+'PQ05-ETA'!F17+'PQ06-ETA'!E17</f>
        <v>2257381.3641326926</v>
      </c>
      <c r="C17" s="12">
        <f>'PQ07-ETE'!E17+'PQ08-ETE'!E17+'PQ09-ETE'!E17+'PQ10-ETE'!G17</f>
        <v>878418.32056131004</v>
      </c>
      <c r="D17" s="12">
        <f t="shared" si="0"/>
        <v>3135799.6846940024</v>
      </c>
    </row>
    <row r="18" spans="1:4" ht="15" customHeight="1">
      <c r="A18" s="2">
        <f t="shared" si="1"/>
        <v>14</v>
      </c>
      <c r="B18" s="12">
        <f>'PQ01-ETA'!E18+'PQ02-ETA'!E18+'PQ03-ETA'!E18+'PA04-ETA'!E18+'PQ05-ETA'!F18+'PQ06-ETA'!E18</f>
        <v>2300225.0987478476</v>
      </c>
      <c r="C18" s="12">
        <f>'PQ07-ETE'!E18+'PQ08-ETE'!E18+'PQ09-ETE'!E18+'PQ10-ETE'!G18</f>
        <v>888370.52965676109</v>
      </c>
      <c r="D18" s="12">
        <f t="shared" si="0"/>
        <v>3188595.6284046089</v>
      </c>
    </row>
    <row r="19" spans="1:4" ht="15" customHeight="1">
      <c r="A19" s="2">
        <f t="shared" si="1"/>
        <v>15</v>
      </c>
      <c r="B19" s="12">
        <f>'PQ01-ETA'!E19+'PQ02-ETA'!E19+'PQ03-ETA'!E19+'PA04-ETA'!E19+'PQ05-ETA'!F19+'PQ06-ETA'!E19</f>
        <v>2343461.8717612876</v>
      </c>
      <c r="C19" s="12">
        <f>'PQ07-ETE'!E19+'PQ08-ETE'!E19+'PQ09-ETE'!E19+'PQ10-ETE'!G19</f>
        <v>898328.67856440647</v>
      </c>
      <c r="D19" s="12">
        <f t="shared" si="0"/>
        <v>3241790.550325694</v>
      </c>
    </row>
    <row r="20" spans="1:4" ht="15" customHeight="1">
      <c r="A20" s="2">
        <f t="shared" si="1"/>
        <v>16</v>
      </c>
      <c r="B20" s="12">
        <f>'PQ01-ETA'!E20+'PQ02-ETA'!E20+'PQ03-ETA'!E20+'PA04-ETA'!E20+'PQ05-ETA'!F20+'PQ06-ETA'!E20</f>
        <v>2387065.7383176852</v>
      </c>
      <c r="C20" s="12">
        <f>'PQ07-ETE'!E20+'PQ08-ETE'!E20+'PQ09-ETE'!E20+'PQ10-ETE'!G20</f>
        <v>908280.65350580355</v>
      </c>
      <c r="D20" s="12">
        <f t="shared" si="0"/>
        <v>3295346.3918234888</v>
      </c>
    </row>
    <row r="21" spans="1:4" ht="15" customHeight="1">
      <c r="A21" s="2">
        <f t="shared" si="1"/>
        <v>17</v>
      </c>
      <c r="B21" s="12">
        <f>'PQ01-ETA'!E21+'PQ02-ETA'!E21+'PQ03-ETA'!E21+'PA04-ETA'!E21+'PQ05-ETA'!F21+'PQ06-ETA'!E21</f>
        <v>2431033.2754537789</v>
      </c>
      <c r="C21" s="12">
        <f>'PQ07-ETE'!E21+'PQ08-ETE'!E21+'PQ09-ETE'!E21+'PQ10-ETE'!G21</f>
        <v>918233.09675702592</v>
      </c>
      <c r="D21" s="12">
        <f t="shared" si="0"/>
        <v>3349266.3722108048</v>
      </c>
    </row>
    <row r="22" spans="1:4" ht="15" customHeight="1">
      <c r="A22" s="2">
        <f t="shared" si="1"/>
        <v>18</v>
      </c>
      <c r="B22" s="12">
        <f>'PQ01-ETA'!E22+'PQ02-ETA'!E22+'PQ03-ETA'!E22+'PA04-ETA'!E22+'PQ05-ETA'!F22+'PQ06-ETA'!E22</f>
        <v>2475583.2531590904</v>
      </c>
      <c r="C22" s="12">
        <f>'PQ07-ETE'!E22+'PQ08-ETE'!E22+'PQ09-ETE'!E22+'PQ10-ETE'!G22</f>
        <v>928253.09394084138</v>
      </c>
      <c r="D22" s="12">
        <f t="shared" si="0"/>
        <v>3403836.3470999319</v>
      </c>
    </row>
    <row r="23" spans="1:4" ht="15" customHeight="1">
      <c r="A23" s="2">
        <f t="shared" si="1"/>
        <v>19</v>
      </c>
      <c r="B23" s="12">
        <f>'PQ01-ETA'!E23+'PQ02-ETA'!E23+'PQ03-ETA'!E23+'PA04-ETA'!E23+'PQ05-ETA'!F23+'PQ06-ETA'!E23</f>
        <v>2520958.9410123848</v>
      </c>
      <c r="C23" s="12">
        <f>'PQ07-ETE'!E23+'PQ08-ETE'!E23+'PQ09-ETE'!E23+'PQ10-ETE'!G23</f>
        <v>938383.69847099134</v>
      </c>
      <c r="D23" s="12">
        <f t="shared" si="0"/>
        <v>3459342.6394833764</v>
      </c>
    </row>
    <row r="24" spans="1:4" ht="15" customHeight="1">
      <c r="A24" s="2">
        <f t="shared" si="1"/>
        <v>20</v>
      </c>
      <c r="B24" s="12">
        <f>'PQ01-ETA'!E24+'PQ02-ETA'!E24+'PQ03-ETA'!E24+'PA04-ETA'!E24+'PQ05-ETA'!F24+'PQ06-ETA'!E24</f>
        <v>2567240.0277499063</v>
      </c>
      <c r="C24" s="12">
        <f>'PQ07-ETE'!E24+'PQ08-ETE'!E24+'PQ09-ETE'!E24+'PQ10-ETE'!G24</f>
        <v>948631.83077510353</v>
      </c>
      <c r="D24" s="12">
        <f t="shared" si="0"/>
        <v>3515871.8585250098</v>
      </c>
    </row>
    <row r="25" spans="1:4" ht="15" customHeight="1">
      <c r="A25" s="2">
        <f t="shared" si="1"/>
        <v>21</v>
      </c>
      <c r="B25" s="12">
        <f>'PQ01-ETA'!E25+'PQ02-ETA'!E25+'PQ03-ETA'!E25+'PA04-ETA'!E25+'PQ05-ETA'!F25+'PQ06-ETA'!E25</f>
        <v>2614459.0451010135</v>
      </c>
      <c r="C25" s="12">
        <f>'PQ07-ETE'!E25+'PQ08-ETE'!E25+'PQ09-ETE'!E25+'PQ10-ETE'!G25</f>
        <v>959001.109687355</v>
      </c>
      <c r="D25" s="12">
        <f t="shared" si="0"/>
        <v>3573460.1547883684</v>
      </c>
    </row>
    <row r="26" spans="1:4" ht="15" customHeight="1">
      <c r="A26" s="2">
        <f t="shared" si="1"/>
        <v>22</v>
      </c>
      <c r="B26" s="12">
        <f>'PQ01-ETA'!E26+'PQ02-ETA'!E26+'PQ03-ETA'!E26+'PA04-ETA'!E26+'PQ05-ETA'!F26+'PQ06-ETA'!E26</f>
        <v>2662641.5322007588</v>
      </c>
      <c r="C26" s="12">
        <f>'PQ07-ETE'!E26+'PQ08-ETE'!E26+'PQ09-ETE'!E26+'PQ10-ETE'!G26</f>
        <v>969492.23767713341</v>
      </c>
      <c r="D26" s="12">
        <f t="shared" si="0"/>
        <v>3632133.769877892</v>
      </c>
    </row>
    <row r="27" spans="1:4" ht="15" customHeight="1">
      <c r="A27" s="2">
        <f t="shared" si="1"/>
        <v>23</v>
      </c>
      <c r="B27" s="12">
        <f>'PQ01-ETA'!E27+'PQ02-ETA'!E27+'PQ03-ETA'!E27+'PA04-ETA'!E27+'PQ05-ETA'!F27+'PQ06-ETA'!E27</f>
        <v>2711801.8389004767</v>
      </c>
      <c r="C27" s="12">
        <f>'PQ07-ETE'!E27+'PQ08-ETE'!E27+'PQ09-ETE'!E27+'PQ10-ETE'!G27</f>
        <v>980103.78538541181</v>
      </c>
      <c r="D27" s="12">
        <f t="shared" si="0"/>
        <v>3691905.6242858884</v>
      </c>
    </row>
    <row r="28" spans="1:4" s="67" customFormat="1" ht="15" customHeight="1">
      <c r="A28" s="2">
        <f t="shared" si="1"/>
        <v>24</v>
      </c>
      <c r="B28" s="12">
        <f>'PQ01-ETA'!E28+'PQ02-ETA'!E28+'PQ03-ETA'!E28+'PA04-ETA'!E28+'PQ05-ETA'!F28+'PQ06-ETA'!E28</f>
        <v>2761974.1721075131</v>
      </c>
      <c r="C28" s="12">
        <f>'PQ07-ETE'!E28+'PQ08-ETE'!E28+'PQ09-ETE'!E28+'PQ10-ETE'!G28</f>
        <v>990846.03099264181</v>
      </c>
      <c r="D28" s="12">
        <f t="shared" si="0"/>
        <v>3752820.2031001551</v>
      </c>
    </row>
    <row r="29" spans="1:4" s="67" customFormat="1" ht="15" customHeight="1">
      <c r="A29" s="2">
        <f t="shared" si="1"/>
        <v>25</v>
      </c>
      <c r="B29" s="12">
        <f>'PQ01-ETA'!E29+'PQ02-ETA'!E29+'PQ03-ETA'!E29+'PA04-ETA'!E29+'PQ05-ETA'!F29+'PQ06-ETA'!E29</f>
        <v>2813185.7877957639</v>
      </c>
      <c r="C29" s="12">
        <f>'PQ07-ETE'!E29+'PQ08-ETE'!E29+'PQ09-ETE'!E29+'PQ10-ETE'!G29</f>
        <v>1001717.0754909237</v>
      </c>
      <c r="D29" s="12">
        <f t="shared" si="0"/>
        <v>3814902.8632866875</v>
      </c>
    </row>
    <row r="30" spans="1:4" ht="15" customHeight="1">
      <c r="A30" s="2">
        <f t="shared" si="1"/>
        <v>26</v>
      </c>
      <c r="B30" s="12">
        <f>'PQ01-ETA'!E30+'PQ02-ETA'!E30+'PQ03-ETA'!E30+'PA04-ETA'!E30+'PQ05-ETA'!F30+'PQ06-ETA'!E30</f>
        <v>2865412.4440617906</v>
      </c>
      <c r="C30" s="12">
        <f>'PQ07-ETE'!E30+'PQ08-ETE'!E30+'PQ09-ETE'!E30+'PQ10-ETE'!G30</f>
        <v>1012698.9475808349</v>
      </c>
      <c r="D30" s="12">
        <f t="shared" si="0"/>
        <v>3878111.3916426254</v>
      </c>
    </row>
    <row r="31" spans="1:4" s="67" customFormat="1" ht="15" customHeight="1">
      <c r="A31" s="2">
        <f t="shared" si="1"/>
        <v>27</v>
      </c>
      <c r="B31" s="12">
        <f>'PQ01-ETA'!E31+'PQ02-ETA'!E31+'PQ03-ETA'!E31+'PA04-ETA'!E31+'PQ05-ETA'!F31+'PQ06-ETA'!E31</f>
        <v>2918684.4988973984</v>
      </c>
      <c r="C31" s="12">
        <f>'PQ07-ETE'!E31+'PQ08-ETE'!E31+'PQ09-ETE'!E31+'PQ10-ETE'!G31</f>
        <v>1023808.0463929658</v>
      </c>
      <c r="D31" s="12">
        <f t="shared" si="0"/>
        <v>3942492.545290364</v>
      </c>
    </row>
    <row r="32" spans="1:4" s="67" customFormat="1" ht="15" customHeight="1">
      <c r="A32" s="2">
        <f t="shared" si="1"/>
        <v>28</v>
      </c>
      <c r="B32" s="12">
        <f>'PQ01-ETA'!E32+'PQ02-ETA'!E32+'PQ03-ETA'!E32+'PA04-ETA'!E32+'PQ05-ETA'!F32+'PQ06-ETA'!E32</f>
        <v>2973042.3188458579</v>
      </c>
      <c r="C32" s="12">
        <f>'PQ07-ETE'!E32+'PQ08-ETE'!E32+'PQ09-ETE'!E32+'PQ10-ETE'!G32</f>
        <v>1035047.7028560711</v>
      </c>
      <c r="D32" s="12">
        <f t="shared" si="0"/>
        <v>4008090.0217019292</v>
      </c>
    </row>
    <row r="33" spans="1:4" s="67" customFormat="1" ht="15" customHeight="1">
      <c r="A33" s="2">
        <f t="shared" si="1"/>
        <v>29</v>
      </c>
      <c r="B33" s="12">
        <f>'PQ01-ETA'!E33+'PQ02-ETA'!E33+'PQ03-ETA'!E33+'PA04-ETA'!E33+'PQ05-ETA'!F33+'PQ06-ETA'!E33</f>
        <v>3028502.130811634</v>
      </c>
      <c r="C33" s="12">
        <f>'PQ07-ETE'!E33+'PQ08-ETE'!E33+'PQ09-ETE'!E33+'PQ10-ETE'!G33</f>
        <v>1046411.2167025249</v>
      </c>
      <c r="D33" s="12">
        <f t="shared" si="0"/>
        <v>4074913.347514159</v>
      </c>
    </row>
    <row r="34" spans="1:4" s="67" customFormat="1" ht="15" customHeight="1">
      <c r="A34" s="2">
        <f t="shared" si="1"/>
        <v>30</v>
      </c>
      <c r="B34" s="12">
        <f>'PQ01-ETA'!E34+'PQ02-ETA'!E34+'PQ03-ETA'!E34+'PA04-ETA'!E34+'PQ05-ETA'!F34+'PQ06-ETA'!E34</f>
        <v>3085100.8824036694</v>
      </c>
      <c r="C34" s="12">
        <f>'PQ07-ETE'!E34+'PQ08-ETE'!E34+'PQ09-ETE'!E34+'PQ10-ETE'!G34</f>
        <v>1057914.6227561189</v>
      </c>
      <c r="D34" s="12">
        <f t="shared" si="0"/>
        <v>4143015.5051597883</v>
      </c>
    </row>
    <row r="35" spans="1:4" s="67" customFormat="1" ht="15" customHeight="1">
      <c r="A35" s="70" t="s">
        <v>0</v>
      </c>
      <c r="B35" s="11">
        <f>SUM(B5:B34)</f>
        <v>74843456.474507064</v>
      </c>
      <c r="C35" s="11">
        <f>SUM(C5:C34)</f>
        <v>23178012.661132012</v>
      </c>
      <c r="D35" s="11">
        <f>SUM(D5:D34)</f>
        <v>98021469.135639101</v>
      </c>
    </row>
    <row r="38" spans="1:4" ht="15" customHeight="1">
      <c r="B38" s="25"/>
      <c r="C38" s="832"/>
    </row>
  </sheetData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H38"/>
  <sheetViews>
    <sheetView showGridLines="0" showZeros="0" zoomScale="55" zoomScaleNormal="55" zoomScalePageLayoutView="90" workbookViewId="0">
      <selection activeCell="I26" sqref="I26"/>
    </sheetView>
  </sheetViews>
  <sheetFormatPr defaultColWidth="15.77734375" defaultRowHeight="15" customHeight="1"/>
  <cols>
    <col min="1" max="1" width="10.77734375" style="25" customWidth="1"/>
    <col min="2" max="4" width="18.77734375" style="25" customWidth="1"/>
    <col min="5" max="5" width="31" style="25" customWidth="1"/>
    <col min="6" max="6" width="22" style="25" bestFit="1" customWidth="1"/>
    <col min="7" max="16384" width="15.77734375" style="25"/>
  </cols>
  <sheetData>
    <row r="1" spans="1:8" s="22" customFormat="1" ht="40.049999999999997" customHeight="1">
      <c r="A1" s="59" t="s">
        <v>165</v>
      </c>
      <c r="B1" s="60"/>
      <c r="C1" s="60"/>
      <c r="D1" s="60"/>
      <c r="E1" s="60"/>
    </row>
    <row r="2" spans="1:8" ht="15" customHeight="1">
      <c r="A2" s="24" t="s">
        <v>166</v>
      </c>
      <c r="E2" s="61"/>
    </row>
    <row r="3" spans="1:8" ht="15" customHeight="1">
      <c r="A3" s="24"/>
    </row>
    <row r="4" spans="1:8" ht="42" customHeight="1">
      <c r="A4" s="2" t="s">
        <v>1</v>
      </c>
      <c r="B4" s="6" t="s">
        <v>291</v>
      </c>
      <c r="C4" s="6" t="s">
        <v>168</v>
      </c>
      <c r="D4" s="6" t="s">
        <v>169</v>
      </c>
      <c r="E4" s="6" t="s">
        <v>170</v>
      </c>
      <c r="F4" s="6" t="s">
        <v>167</v>
      </c>
    </row>
    <row r="5" spans="1:8" s="24" customFormat="1" ht="15" customHeight="1">
      <c r="A5" s="2">
        <v>1</v>
      </c>
      <c r="B5" s="12">
        <f>'PQ05-ETA'!C5*$B$36</f>
        <v>2249.3397889776629</v>
      </c>
      <c r="C5" s="12">
        <f xml:space="preserve"> ( ( 'Evolução Atendimento'!$R4+'Evolução Atendimento'!S4+'Evolução Atendimento'!T4 ) * ( 'PQ10-ETE'!D5 ) ) / ( 1000 )</f>
        <v>0</v>
      </c>
      <c r="D5" s="63">
        <f>B5+C5</f>
        <v>2249.3397889776629</v>
      </c>
      <c r="E5" s="12">
        <v>300</v>
      </c>
      <c r="F5" s="12">
        <f xml:space="preserve"> ( ( $D5 ) * ( $E5 ) )</f>
        <v>674801.93669329886</v>
      </c>
    </row>
    <row r="6" spans="1:8" ht="15" customHeight="1">
      <c r="A6" s="2">
        <f xml:space="preserve"> ( ( A5 ) + ( 1 ) )</f>
        <v>2</v>
      </c>
      <c r="B6" s="12">
        <f>'PQ05-ETA'!C6*$B$36</f>
        <v>2213.5623763131953</v>
      </c>
      <c r="C6" s="12">
        <f xml:space="preserve"> ( ( 'Evolução Atendimento'!$R5+'Evolução Atendimento'!S5+'Evolução Atendimento'!T5 ) * ( 'PQ10-ETE'!D6 ) ) / ( 1000 )</f>
        <v>0</v>
      </c>
      <c r="D6" s="63">
        <f t="shared" ref="D6:D34" si="0">B6+C6</f>
        <v>2213.5623763131953</v>
      </c>
      <c r="E6" s="12">
        <f>E5</f>
        <v>300</v>
      </c>
      <c r="F6" s="12">
        <f t="shared" ref="F6:F34" si="1" xml:space="preserve"> ( ( $D6 ) * ( $E6 ) )</f>
        <v>664068.71289395855</v>
      </c>
    </row>
    <row r="7" spans="1:8" ht="15" customHeight="1">
      <c r="A7" s="2">
        <f t="shared" ref="A7:A34" si="2" xml:space="preserve"> ( ( A6 ) + ( 1 ) )</f>
        <v>3</v>
      </c>
      <c r="B7" s="12">
        <f>'PQ05-ETA'!C7*$B$36</f>
        <v>2186.9655143582431</v>
      </c>
      <c r="C7" s="12">
        <f xml:space="preserve"> ( ( 'Evolução Atendimento'!$R6+'Evolução Atendimento'!S6+'Evolução Atendimento'!T6 ) * ( 'PQ10-ETE'!D7 ) ) / ( 1000 )</f>
        <v>0</v>
      </c>
      <c r="D7" s="63">
        <f t="shared" si="0"/>
        <v>2186.9655143582431</v>
      </c>
      <c r="E7" s="12">
        <f t="shared" ref="E7:E34" si="3">E6</f>
        <v>300</v>
      </c>
      <c r="F7" s="12">
        <f t="shared" si="1"/>
        <v>656089.65430747299</v>
      </c>
    </row>
    <row r="8" spans="1:8" ht="15" customHeight="1">
      <c r="A8" s="2">
        <f t="shared" si="2"/>
        <v>4</v>
      </c>
      <c r="B8" s="12">
        <f>'PQ05-ETA'!C8*$B$36</f>
        <v>2126.9030903161351</v>
      </c>
      <c r="C8" s="12">
        <f xml:space="preserve"> ( ( 'Evolução Atendimento'!$R7+'Evolução Atendimento'!S7+'Evolução Atendimento'!T7 ) * ( 'PQ10-ETE'!D8 ) ) / ( 1000 )</f>
        <v>0</v>
      </c>
      <c r="D8" s="63">
        <f t="shared" si="0"/>
        <v>2126.9030903161351</v>
      </c>
      <c r="E8" s="12">
        <f t="shared" si="3"/>
        <v>300</v>
      </c>
      <c r="F8" s="12">
        <f t="shared" si="1"/>
        <v>638070.92709484056</v>
      </c>
    </row>
    <row r="9" spans="1:8" s="24" customFormat="1" ht="15" customHeight="1">
      <c r="A9" s="2">
        <f t="shared" si="2"/>
        <v>5</v>
      </c>
      <c r="B9" s="12">
        <f>'PQ05-ETA'!C9*$B$36</f>
        <v>2106.7421586789605</v>
      </c>
      <c r="C9" s="12">
        <f xml:space="preserve"> ( ( 'Evolução Atendimento'!$R8+'Evolução Atendimento'!S8+'Evolução Atendimento'!T8 ) * ( 'PQ10-ETE'!D9 ) ) / ( 1000 )</f>
        <v>347.42160000000001</v>
      </c>
      <c r="D9" s="63">
        <f t="shared" si="0"/>
        <v>2454.1637586789607</v>
      </c>
      <c r="E9" s="12">
        <f t="shared" si="3"/>
        <v>300</v>
      </c>
      <c r="F9" s="12">
        <f t="shared" si="1"/>
        <v>736249.12760368816</v>
      </c>
      <c r="H9" s="25"/>
    </row>
    <row r="10" spans="1:8" ht="15" customHeight="1">
      <c r="A10" s="2">
        <f t="shared" si="2"/>
        <v>6</v>
      </c>
      <c r="B10" s="12">
        <f>'PQ05-ETA'!C10*$B$36</f>
        <v>2036.1056821301972</v>
      </c>
      <c r="C10" s="12">
        <f xml:space="preserve"> ( ( 'Evolução Atendimento'!$R9+'Evolução Atendimento'!S9+'Evolução Atendimento'!T9 ) * ( 'PQ10-ETE'!D10 ) ) / ( 1000 )</f>
        <v>704.17259999999999</v>
      </c>
      <c r="D10" s="63">
        <f t="shared" si="0"/>
        <v>2740.2782821301971</v>
      </c>
      <c r="E10" s="12">
        <f t="shared" si="3"/>
        <v>300</v>
      </c>
      <c r="F10" s="12">
        <f t="shared" si="1"/>
        <v>822083.48463905917</v>
      </c>
    </row>
    <row r="11" spans="1:8" ht="15" customHeight="1">
      <c r="A11" s="2">
        <f t="shared" si="2"/>
        <v>7</v>
      </c>
      <c r="B11" s="12">
        <f>'PQ05-ETA'!C11*$B$36</f>
        <v>1971.6846456382439</v>
      </c>
      <c r="C11" s="12">
        <f xml:space="preserve"> ( ( 'Evolução Atendimento'!$R10+'Evolução Atendimento'!S10+'Evolução Atendimento'!T10 ) * ( 'PQ10-ETE'!D11 ) ) / ( 1000 )</f>
        <v>1070.2365749999999</v>
      </c>
      <c r="D11" s="63">
        <f t="shared" si="0"/>
        <v>3041.9212206382435</v>
      </c>
      <c r="E11" s="12">
        <f t="shared" si="3"/>
        <v>300</v>
      </c>
      <c r="F11" s="12">
        <f t="shared" si="1"/>
        <v>912576.36619147309</v>
      </c>
    </row>
    <row r="12" spans="1:8" ht="15" customHeight="1">
      <c r="A12" s="2">
        <f t="shared" si="2"/>
        <v>8</v>
      </c>
      <c r="B12" s="12">
        <f>'PQ05-ETA'!C12*$B$36</f>
        <v>1886.1422565046987</v>
      </c>
      <c r="C12" s="12">
        <f xml:space="preserve"> ( ( 'Evolução Atendimento'!$R11+'Evolução Atendimento'!S11+'Evolução Atendimento'!T11 ) * ( 'PQ10-ETE'!D12 ) ) / ( 1000 )</f>
        <v>1264.905675</v>
      </c>
      <c r="D12" s="63">
        <f t="shared" si="0"/>
        <v>3151.0479315046987</v>
      </c>
      <c r="E12" s="12">
        <f t="shared" si="3"/>
        <v>300</v>
      </c>
      <c r="F12" s="12">
        <f t="shared" si="1"/>
        <v>945314.37945140956</v>
      </c>
    </row>
    <row r="13" spans="1:8" s="24" customFormat="1" ht="15" customHeight="1">
      <c r="A13" s="2">
        <f t="shared" si="2"/>
        <v>9</v>
      </c>
      <c r="B13" s="12">
        <f>'PQ05-ETA'!C13*$B$36</f>
        <v>1858.5125545037299</v>
      </c>
      <c r="C13" s="12">
        <f xml:space="preserve"> ( ( 'Evolução Atendimento'!$R12+'Evolução Atendimento'!S12+'Evolução Atendimento'!T12 ) * ( 'PQ10-ETE'!D13 ) ) / ( 1000 )</f>
        <v>1464.2394750000001</v>
      </c>
      <c r="D13" s="63">
        <f t="shared" si="0"/>
        <v>3322.7520295037302</v>
      </c>
      <c r="E13" s="12">
        <f t="shared" si="3"/>
        <v>300</v>
      </c>
      <c r="F13" s="12">
        <f t="shared" si="1"/>
        <v>996825.60885111906</v>
      </c>
      <c r="H13" s="25"/>
    </row>
    <row r="14" spans="1:8" s="24" customFormat="1" ht="15" customHeight="1">
      <c r="A14" s="2">
        <f t="shared" si="2"/>
        <v>10</v>
      </c>
      <c r="B14" s="12">
        <f>'PQ05-ETA'!C14*$B$36</f>
        <v>1856.7682079761821</v>
      </c>
      <c r="C14" s="12">
        <f xml:space="preserve"> ( ( 'Evolução Atendimento'!$R13+'Evolução Atendimento'!S13+'Evolução Atendimento'!T13 ) * ( 'PQ10-ETE'!D14 ) ) / ( 1000 )</f>
        <v>1668.22155</v>
      </c>
      <c r="D14" s="63">
        <f t="shared" si="0"/>
        <v>3524.9897579761819</v>
      </c>
      <c r="E14" s="12">
        <f t="shared" si="3"/>
        <v>300</v>
      </c>
      <c r="F14" s="12">
        <f t="shared" si="1"/>
        <v>1057496.9273928546</v>
      </c>
      <c r="H14" s="25"/>
    </row>
    <row r="15" spans="1:8" ht="15" customHeight="1">
      <c r="A15" s="2">
        <f t="shared" si="2"/>
        <v>11</v>
      </c>
      <c r="B15" s="12">
        <f>'PQ05-ETA'!C15*$B$36</f>
        <v>1879.8040288420191</v>
      </c>
      <c r="C15" s="12">
        <f xml:space="preserve"> ( ( 'Evolução Atendimento'!$R14+'Evolução Atendimento'!S14+'Evolução Atendimento'!T14 ) * ( 'PQ10-ETE'!D15 ) ) / ( 1000 )</f>
        <v>1689.163425</v>
      </c>
      <c r="D15" s="63">
        <f t="shared" si="0"/>
        <v>3568.967453842019</v>
      </c>
      <c r="E15" s="12">
        <f t="shared" si="3"/>
        <v>300</v>
      </c>
      <c r="F15" s="12">
        <f t="shared" si="1"/>
        <v>1070690.2361526056</v>
      </c>
    </row>
    <row r="16" spans="1:8" ht="15" customHeight="1">
      <c r="A16" s="2">
        <f t="shared" si="2"/>
        <v>12</v>
      </c>
      <c r="B16" s="12">
        <f>'PQ05-ETA'!C16*$B$36</f>
        <v>1902.8398497078551</v>
      </c>
      <c r="C16" s="12">
        <f xml:space="preserve"> ( ( 'Evolução Atendimento'!$R15+'Evolução Atendimento'!S15+'Evolução Atendimento'!T15 ) * ( 'PQ10-ETE'!D16 ) ) / ( 1000 )</f>
        <v>1710.1381500000002</v>
      </c>
      <c r="D16" s="63">
        <f t="shared" si="0"/>
        <v>3612.9779997078554</v>
      </c>
      <c r="E16" s="12">
        <f t="shared" si="3"/>
        <v>300</v>
      </c>
      <c r="F16" s="12">
        <f t="shared" si="1"/>
        <v>1083893.3999123566</v>
      </c>
    </row>
    <row r="17" spans="1:8" ht="15" customHeight="1">
      <c r="A17" s="2">
        <f t="shared" si="2"/>
        <v>13</v>
      </c>
      <c r="B17" s="12">
        <f>'PQ05-ETA'!C17*$B$36</f>
        <v>1925.875670573691</v>
      </c>
      <c r="C17" s="12">
        <f xml:space="preserve"> ( ( 'Evolução Atendimento'!$R16+'Evolução Atendimento'!S16+'Evolução Atendimento'!T16 ) * ( 'PQ10-ETE'!D17 ) ) / ( 1000 )</f>
        <v>1731.0964500000002</v>
      </c>
      <c r="D17" s="63">
        <f t="shared" si="0"/>
        <v>3656.9721205736914</v>
      </c>
      <c r="E17" s="12">
        <f t="shared" si="3"/>
        <v>300</v>
      </c>
      <c r="F17" s="12">
        <f t="shared" si="1"/>
        <v>1097091.6361721074</v>
      </c>
    </row>
    <row r="18" spans="1:8" ht="15" customHeight="1">
      <c r="A18" s="2">
        <f t="shared" si="2"/>
        <v>14</v>
      </c>
      <c r="B18" s="12">
        <f>'PQ05-ETA'!C18*$B$36</f>
        <v>1948.9114914395279</v>
      </c>
      <c r="C18" s="12">
        <f xml:space="preserve"> ( ( 'Evolução Atendimento'!$R17+'Evolução Atendimento'!S17+'Evolução Atendimento'!T17 ) * ( 'PQ10-ETE'!D18 ) ) / ( 1000 )</f>
        <v>1752.05475</v>
      </c>
      <c r="D18" s="63">
        <f t="shared" si="0"/>
        <v>3700.9662414395279</v>
      </c>
      <c r="E18" s="12">
        <f t="shared" si="3"/>
        <v>300</v>
      </c>
      <c r="F18" s="12">
        <f t="shared" si="1"/>
        <v>1110289.8724318584</v>
      </c>
    </row>
    <row r="19" spans="1:8" ht="15" customHeight="1">
      <c r="A19" s="2">
        <f t="shared" si="2"/>
        <v>15</v>
      </c>
      <c r="B19" s="12">
        <f>'PQ05-ETA'!C19*$B$36</f>
        <v>1971.9628981110914</v>
      </c>
      <c r="C19" s="12">
        <f xml:space="preserve"> ( ( 'Evolução Atendimento'!$R18+'Evolução Atendimento'!S18+'Evolução Atendimento'!T18 ) * ( 'PQ10-ETE'!D19 ) ) / ( 1000 )</f>
        <v>1773.01305</v>
      </c>
      <c r="D19" s="63">
        <f t="shared" si="0"/>
        <v>3744.9759481110914</v>
      </c>
      <c r="E19" s="12">
        <f t="shared" si="3"/>
        <v>300</v>
      </c>
      <c r="F19" s="12">
        <f t="shared" si="1"/>
        <v>1123492.7844333274</v>
      </c>
    </row>
    <row r="20" spans="1:8" ht="15" customHeight="1">
      <c r="A20" s="2">
        <f t="shared" si="2"/>
        <v>16</v>
      </c>
      <c r="B20" s="12">
        <f>'PQ05-ETA'!C20*$B$36</f>
        <v>1994.9987189769281</v>
      </c>
      <c r="C20" s="12">
        <f xml:space="preserve"> ( ( 'Evolução Atendimento'!$R19+'Evolução Atendimento'!S19+'Evolução Atendimento'!T19 ) * ( 'PQ10-ETE'!D20 ) ) / ( 1000 )</f>
        <v>1793.9877750000001</v>
      </c>
      <c r="D20" s="63">
        <f t="shared" si="0"/>
        <v>3788.9864939769282</v>
      </c>
      <c r="E20" s="12">
        <f t="shared" si="3"/>
        <v>300</v>
      </c>
      <c r="F20" s="12">
        <f t="shared" si="1"/>
        <v>1136695.9481930784</v>
      </c>
    </row>
    <row r="21" spans="1:8" ht="15" customHeight="1">
      <c r="A21" s="2">
        <f t="shared" si="2"/>
        <v>17</v>
      </c>
      <c r="B21" s="12">
        <f>'PQ05-ETA'!C21*$B$36</f>
        <v>2018.0345398427635</v>
      </c>
      <c r="C21" s="12">
        <f xml:space="preserve"> ( ( 'Evolução Atendimento'!$R20+'Evolução Atendimento'!S20+'Evolução Atendimento'!T20 ) * ( 'PQ10-ETE'!D21 ) ) / ( 1000 )</f>
        <v>1814.92965</v>
      </c>
      <c r="D21" s="63">
        <f t="shared" si="0"/>
        <v>3832.9641898427635</v>
      </c>
      <c r="E21" s="12">
        <f t="shared" si="3"/>
        <v>300</v>
      </c>
      <c r="F21" s="12">
        <f t="shared" si="1"/>
        <v>1149889.256952829</v>
      </c>
    </row>
    <row r="22" spans="1:8" ht="15" customHeight="1">
      <c r="A22" s="2">
        <f t="shared" si="2"/>
        <v>18</v>
      </c>
      <c r="B22" s="12">
        <f>'PQ05-ETA'!C22*$B$36</f>
        <v>2041.241804571607</v>
      </c>
      <c r="C22" s="12">
        <f xml:space="preserve"> ( ( 'Evolução Atendimento'!$R21+'Evolução Atendimento'!S21+'Evolução Atendimento'!T21 ) * ( 'PQ10-ETE'!D22 ) ) / ( 1000 )</f>
        <v>1835.9043750000001</v>
      </c>
      <c r="D22" s="63">
        <f t="shared" si="0"/>
        <v>3877.1461795716068</v>
      </c>
      <c r="E22" s="12">
        <f t="shared" si="3"/>
        <v>300</v>
      </c>
      <c r="F22" s="12">
        <f t="shared" si="1"/>
        <v>1163143.853871482</v>
      </c>
    </row>
    <row r="23" spans="1:8" ht="15" customHeight="1">
      <c r="A23" s="2">
        <f t="shared" si="2"/>
        <v>19</v>
      </c>
      <c r="B23" s="12">
        <f>'PQ05-ETA'!C23*$B$36</f>
        <v>2064.7140279978244</v>
      </c>
      <c r="C23" s="12">
        <f xml:space="preserve"> ( ( 'Evolução Atendimento'!$R22+'Evolução Atendimento'!S22+'Evolução Atendimento'!T22 ) * ( 'PQ10-ETE'!D23 ) ) / ( 1000 )</f>
        <v>1857.0105000000001</v>
      </c>
      <c r="D23" s="63">
        <f t="shared" si="0"/>
        <v>3921.7245279978242</v>
      </c>
      <c r="E23" s="12">
        <f t="shared" si="3"/>
        <v>300</v>
      </c>
      <c r="F23" s="12">
        <f t="shared" si="1"/>
        <v>1176517.3583993472</v>
      </c>
    </row>
    <row r="24" spans="1:8" ht="15" customHeight="1">
      <c r="A24" s="2">
        <f t="shared" si="2"/>
        <v>20</v>
      </c>
      <c r="B24" s="12">
        <f>'PQ05-ETA'!C24*$B$36</f>
        <v>2088.4512101214164</v>
      </c>
      <c r="C24" s="12">
        <f xml:space="preserve"> ( ( 'Evolução Atendimento'!$R23+'Evolução Atendimento'!S23+'Evolução Atendimento'!T23 ) * ( 'PQ10-ETE'!D24 ) ) / ( 1000 )</f>
        <v>1878.3465750000003</v>
      </c>
      <c r="D24" s="63">
        <f t="shared" si="0"/>
        <v>3966.7977851214164</v>
      </c>
      <c r="E24" s="12">
        <f t="shared" si="3"/>
        <v>300</v>
      </c>
      <c r="F24" s="12">
        <f t="shared" si="1"/>
        <v>1190039.335536425</v>
      </c>
    </row>
    <row r="25" spans="1:8" ht="15" customHeight="1">
      <c r="A25" s="2">
        <f t="shared" si="2"/>
        <v>21</v>
      </c>
      <c r="B25" s="12">
        <f>'PQ05-ETA'!C25*$B$36</f>
        <v>2112.4689367481101</v>
      </c>
      <c r="C25" s="12">
        <f xml:space="preserve"> ( ( 'Evolução Atendimento'!$R24+'Evolução Atendimento'!S24+'Evolução Atendimento'!T24 ) * ( 'PQ10-ETE'!D25 ) ) / ( 1000 )</f>
        <v>1899.961875</v>
      </c>
      <c r="D25" s="63">
        <f t="shared" si="0"/>
        <v>4012.43081174811</v>
      </c>
      <c r="E25" s="12">
        <f t="shared" si="3"/>
        <v>300</v>
      </c>
      <c r="F25" s="12">
        <f t="shared" si="1"/>
        <v>1203729.2435244331</v>
      </c>
    </row>
    <row r="26" spans="1:8" ht="15" customHeight="1">
      <c r="A26" s="2">
        <f t="shared" si="2"/>
        <v>22</v>
      </c>
      <c r="B26" s="12">
        <f>'PQ05-ETA'!C26*$B$36</f>
        <v>2136.767207877906</v>
      </c>
      <c r="C26" s="12">
        <f xml:space="preserve"> ( ( 'Evolução Atendimento'!$R25+'Evolução Atendimento'!S25+'Evolução Atendimento'!T25 ) * ( 'PQ10-ETE'!D26 ) ) / ( 1000 )</f>
        <v>1921.807125</v>
      </c>
      <c r="D26" s="63">
        <f t="shared" si="0"/>
        <v>4058.5743328779063</v>
      </c>
      <c r="E26" s="12">
        <f t="shared" si="3"/>
        <v>300</v>
      </c>
      <c r="F26" s="12">
        <f t="shared" si="1"/>
        <v>1217572.299863372</v>
      </c>
    </row>
    <row r="27" spans="1:8" ht="15" customHeight="1">
      <c r="A27" s="2">
        <f t="shared" si="2"/>
        <v>23</v>
      </c>
      <c r="B27" s="12">
        <f>'PQ05-ETA'!C27*$B$36</f>
        <v>2161.3460235108041</v>
      </c>
      <c r="C27" s="12">
        <f xml:space="preserve"> ( ( 'Evolução Atendimento'!$R26+'Evolução Atendimento'!S26+'Evolução Atendimento'!T26 ) * ( 'PQ10-ETE'!D27 ) ) / ( 1000 )</f>
        <v>1943.9316000000001</v>
      </c>
      <c r="D27" s="63">
        <f t="shared" si="0"/>
        <v>4105.277623510804</v>
      </c>
      <c r="E27" s="12">
        <f t="shared" si="3"/>
        <v>300</v>
      </c>
      <c r="F27" s="12">
        <f t="shared" si="1"/>
        <v>1231583.2870532412</v>
      </c>
    </row>
    <row r="28" spans="1:8" s="24" customFormat="1" ht="15" customHeight="1">
      <c r="A28" s="2">
        <f t="shared" si="2"/>
        <v>24</v>
      </c>
      <c r="B28" s="12">
        <f>'PQ05-ETA'!C28*$B$36</f>
        <v>2186.2209694525322</v>
      </c>
      <c r="C28" s="12">
        <f xml:space="preserve"> ( ( 'Evolução Atendimento'!$R27+'Evolução Atendimento'!S27+'Evolução Atendimento'!T27 ) * ( 'PQ10-ETE'!D28 ) ) / ( 1000 )</f>
        <v>1966.2696000000001</v>
      </c>
      <c r="D28" s="63">
        <f t="shared" si="0"/>
        <v>4152.4905694525323</v>
      </c>
      <c r="E28" s="12">
        <f t="shared" si="3"/>
        <v>300</v>
      </c>
      <c r="F28" s="12">
        <f t="shared" si="1"/>
        <v>1245747.1708357597</v>
      </c>
      <c r="H28" s="25"/>
    </row>
    <row r="29" spans="1:8" s="24" customFormat="1" ht="15" customHeight="1">
      <c r="A29" s="2">
        <f t="shared" si="2"/>
        <v>25</v>
      </c>
      <c r="B29" s="12">
        <f>'PQ05-ETA'!C29*$B$36</f>
        <v>2211.3920457030908</v>
      </c>
      <c r="C29" s="12">
        <f xml:space="preserve"> ( ( 'Evolução Atendimento'!$R28+'Evolução Atendimento'!S28+'Evolução Atendimento'!T28 ) * ( 'PQ10-ETE'!D29 ) ) / ( 1000 )</f>
        <v>1988.9196750000001</v>
      </c>
      <c r="D29" s="63">
        <f t="shared" si="0"/>
        <v>4200.3117207030909</v>
      </c>
      <c r="E29" s="12">
        <f t="shared" si="3"/>
        <v>300</v>
      </c>
      <c r="F29" s="12">
        <f t="shared" si="1"/>
        <v>1260093.5162109274</v>
      </c>
      <c r="H29" s="25"/>
    </row>
    <row r="30" spans="1:8" ht="15" customHeight="1">
      <c r="A30" s="2">
        <f t="shared" si="2"/>
        <v>26</v>
      </c>
      <c r="B30" s="12">
        <f>'PQ05-ETA'!C30*$B$36</f>
        <v>2236.8280806510243</v>
      </c>
      <c r="C30" s="12">
        <f xml:space="preserve"> ( ( 'Evolução Atendimento'!$R29+'Evolução Atendimento'!S29+'Evolução Atendimento'!T29 ) * ( 'PQ10-ETE'!D30 ) ) / ( 1000 )</f>
        <v>2011.8325500000001</v>
      </c>
      <c r="D30" s="63">
        <f t="shared" si="0"/>
        <v>4248.6606306510239</v>
      </c>
      <c r="E30" s="12">
        <f t="shared" si="3"/>
        <v>300</v>
      </c>
      <c r="F30" s="12">
        <f t="shared" si="1"/>
        <v>1274598.1891953072</v>
      </c>
    </row>
    <row r="31" spans="1:8" s="24" customFormat="1" ht="15" customHeight="1">
      <c r="A31" s="2">
        <f t="shared" si="2"/>
        <v>27</v>
      </c>
      <c r="B31" s="12">
        <f>'PQ05-ETA'!C31*$B$36</f>
        <v>2262.5602459077868</v>
      </c>
      <c r="C31" s="12">
        <f xml:space="preserve"> ( ( 'Evolução Atendimento'!$R30+'Evolução Atendimento'!S30+'Evolução Atendimento'!T30 ) * ( 'PQ10-ETE'!D31 ) ) / ( 1000 )</f>
        <v>2034.975375</v>
      </c>
      <c r="D31" s="63">
        <f t="shared" si="0"/>
        <v>4297.5356209077872</v>
      </c>
      <c r="E31" s="12">
        <f t="shared" si="3"/>
        <v>300</v>
      </c>
      <c r="F31" s="12">
        <f t="shared" si="1"/>
        <v>1289260.6862723362</v>
      </c>
      <c r="H31" s="25"/>
    </row>
    <row r="32" spans="1:8" s="24" customFormat="1" ht="15" customHeight="1">
      <c r="A32" s="2">
        <f t="shared" si="2"/>
        <v>28</v>
      </c>
      <c r="B32" s="12">
        <f>'PQ05-ETA'!C32*$B$36</f>
        <v>2288.5885414733802</v>
      </c>
      <c r="C32" s="12">
        <f xml:space="preserve"> ( ( 'Evolução Atendimento'!$R31+'Evolução Atendimento'!S31+'Evolução Atendimento'!T31 ) * ( 'PQ10-ETE'!D32 ) ) / ( 1000 )</f>
        <v>2058.3809999999999</v>
      </c>
      <c r="D32" s="63">
        <f t="shared" si="0"/>
        <v>4346.9695414733796</v>
      </c>
      <c r="E32" s="12">
        <f t="shared" si="3"/>
        <v>300</v>
      </c>
      <c r="F32" s="12">
        <f t="shared" si="1"/>
        <v>1304090.8624420138</v>
      </c>
      <c r="H32" s="25"/>
    </row>
    <row r="33" spans="1:8" s="24" customFormat="1" ht="15" customHeight="1">
      <c r="A33" s="2">
        <f t="shared" si="2"/>
        <v>29</v>
      </c>
      <c r="B33" s="12">
        <f>'PQ05-ETA'!C33*$B$36</f>
        <v>2314.9129673478028</v>
      </c>
      <c r="C33" s="12">
        <f xml:space="preserve"> ( ( 'Evolução Atendimento'!$R32+'Evolução Atendimento'!S32+'Evolução Atendimento'!T32 ) * ( 'PQ10-ETE'!D33 ) ) / ( 1000 )</f>
        <v>2082.0822750000002</v>
      </c>
      <c r="D33" s="63">
        <f t="shared" si="0"/>
        <v>4396.9952423478026</v>
      </c>
      <c r="E33" s="12">
        <f t="shared" si="3"/>
        <v>300</v>
      </c>
      <c r="F33" s="12">
        <f t="shared" si="1"/>
        <v>1319098.5727043408</v>
      </c>
      <c r="H33" s="25"/>
    </row>
    <row r="34" spans="1:8" s="24" customFormat="1" ht="15" customHeight="1">
      <c r="A34" s="2">
        <f t="shared" si="2"/>
        <v>30</v>
      </c>
      <c r="B34" s="12">
        <f>'PQ05-ETA'!C34*$B$36</f>
        <v>2341.5491093367841</v>
      </c>
      <c r="C34" s="12">
        <f xml:space="preserve"> ( ( 'Evolução Atendimento'!$R33+'Evolução Atendimento'!S33+'Evolução Atendimento'!T33 ) * ( 'PQ10-ETE'!D34 ) ) / ( 1000 )</f>
        <v>2106.0299250000003</v>
      </c>
      <c r="D34" s="63">
        <f t="shared" si="0"/>
        <v>4447.5790343367844</v>
      </c>
      <c r="E34" s="12">
        <f t="shared" si="3"/>
        <v>300</v>
      </c>
      <c r="F34" s="12">
        <f t="shared" si="1"/>
        <v>1334273.7103010353</v>
      </c>
      <c r="H34" s="25"/>
    </row>
    <row r="35" spans="1:8" s="24" customFormat="1" ht="15" customHeight="1">
      <c r="A35" s="2" t="s">
        <v>4</v>
      </c>
      <c r="B35" s="11">
        <f xml:space="preserve"> SUM( $B5:$B34 )</f>
        <v>62582.194643591189</v>
      </c>
      <c r="C35" s="12">
        <f xml:space="preserve"> ( ( 'Evolução Atendimento'!$R34 ) * ( 'PQ10-ETE'!D35 ) ) / ( 1000 )</f>
        <v>0</v>
      </c>
      <c r="D35" s="154"/>
      <c r="E35" s="11">
        <f>SUM(E5:E34)</f>
        <v>9000</v>
      </c>
      <c r="F35" s="12">
        <f>SUM(F5:F34)</f>
        <v>32085368.345577359</v>
      </c>
      <c r="H35" s="25"/>
    </row>
    <row r="36" spans="1:8" ht="15" hidden="1" customHeight="1">
      <c r="B36" s="728">
        <v>0.8</v>
      </c>
    </row>
    <row r="38" spans="1:8" ht="15" customHeight="1">
      <c r="B38" s="82"/>
      <c r="C38" s="82"/>
    </row>
  </sheetData>
  <printOptions horizontalCentered="1"/>
  <pageMargins left="1.1811023622047245" right="0.39370078740157483" top="1.1811023622047245" bottom="0.59055118110236227" header="0.39370078740157483" footer="0.39370078740157483"/>
  <pageSetup paperSize="9" scale="7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6"/>
  </sheetPr>
  <dimension ref="A1:AE80"/>
  <sheetViews>
    <sheetView zoomScale="85" zoomScaleNormal="85" workbookViewId="0">
      <selection activeCell="A2" sqref="A2:B8"/>
    </sheetView>
  </sheetViews>
  <sheetFormatPr defaultColWidth="10.77734375" defaultRowHeight="13.2"/>
  <cols>
    <col min="1" max="1" width="71" style="604" customWidth="1"/>
    <col min="2" max="4" width="14.33203125" style="325" bestFit="1" customWidth="1"/>
    <col min="5" max="5" width="17.44140625" style="325" customWidth="1"/>
    <col min="6" max="7" width="16" style="325" bestFit="1" customWidth="1"/>
    <col min="8" max="8" width="14.77734375" style="325" bestFit="1" customWidth="1"/>
    <col min="9" max="9" width="20.109375" style="325" bestFit="1" customWidth="1"/>
    <col min="10" max="10" width="22" style="325" bestFit="1" customWidth="1"/>
    <col min="11" max="19" width="16" style="325" bestFit="1" customWidth="1"/>
    <col min="20" max="20" width="15.6640625" style="325" bestFit="1" customWidth="1"/>
    <col min="21" max="23" width="16" style="325" bestFit="1" customWidth="1"/>
    <col min="24" max="24" width="15.6640625" style="325" bestFit="1" customWidth="1"/>
    <col min="25" max="30" width="16" style="325" bestFit="1" customWidth="1"/>
    <col min="31" max="31" width="15.6640625" style="325" bestFit="1" customWidth="1"/>
    <col min="32" max="16384" width="10.77734375" style="325"/>
  </cols>
  <sheetData>
    <row r="1" spans="1:31" ht="26.4">
      <c r="A1" s="593" t="s">
        <v>546</v>
      </c>
      <c r="B1" s="324" t="s">
        <v>547</v>
      </c>
    </row>
    <row r="2" spans="1:31">
      <c r="A2" s="594" t="s">
        <v>548</v>
      </c>
      <c r="B2" s="326">
        <v>2</v>
      </c>
    </row>
    <row r="3" spans="1:31">
      <c r="A3" s="594" t="s">
        <v>549</v>
      </c>
      <c r="B3" s="326">
        <v>2</v>
      </c>
    </row>
    <row r="4" spans="1:31">
      <c r="A4" s="594" t="s">
        <v>550</v>
      </c>
      <c r="B4" s="326">
        <v>6</v>
      </c>
    </row>
    <row r="5" spans="1:31">
      <c r="A5" s="594" t="s">
        <v>200</v>
      </c>
      <c r="B5" s="326">
        <v>5</v>
      </c>
    </row>
    <row r="6" spans="1:31">
      <c r="A6" s="594" t="s">
        <v>551</v>
      </c>
      <c r="B6" s="326">
        <v>5</v>
      </c>
    </row>
    <row r="7" spans="1:31">
      <c r="A7" s="594" t="s">
        <v>124</v>
      </c>
      <c r="B7" s="326">
        <v>5</v>
      </c>
    </row>
    <row r="8" spans="1:31" ht="13.8" thickBot="1">
      <c r="A8" s="595" t="s">
        <v>201</v>
      </c>
      <c r="B8" s="327">
        <v>2</v>
      </c>
      <c r="D8" s="837"/>
      <c r="E8" s="837"/>
      <c r="F8" s="837"/>
      <c r="G8" s="837"/>
    </row>
    <row r="9" spans="1:31">
      <c r="A9" s="596"/>
      <c r="B9" s="328"/>
    </row>
    <row r="10" spans="1:31" ht="13.8" thickBot="1">
      <c r="A10" s="596"/>
      <c r="B10" s="328"/>
    </row>
    <row r="11" spans="1:31" ht="32.549999999999997" customHeight="1" thickBot="1">
      <c r="A11" s="597" t="s">
        <v>218</v>
      </c>
      <c r="B11" s="328"/>
    </row>
    <row r="13" spans="1:31" s="330" customFormat="1">
      <c r="A13" s="598" t="s">
        <v>204</v>
      </c>
      <c r="B13" s="329" t="s">
        <v>74</v>
      </c>
      <c r="C13" s="329" t="s">
        <v>73</v>
      </c>
      <c r="D13" s="329" t="s">
        <v>75</v>
      </c>
      <c r="E13" s="329" t="s">
        <v>76</v>
      </c>
      <c r="F13" s="329" t="s">
        <v>77</v>
      </c>
      <c r="G13" s="329" t="s">
        <v>78</v>
      </c>
      <c r="H13" s="329" t="s">
        <v>79</v>
      </c>
      <c r="I13" s="329" t="s">
        <v>80</v>
      </c>
      <c r="J13" s="329" t="s">
        <v>81</v>
      </c>
      <c r="K13" s="329" t="s">
        <v>82</v>
      </c>
      <c r="L13" s="329" t="s">
        <v>83</v>
      </c>
      <c r="M13" s="329" t="s">
        <v>84</v>
      </c>
      <c r="N13" s="329" t="s">
        <v>85</v>
      </c>
      <c r="O13" s="329" t="s">
        <v>86</v>
      </c>
      <c r="P13" s="329" t="s">
        <v>87</v>
      </c>
      <c r="Q13" s="329" t="s">
        <v>88</v>
      </c>
      <c r="R13" s="329" t="s">
        <v>89</v>
      </c>
      <c r="S13" s="329" t="s">
        <v>90</v>
      </c>
      <c r="T13" s="329" t="s">
        <v>91</v>
      </c>
      <c r="U13" s="329" t="s">
        <v>92</v>
      </c>
      <c r="V13" s="329" t="s">
        <v>93</v>
      </c>
      <c r="W13" s="329" t="s">
        <v>94</v>
      </c>
      <c r="X13" s="329" t="s">
        <v>95</v>
      </c>
      <c r="Y13" s="329" t="s">
        <v>96</v>
      </c>
      <c r="Z13" s="329" t="s">
        <v>97</v>
      </c>
      <c r="AA13" s="329" t="s">
        <v>98</v>
      </c>
      <c r="AB13" s="329" t="s">
        <v>99</v>
      </c>
      <c r="AC13" s="329" t="s">
        <v>100</v>
      </c>
      <c r="AD13" s="329" t="s">
        <v>101</v>
      </c>
      <c r="AE13" s="329" t="s">
        <v>102</v>
      </c>
    </row>
    <row r="14" spans="1:31" s="330" customFormat="1">
      <c r="A14" s="599" t="s">
        <v>394</v>
      </c>
      <c r="B14" s="331">
        <f t="shared" ref="B14:AE14" si="0" xml:space="preserve"> SUM( B$15:B$15 )</f>
        <v>3</v>
      </c>
      <c r="C14" s="331">
        <f t="shared" si="0"/>
        <v>3</v>
      </c>
      <c r="D14" s="331">
        <f t="shared" si="0"/>
        <v>3</v>
      </c>
      <c r="E14" s="331">
        <f t="shared" si="0"/>
        <v>4</v>
      </c>
      <c r="F14" s="331">
        <f t="shared" si="0"/>
        <v>4</v>
      </c>
      <c r="G14" s="331">
        <f t="shared" si="0"/>
        <v>4</v>
      </c>
      <c r="H14" s="331">
        <f t="shared" si="0"/>
        <v>5</v>
      </c>
      <c r="I14" s="331">
        <f t="shared" si="0"/>
        <v>5</v>
      </c>
      <c r="J14" s="331">
        <f t="shared" si="0"/>
        <v>5</v>
      </c>
      <c r="K14" s="331">
        <f t="shared" si="0"/>
        <v>5</v>
      </c>
      <c r="L14" s="331">
        <f t="shared" si="0"/>
        <v>6</v>
      </c>
      <c r="M14" s="331">
        <f t="shared" si="0"/>
        <v>6</v>
      </c>
      <c r="N14" s="331">
        <f t="shared" si="0"/>
        <v>6</v>
      </c>
      <c r="O14" s="331">
        <f t="shared" si="0"/>
        <v>6</v>
      </c>
      <c r="P14" s="331">
        <f t="shared" si="0"/>
        <v>6</v>
      </c>
      <c r="Q14" s="331">
        <f t="shared" si="0"/>
        <v>6</v>
      </c>
      <c r="R14" s="331">
        <f t="shared" si="0"/>
        <v>6</v>
      </c>
      <c r="S14" s="331">
        <f t="shared" si="0"/>
        <v>6</v>
      </c>
      <c r="T14" s="331">
        <f t="shared" si="0"/>
        <v>6</v>
      </c>
      <c r="U14" s="331">
        <f t="shared" si="0"/>
        <v>6</v>
      </c>
      <c r="V14" s="331">
        <f t="shared" si="0"/>
        <v>6</v>
      </c>
      <c r="W14" s="331">
        <f t="shared" si="0"/>
        <v>6</v>
      </c>
      <c r="X14" s="331">
        <f t="shared" si="0"/>
        <v>6</v>
      </c>
      <c r="Y14" s="331">
        <f t="shared" si="0"/>
        <v>6</v>
      </c>
      <c r="Z14" s="331">
        <f t="shared" si="0"/>
        <v>6</v>
      </c>
      <c r="AA14" s="331">
        <f t="shared" si="0"/>
        <v>6</v>
      </c>
      <c r="AB14" s="331">
        <f t="shared" si="0"/>
        <v>6</v>
      </c>
      <c r="AC14" s="331">
        <f t="shared" si="0"/>
        <v>6</v>
      </c>
      <c r="AD14" s="331">
        <f t="shared" si="0"/>
        <v>6</v>
      </c>
      <c r="AE14" s="331">
        <f t="shared" si="0"/>
        <v>6</v>
      </c>
    </row>
    <row r="15" spans="1:31" s="330" customFormat="1">
      <c r="A15" s="600" t="str">
        <f xml:space="preserve"> ( $A44 )</f>
        <v>Gol</v>
      </c>
      <c r="B15" s="332">
        <f>B26+B27</f>
        <v>3</v>
      </c>
      <c r="C15" s="332">
        <f t="shared" ref="C15:AE15" si="1">C26+C27</f>
        <v>3</v>
      </c>
      <c r="D15" s="332">
        <f t="shared" si="1"/>
        <v>3</v>
      </c>
      <c r="E15" s="332">
        <f t="shared" si="1"/>
        <v>4</v>
      </c>
      <c r="F15" s="332">
        <f t="shared" si="1"/>
        <v>4</v>
      </c>
      <c r="G15" s="332">
        <f t="shared" si="1"/>
        <v>4</v>
      </c>
      <c r="H15" s="332">
        <f t="shared" si="1"/>
        <v>5</v>
      </c>
      <c r="I15" s="332">
        <f t="shared" si="1"/>
        <v>5</v>
      </c>
      <c r="J15" s="332">
        <f t="shared" si="1"/>
        <v>5</v>
      </c>
      <c r="K15" s="332">
        <f t="shared" si="1"/>
        <v>5</v>
      </c>
      <c r="L15" s="332">
        <f t="shared" si="1"/>
        <v>6</v>
      </c>
      <c r="M15" s="332">
        <f t="shared" si="1"/>
        <v>6</v>
      </c>
      <c r="N15" s="332">
        <f t="shared" si="1"/>
        <v>6</v>
      </c>
      <c r="O15" s="332">
        <f t="shared" si="1"/>
        <v>6</v>
      </c>
      <c r="P15" s="332">
        <f t="shared" si="1"/>
        <v>6</v>
      </c>
      <c r="Q15" s="332">
        <f t="shared" si="1"/>
        <v>6</v>
      </c>
      <c r="R15" s="332">
        <f t="shared" si="1"/>
        <v>6</v>
      </c>
      <c r="S15" s="332">
        <f t="shared" si="1"/>
        <v>6</v>
      </c>
      <c r="T15" s="332">
        <f t="shared" si="1"/>
        <v>6</v>
      </c>
      <c r="U15" s="332">
        <f t="shared" si="1"/>
        <v>6</v>
      </c>
      <c r="V15" s="332">
        <f t="shared" si="1"/>
        <v>6</v>
      </c>
      <c r="W15" s="332">
        <f t="shared" si="1"/>
        <v>6</v>
      </c>
      <c r="X15" s="332">
        <f t="shared" si="1"/>
        <v>6</v>
      </c>
      <c r="Y15" s="332">
        <f t="shared" si="1"/>
        <v>6</v>
      </c>
      <c r="Z15" s="332">
        <f t="shared" si="1"/>
        <v>6</v>
      </c>
      <c r="AA15" s="332">
        <f t="shared" si="1"/>
        <v>6</v>
      </c>
      <c r="AB15" s="332">
        <f t="shared" si="1"/>
        <v>6</v>
      </c>
      <c r="AC15" s="332">
        <f t="shared" si="1"/>
        <v>6</v>
      </c>
      <c r="AD15" s="332">
        <f t="shared" si="1"/>
        <v>6</v>
      </c>
      <c r="AE15" s="332">
        <f t="shared" si="1"/>
        <v>6</v>
      </c>
    </row>
    <row r="16" spans="1:31" s="330" customFormat="1">
      <c r="A16" s="599" t="s">
        <v>832</v>
      </c>
      <c r="B16" s="331">
        <f xml:space="preserve"> SUM( B$17:B$22 )</f>
        <v>15</v>
      </c>
      <c r="C16" s="331">
        <f t="shared" ref="C16:AE16" si="2" xml:space="preserve"> SUM( C$17:C$22 )</f>
        <v>15</v>
      </c>
      <c r="D16" s="331">
        <f t="shared" si="2"/>
        <v>11</v>
      </c>
      <c r="E16" s="331">
        <f t="shared" si="2"/>
        <v>19</v>
      </c>
      <c r="F16" s="331">
        <f t="shared" si="2"/>
        <v>21</v>
      </c>
      <c r="G16" s="331">
        <f t="shared" si="2"/>
        <v>23</v>
      </c>
      <c r="H16" s="331">
        <f t="shared" si="2"/>
        <v>35</v>
      </c>
      <c r="I16" s="331">
        <f t="shared" si="2"/>
        <v>33</v>
      </c>
      <c r="J16" s="331">
        <f t="shared" si="2"/>
        <v>35</v>
      </c>
      <c r="K16" s="331">
        <f t="shared" si="2"/>
        <v>35</v>
      </c>
      <c r="L16" s="331">
        <f t="shared" si="2"/>
        <v>33</v>
      </c>
      <c r="M16" s="331">
        <f t="shared" si="2"/>
        <v>35</v>
      </c>
      <c r="N16" s="331">
        <f t="shared" si="2"/>
        <v>35</v>
      </c>
      <c r="O16" s="331">
        <f t="shared" si="2"/>
        <v>33</v>
      </c>
      <c r="P16" s="331">
        <f t="shared" si="2"/>
        <v>35</v>
      </c>
      <c r="Q16" s="331">
        <f t="shared" si="2"/>
        <v>35</v>
      </c>
      <c r="R16" s="331">
        <f t="shared" si="2"/>
        <v>33</v>
      </c>
      <c r="S16" s="331">
        <f t="shared" si="2"/>
        <v>35</v>
      </c>
      <c r="T16" s="331">
        <f t="shared" si="2"/>
        <v>35</v>
      </c>
      <c r="U16" s="331">
        <f t="shared" si="2"/>
        <v>33</v>
      </c>
      <c r="V16" s="331">
        <f t="shared" si="2"/>
        <v>35</v>
      </c>
      <c r="W16" s="331">
        <f t="shared" si="2"/>
        <v>35</v>
      </c>
      <c r="X16" s="331">
        <f t="shared" si="2"/>
        <v>33</v>
      </c>
      <c r="Y16" s="331">
        <f t="shared" si="2"/>
        <v>35</v>
      </c>
      <c r="Z16" s="331">
        <f t="shared" si="2"/>
        <v>35</v>
      </c>
      <c r="AA16" s="331">
        <f t="shared" si="2"/>
        <v>33</v>
      </c>
      <c r="AB16" s="331">
        <f t="shared" si="2"/>
        <v>35</v>
      </c>
      <c r="AC16" s="331">
        <f t="shared" si="2"/>
        <v>35</v>
      </c>
      <c r="AD16" s="331">
        <f t="shared" si="2"/>
        <v>33</v>
      </c>
      <c r="AE16" s="331">
        <f t="shared" si="2"/>
        <v>35</v>
      </c>
    </row>
    <row r="17" spans="1:31" s="330" customFormat="1">
      <c r="A17" s="600" t="str">
        <f>A36</f>
        <v>Passeio Tipo 2 (Gol ou similar)</v>
      </c>
      <c r="B17" s="332">
        <f>B33+B36+B30</f>
        <v>3</v>
      </c>
      <c r="C17" s="332">
        <f t="shared" ref="C17:AE17" si="3">C33+C36+C30</f>
        <v>3</v>
      </c>
      <c r="D17" s="332">
        <f t="shared" si="3"/>
        <v>4</v>
      </c>
      <c r="E17" s="332">
        <f t="shared" si="3"/>
        <v>5</v>
      </c>
      <c r="F17" s="332">
        <f t="shared" si="3"/>
        <v>5</v>
      </c>
      <c r="G17" s="332">
        <f t="shared" si="3"/>
        <v>5</v>
      </c>
      <c r="H17" s="332">
        <f t="shared" si="3"/>
        <v>5</v>
      </c>
      <c r="I17" s="332">
        <f t="shared" si="3"/>
        <v>5</v>
      </c>
      <c r="J17" s="332">
        <f t="shared" si="3"/>
        <v>5</v>
      </c>
      <c r="K17" s="332">
        <f t="shared" si="3"/>
        <v>5</v>
      </c>
      <c r="L17" s="332">
        <f t="shared" si="3"/>
        <v>5</v>
      </c>
      <c r="M17" s="332">
        <f t="shared" si="3"/>
        <v>5</v>
      </c>
      <c r="N17" s="332">
        <f t="shared" si="3"/>
        <v>5</v>
      </c>
      <c r="O17" s="332">
        <f t="shared" si="3"/>
        <v>5</v>
      </c>
      <c r="P17" s="332">
        <f t="shared" si="3"/>
        <v>5</v>
      </c>
      <c r="Q17" s="332">
        <f t="shared" si="3"/>
        <v>5</v>
      </c>
      <c r="R17" s="332">
        <f t="shared" si="3"/>
        <v>5</v>
      </c>
      <c r="S17" s="332">
        <f t="shared" si="3"/>
        <v>5</v>
      </c>
      <c r="T17" s="332">
        <f t="shared" si="3"/>
        <v>5</v>
      </c>
      <c r="U17" s="332">
        <f t="shared" si="3"/>
        <v>5</v>
      </c>
      <c r="V17" s="332">
        <f t="shared" si="3"/>
        <v>5</v>
      </c>
      <c r="W17" s="332">
        <f t="shared" si="3"/>
        <v>5</v>
      </c>
      <c r="X17" s="332">
        <f t="shared" si="3"/>
        <v>5</v>
      </c>
      <c r="Y17" s="332">
        <f t="shared" si="3"/>
        <v>5</v>
      </c>
      <c r="Z17" s="332">
        <f t="shared" si="3"/>
        <v>5</v>
      </c>
      <c r="AA17" s="332">
        <f t="shared" si="3"/>
        <v>5</v>
      </c>
      <c r="AB17" s="332">
        <f t="shared" si="3"/>
        <v>5</v>
      </c>
      <c r="AC17" s="332">
        <f t="shared" si="3"/>
        <v>5</v>
      </c>
      <c r="AD17" s="332">
        <f t="shared" si="3"/>
        <v>5</v>
      </c>
      <c r="AE17" s="332">
        <f t="shared" si="3"/>
        <v>5</v>
      </c>
    </row>
    <row r="18" spans="1:31" s="330" customFormat="1">
      <c r="A18" s="600" t="str">
        <f>A37</f>
        <v>Utilirário (saveiro ou similar)</v>
      </c>
      <c r="B18" s="332">
        <f>B37</f>
        <v>6</v>
      </c>
      <c r="C18" s="332">
        <f t="shared" ref="C18:AE18" si="4">C37</f>
        <v>6</v>
      </c>
      <c r="D18" s="332">
        <f t="shared" si="4"/>
        <v>1</v>
      </c>
      <c r="E18" s="332">
        <f t="shared" si="4"/>
        <v>8</v>
      </c>
      <c r="F18" s="332">
        <f t="shared" si="4"/>
        <v>10</v>
      </c>
      <c r="G18" s="332">
        <f t="shared" si="4"/>
        <v>12</v>
      </c>
      <c r="H18" s="332">
        <f t="shared" si="4"/>
        <v>12</v>
      </c>
      <c r="I18" s="332">
        <f t="shared" si="4"/>
        <v>10</v>
      </c>
      <c r="J18" s="332">
        <f t="shared" si="4"/>
        <v>12</v>
      </c>
      <c r="K18" s="332">
        <f t="shared" si="4"/>
        <v>12</v>
      </c>
      <c r="L18" s="332">
        <f t="shared" si="4"/>
        <v>10</v>
      </c>
      <c r="M18" s="332">
        <f t="shared" si="4"/>
        <v>12</v>
      </c>
      <c r="N18" s="332">
        <f t="shared" si="4"/>
        <v>12</v>
      </c>
      <c r="O18" s="332">
        <f t="shared" si="4"/>
        <v>10</v>
      </c>
      <c r="P18" s="332">
        <f t="shared" si="4"/>
        <v>12</v>
      </c>
      <c r="Q18" s="332">
        <f t="shared" si="4"/>
        <v>12</v>
      </c>
      <c r="R18" s="332">
        <f t="shared" si="4"/>
        <v>10</v>
      </c>
      <c r="S18" s="332">
        <f t="shared" si="4"/>
        <v>12</v>
      </c>
      <c r="T18" s="332">
        <f t="shared" si="4"/>
        <v>12</v>
      </c>
      <c r="U18" s="332">
        <f t="shared" si="4"/>
        <v>10</v>
      </c>
      <c r="V18" s="332">
        <f t="shared" si="4"/>
        <v>12</v>
      </c>
      <c r="W18" s="332">
        <f t="shared" si="4"/>
        <v>12</v>
      </c>
      <c r="X18" s="332">
        <f t="shared" si="4"/>
        <v>10</v>
      </c>
      <c r="Y18" s="332">
        <f t="shared" si="4"/>
        <v>12</v>
      </c>
      <c r="Z18" s="332">
        <f t="shared" si="4"/>
        <v>12</v>
      </c>
      <c r="AA18" s="332">
        <f t="shared" si="4"/>
        <v>10</v>
      </c>
      <c r="AB18" s="332">
        <f t="shared" si="4"/>
        <v>12</v>
      </c>
      <c r="AC18" s="332">
        <f t="shared" si="4"/>
        <v>12</v>
      </c>
      <c r="AD18" s="332">
        <f t="shared" si="4"/>
        <v>10</v>
      </c>
      <c r="AE18" s="332">
        <f t="shared" si="4"/>
        <v>12</v>
      </c>
    </row>
    <row r="19" spans="1:31" s="330" customFormat="1">
      <c r="A19" s="600" t="str">
        <f xml:space="preserve"> ( $A46 )</f>
        <v>Moto</v>
      </c>
      <c r="B19" s="332">
        <f>B38</f>
        <v>6</v>
      </c>
      <c r="C19" s="332">
        <f t="shared" ref="C19:AE19" si="5">C38</f>
        <v>6</v>
      </c>
      <c r="D19" s="332">
        <f t="shared" si="5"/>
        <v>6</v>
      </c>
      <c r="E19" s="332">
        <f t="shared" si="5"/>
        <v>6</v>
      </c>
      <c r="F19" s="332">
        <f t="shared" si="5"/>
        <v>6</v>
      </c>
      <c r="G19" s="332">
        <f t="shared" si="5"/>
        <v>6</v>
      </c>
      <c r="H19" s="332">
        <f t="shared" si="5"/>
        <v>6</v>
      </c>
      <c r="I19" s="332">
        <f t="shared" si="5"/>
        <v>6</v>
      </c>
      <c r="J19" s="332">
        <f t="shared" si="5"/>
        <v>6</v>
      </c>
      <c r="K19" s="332">
        <f t="shared" si="5"/>
        <v>6</v>
      </c>
      <c r="L19" s="332">
        <f t="shared" si="5"/>
        <v>6</v>
      </c>
      <c r="M19" s="332">
        <f t="shared" si="5"/>
        <v>6</v>
      </c>
      <c r="N19" s="332">
        <f t="shared" si="5"/>
        <v>6</v>
      </c>
      <c r="O19" s="332">
        <f t="shared" si="5"/>
        <v>6</v>
      </c>
      <c r="P19" s="332">
        <f t="shared" si="5"/>
        <v>6</v>
      </c>
      <c r="Q19" s="332">
        <f t="shared" si="5"/>
        <v>6</v>
      </c>
      <c r="R19" s="332">
        <f t="shared" si="5"/>
        <v>6</v>
      </c>
      <c r="S19" s="332">
        <f t="shared" si="5"/>
        <v>6</v>
      </c>
      <c r="T19" s="332">
        <f t="shared" si="5"/>
        <v>6</v>
      </c>
      <c r="U19" s="332">
        <f t="shared" si="5"/>
        <v>6</v>
      </c>
      <c r="V19" s="332">
        <f t="shared" si="5"/>
        <v>6</v>
      </c>
      <c r="W19" s="332">
        <f t="shared" si="5"/>
        <v>6</v>
      </c>
      <c r="X19" s="332">
        <f t="shared" si="5"/>
        <v>6</v>
      </c>
      <c r="Y19" s="332">
        <f t="shared" si="5"/>
        <v>6</v>
      </c>
      <c r="Z19" s="332">
        <f t="shared" si="5"/>
        <v>6</v>
      </c>
      <c r="AA19" s="332">
        <f t="shared" si="5"/>
        <v>6</v>
      </c>
      <c r="AB19" s="332">
        <f t="shared" si="5"/>
        <v>6</v>
      </c>
      <c r="AC19" s="332">
        <f t="shared" si="5"/>
        <v>6</v>
      </c>
      <c r="AD19" s="332">
        <f t="shared" si="5"/>
        <v>6</v>
      </c>
      <c r="AE19" s="332">
        <f t="shared" si="5"/>
        <v>6</v>
      </c>
    </row>
    <row r="20" spans="1:31" s="330" customFormat="1">
      <c r="A20" s="600" t="str">
        <f xml:space="preserve"> ( $A47 )</f>
        <v>Retroescavadeira</v>
      </c>
      <c r="B20" s="332">
        <f>B39</f>
        <v>0</v>
      </c>
      <c r="C20" s="332">
        <f t="shared" ref="C20:AE20" si="6">C39</f>
        <v>0</v>
      </c>
      <c r="D20" s="332">
        <f t="shared" si="6"/>
        <v>0</v>
      </c>
      <c r="E20" s="332">
        <f t="shared" si="6"/>
        <v>0</v>
      </c>
      <c r="F20" s="332">
        <f t="shared" si="6"/>
        <v>0</v>
      </c>
      <c r="G20" s="332">
        <f t="shared" si="6"/>
        <v>0</v>
      </c>
      <c r="H20" s="332">
        <f t="shared" si="6"/>
        <v>6</v>
      </c>
      <c r="I20" s="332">
        <f t="shared" si="6"/>
        <v>6</v>
      </c>
      <c r="J20" s="332">
        <f t="shared" si="6"/>
        <v>6</v>
      </c>
      <c r="K20" s="332">
        <f t="shared" si="6"/>
        <v>6</v>
      </c>
      <c r="L20" s="332">
        <f t="shared" si="6"/>
        <v>6</v>
      </c>
      <c r="M20" s="332">
        <f t="shared" si="6"/>
        <v>6</v>
      </c>
      <c r="N20" s="332">
        <f t="shared" si="6"/>
        <v>6</v>
      </c>
      <c r="O20" s="332">
        <f t="shared" si="6"/>
        <v>6</v>
      </c>
      <c r="P20" s="332">
        <f t="shared" si="6"/>
        <v>6</v>
      </c>
      <c r="Q20" s="332">
        <f t="shared" si="6"/>
        <v>6</v>
      </c>
      <c r="R20" s="332">
        <f t="shared" si="6"/>
        <v>6</v>
      </c>
      <c r="S20" s="332">
        <f t="shared" si="6"/>
        <v>6</v>
      </c>
      <c r="T20" s="332">
        <f t="shared" si="6"/>
        <v>6</v>
      </c>
      <c r="U20" s="332">
        <f t="shared" si="6"/>
        <v>6</v>
      </c>
      <c r="V20" s="332">
        <f t="shared" si="6"/>
        <v>6</v>
      </c>
      <c r="W20" s="332">
        <f t="shared" si="6"/>
        <v>6</v>
      </c>
      <c r="X20" s="332">
        <f t="shared" si="6"/>
        <v>6</v>
      </c>
      <c r="Y20" s="332">
        <f t="shared" si="6"/>
        <v>6</v>
      </c>
      <c r="Z20" s="332">
        <f t="shared" si="6"/>
        <v>6</v>
      </c>
      <c r="AA20" s="332">
        <f t="shared" si="6"/>
        <v>6</v>
      </c>
      <c r="AB20" s="332">
        <f t="shared" si="6"/>
        <v>6</v>
      </c>
      <c r="AC20" s="332">
        <f t="shared" si="6"/>
        <v>6</v>
      </c>
      <c r="AD20" s="332">
        <f t="shared" si="6"/>
        <v>6</v>
      </c>
      <c r="AE20" s="332">
        <f t="shared" si="6"/>
        <v>6</v>
      </c>
    </row>
    <row r="21" spans="1:31" s="330" customFormat="1">
      <c r="A21" s="600" t="str">
        <f xml:space="preserve"> ( $A48 )</f>
        <v>Hidrovácuo</v>
      </c>
      <c r="B21" s="332">
        <f>B40</f>
        <v>0</v>
      </c>
      <c r="C21" s="332">
        <f t="shared" ref="C21:AE21" si="7">C40</f>
        <v>0</v>
      </c>
      <c r="D21" s="332">
        <f t="shared" si="7"/>
        <v>0</v>
      </c>
      <c r="E21" s="332">
        <f t="shared" si="7"/>
        <v>0</v>
      </c>
      <c r="F21" s="332">
        <f t="shared" si="7"/>
        <v>0</v>
      </c>
      <c r="G21" s="332">
        <f t="shared" si="7"/>
        <v>0</v>
      </c>
      <c r="H21" s="332">
        <f t="shared" si="7"/>
        <v>0</v>
      </c>
      <c r="I21" s="332">
        <f t="shared" si="7"/>
        <v>0</v>
      </c>
      <c r="J21" s="332">
        <f t="shared" si="7"/>
        <v>0</v>
      </c>
      <c r="K21" s="332">
        <f t="shared" si="7"/>
        <v>0</v>
      </c>
      <c r="L21" s="332">
        <f t="shared" si="7"/>
        <v>0</v>
      </c>
      <c r="M21" s="332">
        <f t="shared" si="7"/>
        <v>0</v>
      </c>
      <c r="N21" s="332">
        <f t="shared" si="7"/>
        <v>0</v>
      </c>
      <c r="O21" s="332">
        <f t="shared" si="7"/>
        <v>0</v>
      </c>
      <c r="P21" s="332">
        <f t="shared" si="7"/>
        <v>0</v>
      </c>
      <c r="Q21" s="332">
        <f t="shared" si="7"/>
        <v>0</v>
      </c>
      <c r="R21" s="332">
        <f t="shared" si="7"/>
        <v>0</v>
      </c>
      <c r="S21" s="332">
        <f t="shared" si="7"/>
        <v>0</v>
      </c>
      <c r="T21" s="332">
        <f t="shared" si="7"/>
        <v>0</v>
      </c>
      <c r="U21" s="332">
        <f t="shared" si="7"/>
        <v>0</v>
      </c>
      <c r="V21" s="332">
        <f t="shared" si="7"/>
        <v>0</v>
      </c>
      <c r="W21" s="332">
        <f t="shared" si="7"/>
        <v>0</v>
      </c>
      <c r="X21" s="332">
        <f t="shared" si="7"/>
        <v>0</v>
      </c>
      <c r="Y21" s="332">
        <f t="shared" si="7"/>
        <v>0</v>
      </c>
      <c r="Z21" s="332">
        <f t="shared" si="7"/>
        <v>0</v>
      </c>
      <c r="AA21" s="332">
        <f t="shared" si="7"/>
        <v>0</v>
      </c>
      <c r="AB21" s="332">
        <f t="shared" si="7"/>
        <v>0</v>
      </c>
      <c r="AC21" s="332">
        <f t="shared" si="7"/>
        <v>0</v>
      </c>
      <c r="AD21" s="332">
        <f t="shared" si="7"/>
        <v>0</v>
      </c>
      <c r="AE21" s="332">
        <f t="shared" si="7"/>
        <v>0</v>
      </c>
    </row>
    <row r="22" spans="1:31" s="330" customFormat="1">
      <c r="A22" s="600" t="str">
        <f xml:space="preserve"> ( $A49 )</f>
        <v>Caminhão Basculante</v>
      </c>
      <c r="B22" s="332">
        <f>B41</f>
        <v>0</v>
      </c>
      <c r="C22" s="332">
        <f t="shared" ref="C22:AE22" si="8">C41</f>
        <v>0</v>
      </c>
      <c r="D22" s="332">
        <f t="shared" si="8"/>
        <v>0</v>
      </c>
      <c r="E22" s="332">
        <f t="shared" si="8"/>
        <v>0</v>
      </c>
      <c r="F22" s="332">
        <f t="shared" si="8"/>
        <v>0</v>
      </c>
      <c r="G22" s="332">
        <f t="shared" si="8"/>
        <v>0</v>
      </c>
      <c r="H22" s="332">
        <f t="shared" si="8"/>
        <v>6</v>
      </c>
      <c r="I22" s="332">
        <f t="shared" si="8"/>
        <v>6</v>
      </c>
      <c r="J22" s="332">
        <f t="shared" si="8"/>
        <v>6</v>
      </c>
      <c r="K22" s="332">
        <f t="shared" si="8"/>
        <v>6</v>
      </c>
      <c r="L22" s="332">
        <f t="shared" si="8"/>
        <v>6</v>
      </c>
      <c r="M22" s="332">
        <f t="shared" si="8"/>
        <v>6</v>
      </c>
      <c r="N22" s="332">
        <f t="shared" si="8"/>
        <v>6</v>
      </c>
      <c r="O22" s="332">
        <f t="shared" si="8"/>
        <v>6</v>
      </c>
      <c r="P22" s="332">
        <f t="shared" si="8"/>
        <v>6</v>
      </c>
      <c r="Q22" s="332">
        <f t="shared" si="8"/>
        <v>6</v>
      </c>
      <c r="R22" s="332">
        <f t="shared" si="8"/>
        <v>6</v>
      </c>
      <c r="S22" s="332">
        <f t="shared" si="8"/>
        <v>6</v>
      </c>
      <c r="T22" s="332">
        <f t="shared" si="8"/>
        <v>6</v>
      </c>
      <c r="U22" s="332">
        <f t="shared" si="8"/>
        <v>6</v>
      </c>
      <c r="V22" s="332">
        <f t="shared" si="8"/>
        <v>6</v>
      </c>
      <c r="W22" s="332">
        <f t="shared" si="8"/>
        <v>6</v>
      </c>
      <c r="X22" s="332">
        <f t="shared" si="8"/>
        <v>6</v>
      </c>
      <c r="Y22" s="332">
        <f t="shared" si="8"/>
        <v>6</v>
      </c>
      <c r="Z22" s="332">
        <f t="shared" si="8"/>
        <v>6</v>
      </c>
      <c r="AA22" s="332">
        <f t="shared" si="8"/>
        <v>6</v>
      </c>
      <c r="AB22" s="332">
        <f t="shared" si="8"/>
        <v>6</v>
      </c>
      <c r="AC22" s="332">
        <f t="shared" si="8"/>
        <v>6</v>
      </c>
      <c r="AD22" s="332">
        <f t="shared" si="8"/>
        <v>6</v>
      </c>
      <c r="AE22" s="332">
        <f t="shared" si="8"/>
        <v>6</v>
      </c>
    </row>
    <row r="23" spans="1:31" s="330" customFormat="1">
      <c r="A23" s="601" t="s">
        <v>203</v>
      </c>
      <c r="B23" s="333">
        <f t="shared" ref="B23:AE23" si="9" xml:space="preserve"> ( ( B14 ) + ( B16 ) )</f>
        <v>18</v>
      </c>
      <c r="C23" s="333">
        <f t="shared" si="9"/>
        <v>18</v>
      </c>
      <c r="D23" s="333">
        <f t="shared" si="9"/>
        <v>14</v>
      </c>
      <c r="E23" s="333">
        <f t="shared" si="9"/>
        <v>23</v>
      </c>
      <c r="F23" s="333">
        <f t="shared" si="9"/>
        <v>25</v>
      </c>
      <c r="G23" s="333">
        <f t="shared" si="9"/>
        <v>27</v>
      </c>
      <c r="H23" s="333">
        <f t="shared" si="9"/>
        <v>40</v>
      </c>
      <c r="I23" s="333">
        <f t="shared" si="9"/>
        <v>38</v>
      </c>
      <c r="J23" s="333">
        <f t="shared" si="9"/>
        <v>40</v>
      </c>
      <c r="K23" s="333">
        <f t="shared" si="9"/>
        <v>40</v>
      </c>
      <c r="L23" s="333">
        <f t="shared" si="9"/>
        <v>39</v>
      </c>
      <c r="M23" s="333">
        <f t="shared" si="9"/>
        <v>41</v>
      </c>
      <c r="N23" s="333">
        <f t="shared" si="9"/>
        <v>41</v>
      </c>
      <c r="O23" s="333">
        <f t="shared" si="9"/>
        <v>39</v>
      </c>
      <c r="P23" s="333">
        <f t="shared" si="9"/>
        <v>41</v>
      </c>
      <c r="Q23" s="333">
        <f t="shared" si="9"/>
        <v>41</v>
      </c>
      <c r="R23" s="333">
        <f t="shared" si="9"/>
        <v>39</v>
      </c>
      <c r="S23" s="333">
        <f t="shared" si="9"/>
        <v>41</v>
      </c>
      <c r="T23" s="333">
        <f t="shared" si="9"/>
        <v>41</v>
      </c>
      <c r="U23" s="333">
        <f t="shared" si="9"/>
        <v>39</v>
      </c>
      <c r="V23" s="333">
        <f t="shared" si="9"/>
        <v>41</v>
      </c>
      <c r="W23" s="333">
        <f t="shared" si="9"/>
        <v>41</v>
      </c>
      <c r="X23" s="333">
        <f t="shared" si="9"/>
        <v>39</v>
      </c>
      <c r="Y23" s="333">
        <f t="shared" si="9"/>
        <v>41</v>
      </c>
      <c r="Z23" s="333">
        <f t="shared" si="9"/>
        <v>41</v>
      </c>
      <c r="AA23" s="333">
        <f t="shared" si="9"/>
        <v>39</v>
      </c>
      <c r="AB23" s="333">
        <f t="shared" si="9"/>
        <v>41</v>
      </c>
      <c r="AC23" s="333">
        <f t="shared" si="9"/>
        <v>41</v>
      </c>
      <c r="AD23" s="333">
        <f t="shared" si="9"/>
        <v>39</v>
      </c>
      <c r="AE23" s="333">
        <f t="shared" si="9"/>
        <v>41</v>
      </c>
    </row>
    <row r="25" spans="1:31" s="330" customFormat="1">
      <c r="A25" s="599" t="s">
        <v>394</v>
      </c>
      <c r="B25" s="333">
        <f xml:space="preserve"> SUM( B$26:B$27 )</f>
        <v>3</v>
      </c>
      <c r="C25" s="333">
        <f t="shared" ref="C25:AE25" si="10" xml:space="preserve"> SUM( C$26:C$27 )</f>
        <v>3</v>
      </c>
      <c r="D25" s="333">
        <f t="shared" si="10"/>
        <v>3</v>
      </c>
      <c r="E25" s="333">
        <f t="shared" si="10"/>
        <v>4</v>
      </c>
      <c r="F25" s="333">
        <f t="shared" si="10"/>
        <v>4</v>
      </c>
      <c r="G25" s="333">
        <f t="shared" si="10"/>
        <v>4</v>
      </c>
      <c r="H25" s="333">
        <f t="shared" si="10"/>
        <v>5</v>
      </c>
      <c r="I25" s="333">
        <f t="shared" si="10"/>
        <v>5</v>
      </c>
      <c r="J25" s="333">
        <f t="shared" si="10"/>
        <v>5</v>
      </c>
      <c r="K25" s="333">
        <f t="shared" si="10"/>
        <v>5</v>
      </c>
      <c r="L25" s="333">
        <f t="shared" si="10"/>
        <v>6</v>
      </c>
      <c r="M25" s="333">
        <f t="shared" si="10"/>
        <v>6</v>
      </c>
      <c r="N25" s="333">
        <f t="shared" si="10"/>
        <v>6</v>
      </c>
      <c r="O25" s="333">
        <f t="shared" si="10"/>
        <v>6</v>
      </c>
      <c r="P25" s="333">
        <f t="shared" si="10"/>
        <v>6</v>
      </c>
      <c r="Q25" s="333">
        <f t="shared" si="10"/>
        <v>6</v>
      </c>
      <c r="R25" s="333">
        <f t="shared" si="10"/>
        <v>6</v>
      </c>
      <c r="S25" s="333">
        <f t="shared" si="10"/>
        <v>6</v>
      </c>
      <c r="T25" s="333">
        <f t="shared" si="10"/>
        <v>6</v>
      </c>
      <c r="U25" s="333">
        <f t="shared" si="10"/>
        <v>6</v>
      </c>
      <c r="V25" s="333">
        <f t="shared" si="10"/>
        <v>6</v>
      </c>
      <c r="W25" s="333">
        <f t="shared" si="10"/>
        <v>6</v>
      </c>
      <c r="X25" s="333">
        <f t="shared" si="10"/>
        <v>6</v>
      </c>
      <c r="Y25" s="333">
        <f t="shared" si="10"/>
        <v>6</v>
      </c>
      <c r="Z25" s="333">
        <f t="shared" si="10"/>
        <v>6</v>
      </c>
      <c r="AA25" s="333">
        <f t="shared" si="10"/>
        <v>6</v>
      </c>
      <c r="AB25" s="333">
        <f t="shared" si="10"/>
        <v>6</v>
      </c>
      <c r="AC25" s="333">
        <f t="shared" si="10"/>
        <v>6</v>
      </c>
      <c r="AD25" s="333">
        <f t="shared" si="10"/>
        <v>6</v>
      </c>
      <c r="AE25" s="333">
        <f t="shared" si="10"/>
        <v>6</v>
      </c>
    </row>
    <row r="26" spans="1:31">
      <c r="A26" s="602" t="s">
        <v>294</v>
      </c>
      <c r="B26" s="334">
        <f>ROUND('Recursos Humanos 1'!E24/$B$4/8,0)</f>
        <v>0</v>
      </c>
      <c r="C26" s="334">
        <f>ROUND('Recursos Humanos 1'!F24/$B$4/8,0)</f>
        <v>0</v>
      </c>
      <c r="D26" s="334">
        <f>ROUND('Recursos Humanos 1'!G24/$B$4/8,0)</f>
        <v>0</v>
      </c>
      <c r="E26" s="334">
        <f>ROUND('Recursos Humanos 1'!H24/$B$4/8,0)</f>
        <v>0</v>
      </c>
      <c r="F26" s="334">
        <f>ROUND('Recursos Humanos 1'!I24/$B$4/8,0)</f>
        <v>0</v>
      </c>
      <c r="G26" s="334">
        <f>ROUND('Recursos Humanos 1'!J24/$B$4/8,0)</f>
        <v>0</v>
      </c>
      <c r="H26" s="334">
        <f>ROUND('Recursos Humanos 1'!K24/$B$4/8,0)</f>
        <v>1</v>
      </c>
      <c r="I26" s="334">
        <f>ROUND('Recursos Humanos 1'!L24/$B$4/8,0)</f>
        <v>1</v>
      </c>
      <c r="J26" s="334">
        <f>ROUND('Recursos Humanos 1'!M24/$B$4/8,0)</f>
        <v>1</v>
      </c>
      <c r="K26" s="334">
        <f>ROUND('Recursos Humanos 1'!N24/$B$4/8,0)</f>
        <v>1</v>
      </c>
      <c r="L26" s="334">
        <f>ROUND('Recursos Humanos 1'!O24/$B$4/8,0)</f>
        <v>1</v>
      </c>
      <c r="M26" s="334">
        <f>ROUND('Recursos Humanos 1'!P24/$B$4/8,0)</f>
        <v>1</v>
      </c>
      <c r="N26" s="334">
        <f>ROUND('Recursos Humanos 1'!Q24/$B$4/8,0)</f>
        <v>1</v>
      </c>
      <c r="O26" s="334">
        <f>ROUND('Recursos Humanos 1'!R24/$B$4/8,0)</f>
        <v>1</v>
      </c>
      <c r="P26" s="334">
        <f>ROUND('Recursos Humanos 1'!S24/$B$4/8,0)</f>
        <v>1</v>
      </c>
      <c r="Q26" s="334">
        <f>ROUND('Recursos Humanos 1'!T24/$B$4/8,0)</f>
        <v>1</v>
      </c>
      <c r="R26" s="334">
        <f>ROUND('Recursos Humanos 1'!U24/$B$4/8,0)</f>
        <v>1</v>
      </c>
      <c r="S26" s="334">
        <f>ROUND('Recursos Humanos 1'!V24/$B$4/8,0)</f>
        <v>1</v>
      </c>
      <c r="T26" s="334">
        <f>ROUND('Recursos Humanos 1'!W24/$B$4/8,0)</f>
        <v>1</v>
      </c>
      <c r="U26" s="334">
        <f>ROUND('Recursos Humanos 1'!X24/$B$4/8,0)</f>
        <v>1</v>
      </c>
      <c r="V26" s="334">
        <f>ROUND('Recursos Humanos 1'!Y24/$B$4/8,0)</f>
        <v>1</v>
      </c>
      <c r="W26" s="334">
        <f>ROUND('Recursos Humanos 1'!Z24/$B$4/8,0)</f>
        <v>1</v>
      </c>
      <c r="X26" s="334">
        <f>ROUND('Recursos Humanos 1'!AA24/$B$4/8,0)</f>
        <v>1</v>
      </c>
      <c r="Y26" s="334">
        <f>ROUND('Recursos Humanos 1'!AB24/$B$4/8,0)</f>
        <v>1</v>
      </c>
      <c r="Z26" s="334">
        <f>ROUND('Recursos Humanos 1'!AC24/$B$4/8,0)</f>
        <v>1</v>
      </c>
      <c r="AA26" s="334">
        <f>ROUND('Recursos Humanos 1'!AD24/$B$4/8,0)</f>
        <v>1</v>
      </c>
      <c r="AB26" s="334">
        <f>ROUND('Recursos Humanos 1'!AE24/$B$4/8,0)</f>
        <v>1</v>
      </c>
      <c r="AC26" s="334">
        <f>ROUND('Recursos Humanos 1'!AF24/$B$4/8,0)</f>
        <v>1</v>
      </c>
      <c r="AD26" s="334">
        <f>ROUND('Recursos Humanos 1'!AG24/$B$4/8,0)</f>
        <v>1</v>
      </c>
      <c r="AE26" s="334">
        <f>ROUND('Recursos Humanos 1'!AH24/$B$4/8,0)</f>
        <v>1</v>
      </c>
    </row>
    <row r="27" spans="1:31">
      <c r="A27" s="602" t="s">
        <v>293</v>
      </c>
      <c r="B27" s="334">
        <f>ROUND('Recursos Humanos 1'!E24/$B$4,0)</f>
        <v>3</v>
      </c>
      <c r="C27" s="334">
        <f>ROUND('Recursos Humanos 1'!F24/$B$4,0)</f>
        <v>3</v>
      </c>
      <c r="D27" s="334">
        <f>ROUND('Recursos Humanos 1'!G24/$B$4,0)</f>
        <v>3</v>
      </c>
      <c r="E27" s="334">
        <f>ROUND('Recursos Humanos 1'!H24/$B$4,0)</f>
        <v>4</v>
      </c>
      <c r="F27" s="334">
        <f>ROUND('Recursos Humanos 1'!I24/$B$4,0)</f>
        <v>4</v>
      </c>
      <c r="G27" s="334">
        <f>ROUND('Recursos Humanos 1'!J24/$B$4,0)</f>
        <v>4</v>
      </c>
      <c r="H27" s="334">
        <f>ROUND('Recursos Humanos 1'!K24/$B$4,0)</f>
        <v>4</v>
      </c>
      <c r="I27" s="334">
        <f>ROUND('Recursos Humanos 1'!L24/$B$4,0)</f>
        <v>4</v>
      </c>
      <c r="J27" s="334">
        <f>ROUND('Recursos Humanos 1'!M24/$B$4,0)</f>
        <v>4</v>
      </c>
      <c r="K27" s="334">
        <f>ROUND('Recursos Humanos 1'!N24/$B$4,0)</f>
        <v>4</v>
      </c>
      <c r="L27" s="334">
        <f>ROUND('Recursos Humanos 1'!O24/$B$4,0)</f>
        <v>5</v>
      </c>
      <c r="M27" s="334">
        <f>ROUND('Recursos Humanos 1'!P24/$B$4,0)</f>
        <v>5</v>
      </c>
      <c r="N27" s="334">
        <f>ROUND('Recursos Humanos 1'!Q24/$B$4,0)</f>
        <v>5</v>
      </c>
      <c r="O27" s="334">
        <f>ROUND('Recursos Humanos 1'!R24/$B$4,0)</f>
        <v>5</v>
      </c>
      <c r="P27" s="334">
        <f>ROUND('Recursos Humanos 1'!S24/$B$4,0)</f>
        <v>5</v>
      </c>
      <c r="Q27" s="334">
        <f>ROUND('Recursos Humanos 1'!T24/$B$4,0)</f>
        <v>5</v>
      </c>
      <c r="R27" s="334">
        <f>ROUND('Recursos Humanos 1'!U24/$B$4,0)</f>
        <v>5</v>
      </c>
      <c r="S27" s="334">
        <f>ROUND('Recursos Humanos 1'!V24/$B$4,0)</f>
        <v>5</v>
      </c>
      <c r="T27" s="334">
        <f>ROUND('Recursos Humanos 1'!W24/$B$4,0)</f>
        <v>5</v>
      </c>
      <c r="U27" s="334">
        <f>ROUND('Recursos Humanos 1'!X24/$B$4,0)</f>
        <v>5</v>
      </c>
      <c r="V27" s="334">
        <f>ROUND('Recursos Humanos 1'!Y24/$B$4,0)</f>
        <v>5</v>
      </c>
      <c r="W27" s="334">
        <f>ROUND('Recursos Humanos 1'!Z24/$B$4,0)</f>
        <v>5</v>
      </c>
      <c r="X27" s="334">
        <f>ROUND('Recursos Humanos 1'!AA24/$B$4,0)</f>
        <v>5</v>
      </c>
      <c r="Y27" s="334">
        <f>ROUND('Recursos Humanos 1'!AB24/$B$4,0)</f>
        <v>5</v>
      </c>
      <c r="Z27" s="334">
        <f>ROUND('Recursos Humanos 1'!AC24/$B$4,0)</f>
        <v>5</v>
      </c>
      <c r="AA27" s="334">
        <f>ROUND('Recursos Humanos 1'!AD24/$B$4,0)</f>
        <v>5</v>
      </c>
      <c r="AB27" s="334">
        <f>ROUND('Recursos Humanos 1'!AE24/$B$4,0)</f>
        <v>5</v>
      </c>
      <c r="AC27" s="334">
        <f>ROUND('Recursos Humanos 1'!AF24/$B$4,0)</f>
        <v>5</v>
      </c>
      <c r="AD27" s="334">
        <f>ROUND('Recursos Humanos 1'!AG24/$B$4,0)</f>
        <v>5</v>
      </c>
      <c r="AE27" s="334">
        <f>ROUND('Recursos Humanos 1'!AH24/$B$4,0)</f>
        <v>5</v>
      </c>
    </row>
    <row r="29" spans="1:31" s="330" customFormat="1">
      <c r="A29" s="603" t="s">
        <v>124</v>
      </c>
      <c r="B29" s="333">
        <f t="shared" ref="B29:AE29" si="11" xml:space="preserve"> SUM( B$30 )</f>
        <v>1</v>
      </c>
      <c r="C29" s="333">
        <f t="shared" si="11"/>
        <v>1</v>
      </c>
      <c r="D29" s="333">
        <f t="shared" si="11"/>
        <v>1</v>
      </c>
      <c r="E29" s="333">
        <f t="shared" si="11"/>
        <v>2</v>
      </c>
      <c r="F29" s="333">
        <f t="shared" si="11"/>
        <v>2</v>
      </c>
      <c r="G29" s="333">
        <f t="shared" si="11"/>
        <v>2</v>
      </c>
      <c r="H29" s="333">
        <f t="shared" si="11"/>
        <v>2</v>
      </c>
      <c r="I29" s="333">
        <f t="shared" si="11"/>
        <v>2</v>
      </c>
      <c r="J29" s="333">
        <f t="shared" si="11"/>
        <v>2</v>
      </c>
      <c r="K29" s="333">
        <f t="shared" si="11"/>
        <v>2</v>
      </c>
      <c r="L29" s="333">
        <f t="shared" si="11"/>
        <v>2</v>
      </c>
      <c r="M29" s="333">
        <f t="shared" si="11"/>
        <v>2</v>
      </c>
      <c r="N29" s="333">
        <f t="shared" si="11"/>
        <v>2</v>
      </c>
      <c r="O29" s="333">
        <f t="shared" si="11"/>
        <v>2</v>
      </c>
      <c r="P29" s="333">
        <f t="shared" si="11"/>
        <v>2</v>
      </c>
      <c r="Q29" s="333">
        <f t="shared" si="11"/>
        <v>2</v>
      </c>
      <c r="R29" s="333">
        <f t="shared" si="11"/>
        <v>2</v>
      </c>
      <c r="S29" s="333">
        <f t="shared" si="11"/>
        <v>2</v>
      </c>
      <c r="T29" s="333">
        <f t="shared" si="11"/>
        <v>2</v>
      </c>
      <c r="U29" s="333">
        <f t="shared" si="11"/>
        <v>2</v>
      </c>
      <c r="V29" s="333">
        <f t="shared" si="11"/>
        <v>2</v>
      </c>
      <c r="W29" s="333">
        <f t="shared" si="11"/>
        <v>2</v>
      </c>
      <c r="X29" s="333">
        <f t="shared" si="11"/>
        <v>2</v>
      </c>
      <c r="Y29" s="333">
        <f t="shared" si="11"/>
        <v>2</v>
      </c>
      <c r="Z29" s="333">
        <f t="shared" si="11"/>
        <v>2</v>
      </c>
      <c r="AA29" s="333">
        <f t="shared" si="11"/>
        <v>2</v>
      </c>
      <c r="AB29" s="333">
        <f t="shared" si="11"/>
        <v>2</v>
      </c>
      <c r="AC29" s="333">
        <f t="shared" si="11"/>
        <v>2</v>
      </c>
      <c r="AD29" s="333">
        <f t="shared" si="11"/>
        <v>2</v>
      </c>
      <c r="AE29" s="333">
        <f t="shared" si="11"/>
        <v>2</v>
      </c>
    </row>
    <row r="30" spans="1:31">
      <c r="A30" s="602" t="s">
        <v>293</v>
      </c>
      <c r="B30" s="334">
        <f>ROUND('Recursos Humanos 1'!E38/$B$7,0)</f>
        <v>1</v>
      </c>
      <c r="C30" s="334">
        <f>ROUND('Recursos Humanos 1'!F38/$B$7,0)</f>
        <v>1</v>
      </c>
      <c r="D30" s="334">
        <f>ROUND('Recursos Humanos 1'!G38/$B$7,0)</f>
        <v>1</v>
      </c>
      <c r="E30" s="334">
        <f>ROUND('Recursos Humanos 1'!H38/$B$7,0)</f>
        <v>2</v>
      </c>
      <c r="F30" s="334">
        <f>ROUND('Recursos Humanos 1'!I38/$B$7,0)</f>
        <v>2</v>
      </c>
      <c r="G30" s="334">
        <f>ROUND('Recursos Humanos 1'!J38/$B$7,0)</f>
        <v>2</v>
      </c>
      <c r="H30" s="334">
        <f>ROUND('Recursos Humanos 1'!K38/$B$7,0)</f>
        <v>2</v>
      </c>
      <c r="I30" s="334">
        <f>ROUND('Recursos Humanos 1'!L38/$B$7,0)</f>
        <v>2</v>
      </c>
      <c r="J30" s="334">
        <f>ROUND('Recursos Humanos 1'!M38/$B$7,0)</f>
        <v>2</v>
      </c>
      <c r="K30" s="334">
        <f>ROUND('Recursos Humanos 1'!N38/$B$7,0)</f>
        <v>2</v>
      </c>
      <c r="L30" s="334">
        <f>ROUND('Recursos Humanos 1'!O38/$B$7,0)</f>
        <v>2</v>
      </c>
      <c r="M30" s="334">
        <f>ROUND('Recursos Humanos 1'!P38/$B$7,0)</f>
        <v>2</v>
      </c>
      <c r="N30" s="334">
        <f>ROUND('Recursos Humanos 1'!Q38/$B$7,0)</f>
        <v>2</v>
      </c>
      <c r="O30" s="334">
        <f>ROUND('Recursos Humanos 1'!R38/$B$7,0)</f>
        <v>2</v>
      </c>
      <c r="P30" s="334">
        <f>ROUND('Recursos Humanos 1'!S38/$B$7,0)</f>
        <v>2</v>
      </c>
      <c r="Q30" s="334">
        <f>ROUND('Recursos Humanos 1'!T38/$B$7,0)</f>
        <v>2</v>
      </c>
      <c r="R30" s="334">
        <f>ROUND('Recursos Humanos 1'!U38/$B$7,0)</f>
        <v>2</v>
      </c>
      <c r="S30" s="334">
        <f>ROUND('Recursos Humanos 1'!V38/$B$7,0)</f>
        <v>2</v>
      </c>
      <c r="T30" s="334">
        <f>ROUND('Recursos Humanos 1'!W38/$B$7,0)</f>
        <v>2</v>
      </c>
      <c r="U30" s="334">
        <f>ROUND('Recursos Humanos 1'!X38/$B$7,0)</f>
        <v>2</v>
      </c>
      <c r="V30" s="334">
        <f>ROUND('Recursos Humanos 1'!Y38/$B$7,0)</f>
        <v>2</v>
      </c>
      <c r="W30" s="334">
        <f>ROUND('Recursos Humanos 1'!Z38/$B$7,0)</f>
        <v>2</v>
      </c>
      <c r="X30" s="334">
        <f>ROUND('Recursos Humanos 1'!AA38/$B$7,0)</f>
        <v>2</v>
      </c>
      <c r="Y30" s="334">
        <f>ROUND('Recursos Humanos 1'!AB38/$B$7,0)</f>
        <v>2</v>
      </c>
      <c r="Z30" s="334">
        <f>ROUND('Recursos Humanos 1'!AC38/$B$7,0)</f>
        <v>2</v>
      </c>
      <c r="AA30" s="334">
        <f>ROUND('Recursos Humanos 1'!AD38/$B$7,0)</f>
        <v>2</v>
      </c>
      <c r="AB30" s="334">
        <f>ROUND('Recursos Humanos 1'!AE38/$B$7,0)</f>
        <v>2</v>
      </c>
      <c r="AC30" s="334">
        <f>ROUND('Recursos Humanos 1'!AF38/$B$7,0)</f>
        <v>2</v>
      </c>
      <c r="AD30" s="334">
        <f>ROUND('Recursos Humanos 1'!AG38/$B$7,0)</f>
        <v>2</v>
      </c>
      <c r="AE30" s="334">
        <f>ROUND('Recursos Humanos 1'!AH38/$B$7,0)</f>
        <v>2</v>
      </c>
    </row>
    <row r="32" spans="1:31" s="330" customFormat="1">
      <c r="A32" s="601" t="s">
        <v>72</v>
      </c>
      <c r="B32" s="333">
        <f t="shared" ref="B32:AE32" si="12" xml:space="preserve"> SUM( B$33:B$33 )</f>
        <v>1</v>
      </c>
      <c r="C32" s="333">
        <f t="shared" si="12"/>
        <v>1</v>
      </c>
      <c r="D32" s="333">
        <f t="shared" si="12"/>
        <v>1</v>
      </c>
      <c r="E32" s="333">
        <f t="shared" si="12"/>
        <v>1</v>
      </c>
      <c r="F32" s="333">
        <f t="shared" si="12"/>
        <v>1</v>
      </c>
      <c r="G32" s="333">
        <f t="shared" si="12"/>
        <v>1</v>
      </c>
      <c r="H32" s="333">
        <f t="shared" si="12"/>
        <v>1</v>
      </c>
      <c r="I32" s="333">
        <f t="shared" si="12"/>
        <v>1</v>
      </c>
      <c r="J32" s="333">
        <f t="shared" si="12"/>
        <v>1</v>
      </c>
      <c r="K32" s="333">
        <f t="shared" si="12"/>
        <v>1</v>
      </c>
      <c r="L32" s="333">
        <f t="shared" si="12"/>
        <v>1</v>
      </c>
      <c r="M32" s="333">
        <f t="shared" si="12"/>
        <v>1</v>
      </c>
      <c r="N32" s="333">
        <f t="shared" si="12"/>
        <v>1</v>
      </c>
      <c r="O32" s="333">
        <f t="shared" si="12"/>
        <v>1</v>
      </c>
      <c r="P32" s="333">
        <f t="shared" si="12"/>
        <v>1</v>
      </c>
      <c r="Q32" s="333">
        <f t="shared" si="12"/>
        <v>1</v>
      </c>
      <c r="R32" s="333">
        <f t="shared" si="12"/>
        <v>1</v>
      </c>
      <c r="S32" s="333">
        <f t="shared" si="12"/>
        <v>1</v>
      </c>
      <c r="T32" s="333">
        <f t="shared" si="12"/>
        <v>1</v>
      </c>
      <c r="U32" s="333">
        <f t="shared" si="12"/>
        <v>1</v>
      </c>
      <c r="V32" s="333">
        <f t="shared" si="12"/>
        <v>1</v>
      </c>
      <c r="W32" s="333">
        <f t="shared" si="12"/>
        <v>1</v>
      </c>
      <c r="X32" s="333">
        <f t="shared" si="12"/>
        <v>1</v>
      </c>
      <c r="Y32" s="333">
        <f t="shared" si="12"/>
        <v>1</v>
      </c>
      <c r="Z32" s="333">
        <f t="shared" si="12"/>
        <v>1</v>
      </c>
      <c r="AA32" s="333">
        <f t="shared" si="12"/>
        <v>1</v>
      </c>
      <c r="AB32" s="333">
        <f t="shared" si="12"/>
        <v>1</v>
      </c>
      <c r="AC32" s="333">
        <f t="shared" si="12"/>
        <v>1</v>
      </c>
      <c r="AD32" s="333">
        <f t="shared" si="12"/>
        <v>1</v>
      </c>
      <c r="AE32" s="333">
        <f t="shared" si="12"/>
        <v>1</v>
      </c>
    </row>
    <row r="33" spans="1:31">
      <c r="A33" s="602" t="str">
        <f>A30</f>
        <v>Passeio Tipo 2 (Gol ou similar)</v>
      </c>
      <c r="B33" s="334">
        <f>ROUND('Recursos Humanos 1'!E46,0)</f>
        <v>1</v>
      </c>
      <c r="C33" s="334">
        <f>ROUND('Recursos Humanos 1'!F46,0)</f>
        <v>1</v>
      </c>
      <c r="D33" s="334">
        <f>ROUND('Recursos Humanos 1'!G46,0)</f>
        <v>1</v>
      </c>
      <c r="E33" s="334">
        <f>ROUND('Recursos Humanos 1'!H46,0)</f>
        <v>1</v>
      </c>
      <c r="F33" s="334">
        <f>ROUND('Recursos Humanos 1'!I46,0)</f>
        <v>1</v>
      </c>
      <c r="G33" s="334">
        <f>ROUND('Recursos Humanos 1'!J46,0)</f>
        <v>1</v>
      </c>
      <c r="H33" s="334">
        <f>ROUND('Recursos Humanos 1'!K46,0)</f>
        <v>1</v>
      </c>
      <c r="I33" s="334">
        <f>ROUND('Recursos Humanos 1'!L46,0)</f>
        <v>1</v>
      </c>
      <c r="J33" s="334">
        <f>ROUND('Recursos Humanos 1'!M46,0)</f>
        <v>1</v>
      </c>
      <c r="K33" s="334">
        <f>ROUND('Recursos Humanos 1'!N46,0)</f>
        <v>1</v>
      </c>
      <c r="L33" s="334">
        <f>ROUND('Recursos Humanos 1'!O46,0)</f>
        <v>1</v>
      </c>
      <c r="M33" s="334">
        <f>ROUND('Recursos Humanos 1'!P46,0)</f>
        <v>1</v>
      </c>
      <c r="N33" s="334">
        <f>ROUND('Recursos Humanos 1'!Q46,0)</f>
        <v>1</v>
      </c>
      <c r="O33" s="334">
        <f>ROUND('Recursos Humanos 1'!R46,0)</f>
        <v>1</v>
      </c>
      <c r="P33" s="334">
        <f>ROUND('Recursos Humanos 1'!S46,0)</f>
        <v>1</v>
      </c>
      <c r="Q33" s="334">
        <f>ROUND('Recursos Humanos 1'!T46,0)</f>
        <v>1</v>
      </c>
      <c r="R33" s="334">
        <f>ROUND('Recursos Humanos 1'!U46,0)</f>
        <v>1</v>
      </c>
      <c r="S33" s="334">
        <f>ROUND('Recursos Humanos 1'!V46,0)</f>
        <v>1</v>
      </c>
      <c r="T33" s="334">
        <f>ROUND('Recursos Humanos 1'!W46,0)</f>
        <v>1</v>
      </c>
      <c r="U33" s="334">
        <f>ROUND('Recursos Humanos 1'!X46,0)</f>
        <v>1</v>
      </c>
      <c r="V33" s="334">
        <f>ROUND('Recursos Humanos 1'!Y46,0)</f>
        <v>1</v>
      </c>
      <c r="W33" s="334">
        <f>ROUND('Recursos Humanos 1'!Z46,0)</f>
        <v>1</v>
      </c>
      <c r="X33" s="334">
        <f>ROUND('Recursos Humanos 1'!AA46,0)</f>
        <v>1</v>
      </c>
      <c r="Y33" s="334">
        <f>ROUND('Recursos Humanos 1'!AB46,0)</f>
        <v>1</v>
      </c>
      <c r="Z33" s="334">
        <f>ROUND('Recursos Humanos 1'!AC46,0)</f>
        <v>1</v>
      </c>
      <c r="AA33" s="334">
        <f>ROUND('Recursos Humanos 1'!AD46,0)</f>
        <v>1</v>
      </c>
      <c r="AB33" s="334">
        <f>ROUND('Recursos Humanos 1'!AE46,0)</f>
        <v>1</v>
      </c>
      <c r="AC33" s="334">
        <f>ROUND('Recursos Humanos 1'!AF46,0)</f>
        <v>1</v>
      </c>
      <c r="AD33" s="334">
        <f>ROUND('Recursos Humanos 1'!AG46,0)</f>
        <v>1</v>
      </c>
      <c r="AE33" s="334">
        <f>ROUND('Recursos Humanos 1'!AH46,0)</f>
        <v>1</v>
      </c>
    </row>
    <row r="35" spans="1:31" s="330" customFormat="1">
      <c r="A35" s="601" t="s">
        <v>552</v>
      </c>
      <c r="B35" s="333">
        <f t="shared" ref="B35:AE35" si="13" xml:space="preserve"> SUM( B$36:B$41 )</f>
        <v>13</v>
      </c>
      <c r="C35" s="333">
        <f t="shared" si="13"/>
        <v>13</v>
      </c>
      <c r="D35" s="333">
        <f t="shared" si="13"/>
        <v>9</v>
      </c>
      <c r="E35" s="333">
        <f t="shared" si="13"/>
        <v>16</v>
      </c>
      <c r="F35" s="333">
        <f t="shared" si="13"/>
        <v>18</v>
      </c>
      <c r="G35" s="333">
        <f t="shared" si="13"/>
        <v>20</v>
      </c>
      <c r="H35" s="333">
        <f t="shared" si="13"/>
        <v>32</v>
      </c>
      <c r="I35" s="333">
        <f t="shared" si="13"/>
        <v>30</v>
      </c>
      <c r="J35" s="333">
        <f t="shared" si="13"/>
        <v>32</v>
      </c>
      <c r="K35" s="333">
        <f t="shared" si="13"/>
        <v>32</v>
      </c>
      <c r="L35" s="333">
        <f t="shared" si="13"/>
        <v>30</v>
      </c>
      <c r="M35" s="333">
        <f t="shared" si="13"/>
        <v>32</v>
      </c>
      <c r="N35" s="333">
        <f t="shared" si="13"/>
        <v>32</v>
      </c>
      <c r="O35" s="333">
        <f t="shared" si="13"/>
        <v>30</v>
      </c>
      <c r="P35" s="333">
        <f t="shared" si="13"/>
        <v>32</v>
      </c>
      <c r="Q35" s="333">
        <f t="shared" si="13"/>
        <v>32</v>
      </c>
      <c r="R35" s="333">
        <f t="shared" si="13"/>
        <v>30</v>
      </c>
      <c r="S35" s="333">
        <f t="shared" si="13"/>
        <v>32</v>
      </c>
      <c r="T35" s="333">
        <f t="shared" si="13"/>
        <v>32</v>
      </c>
      <c r="U35" s="333">
        <f t="shared" si="13"/>
        <v>30</v>
      </c>
      <c r="V35" s="333">
        <f t="shared" si="13"/>
        <v>32</v>
      </c>
      <c r="W35" s="333">
        <f t="shared" si="13"/>
        <v>32</v>
      </c>
      <c r="X35" s="333">
        <f t="shared" si="13"/>
        <v>30</v>
      </c>
      <c r="Y35" s="333">
        <f t="shared" si="13"/>
        <v>32</v>
      </c>
      <c r="Z35" s="333">
        <f t="shared" si="13"/>
        <v>32</v>
      </c>
      <c r="AA35" s="333">
        <f t="shared" si="13"/>
        <v>30</v>
      </c>
      <c r="AB35" s="333">
        <f t="shared" si="13"/>
        <v>32</v>
      </c>
      <c r="AC35" s="333">
        <f t="shared" si="13"/>
        <v>32</v>
      </c>
      <c r="AD35" s="333">
        <f t="shared" si="13"/>
        <v>30</v>
      </c>
      <c r="AE35" s="333">
        <f t="shared" si="13"/>
        <v>32</v>
      </c>
    </row>
    <row r="36" spans="1:31">
      <c r="A36" s="602" t="str">
        <f>A33</f>
        <v>Passeio Tipo 2 (Gol ou similar)</v>
      </c>
      <c r="B36" s="334">
        <f>ROUND(('Recursos Humanos 1'!E51+'Recursos Humanos 1'!E52)/2,0)</f>
        <v>1</v>
      </c>
      <c r="C36" s="334">
        <f>ROUND(('Recursos Humanos 1'!F51+'Recursos Humanos 1'!F52)/2,0)</f>
        <v>1</v>
      </c>
      <c r="D36" s="334">
        <f>ROUND(('Recursos Humanos 1'!G51+'Recursos Humanos 1'!G52)/2,0)</f>
        <v>2</v>
      </c>
      <c r="E36" s="334">
        <f>ROUND(('Recursos Humanos 1'!H51+'Recursos Humanos 1'!H52)/2,0)</f>
        <v>2</v>
      </c>
      <c r="F36" s="334">
        <f>ROUND(('Recursos Humanos 1'!I51+'Recursos Humanos 1'!I52)/2,0)</f>
        <v>2</v>
      </c>
      <c r="G36" s="334">
        <f>ROUND(('Recursos Humanos 1'!J51+'Recursos Humanos 1'!J52)/2,0)</f>
        <v>2</v>
      </c>
      <c r="H36" s="334">
        <f>ROUND(('Recursos Humanos 1'!K51+'Recursos Humanos 1'!K52)/2,0)</f>
        <v>2</v>
      </c>
      <c r="I36" s="334">
        <f>ROUND(('Recursos Humanos 1'!L51+'Recursos Humanos 1'!L52)/2,0)</f>
        <v>2</v>
      </c>
      <c r="J36" s="334">
        <f>ROUND(('Recursos Humanos 1'!M51+'Recursos Humanos 1'!M52)/2,0)</f>
        <v>2</v>
      </c>
      <c r="K36" s="334">
        <f>ROUND(('Recursos Humanos 1'!N51+'Recursos Humanos 1'!N52)/2,0)</f>
        <v>2</v>
      </c>
      <c r="L36" s="334">
        <f>ROUND(('Recursos Humanos 1'!O51+'Recursos Humanos 1'!O52)/2,0)</f>
        <v>2</v>
      </c>
      <c r="M36" s="334">
        <f>ROUND(('Recursos Humanos 1'!P51+'Recursos Humanos 1'!P52)/2,0)</f>
        <v>2</v>
      </c>
      <c r="N36" s="334">
        <f>ROUND(('Recursos Humanos 1'!Q51+'Recursos Humanos 1'!Q52)/2,0)</f>
        <v>2</v>
      </c>
      <c r="O36" s="334">
        <f>ROUND(('Recursos Humanos 1'!R51+'Recursos Humanos 1'!R52)/2,0)</f>
        <v>2</v>
      </c>
      <c r="P36" s="334">
        <f>ROUND(('Recursos Humanos 1'!S51+'Recursos Humanos 1'!S52)/2,0)</f>
        <v>2</v>
      </c>
      <c r="Q36" s="334">
        <f>ROUND(('Recursos Humanos 1'!T51+'Recursos Humanos 1'!T52)/2,0)</f>
        <v>2</v>
      </c>
      <c r="R36" s="334">
        <f>ROUND(('Recursos Humanos 1'!U51+'Recursos Humanos 1'!U52)/2,0)</f>
        <v>2</v>
      </c>
      <c r="S36" s="334">
        <f>ROUND(('Recursos Humanos 1'!V51+'Recursos Humanos 1'!V52)/2,0)</f>
        <v>2</v>
      </c>
      <c r="T36" s="334">
        <f>ROUND(('Recursos Humanos 1'!W51+'Recursos Humanos 1'!W52)/2,0)</f>
        <v>2</v>
      </c>
      <c r="U36" s="334">
        <f>ROUND(('Recursos Humanos 1'!X51+'Recursos Humanos 1'!X52)/2,0)</f>
        <v>2</v>
      </c>
      <c r="V36" s="334">
        <f>ROUND(('Recursos Humanos 1'!Y51+'Recursos Humanos 1'!Y52)/2,0)</f>
        <v>2</v>
      </c>
      <c r="W36" s="334">
        <f>ROUND(('Recursos Humanos 1'!Z51+'Recursos Humanos 1'!Z52)/2,0)</f>
        <v>2</v>
      </c>
      <c r="X36" s="334">
        <f>ROUND(('Recursos Humanos 1'!AA51+'Recursos Humanos 1'!AA52)/2,0)</f>
        <v>2</v>
      </c>
      <c r="Y36" s="334">
        <f>ROUND(('Recursos Humanos 1'!AB51+'Recursos Humanos 1'!AB52)/2,0)</f>
        <v>2</v>
      </c>
      <c r="Z36" s="334">
        <f>ROUND(('Recursos Humanos 1'!AC51+'Recursos Humanos 1'!AC52)/2,0)</f>
        <v>2</v>
      </c>
      <c r="AA36" s="334">
        <f>ROUND(('Recursos Humanos 1'!AD51+'Recursos Humanos 1'!AD52)/2,0)</f>
        <v>2</v>
      </c>
      <c r="AB36" s="334">
        <f>ROUND(('Recursos Humanos 1'!AE51+'Recursos Humanos 1'!AE52)/2,0)</f>
        <v>2</v>
      </c>
      <c r="AC36" s="334">
        <f>ROUND(('Recursos Humanos 1'!AF51+'Recursos Humanos 1'!AF52)/2,0)</f>
        <v>2</v>
      </c>
      <c r="AD36" s="334">
        <f>ROUND(('Recursos Humanos 1'!AG51+'Recursos Humanos 1'!AG52)/2,0)</f>
        <v>2</v>
      </c>
      <c r="AE36" s="334">
        <f>ROUND(('Recursos Humanos 1'!AH51+'Recursos Humanos 1'!AH52)/2,0)</f>
        <v>2</v>
      </c>
    </row>
    <row r="37" spans="1:31">
      <c r="A37" s="602" t="s">
        <v>589</v>
      </c>
      <c r="B37" s="334">
        <f>ROUNDUP(('Recursos Humanos 1'!E3+'Recursos Humanos 1'!E8)/$B$3,0)</f>
        <v>6</v>
      </c>
      <c r="C37" s="334">
        <f>ROUNDUP(('Recursos Humanos 1'!F3+'Recursos Humanos 1'!F8)/$B$3,0)</f>
        <v>6</v>
      </c>
      <c r="D37" s="334">
        <v>1</v>
      </c>
      <c r="E37" s="334">
        <f>ROUNDUP(('Recursos Humanos 1'!H3+'Recursos Humanos 1'!H8)/$B$3,0)</f>
        <v>8</v>
      </c>
      <c r="F37" s="334">
        <f>ROUNDUP(('Recursos Humanos 1'!I3+'Recursos Humanos 1'!I8)/$B$3,0)</f>
        <v>10</v>
      </c>
      <c r="G37" s="334">
        <f>ROUNDUP(('Recursos Humanos 1'!J3+'Recursos Humanos 1'!J8)/$B$3,0)</f>
        <v>12</v>
      </c>
      <c r="H37" s="334">
        <f>ROUNDUP(('Recursos Humanos 1'!K3+'Recursos Humanos 1'!K8)/$B$3,0)</f>
        <v>12</v>
      </c>
      <c r="I37" s="334">
        <f>F37</f>
        <v>10</v>
      </c>
      <c r="J37" s="334">
        <f t="shared" ref="J37:AE37" si="14">G37</f>
        <v>12</v>
      </c>
      <c r="K37" s="334">
        <f t="shared" si="14"/>
        <v>12</v>
      </c>
      <c r="L37" s="334">
        <f t="shared" si="14"/>
        <v>10</v>
      </c>
      <c r="M37" s="334">
        <f t="shared" si="14"/>
        <v>12</v>
      </c>
      <c r="N37" s="334">
        <f t="shared" si="14"/>
        <v>12</v>
      </c>
      <c r="O37" s="334">
        <f t="shared" si="14"/>
        <v>10</v>
      </c>
      <c r="P37" s="334">
        <f t="shared" si="14"/>
        <v>12</v>
      </c>
      <c r="Q37" s="334">
        <f t="shared" si="14"/>
        <v>12</v>
      </c>
      <c r="R37" s="334">
        <f t="shared" si="14"/>
        <v>10</v>
      </c>
      <c r="S37" s="334">
        <f t="shared" si="14"/>
        <v>12</v>
      </c>
      <c r="T37" s="334">
        <f t="shared" si="14"/>
        <v>12</v>
      </c>
      <c r="U37" s="334">
        <f t="shared" si="14"/>
        <v>10</v>
      </c>
      <c r="V37" s="334">
        <f t="shared" si="14"/>
        <v>12</v>
      </c>
      <c r="W37" s="334">
        <f t="shared" si="14"/>
        <v>12</v>
      </c>
      <c r="X37" s="334">
        <f t="shared" si="14"/>
        <v>10</v>
      </c>
      <c r="Y37" s="334">
        <f t="shared" si="14"/>
        <v>12</v>
      </c>
      <c r="Z37" s="334">
        <f t="shared" si="14"/>
        <v>12</v>
      </c>
      <c r="AA37" s="334">
        <f t="shared" si="14"/>
        <v>10</v>
      </c>
      <c r="AB37" s="334">
        <f t="shared" si="14"/>
        <v>12</v>
      </c>
      <c r="AC37" s="334">
        <f t="shared" si="14"/>
        <v>12</v>
      </c>
      <c r="AD37" s="334">
        <f t="shared" si="14"/>
        <v>10</v>
      </c>
      <c r="AE37" s="334">
        <f t="shared" si="14"/>
        <v>12</v>
      </c>
    </row>
    <row r="38" spans="1:31">
      <c r="A38" s="600" t="s">
        <v>198</v>
      </c>
      <c r="B38" s="332">
        <v>6</v>
      </c>
      <c r="C38" s="334">
        <v>6</v>
      </c>
      <c r="D38" s="334">
        <f>B38</f>
        <v>6</v>
      </c>
      <c r="E38" s="334">
        <f t="shared" ref="E38:AE38" si="15">C38</f>
        <v>6</v>
      </c>
      <c r="F38" s="334">
        <f t="shared" si="15"/>
        <v>6</v>
      </c>
      <c r="G38" s="334">
        <f t="shared" si="15"/>
        <v>6</v>
      </c>
      <c r="H38" s="334">
        <f t="shared" si="15"/>
        <v>6</v>
      </c>
      <c r="I38" s="334">
        <f t="shared" si="15"/>
        <v>6</v>
      </c>
      <c r="J38" s="334">
        <f t="shared" si="15"/>
        <v>6</v>
      </c>
      <c r="K38" s="334">
        <f t="shared" si="15"/>
        <v>6</v>
      </c>
      <c r="L38" s="334">
        <f t="shared" si="15"/>
        <v>6</v>
      </c>
      <c r="M38" s="334">
        <f t="shared" si="15"/>
        <v>6</v>
      </c>
      <c r="N38" s="334">
        <f t="shared" si="15"/>
        <v>6</v>
      </c>
      <c r="O38" s="334">
        <f t="shared" si="15"/>
        <v>6</v>
      </c>
      <c r="P38" s="334">
        <f t="shared" si="15"/>
        <v>6</v>
      </c>
      <c r="Q38" s="334">
        <f t="shared" si="15"/>
        <v>6</v>
      </c>
      <c r="R38" s="334">
        <f t="shared" si="15"/>
        <v>6</v>
      </c>
      <c r="S38" s="334">
        <f t="shared" si="15"/>
        <v>6</v>
      </c>
      <c r="T38" s="334">
        <f t="shared" si="15"/>
        <v>6</v>
      </c>
      <c r="U38" s="334">
        <f t="shared" si="15"/>
        <v>6</v>
      </c>
      <c r="V38" s="334">
        <f t="shared" si="15"/>
        <v>6</v>
      </c>
      <c r="W38" s="334">
        <f t="shared" si="15"/>
        <v>6</v>
      </c>
      <c r="X38" s="334">
        <f t="shared" si="15"/>
        <v>6</v>
      </c>
      <c r="Y38" s="334">
        <f t="shared" si="15"/>
        <v>6</v>
      </c>
      <c r="Z38" s="334">
        <f t="shared" si="15"/>
        <v>6</v>
      </c>
      <c r="AA38" s="334">
        <f t="shared" si="15"/>
        <v>6</v>
      </c>
      <c r="AB38" s="334">
        <f t="shared" si="15"/>
        <v>6</v>
      </c>
      <c r="AC38" s="334">
        <f t="shared" si="15"/>
        <v>6</v>
      </c>
      <c r="AD38" s="334">
        <f t="shared" si="15"/>
        <v>6</v>
      </c>
      <c r="AE38" s="334">
        <f t="shared" si="15"/>
        <v>6</v>
      </c>
    </row>
    <row r="39" spans="1:31">
      <c r="A39" s="602" t="s">
        <v>200</v>
      </c>
      <c r="B39" s="334">
        <f>ROUNDUP(('Evolução Ligações'!A45+'Evolução Ligações'!A49+'Evolução Ligações'!A53+'Evolução Ligações'!A58+'Evolução Ligações'!A62+'Evolução Ligações'!A66)/10000,0)</f>
        <v>0</v>
      </c>
      <c r="C39" s="334">
        <f>ROUNDUP(('Evolução Ligações'!B45+'Evolução Ligações'!B49+'Evolução Ligações'!B53+'Evolução Ligações'!B58+'Evolução Ligações'!B62+'Evolução Ligações'!B66)/10000,0)</f>
        <v>0</v>
      </c>
      <c r="D39" s="334">
        <f>ROUNDUP(('Evolução Ligações'!C45+'Evolução Ligações'!C49+'Evolução Ligações'!C53+'Evolução Ligações'!C58+'Evolução Ligações'!C62+'Evolução Ligações'!C66)/10000,0)</f>
        <v>0</v>
      </c>
      <c r="E39" s="334">
        <f>ROUNDUP(('Evolução Ligações'!D45+'Evolução Ligações'!D49+'Evolução Ligações'!D53+'Evolução Ligações'!D58+'Evolução Ligações'!D62+'Evolução Ligações'!D66)/10000,0)</f>
        <v>0</v>
      </c>
      <c r="F39" s="334">
        <f>ROUNDUP(('Evolução Ligações'!E45+'Evolução Ligações'!E49+'Evolução Ligações'!E53+'Evolução Ligações'!E58+'Evolução Ligações'!E62+'Evolução Ligações'!E66)/10000,0)</f>
        <v>0</v>
      </c>
      <c r="G39" s="334">
        <f>ROUNDUP(('Evolução Ligações'!F45+'Evolução Ligações'!F49+'Evolução Ligações'!F53+'Evolução Ligações'!F58+'Evolução Ligações'!F62+'Evolução Ligações'!F66)/10000,0)</f>
        <v>0</v>
      </c>
      <c r="H39" s="334">
        <v>6</v>
      </c>
      <c r="I39" s="334">
        <v>6</v>
      </c>
      <c r="J39" s="334">
        <v>6</v>
      </c>
      <c r="K39" s="334">
        <v>6</v>
      </c>
      <c r="L39" s="334">
        <v>6</v>
      </c>
      <c r="M39" s="334">
        <v>6</v>
      </c>
      <c r="N39" s="334">
        <v>6</v>
      </c>
      <c r="O39" s="334">
        <v>6</v>
      </c>
      <c r="P39" s="334">
        <v>6</v>
      </c>
      <c r="Q39" s="334">
        <v>6</v>
      </c>
      <c r="R39" s="334">
        <v>6</v>
      </c>
      <c r="S39" s="334">
        <v>6</v>
      </c>
      <c r="T39" s="334">
        <v>6</v>
      </c>
      <c r="U39" s="334">
        <v>6</v>
      </c>
      <c r="V39" s="334">
        <v>6</v>
      </c>
      <c r="W39" s="334">
        <v>6</v>
      </c>
      <c r="X39" s="334">
        <v>6</v>
      </c>
      <c r="Y39" s="334">
        <v>6</v>
      </c>
      <c r="Z39" s="334">
        <v>6</v>
      </c>
      <c r="AA39" s="334">
        <v>6</v>
      </c>
      <c r="AB39" s="334">
        <v>6</v>
      </c>
      <c r="AC39" s="334">
        <v>6</v>
      </c>
      <c r="AD39" s="334">
        <v>6</v>
      </c>
      <c r="AE39" s="334">
        <v>6</v>
      </c>
    </row>
    <row r="40" spans="1:31">
      <c r="A40" s="602" t="s">
        <v>201</v>
      </c>
      <c r="B40" s="332">
        <f>ROUNDUP(('Evolução Ligações'!A58+'Evolução Ligações'!A62+'Evolução Ligações'!A66)/10000,0)</f>
        <v>0</v>
      </c>
      <c r="C40" s="332">
        <f>ROUNDUP(('Evolução Ligações'!B58+'Evolução Ligações'!B62+'Evolução Ligações'!B66)/10000,0)</f>
        <v>0</v>
      </c>
      <c r="D40" s="332">
        <f>ROUNDUP(('Evolução Ligações'!C58+'Evolução Ligações'!C62+'Evolução Ligações'!C66)/10000,0)</f>
        <v>0</v>
      </c>
      <c r="E40" s="332">
        <f>ROUNDUP(('Evolução Ligações'!D58+'Evolução Ligações'!D62+'Evolução Ligações'!D66)/10000,0)</f>
        <v>0</v>
      </c>
      <c r="F40" s="332">
        <f>ROUNDUP(('Evolução Ligações'!E58+'Evolução Ligações'!E62+'Evolução Ligações'!E66)/10000,0)</f>
        <v>0</v>
      </c>
      <c r="G40" s="332">
        <f>ROUNDUP(('Evolução Ligações'!F58+'Evolução Ligações'!F62+'Evolução Ligações'!F66)/10000,0)</f>
        <v>0</v>
      </c>
      <c r="H40" s="332">
        <f>ROUNDUP(('Evolução Ligações'!G58+'Evolução Ligações'!G62+'Evolução Ligações'!G66)/10000,0)</f>
        <v>0</v>
      </c>
      <c r="I40" s="332">
        <f>ROUNDUP(('Evolução Ligações'!H58+'Evolução Ligações'!H62+'Evolução Ligações'!H66)/10000,0)</f>
        <v>0</v>
      </c>
      <c r="J40" s="332">
        <f>ROUNDUP(('Evolução Ligações'!I58+'Evolução Ligações'!I62+'Evolução Ligações'!I66)/10000,0)</f>
        <v>0</v>
      </c>
      <c r="K40" s="332">
        <f>ROUNDUP(('Evolução Ligações'!J58+'Evolução Ligações'!J62+'Evolução Ligações'!J66)/10000,0)</f>
        <v>0</v>
      </c>
      <c r="L40" s="332">
        <f>ROUNDUP(('Evolução Ligações'!K58+'Evolução Ligações'!K62+'Evolução Ligações'!K66)/10000,0)</f>
        <v>0</v>
      </c>
      <c r="M40" s="332">
        <f>ROUNDUP(('Evolução Ligações'!L58+'Evolução Ligações'!L62+'Evolução Ligações'!L66)/10000,0)</f>
        <v>0</v>
      </c>
      <c r="N40" s="332">
        <f>ROUNDUP(('Evolução Ligações'!M58+'Evolução Ligações'!M62+'Evolução Ligações'!M66)/10000,0)</f>
        <v>0</v>
      </c>
      <c r="O40" s="332">
        <f>ROUNDUP(('Evolução Ligações'!N58+'Evolução Ligações'!N62+'Evolução Ligações'!N66)/10000,0)</f>
        <v>0</v>
      </c>
      <c r="P40" s="332">
        <f>ROUNDUP(('Evolução Ligações'!O58+'Evolução Ligações'!O62+'Evolução Ligações'!O66)/10000,0)</f>
        <v>0</v>
      </c>
      <c r="Q40" s="332">
        <f>ROUNDUP(('Evolução Ligações'!P58+'Evolução Ligações'!P62+'Evolução Ligações'!P66)/10000,0)</f>
        <v>0</v>
      </c>
      <c r="R40" s="332">
        <f>ROUNDUP(('Evolução Ligações'!Q58+'Evolução Ligações'!Q62+'Evolução Ligações'!Q66)/10000,0)</f>
        <v>0</v>
      </c>
      <c r="S40" s="332">
        <f>ROUNDUP(('Evolução Ligações'!R58+'Evolução Ligações'!R62+'Evolução Ligações'!R66)/10000,0)</f>
        <v>0</v>
      </c>
      <c r="T40" s="332">
        <f>ROUNDUP(('Evolução Ligações'!S58+'Evolução Ligações'!S62+'Evolução Ligações'!S66)/10000,0)</f>
        <v>0</v>
      </c>
      <c r="U40" s="332">
        <f>ROUNDUP(('Evolução Ligações'!T58+'Evolução Ligações'!T62+'Evolução Ligações'!T66)/10000,0)</f>
        <v>0</v>
      </c>
      <c r="V40" s="332">
        <f>ROUNDUP(('Evolução Ligações'!U58+'Evolução Ligações'!U62+'Evolução Ligações'!U66)/10000,0)</f>
        <v>0</v>
      </c>
      <c r="W40" s="332">
        <f>ROUNDUP(('Evolução Ligações'!V58+'Evolução Ligações'!V62+'Evolução Ligações'!V66)/10000,0)</f>
        <v>0</v>
      </c>
      <c r="X40" s="332">
        <f>ROUNDUP(('Evolução Ligações'!W58+'Evolução Ligações'!W62+'Evolução Ligações'!W66)/10000,0)</f>
        <v>0</v>
      </c>
      <c r="Y40" s="332">
        <f>ROUNDUP(('Evolução Ligações'!X58+'Evolução Ligações'!X62+'Evolução Ligações'!X66)/10000,0)</f>
        <v>0</v>
      </c>
      <c r="Z40" s="332">
        <f>ROUNDUP(('Evolução Ligações'!Y58+'Evolução Ligações'!Y62+'Evolução Ligações'!Y66)/10000,0)</f>
        <v>0</v>
      </c>
      <c r="AA40" s="332">
        <f>ROUNDUP(('Evolução Ligações'!Z58+'Evolução Ligações'!Z62+'Evolução Ligações'!Z66)/10000,0)</f>
        <v>0</v>
      </c>
      <c r="AB40" s="332">
        <f>ROUNDUP(('Evolução Ligações'!AA58+'Evolução Ligações'!AA62+'Evolução Ligações'!AA66)/10000,0)</f>
        <v>0</v>
      </c>
      <c r="AC40" s="332">
        <f>ROUNDUP(('Evolução Ligações'!AB58+'Evolução Ligações'!AB62+'Evolução Ligações'!AB66)/10000,0)</f>
        <v>0</v>
      </c>
      <c r="AD40" s="332">
        <f>ROUNDUP(('Evolução Ligações'!AC58+'Evolução Ligações'!AC62+'Evolução Ligações'!AC66)/10000,0)</f>
        <v>0</v>
      </c>
      <c r="AE40" s="332">
        <f>ROUNDUP(('Evolução Ligações'!AD58+'Evolução Ligações'!AD62+'Evolução Ligações'!AD66)/10000,0)</f>
        <v>0</v>
      </c>
    </row>
    <row r="41" spans="1:31">
      <c r="A41" s="602" t="s">
        <v>202</v>
      </c>
      <c r="B41" s="334">
        <f>B39</f>
        <v>0</v>
      </c>
      <c r="C41" s="334">
        <f t="shared" ref="C41:AE41" si="16">C39</f>
        <v>0</v>
      </c>
      <c r="D41" s="334">
        <f t="shared" si="16"/>
        <v>0</v>
      </c>
      <c r="E41" s="334">
        <f t="shared" si="16"/>
        <v>0</v>
      </c>
      <c r="F41" s="334">
        <f t="shared" si="16"/>
        <v>0</v>
      </c>
      <c r="G41" s="334">
        <f t="shared" si="16"/>
        <v>0</v>
      </c>
      <c r="H41" s="334">
        <f t="shared" si="16"/>
        <v>6</v>
      </c>
      <c r="I41" s="334">
        <f t="shared" si="16"/>
        <v>6</v>
      </c>
      <c r="J41" s="334">
        <f t="shared" si="16"/>
        <v>6</v>
      </c>
      <c r="K41" s="334">
        <f t="shared" si="16"/>
        <v>6</v>
      </c>
      <c r="L41" s="334">
        <f t="shared" si="16"/>
        <v>6</v>
      </c>
      <c r="M41" s="334">
        <f t="shared" si="16"/>
        <v>6</v>
      </c>
      <c r="N41" s="334">
        <f t="shared" si="16"/>
        <v>6</v>
      </c>
      <c r="O41" s="334">
        <f t="shared" si="16"/>
        <v>6</v>
      </c>
      <c r="P41" s="334">
        <f t="shared" si="16"/>
        <v>6</v>
      </c>
      <c r="Q41" s="334">
        <f t="shared" si="16"/>
        <v>6</v>
      </c>
      <c r="R41" s="334">
        <f t="shared" si="16"/>
        <v>6</v>
      </c>
      <c r="S41" s="334">
        <f t="shared" si="16"/>
        <v>6</v>
      </c>
      <c r="T41" s="334">
        <f t="shared" si="16"/>
        <v>6</v>
      </c>
      <c r="U41" s="334">
        <f t="shared" si="16"/>
        <v>6</v>
      </c>
      <c r="V41" s="334">
        <f t="shared" si="16"/>
        <v>6</v>
      </c>
      <c r="W41" s="334">
        <f t="shared" si="16"/>
        <v>6</v>
      </c>
      <c r="X41" s="334">
        <f t="shared" si="16"/>
        <v>6</v>
      </c>
      <c r="Y41" s="334">
        <f t="shared" si="16"/>
        <v>6</v>
      </c>
      <c r="Z41" s="334">
        <f t="shared" si="16"/>
        <v>6</v>
      </c>
      <c r="AA41" s="334">
        <f t="shared" si="16"/>
        <v>6</v>
      </c>
      <c r="AB41" s="334">
        <f t="shared" si="16"/>
        <v>6</v>
      </c>
      <c r="AC41" s="334">
        <f t="shared" si="16"/>
        <v>6</v>
      </c>
      <c r="AD41" s="334">
        <f t="shared" si="16"/>
        <v>6</v>
      </c>
      <c r="AE41" s="334">
        <f t="shared" si="16"/>
        <v>6</v>
      </c>
    </row>
    <row r="42" spans="1:31" collapsed="1"/>
    <row r="43" spans="1:31">
      <c r="A43" s="598" t="s">
        <v>750</v>
      </c>
      <c r="B43" s="329" t="s">
        <v>74</v>
      </c>
      <c r="C43" s="329" t="s">
        <v>73</v>
      </c>
      <c r="D43" s="329" t="s">
        <v>75</v>
      </c>
      <c r="E43" s="329" t="s">
        <v>76</v>
      </c>
      <c r="F43" s="329" t="s">
        <v>77</v>
      </c>
      <c r="G43" s="329" t="s">
        <v>78</v>
      </c>
      <c r="H43" s="329" t="s">
        <v>79</v>
      </c>
      <c r="I43" s="329" t="s">
        <v>80</v>
      </c>
      <c r="J43" s="329" t="s">
        <v>81</v>
      </c>
      <c r="K43" s="329" t="s">
        <v>82</v>
      </c>
      <c r="L43" s="329" t="s">
        <v>83</v>
      </c>
      <c r="M43" s="329" t="s">
        <v>84</v>
      </c>
      <c r="N43" s="329" t="s">
        <v>85</v>
      </c>
      <c r="O43" s="329" t="s">
        <v>86</v>
      </c>
      <c r="P43" s="329" t="s">
        <v>87</v>
      </c>
      <c r="Q43" s="329" t="s">
        <v>88</v>
      </c>
      <c r="R43" s="329" t="s">
        <v>89</v>
      </c>
      <c r="S43" s="329" t="s">
        <v>90</v>
      </c>
      <c r="T43" s="329" t="s">
        <v>91</v>
      </c>
      <c r="U43" s="329" t="s">
        <v>92</v>
      </c>
      <c r="V43" s="329" t="s">
        <v>93</v>
      </c>
      <c r="W43" s="329" t="s">
        <v>94</v>
      </c>
      <c r="X43" s="329" t="s">
        <v>95</v>
      </c>
      <c r="Y43" s="329" t="s">
        <v>96</v>
      </c>
      <c r="Z43" s="329" t="s">
        <v>97</v>
      </c>
      <c r="AA43" s="329" t="s">
        <v>98</v>
      </c>
      <c r="AB43" s="329" t="s">
        <v>99</v>
      </c>
      <c r="AC43" s="329" t="s">
        <v>100</v>
      </c>
      <c r="AD43" s="329" t="s">
        <v>101</v>
      </c>
      <c r="AE43" s="329" t="s">
        <v>102</v>
      </c>
    </row>
    <row r="44" spans="1:31">
      <c r="A44" s="602" t="s">
        <v>197</v>
      </c>
      <c r="B44" s="334">
        <f>ROUND((($B$72+$E$72)),0)</f>
        <v>2325</v>
      </c>
      <c r="C44" s="334">
        <f t="shared" ref="C44:AE44" si="17">ROUND((($B$72+$E$72)),0)</f>
        <v>2325</v>
      </c>
      <c r="D44" s="334">
        <f t="shared" si="17"/>
        <v>2325</v>
      </c>
      <c r="E44" s="334">
        <f t="shared" si="17"/>
        <v>2325</v>
      </c>
      <c r="F44" s="334">
        <f t="shared" si="17"/>
        <v>2325</v>
      </c>
      <c r="G44" s="334">
        <f t="shared" si="17"/>
        <v>2325</v>
      </c>
      <c r="H44" s="334">
        <f t="shared" si="17"/>
        <v>2325</v>
      </c>
      <c r="I44" s="334">
        <f t="shared" si="17"/>
        <v>2325</v>
      </c>
      <c r="J44" s="334">
        <f t="shared" si="17"/>
        <v>2325</v>
      </c>
      <c r="K44" s="334">
        <f t="shared" si="17"/>
        <v>2325</v>
      </c>
      <c r="L44" s="334">
        <f t="shared" si="17"/>
        <v>2325</v>
      </c>
      <c r="M44" s="334">
        <f t="shared" si="17"/>
        <v>2325</v>
      </c>
      <c r="N44" s="334">
        <f t="shared" si="17"/>
        <v>2325</v>
      </c>
      <c r="O44" s="334">
        <f t="shared" si="17"/>
        <v>2325</v>
      </c>
      <c r="P44" s="334">
        <f t="shared" si="17"/>
        <v>2325</v>
      </c>
      <c r="Q44" s="334">
        <f t="shared" si="17"/>
        <v>2325</v>
      </c>
      <c r="R44" s="334">
        <f t="shared" si="17"/>
        <v>2325</v>
      </c>
      <c r="S44" s="334">
        <f t="shared" si="17"/>
        <v>2325</v>
      </c>
      <c r="T44" s="334">
        <f t="shared" si="17"/>
        <v>2325</v>
      </c>
      <c r="U44" s="334">
        <f t="shared" si="17"/>
        <v>2325</v>
      </c>
      <c r="V44" s="334">
        <f t="shared" si="17"/>
        <v>2325</v>
      </c>
      <c r="W44" s="334">
        <f t="shared" si="17"/>
        <v>2325</v>
      </c>
      <c r="X44" s="334">
        <f t="shared" si="17"/>
        <v>2325</v>
      </c>
      <c r="Y44" s="334">
        <f t="shared" si="17"/>
        <v>2325</v>
      </c>
      <c r="Z44" s="334">
        <f t="shared" si="17"/>
        <v>2325</v>
      </c>
      <c r="AA44" s="334">
        <f t="shared" si="17"/>
        <v>2325</v>
      </c>
      <c r="AB44" s="334">
        <f t="shared" si="17"/>
        <v>2325</v>
      </c>
      <c r="AC44" s="334">
        <f t="shared" si="17"/>
        <v>2325</v>
      </c>
      <c r="AD44" s="334">
        <f t="shared" si="17"/>
        <v>2325</v>
      </c>
      <c r="AE44" s="334">
        <f t="shared" si="17"/>
        <v>2325</v>
      </c>
    </row>
    <row r="45" spans="1:31">
      <c r="A45" s="602" t="s">
        <v>199</v>
      </c>
      <c r="B45" s="334">
        <f>ROUND(($B$72+$E$72),0)</f>
        <v>2325</v>
      </c>
      <c r="C45" s="334">
        <f t="shared" ref="C45:AE45" si="18">ROUND(($B$72+$E$72),0)</f>
        <v>2325</v>
      </c>
      <c r="D45" s="334">
        <f t="shared" si="18"/>
        <v>2325</v>
      </c>
      <c r="E45" s="334">
        <f t="shared" si="18"/>
        <v>2325</v>
      </c>
      <c r="F45" s="334">
        <f t="shared" si="18"/>
        <v>2325</v>
      </c>
      <c r="G45" s="334">
        <f t="shared" si="18"/>
        <v>2325</v>
      </c>
      <c r="H45" s="334">
        <f t="shared" si="18"/>
        <v>2325</v>
      </c>
      <c r="I45" s="334">
        <f t="shared" si="18"/>
        <v>2325</v>
      </c>
      <c r="J45" s="334">
        <f t="shared" si="18"/>
        <v>2325</v>
      </c>
      <c r="K45" s="334">
        <f t="shared" si="18"/>
        <v>2325</v>
      </c>
      <c r="L45" s="334">
        <f t="shared" si="18"/>
        <v>2325</v>
      </c>
      <c r="M45" s="334">
        <f t="shared" si="18"/>
        <v>2325</v>
      </c>
      <c r="N45" s="334">
        <f t="shared" si="18"/>
        <v>2325</v>
      </c>
      <c r="O45" s="334">
        <f t="shared" si="18"/>
        <v>2325</v>
      </c>
      <c r="P45" s="334">
        <f t="shared" si="18"/>
        <v>2325</v>
      </c>
      <c r="Q45" s="334">
        <f t="shared" si="18"/>
        <v>2325</v>
      </c>
      <c r="R45" s="334">
        <f t="shared" si="18"/>
        <v>2325</v>
      </c>
      <c r="S45" s="334">
        <f t="shared" si="18"/>
        <v>2325</v>
      </c>
      <c r="T45" s="334">
        <f t="shared" si="18"/>
        <v>2325</v>
      </c>
      <c r="U45" s="334">
        <f t="shared" si="18"/>
        <v>2325</v>
      </c>
      <c r="V45" s="334">
        <f t="shared" si="18"/>
        <v>2325</v>
      </c>
      <c r="W45" s="334">
        <f t="shared" si="18"/>
        <v>2325</v>
      </c>
      <c r="X45" s="334">
        <f t="shared" si="18"/>
        <v>2325</v>
      </c>
      <c r="Y45" s="334">
        <f t="shared" si="18"/>
        <v>2325</v>
      </c>
      <c r="Z45" s="334">
        <f t="shared" si="18"/>
        <v>2325</v>
      </c>
      <c r="AA45" s="334">
        <f t="shared" si="18"/>
        <v>2325</v>
      </c>
      <c r="AB45" s="334">
        <f t="shared" si="18"/>
        <v>2325</v>
      </c>
      <c r="AC45" s="334">
        <f t="shared" si="18"/>
        <v>2325</v>
      </c>
      <c r="AD45" s="334">
        <f t="shared" si="18"/>
        <v>2325</v>
      </c>
      <c r="AE45" s="334">
        <f t="shared" si="18"/>
        <v>2325</v>
      </c>
    </row>
    <row r="46" spans="1:31">
      <c r="A46" s="602" t="s">
        <v>198</v>
      </c>
      <c r="B46" s="334">
        <f>ROUND(($B$74+$E$74),0)</f>
        <v>830</v>
      </c>
      <c r="C46" s="334">
        <f t="shared" ref="C46:AE46" si="19">ROUND(($B$74+$E$74),0)</f>
        <v>830</v>
      </c>
      <c r="D46" s="334">
        <f t="shared" si="19"/>
        <v>830</v>
      </c>
      <c r="E46" s="334">
        <f t="shared" si="19"/>
        <v>830</v>
      </c>
      <c r="F46" s="334">
        <f t="shared" si="19"/>
        <v>830</v>
      </c>
      <c r="G46" s="334">
        <f t="shared" si="19"/>
        <v>830</v>
      </c>
      <c r="H46" s="334">
        <f t="shared" si="19"/>
        <v>830</v>
      </c>
      <c r="I46" s="334">
        <f t="shared" si="19"/>
        <v>830</v>
      </c>
      <c r="J46" s="334">
        <f t="shared" si="19"/>
        <v>830</v>
      </c>
      <c r="K46" s="334">
        <f t="shared" si="19"/>
        <v>830</v>
      </c>
      <c r="L46" s="334">
        <f t="shared" si="19"/>
        <v>830</v>
      </c>
      <c r="M46" s="334">
        <f t="shared" si="19"/>
        <v>830</v>
      </c>
      <c r="N46" s="334">
        <f t="shared" si="19"/>
        <v>830</v>
      </c>
      <c r="O46" s="334">
        <f t="shared" si="19"/>
        <v>830</v>
      </c>
      <c r="P46" s="334">
        <f t="shared" si="19"/>
        <v>830</v>
      </c>
      <c r="Q46" s="334">
        <f t="shared" si="19"/>
        <v>830</v>
      </c>
      <c r="R46" s="334">
        <f t="shared" si="19"/>
        <v>830</v>
      </c>
      <c r="S46" s="334">
        <f t="shared" si="19"/>
        <v>830</v>
      </c>
      <c r="T46" s="334">
        <f t="shared" si="19"/>
        <v>830</v>
      </c>
      <c r="U46" s="334">
        <f t="shared" si="19"/>
        <v>830</v>
      </c>
      <c r="V46" s="334">
        <f t="shared" si="19"/>
        <v>830</v>
      </c>
      <c r="W46" s="334">
        <f t="shared" si="19"/>
        <v>830</v>
      </c>
      <c r="X46" s="334">
        <f t="shared" si="19"/>
        <v>830</v>
      </c>
      <c r="Y46" s="334">
        <f t="shared" si="19"/>
        <v>830</v>
      </c>
      <c r="Z46" s="334">
        <f t="shared" si="19"/>
        <v>830</v>
      </c>
      <c r="AA46" s="334">
        <f t="shared" si="19"/>
        <v>830</v>
      </c>
      <c r="AB46" s="334">
        <f t="shared" si="19"/>
        <v>830</v>
      </c>
      <c r="AC46" s="334">
        <f t="shared" si="19"/>
        <v>830</v>
      </c>
      <c r="AD46" s="334">
        <f t="shared" si="19"/>
        <v>830</v>
      </c>
      <c r="AE46" s="334">
        <f t="shared" si="19"/>
        <v>830</v>
      </c>
    </row>
    <row r="47" spans="1:31">
      <c r="A47" s="602" t="s">
        <v>200</v>
      </c>
      <c r="B47" s="334">
        <f>$B$75</f>
        <v>26400</v>
      </c>
      <c r="C47" s="334">
        <f t="shared" ref="C47:AE47" si="20">$B$75</f>
        <v>26400</v>
      </c>
      <c r="D47" s="334">
        <f t="shared" si="20"/>
        <v>26400</v>
      </c>
      <c r="E47" s="334">
        <f t="shared" si="20"/>
        <v>26400</v>
      </c>
      <c r="F47" s="334">
        <f t="shared" si="20"/>
        <v>26400</v>
      </c>
      <c r="G47" s="334">
        <f t="shared" si="20"/>
        <v>26400</v>
      </c>
      <c r="H47" s="334">
        <f t="shared" si="20"/>
        <v>26400</v>
      </c>
      <c r="I47" s="334">
        <f t="shared" si="20"/>
        <v>26400</v>
      </c>
      <c r="J47" s="334">
        <f t="shared" si="20"/>
        <v>26400</v>
      </c>
      <c r="K47" s="334">
        <f t="shared" si="20"/>
        <v>26400</v>
      </c>
      <c r="L47" s="334">
        <f t="shared" si="20"/>
        <v>26400</v>
      </c>
      <c r="M47" s="334">
        <f t="shared" si="20"/>
        <v>26400</v>
      </c>
      <c r="N47" s="334">
        <f t="shared" si="20"/>
        <v>26400</v>
      </c>
      <c r="O47" s="334">
        <f t="shared" si="20"/>
        <v>26400</v>
      </c>
      <c r="P47" s="334">
        <f t="shared" si="20"/>
        <v>26400</v>
      </c>
      <c r="Q47" s="334">
        <f t="shared" si="20"/>
        <v>26400</v>
      </c>
      <c r="R47" s="334">
        <f t="shared" si="20"/>
        <v>26400</v>
      </c>
      <c r="S47" s="334">
        <f t="shared" si="20"/>
        <v>26400</v>
      </c>
      <c r="T47" s="334">
        <f t="shared" si="20"/>
        <v>26400</v>
      </c>
      <c r="U47" s="334">
        <f t="shared" si="20"/>
        <v>26400</v>
      </c>
      <c r="V47" s="334">
        <f t="shared" si="20"/>
        <v>26400</v>
      </c>
      <c r="W47" s="334">
        <f t="shared" si="20"/>
        <v>26400</v>
      </c>
      <c r="X47" s="334">
        <f t="shared" si="20"/>
        <v>26400</v>
      </c>
      <c r="Y47" s="334">
        <f t="shared" si="20"/>
        <v>26400</v>
      </c>
      <c r="Z47" s="334">
        <f t="shared" si="20"/>
        <v>26400</v>
      </c>
      <c r="AA47" s="334">
        <f t="shared" si="20"/>
        <v>26400</v>
      </c>
      <c r="AB47" s="334">
        <f t="shared" si="20"/>
        <v>26400</v>
      </c>
      <c r="AC47" s="334">
        <f t="shared" si="20"/>
        <v>26400</v>
      </c>
      <c r="AD47" s="334">
        <f t="shared" si="20"/>
        <v>26400</v>
      </c>
      <c r="AE47" s="334">
        <f t="shared" si="20"/>
        <v>26400</v>
      </c>
    </row>
    <row r="48" spans="1:31">
      <c r="A48" s="602" t="s">
        <v>201</v>
      </c>
      <c r="B48" s="334">
        <f>$B$76</f>
        <v>75000</v>
      </c>
      <c r="C48" s="334">
        <f t="shared" ref="C48:AE48" si="21">$B$76</f>
        <v>75000</v>
      </c>
      <c r="D48" s="334">
        <f t="shared" si="21"/>
        <v>75000</v>
      </c>
      <c r="E48" s="334">
        <f t="shared" si="21"/>
        <v>75000</v>
      </c>
      <c r="F48" s="334">
        <f t="shared" si="21"/>
        <v>75000</v>
      </c>
      <c r="G48" s="334">
        <f t="shared" si="21"/>
        <v>75000</v>
      </c>
      <c r="H48" s="334">
        <f t="shared" si="21"/>
        <v>75000</v>
      </c>
      <c r="I48" s="334">
        <f t="shared" si="21"/>
        <v>75000</v>
      </c>
      <c r="J48" s="334">
        <f t="shared" si="21"/>
        <v>75000</v>
      </c>
      <c r="K48" s="334">
        <f t="shared" si="21"/>
        <v>75000</v>
      </c>
      <c r="L48" s="334">
        <f t="shared" si="21"/>
        <v>75000</v>
      </c>
      <c r="M48" s="334">
        <f t="shared" si="21"/>
        <v>75000</v>
      </c>
      <c r="N48" s="334">
        <f t="shared" si="21"/>
        <v>75000</v>
      </c>
      <c r="O48" s="334">
        <f t="shared" si="21"/>
        <v>75000</v>
      </c>
      <c r="P48" s="334">
        <f t="shared" si="21"/>
        <v>75000</v>
      </c>
      <c r="Q48" s="334">
        <f t="shared" si="21"/>
        <v>75000</v>
      </c>
      <c r="R48" s="334">
        <f t="shared" si="21"/>
        <v>75000</v>
      </c>
      <c r="S48" s="334">
        <f t="shared" si="21"/>
        <v>75000</v>
      </c>
      <c r="T48" s="334">
        <f t="shared" si="21"/>
        <v>75000</v>
      </c>
      <c r="U48" s="334">
        <f t="shared" si="21"/>
        <v>75000</v>
      </c>
      <c r="V48" s="334">
        <f t="shared" si="21"/>
        <v>75000</v>
      </c>
      <c r="W48" s="334">
        <f t="shared" si="21"/>
        <v>75000</v>
      </c>
      <c r="X48" s="334">
        <f t="shared" si="21"/>
        <v>75000</v>
      </c>
      <c r="Y48" s="334">
        <f t="shared" si="21"/>
        <v>75000</v>
      </c>
      <c r="Z48" s="334">
        <f t="shared" si="21"/>
        <v>75000</v>
      </c>
      <c r="AA48" s="334">
        <f t="shared" si="21"/>
        <v>75000</v>
      </c>
      <c r="AB48" s="334">
        <f t="shared" si="21"/>
        <v>75000</v>
      </c>
      <c r="AC48" s="334">
        <f t="shared" si="21"/>
        <v>75000</v>
      </c>
      <c r="AD48" s="334">
        <f t="shared" si="21"/>
        <v>75000</v>
      </c>
      <c r="AE48" s="334">
        <f t="shared" si="21"/>
        <v>75000</v>
      </c>
    </row>
    <row r="49" spans="1:31">
      <c r="A49" s="602" t="s">
        <v>202</v>
      </c>
      <c r="B49" s="334">
        <f>$B$77</f>
        <v>19000</v>
      </c>
      <c r="C49" s="334">
        <f t="shared" ref="C49:AE49" si="22">$B$77</f>
        <v>19000</v>
      </c>
      <c r="D49" s="334">
        <f t="shared" si="22"/>
        <v>19000</v>
      </c>
      <c r="E49" s="334">
        <f t="shared" si="22"/>
        <v>19000</v>
      </c>
      <c r="F49" s="334">
        <f t="shared" si="22"/>
        <v>19000</v>
      </c>
      <c r="G49" s="334">
        <f t="shared" si="22"/>
        <v>19000</v>
      </c>
      <c r="H49" s="334">
        <f t="shared" si="22"/>
        <v>19000</v>
      </c>
      <c r="I49" s="334">
        <f t="shared" si="22"/>
        <v>19000</v>
      </c>
      <c r="J49" s="334">
        <f t="shared" si="22"/>
        <v>19000</v>
      </c>
      <c r="K49" s="334">
        <f t="shared" si="22"/>
        <v>19000</v>
      </c>
      <c r="L49" s="334">
        <f t="shared" si="22"/>
        <v>19000</v>
      </c>
      <c r="M49" s="334">
        <f t="shared" si="22"/>
        <v>19000</v>
      </c>
      <c r="N49" s="334">
        <f t="shared" si="22"/>
        <v>19000</v>
      </c>
      <c r="O49" s="334">
        <f t="shared" si="22"/>
        <v>19000</v>
      </c>
      <c r="P49" s="334">
        <f t="shared" si="22"/>
        <v>19000</v>
      </c>
      <c r="Q49" s="334">
        <f t="shared" si="22"/>
        <v>19000</v>
      </c>
      <c r="R49" s="334">
        <f t="shared" si="22"/>
        <v>19000</v>
      </c>
      <c r="S49" s="334">
        <f t="shared" si="22"/>
        <v>19000</v>
      </c>
      <c r="T49" s="334">
        <f t="shared" si="22"/>
        <v>19000</v>
      </c>
      <c r="U49" s="334">
        <f t="shared" si="22"/>
        <v>19000</v>
      </c>
      <c r="V49" s="334">
        <f t="shared" si="22"/>
        <v>19000</v>
      </c>
      <c r="W49" s="334">
        <f t="shared" si="22"/>
        <v>19000</v>
      </c>
      <c r="X49" s="334">
        <f t="shared" si="22"/>
        <v>19000</v>
      </c>
      <c r="Y49" s="334">
        <f t="shared" si="22"/>
        <v>19000</v>
      </c>
      <c r="Z49" s="334">
        <f t="shared" si="22"/>
        <v>19000</v>
      </c>
      <c r="AA49" s="334">
        <f t="shared" si="22"/>
        <v>19000</v>
      </c>
      <c r="AB49" s="334">
        <f t="shared" si="22"/>
        <v>19000</v>
      </c>
      <c r="AC49" s="334">
        <f t="shared" si="22"/>
        <v>19000</v>
      </c>
      <c r="AD49" s="334">
        <f t="shared" si="22"/>
        <v>19000</v>
      </c>
      <c r="AE49" s="334">
        <f t="shared" si="22"/>
        <v>19000</v>
      </c>
    </row>
    <row r="51" spans="1:31" ht="27.45" customHeight="1">
      <c r="A51" s="598" t="s">
        <v>553</v>
      </c>
      <c r="B51" s="329" t="s">
        <v>74</v>
      </c>
      <c r="C51" s="329" t="s">
        <v>73</v>
      </c>
      <c r="D51" s="329" t="s">
        <v>75</v>
      </c>
      <c r="E51" s="329" t="s">
        <v>76</v>
      </c>
      <c r="F51" s="329" t="s">
        <v>77</v>
      </c>
      <c r="G51" s="329" t="s">
        <v>78</v>
      </c>
      <c r="H51" s="329" t="s">
        <v>79</v>
      </c>
      <c r="I51" s="329" t="s">
        <v>80</v>
      </c>
      <c r="J51" s="329" t="s">
        <v>81</v>
      </c>
      <c r="K51" s="329" t="s">
        <v>82</v>
      </c>
      <c r="L51" s="329" t="s">
        <v>83</v>
      </c>
      <c r="M51" s="329" t="s">
        <v>84</v>
      </c>
      <c r="N51" s="329" t="s">
        <v>85</v>
      </c>
      <c r="O51" s="329" t="s">
        <v>86</v>
      </c>
      <c r="P51" s="329" t="s">
        <v>87</v>
      </c>
      <c r="Q51" s="329" t="s">
        <v>88</v>
      </c>
      <c r="R51" s="329" t="s">
        <v>89</v>
      </c>
      <c r="S51" s="329" t="s">
        <v>90</v>
      </c>
      <c r="T51" s="329" t="s">
        <v>91</v>
      </c>
      <c r="U51" s="329" t="s">
        <v>92</v>
      </c>
      <c r="V51" s="329" t="s">
        <v>93</v>
      </c>
      <c r="W51" s="329" t="s">
        <v>94</v>
      </c>
      <c r="X51" s="329" t="s">
        <v>95</v>
      </c>
      <c r="Y51" s="329" t="s">
        <v>96</v>
      </c>
      <c r="Z51" s="329" t="s">
        <v>97</v>
      </c>
      <c r="AA51" s="329" t="s">
        <v>98</v>
      </c>
      <c r="AB51" s="329" t="s">
        <v>99</v>
      </c>
      <c r="AC51" s="329" t="s">
        <v>100</v>
      </c>
      <c r="AD51" s="329" t="s">
        <v>101</v>
      </c>
      <c r="AE51" s="329" t="s">
        <v>102</v>
      </c>
    </row>
    <row r="52" spans="1:31">
      <c r="A52" s="601" t="str">
        <f xml:space="preserve"> ( $A14 )</f>
        <v>Administração</v>
      </c>
      <c r="B52" s="331">
        <f t="shared" ref="B52:AE52" si="23" xml:space="preserve"> SUM( B$53:B$53 )</f>
        <v>83700</v>
      </c>
      <c r="C52" s="331">
        <f t="shared" si="23"/>
        <v>83700</v>
      </c>
      <c r="D52" s="331">
        <f t="shared" si="23"/>
        <v>83700</v>
      </c>
      <c r="E52" s="331">
        <f t="shared" si="23"/>
        <v>111600</v>
      </c>
      <c r="F52" s="331">
        <f t="shared" si="23"/>
        <v>111600</v>
      </c>
      <c r="G52" s="331">
        <f t="shared" si="23"/>
        <v>111600</v>
      </c>
      <c r="H52" s="331">
        <f t="shared" si="23"/>
        <v>139500</v>
      </c>
      <c r="I52" s="331">
        <f t="shared" si="23"/>
        <v>139500</v>
      </c>
      <c r="J52" s="331">
        <f t="shared" si="23"/>
        <v>139500</v>
      </c>
      <c r="K52" s="331">
        <f t="shared" si="23"/>
        <v>139500</v>
      </c>
      <c r="L52" s="331">
        <f t="shared" si="23"/>
        <v>167400</v>
      </c>
      <c r="M52" s="331">
        <f t="shared" si="23"/>
        <v>167400</v>
      </c>
      <c r="N52" s="331">
        <f t="shared" si="23"/>
        <v>167400</v>
      </c>
      <c r="O52" s="331">
        <f t="shared" si="23"/>
        <v>167400</v>
      </c>
      <c r="P52" s="331">
        <f t="shared" si="23"/>
        <v>167400</v>
      </c>
      <c r="Q52" s="331">
        <f t="shared" si="23"/>
        <v>167400</v>
      </c>
      <c r="R52" s="331">
        <f t="shared" si="23"/>
        <v>167400</v>
      </c>
      <c r="S52" s="331">
        <f t="shared" si="23"/>
        <v>167400</v>
      </c>
      <c r="T52" s="331">
        <f t="shared" si="23"/>
        <v>167400</v>
      </c>
      <c r="U52" s="331">
        <f t="shared" si="23"/>
        <v>167400</v>
      </c>
      <c r="V52" s="331">
        <f t="shared" si="23"/>
        <v>167400</v>
      </c>
      <c r="W52" s="331">
        <f t="shared" si="23"/>
        <v>167400</v>
      </c>
      <c r="X52" s="331">
        <f t="shared" si="23"/>
        <v>167400</v>
      </c>
      <c r="Y52" s="331">
        <f t="shared" si="23"/>
        <v>167400</v>
      </c>
      <c r="Z52" s="331">
        <f t="shared" si="23"/>
        <v>167400</v>
      </c>
      <c r="AA52" s="331">
        <f t="shared" si="23"/>
        <v>167400</v>
      </c>
      <c r="AB52" s="331">
        <f t="shared" si="23"/>
        <v>167400</v>
      </c>
      <c r="AC52" s="331">
        <f t="shared" si="23"/>
        <v>167400</v>
      </c>
      <c r="AD52" s="331">
        <f t="shared" si="23"/>
        <v>167400</v>
      </c>
      <c r="AE52" s="331">
        <f t="shared" si="23"/>
        <v>167400</v>
      </c>
    </row>
    <row r="53" spans="1:31">
      <c r="A53" s="602" t="str">
        <f>A33</f>
        <v>Passeio Tipo 2 (Gol ou similar)</v>
      </c>
      <c r="B53" s="334">
        <f xml:space="preserve"> ( ( B15 ) * ( B44 ) * ( 12 ) )</f>
        <v>83700</v>
      </c>
      <c r="C53" s="334">
        <f t="shared" ref="C53:AE53" si="24" xml:space="preserve"> ( ( C15 ) * ( C44 ) * ( 12 ) )</f>
        <v>83700</v>
      </c>
      <c r="D53" s="334">
        <f t="shared" si="24"/>
        <v>83700</v>
      </c>
      <c r="E53" s="334">
        <f t="shared" si="24"/>
        <v>111600</v>
      </c>
      <c r="F53" s="334">
        <f t="shared" si="24"/>
        <v>111600</v>
      </c>
      <c r="G53" s="334">
        <f t="shared" si="24"/>
        <v>111600</v>
      </c>
      <c r="H53" s="334">
        <f t="shared" si="24"/>
        <v>139500</v>
      </c>
      <c r="I53" s="334">
        <f t="shared" si="24"/>
        <v>139500</v>
      </c>
      <c r="J53" s="334">
        <f t="shared" si="24"/>
        <v>139500</v>
      </c>
      <c r="K53" s="334">
        <f t="shared" si="24"/>
        <v>139500</v>
      </c>
      <c r="L53" s="334">
        <f t="shared" si="24"/>
        <v>167400</v>
      </c>
      <c r="M53" s="334">
        <f t="shared" si="24"/>
        <v>167400</v>
      </c>
      <c r="N53" s="334">
        <f t="shared" si="24"/>
        <v>167400</v>
      </c>
      <c r="O53" s="334">
        <f t="shared" si="24"/>
        <v>167400</v>
      </c>
      <c r="P53" s="334">
        <f t="shared" si="24"/>
        <v>167400</v>
      </c>
      <c r="Q53" s="334">
        <f t="shared" si="24"/>
        <v>167400</v>
      </c>
      <c r="R53" s="334">
        <f t="shared" si="24"/>
        <v>167400</v>
      </c>
      <c r="S53" s="334">
        <f t="shared" si="24"/>
        <v>167400</v>
      </c>
      <c r="T53" s="334">
        <f t="shared" si="24"/>
        <v>167400</v>
      </c>
      <c r="U53" s="334">
        <f t="shared" si="24"/>
        <v>167400</v>
      </c>
      <c r="V53" s="334">
        <f t="shared" si="24"/>
        <v>167400</v>
      </c>
      <c r="W53" s="334">
        <f t="shared" si="24"/>
        <v>167400</v>
      </c>
      <c r="X53" s="334">
        <f t="shared" si="24"/>
        <v>167400</v>
      </c>
      <c r="Y53" s="334">
        <f t="shared" si="24"/>
        <v>167400</v>
      </c>
      <c r="Z53" s="334">
        <f t="shared" si="24"/>
        <v>167400</v>
      </c>
      <c r="AA53" s="334">
        <f t="shared" si="24"/>
        <v>167400</v>
      </c>
      <c r="AB53" s="334">
        <f t="shared" si="24"/>
        <v>167400</v>
      </c>
      <c r="AC53" s="334">
        <f t="shared" si="24"/>
        <v>167400</v>
      </c>
      <c r="AD53" s="334">
        <f t="shared" si="24"/>
        <v>167400</v>
      </c>
      <c r="AE53" s="334">
        <f t="shared" si="24"/>
        <v>167400</v>
      </c>
    </row>
    <row r="54" spans="1:31">
      <c r="A54" s="601" t="str">
        <f t="shared" ref="A54:A59" si="25" xml:space="preserve"> ( $A16 )</f>
        <v>O&amp;M de Água e Esgoto, Engenharia e Gestão Comercial</v>
      </c>
      <c r="B54" s="331">
        <f t="shared" ref="B54:AE54" si="26" xml:space="preserve"> SUM( B$55:B$60 )</f>
        <v>310860</v>
      </c>
      <c r="C54" s="331">
        <f t="shared" si="26"/>
        <v>310860</v>
      </c>
      <c r="D54" s="331">
        <f t="shared" si="26"/>
        <v>199260</v>
      </c>
      <c r="E54" s="331">
        <f t="shared" si="26"/>
        <v>422460</v>
      </c>
      <c r="F54" s="331">
        <f t="shared" si="26"/>
        <v>478260</v>
      </c>
      <c r="G54" s="331">
        <f t="shared" si="26"/>
        <v>534060</v>
      </c>
      <c r="H54" s="331">
        <f t="shared" si="26"/>
        <v>3802860</v>
      </c>
      <c r="I54" s="331">
        <f t="shared" si="26"/>
        <v>3747060</v>
      </c>
      <c r="J54" s="331">
        <f t="shared" si="26"/>
        <v>3802860</v>
      </c>
      <c r="K54" s="331">
        <f t="shared" si="26"/>
        <v>3802860</v>
      </c>
      <c r="L54" s="331">
        <f t="shared" si="26"/>
        <v>3747060</v>
      </c>
      <c r="M54" s="331">
        <f t="shared" si="26"/>
        <v>3802860</v>
      </c>
      <c r="N54" s="331">
        <f t="shared" si="26"/>
        <v>3802860</v>
      </c>
      <c r="O54" s="331">
        <f t="shared" si="26"/>
        <v>3747060</v>
      </c>
      <c r="P54" s="331">
        <f t="shared" si="26"/>
        <v>3802860</v>
      </c>
      <c r="Q54" s="331">
        <f t="shared" si="26"/>
        <v>3802860</v>
      </c>
      <c r="R54" s="331">
        <f t="shared" si="26"/>
        <v>3747060</v>
      </c>
      <c r="S54" s="331">
        <f t="shared" si="26"/>
        <v>3802860</v>
      </c>
      <c r="T54" s="331">
        <f t="shared" si="26"/>
        <v>3802860</v>
      </c>
      <c r="U54" s="331">
        <f t="shared" si="26"/>
        <v>3747060</v>
      </c>
      <c r="V54" s="331">
        <f t="shared" si="26"/>
        <v>3802860</v>
      </c>
      <c r="W54" s="331">
        <f t="shared" si="26"/>
        <v>3802860</v>
      </c>
      <c r="X54" s="331">
        <f t="shared" si="26"/>
        <v>3747060</v>
      </c>
      <c r="Y54" s="331">
        <f t="shared" si="26"/>
        <v>3802860</v>
      </c>
      <c r="Z54" s="331">
        <f t="shared" si="26"/>
        <v>3802860</v>
      </c>
      <c r="AA54" s="331">
        <f t="shared" si="26"/>
        <v>3747060</v>
      </c>
      <c r="AB54" s="331">
        <f t="shared" si="26"/>
        <v>3802860</v>
      </c>
      <c r="AC54" s="331">
        <f t="shared" si="26"/>
        <v>3802860</v>
      </c>
      <c r="AD54" s="331">
        <f t="shared" si="26"/>
        <v>3747060</v>
      </c>
      <c r="AE54" s="331">
        <f t="shared" si="26"/>
        <v>3802860</v>
      </c>
    </row>
    <row r="55" spans="1:31">
      <c r="A55" s="602" t="str">
        <f t="shared" si="25"/>
        <v>Passeio Tipo 2 (Gol ou similar)</v>
      </c>
      <c r="B55" s="334">
        <f xml:space="preserve"> ( ( B17) * ( B44 ) * ( 12 ) )</f>
        <v>83700</v>
      </c>
      <c r="C55" s="334">
        <f t="shared" ref="C55:AE55" si="27" xml:space="preserve"> ( ( C17) * ( C44 ) * ( 12 ) )</f>
        <v>83700</v>
      </c>
      <c r="D55" s="334">
        <f t="shared" si="27"/>
        <v>111600</v>
      </c>
      <c r="E55" s="334">
        <f t="shared" si="27"/>
        <v>139500</v>
      </c>
      <c r="F55" s="334">
        <f t="shared" si="27"/>
        <v>139500</v>
      </c>
      <c r="G55" s="334">
        <f t="shared" si="27"/>
        <v>139500</v>
      </c>
      <c r="H55" s="334">
        <f t="shared" si="27"/>
        <v>139500</v>
      </c>
      <c r="I55" s="334">
        <f t="shared" si="27"/>
        <v>139500</v>
      </c>
      <c r="J55" s="334">
        <f t="shared" si="27"/>
        <v>139500</v>
      </c>
      <c r="K55" s="334">
        <f t="shared" si="27"/>
        <v>139500</v>
      </c>
      <c r="L55" s="334">
        <f t="shared" si="27"/>
        <v>139500</v>
      </c>
      <c r="M55" s="334">
        <f t="shared" si="27"/>
        <v>139500</v>
      </c>
      <c r="N55" s="334">
        <f t="shared" si="27"/>
        <v>139500</v>
      </c>
      <c r="O55" s="334">
        <f t="shared" si="27"/>
        <v>139500</v>
      </c>
      <c r="P55" s="334">
        <f t="shared" si="27"/>
        <v>139500</v>
      </c>
      <c r="Q55" s="334">
        <f t="shared" si="27"/>
        <v>139500</v>
      </c>
      <c r="R55" s="334">
        <f t="shared" si="27"/>
        <v>139500</v>
      </c>
      <c r="S55" s="334">
        <f t="shared" si="27"/>
        <v>139500</v>
      </c>
      <c r="T55" s="334">
        <f t="shared" si="27"/>
        <v>139500</v>
      </c>
      <c r="U55" s="334">
        <f t="shared" si="27"/>
        <v>139500</v>
      </c>
      <c r="V55" s="334">
        <f t="shared" si="27"/>
        <v>139500</v>
      </c>
      <c r="W55" s="334">
        <f t="shared" si="27"/>
        <v>139500</v>
      </c>
      <c r="X55" s="334">
        <f t="shared" si="27"/>
        <v>139500</v>
      </c>
      <c r="Y55" s="334">
        <f t="shared" si="27"/>
        <v>139500</v>
      </c>
      <c r="Z55" s="334">
        <f t="shared" si="27"/>
        <v>139500</v>
      </c>
      <c r="AA55" s="334">
        <f t="shared" si="27"/>
        <v>139500</v>
      </c>
      <c r="AB55" s="334">
        <f t="shared" si="27"/>
        <v>139500</v>
      </c>
      <c r="AC55" s="334">
        <f t="shared" si="27"/>
        <v>139500</v>
      </c>
      <c r="AD55" s="334">
        <f t="shared" si="27"/>
        <v>139500</v>
      </c>
      <c r="AE55" s="334">
        <f t="shared" si="27"/>
        <v>139500</v>
      </c>
    </row>
    <row r="56" spans="1:31">
      <c r="A56" s="602" t="str">
        <f t="shared" si="25"/>
        <v>Utilirário (saveiro ou similar)</v>
      </c>
      <c r="B56" s="334">
        <f xml:space="preserve"> ( ( B18 ) * ( B45 ) * ( 12 ) )</f>
        <v>167400</v>
      </c>
      <c r="C56" s="334">
        <f t="shared" ref="C56:AE56" si="28" xml:space="preserve"> ( ( C18 ) * ( C45 ) * ( 12 ) )</f>
        <v>167400</v>
      </c>
      <c r="D56" s="334">
        <f t="shared" si="28"/>
        <v>27900</v>
      </c>
      <c r="E56" s="334">
        <f t="shared" si="28"/>
        <v>223200</v>
      </c>
      <c r="F56" s="334">
        <f t="shared" si="28"/>
        <v>279000</v>
      </c>
      <c r="G56" s="334">
        <f t="shared" si="28"/>
        <v>334800</v>
      </c>
      <c r="H56" s="334">
        <f t="shared" si="28"/>
        <v>334800</v>
      </c>
      <c r="I56" s="334">
        <f t="shared" si="28"/>
        <v>279000</v>
      </c>
      <c r="J56" s="334">
        <f t="shared" si="28"/>
        <v>334800</v>
      </c>
      <c r="K56" s="334">
        <f t="shared" si="28"/>
        <v>334800</v>
      </c>
      <c r="L56" s="334">
        <f t="shared" si="28"/>
        <v>279000</v>
      </c>
      <c r="M56" s="334">
        <f t="shared" si="28"/>
        <v>334800</v>
      </c>
      <c r="N56" s="334">
        <f t="shared" si="28"/>
        <v>334800</v>
      </c>
      <c r="O56" s="334">
        <f t="shared" si="28"/>
        <v>279000</v>
      </c>
      <c r="P56" s="334">
        <f t="shared" si="28"/>
        <v>334800</v>
      </c>
      <c r="Q56" s="334">
        <f t="shared" si="28"/>
        <v>334800</v>
      </c>
      <c r="R56" s="334">
        <f t="shared" si="28"/>
        <v>279000</v>
      </c>
      <c r="S56" s="334">
        <f t="shared" si="28"/>
        <v>334800</v>
      </c>
      <c r="T56" s="334">
        <f t="shared" si="28"/>
        <v>334800</v>
      </c>
      <c r="U56" s="334">
        <f t="shared" si="28"/>
        <v>279000</v>
      </c>
      <c r="V56" s="334">
        <f t="shared" si="28"/>
        <v>334800</v>
      </c>
      <c r="W56" s="334">
        <f t="shared" si="28"/>
        <v>334800</v>
      </c>
      <c r="X56" s="334">
        <f t="shared" si="28"/>
        <v>279000</v>
      </c>
      <c r="Y56" s="334">
        <f t="shared" si="28"/>
        <v>334800</v>
      </c>
      <c r="Z56" s="334">
        <f t="shared" si="28"/>
        <v>334800</v>
      </c>
      <c r="AA56" s="334">
        <f t="shared" si="28"/>
        <v>279000</v>
      </c>
      <c r="AB56" s="334">
        <f t="shared" si="28"/>
        <v>334800</v>
      </c>
      <c r="AC56" s="334">
        <f t="shared" si="28"/>
        <v>334800</v>
      </c>
      <c r="AD56" s="334">
        <f t="shared" si="28"/>
        <v>279000</v>
      </c>
      <c r="AE56" s="334">
        <f t="shared" si="28"/>
        <v>334800</v>
      </c>
    </row>
    <row r="57" spans="1:31">
      <c r="A57" s="602" t="str">
        <f t="shared" si="25"/>
        <v>Moto</v>
      </c>
      <c r="B57" s="334">
        <f xml:space="preserve"> ( ( B19) * ( B46 ) * ( 12 ) )</f>
        <v>59760</v>
      </c>
      <c r="C57" s="334">
        <f t="shared" ref="C57:AE57" si="29" xml:space="preserve"> ( ( C19) * ( C46 ) * ( 12 ) )</f>
        <v>59760</v>
      </c>
      <c r="D57" s="334">
        <f t="shared" si="29"/>
        <v>59760</v>
      </c>
      <c r="E57" s="334">
        <f t="shared" si="29"/>
        <v>59760</v>
      </c>
      <c r="F57" s="334">
        <f t="shared" si="29"/>
        <v>59760</v>
      </c>
      <c r="G57" s="334">
        <f t="shared" si="29"/>
        <v>59760</v>
      </c>
      <c r="H57" s="334">
        <f t="shared" si="29"/>
        <v>59760</v>
      </c>
      <c r="I57" s="334">
        <f t="shared" si="29"/>
        <v>59760</v>
      </c>
      <c r="J57" s="334">
        <f t="shared" si="29"/>
        <v>59760</v>
      </c>
      <c r="K57" s="334">
        <f t="shared" si="29"/>
        <v>59760</v>
      </c>
      <c r="L57" s="334">
        <f t="shared" si="29"/>
        <v>59760</v>
      </c>
      <c r="M57" s="334">
        <f t="shared" si="29"/>
        <v>59760</v>
      </c>
      <c r="N57" s="334">
        <f t="shared" si="29"/>
        <v>59760</v>
      </c>
      <c r="O57" s="334">
        <f t="shared" si="29"/>
        <v>59760</v>
      </c>
      <c r="P57" s="334">
        <f t="shared" si="29"/>
        <v>59760</v>
      </c>
      <c r="Q57" s="334">
        <f t="shared" si="29"/>
        <v>59760</v>
      </c>
      <c r="R57" s="334">
        <f t="shared" si="29"/>
        <v>59760</v>
      </c>
      <c r="S57" s="334">
        <f t="shared" si="29"/>
        <v>59760</v>
      </c>
      <c r="T57" s="334">
        <f t="shared" si="29"/>
        <v>59760</v>
      </c>
      <c r="U57" s="334">
        <f t="shared" si="29"/>
        <v>59760</v>
      </c>
      <c r="V57" s="334">
        <f t="shared" si="29"/>
        <v>59760</v>
      </c>
      <c r="W57" s="334">
        <f t="shared" si="29"/>
        <v>59760</v>
      </c>
      <c r="X57" s="334">
        <f t="shared" si="29"/>
        <v>59760</v>
      </c>
      <c r="Y57" s="334">
        <f t="shared" si="29"/>
        <v>59760</v>
      </c>
      <c r="Z57" s="334">
        <f t="shared" si="29"/>
        <v>59760</v>
      </c>
      <c r="AA57" s="334">
        <f t="shared" si="29"/>
        <v>59760</v>
      </c>
      <c r="AB57" s="334">
        <f t="shared" si="29"/>
        <v>59760</v>
      </c>
      <c r="AC57" s="334">
        <f t="shared" si="29"/>
        <v>59760</v>
      </c>
      <c r="AD57" s="334">
        <f t="shared" si="29"/>
        <v>59760</v>
      </c>
      <c r="AE57" s="334">
        <f t="shared" si="29"/>
        <v>59760</v>
      </c>
    </row>
    <row r="58" spans="1:31">
      <c r="A58" s="602" t="str">
        <f t="shared" si="25"/>
        <v>Retroescavadeira</v>
      </c>
      <c r="B58" s="334">
        <f xml:space="preserve"> ( ( B20 ) * ( B47 ) * ( 12 ) )</f>
        <v>0</v>
      </c>
      <c r="C58" s="334">
        <f t="shared" ref="C58:AE58" si="30" xml:space="preserve"> ( ( C20 ) * ( C47 ) * ( 12 ) )</f>
        <v>0</v>
      </c>
      <c r="D58" s="334">
        <f t="shared" si="30"/>
        <v>0</v>
      </c>
      <c r="E58" s="334">
        <f t="shared" si="30"/>
        <v>0</v>
      </c>
      <c r="F58" s="334">
        <f t="shared" si="30"/>
        <v>0</v>
      </c>
      <c r="G58" s="334">
        <f t="shared" si="30"/>
        <v>0</v>
      </c>
      <c r="H58" s="334">
        <f t="shared" si="30"/>
        <v>1900800</v>
      </c>
      <c r="I58" s="334">
        <f t="shared" si="30"/>
        <v>1900800</v>
      </c>
      <c r="J58" s="334">
        <f t="shared" si="30"/>
        <v>1900800</v>
      </c>
      <c r="K58" s="334">
        <f t="shared" si="30"/>
        <v>1900800</v>
      </c>
      <c r="L58" s="334">
        <f t="shared" si="30"/>
        <v>1900800</v>
      </c>
      <c r="M58" s="334">
        <f t="shared" si="30"/>
        <v>1900800</v>
      </c>
      <c r="N58" s="334">
        <f t="shared" si="30"/>
        <v>1900800</v>
      </c>
      <c r="O58" s="334">
        <f t="shared" si="30"/>
        <v>1900800</v>
      </c>
      <c r="P58" s="334">
        <f t="shared" si="30"/>
        <v>1900800</v>
      </c>
      <c r="Q58" s="334">
        <f t="shared" si="30"/>
        <v>1900800</v>
      </c>
      <c r="R58" s="334">
        <f t="shared" si="30"/>
        <v>1900800</v>
      </c>
      <c r="S58" s="334">
        <f t="shared" si="30"/>
        <v>1900800</v>
      </c>
      <c r="T58" s="334">
        <f t="shared" si="30"/>
        <v>1900800</v>
      </c>
      <c r="U58" s="334">
        <f t="shared" si="30"/>
        <v>1900800</v>
      </c>
      <c r="V58" s="334">
        <f t="shared" si="30"/>
        <v>1900800</v>
      </c>
      <c r="W58" s="334">
        <f t="shared" si="30"/>
        <v>1900800</v>
      </c>
      <c r="X58" s="334">
        <f t="shared" si="30"/>
        <v>1900800</v>
      </c>
      <c r="Y58" s="334">
        <f t="shared" si="30"/>
        <v>1900800</v>
      </c>
      <c r="Z58" s="334">
        <f t="shared" si="30"/>
        <v>1900800</v>
      </c>
      <c r="AA58" s="334">
        <f t="shared" si="30"/>
        <v>1900800</v>
      </c>
      <c r="AB58" s="334">
        <f t="shared" si="30"/>
        <v>1900800</v>
      </c>
      <c r="AC58" s="334">
        <f t="shared" si="30"/>
        <v>1900800</v>
      </c>
      <c r="AD58" s="334">
        <f t="shared" si="30"/>
        <v>1900800</v>
      </c>
      <c r="AE58" s="334">
        <f t="shared" si="30"/>
        <v>1900800</v>
      </c>
    </row>
    <row r="59" spans="1:31">
      <c r="A59" s="602" t="str">
        <f t="shared" si="25"/>
        <v>Hidrovácuo</v>
      </c>
      <c r="B59" s="334">
        <f xml:space="preserve"> ( ( B21 ) * ( B48 ) * ( 12 ) )</f>
        <v>0</v>
      </c>
      <c r="C59" s="334">
        <f t="shared" ref="C59:AE59" si="31" xml:space="preserve"> ( ( C21 ) * ( C48 ) * ( 12 ) )</f>
        <v>0</v>
      </c>
      <c r="D59" s="334">
        <f t="shared" si="31"/>
        <v>0</v>
      </c>
      <c r="E59" s="334">
        <f t="shared" si="31"/>
        <v>0</v>
      </c>
      <c r="F59" s="334">
        <f t="shared" si="31"/>
        <v>0</v>
      </c>
      <c r="G59" s="334">
        <f t="shared" si="31"/>
        <v>0</v>
      </c>
      <c r="H59" s="334">
        <f t="shared" si="31"/>
        <v>0</v>
      </c>
      <c r="I59" s="334">
        <f t="shared" si="31"/>
        <v>0</v>
      </c>
      <c r="J59" s="334">
        <f t="shared" si="31"/>
        <v>0</v>
      </c>
      <c r="K59" s="334">
        <f t="shared" si="31"/>
        <v>0</v>
      </c>
      <c r="L59" s="334">
        <f t="shared" si="31"/>
        <v>0</v>
      </c>
      <c r="M59" s="334">
        <f t="shared" si="31"/>
        <v>0</v>
      </c>
      <c r="N59" s="334">
        <f t="shared" si="31"/>
        <v>0</v>
      </c>
      <c r="O59" s="334">
        <f t="shared" si="31"/>
        <v>0</v>
      </c>
      <c r="P59" s="334">
        <f t="shared" si="31"/>
        <v>0</v>
      </c>
      <c r="Q59" s="334">
        <f t="shared" si="31"/>
        <v>0</v>
      </c>
      <c r="R59" s="334">
        <f t="shared" si="31"/>
        <v>0</v>
      </c>
      <c r="S59" s="334">
        <f t="shared" si="31"/>
        <v>0</v>
      </c>
      <c r="T59" s="334">
        <f t="shared" si="31"/>
        <v>0</v>
      </c>
      <c r="U59" s="334">
        <f t="shared" si="31"/>
        <v>0</v>
      </c>
      <c r="V59" s="334">
        <f t="shared" si="31"/>
        <v>0</v>
      </c>
      <c r="W59" s="334">
        <f t="shared" si="31"/>
        <v>0</v>
      </c>
      <c r="X59" s="334">
        <f t="shared" si="31"/>
        <v>0</v>
      </c>
      <c r="Y59" s="334">
        <f t="shared" si="31"/>
        <v>0</v>
      </c>
      <c r="Z59" s="334">
        <f t="shared" si="31"/>
        <v>0</v>
      </c>
      <c r="AA59" s="334">
        <f t="shared" si="31"/>
        <v>0</v>
      </c>
      <c r="AB59" s="334">
        <f t="shared" si="31"/>
        <v>0</v>
      </c>
      <c r="AC59" s="334">
        <f t="shared" si="31"/>
        <v>0</v>
      </c>
      <c r="AD59" s="334">
        <f t="shared" si="31"/>
        <v>0</v>
      </c>
      <c r="AE59" s="334">
        <f t="shared" si="31"/>
        <v>0</v>
      </c>
    </row>
    <row r="60" spans="1:31">
      <c r="A60" s="602" t="str">
        <f t="shared" ref="A60" si="32" xml:space="preserve"> ( $A22 )</f>
        <v>Caminhão Basculante</v>
      </c>
      <c r="B60" s="334">
        <f xml:space="preserve"> ( ( B22) * ( B49 ) * ( 12 ) )</f>
        <v>0</v>
      </c>
      <c r="C60" s="334">
        <f t="shared" ref="C60:AE60" si="33" xml:space="preserve"> ( ( C22) * ( C49 ) * ( 12 ) )</f>
        <v>0</v>
      </c>
      <c r="D60" s="334">
        <f t="shared" si="33"/>
        <v>0</v>
      </c>
      <c r="E60" s="334">
        <f t="shared" si="33"/>
        <v>0</v>
      </c>
      <c r="F60" s="334">
        <f t="shared" si="33"/>
        <v>0</v>
      </c>
      <c r="G60" s="334">
        <f t="shared" si="33"/>
        <v>0</v>
      </c>
      <c r="H60" s="334">
        <f t="shared" si="33"/>
        <v>1368000</v>
      </c>
      <c r="I60" s="334">
        <f t="shared" si="33"/>
        <v>1368000</v>
      </c>
      <c r="J60" s="334">
        <f t="shared" si="33"/>
        <v>1368000</v>
      </c>
      <c r="K60" s="334">
        <f t="shared" si="33"/>
        <v>1368000</v>
      </c>
      <c r="L60" s="334">
        <f t="shared" si="33"/>
        <v>1368000</v>
      </c>
      <c r="M60" s="334">
        <f t="shared" si="33"/>
        <v>1368000</v>
      </c>
      <c r="N60" s="334">
        <f t="shared" si="33"/>
        <v>1368000</v>
      </c>
      <c r="O60" s="334">
        <f t="shared" si="33"/>
        <v>1368000</v>
      </c>
      <c r="P60" s="334">
        <f t="shared" si="33"/>
        <v>1368000</v>
      </c>
      <c r="Q60" s="334">
        <f t="shared" si="33"/>
        <v>1368000</v>
      </c>
      <c r="R60" s="334">
        <f t="shared" si="33"/>
        <v>1368000</v>
      </c>
      <c r="S60" s="334">
        <f t="shared" si="33"/>
        <v>1368000</v>
      </c>
      <c r="T60" s="334">
        <f t="shared" si="33"/>
        <v>1368000</v>
      </c>
      <c r="U60" s="334">
        <f t="shared" si="33"/>
        <v>1368000</v>
      </c>
      <c r="V60" s="334">
        <f t="shared" si="33"/>
        <v>1368000</v>
      </c>
      <c r="W60" s="334">
        <f t="shared" si="33"/>
        <v>1368000</v>
      </c>
      <c r="X60" s="334">
        <f t="shared" si="33"/>
        <v>1368000</v>
      </c>
      <c r="Y60" s="334">
        <f t="shared" si="33"/>
        <v>1368000</v>
      </c>
      <c r="Z60" s="334">
        <f t="shared" si="33"/>
        <v>1368000</v>
      </c>
      <c r="AA60" s="334">
        <f t="shared" si="33"/>
        <v>1368000</v>
      </c>
      <c r="AB60" s="334">
        <f t="shared" si="33"/>
        <v>1368000</v>
      </c>
      <c r="AC60" s="334">
        <f t="shared" si="33"/>
        <v>1368000</v>
      </c>
      <c r="AD60" s="334">
        <f t="shared" si="33"/>
        <v>1368000</v>
      </c>
      <c r="AE60" s="334">
        <f t="shared" si="33"/>
        <v>1368000</v>
      </c>
    </row>
    <row r="61" spans="1:31" s="330" customFormat="1">
      <c r="A61" s="598" t="s">
        <v>554</v>
      </c>
      <c r="B61" s="333">
        <f t="shared" ref="B61:AE61" si="34" xml:space="preserve"> ( ( B52 ) + ( B54 ) )</f>
        <v>394560</v>
      </c>
      <c r="C61" s="333">
        <f t="shared" si="34"/>
        <v>394560</v>
      </c>
      <c r="D61" s="333">
        <f t="shared" si="34"/>
        <v>282960</v>
      </c>
      <c r="E61" s="333">
        <f t="shared" si="34"/>
        <v>534060</v>
      </c>
      <c r="F61" s="333">
        <f t="shared" si="34"/>
        <v>589860</v>
      </c>
      <c r="G61" s="333">
        <f t="shared" si="34"/>
        <v>645660</v>
      </c>
      <c r="H61" s="333">
        <f t="shared" si="34"/>
        <v>3942360</v>
      </c>
      <c r="I61" s="333">
        <f t="shared" si="34"/>
        <v>3886560</v>
      </c>
      <c r="J61" s="333">
        <f t="shared" si="34"/>
        <v>3942360</v>
      </c>
      <c r="K61" s="333">
        <f t="shared" si="34"/>
        <v>3942360</v>
      </c>
      <c r="L61" s="333">
        <f t="shared" si="34"/>
        <v>3914460</v>
      </c>
      <c r="M61" s="333">
        <f t="shared" si="34"/>
        <v>3970260</v>
      </c>
      <c r="N61" s="333">
        <f t="shared" si="34"/>
        <v>3970260</v>
      </c>
      <c r="O61" s="333">
        <f t="shared" si="34"/>
        <v>3914460</v>
      </c>
      <c r="P61" s="333">
        <f t="shared" si="34"/>
        <v>3970260</v>
      </c>
      <c r="Q61" s="333">
        <f t="shared" si="34"/>
        <v>3970260</v>
      </c>
      <c r="R61" s="333">
        <f t="shared" si="34"/>
        <v>3914460</v>
      </c>
      <c r="S61" s="333">
        <f t="shared" si="34"/>
        <v>3970260</v>
      </c>
      <c r="T61" s="333">
        <f t="shared" si="34"/>
        <v>3970260</v>
      </c>
      <c r="U61" s="333">
        <f t="shared" si="34"/>
        <v>3914460</v>
      </c>
      <c r="V61" s="333">
        <f t="shared" si="34"/>
        <v>3970260</v>
      </c>
      <c r="W61" s="333">
        <f t="shared" si="34"/>
        <v>3970260</v>
      </c>
      <c r="X61" s="333">
        <f t="shared" si="34"/>
        <v>3914460</v>
      </c>
      <c r="Y61" s="333">
        <f t="shared" si="34"/>
        <v>3970260</v>
      </c>
      <c r="Z61" s="333">
        <f t="shared" si="34"/>
        <v>3970260</v>
      </c>
      <c r="AA61" s="333">
        <f t="shared" si="34"/>
        <v>3914460</v>
      </c>
      <c r="AB61" s="333">
        <f t="shared" si="34"/>
        <v>3970260</v>
      </c>
      <c r="AC61" s="333">
        <f t="shared" si="34"/>
        <v>3970260</v>
      </c>
      <c r="AD61" s="333">
        <f t="shared" si="34"/>
        <v>3914460</v>
      </c>
      <c r="AE61" s="333">
        <f t="shared" si="34"/>
        <v>3970260</v>
      </c>
    </row>
    <row r="62" spans="1:31" s="330" customFormat="1">
      <c r="A62" s="60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</row>
    <row r="63" spans="1:31" ht="13.8" thickBot="1"/>
    <row r="64" spans="1:31" ht="13.8" thickBot="1">
      <c r="A64" s="606" t="s">
        <v>754</v>
      </c>
      <c r="B64" s="336">
        <v>22</v>
      </c>
    </row>
    <row r="65" spans="1:10" ht="13.8" thickBot="1">
      <c r="A65" s="606" t="s">
        <v>555</v>
      </c>
      <c r="B65" s="841">
        <v>6</v>
      </c>
    </row>
    <row r="66" spans="1:10" ht="13.8" thickBot="1">
      <c r="A66" s="606" t="s">
        <v>556</v>
      </c>
      <c r="B66" s="842">
        <v>5.9</v>
      </c>
    </row>
    <row r="67" spans="1:10">
      <c r="E67" s="337"/>
    </row>
    <row r="68" spans="1:10">
      <c r="E68" s="337"/>
    </row>
    <row r="69" spans="1:10" ht="13.8" thickBot="1">
      <c r="H69" s="1016" t="s">
        <v>491</v>
      </c>
      <c r="I69" s="1016"/>
      <c r="J69" s="686"/>
    </row>
    <row r="70" spans="1:10" ht="16.2" thickBot="1">
      <c r="A70" s="1014" t="s">
        <v>753</v>
      </c>
      <c r="B70" s="1015"/>
      <c r="C70" s="1014" t="s">
        <v>557</v>
      </c>
      <c r="D70" s="1017"/>
      <c r="E70" s="1017"/>
      <c r="F70" s="1017"/>
      <c r="G70" s="1017"/>
      <c r="H70" s="687" t="s">
        <v>751</v>
      </c>
      <c r="I70" s="687" t="s">
        <v>752</v>
      </c>
      <c r="J70" s="686" t="s">
        <v>755</v>
      </c>
    </row>
    <row r="71" spans="1:10">
      <c r="A71" s="607" t="s">
        <v>294</v>
      </c>
      <c r="B71" s="843">
        <v>1500</v>
      </c>
      <c r="E71" s="338">
        <f>$B$65*H71*I71/J71</f>
        <v>825</v>
      </c>
      <c r="H71" s="845">
        <v>50</v>
      </c>
      <c r="I71" s="687">
        <v>22</v>
      </c>
      <c r="J71" s="686">
        <v>8</v>
      </c>
    </row>
    <row r="72" spans="1:10">
      <c r="A72" s="608" t="s">
        <v>293</v>
      </c>
      <c r="B72" s="843">
        <v>1500</v>
      </c>
      <c r="E72" s="338">
        <f>$B$65*H72*I72/J72</f>
        <v>825</v>
      </c>
      <c r="H72" s="845">
        <v>50</v>
      </c>
      <c r="I72" s="687">
        <v>22</v>
      </c>
      <c r="J72" s="686">
        <v>8</v>
      </c>
    </row>
    <row r="73" spans="1:10">
      <c r="A73" s="608" t="s">
        <v>589</v>
      </c>
      <c r="B73" s="843">
        <v>2100</v>
      </c>
      <c r="E73" s="338">
        <f t="shared" ref="E73:E74" si="35">$B$65*H73*I73/J73</f>
        <v>1650</v>
      </c>
      <c r="H73" s="845">
        <v>100</v>
      </c>
      <c r="I73" s="687">
        <v>22</v>
      </c>
      <c r="J73" s="686">
        <v>8</v>
      </c>
    </row>
    <row r="74" spans="1:10">
      <c r="A74" s="608" t="s">
        <v>198</v>
      </c>
      <c r="B74" s="843">
        <v>500</v>
      </c>
      <c r="E74" s="338">
        <f t="shared" si="35"/>
        <v>330</v>
      </c>
      <c r="H74" s="845">
        <v>50</v>
      </c>
      <c r="I74" s="687">
        <v>22</v>
      </c>
      <c r="J74" s="686">
        <v>20</v>
      </c>
    </row>
    <row r="75" spans="1:10">
      <c r="A75" s="608" t="s">
        <v>833</v>
      </c>
      <c r="B75" s="843">
        <v>26400</v>
      </c>
      <c r="E75" s="338">
        <v>0</v>
      </c>
      <c r="H75" s="845">
        <v>50</v>
      </c>
      <c r="I75" s="687">
        <v>22</v>
      </c>
      <c r="J75" s="686">
        <v>2</v>
      </c>
    </row>
    <row r="76" spans="1:10">
      <c r="A76" s="608" t="s">
        <v>834</v>
      </c>
      <c r="B76" s="843">
        <v>75000</v>
      </c>
      <c r="E76" s="338">
        <v>0</v>
      </c>
      <c r="H76" s="845">
        <v>100</v>
      </c>
      <c r="I76" s="687">
        <v>22</v>
      </c>
      <c r="J76" s="686">
        <v>2</v>
      </c>
    </row>
    <row r="77" spans="1:10">
      <c r="A77" s="608" t="s">
        <v>835</v>
      </c>
      <c r="B77" s="844">
        <v>19000</v>
      </c>
      <c r="E77" s="338">
        <v>0</v>
      </c>
      <c r="H77" s="845">
        <v>50</v>
      </c>
      <c r="I77" s="687">
        <v>22</v>
      </c>
      <c r="J77" s="686">
        <v>2</v>
      </c>
    </row>
    <row r="80" spans="1:10" ht="30">
      <c r="D80" s="629"/>
    </row>
  </sheetData>
  <mergeCells count="3">
    <mergeCell ref="A70:B70"/>
    <mergeCell ref="H69:I69"/>
    <mergeCell ref="C70:G70"/>
  </mergeCells>
  <pageMargins left="0.511811024" right="0.511811024" top="0.78740157499999996" bottom="0.78740157499999996" header="0.31496062000000002" footer="0.31496062000000002"/>
  <pageSetup paperSize="9" orientation="portrait" verticalDpi="360" r:id="rId1"/>
  <ignoredErrors>
    <ignoredError sqref="H56:AE56 B56:G56 B57:AE5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R115"/>
  <sheetViews>
    <sheetView topLeftCell="A10" zoomScale="85" zoomScaleNormal="85" workbookViewId="0">
      <selection activeCell="K18" sqref="K18"/>
    </sheetView>
  </sheetViews>
  <sheetFormatPr defaultColWidth="8.77734375" defaultRowHeight="13.2"/>
  <cols>
    <col min="2" max="2" width="27.44140625" bestFit="1" customWidth="1"/>
    <col min="3" max="3" width="19.33203125" customWidth="1"/>
    <col min="4" max="4" width="17.33203125" customWidth="1"/>
    <col min="5" max="5" width="9.77734375" customWidth="1"/>
    <col min="6" max="6" width="10.44140625" bestFit="1" customWidth="1"/>
    <col min="8" max="8" width="10.109375" customWidth="1"/>
    <col min="9" max="11" width="12.44140625" bestFit="1" customWidth="1"/>
    <col min="12" max="12" width="11.44140625" bestFit="1" customWidth="1"/>
    <col min="13" max="13" width="17.77734375" bestFit="1" customWidth="1"/>
    <col min="14" max="14" width="11.44140625" bestFit="1" customWidth="1"/>
    <col min="15" max="16" width="11.6640625" bestFit="1" customWidth="1"/>
    <col min="17" max="17" width="11.77734375" customWidth="1"/>
    <col min="18" max="18" width="8.44140625" bestFit="1" customWidth="1"/>
  </cols>
  <sheetData>
    <row r="2" spans="2:18" ht="43.2">
      <c r="B2" s="652" t="s">
        <v>544</v>
      </c>
      <c r="C2" s="664" t="s">
        <v>773</v>
      </c>
      <c r="D2" s="664" t="s">
        <v>777</v>
      </c>
      <c r="E2" s="652" t="s">
        <v>226</v>
      </c>
      <c r="H2" s="659" t="s">
        <v>772</v>
      </c>
      <c r="I2" s="659" t="s">
        <v>746</v>
      </c>
      <c r="J2" s="659" t="s">
        <v>745</v>
      </c>
      <c r="K2" s="659" t="s">
        <v>744</v>
      </c>
      <c r="L2" s="659" t="s">
        <v>743</v>
      </c>
      <c r="M2" s="659" t="s">
        <v>742</v>
      </c>
      <c r="N2" s="659" t="s">
        <v>741</v>
      </c>
      <c r="O2" s="659" t="s">
        <v>740</v>
      </c>
      <c r="P2" s="659" t="s">
        <v>739</v>
      </c>
      <c r="Q2" s="659" t="s">
        <v>738</v>
      </c>
      <c r="R2" s="659" t="s">
        <v>737</v>
      </c>
    </row>
    <row r="3" spans="2:18" ht="14.4">
      <c r="B3" s="660" t="s">
        <v>746</v>
      </c>
      <c r="C3" s="650">
        <v>3741</v>
      </c>
      <c r="D3" s="650">
        <v>38050</v>
      </c>
      <c r="E3" s="655">
        <f>D3/D13</f>
        <v>0.83967781087939974</v>
      </c>
      <c r="H3" s="665">
        <v>0</v>
      </c>
      <c r="I3" s="646">
        <v>0</v>
      </c>
      <c r="J3" s="646">
        <v>0</v>
      </c>
      <c r="K3" s="646">
        <v>0</v>
      </c>
      <c r="L3" s="646">
        <v>0</v>
      </c>
      <c r="M3" s="646">
        <v>0</v>
      </c>
      <c r="N3" s="495">
        <v>0</v>
      </c>
      <c r="O3" s="495">
        <v>0</v>
      </c>
      <c r="P3" s="495">
        <v>0</v>
      </c>
      <c r="Q3" s="495">
        <v>0</v>
      </c>
      <c r="R3" s="495">
        <v>0</v>
      </c>
    </row>
    <row r="4" spans="2:18" ht="14.4">
      <c r="B4" s="660" t="s">
        <v>745</v>
      </c>
      <c r="C4" s="650">
        <v>24</v>
      </c>
      <c r="D4" s="650">
        <v>239</v>
      </c>
      <c r="E4" s="656">
        <f>D4/D13</f>
        <v>5.2741917687300008E-3</v>
      </c>
      <c r="F4" s="633"/>
      <c r="H4" s="665">
        <v>1</v>
      </c>
      <c r="I4" s="646">
        <v>76</v>
      </c>
      <c r="J4" s="646">
        <v>0</v>
      </c>
      <c r="K4" s="646">
        <v>0</v>
      </c>
      <c r="L4" s="646">
        <v>24</v>
      </c>
      <c r="M4" s="646">
        <v>0</v>
      </c>
      <c r="N4" s="495">
        <v>0</v>
      </c>
      <c r="O4" s="495">
        <v>4</v>
      </c>
      <c r="P4" s="495">
        <v>0</v>
      </c>
      <c r="Q4" s="495">
        <v>0</v>
      </c>
      <c r="R4" s="495">
        <v>6</v>
      </c>
    </row>
    <row r="5" spans="2:18" ht="14.4">
      <c r="B5" s="660" t="s">
        <v>744</v>
      </c>
      <c r="C5" s="650">
        <v>0</v>
      </c>
      <c r="D5" s="650">
        <v>0</v>
      </c>
      <c r="E5" s="657">
        <f>D5/D13</f>
        <v>0</v>
      </c>
      <c r="F5" s="633"/>
      <c r="H5" s="665">
        <v>2</v>
      </c>
      <c r="I5" s="646">
        <v>164</v>
      </c>
      <c r="J5" s="646">
        <v>2</v>
      </c>
      <c r="K5" s="646">
        <v>0</v>
      </c>
      <c r="L5" s="646">
        <v>72</v>
      </c>
      <c r="M5" s="646">
        <v>0</v>
      </c>
      <c r="N5" s="495">
        <v>0</v>
      </c>
      <c r="O5" s="495">
        <v>8</v>
      </c>
      <c r="P5" s="495">
        <v>0</v>
      </c>
      <c r="Q5" s="495">
        <v>0</v>
      </c>
      <c r="R5" s="495">
        <v>6</v>
      </c>
    </row>
    <row r="6" spans="2:18" ht="14.4">
      <c r="B6" s="660" t="s">
        <v>743</v>
      </c>
      <c r="C6" s="650">
        <v>397</v>
      </c>
      <c r="D6" s="650">
        <v>4279</v>
      </c>
      <c r="E6" s="655">
        <f>D6/D13</f>
        <v>9.4427893633454704E-2</v>
      </c>
      <c r="F6" s="633"/>
      <c r="H6" s="665">
        <v>3</v>
      </c>
      <c r="I6" s="646">
        <v>351</v>
      </c>
      <c r="J6" s="646">
        <v>6</v>
      </c>
      <c r="K6" s="646">
        <v>0</v>
      </c>
      <c r="L6" s="646">
        <v>119</v>
      </c>
      <c r="M6" s="646">
        <v>0</v>
      </c>
      <c r="N6" s="495">
        <v>0</v>
      </c>
      <c r="O6" s="495">
        <v>18</v>
      </c>
      <c r="P6" s="495">
        <v>0</v>
      </c>
      <c r="Q6" s="495">
        <v>0</v>
      </c>
      <c r="R6" s="495">
        <v>6</v>
      </c>
    </row>
    <row r="7" spans="2:18" ht="14.4">
      <c r="B7" s="660" t="s">
        <v>742</v>
      </c>
      <c r="C7" s="650">
        <v>2</v>
      </c>
      <c r="D7" s="650">
        <v>16</v>
      </c>
      <c r="E7" s="656">
        <f>D7/D13</f>
        <v>3.5308396778108793E-4</v>
      </c>
      <c r="F7" s="633"/>
      <c r="H7" s="665">
        <v>4</v>
      </c>
      <c r="I7" s="646">
        <v>553</v>
      </c>
      <c r="J7" s="646">
        <v>4</v>
      </c>
      <c r="K7" s="646">
        <v>0</v>
      </c>
      <c r="L7" s="646">
        <v>129</v>
      </c>
      <c r="M7" s="646">
        <v>8</v>
      </c>
      <c r="N7" s="495">
        <v>0</v>
      </c>
      <c r="O7" s="495">
        <v>24</v>
      </c>
      <c r="P7" s="495">
        <v>0</v>
      </c>
      <c r="Q7" s="495">
        <v>0</v>
      </c>
      <c r="R7" s="495">
        <v>4</v>
      </c>
    </row>
    <row r="8" spans="2:18" ht="14.4">
      <c r="B8" s="660" t="s">
        <v>741</v>
      </c>
      <c r="C8" s="650">
        <v>0</v>
      </c>
      <c r="D8" s="650">
        <v>0</v>
      </c>
      <c r="E8" s="657">
        <f>D8/D13</f>
        <v>0</v>
      </c>
      <c r="F8" s="633"/>
      <c r="H8" s="665">
        <v>5</v>
      </c>
      <c r="I8" s="646">
        <v>841</v>
      </c>
      <c r="J8" s="646">
        <v>10</v>
      </c>
      <c r="K8" s="646">
        <v>0</v>
      </c>
      <c r="L8" s="646">
        <v>198</v>
      </c>
      <c r="M8" s="646">
        <v>0</v>
      </c>
      <c r="N8" s="495">
        <v>0</v>
      </c>
      <c r="O8" s="495">
        <v>25</v>
      </c>
      <c r="P8" s="495">
        <v>10</v>
      </c>
      <c r="Q8" s="495">
        <v>0</v>
      </c>
      <c r="R8" s="495">
        <v>20</v>
      </c>
    </row>
    <row r="9" spans="2:18" ht="14.4">
      <c r="B9" s="660" t="s">
        <v>740</v>
      </c>
      <c r="C9" s="650">
        <v>78</v>
      </c>
      <c r="D9" s="650">
        <v>1379</v>
      </c>
      <c r="E9" s="655">
        <f>D9/D13</f>
        <v>3.0431424473132518E-2</v>
      </c>
      <c r="F9" s="633"/>
      <c r="H9" s="665">
        <v>6</v>
      </c>
      <c r="I9" s="646">
        <v>1415</v>
      </c>
      <c r="J9" s="646">
        <v>18</v>
      </c>
      <c r="K9" s="646">
        <v>0</v>
      </c>
      <c r="L9" s="646">
        <v>262</v>
      </c>
      <c r="M9" s="646">
        <v>0</v>
      </c>
      <c r="N9" s="495">
        <v>0</v>
      </c>
      <c r="O9" s="495">
        <v>22</v>
      </c>
      <c r="P9" s="495">
        <v>0</v>
      </c>
      <c r="Q9" s="495">
        <v>0</v>
      </c>
      <c r="R9" s="495">
        <v>6</v>
      </c>
    </row>
    <row r="10" spans="2:18" ht="14.4">
      <c r="B10" s="660" t="s">
        <v>739</v>
      </c>
      <c r="C10" s="650">
        <v>1</v>
      </c>
      <c r="D10" s="650">
        <v>10</v>
      </c>
      <c r="E10" s="656">
        <f>D10/D13</f>
        <v>2.2067747986317997E-4</v>
      </c>
      <c r="F10" s="633"/>
      <c r="H10" s="665">
        <v>7</v>
      </c>
      <c r="I10" s="646">
        <v>1476</v>
      </c>
      <c r="J10" s="646">
        <v>14</v>
      </c>
      <c r="K10" s="646">
        <v>0</v>
      </c>
      <c r="L10" s="646">
        <v>148</v>
      </c>
      <c r="M10" s="646">
        <v>0</v>
      </c>
      <c r="N10" s="495">
        <v>0</v>
      </c>
      <c r="O10" s="495">
        <v>21</v>
      </c>
      <c r="P10" s="495">
        <v>0</v>
      </c>
      <c r="Q10" s="495">
        <v>0</v>
      </c>
      <c r="R10" s="495">
        <v>7</v>
      </c>
    </row>
    <row r="11" spans="2:18" ht="14.4">
      <c r="B11" s="660" t="s">
        <v>738</v>
      </c>
      <c r="C11" s="650">
        <v>0</v>
      </c>
      <c r="D11" s="650">
        <v>0</v>
      </c>
      <c r="E11" s="657">
        <f>D11/D13</f>
        <v>0</v>
      </c>
      <c r="F11" s="633"/>
      <c r="H11" s="665">
        <v>8</v>
      </c>
      <c r="I11" s="646">
        <v>1991</v>
      </c>
      <c r="J11" s="646">
        <v>8</v>
      </c>
      <c r="K11" s="646">
        <v>0</v>
      </c>
      <c r="L11" s="646">
        <v>321</v>
      </c>
      <c r="M11" s="646">
        <v>8</v>
      </c>
      <c r="N11" s="495">
        <v>0</v>
      </c>
      <c r="O11" s="495">
        <v>48</v>
      </c>
      <c r="P11" s="495">
        <v>0</v>
      </c>
      <c r="Q11" s="495">
        <v>0</v>
      </c>
      <c r="R11" s="495">
        <v>23</v>
      </c>
    </row>
    <row r="12" spans="2:18" ht="14.4">
      <c r="B12" s="660" t="s">
        <v>737</v>
      </c>
      <c r="C12" s="650">
        <v>61</v>
      </c>
      <c r="D12" s="650">
        <v>1342</v>
      </c>
      <c r="E12" s="654">
        <f>D12/D13</f>
        <v>2.9614917797638751E-2</v>
      </c>
      <c r="F12" s="633"/>
      <c r="H12" s="665">
        <v>9</v>
      </c>
      <c r="I12" s="646">
        <v>2068</v>
      </c>
      <c r="J12" s="646">
        <v>0</v>
      </c>
      <c r="K12" s="646">
        <v>0</v>
      </c>
      <c r="L12" s="646">
        <v>151</v>
      </c>
      <c r="M12" s="646">
        <v>0</v>
      </c>
      <c r="N12" s="495">
        <v>0</v>
      </c>
      <c r="O12" s="495">
        <v>71</v>
      </c>
      <c r="P12" s="495">
        <v>0</v>
      </c>
      <c r="Q12" s="495">
        <v>0</v>
      </c>
      <c r="R12" s="495">
        <v>9</v>
      </c>
    </row>
    <row r="13" spans="2:18" ht="14.4">
      <c r="B13" s="662" t="s">
        <v>716</v>
      </c>
      <c r="C13" s="663">
        <f>SUM(C3:C12)</f>
        <v>4304</v>
      </c>
      <c r="D13" s="663">
        <f>SUM(D3:D12)</f>
        <v>45315</v>
      </c>
      <c r="E13" s="658">
        <f>SUM(E3:E12)</f>
        <v>1</v>
      </c>
      <c r="H13" s="665">
        <v>10</v>
      </c>
      <c r="I13" s="646">
        <v>5120</v>
      </c>
      <c r="J13" s="646">
        <v>30</v>
      </c>
      <c r="K13" s="646">
        <v>0</v>
      </c>
      <c r="L13" s="646">
        <v>615</v>
      </c>
      <c r="M13" s="646">
        <v>0</v>
      </c>
      <c r="N13" s="495">
        <v>0</v>
      </c>
      <c r="O13" s="495">
        <v>89</v>
      </c>
      <c r="P13" s="495">
        <v>0</v>
      </c>
      <c r="Q13" s="495">
        <v>0</v>
      </c>
      <c r="R13" s="495">
        <v>110</v>
      </c>
    </row>
    <row r="14" spans="2:18" ht="14.4">
      <c r="H14" s="665">
        <v>11</v>
      </c>
      <c r="I14" s="646">
        <v>2852</v>
      </c>
      <c r="J14" s="646">
        <v>11</v>
      </c>
      <c r="K14" s="646">
        <v>0</v>
      </c>
      <c r="L14" s="646">
        <v>193</v>
      </c>
      <c r="M14" s="646">
        <v>0</v>
      </c>
      <c r="N14" s="495">
        <v>0</v>
      </c>
      <c r="O14" s="495">
        <v>22</v>
      </c>
      <c r="P14" s="495">
        <v>0</v>
      </c>
      <c r="Q14" s="495">
        <v>0</v>
      </c>
      <c r="R14" s="495">
        <v>22</v>
      </c>
    </row>
    <row r="15" spans="2:18" ht="14.4">
      <c r="B15" s="468" t="s">
        <v>591</v>
      </c>
      <c r="C15" s="469" t="s">
        <v>592</v>
      </c>
      <c r="D15" s="469" t="s">
        <v>593</v>
      </c>
      <c r="E15" s="469" t="s">
        <v>594</v>
      </c>
      <c r="F15" s="470" t="s">
        <v>595</v>
      </c>
      <c r="H15" s="665">
        <v>13</v>
      </c>
      <c r="I15" s="646">
        <v>2273</v>
      </c>
      <c r="J15" s="646">
        <v>0</v>
      </c>
      <c r="K15" s="646">
        <v>0</v>
      </c>
      <c r="L15" s="646">
        <v>176</v>
      </c>
      <c r="M15" s="646">
        <v>0</v>
      </c>
      <c r="N15" s="495">
        <v>0</v>
      </c>
      <c r="O15" s="495">
        <v>38</v>
      </c>
      <c r="P15" s="495">
        <v>0</v>
      </c>
      <c r="Q15" s="495">
        <v>0</v>
      </c>
      <c r="R15" s="495">
        <v>0</v>
      </c>
    </row>
    <row r="16" spans="2:18" ht="14.4">
      <c r="B16" s="471">
        <v>0</v>
      </c>
      <c r="C16" s="472">
        <v>0</v>
      </c>
      <c r="D16" s="472">
        <v>0</v>
      </c>
      <c r="E16" s="472">
        <v>0</v>
      </c>
      <c r="F16" s="669">
        <v>0</v>
      </c>
      <c r="H16" s="665">
        <v>14</v>
      </c>
      <c r="I16" s="646">
        <v>2112</v>
      </c>
      <c r="J16" s="646">
        <v>0</v>
      </c>
      <c r="K16" s="646">
        <v>0</v>
      </c>
      <c r="L16" s="646">
        <v>110</v>
      </c>
      <c r="M16" s="646">
        <v>0</v>
      </c>
      <c r="N16" s="495">
        <v>0</v>
      </c>
      <c r="O16" s="495">
        <v>42</v>
      </c>
      <c r="P16" s="495">
        <v>0</v>
      </c>
      <c r="Q16" s="495">
        <v>0</v>
      </c>
      <c r="R16" s="495">
        <v>0</v>
      </c>
    </row>
    <row r="17" spans="2:18" ht="14.4">
      <c r="B17" s="471">
        <v>1</v>
      </c>
      <c r="C17" s="472">
        <f>SUM(I4:K4)</f>
        <v>76</v>
      </c>
      <c r="D17" s="472">
        <f>SUM(L4:N4)</f>
        <v>24</v>
      </c>
      <c r="E17" s="472">
        <f>SUM(O4:Q4)</f>
        <v>4</v>
      </c>
      <c r="F17" s="669">
        <f t="shared" ref="F17:F26" si="0">SUM(R4)</f>
        <v>6</v>
      </c>
      <c r="H17" s="665">
        <v>15</v>
      </c>
      <c r="I17" s="646">
        <v>1933</v>
      </c>
      <c r="J17" s="646">
        <v>15</v>
      </c>
      <c r="K17" s="646">
        <v>0</v>
      </c>
      <c r="L17" s="646">
        <v>30</v>
      </c>
      <c r="M17" s="646">
        <v>0</v>
      </c>
      <c r="N17" s="495">
        <v>0</v>
      </c>
      <c r="O17" s="495">
        <v>0</v>
      </c>
      <c r="P17" s="495">
        <v>0</v>
      </c>
      <c r="Q17" s="495">
        <v>0</v>
      </c>
      <c r="R17" s="495">
        <v>0</v>
      </c>
    </row>
    <row r="18" spans="2:18" ht="14.4">
      <c r="B18" s="471">
        <v>2</v>
      </c>
      <c r="C18" s="472">
        <f t="shared" ref="C18:C26" si="1">SUM(I5:K5)</f>
        <v>166</v>
      </c>
      <c r="D18" s="472">
        <f t="shared" ref="D18:D26" si="2">SUM(L5:N5)</f>
        <v>72</v>
      </c>
      <c r="E18" s="472">
        <f t="shared" ref="E18:E26" si="3">SUM(O5:Q5)</f>
        <v>8</v>
      </c>
      <c r="F18" s="669">
        <f t="shared" si="0"/>
        <v>6</v>
      </c>
      <c r="H18" s="665">
        <v>16</v>
      </c>
      <c r="I18" s="646">
        <v>1663</v>
      </c>
      <c r="J18" s="646">
        <v>0</v>
      </c>
      <c r="K18" s="646">
        <v>0</v>
      </c>
      <c r="L18" s="646">
        <v>0</v>
      </c>
      <c r="M18" s="646">
        <v>0</v>
      </c>
      <c r="N18" s="495">
        <v>0</v>
      </c>
      <c r="O18" s="495">
        <v>16</v>
      </c>
      <c r="P18" s="495">
        <v>0</v>
      </c>
      <c r="Q18" s="495">
        <v>0</v>
      </c>
      <c r="R18" s="495">
        <v>78</v>
      </c>
    </row>
    <row r="19" spans="2:18" ht="14.4">
      <c r="B19" s="471">
        <v>3</v>
      </c>
      <c r="C19" s="472">
        <f t="shared" si="1"/>
        <v>357</v>
      </c>
      <c r="D19" s="472">
        <f t="shared" si="2"/>
        <v>119</v>
      </c>
      <c r="E19" s="472">
        <f t="shared" si="3"/>
        <v>18</v>
      </c>
      <c r="F19" s="669">
        <f t="shared" si="0"/>
        <v>6</v>
      </c>
      <c r="H19" s="665">
        <v>17</v>
      </c>
      <c r="I19" s="646">
        <v>1309</v>
      </c>
      <c r="J19" s="646">
        <v>17</v>
      </c>
      <c r="K19" s="646">
        <v>0</v>
      </c>
      <c r="L19" s="646">
        <v>135</v>
      </c>
      <c r="M19" s="646">
        <v>0</v>
      </c>
      <c r="N19" s="495">
        <v>0</v>
      </c>
      <c r="O19" s="495">
        <v>17</v>
      </c>
      <c r="P19" s="495">
        <v>0</v>
      </c>
      <c r="Q19" s="495">
        <v>0</v>
      </c>
      <c r="R19" s="495">
        <v>17</v>
      </c>
    </row>
    <row r="20" spans="2:18" ht="14.4">
      <c r="B20" s="471">
        <v>4</v>
      </c>
      <c r="C20" s="472">
        <f t="shared" si="1"/>
        <v>557</v>
      </c>
      <c r="D20" s="472">
        <f t="shared" si="2"/>
        <v>137</v>
      </c>
      <c r="E20" s="472">
        <f t="shared" si="3"/>
        <v>24</v>
      </c>
      <c r="F20" s="669">
        <f t="shared" si="0"/>
        <v>4</v>
      </c>
      <c r="H20" s="665">
        <v>18</v>
      </c>
      <c r="I20" s="646">
        <v>1386</v>
      </c>
      <c r="J20" s="646">
        <v>0</v>
      </c>
      <c r="K20" s="646">
        <v>0</v>
      </c>
      <c r="L20" s="646">
        <v>18</v>
      </c>
      <c r="M20" s="646">
        <v>0</v>
      </c>
      <c r="N20" s="495">
        <v>0</v>
      </c>
      <c r="O20" s="495">
        <v>0</v>
      </c>
      <c r="P20" s="495">
        <v>0</v>
      </c>
      <c r="Q20" s="495">
        <v>0</v>
      </c>
      <c r="R20" s="495">
        <v>0</v>
      </c>
    </row>
    <row r="21" spans="2:18" ht="14.4">
      <c r="B21" s="471">
        <v>5</v>
      </c>
      <c r="C21" s="472">
        <f t="shared" si="1"/>
        <v>851</v>
      </c>
      <c r="D21" s="472">
        <f t="shared" si="2"/>
        <v>198</v>
      </c>
      <c r="E21" s="472">
        <f t="shared" si="3"/>
        <v>35</v>
      </c>
      <c r="F21" s="669">
        <f t="shared" si="0"/>
        <v>20</v>
      </c>
      <c r="H21" s="665">
        <v>19</v>
      </c>
      <c r="I21" s="646">
        <v>1178</v>
      </c>
      <c r="J21" s="646">
        <v>0</v>
      </c>
      <c r="K21" s="646">
        <v>0</v>
      </c>
      <c r="L21" s="646">
        <v>113</v>
      </c>
      <c r="M21" s="646">
        <v>0</v>
      </c>
      <c r="N21" s="495">
        <v>0</v>
      </c>
      <c r="O21" s="495">
        <v>57</v>
      </c>
      <c r="P21" s="495">
        <v>0</v>
      </c>
      <c r="Q21" s="495">
        <v>0</v>
      </c>
      <c r="R21" s="495">
        <v>0</v>
      </c>
    </row>
    <row r="22" spans="2:18" ht="14.4">
      <c r="B22" s="471">
        <v>6</v>
      </c>
      <c r="C22" s="472">
        <f t="shared" si="1"/>
        <v>1433</v>
      </c>
      <c r="D22" s="472">
        <f t="shared" si="2"/>
        <v>262</v>
      </c>
      <c r="E22" s="472">
        <f t="shared" si="3"/>
        <v>22</v>
      </c>
      <c r="F22" s="669">
        <f t="shared" si="0"/>
        <v>6</v>
      </c>
      <c r="H22" s="665">
        <v>20</v>
      </c>
      <c r="I22" s="646">
        <v>900</v>
      </c>
      <c r="J22" s="646">
        <v>20</v>
      </c>
      <c r="K22" s="646">
        <v>0</v>
      </c>
      <c r="L22" s="646">
        <v>60</v>
      </c>
      <c r="M22" s="646">
        <v>0</v>
      </c>
      <c r="N22" s="495">
        <v>0</v>
      </c>
      <c r="O22" s="495">
        <v>0</v>
      </c>
      <c r="P22" s="495">
        <v>0</v>
      </c>
      <c r="Q22" s="495">
        <v>0</v>
      </c>
      <c r="R22" s="495">
        <v>0</v>
      </c>
    </row>
    <row r="23" spans="2:18" ht="14.4">
      <c r="B23" s="471">
        <v>7</v>
      </c>
      <c r="C23" s="472">
        <f t="shared" si="1"/>
        <v>1490</v>
      </c>
      <c r="D23" s="472">
        <f t="shared" si="2"/>
        <v>148</v>
      </c>
      <c r="E23" s="472">
        <f t="shared" si="3"/>
        <v>21</v>
      </c>
      <c r="F23" s="669">
        <f t="shared" si="0"/>
        <v>7</v>
      </c>
      <c r="H23" s="665">
        <v>21</v>
      </c>
      <c r="I23" s="646">
        <v>691</v>
      </c>
      <c r="J23" s="646">
        <v>21</v>
      </c>
      <c r="K23" s="646">
        <v>0</v>
      </c>
      <c r="L23" s="646">
        <v>42</v>
      </c>
      <c r="M23" s="646">
        <v>0</v>
      </c>
      <c r="N23" s="495">
        <v>0</v>
      </c>
      <c r="O23" s="495">
        <v>21</v>
      </c>
      <c r="P23" s="495">
        <v>0</v>
      </c>
      <c r="Q23" s="495">
        <v>0</v>
      </c>
      <c r="R23" s="495">
        <v>0</v>
      </c>
    </row>
    <row r="24" spans="2:18" ht="14.4">
      <c r="B24" s="471">
        <v>8</v>
      </c>
      <c r="C24" s="472">
        <f t="shared" si="1"/>
        <v>1999</v>
      </c>
      <c r="D24" s="472">
        <f t="shared" si="2"/>
        <v>329</v>
      </c>
      <c r="E24" s="472">
        <f t="shared" si="3"/>
        <v>48</v>
      </c>
      <c r="F24" s="669">
        <f t="shared" si="0"/>
        <v>23</v>
      </c>
      <c r="H24" s="665">
        <v>22</v>
      </c>
      <c r="I24" s="646">
        <v>792</v>
      </c>
      <c r="J24" s="646">
        <v>0</v>
      </c>
      <c r="K24" s="646">
        <v>0</v>
      </c>
      <c r="L24" s="646">
        <v>88</v>
      </c>
      <c r="M24" s="646">
        <v>0</v>
      </c>
      <c r="N24" s="495">
        <v>0</v>
      </c>
      <c r="O24" s="495">
        <v>44</v>
      </c>
      <c r="P24" s="495">
        <v>0</v>
      </c>
      <c r="Q24" s="495">
        <v>0</v>
      </c>
      <c r="R24" s="495">
        <v>0</v>
      </c>
    </row>
    <row r="25" spans="2:18" ht="14.4">
      <c r="B25" s="471">
        <v>9</v>
      </c>
      <c r="C25" s="472">
        <f t="shared" si="1"/>
        <v>2068</v>
      </c>
      <c r="D25" s="472">
        <f t="shared" si="2"/>
        <v>151</v>
      </c>
      <c r="E25" s="472">
        <f t="shared" si="3"/>
        <v>71</v>
      </c>
      <c r="F25" s="669">
        <f t="shared" si="0"/>
        <v>9</v>
      </c>
      <c r="H25" s="665">
        <v>23</v>
      </c>
      <c r="I25" s="646">
        <v>483</v>
      </c>
      <c r="J25" s="646">
        <v>0</v>
      </c>
      <c r="K25" s="646">
        <v>0</v>
      </c>
      <c r="L25" s="646">
        <v>69</v>
      </c>
      <c r="M25" s="646">
        <v>0</v>
      </c>
      <c r="N25" s="495">
        <v>0</v>
      </c>
      <c r="O25" s="495">
        <v>23</v>
      </c>
      <c r="P25" s="495">
        <v>0</v>
      </c>
      <c r="Q25" s="495">
        <v>0</v>
      </c>
      <c r="R25" s="495">
        <v>0</v>
      </c>
    </row>
    <row r="26" spans="2:18" ht="14.4">
      <c r="B26" s="471">
        <v>10</v>
      </c>
      <c r="C26" s="472">
        <f t="shared" si="1"/>
        <v>5150</v>
      </c>
      <c r="D26" s="472">
        <f t="shared" si="2"/>
        <v>615</v>
      </c>
      <c r="E26" s="472">
        <f t="shared" si="3"/>
        <v>89</v>
      </c>
      <c r="F26" s="669">
        <f t="shared" si="0"/>
        <v>110</v>
      </c>
      <c r="H26" s="665">
        <v>24</v>
      </c>
      <c r="I26" s="646">
        <v>648</v>
      </c>
      <c r="J26" s="646">
        <v>0</v>
      </c>
      <c r="K26" s="646">
        <v>0</v>
      </c>
      <c r="L26" s="646">
        <v>0</v>
      </c>
      <c r="M26" s="646">
        <v>0</v>
      </c>
      <c r="N26" s="495">
        <v>0</v>
      </c>
      <c r="O26" s="495">
        <v>0</v>
      </c>
      <c r="P26" s="495">
        <v>0</v>
      </c>
      <c r="Q26" s="495">
        <v>0</v>
      </c>
      <c r="R26" s="495">
        <v>24</v>
      </c>
    </row>
    <row r="27" spans="2:18" ht="14.4">
      <c r="B27" s="471" t="s">
        <v>596</v>
      </c>
      <c r="C27" s="472">
        <f>SUM(I14:K17)</f>
        <v>9196</v>
      </c>
      <c r="D27" s="472">
        <f>SUM(L14:N17)</f>
        <v>509</v>
      </c>
      <c r="E27" s="472">
        <f>SUM(O14:Q17)</f>
        <v>102</v>
      </c>
      <c r="F27" s="669">
        <f>SUM(R14:R17)</f>
        <v>22</v>
      </c>
      <c r="H27" s="665">
        <v>25</v>
      </c>
      <c r="I27" s="646">
        <v>325</v>
      </c>
      <c r="J27" s="646">
        <v>0</v>
      </c>
      <c r="K27" s="646">
        <v>0</v>
      </c>
      <c r="L27" s="646">
        <v>50</v>
      </c>
      <c r="M27" s="646">
        <v>0</v>
      </c>
      <c r="N27" s="495">
        <v>0</v>
      </c>
      <c r="O27" s="495">
        <v>98</v>
      </c>
      <c r="P27" s="495">
        <v>0</v>
      </c>
      <c r="Q27" s="495">
        <v>0</v>
      </c>
      <c r="R27" s="495">
        <v>0</v>
      </c>
    </row>
    <row r="28" spans="2:18" ht="14.4">
      <c r="B28" s="471" t="s">
        <v>597</v>
      </c>
      <c r="C28" s="472">
        <f>SUM(I18:K22)</f>
        <v>6473</v>
      </c>
      <c r="D28" s="472">
        <f>SUM(L18:N22)</f>
        <v>326</v>
      </c>
      <c r="E28" s="472">
        <f>SUM(O18:Q22)</f>
        <v>90</v>
      </c>
      <c r="F28" s="669">
        <f>SUM(R18:R22)</f>
        <v>95</v>
      </c>
      <c r="H28" s="665">
        <v>26</v>
      </c>
      <c r="I28" s="646">
        <v>234</v>
      </c>
      <c r="J28" s="646">
        <v>0</v>
      </c>
      <c r="K28" s="646">
        <v>0</v>
      </c>
      <c r="L28" s="646">
        <v>26</v>
      </c>
      <c r="M28" s="646">
        <v>0</v>
      </c>
      <c r="N28" s="495">
        <v>0</v>
      </c>
      <c r="O28" s="495">
        <v>26</v>
      </c>
      <c r="P28" s="495">
        <v>0</v>
      </c>
      <c r="Q28" s="495">
        <v>0</v>
      </c>
      <c r="R28" s="495">
        <v>0</v>
      </c>
    </row>
    <row r="29" spans="2:18" ht="14.4">
      <c r="B29" s="471" t="s">
        <v>598</v>
      </c>
      <c r="C29" s="472">
        <f>SUM(I23:K27)</f>
        <v>2960</v>
      </c>
      <c r="D29" s="472">
        <f>SUM(L23:N27)</f>
        <v>249</v>
      </c>
      <c r="E29" s="472">
        <f>SUM(O23:Q27)</f>
        <v>186</v>
      </c>
      <c r="F29" s="669">
        <f>SUM(R23:R27)</f>
        <v>24</v>
      </c>
      <c r="H29" s="665">
        <v>27</v>
      </c>
      <c r="I29" s="646">
        <v>297</v>
      </c>
      <c r="J29" s="646">
        <v>27</v>
      </c>
      <c r="K29" s="646">
        <v>0</v>
      </c>
      <c r="L29" s="646">
        <v>27</v>
      </c>
      <c r="M29" s="646">
        <v>0</v>
      </c>
      <c r="N29" s="495">
        <v>0</v>
      </c>
      <c r="O29" s="495">
        <v>27</v>
      </c>
      <c r="P29" s="495">
        <v>0</v>
      </c>
      <c r="Q29" s="495">
        <v>0</v>
      </c>
      <c r="R29" s="495">
        <v>0</v>
      </c>
    </row>
    <row r="30" spans="2:18" ht="14.4">
      <c r="B30" s="471" t="s">
        <v>599</v>
      </c>
      <c r="C30" s="472">
        <f>SUM(I28:K32)</f>
        <v>1280</v>
      </c>
      <c r="D30" s="472">
        <f>SUM(L28:N32)</f>
        <v>139</v>
      </c>
      <c r="E30" s="472">
        <f>SUM(O28:Q32)</f>
        <v>137</v>
      </c>
      <c r="F30" s="669">
        <f>SUM(R28:R32)</f>
        <v>30</v>
      </c>
      <c r="H30" s="665">
        <v>28</v>
      </c>
      <c r="I30" s="646">
        <v>252</v>
      </c>
      <c r="J30" s="646">
        <v>0</v>
      </c>
      <c r="K30" s="646">
        <v>0</v>
      </c>
      <c r="L30" s="646">
        <v>56</v>
      </c>
      <c r="M30" s="646">
        <v>0</v>
      </c>
      <c r="N30" s="495">
        <v>0</v>
      </c>
      <c r="O30" s="495">
        <v>55</v>
      </c>
      <c r="P30" s="495">
        <v>0</v>
      </c>
      <c r="Q30" s="495">
        <v>0</v>
      </c>
      <c r="R30" s="495">
        <v>0</v>
      </c>
    </row>
    <row r="31" spans="2:18" ht="14.4">
      <c r="B31" s="471" t="s">
        <v>778</v>
      </c>
      <c r="C31" s="472">
        <f>SUM(I33:K38)</f>
        <v>886</v>
      </c>
      <c r="D31" s="472">
        <f>SUM(L33:N38)</f>
        <v>137</v>
      </c>
      <c r="E31" s="472">
        <f>SUM(O33:Q38)</f>
        <v>66</v>
      </c>
      <c r="F31" s="669">
        <f>SUM(R33:R38)</f>
        <v>138</v>
      </c>
      <c r="H31" s="665">
        <v>29</v>
      </c>
      <c r="I31" s="646">
        <v>290</v>
      </c>
      <c r="J31" s="646">
        <v>0</v>
      </c>
      <c r="K31" s="646">
        <v>0</v>
      </c>
      <c r="L31" s="646">
        <v>0</v>
      </c>
      <c r="M31" s="646">
        <v>0</v>
      </c>
      <c r="N31" s="495">
        <v>0</v>
      </c>
      <c r="O31" s="495">
        <v>29</v>
      </c>
      <c r="P31" s="495">
        <v>0</v>
      </c>
      <c r="Q31" s="495">
        <v>0</v>
      </c>
      <c r="R31" s="495">
        <v>0</v>
      </c>
    </row>
    <row r="32" spans="2:18" ht="14.4">
      <c r="B32" s="471" t="s">
        <v>779</v>
      </c>
      <c r="C32" s="472">
        <f>SUM(I39:K43)</f>
        <v>311</v>
      </c>
      <c r="D32" s="472">
        <f>SUM(L39:N43)</f>
        <v>117</v>
      </c>
      <c r="E32" s="472">
        <f>SUM(O39:Q43)</f>
        <v>0</v>
      </c>
      <c r="F32" s="669">
        <f>SUM(R39:R43)</f>
        <v>38</v>
      </c>
      <c r="H32" s="665">
        <v>30</v>
      </c>
      <c r="I32" s="646">
        <v>180</v>
      </c>
      <c r="J32" s="646">
        <v>0</v>
      </c>
      <c r="K32" s="646">
        <v>0</v>
      </c>
      <c r="L32" s="646">
        <v>30</v>
      </c>
      <c r="M32" s="646">
        <v>0</v>
      </c>
      <c r="N32" s="495">
        <v>0</v>
      </c>
      <c r="O32" s="495">
        <v>0</v>
      </c>
      <c r="P32" s="495">
        <v>0</v>
      </c>
      <c r="Q32" s="495">
        <v>0</v>
      </c>
      <c r="R32" s="495">
        <v>30</v>
      </c>
    </row>
    <row r="33" spans="2:18" ht="14.4">
      <c r="B33" s="471" t="s">
        <v>780</v>
      </c>
      <c r="C33" s="472">
        <f>SUM(I44:K102)</f>
        <v>385</v>
      </c>
      <c r="D33" s="472">
        <f>SUM(L44:N102)</f>
        <v>383</v>
      </c>
      <c r="E33" s="472">
        <f>SUM(O44:Q102)</f>
        <v>420</v>
      </c>
      <c r="F33" s="669">
        <f>SUM(R44:R102)</f>
        <v>539</v>
      </c>
      <c r="H33" s="665">
        <v>31</v>
      </c>
      <c r="I33" s="646">
        <v>310</v>
      </c>
      <c r="J33" s="646">
        <v>0</v>
      </c>
      <c r="K33" s="646">
        <v>0</v>
      </c>
      <c r="L33" s="646">
        <v>0</v>
      </c>
      <c r="M33" s="646">
        <v>0</v>
      </c>
      <c r="N33" s="495">
        <v>0</v>
      </c>
      <c r="O33" s="495">
        <v>0</v>
      </c>
      <c r="P33" s="495">
        <v>0</v>
      </c>
      <c r="Q33" s="495">
        <v>0</v>
      </c>
      <c r="R33" s="495">
        <v>0</v>
      </c>
    </row>
    <row r="34" spans="2:18" ht="14.4">
      <c r="B34" s="471" t="s">
        <v>781</v>
      </c>
      <c r="C34" s="472">
        <f>SUM(I103:K107)</f>
        <v>135</v>
      </c>
      <c r="D34" s="472">
        <f>SUM(L103:N107)</f>
        <v>181</v>
      </c>
      <c r="E34" s="472">
        <f>SUM(O103:Q107)</f>
        <v>0</v>
      </c>
      <c r="F34" s="669">
        <f>SUM(R103:R107)</f>
        <v>247</v>
      </c>
      <c r="H34" s="665">
        <v>32</v>
      </c>
      <c r="I34" s="646">
        <v>160</v>
      </c>
      <c r="J34" s="646">
        <v>0</v>
      </c>
      <c r="K34" s="646">
        <v>0</v>
      </c>
      <c r="L34" s="646">
        <v>0</v>
      </c>
      <c r="M34" s="646">
        <v>0</v>
      </c>
      <c r="N34" s="495">
        <v>0</v>
      </c>
      <c r="O34" s="495">
        <v>0</v>
      </c>
      <c r="P34" s="495">
        <v>0</v>
      </c>
      <c r="Q34" s="495">
        <v>0</v>
      </c>
      <c r="R34" s="495">
        <v>32</v>
      </c>
    </row>
    <row r="35" spans="2:18" ht="14.4">
      <c r="B35" s="666" t="s">
        <v>716</v>
      </c>
      <c r="C35" s="667">
        <f>SUM(C16:C34)</f>
        <v>35773</v>
      </c>
      <c r="D35" s="667">
        <f>SUM(D16:D34)</f>
        <v>4096</v>
      </c>
      <c r="E35" s="667">
        <f>SUM(E16:E34)</f>
        <v>1341</v>
      </c>
      <c r="F35" s="668">
        <f>SUM(F16:F34)</f>
        <v>1330</v>
      </c>
      <c r="H35" s="665">
        <v>33</v>
      </c>
      <c r="I35" s="646">
        <v>66</v>
      </c>
      <c r="J35" s="646">
        <v>0</v>
      </c>
      <c r="K35" s="646">
        <v>0</v>
      </c>
      <c r="L35" s="646">
        <v>0</v>
      </c>
      <c r="M35" s="646">
        <v>0</v>
      </c>
      <c r="N35" s="495">
        <v>0</v>
      </c>
      <c r="O35" s="495">
        <v>66</v>
      </c>
      <c r="P35" s="495">
        <v>0</v>
      </c>
      <c r="Q35" s="495">
        <v>0</v>
      </c>
      <c r="R35" s="495">
        <v>0</v>
      </c>
    </row>
    <row r="36" spans="2:18" ht="14.4">
      <c r="H36" s="665">
        <v>34</v>
      </c>
      <c r="I36" s="646">
        <v>136</v>
      </c>
      <c r="J36" s="646">
        <v>0</v>
      </c>
      <c r="K36" s="646">
        <v>0</v>
      </c>
      <c r="L36" s="646">
        <v>68</v>
      </c>
      <c r="M36" s="646">
        <v>0</v>
      </c>
      <c r="N36" s="495">
        <v>0</v>
      </c>
      <c r="O36" s="495">
        <v>0</v>
      </c>
      <c r="P36" s="495">
        <v>0</v>
      </c>
      <c r="Q36" s="495">
        <v>0</v>
      </c>
      <c r="R36" s="495">
        <v>0</v>
      </c>
    </row>
    <row r="37" spans="2:18" ht="14.4">
      <c r="H37" s="665">
        <v>35</v>
      </c>
      <c r="I37" s="646">
        <v>70</v>
      </c>
      <c r="J37" s="646">
        <v>0</v>
      </c>
      <c r="K37" s="646">
        <v>0</v>
      </c>
      <c r="L37" s="646">
        <v>69</v>
      </c>
      <c r="M37" s="646">
        <v>0</v>
      </c>
      <c r="N37" s="495">
        <v>0</v>
      </c>
      <c r="O37" s="495">
        <v>0</v>
      </c>
      <c r="P37" s="495">
        <v>0</v>
      </c>
      <c r="Q37" s="495">
        <v>0</v>
      </c>
      <c r="R37" s="495">
        <v>70</v>
      </c>
    </row>
    <row r="38" spans="2:18" ht="14.4">
      <c r="H38" s="665">
        <v>36</v>
      </c>
      <c r="I38" s="646">
        <v>144</v>
      </c>
      <c r="J38" s="646">
        <v>0</v>
      </c>
      <c r="K38" s="646">
        <v>0</v>
      </c>
      <c r="L38" s="646">
        <v>0</v>
      </c>
      <c r="M38" s="646">
        <v>0</v>
      </c>
      <c r="N38" s="495">
        <v>0</v>
      </c>
      <c r="O38" s="495">
        <v>0</v>
      </c>
      <c r="P38" s="495">
        <v>0</v>
      </c>
      <c r="Q38" s="495">
        <v>0</v>
      </c>
      <c r="R38" s="495">
        <v>36</v>
      </c>
    </row>
    <row r="39" spans="2:18" ht="14.4">
      <c r="H39" s="665">
        <v>37</v>
      </c>
      <c r="I39" s="646">
        <v>37</v>
      </c>
      <c r="J39" s="646">
        <v>0</v>
      </c>
      <c r="K39" s="646">
        <v>0</v>
      </c>
      <c r="L39" s="646">
        <v>37</v>
      </c>
      <c r="M39" s="646">
        <v>0</v>
      </c>
      <c r="N39" s="495">
        <v>0</v>
      </c>
      <c r="O39" s="495">
        <v>0</v>
      </c>
      <c r="P39" s="495">
        <v>0</v>
      </c>
      <c r="Q39" s="495">
        <v>0</v>
      </c>
      <c r="R39" s="495">
        <v>0</v>
      </c>
    </row>
    <row r="40" spans="2:18" ht="14.4">
      <c r="H40" s="665">
        <v>38</v>
      </c>
      <c r="I40" s="646">
        <v>114</v>
      </c>
      <c r="J40" s="646">
        <v>0</v>
      </c>
      <c r="K40" s="646">
        <v>0</v>
      </c>
      <c r="L40" s="646">
        <v>0</v>
      </c>
      <c r="M40" s="646">
        <v>0</v>
      </c>
      <c r="N40" s="495">
        <v>0</v>
      </c>
      <c r="O40" s="495">
        <v>0</v>
      </c>
      <c r="P40" s="495">
        <v>0</v>
      </c>
      <c r="Q40" s="495">
        <v>0</v>
      </c>
      <c r="R40" s="495">
        <v>38</v>
      </c>
    </row>
    <row r="41" spans="2:18" ht="14.4">
      <c r="H41" s="665">
        <v>39</v>
      </c>
      <c r="I41" s="646">
        <v>78</v>
      </c>
      <c r="J41" s="646">
        <v>0</v>
      </c>
      <c r="K41" s="646">
        <v>0</v>
      </c>
      <c r="L41" s="646">
        <v>0</v>
      </c>
      <c r="M41" s="646">
        <v>0</v>
      </c>
      <c r="N41" s="495">
        <v>0</v>
      </c>
      <c r="O41" s="495">
        <v>0</v>
      </c>
      <c r="P41" s="495">
        <v>0</v>
      </c>
      <c r="Q41" s="495">
        <v>0</v>
      </c>
      <c r="R41" s="495">
        <v>0</v>
      </c>
    </row>
    <row r="42" spans="2:18" ht="14.4">
      <c r="H42" s="665">
        <v>40</v>
      </c>
      <c r="I42" s="646">
        <v>0</v>
      </c>
      <c r="J42" s="646">
        <v>0</v>
      </c>
      <c r="K42" s="646">
        <v>0</v>
      </c>
      <c r="L42" s="646">
        <v>80</v>
      </c>
      <c r="M42" s="646">
        <v>0</v>
      </c>
      <c r="N42" s="495">
        <v>0</v>
      </c>
      <c r="O42" s="495">
        <v>0</v>
      </c>
      <c r="P42" s="495">
        <v>0</v>
      </c>
      <c r="Q42" s="495">
        <v>0</v>
      </c>
      <c r="R42" s="495">
        <v>0</v>
      </c>
    </row>
    <row r="43" spans="2:18" ht="14.4">
      <c r="H43" s="665">
        <v>41</v>
      </c>
      <c r="I43" s="646">
        <v>82</v>
      </c>
      <c r="J43" s="646">
        <v>0</v>
      </c>
      <c r="K43" s="646">
        <v>0</v>
      </c>
      <c r="L43" s="646">
        <v>0</v>
      </c>
      <c r="M43" s="646">
        <v>0</v>
      </c>
      <c r="N43" s="495">
        <v>0</v>
      </c>
      <c r="O43" s="495">
        <v>0</v>
      </c>
      <c r="P43" s="495">
        <v>0</v>
      </c>
      <c r="Q43" s="495">
        <v>0</v>
      </c>
      <c r="R43" s="495">
        <v>0</v>
      </c>
    </row>
    <row r="44" spans="2:18" ht="14.4">
      <c r="H44" s="665">
        <v>42</v>
      </c>
      <c r="I44" s="646">
        <v>42</v>
      </c>
      <c r="J44" s="646">
        <v>0</v>
      </c>
      <c r="K44" s="646">
        <v>0</v>
      </c>
      <c r="L44" s="646">
        <v>0</v>
      </c>
      <c r="M44" s="646">
        <v>0</v>
      </c>
      <c r="N44" s="495">
        <v>0</v>
      </c>
      <c r="O44" s="495">
        <v>0</v>
      </c>
      <c r="P44" s="495">
        <v>0</v>
      </c>
      <c r="Q44" s="495">
        <v>0</v>
      </c>
      <c r="R44" s="495">
        <v>42</v>
      </c>
    </row>
    <row r="45" spans="2:18" ht="14.4">
      <c r="H45" s="665">
        <v>43</v>
      </c>
      <c r="I45" s="646">
        <v>0</v>
      </c>
      <c r="J45" s="646">
        <v>0</v>
      </c>
      <c r="K45" s="646">
        <v>0</v>
      </c>
      <c r="L45" s="646">
        <v>43</v>
      </c>
      <c r="M45" s="646">
        <v>0</v>
      </c>
      <c r="N45" s="495">
        <v>0</v>
      </c>
      <c r="O45" s="495">
        <v>43</v>
      </c>
      <c r="P45" s="495">
        <v>0</v>
      </c>
      <c r="Q45" s="495">
        <v>0</v>
      </c>
      <c r="R45" s="495">
        <v>0</v>
      </c>
    </row>
    <row r="46" spans="2:18" ht="14.4">
      <c r="H46" s="665">
        <v>44</v>
      </c>
      <c r="I46" s="646">
        <v>0</v>
      </c>
      <c r="J46" s="646">
        <v>0</v>
      </c>
      <c r="K46" s="646">
        <v>0</v>
      </c>
      <c r="L46" s="646">
        <v>0</v>
      </c>
      <c r="M46" s="646">
        <v>0</v>
      </c>
      <c r="N46" s="495">
        <v>0</v>
      </c>
      <c r="O46" s="495">
        <v>0</v>
      </c>
      <c r="P46" s="495">
        <v>0</v>
      </c>
      <c r="Q46" s="495">
        <v>0</v>
      </c>
      <c r="R46" s="495">
        <v>44</v>
      </c>
    </row>
    <row r="47" spans="2:18" ht="14.4">
      <c r="H47" s="665">
        <v>45</v>
      </c>
      <c r="I47" s="646">
        <v>45</v>
      </c>
      <c r="J47" s="646">
        <v>0</v>
      </c>
      <c r="K47" s="646">
        <v>0</v>
      </c>
      <c r="L47" s="646">
        <v>0</v>
      </c>
      <c r="M47" s="646">
        <v>0</v>
      </c>
      <c r="N47" s="495">
        <v>0</v>
      </c>
      <c r="O47" s="495">
        <v>45</v>
      </c>
      <c r="P47" s="495">
        <v>0</v>
      </c>
      <c r="Q47" s="495">
        <v>0</v>
      </c>
      <c r="R47" s="495">
        <v>0</v>
      </c>
    </row>
    <row r="48" spans="2:18" ht="14.4">
      <c r="H48" s="665">
        <v>46</v>
      </c>
      <c r="I48" s="646">
        <v>46</v>
      </c>
      <c r="J48" s="646">
        <v>0</v>
      </c>
      <c r="K48" s="646">
        <v>0</v>
      </c>
      <c r="L48" s="646">
        <v>0</v>
      </c>
      <c r="M48" s="646">
        <v>0</v>
      </c>
      <c r="N48" s="495">
        <v>0</v>
      </c>
      <c r="O48" s="495">
        <v>0</v>
      </c>
      <c r="P48" s="495">
        <v>0</v>
      </c>
      <c r="Q48" s="495">
        <v>0</v>
      </c>
      <c r="R48" s="495">
        <v>0</v>
      </c>
    </row>
    <row r="49" spans="8:18" ht="14.4">
      <c r="H49" s="665">
        <v>47</v>
      </c>
      <c r="I49" s="646">
        <v>0</v>
      </c>
      <c r="J49" s="646">
        <v>0</v>
      </c>
      <c r="K49" s="646">
        <v>0</v>
      </c>
      <c r="L49" s="646">
        <v>0</v>
      </c>
      <c r="M49" s="646">
        <v>0</v>
      </c>
      <c r="N49" s="495">
        <v>0</v>
      </c>
      <c r="O49" s="495">
        <v>0</v>
      </c>
      <c r="P49" s="495">
        <v>0</v>
      </c>
      <c r="Q49" s="495">
        <v>0</v>
      </c>
      <c r="R49" s="495">
        <v>0</v>
      </c>
    </row>
    <row r="50" spans="8:18" ht="14.4">
      <c r="H50" s="665">
        <v>48</v>
      </c>
      <c r="I50" s="646">
        <v>0</v>
      </c>
      <c r="J50" s="646">
        <v>0</v>
      </c>
      <c r="K50" s="646">
        <v>0</v>
      </c>
      <c r="L50" s="646">
        <v>48</v>
      </c>
      <c r="M50" s="646">
        <v>0</v>
      </c>
      <c r="N50" s="495">
        <v>0</v>
      </c>
      <c r="O50" s="495">
        <v>0</v>
      </c>
      <c r="P50" s="495">
        <v>0</v>
      </c>
      <c r="Q50" s="495">
        <v>0</v>
      </c>
      <c r="R50" s="495">
        <v>0</v>
      </c>
    </row>
    <row r="51" spans="8:18" ht="14.4">
      <c r="H51" s="665">
        <v>49</v>
      </c>
      <c r="I51" s="646">
        <v>0</v>
      </c>
      <c r="J51" s="646">
        <v>0</v>
      </c>
      <c r="K51" s="646">
        <v>0</v>
      </c>
      <c r="L51" s="646">
        <v>0</v>
      </c>
      <c r="M51" s="646">
        <v>0</v>
      </c>
      <c r="N51" s="495">
        <v>0</v>
      </c>
      <c r="O51" s="495">
        <v>0</v>
      </c>
      <c r="P51" s="495">
        <v>0</v>
      </c>
      <c r="Q51" s="495">
        <v>0</v>
      </c>
      <c r="R51" s="495">
        <v>49</v>
      </c>
    </row>
    <row r="52" spans="8:18" ht="14.4">
      <c r="H52" s="665">
        <v>50</v>
      </c>
      <c r="I52" s="646">
        <v>0</v>
      </c>
      <c r="J52" s="646">
        <v>0</v>
      </c>
      <c r="K52" s="646">
        <v>0</v>
      </c>
      <c r="L52" s="646">
        <v>0</v>
      </c>
      <c r="M52" s="646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</row>
    <row r="53" spans="8:18" ht="14.4">
      <c r="H53" s="665">
        <v>51</v>
      </c>
      <c r="I53" s="646">
        <v>51</v>
      </c>
      <c r="J53" s="646">
        <v>0</v>
      </c>
      <c r="K53" s="646">
        <v>0</v>
      </c>
      <c r="L53" s="646">
        <v>0</v>
      </c>
      <c r="M53" s="646">
        <v>0</v>
      </c>
      <c r="N53" s="495">
        <v>0</v>
      </c>
      <c r="O53" s="495">
        <v>0</v>
      </c>
      <c r="P53" s="495">
        <v>0</v>
      </c>
      <c r="Q53" s="495">
        <v>0</v>
      </c>
      <c r="R53" s="495">
        <v>0</v>
      </c>
    </row>
    <row r="54" spans="8:18" ht="14.4">
      <c r="H54" s="665">
        <v>52</v>
      </c>
      <c r="I54" s="646">
        <v>0</v>
      </c>
      <c r="J54" s="646">
        <v>0</v>
      </c>
      <c r="K54" s="646">
        <v>0</v>
      </c>
      <c r="L54" s="646">
        <v>0</v>
      </c>
      <c r="M54" s="646">
        <v>0</v>
      </c>
      <c r="N54" s="495">
        <v>0</v>
      </c>
      <c r="O54" s="495">
        <v>0</v>
      </c>
      <c r="P54" s="495">
        <v>0</v>
      </c>
      <c r="Q54" s="495">
        <v>0</v>
      </c>
      <c r="R54" s="495">
        <v>0</v>
      </c>
    </row>
    <row r="55" spans="8:18" ht="14.4">
      <c r="H55" s="665">
        <v>53</v>
      </c>
      <c r="I55" s="646">
        <v>0</v>
      </c>
      <c r="J55" s="646">
        <v>0</v>
      </c>
      <c r="K55" s="646">
        <v>0</v>
      </c>
      <c r="L55" s="646">
        <v>0</v>
      </c>
      <c r="M55" s="646">
        <v>0</v>
      </c>
      <c r="N55" s="495">
        <v>0</v>
      </c>
      <c r="O55" s="495">
        <v>0</v>
      </c>
      <c r="P55" s="495">
        <v>0</v>
      </c>
      <c r="Q55" s="495">
        <v>0</v>
      </c>
      <c r="R55" s="495">
        <v>0</v>
      </c>
    </row>
    <row r="56" spans="8:18" ht="14.4">
      <c r="H56" s="665">
        <v>54</v>
      </c>
      <c r="I56" s="646">
        <v>0</v>
      </c>
      <c r="J56" s="646">
        <v>0</v>
      </c>
      <c r="K56" s="646">
        <v>0</v>
      </c>
      <c r="L56" s="646">
        <v>0</v>
      </c>
      <c r="M56" s="646">
        <v>0</v>
      </c>
      <c r="N56" s="495">
        <v>0</v>
      </c>
      <c r="O56" s="495">
        <v>0</v>
      </c>
      <c r="P56" s="495">
        <v>0</v>
      </c>
      <c r="Q56" s="495">
        <v>0</v>
      </c>
      <c r="R56" s="495">
        <v>0</v>
      </c>
    </row>
    <row r="57" spans="8:18" ht="14.4">
      <c r="H57" s="665">
        <v>55</v>
      </c>
      <c r="I57" s="646">
        <v>55</v>
      </c>
      <c r="J57" s="646">
        <v>0</v>
      </c>
      <c r="K57" s="646">
        <v>0</v>
      </c>
      <c r="L57" s="646">
        <v>0</v>
      </c>
      <c r="M57" s="646">
        <v>0</v>
      </c>
      <c r="N57" s="495">
        <v>0</v>
      </c>
      <c r="O57" s="495">
        <v>0</v>
      </c>
      <c r="P57" s="495">
        <v>0</v>
      </c>
      <c r="Q57" s="495">
        <v>0</v>
      </c>
      <c r="R57" s="495">
        <v>0</v>
      </c>
    </row>
    <row r="58" spans="8:18" ht="14.4">
      <c r="H58" s="665">
        <v>56</v>
      </c>
      <c r="I58" s="646">
        <v>0</v>
      </c>
      <c r="J58" s="646">
        <v>0</v>
      </c>
      <c r="K58" s="646">
        <v>0</v>
      </c>
      <c r="L58" s="646">
        <v>0</v>
      </c>
      <c r="M58" s="646">
        <v>0</v>
      </c>
      <c r="N58" s="495">
        <v>0</v>
      </c>
      <c r="O58" s="495">
        <v>0</v>
      </c>
      <c r="P58" s="495">
        <v>0</v>
      </c>
      <c r="Q58" s="495">
        <v>0</v>
      </c>
      <c r="R58" s="495">
        <v>0</v>
      </c>
    </row>
    <row r="59" spans="8:18" ht="14.4">
      <c r="H59" s="665">
        <v>57</v>
      </c>
      <c r="I59" s="646">
        <v>0</v>
      </c>
      <c r="J59" s="646">
        <v>0</v>
      </c>
      <c r="K59" s="646">
        <v>0</v>
      </c>
      <c r="L59" s="646">
        <v>0</v>
      </c>
      <c r="M59" s="646">
        <v>0</v>
      </c>
      <c r="N59" s="495">
        <v>0</v>
      </c>
      <c r="O59" s="495">
        <v>0</v>
      </c>
      <c r="P59" s="495">
        <v>0</v>
      </c>
      <c r="Q59" s="495">
        <v>0</v>
      </c>
      <c r="R59" s="495">
        <v>0</v>
      </c>
    </row>
    <row r="60" spans="8:18" ht="14.4">
      <c r="H60" s="665">
        <v>58</v>
      </c>
      <c r="I60" s="646">
        <v>58</v>
      </c>
      <c r="J60" s="646">
        <v>0</v>
      </c>
      <c r="K60" s="646">
        <v>0</v>
      </c>
      <c r="L60" s="646">
        <v>0</v>
      </c>
      <c r="M60" s="646">
        <v>0</v>
      </c>
      <c r="N60" s="495">
        <v>0</v>
      </c>
      <c r="O60" s="495">
        <v>0</v>
      </c>
      <c r="P60" s="495">
        <v>0</v>
      </c>
      <c r="Q60" s="495">
        <v>0</v>
      </c>
      <c r="R60" s="495">
        <v>0</v>
      </c>
    </row>
    <row r="61" spans="8:18" ht="14.4">
      <c r="H61" s="665">
        <v>59</v>
      </c>
      <c r="I61" s="646">
        <v>0</v>
      </c>
      <c r="J61" s="646">
        <v>0</v>
      </c>
      <c r="K61" s="646">
        <v>0</v>
      </c>
      <c r="L61" s="646">
        <v>59</v>
      </c>
      <c r="M61" s="646">
        <v>0</v>
      </c>
      <c r="N61" s="495">
        <v>0</v>
      </c>
      <c r="O61" s="495">
        <v>0</v>
      </c>
      <c r="P61" s="495">
        <v>0</v>
      </c>
      <c r="Q61" s="495">
        <v>0</v>
      </c>
      <c r="R61" s="495">
        <v>0</v>
      </c>
    </row>
    <row r="62" spans="8:18" ht="14.4">
      <c r="H62" s="665">
        <v>60</v>
      </c>
      <c r="I62" s="646">
        <v>0</v>
      </c>
      <c r="J62" s="646">
        <v>0</v>
      </c>
      <c r="K62" s="646">
        <v>0</v>
      </c>
      <c r="L62" s="646">
        <v>0</v>
      </c>
      <c r="M62" s="646">
        <v>0</v>
      </c>
      <c r="N62" s="495">
        <v>0</v>
      </c>
      <c r="O62" s="495">
        <v>0</v>
      </c>
      <c r="P62" s="495">
        <v>0</v>
      </c>
      <c r="Q62" s="495">
        <v>0</v>
      </c>
      <c r="R62" s="495">
        <v>0</v>
      </c>
    </row>
    <row r="63" spans="8:18" ht="14.4">
      <c r="H63" s="665">
        <v>61</v>
      </c>
      <c r="I63" s="646">
        <v>0</v>
      </c>
      <c r="J63" s="646">
        <v>0</v>
      </c>
      <c r="K63" s="646">
        <v>0</v>
      </c>
      <c r="L63" s="646">
        <v>0</v>
      </c>
      <c r="M63" s="646">
        <v>0</v>
      </c>
      <c r="N63" s="495">
        <v>0</v>
      </c>
      <c r="O63" s="495">
        <v>0</v>
      </c>
      <c r="P63" s="495">
        <v>0</v>
      </c>
      <c r="Q63" s="495">
        <v>0</v>
      </c>
      <c r="R63" s="495">
        <v>0</v>
      </c>
    </row>
    <row r="64" spans="8:18" ht="14.4">
      <c r="H64" s="665">
        <v>62</v>
      </c>
      <c r="I64" s="646">
        <v>0</v>
      </c>
      <c r="J64" s="646">
        <v>0</v>
      </c>
      <c r="K64" s="646">
        <v>0</v>
      </c>
      <c r="L64" s="646">
        <v>0</v>
      </c>
      <c r="M64" s="646">
        <v>0</v>
      </c>
      <c r="N64" s="495">
        <v>0</v>
      </c>
      <c r="O64" s="495">
        <v>0</v>
      </c>
      <c r="P64" s="495">
        <v>0</v>
      </c>
      <c r="Q64" s="495">
        <v>0</v>
      </c>
      <c r="R64" s="495">
        <v>0</v>
      </c>
    </row>
    <row r="65" spans="8:18" ht="14.4">
      <c r="H65" s="665">
        <v>63</v>
      </c>
      <c r="I65" s="646">
        <v>0</v>
      </c>
      <c r="J65" s="646">
        <v>0</v>
      </c>
      <c r="K65" s="646">
        <v>0</v>
      </c>
      <c r="L65" s="646">
        <v>0</v>
      </c>
      <c r="M65" s="646">
        <v>0</v>
      </c>
      <c r="N65" s="495">
        <v>0</v>
      </c>
      <c r="O65" s="495">
        <v>0</v>
      </c>
      <c r="P65" s="495">
        <v>0</v>
      </c>
      <c r="Q65" s="495">
        <v>0</v>
      </c>
      <c r="R65" s="495">
        <v>63</v>
      </c>
    </row>
    <row r="66" spans="8:18" ht="14.4">
      <c r="H66" s="665">
        <v>64</v>
      </c>
      <c r="I66" s="646">
        <v>0</v>
      </c>
      <c r="J66" s="646">
        <v>0</v>
      </c>
      <c r="K66" s="646">
        <v>0</v>
      </c>
      <c r="L66" s="646">
        <v>0</v>
      </c>
      <c r="M66" s="646">
        <v>0</v>
      </c>
      <c r="N66" s="495">
        <v>0</v>
      </c>
      <c r="O66" s="495">
        <v>0</v>
      </c>
      <c r="P66" s="495">
        <v>0</v>
      </c>
      <c r="Q66" s="495">
        <v>0</v>
      </c>
      <c r="R66" s="495">
        <v>64</v>
      </c>
    </row>
    <row r="67" spans="8:18" ht="14.4">
      <c r="H67" s="665">
        <v>65</v>
      </c>
      <c r="I67" s="646">
        <v>0</v>
      </c>
      <c r="J67" s="646">
        <v>0</v>
      </c>
      <c r="K67" s="646">
        <v>0</v>
      </c>
      <c r="L67" s="646">
        <v>0</v>
      </c>
      <c r="M67" s="646">
        <v>0</v>
      </c>
      <c r="N67" s="495">
        <v>0</v>
      </c>
      <c r="O67" s="495">
        <v>0</v>
      </c>
      <c r="P67" s="495">
        <v>0</v>
      </c>
      <c r="Q67" s="495">
        <v>0</v>
      </c>
      <c r="R67" s="495">
        <v>0</v>
      </c>
    </row>
    <row r="68" spans="8:18" ht="14.4">
      <c r="H68" s="665">
        <v>66</v>
      </c>
      <c r="I68" s="646">
        <v>0</v>
      </c>
      <c r="J68" s="646">
        <v>0</v>
      </c>
      <c r="K68" s="646">
        <v>0</v>
      </c>
      <c r="L68" s="646">
        <v>0</v>
      </c>
      <c r="M68" s="646">
        <v>0</v>
      </c>
      <c r="N68" s="495">
        <v>0</v>
      </c>
      <c r="O68" s="495">
        <v>0</v>
      </c>
      <c r="P68" s="495">
        <v>0</v>
      </c>
      <c r="Q68" s="495">
        <v>0</v>
      </c>
      <c r="R68" s="495">
        <v>0</v>
      </c>
    </row>
    <row r="69" spans="8:18" ht="14.4">
      <c r="H69" s="665">
        <v>67</v>
      </c>
      <c r="I69" s="646">
        <v>0</v>
      </c>
      <c r="J69" s="646">
        <v>0</v>
      </c>
      <c r="K69" s="646">
        <v>0</v>
      </c>
      <c r="L69" s="646">
        <v>0</v>
      </c>
      <c r="M69" s="646">
        <v>0</v>
      </c>
      <c r="N69" s="495">
        <v>0</v>
      </c>
      <c r="O69" s="495">
        <v>0</v>
      </c>
      <c r="P69" s="495">
        <v>0</v>
      </c>
      <c r="Q69" s="495">
        <v>0</v>
      </c>
      <c r="R69" s="495">
        <v>0</v>
      </c>
    </row>
    <row r="70" spans="8:18" ht="14.4">
      <c r="H70" s="665">
        <v>68</v>
      </c>
      <c r="I70" s="646">
        <v>0</v>
      </c>
      <c r="J70" s="646">
        <v>0</v>
      </c>
      <c r="K70" s="646">
        <v>0</v>
      </c>
      <c r="L70" s="646">
        <v>68</v>
      </c>
      <c r="M70" s="646">
        <v>0</v>
      </c>
      <c r="N70" s="495">
        <v>0</v>
      </c>
      <c r="O70" s="495">
        <v>0</v>
      </c>
      <c r="P70" s="495">
        <v>0</v>
      </c>
      <c r="Q70" s="495">
        <v>0</v>
      </c>
      <c r="R70" s="495">
        <v>0</v>
      </c>
    </row>
    <row r="71" spans="8:18" ht="14.4">
      <c r="H71" s="665">
        <v>69</v>
      </c>
      <c r="I71" s="646">
        <v>0</v>
      </c>
      <c r="J71" s="646">
        <v>0</v>
      </c>
      <c r="K71" s="646">
        <v>0</v>
      </c>
      <c r="L71" s="646">
        <v>0</v>
      </c>
      <c r="M71" s="646">
        <v>0</v>
      </c>
      <c r="N71" s="495">
        <v>0</v>
      </c>
      <c r="O71" s="495">
        <v>69</v>
      </c>
      <c r="P71" s="495">
        <v>0</v>
      </c>
      <c r="Q71" s="495">
        <v>0</v>
      </c>
      <c r="R71" s="495">
        <v>0</v>
      </c>
    </row>
    <row r="72" spans="8:18" ht="14.4">
      <c r="H72" s="665">
        <v>70</v>
      </c>
      <c r="I72" s="646">
        <v>0</v>
      </c>
      <c r="J72" s="646">
        <v>0</v>
      </c>
      <c r="K72" s="646">
        <v>0</v>
      </c>
      <c r="L72" s="646">
        <v>0</v>
      </c>
      <c r="M72" s="646">
        <v>0</v>
      </c>
      <c r="N72" s="495">
        <v>0</v>
      </c>
      <c r="O72" s="495">
        <v>0</v>
      </c>
      <c r="P72" s="495">
        <v>0</v>
      </c>
      <c r="Q72" s="495">
        <v>0</v>
      </c>
      <c r="R72" s="495">
        <v>0</v>
      </c>
    </row>
    <row r="73" spans="8:18" ht="14.4">
      <c r="H73" s="665">
        <v>71</v>
      </c>
      <c r="I73" s="646">
        <v>0</v>
      </c>
      <c r="J73" s="646">
        <v>0</v>
      </c>
      <c r="K73" s="646">
        <v>0</v>
      </c>
      <c r="L73" s="646">
        <v>0</v>
      </c>
      <c r="M73" s="646">
        <v>0</v>
      </c>
      <c r="N73" s="495">
        <v>0</v>
      </c>
      <c r="O73" s="495">
        <v>0</v>
      </c>
      <c r="P73" s="495">
        <v>0</v>
      </c>
      <c r="Q73" s="495">
        <v>0</v>
      </c>
      <c r="R73" s="495">
        <v>0</v>
      </c>
    </row>
    <row r="74" spans="8:18" ht="14.4">
      <c r="H74" s="665">
        <v>72</v>
      </c>
      <c r="I74" s="646">
        <v>0</v>
      </c>
      <c r="J74" s="646">
        <v>0</v>
      </c>
      <c r="K74" s="646">
        <v>0</v>
      </c>
      <c r="L74" s="646">
        <v>0</v>
      </c>
      <c r="M74" s="646">
        <v>0</v>
      </c>
      <c r="N74" s="495">
        <v>0</v>
      </c>
      <c r="O74" s="495">
        <v>0</v>
      </c>
      <c r="P74" s="495">
        <v>0</v>
      </c>
      <c r="Q74" s="495">
        <v>0</v>
      </c>
      <c r="R74" s="495">
        <v>0</v>
      </c>
    </row>
    <row r="75" spans="8:18" ht="14.4">
      <c r="H75" s="665">
        <v>73</v>
      </c>
      <c r="I75" s="646">
        <v>0</v>
      </c>
      <c r="J75" s="646">
        <v>0</v>
      </c>
      <c r="K75" s="646">
        <v>0</v>
      </c>
      <c r="L75" s="646">
        <v>0</v>
      </c>
      <c r="M75" s="646">
        <v>0</v>
      </c>
      <c r="N75" s="495">
        <v>0</v>
      </c>
      <c r="O75" s="495">
        <v>0</v>
      </c>
      <c r="P75" s="495">
        <v>0</v>
      </c>
      <c r="Q75" s="495">
        <v>0</v>
      </c>
      <c r="R75" s="495">
        <v>0</v>
      </c>
    </row>
    <row r="76" spans="8:18" ht="14.4">
      <c r="H76" s="665">
        <v>74</v>
      </c>
      <c r="I76" s="646">
        <v>0</v>
      </c>
      <c r="J76" s="646">
        <v>0</v>
      </c>
      <c r="K76" s="646">
        <v>0</v>
      </c>
      <c r="L76" s="646">
        <v>0</v>
      </c>
      <c r="M76" s="646">
        <v>0</v>
      </c>
      <c r="N76" s="495">
        <v>0</v>
      </c>
      <c r="O76" s="495">
        <v>0</v>
      </c>
      <c r="P76" s="495">
        <v>0</v>
      </c>
      <c r="Q76" s="495">
        <v>0</v>
      </c>
      <c r="R76" s="495">
        <v>0</v>
      </c>
    </row>
    <row r="77" spans="8:18" ht="14.4">
      <c r="H77" s="665">
        <v>75</v>
      </c>
      <c r="I77" s="646">
        <v>0</v>
      </c>
      <c r="J77" s="646">
        <v>0</v>
      </c>
      <c r="K77" s="646">
        <v>0</v>
      </c>
      <c r="L77" s="646">
        <v>75</v>
      </c>
      <c r="M77" s="646">
        <v>0</v>
      </c>
      <c r="N77" s="495">
        <v>0</v>
      </c>
      <c r="O77" s="495">
        <v>0</v>
      </c>
      <c r="P77" s="495">
        <v>0</v>
      </c>
      <c r="Q77" s="495">
        <v>0</v>
      </c>
      <c r="R77" s="495">
        <v>0</v>
      </c>
    </row>
    <row r="78" spans="8:18" ht="14.4">
      <c r="H78" s="665">
        <v>76</v>
      </c>
      <c r="I78" s="646">
        <v>0</v>
      </c>
      <c r="J78" s="646">
        <v>0</v>
      </c>
      <c r="K78" s="646">
        <v>0</v>
      </c>
      <c r="L78" s="646">
        <v>0</v>
      </c>
      <c r="M78" s="646">
        <v>0</v>
      </c>
      <c r="N78" s="495">
        <v>0</v>
      </c>
      <c r="O78" s="495">
        <v>0</v>
      </c>
      <c r="P78" s="495">
        <v>0</v>
      </c>
      <c r="Q78" s="495">
        <v>0</v>
      </c>
      <c r="R78" s="495">
        <v>0</v>
      </c>
    </row>
    <row r="79" spans="8:18" ht="14.4">
      <c r="H79" s="665">
        <v>77</v>
      </c>
      <c r="I79" s="646">
        <v>0</v>
      </c>
      <c r="J79" s="646">
        <v>0</v>
      </c>
      <c r="K79" s="646">
        <v>0</v>
      </c>
      <c r="L79" s="646">
        <v>0</v>
      </c>
      <c r="M79" s="646">
        <v>0</v>
      </c>
      <c r="N79" s="495">
        <v>0</v>
      </c>
      <c r="O79" s="495">
        <v>0</v>
      </c>
      <c r="P79" s="495">
        <v>0</v>
      </c>
      <c r="Q79" s="495">
        <v>0</v>
      </c>
      <c r="R79" s="495">
        <v>0</v>
      </c>
    </row>
    <row r="80" spans="8:18" ht="14.4">
      <c r="H80" s="665">
        <v>78</v>
      </c>
      <c r="I80" s="646">
        <v>0</v>
      </c>
      <c r="J80" s="646">
        <v>0</v>
      </c>
      <c r="K80" s="646">
        <v>0</v>
      </c>
      <c r="L80" s="646">
        <v>0</v>
      </c>
      <c r="M80" s="646">
        <v>0</v>
      </c>
      <c r="N80" s="495">
        <v>0</v>
      </c>
      <c r="O80" s="495">
        <v>0</v>
      </c>
      <c r="P80" s="495">
        <v>0</v>
      </c>
      <c r="Q80" s="495">
        <v>0</v>
      </c>
      <c r="R80" s="495">
        <v>0</v>
      </c>
    </row>
    <row r="81" spans="8:18" ht="14.4">
      <c r="H81" s="665">
        <v>79</v>
      </c>
      <c r="I81" s="646">
        <v>0</v>
      </c>
      <c r="J81" s="646">
        <v>0</v>
      </c>
      <c r="K81" s="646">
        <v>0</v>
      </c>
      <c r="L81" s="646">
        <v>0</v>
      </c>
      <c r="M81" s="646">
        <v>0</v>
      </c>
      <c r="N81" s="495">
        <v>0</v>
      </c>
      <c r="O81" s="495">
        <v>0</v>
      </c>
      <c r="P81" s="495">
        <v>0</v>
      </c>
      <c r="Q81" s="495">
        <v>0</v>
      </c>
      <c r="R81" s="495">
        <v>0</v>
      </c>
    </row>
    <row r="82" spans="8:18" ht="14.4">
      <c r="H82" s="665">
        <v>80</v>
      </c>
      <c r="I82" s="646">
        <v>0</v>
      </c>
      <c r="J82" s="646">
        <v>0</v>
      </c>
      <c r="K82" s="646">
        <v>0</v>
      </c>
      <c r="L82" s="646">
        <v>0</v>
      </c>
      <c r="M82" s="646">
        <v>0</v>
      </c>
      <c r="N82" s="495">
        <v>0</v>
      </c>
      <c r="O82" s="495">
        <v>0</v>
      </c>
      <c r="P82" s="495">
        <v>0</v>
      </c>
      <c r="Q82" s="495">
        <v>0</v>
      </c>
      <c r="R82" s="495">
        <v>0</v>
      </c>
    </row>
    <row r="83" spans="8:18" ht="14.4">
      <c r="H83" s="665">
        <v>81</v>
      </c>
      <c r="I83" s="646">
        <v>0</v>
      </c>
      <c r="J83" s="646">
        <v>0</v>
      </c>
      <c r="K83" s="646">
        <v>0</v>
      </c>
      <c r="L83" s="646">
        <v>0</v>
      </c>
      <c r="M83" s="646">
        <v>0</v>
      </c>
      <c r="N83" s="495">
        <v>0</v>
      </c>
      <c r="O83" s="495">
        <v>0</v>
      </c>
      <c r="P83" s="495">
        <v>0</v>
      </c>
      <c r="Q83" s="495">
        <v>0</v>
      </c>
      <c r="R83" s="495">
        <v>0</v>
      </c>
    </row>
    <row r="84" spans="8:18" ht="14.4">
      <c r="H84" s="665">
        <v>82</v>
      </c>
      <c r="I84" s="646">
        <v>0</v>
      </c>
      <c r="J84" s="646">
        <v>0</v>
      </c>
      <c r="K84" s="646">
        <v>0</v>
      </c>
      <c r="L84" s="646">
        <v>0</v>
      </c>
      <c r="M84" s="646">
        <v>0</v>
      </c>
      <c r="N84" s="495">
        <v>0</v>
      </c>
      <c r="O84" s="495">
        <v>0</v>
      </c>
      <c r="P84" s="495">
        <v>0</v>
      </c>
      <c r="Q84" s="495">
        <v>0</v>
      </c>
      <c r="R84" s="495">
        <v>0</v>
      </c>
    </row>
    <row r="85" spans="8:18" ht="14.4">
      <c r="H85" s="665">
        <v>83</v>
      </c>
      <c r="I85" s="646">
        <v>0</v>
      </c>
      <c r="J85" s="646">
        <v>0</v>
      </c>
      <c r="K85" s="646">
        <v>0</v>
      </c>
      <c r="L85" s="646">
        <v>0</v>
      </c>
      <c r="M85" s="646">
        <v>0</v>
      </c>
      <c r="N85" s="495">
        <v>0</v>
      </c>
      <c r="O85" s="495">
        <v>83</v>
      </c>
      <c r="P85" s="495">
        <v>0</v>
      </c>
      <c r="Q85" s="495">
        <v>0</v>
      </c>
      <c r="R85" s="495">
        <v>0</v>
      </c>
    </row>
    <row r="86" spans="8:18" ht="14.4">
      <c r="H86" s="665">
        <v>84</v>
      </c>
      <c r="I86" s="646">
        <v>0</v>
      </c>
      <c r="J86" s="646">
        <v>0</v>
      </c>
      <c r="K86" s="646">
        <v>0</v>
      </c>
      <c r="L86" s="646">
        <v>0</v>
      </c>
      <c r="M86" s="646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</row>
    <row r="87" spans="8:18" ht="14.4">
      <c r="H87" s="665">
        <v>85</v>
      </c>
      <c r="I87" s="646">
        <v>0</v>
      </c>
      <c r="J87" s="646">
        <v>0</v>
      </c>
      <c r="K87" s="646">
        <v>0</v>
      </c>
      <c r="L87" s="646">
        <v>0</v>
      </c>
      <c r="M87" s="646">
        <v>0</v>
      </c>
      <c r="N87" s="495">
        <v>0</v>
      </c>
      <c r="O87" s="495">
        <v>0</v>
      </c>
      <c r="P87" s="495">
        <v>0</v>
      </c>
      <c r="Q87" s="495">
        <v>0</v>
      </c>
      <c r="R87" s="495">
        <v>0</v>
      </c>
    </row>
    <row r="88" spans="8:18" ht="14.4">
      <c r="H88" s="665">
        <v>86</v>
      </c>
      <c r="I88" s="646">
        <v>0</v>
      </c>
      <c r="J88" s="646">
        <v>0</v>
      </c>
      <c r="K88" s="646">
        <v>0</v>
      </c>
      <c r="L88" s="646">
        <v>0</v>
      </c>
      <c r="M88" s="646">
        <v>0</v>
      </c>
      <c r="N88" s="495">
        <v>0</v>
      </c>
      <c r="O88" s="495">
        <v>0</v>
      </c>
      <c r="P88" s="495">
        <v>0</v>
      </c>
      <c r="Q88" s="495">
        <v>0</v>
      </c>
      <c r="R88" s="495">
        <v>0</v>
      </c>
    </row>
    <row r="89" spans="8:18" ht="14.4">
      <c r="H89" s="665">
        <v>87</v>
      </c>
      <c r="I89" s="646">
        <v>0</v>
      </c>
      <c r="J89" s="646">
        <v>0</v>
      </c>
      <c r="K89" s="646">
        <v>0</v>
      </c>
      <c r="L89" s="646">
        <v>0</v>
      </c>
      <c r="M89" s="646">
        <v>0</v>
      </c>
      <c r="N89" s="495">
        <v>0</v>
      </c>
      <c r="O89" s="495">
        <v>87</v>
      </c>
      <c r="P89" s="495">
        <v>0</v>
      </c>
      <c r="Q89" s="495">
        <v>0</v>
      </c>
      <c r="R89" s="495">
        <v>87</v>
      </c>
    </row>
    <row r="90" spans="8:18" ht="14.4">
      <c r="H90" s="665">
        <v>88</v>
      </c>
      <c r="I90" s="646">
        <v>88</v>
      </c>
      <c r="J90" s="646">
        <v>0</v>
      </c>
      <c r="K90" s="646">
        <v>0</v>
      </c>
      <c r="L90" s="646">
        <v>0</v>
      </c>
      <c r="M90" s="646">
        <v>0</v>
      </c>
      <c r="N90" s="495">
        <v>0</v>
      </c>
      <c r="O90" s="495">
        <v>0</v>
      </c>
      <c r="P90" s="495">
        <v>0</v>
      </c>
      <c r="Q90" s="495">
        <v>0</v>
      </c>
      <c r="R90" s="495">
        <v>0</v>
      </c>
    </row>
    <row r="91" spans="8:18" ht="14.4">
      <c r="H91" s="665">
        <v>89</v>
      </c>
      <c r="I91" s="646">
        <v>0</v>
      </c>
      <c r="J91" s="646">
        <v>0</v>
      </c>
      <c r="K91" s="646">
        <v>0</v>
      </c>
      <c r="L91" s="646">
        <v>0</v>
      </c>
      <c r="M91" s="646">
        <v>0</v>
      </c>
      <c r="N91" s="495">
        <v>0</v>
      </c>
      <c r="O91" s="495">
        <v>0</v>
      </c>
      <c r="P91" s="495">
        <v>0</v>
      </c>
      <c r="Q91" s="495">
        <v>0</v>
      </c>
      <c r="R91" s="495">
        <v>0</v>
      </c>
    </row>
    <row r="92" spans="8:18" ht="14.4">
      <c r="H92" s="665">
        <v>90</v>
      </c>
      <c r="I92" s="646">
        <v>0</v>
      </c>
      <c r="J92" s="646">
        <v>0</v>
      </c>
      <c r="K92" s="646">
        <v>0</v>
      </c>
      <c r="L92" s="646">
        <v>90</v>
      </c>
      <c r="M92" s="646">
        <v>0</v>
      </c>
      <c r="N92" s="495">
        <v>0</v>
      </c>
      <c r="O92" s="495">
        <v>0</v>
      </c>
      <c r="P92" s="495">
        <v>0</v>
      </c>
      <c r="Q92" s="495">
        <v>0</v>
      </c>
      <c r="R92" s="495">
        <v>0</v>
      </c>
    </row>
    <row r="93" spans="8:18" ht="14.4">
      <c r="H93" s="665">
        <v>91</v>
      </c>
      <c r="I93" s="646">
        <v>0</v>
      </c>
      <c r="J93" s="646">
        <v>0</v>
      </c>
      <c r="K93" s="646">
        <v>0</v>
      </c>
      <c r="L93" s="646">
        <v>0</v>
      </c>
      <c r="M93" s="646">
        <v>0</v>
      </c>
      <c r="N93" s="495">
        <v>0</v>
      </c>
      <c r="O93" s="495">
        <v>0</v>
      </c>
      <c r="P93" s="495">
        <v>0</v>
      </c>
      <c r="Q93" s="495">
        <v>0</v>
      </c>
      <c r="R93" s="495">
        <v>91</v>
      </c>
    </row>
    <row r="94" spans="8:18" ht="14.4">
      <c r="H94" s="665">
        <v>92</v>
      </c>
      <c r="I94" s="646">
        <v>0</v>
      </c>
      <c r="J94" s="646">
        <v>0</v>
      </c>
      <c r="K94" s="646">
        <v>0</v>
      </c>
      <c r="L94" s="646">
        <v>0</v>
      </c>
      <c r="M94" s="646">
        <v>0</v>
      </c>
      <c r="N94" s="495">
        <v>0</v>
      </c>
      <c r="O94" s="495">
        <v>0</v>
      </c>
      <c r="P94" s="495">
        <v>0</v>
      </c>
      <c r="Q94" s="495">
        <v>0</v>
      </c>
      <c r="R94" s="495">
        <v>0</v>
      </c>
    </row>
    <row r="95" spans="8:18" ht="14.4">
      <c r="H95" s="665">
        <v>93</v>
      </c>
      <c r="I95" s="646">
        <v>0</v>
      </c>
      <c r="J95" s="646">
        <v>0</v>
      </c>
      <c r="K95" s="646">
        <v>0</v>
      </c>
      <c r="L95" s="646">
        <v>0</v>
      </c>
      <c r="M95" s="646">
        <v>0</v>
      </c>
      <c r="N95" s="495">
        <v>0</v>
      </c>
      <c r="O95" s="495">
        <v>93</v>
      </c>
      <c r="P95" s="495">
        <v>0</v>
      </c>
      <c r="Q95" s="495">
        <v>0</v>
      </c>
      <c r="R95" s="495">
        <v>0</v>
      </c>
    </row>
    <row r="96" spans="8:18" ht="14.4">
      <c r="H96" s="665">
        <v>94</v>
      </c>
      <c r="I96" s="646">
        <v>0</v>
      </c>
      <c r="J96" s="646">
        <v>0</v>
      </c>
      <c r="K96" s="646">
        <v>0</v>
      </c>
      <c r="L96" s="646">
        <v>0</v>
      </c>
      <c r="M96" s="646">
        <v>0</v>
      </c>
      <c r="N96" s="495">
        <v>0</v>
      </c>
      <c r="O96" s="495">
        <v>0</v>
      </c>
      <c r="P96" s="495">
        <v>0</v>
      </c>
      <c r="Q96" s="495">
        <v>0</v>
      </c>
      <c r="R96" s="495">
        <v>0</v>
      </c>
    </row>
    <row r="97" spans="8:18" ht="14.4">
      <c r="H97" s="665">
        <v>95</v>
      </c>
      <c r="I97" s="646">
        <v>0</v>
      </c>
      <c r="J97" s="646">
        <v>0</v>
      </c>
      <c r="K97" s="646">
        <v>0</v>
      </c>
      <c r="L97" s="646">
        <v>0</v>
      </c>
      <c r="M97" s="646">
        <v>0</v>
      </c>
      <c r="N97" s="495">
        <v>0</v>
      </c>
      <c r="O97" s="495">
        <v>0</v>
      </c>
      <c r="P97" s="495">
        <v>0</v>
      </c>
      <c r="Q97" s="495">
        <v>0</v>
      </c>
      <c r="R97" s="495">
        <v>0</v>
      </c>
    </row>
    <row r="98" spans="8:18" ht="14.4">
      <c r="H98" s="665">
        <v>96</v>
      </c>
      <c r="I98" s="646">
        <v>0</v>
      </c>
      <c r="J98" s="646">
        <v>0</v>
      </c>
      <c r="K98" s="646">
        <v>0</v>
      </c>
      <c r="L98" s="646">
        <v>0</v>
      </c>
      <c r="M98" s="646">
        <v>0</v>
      </c>
      <c r="N98" s="495">
        <v>0</v>
      </c>
      <c r="O98" s="495">
        <v>0</v>
      </c>
      <c r="P98" s="495">
        <v>0</v>
      </c>
      <c r="Q98" s="495">
        <v>0</v>
      </c>
      <c r="R98" s="495">
        <v>0</v>
      </c>
    </row>
    <row r="99" spans="8:18" ht="14.4">
      <c r="H99" s="665">
        <v>97</v>
      </c>
      <c r="I99" s="646">
        <v>0</v>
      </c>
      <c r="J99" s="646">
        <v>0</v>
      </c>
      <c r="K99" s="646">
        <v>0</v>
      </c>
      <c r="L99" s="646">
        <v>0</v>
      </c>
      <c r="M99" s="646">
        <v>0</v>
      </c>
      <c r="N99" s="495">
        <v>0</v>
      </c>
      <c r="O99" s="495">
        <v>0</v>
      </c>
      <c r="P99" s="495">
        <v>0</v>
      </c>
      <c r="Q99" s="495">
        <v>0</v>
      </c>
      <c r="R99" s="495">
        <v>0</v>
      </c>
    </row>
    <row r="100" spans="8:18" ht="14.4">
      <c r="H100" s="665">
        <v>98</v>
      </c>
      <c r="I100" s="646">
        <v>0</v>
      </c>
      <c r="J100" s="646">
        <v>0</v>
      </c>
      <c r="K100" s="646">
        <v>0</v>
      </c>
      <c r="L100" s="646">
        <v>0</v>
      </c>
      <c r="M100" s="646">
        <v>0</v>
      </c>
      <c r="N100" s="495">
        <v>0</v>
      </c>
      <c r="O100" s="495">
        <v>0</v>
      </c>
      <c r="P100" s="495">
        <v>0</v>
      </c>
      <c r="Q100" s="495">
        <v>0</v>
      </c>
      <c r="R100" s="495">
        <v>0</v>
      </c>
    </row>
    <row r="101" spans="8:18" ht="14.4">
      <c r="H101" s="665">
        <v>99</v>
      </c>
      <c r="I101" s="646">
        <v>0</v>
      </c>
      <c r="J101" s="646">
        <v>0</v>
      </c>
      <c r="K101" s="646">
        <v>0</v>
      </c>
      <c r="L101" s="646">
        <v>0</v>
      </c>
      <c r="M101" s="646">
        <v>0</v>
      </c>
      <c r="N101" s="495">
        <v>0</v>
      </c>
      <c r="O101" s="495">
        <v>0</v>
      </c>
      <c r="P101" s="495">
        <v>0</v>
      </c>
      <c r="Q101" s="495">
        <v>0</v>
      </c>
      <c r="R101" s="495">
        <v>99</v>
      </c>
    </row>
    <row r="102" spans="8:18" ht="14.4">
      <c r="H102" s="665">
        <v>100</v>
      </c>
      <c r="I102" s="646">
        <v>0</v>
      </c>
      <c r="J102" s="646">
        <v>0</v>
      </c>
      <c r="K102" s="646">
        <v>0</v>
      </c>
      <c r="L102" s="646">
        <v>0</v>
      </c>
      <c r="M102" s="646">
        <v>0</v>
      </c>
      <c r="N102" s="495">
        <v>0</v>
      </c>
      <c r="O102" s="495">
        <v>0</v>
      </c>
      <c r="P102" s="495">
        <v>0</v>
      </c>
      <c r="Q102" s="495">
        <v>0</v>
      </c>
      <c r="R102" s="495">
        <v>0</v>
      </c>
    </row>
    <row r="103" spans="8:18" ht="14.4">
      <c r="H103" s="665">
        <v>101</v>
      </c>
      <c r="I103" s="646">
        <v>0</v>
      </c>
      <c r="J103" s="646">
        <v>0</v>
      </c>
      <c r="K103" s="646">
        <v>0</v>
      </c>
      <c r="L103" s="646">
        <v>0</v>
      </c>
      <c r="M103" s="646">
        <v>0</v>
      </c>
      <c r="N103" s="495">
        <v>0</v>
      </c>
      <c r="O103" s="495">
        <v>0</v>
      </c>
      <c r="P103" s="495">
        <v>0</v>
      </c>
      <c r="Q103" s="495">
        <v>0</v>
      </c>
      <c r="R103" s="495">
        <v>0</v>
      </c>
    </row>
    <row r="104" spans="8:18" ht="14.4">
      <c r="H104" s="665">
        <v>113</v>
      </c>
      <c r="I104" s="646">
        <v>0</v>
      </c>
      <c r="J104" s="646">
        <v>0</v>
      </c>
      <c r="K104" s="646">
        <v>0</v>
      </c>
      <c r="L104" s="646">
        <v>0</v>
      </c>
      <c r="M104" s="646">
        <v>0</v>
      </c>
      <c r="N104" s="495">
        <v>0</v>
      </c>
      <c r="O104" s="495">
        <v>0</v>
      </c>
      <c r="P104" s="495">
        <v>0</v>
      </c>
      <c r="Q104" s="495">
        <v>0</v>
      </c>
      <c r="R104" s="495">
        <v>113</v>
      </c>
    </row>
    <row r="105" spans="8:18" ht="14.4">
      <c r="H105" s="665">
        <v>134</v>
      </c>
      <c r="I105" s="646">
        <v>0</v>
      </c>
      <c r="J105" s="646">
        <v>0</v>
      </c>
      <c r="K105" s="646">
        <v>0</v>
      </c>
      <c r="L105" s="646">
        <v>0</v>
      </c>
      <c r="M105" s="646">
        <v>0</v>
      </c>
      <c r="N105" s="495">
        <v>0</v>
      </c>
      <c r="O105" s="495">
        <v>0</v>
      </c>
      <c r="P105" s="495">
        <v>0</v>
      </c>
      <c r="Q105" s="495">
        <v>0</v>
      </c>
      <c r="R105" s="495">
        <v>134</v>
      </c>
    </row>
    <row r="106" spans="8:18" ht="14.4">
      <c r="H106" s="665">
        <v>135</v>
      </c>
      <c r="I106" s="646">
        <v>135</v>
      </c>
      <c r="J106" s="646">
        <v>0</v>
      </c>
      <c r="K106" s="646">
        <v>0</v>
      </c>
      <c r="L106" s="646">
        <v>0</v>
      </c>
      <c r="M106" s="646">
        <v>0</v>
      </c>
      <c r="N106" s="495">
        <v>0</v>
      </c>
      <c r="O106" s="495">
        <v>0</v>
      </c>
      <c r="P106" s="495">
        <v>0</v>
      </c>
      <c r="Q106" s="495">
        <v>0</v>
      </c>
      <c r="R106" s="495">
        <v>0</v>
      </c>
    </row>
    <row r="107" spans="8:18" ht="14.4">
      <c r="H107" s="665">
        <v>181</v>
      </c>
      <c r="I107" s="646">
        <v>0</v>
      </c>
      <c r="J107" s="646">
        <v>0</v>
      </c>
      <c r="K107" s="646">
        <v>0</v>
      </c>
      <c r="L107" s="646">
        <v>181</v>
      </c>
      <c r="M107" s="646">
        <v>0</v>
      </c>
      <c r="N107" s="495">
        <v>0</v>
      </c>
      <c r="O107" s="495">
        <v>0</v>
      </c>
      <c r="P107" s="495">
        <v>0</v>
      </c>
      <c r="Q107" s="495">
        <v>0</v>
      </c>
      <c r="R107" s="495">
        <v>0</v>
      </c>
    </row>
    <row r="108" spans="8:18">
      <c r="H108" s="638" t="s">
        <v>716</v>
      </c>
      <c r="I108" s="638">
        <f>SUM(I3:I107)</f>
        <v>35570</v>
      </c>
      <c r="J108" s="638">
        <f t="shared" ref="J108:R108" si="4">SUM(J3:J107)</f>
        <v>203</v>
      </c>
      <c r="K108" s="638">
        <f t="shared" si="4"/>
        <v>0</v>
      </c>
      <c r="L108" s="638">
        <f t="shared" si="4"/>
        <v>4080</v>
      </c>
      <c r="M108" s="638">
        <f t="shared" si="4"/>
        <v>16</v>
      </c>
      <c r="N108" s="638">
        <f t="shared" si="4"/>
        <v>0</v>
      </c>
      <c r="O108" s="638">
        <f t="shared" si="4"/>
        <v>1331</v>
      </c>
      <c r="P108" s="638">
        <f t="shared" si="4"/>
        <v>10</v>
      </c>
      <c r="Q108" s="638">
        <f t="shared" si="4"/>
        <v>0</v>
      </c>
      <c r="R108" s="638">
        <f t="shared" si="4"/>
        <v>1330</v>
      </c>
    </row>
    <row r="110" spans="8:18">
      <c r="I110" s="28"/>
    </row>
    <row r="115" spans="8:12" ht="14.4">
      <c r="H115" s="614"/>
      <c r="I115" s="614"/>
      <c r="J115" s="614"/>
      <c r="K115" s="614"/>
      <c r="L115" s="61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17:F26 C28:F34 D27:F27" formulaRange="1"/>
  </ignoredError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-0.249977111117893"/>
    <pageSetUpPr fitToPage="1"/>
  </sheetPr>
  <dimension ref="A1:X37"/>
  <sheetViews>
    <sheetView showGridLines="0" zoomScale="170" zoomScaleNormal="170" zoomScalePageLayoutView="90" workbookViewId="0">
      <pane xSplit="1" ySplit="3" topLeftCell="O4" activePane="bottomRight" state="frozen"/>
      <selection activeCell="L3" sqref="L3:L108"/>
      <selection pane="topRight" activeCell="L3" sqref="L3:L108"/>
      <selection pane="bottomLeft" activeCell="L3" sqref="L3:L108"/>
      <selection pane="bottomRight" activeCell="V6" sqref="V6"/>
    </sheetView>
  </sheetViews>
  <sheetFormatPr defaultColWidth="11.44140625" defaultRowHeight="15" customHeight="1"/>
  <cols>
    <col min="1" max="1" width="8" style="25" customWidth="1"/>
    <col min="2" max="2" width="18.109375" style="25" customWidth="1"/>
    <col min="3" max="3" width="16.77734375" style="25" customWidth="1"/>
    <col min="4" max="4" width="14.77734375" style="25" customWidth="1"/>
    <col min="5" max="5" width="16" style="25" customWidth="1"/>
    <col min="6" max="6" width="21.109375" style="25" customWidth="1"/>
    <col min="7" max="8" width="17.44140625" style="25" customWidth="1"/>
    <col min="9" max="9" width="20.77734375" style="25" customWidth="1"/>
    <col min="10" max="10" width="1.77734375" style="25" customWidth="1"/>
    <col min="11" max="11" width="17.109375" style="25" bestFit="1" customWidth="1"/>
    <col min="12" max="12" width="22" style="25" customWidth="1"/>
    <col min="13" max="14" width="24.109375" style="25" customWidth="1"/>
    <col min="15" max="15" width="18.77734375" style="25" customWidth="1"/>
    <col min="16" max="16" width="20.77734375" style="25" customWidth="1"/>
    <col min="17" max="17" width="2.109375" style="77" customWidth="1"/>
    <col min="18" max="18" width="20.109375" style="77" customWidth="1"/>
    <col min="19" max="19" width="5" style="77" customWidth="1"/>
    <col min="20" max="20" width="15.33203125" style="77" customWidth="1"/>
    <col min="21" max="21" width="11.44140625" style="77"/>
    <col min="22" max="22" width="19.33203125" style="77" bestFit="1" customWidth="1"/>
    <col min="23" max="24" width="11.44140625" style="77"/>
    <col min="25" max="240" width="11.44140625" style="25"/>
    <col min="241" max="241" width="8" style="25" customWidth="1"/>
    <col min="242" max="244" width="20.44140625" style="25" customWidth="1"/>
    <col min="245" max="245" width="17.44140625" style="25" bestFit="1" customWidth="1"/>
    <col min="246" max="246" width="20.44140625" style="25" customWidth="1"/>
    <col min="247" max="250" width="19.44140625" style="25" customWidth="1"/>
    <col min="251" max="251" width="11.44140625" style="25"/>
    <col min="252" max="252" width="15.44140625" style="25" bestFit="1" customWidth="1"/>
    <col min="253" max="256" width="14.44140625" style="25" customWidth="1"/>
    <col min="257" max="258" width="12.44140625" style="25" bestFit="1" customWidth="1"/>
    <col min="259" max="496" width="11.44140625" style="25"/>
    <col min="497" max="497" width="8" style="25" customWidth="1"/>
    <col min="498" max="500" width="20.44140625" style="25" customWidth="1"/>
    <col min="501" max="501" width="17.44140625" style="25" bestFit="1" customWidth="1"/>
    <col min="502" max="502" width="20.44140625" style="25" customWidth="1"/>
    <col min="503" max="506" width="19.44140625" style="25" customWidth="1"/>
    <col min="507" max="507" width="11.44140625" style="25"/>
    <col min="508" max="508" width="15.44140625" style="25" bestFit="1" customWidth="1"/>
    <col min="509" max="512" width="14.44140625" style="25" customWidth="1"/>
    <col min="513" max="514" width="12.44140625" style="25" bestFit="1" customWidth="1"/>
    <col min="515" max="752" width="11.44140625" style="25"/>
    <col min="753" max="753" width="8" style="25" customWidth="1"/>
    <col min="754" max="756" width="20.44140625" style="25" customWidth="1"/>
    <col min="757" max="757" width="17.44140625" style="25" bestFit="1" customWidth="1"/>
    <col min="758" max="758" width="20.44140625" style="25" customWidth="1"/>
    <col min="759" max="762" width="19.44140625" style="25" customWidth="1"/>
    <col min="763" max="763" width="11.44140625" style="25"/>
    <col min="764" max="764" width="15.44140625" style="25" bestFit="1" customWidth="1"/>
    <col min="765" max="768" width="14.44140625" style="25" customWidth="1"/>
    <col min="769" max="770" width="12.44140625" style="25" bestFit="1" customWidth="1"/>
    <col min="771" max="1008" width="11.44140625" style="25"/>
    <col min="1009" max="1009" width="8" style="25" customWidth="1"/>
    <col min="1010" max="1012" width="20.44140625" style="25" customWidth="1"/>
    <col min="1013" max="1013" width="17.44140625" style="25" bestFit="1" customWidth="1"/>
    <col min="1014" max="1014" width="20.44140625" style="25" customWidth="1"/>
    <col min="1015" max="1018" width="19.44140625" style="25" customWidth="1"/>
    <col min="1019" max="1019" width="11.44140625" style="25"/>
    <col min="1020" max="1020" width="15.44140625" style="25" bestFit="1" customWidth="1"/>
    <col min="1021" max="1024" width="14.44140625" style="25" customWidth="1"/>
    <col min="1025" max="1026" width="12.44140625" style="25" bestFit="1" customWidth="1"/>
    <col min="1027" max="1264" width="11.44140625" style="25"/>
    <col min="1265" max="1265" width="8" style="25" customWidth="1"/>
    <col min="1266" max="1268" width="20.44140625" style="25" customWidth="1"/>
    <col min="1269" max="1269" width="17.44140625" style="25" bestFit="1" customWidth="1"/>
    <col min="1270" max="1270" width="20.44140625" style="25" customWidth="1"/>
    <col min="1271" max="1274" width="19.44140625" style="25" customWidth="1"/>
    <col min="1275" max="1275" width="11.44140625" style="25"/>
    <col min="1276" max="1276" width="15.44140625" style="25" bestFit="1" customWidth="1"/>
    <col min="1277" max="1280" width="14.44140625" style="25" customWidth="1"/>
    <col min="1281" max="1282" width="12.44140625" style="25" bestFit="1" customWidth="1"/>
    <col min="1283" max="1520" width="11.44140625" style="25"/>
    <col min="1521" max="1521" width="8" style="25" customWidth="1"/>
    <col min="1522" max="1524" width="20.44140625" style="25" customWidth="1"/>
    <col min="1525" max="1525" width="17.44140625" style="25" bestFit="1" customWidth="1"/>
    <col min="1526" max="1526" width="20.44140625" style="25" customWidth="1"/>
    <col min="1527" max="1530" width="19.44140625" style="25" customWidth="1"/>
    <col min="1531" max="1531" width="11.44140625" style="25"/>
    <col min="1532" max="1532" width="15.44140625" style="25" bestFit="1" customWidth="1"/>
    <col min="1533" max="1536" width="14.44140625" style="25" customWidth="1"/>
    <col min="1537" max="1538" width="12.44140625" style="25" bestFit="1" customWidth="1"/>
    <col min="1539" max="1776" width="11.44140625" style="25"/>
    <col min="1777" max="1777" width="8" style="25" customWidth="1"/>
    <col min="1778" max="1780" width="20.44140625" style="25" customWidth="1"/>
    <col min="1781" max="1781" width="17.44140625" style="25" bestFit="1" customWidth="1"/>
    <col min="1782" max="1782" width="20.44140625" style="25" customWidth="1"/>
    <col min="1783" max="1786" width="19.44140625" style="25" customWidth="1"/>
    <col min="1787" max="1787" width="11.44140625" style="25"/>
    <col min="1788" max="1788" width="15.44140625" style="25" bestFit="1" customWidth="1"/>
    <col min="1789" max="1792" width="14.44140625" style="25" customWidth="1"/>
    <col min="1793" max="1794" width="12.44140625" style="25" bestFit="1" customWidth="1"/>
    <col min="1795" max="2032" width="11.44140625" style="25"/>
    <col min="2033" max="2033" width="8" style="25" customWidth="1"/>
    <col min="2034" max="2036" width="20.44140625" style="25" customWidth="1"/>
    <col min="2037" max="2037" width="17.44140625" style="25" bestFit="1" customWidth="1"/>
    <col min="2038" max="2038" width="20.44140625" style="25" customWidth="1"/>
    <col min="2039" max="2042" width="19.44140625" style="25" customWidth="1"/>
    <col min="2043" max="2043" width="11.44140625" style="25"/>
    <col min="2044" max="2044" width="15.44140625" style="25" bestFit="1" customWidth="1"/>
    <col min="2045" max="2048" width="14.44140625" style="25" customWidth="1"/>
    <col min="2049" max="2050" width="12.44140625" style="25" bestFit="1" customWidth="1"/>
    <col min="2051" max="2288" width="11.44140625" style="25"/>
    <col min="2289" max="2289" width="8" style="25" customWidth="1"/>
    <col min="2290" max="2292" width="20.44140625" style="25" customWidth="1"/>
    <col min="2293" max="2293" width="17.44140625" style="25" bestFit="1" customWidth="1"/>
    <col min="2294" max="2294" width="20.44140625" style="25" customWidth="1"/>
    <col min="2295" max="2298" width="19.44140625" style="25" customWidth="1"/>
    <col min="2299" max="2299" width="11.44140625" style="25"/>
    <col min="2300" max="2300" width="15.44140625" style="25" bestFit="1" customWidth="1"/>
    <col min="2301" max="2304" width="14.44140625" style="25" customWidth="1"/>
    <col min="2305" max="2306" width="12.44140625" style="25" bestFit="1" customWidth="1"/>
    <col min="2307" max="2544" width="11.44140625" style="25"/>
    <col min="2545" max="2545" width="8" style="25" customWidth="1"/>
    <col min="2546" max="2548" width="20.44140625" style="25" customWidth="1"/>
    <col min="2549" max="2549" width="17.44140625" style="25" bestFit="1" customWidth="1"/>
    <col min="2550" max="2550" width="20.44140625" style="25" customWidth="1"/>
    <col min="2551" max="2554" width="19.44140625" style="25" customWidth="1"/>
    <col min="2555" max="2555" width="11.44140625" style="25"/>
    <col min="2556" max="2556" width="15.44140625" style="25" bestFit="1" customWidth="1"/>
    <col min="2557" max="2560" width="14.44140625" style="25" customWidth="1"/>
    <col min="2561" max="2562" width="12.44140625" style="25" bestFit="1" customWidth="1"/>
    <col min="2563" max="2800" width="11.44140625" style="25"/>
    <col min="2801" max="2801" width="8" style="25" customWidth="1"/>
    <col min="2802" max="2804" width="20.44140625" style="25" customWidth="1"/>
    <col min="2805" max="2805" width="17.44140625" style="25" bestFit="1" customWidth="1"/>
    <col min="2806" max="2806" width="20.44140625" style="25" customWidth="1"/>
    <col min="2807" max="2810" width="19.44140625" style="25" customWidth="1"/>
    <col min="2811" max="2811" width="11.44140625" style="25"/>
    <col min="2812" max="2812" width="15.44140625" style="25" bestFit="1" customWidth="1"/>
    <col min="2813" max="2816" width="14.44140625" style="25" customWidth="1"/>
    <col min="2817" max="2818" width="12.44140625" style="25" bestFit="1" customWidth="1"/>
    <col min="2819" max="3056" width="11.44140625" style="25"/>
    <col min="3057" max="3057" width="8" style="25" customWidth="1"/>
    <col min="3058" max="3060" width="20.44140625" style="25" customWidth="1"/>
    <col min="3061" max="3061" width="17.44140625" style="25" bestFit="1" customWidth="1"/>
    <col min="3062" max="3062" width="20.44140625" style="25" customWidth="1"/>
    <col min="3063" max="3066" width="19.44140625" style="25" customWidth="1"/>
    <col min="3067" max="3067" width="11.44140625" style="25"/>
    <col min="3068" max="3068" width="15.44140625" style="25" bestFit="1" customWidth="1"/>
    <col min="3069" max="3072" width="14.44140625" style="25" customWidth="1"/>
    <col min="3073" max="3074" width="12.44140625" style="25" bestFit="1" customWidth="1"/>
    <col min="3075" max="3312" width="11.44140625" style="25"/>
    <col min="3313" max="3313" width="8" style="25" customWidth="1"/>
    <col min="3314" max="3316" width="20.44140625" style="25" customWidth="1"/>
    <col min="3317" max="3317" width="17.44140625" style="25" bestFit="1" customWidth="1"/>
    <col min="3318" max="3318" width="20.44140625" style="25" customWidth="1"/>
    <col min="3319" max="3322" width="19.44140625" style="25" customWidth="1"/>
    <col min="3323" max="3323" width="11.44140625" style="25"/>
    <col min="3324" max="3324" width="15.44140625" style="25" bestFit="1" customWidth="1"/>
    <col min="3325" max="3328" width="14.44140625" style="25" customWidth="1"/>
    <col min="3329" max="3330" width="12.44140625" style="25" bestFit="1" customWidth="1"/>
    <col min="3331" max="3568" width="11.44140625" style="25"/>
    <col min="3569" max="3569" width="8" style="25" customWidth="1"/>
    <col min="3570" max="3572" width="20.44140625" style="25" customWidth="1"/>
    <col min="3573" max="3573" width="17.44140625" style="25" bestFit="1" customWidth="1"/>
    <col min="3574" max="3574" width="20.44140625" style="25" customWidth="1"/>
    <col min="3575" max="3578" width="19.44140625" style="25" customWidth="1"/>
    <col min="3579" max="3579" width="11.44140625" style="25"/>
    <col min="3580" max="3580" width="15.44140625" style="25" bestFit="1" customWidth="1"/>
    <col min="3581" max="3584" width="14.44140625" style="25" customWidth="1"/>
    <col min="3585" max="3586" width="12.44140625" style="25" bestFit="1" customWidth="1"/>
    <col min="3587" max="3824" width="11.44140625" style="25"/>
    <col min="3825" max="3825" width="8" style="25" customWidth="1"/>
    <col min="3826" max="3828" width="20.44140625" style="25" customWidth="1"/>
    <col min="3829" max="3829" width="17.44140625" style="25" bestFit="1" customWidth="1"/>
    <col min="3830" max="3830" width="20.44140625" style="25" customWidth="1"/>
    <col min="3831" max="3834" width="19.44140625" style="25" customWidth="1"/>
    <col min="3835" max="3835" width="11.44140625" style="25"/>
    <col min="3836" max="3836" width="15.44140625" style="25" bestFit="1" customWidth="1"/>
    <col min="3837" max="3840" width="14.44140625" style="25" customWidth="1"/>
    <col min="3841" max="3842" width="12.44140625" style="25" bestFit="1" customWidth="1"/>
    <col min="3843" max="4080" width="11.44140625" style="25"/>
    <col min="4081" max="4081" width="8" style="25" customWidth="1"/>
    <col min="4082" max="4084" width="20.44140625" style="25" customWidth="1"/>
    <col min="4085" max="4085" width="17.44140625" style="25" bestFit="1" customWidth="1"/>
    <col min="4086" max="4086" width="20.44140625" style="25" customWidth="1"/>
    <col min="4087" max="4090" width="19.44140625" style="25" customWidth="1"/>
    <col min="4091" max="4091" width="11.44140625" style="25"/>
    <col min="4092" max="4092" width="15.44140625" style="25" bestFit="1" customWidth="1"/>
    <col min="4093" max="4096" width="14.44140625" style="25" customWidth="1"/>
    <col min="4097" max="4098" width="12.44140625" style="25" bestFit="1" customWidth="1"/>
    <col min="4099" max="4336" width="11.44140625" style="25"/>
    <col min="4337" max="4337" width="8" style="25" customWidth="1"/>
    <col min="4338" max="4340" width="20.44140625" style="25" customWidth="1"/>
    <col min="4341" max="4341" width="17.44140625" style="25" bestFit="1" customWidth="1"/>
    <col min="4342" max="4342" width="20.44140625" style="25" customWidth="1"/>
    <col min="4343" max="4346" width="19.44140625" style="25" customWidth="1"/>
    <col min="4347" max="4347" width="11.44140625" style="25"/>
    <col min="4348" max="4348" width="15.44140625" style="25" bestFit="1" customWidth="1"/>
    <col min="4349" max="4352" width="14.44140625" style="25" customWidth="1"/>
    <col min="4353" max="4354" width="12.44140625" style="25" bestFit="1" customWidth="1"/>
    <col min="4355" max="4592" width="11.44140625" style="25"/>
    <col min="4593" max="4593" width="8" style="25" customWidth="1"/>
    <col min="4594" max="4596" width="20.44140625" style="25" customWidth="1"/>
    <col min="4597" max="4597" width="17.44140625" style="25" bestFit="1" customWidth="1"/>
    <col min="4598" max="4598" width="20.44140625" style="25" customWidth="1"/>
    <col min="4599" max="4602" width="19.44140625" style="25" customWidth="1"/>
    <col min="4603" max="4603" width="11.44140625" style="25"/>
    <col min="4604" max="4604" width="15.44140625" style="25" bestFit="1" customWidth="1"/>
    <col min="4605" max="4608" width="14.44140625" style="25" customWidth="1"/>
    <col min="4609" max="4610" width="12.44140625" style="25" bestFit="1" customWidth="1"/>
    <col min="4611" max="4848" width="11.44140625" style="25"/>
    <col min="4849" max="4849" width="8" style="25" customWidth="1"/>
    <col min="4850" max="4852" width="20.44140625" style="25" customWidth="1"/>
    <col min="4853" max="4853" width="17.44140625" style="25" bestFit="1" customWidth="1"/>
    <col min="4854" max="4854" width="20.44140625" style="25" customWidth="1"/>
    <col min="4855" max="4858" width="19.44140625" style="25" customWidth="1"/>
    <col min="4859" max="4859" width="11.44140625" style="25"/>
    <col min="4860" max="4860" width="15.44140625" style="25" bestFit="1" customWidth="1"/>
    <col min="4861" max="4864" width="14.44140625" style="25" customWidth="1"/>
    <col min="4865" max="4866" width="12.44140625" style="25" bestFit="1" customWidth="1"/>
    <col min="4867" max="5104" width="11.44140625" style="25"/>
    <col min="5105" max="5105" width="8" style="25" customWidth="1"/>
    <col min="5106" max="5108" width="20.44140625" style="25" customWidth="1"/>
    <col min="5109" max="5109" width="17.44140625" style="25" bestFit="1" customWidth="1"/>
    <col min="5110" max="5110" width="20.44140625" style="25" customWidth="1"/>
    <col min="5111" max="5114" width="19.44140625" style="25" customWidth="1"/>
    <col min="5115" max="5115" width="11.44140625" style="25"/>
    <col min="5116" max="5116" width="15.44140625" style="25" bestFit="1" customWidth="1"/>
    <col min="5117" max="5120" width="14.44140625" style="25" customWidth="1"/>
    <col min="5121" max="5122" width="12.44140625" style="25" bestFit="1" customWidth="1"/>
    <col min="5123" max="5360" width="11.44140625" style="25"/>
    <col min="5361" max="5361" width="8" style="25" customWidth="1"/>
    <col min="5362" max="5364" width="20.44140625" style="25" customWidth="1"/>
    <col min="5365" max="5365" width="17.44140625" style="25" bestFit="1" customWidth="1"/>
    <col min="5366" max="5366" width="20.44140625" style="25" customWidth="1"/>
    <col min="5367" max="5370" width="19.44140625" style="25" customWidth="1"/>
    <col min="5371" max="5371" width="11.44140625" style="25"/>
    <col min="5372" max="5372" width="15.44140625" style="25" bestFit="1" customWidth="1"/>
    <col min="5373" max="5376" width="14.44140625" style="25" customWidth="1"/>
    <col min="5377" max="5378" width="12.44140625" style="25" bestFit="1" customWidth="1"/>
    <col min="5379" max="5616" width="11.44140625" style="25"/>
    <col min="5617" max="5617" width="8" style="25" customWidth="1"/>
    <col min="5618" max="5620" width="20.44140625" style="25" customWidth="1"/>
    <col min="5621" max="5621" width="17.44140625" style="25" bestFit="1" customWidth="1"/>
    <col min="5622" max="5622" width="20.44140625" style="25" customWidth="1"/>
    <col min="5623" max="5626" width="19.44140625" style="25" customWidth="1"/>
    <col min="5627" max="5627" width="11.44140625" style="25"/>
    <col min="5628" max="5628" width="15.44140625" style="25" bestFit="1" customWidth="1"/>
    <col min="5629" max="5632" width="14.44140625" style="25" customWidth="1"/>
    <col min="5633" max="5634" width="12.44140625" style="25" bestFit="1" customWidth="1"/>
    <col min="5635" max="5872" width="11.44140625" style="25"/>
    <col min="5873" max="5873" width="8" style="25" customWidth="1"/>
    <col min="5874" max="5876" width="20.44140625" style="25" customWidth="1"/>
    <col min="5877" max="5877" width="17.44140625" style="25" bestFit="1" customWidth="1"/>
    <col min="5878" max="5878" width="20.44140625" style="25" customWidth="1"/>
    <col min="5879" max="5882" width="19.44140625" style="25" customWidth="1"/>
    <col min="5883" max="5883" width="11.44140625" style="25"/>
    <col min="5884" max="5884" width="15.44140625" style="25" bestFit="1" customWidth="1"/>
    <col min="5885" max="5888" width="14.44140625" style="25" customWidth="1"/>
    <col min="5889" max="5890" width="12.44140625" style="25" bestFit="1" customWidth="1"/>
    <col min="5891" max="6128" width="11.44140625" style="25"/>
    <col min="6129" max="6129" width="8" style="25" customWidth="1"/>
    <col min="6130" max="6132" width="20.44140625" style="25" customWidth="1"/>
    <col min="6133" max="6133" width="17.44140625" style="25" bestFit="1" customWidth="1"/>
    <col min="6134" max="6134" width="20.44140625" style="25" customWidth="1"/>
    <col min="6135" max="6138" width="19.44140625" style="25" customWidth="1"/>
    <col min="6139" max="6139" width="11.44140625" style="25"/>
    <col min="6140" max="6140" width="15.44140625" style="25" bestFit="1" customWidth="1"/>
    <col min="6141" max="6144" width="14.44140625" style="25" customWidth="1"/>
    <col min="6145" max="6146" width="12.44140625" style="25" bestFit="1" customWidth="1"/>
    <col min="6147" max="6384" width="11.44140625" style="25"/>
    <col min="6385" max="6385" width="8" style="25" customWidth="1"/>
    <col min="6386" max="6388" width="20.44140625" style="25" customWidth="1"/>
    <col min="6389" max="6389" width="17.44140625" style="25" bestFit="1" customWidth="1"/>
    <col min="6390" max="6390" width="20.44140625" style="25" customWidth="1"/>
    <col min="6391" max="6394" width="19.44140625" style="25" customWidth="1"/>
    <col min="6395" max="6395" width="11.44140625" style="25"/>
    <col min="6396" max="6396" width="15.44140625" style="25" bestFit="1" customWidth="1"/>
    <col min="6397" max="6400" width="14.44140625" style="25" customWidth="1"/>
    <col min="6401" max="6402" width="12.44140625" style="25" bestFit="1" customWidth="1"/>
    <col min="6403" max="6640" width="11.44140625" style="25"/>
    <col min="6641" max="6641" width="8" style="25" customWidth="1"/>
    <col min="6642" max="6644" width="20.44140625" style="25" customWidth="1"/>
    <col min="6645" max="6645" width="17.44140625" style="25" bestFit="1" customWidth="1"/>
    <col min="6646" max="6646" width="20.44140625" style="25" customWidth="1"/>
    <col min="6647" max="6650" width="19.44140625" style="25" customWidth="1"/>
    <col min="6651" max="6651" width="11.44140625" style="25"/>
    <col min="6652" max="6652" width="15.44140625" style="25" bestFit="1" customWidth="1"/>
    <col min="6653" max="6656" width="14.44140625" style="25" customWidth="1"/>
    <col min="6657" max="6658" width="12.44140625" style="25" bestFit="1" customWidth="1"/>
    <col min="6659" max="6896" width="11.44140625" style="25"/>
    <col min="6897" max="6897" width="8" style="25" customWidth="1"/>
    <col min="6898" max="6900" width="20.44140625" style="25" customWidth="1"/>
    <col min="6901" max="6901" width="17.44140625" style="25" bestFit="1" customWidth="1"/>
    <col min="6902" max="6902" width="20.44140625" style="25" customWidth="1"/>
    <col min="6903" max="6906" width="19.44140625" style="25" customWidth="1"/>
    <col min="6907" max="6907" width="11.44140625" style="25"/>
    <col min="6908" max="6908" width="15.44140625" style="25" bestFit="1" customWidth="1"/>
    <col min="6909" max="6912" width="14.44140625" style="25" customWidth="1"/>
    <col min="6913" max="6914" width="12.44140625" style="25" bestFit="1" customWidth="1"/>
    <col min="6915" max="7152" width="11.44140625" style="25"/>
    <col min="7153" max="7153" width="8" style="25" customWidth="1"/>
    <col min="7154" max="7156" width="20.44140625" style="25" customWidth="1"/>
    <col min="7157" max="7157" width="17.44140625" style="25" bestFit="1" customWidth="1"/>
    <col min="7158" max="7158" width="20.44140625" style="25" customWidth="1"/>
    <col min="7159" max="7162" width="19.44140625" style="25" customWidth="1"/>
    <col min="7163" max="7163" width="11.44140625" style="25"/>
    <col min="7164" max="7164" width="15.44140625" style="25" bestFit="1" customWidth="1"/>
    <col min="7165" max="7168" width="14.44140625" style="25" customWidth="1"/>
    <col min="7169" max="7170" width="12.44140625" style="25" bestFit="1" customWidth="1"/>
    <col min="7171" max="7408" width="11.44140625" style="25"/>
    <col min="7409" max="7409" width="8" style="25" customWidth="1"/>
    <col min="7410" max="7412" width="20.44140625" style="25" customWidth="1"/>
    <col min="7413" max="7413" width="17.44140625" style="25" bestFit="1" customWidth="1"/>
    <col min="7414" max="7414" width="20.44140625" style="25" customWidth="1"/>
    <col min="7415" max="7418" width="19.44140625" style="25" customWidth="1"/>
    <col min="7419" max="7419" width="11.44140625" style="25"/>
    <col min="7420" max="7420" width="15.44140625" style="25" bestFit="1" customWidth="1"/>
    <col min="7421" max="7424" width="14.44140625" style="25" customWidth="1"/>
    <col min="7425" max="7426" width="12.44140625" style="25" bestFit="1" customWidth="1"/>
    <col min="7427" max="7664" width="11.44140625" style="25"/>
    <col min="7665" max="7665" width="8" style="25" customWidth="1"/>
    <col min="7666" max="7668" width="20.44140625" style="25" customWidth="1"/>
    <col min="7669" max="7669" width="17.44140625" style="25" bestFit="1" customWidth="1"/>
    <col min="7670" max="7670" width="20.44140625" style="25" customWidth="1"/>
    <col min="7671" max="7674" width="19.44140625" style="25" customWidth="1"/>
    <col min="7675" max="7675" width="11.44140625" style="25"/>
    <col min="7676" max="7676" width="15.44140625" style="25" bestFit="1" customWidth="1"/>
    <col min="7677" max="7680" width="14.44140625" style="25" customWidth="1"/>
    <col min="7681" max="7682" width="12.44140625" style="25" bestFit="1" customWidth="1"/>
    <col min="7683" max="7920" width="11.44140625" style="25"/>
    <col min="7921" max="7921" width="8" style="25" customWidth="1"/>
    <col min="7922" max="7924" width="20.44140625" style="25" customWidth="1"/>
    <col min="7925" max="7925" width="17.44140625" style="25" bestFit="1" customWidth="1"/>
    <col min="7926" max="7926" width="20.44140625" style="25" customWidth="1"/>
    <col min="7927" max="7930" width="19.44140625" style="25" customWidth="1"/>
    <col min="7931" max="7931" width="11.44140625" style="25"/>
    <col min="7932" max="7932" width="15.44140625" style="25" bestFit="1" customWidth="1"/>
    <col min="7933" max="7936" width="14.44140625" style="25" customWidth="1"/>
    <col min="7937" max="7938" width="12.44140625" style="25" bestFit="1" customWidth="1"/>
    <col min="7939" max="8176" width="11.44140625" style="25"/>
    <col min="8177" max="8177" width="8" style="25" customWidth="1"/>
    <col min="8178" max="8180" width="20.44140625" style="25" customWidth="1"/>
    <col min="8181" max="8181" width="17.44140625" style="25" bestFit="1" customWidth="1"/>
    <col min="8182" max="8182" width="20.44140625" style="25" customWidth="1"/>
    <col min="8183" max="8186" width="19.44140625" style="25" customWidth="1"/>
    <col min="8187" max="8187" width="11.44140625" style="25"/>
    <col min="8188" max="8188" width="15.44140625" style="25" bestFit="1" customWidth="1"/>
    <col min="8189" max="8192" width="14.44140625" style="25" customWidth="1"/>
    <col min="8193" max="8194" width="12.44140625" style="25" bestFit="1" customWidth="1"/>
    <col min="8195" max="8432" width="11.44140625" style="25"/>
    <col min="8433" max="8433" width="8" style="25" customWidth="1"/>
    <col min="8434" max="8436" width="20.44140625" style="25" customWidth="1"/>
    <col min="8437" max="8437" width="17.44140625" style="25" bestFit="1" customWidth="1"/>
    <col min="8438" max="8438" width="20.44140625" style="25" customWidth="1"/>
    <col min="8439" max="8442" width="19.44140625" style="25" customWidth="1"/>
    <col min="8443" max="8443" width="11.44140625" style="25"/>
    <col min="8444" max="8444" width="15.44140625" style="25" bestFit="1" customWidth="1"/>
    <col min="8445" max="8448" width="14.44140625" style="25" customWidth="1"/>
    <col min="8449" max="8450" width="12.44140625" style="25" bestFit="1" customWidth="1"/>
    <col min="8451" max="8688" width="11.44140625" style="25"/>
    <col min="8689" max="8689" width="8" style="25" customWidth="1"/>
    <col min="8690" max="8692" width="20.44140625" style="25" customWidth="1"/>
    <col min="8693" max="8693" width="17.44140625" style="25" bestFit="1" customWidth="1"/>
    <col min="8694" max="8694" width="20.44140625" style="25" customWidth="1"/>
    <col min="8695" max="8698" width="19.44140625" style="25" customWidth="1"/>
    <col min="8699" max="8699" width="11.44140625" style="25"/>
    <col min="8700" max="8700" width="15.44140625" style="25" bestFit="1" customWidth="1"/>
    <col min="8701" max="8704" width="14.44140625" style="25" customWidth="1"/>
    <col min="8705" max="8706" width="12.44140625" style="25" bestFit="1" customWidth="1"/>
    <col min="8707" max="8944" width="11.44140625" style="25"/>
    <col min="8945" max="8945" width="8" style="25" customWidth="1"/>
    <col min="8946" max="8948" width="20.44140625" style="25" customWidth="1"/>
    <col min="8949" max="8949" width="17.44140625" style="25" bestFit="1" customWidth="1"/>
    <col min="8950" max="8950" width="20.44140625" style="25" customWidth="1"/>
    <col min="8951" max="8954" width="19.44140625" style="25" customWidth="1"/>
    <col min="8955" max="8955" width="11.44140625" style="25"/>
    <col min="8956" max="8956" width="15.44140625" style="25" bestFit="1" customWidth="1"/>
    <col min="8957" max="8960" width="14.44140625" style="25" customWidth="1"/>
    <col min="8961" max="8962" width="12.44140625" style="25" bestFit="1" customWidth="1"/>
    <col min="8963" max="9200" width="11.44140625" style="25"/>
    <col min="9201" max="9201" width="8" style="25" customWidth="1"/>
    <col min="9202" max="9204" width="20.44140625" style="25" customWidth="1"/>
    <col min="9205" max="9205" width="17.44140625" style="25" bestFit="1" customWidth="1"/>
    <col min="9206" max="9206" width="20.44140625" style="25" customWidth="1"/>
    <col min="9207" max="9210" width="19.44140625" style="25" customWidth="1"/>
    <col min="9211" max="9211" width="11.44140625" style="25"/>
    <col min="9212" max="9212" width="15.44140625" style="25" bestFit="1" customWidth="1"/>
    <col min="9213" max="9216" width="14.44140625" style="25" customWidth="1"/>
    <col min="9217" max="9218" width="12.44140625" style="25" bestFit="1" customWidth="1"/>
    <col min="9219" max="9456" width="11.44140625" style="25"/>
    <col min="9457" max="9457" width="8" style="25" customWidth="1"/>
    <col min="9458" max="9460" width="20.44140625" style="25" customWidth="1"/>
    <col min="9461" max="9461" width="17.44140625" style="25" bestFit="1" customWidth="1"/>
    <col min="9462" max="9462" width="20.44140625" style="25" customWidth="1"/>
    <col min="9463" max="9466" width="19.44140625" style="25" customWidth="1"/>
    <col min="9467" max="9467" width="11.44140625" style="25"/>
    <col min="9468" max="9468" width="15.44140625" style="25" bestFit="1" customWidth="1"/>
    <col min="9469" max="9472" width="14.44140625" style="25" customWidth="1"/>
    <col min="9473" max="9474" width="12.44140625" style="25" bestFit="1" customWidth="1"/>
    <col min="9475" max="9712" width="11.44140625" style="25"/>
    <col min="9713" max="9713" width="8" style="25" customWidth="1"/>
    <col min="9714" max="9716" width="20.44140625" style="25" customWidth="1"/>
    <col min="9717" max="9717" width="17.44140625" style="25" bestFit="1" customWidth="1"/>
    <col min="9718" max="9718" width="20.44140625" style="25" customWidth="1"/>
    <col min="9719" max="9722" width="19.44140625" style="25" customWidth="1"/>
    <col min="9723" max="9723" width="11.44140625" style="25"/>
    <col min="9724" max="9724" width="15.44140625" style="25" bestFit="1" customWidth="1"/>
    <col min="9725" max="9728" width="14.44140625" style="25" customWidth="1"/>
    <col min="9729" max="9730" width="12.44140625" style="25" bestFit="1" customWidth="1"/>
    <col min="9731" max="9968" width="11.44140625" style="25"/>
    <col min="9969" max="9969" width="8" style="25" customWidth="1"/>
    <col min="9970" max="9972" width="20.44140625" style="25" customWidth="1"/>
    <col min="9973" max="9973" width="17.44140625" style="25" bestFit="1" customWidth="1"/>
    <col min="9974" max="9974" width="20.44140625" style="25" customWidth="1"/>
    <col min="9975" max="9978" width="19.44140625" style="25" customWidth="1"/>
    <col min="9979" max="9979" width="11.44140625" style="25"/>
    <col min="9980" max="9980" width="15.44140625" style="25" bestFit="1" customWidth="1"/>
    <col min="9981" max="9984" width="14.44140625" style="25" customWidth="1"/>
    <col min="9985" max="9986" width="12.44140625" style="25" bestFit="1" customWidth="1"/>
    <col min="9987" max="10224" width="11.44140625" style="25"/>
    <col min="10225" max="10225" width="8" style="25" customWidth="1"/>
    <col min="10226" max="10228" width="20.44140625" style="25" customWidth="1"/>
    <col min="10229" max="10229" width="17.44140625" style="25" bestFit="1" customWidth="1"/>
    <col min="10230" max="10230" width="20.44140625" style="25" customWidth="1"/>
    <col min="10231" max="10234" width="19.44140625" style="25" customWidth="1"/>
    <col min="10235" max="10235" width="11.44140625" style="25"/>
    <col min="10236" max="10236" width="15.44140625" style="25" bestFit="1" customWidth="1"/>
    <col min="10237" max="10240" width="14.44140625" style="25" customWidth="1"/>
    <col min="10241" max="10242" width="12.44140625" style="25" bestFit="1" customWidth="1"/>
    <col min="10243" max="10480" width="11.44140625" style="25"/>
    <col min="10481" max="10481" width="8" style="25" customWidth="1"/>
    <col min="10482" max="10484" width="20.44140625" style="25" customWidth="1"/>
    <col min="10485" max="10485" width="17.44140625" style="25" bestFit="1" customWidth="1"/>
    <col min="10486" max="10486" width="20.44140625" style="25" customWidth="1"/>
    <col min="10487" max="10490" width="19.44140625" style="25" customWidth="1"/>
    <col min="10491" max="10491" width="11.44140625" style="25"/>
    <col min="10492" max="10492" width="15.44140625" style="25" bestFit="1" customWidth="1"/>
    <col min="10493" max="10496" width="14.44140625" style="25" customWidth="1"/>
    <col min="10497" max="10498" width="12.44140625" style="25" bestFit="1" customWidth="1"/>
    <col min="10499" max="10736" width="11.44140625" style="25"/>
    <col min="10737" max="10737" width="8" style="25" customWidth="1"/>
    <col min="10738" max="10740" width="20.44140625" style="25" customWidth="1"/>
    <col min="10741" max="10741" width="17.44140625" style="25" bestFit="1" customWidth="1"/>
    <col min="10742" max="10742" width="20.44140625" style="25" customWidth="1"/>
    <col min="10743" max="10746" width="19.44140625" style="25" customWidth="1"/>
    <col min="10747" max="10747" width="11.44140625" style="25"/>
    <col min="10748" max="10748" width="15.44140625" style="25" bestFit="1" customWidth="1"/>
    <col min="10749" max="10752" width="14.44140625" style="25" customWidth="1"/>
    <col min="10753" max="10754" width="12.44140625" style="25" bestFit="1" customWidth="1"/>
    <col min="10755" max="10992" width="11.44140625" style="25"/>
    <col min="10993" max="10993" width="8" style="25" customWidth="1"/>
    <col min="10994" max="10996" width="20.44140625" style="25" customWidth="1"/>
    <col min="10997" max="10997" width="17.44140625" style="25" bestFit="1" customWidth="1"/>
    <col min="10998" max="10998" width="20.44140625" style="25" customWidth="1"/>
    <col min="10999" max="11002" width="19.44140625" style="25" customWidth="1"/>
    <col min="11003" max="11003" width="11.44140625" style="25"/>
    <col min="11004" max="11004" width="15.44140625" style="25" bestFit="1" customWidth="1"/>
    <col min="11005" max="11008" width="14.44140625" style="25" customWidth="1"/>
    <col min="11009" max="11010" width="12.44140625" style="25" bestFit="1" customWidth="1"/>
    <col min="11011" max="11248" width="11.44140625" style="25"/>
    <col min="11249" max="11249" width="8" style="25" customWidth="1"/>
    <col min="11250" max="11252" width="20.44140625" style="25" customWidth="1"/>
    <col min="11253" max="11253" width="17.44140625" style="25" bestFit="1" customWidth="1"/>
    <col min="11254" max="11254" width="20.44140625" style="25" customWidth="1"/>
    <col min="11255" max="11258" width="19.44140625" style="25" customWidth="1"/>
    <col min="11259" max="11259" width="11.44140625" style="25"/>
    <col min="11260" max="11260" width="15.44140625" style="25" bestFit="1" customWidth="1"/>
    <col min="11261" max="11264" width="14.44140625" style="25" customWidth="1"/>
    <col min="11265" max="11266" width="12.44140625" style="25" bestFit="1" customWidth="1"/>
    <col min="11267" max="11504" width="11.44140625" style="25"/>
    <col min="11505" max="11505" width="8" style="25" customWidth="1"/>
    <col min="11506" max="11508" width="20.44140625" style="25" customWidth="1"/>
    <col min="11509" max="11509" width="17.44140625" style="25" bestFit="1" customWidth="1"/>
    <col min="11510" max="11510" width="20.44140625" style="25" customWidth="1"/>
    <col min="11511" max="11514" width="19.44140625" style="25" customWidth="1"/>
    <col min="11515" max="11515" width="11.44140625" style="25"/>
    <col min="11516" max="11516" width="15.44140625" style="25" bestFit="1" customWidth="1"/>
    <col min="11517" max="11520" width="14.44140625" style="25" customWidth="1"/>
    <col min="11521" max="11522" width="12.44140625" style="25" bestFit="1" customWidth="1"/>
    <col min="11523" max="11760" width="11.44140625" style="25"/>
    <col min="11761" max="11761" width="8" style="25" customWidth="1"/>
    <col min="11762" max="11764" width="20.44140625" style="25" customWidth="1"/>
    <col min="11765" max="11765" width="17.44140625" style="25" bestFit="1" customWidth="1"/>
    <col min="11766" max="11766" width="20.44140625" style="25" customWidth="1"/>
    <col min="11767" max="11770" width="19.44140625" style="25" customWidth="1"/>
    <col min="11771" max="11771" width="11.44140625" style="25"/>
    <col min="11772" max="11772" width="15.44140625" style="25" bestFit="1" customWidth="1"/>
    <col min="11773" max="11776" width="14.44140625" style="25" customWidth="1"/>
    <col min="11777" max="11778" width="12.44140625" style="25" bestFit="1" customWidth="1"/>
    <col min="11779" max="12016" width="11.44140625" style="25"/>
    <col min="12017" max="12017" width="8" style="25" customWidth="1"/>
    <col min="12018" max="12020" width="20.44140625" style="25" customWidth="1"/>
    <col min="12021" max="12021" width="17.44140625" style="25" bestFit="1" customWidth="1"/>
    <col min="12022" max="12022" width="20.44140625" style="25" customWidth="1"/>
    <col min="12023" max="12026" width="19.44140625" style="25" customWidth="1"/>
    <col min="12027" max="12027" width="11.44140625" style="25"/>
    <col min="12028" max="12028" width="15.44140625" style="25" bestFit="1" customWidth="1"/>
    <col min="12029" max="12032" width="14.44140625" style="25" customWidth="1"/>
    <col min="12033" max="12034" width="12.44140625" style="25" bestFit="1" customWidth="1"/>
    <col min="12035" max="12272" width="11.44140625" style="25"/>
    <col min="12273" max="12273" width="8" style="25" customWidth="1"/>
    <col min="12274" max="12276" width="20.44140625" style="25" customWidth="1"/>
    <col min="12277" max="12277" width="17.44140625" style="25" bestFit="1" customWidth="1"/>
    <col min="12278" max="12278" width="20.44140625" style="25" customWidth="1"/>
    <col min="12279" max="12282" width="19.44140625" style="25" customWidth="1"/>
    <col min="12283" max="12283" width="11.44140625" style="25"/>
    <col min="12284" max="12284" width="15.44140625" style="25" bestFit="1" customWidth="1"/>
    <col min="12285" max="12288" width="14.44140625" style="25" customWidth="1"/>
    <col min="12289" max="12290" width="12.44140625" style="25" bestFit="1" customWidth="1"/>
    <col min="12291" max="12528" width="11.44140625" style="25"/>
    <col min="12529" max="12529" width="8" style="25" customWidth="1"/>
    <col min="12530" max="12532" width="20.44140625" style="25" customWidth="1"/>
    <col min="12533" max="12533" width="17.44140625" style="25" bestFit="1" customWidth="1"/>
    <col min="12534" max="12534" width="20.44140625" style="25" customWidth="1"/>
    <col min="12535" max="12538" width="19.44140625" style="25" customWidth="1"/>
    <col min="12539" max="12539" width="11.44140625" style="25"/>
    <col min="12540" max="12540" width="15.44140625" style="25" bestFit="1" customWidth="1"/>
    <col min="12541" max="12544" width="14.44140625" style="25" customWidth="1"/>
    <col min="12545" max="12546" width="12.44140625" style="25" bestFit="1" customWidth="1"/>
    <col min="12547" max="12784" width="11.44140625" style="25"/>
    <col min="12785" max="12785" width="8" style="25" customWidth="1"/>
    <col min="12786" max="12788" width="20.44140625" style="25" customWidth="1"/>
    <col min="12789" max="12789" width="17.44140625" style="25" bestFit="1" customWidth="1"/>
    <col min="12790" max="12790" width="20.44140625" style="25" customWidth="1"/>
    <col min="12791" max="12794" width="19.44140625" style="25" customWidth="1"/>
    <col min="12795" max="12795" width="11.44140625" style="25"/>
    <col min="12796" max="12796" width="15.44140625" style="25" bestFit="1" customWidth="1"/>
    <col min="12797" max="12800" width="14.44140625" style="25" customWidth="1"/>
    <col min="12801" max="12802" width="12.44140625" style="25" bestFit="1" customWidth="1"/>
    <col min="12803" max="13040" width="11.44140625" style="25"/>
    <col min="13041" max="13041" width="8" style="25" customWidth="1"/>
    <col min="13042" max="13044" width="20.44140625" style="25" customWidth="1"/>
    <col min="13045" max="13045" width="17.44140625" style="25" bestFit="1" customWidth="1"/>
    <col min="13046" max="13046" width="20.44140625" style="25" customWidth="1"/>
    <col min="13047" max="13050" width="19.44140625" style="25" customWidth="1"/>
    <col min="13051" max="13051" width="11.44140625" style="25"/>
    <col min="13052" max="13052" width="15.44140625" style="25" bestFit="1" customWidth="1"/>
    <col min="13053" max="13056" width="14.44140625" style="25" customWidth="1"/>
    <col min="13057" max="13058" width="12.44140625" style="25" bestFit="1" customWidth="1"/>
    <col min="13059" max="13296" width="11.44140625" style="25"/>
    <col min="13297" max="13297" width="8" style="25" customWidth="1"/>
    <col min="13298" max="13300" width="20.44140625" style="25" customWidth="1"/>
    <col min="13301" max="13301" width="17.44140625" style="25" bestFit="1" customWidth="1"/>
    <col min="13302" max="13302" width="20.44140625" style="25" customWidth="1"/>
    <col min="13303" max="13306" width="19.44140625" style="25" customWidth="1"/>
    <col min="13307" max="13307" width="11.44140625" style="25"/>
    <col min="13308" max="13308" width="15.44140625" style="25" bestFit="1" customWidth="1"/>
    <col min="13309" max="13312" width="14.44140625" style="25" customWidth="1"/>
    <col min="13313" max="13314" width="12.44140625" style="25" bestFit="1" customWidth="1"/>
    <col min="13315" max="13552" width="11.44140625" style="25"/>
    <col min="13553" max="13553" width="8" style="25" customWidth="1"/>
    <col min="13554" max="13556" width="20.44140625" style="25" customWidth="1"/>
    <col min="13557" max="13557" width="17.44140625" style="25" bestFit="1" customWidth="1"/>
    <col min="13558" max="13558" width="20.44140625" style="25" customWidth="1"/>
    <col min="13559" max="13562" width="19.44140625" style="25" customWidth="1"/>
    <col min="13563" max="13563" width="11.44140625" style="25"/>
    <col min="13564" max="13564" width="15.44140625" style="25" bestFit="1" customWidth="1"/>
    <col min="13565" max="13568" width="14.44140625" style="25" customWidth="1"/>
    <col min="13569" max="13570" width="12.44140625" style="25" bestFit="1" customWidth="1"/>
    <col min="13571" max="13808" width="11.44140625" style="25"/>
    <col min="13809" max="13809" width="8" style="25" customWidth="1"/>
    <col min="13810" max="13812" width="20.44140625" style="25" customWidth="1"/>
    <col min="13813" max="13813" width="17.44140625" style="25" bestFit="1" customWidth="1"/>
    <col min="13814" max="13814" width="20.44140625" style="25" customWidth="1"/>
    <col min="13815" max="13818" width="19.44140625" style="25" customWidth="1"/>
    <col min="13819" max="13819" width="11.44140625" style="25"/>
    <col min="13820" max="13820" width="15.44140625" style="25" bestFit="1" customWidth="1"/>
    <col min="13821" max="13824" width="14.44140625" style="25" customWidth="1"/>
    <col min="13825" max="13826" width="12.44140625" style="25" bestFit="1" customWidth="1"/>
    <col min="13827" max="14064" width="11.44140625" style="25"/>
    <col min="14065" max="14065" width="8" style="25" customWidth="1"/>
    <col min="14066" max="14068" width="20.44140625" style="25" customWidth="1"/>
    <col min="14069" max="14069" width="17.44140625" style="25" bestFit="1" customWidth="1"/>
    <col min="14070" max="14070" width="20.44140625" style="25" customWidth="1"/>
    <col min="14071" max="14074" width="19.44140625" style="25" customWidth="1"/>
    <col min="14075" max="14075" width="11.44140625" style="25"/>
    <col min="14076" max="14076" width="15.44140625" style="25" bestFit="1" customWidth="1"/>
    <col min="14077" max="14080" width="14.44140625" style="25" customWidth="1"/>
    <col min="14081" max="14082" width="12.44140625" style="25" bestFit="1" customWidth="1"/>
    <col min="14083" max="14320" width="11.44140625" style="25"/>
    <col min="14321" max="14321" width="8" style="25" customWidth="1"/>
    <col min="14322" max="14324" width="20.44140625" style="25" customWidth="1"/>
    <col min="14325" max="14325" width="17.44140625" style="25" bestFit="1" customWidth="1"/>
    <col min="14326" max="14326" width="20.44140625" style="25" customWidth="1"/>
    <col min="14327" max="14330" width="19.44140625" style="25" customWidth="1"/>
    <col min="14331" max="14331" width="11.44140625" style="25"/>
    <col min="14332" max="14332" width="15.44140625" style="25" bestFit="1" customWidth="1"/>
    <col min="14333" max="14336" width="14.44140625" style="25" customWidth="1"/>
    <col min="14337" max="14338" width="12.44140625" style="25" bestFit="1" customWidth="1"/>
    <col min="14339" max="14576" width="11.44140625" style="25"/>
    <col min="14577" max="14577" width="8" style="25" customWidth="1"/>
    <col min="14578" max="14580" width="20.44140625" style="25" customWidth="1"/>
    <col min="14581" max="14581" width="17.44140625" style="25" bestFit="1" customWidth="1"/>
    <col min="14582" max="14582" width="20.44140625" style="25" customWidth="1"/>
    <col min="14583" max="14586" width="19.44140625" style="25" customWidth="1"/>
    <col min="14587" max="14587" width="11.44140625" style="25"/>
    <col min="14588" max="14588" width="15.44140625" style="25" bestFit="1" customWidth="1"/>
    <col min="14589" max="14592" width="14.44140625" style="25" customWidth="1"/>
    <col min="14593" max="14594" width="12.44140625" style="25" bestFit="1" customWidth="1"/>
    <col min="14595" max="14832" width="11.44140625" style="25"/>
    <col min="14833" max="14833" width="8" style="25" customWidth="1"/>
    <col min="14834" max="14836" width="20.44140625" style="25" customWidth="1"/>
    <col min="14837" max="14837" width="17.44140625" style="25" bestFit="1" customWidth="1"/>
    <col min="14838" max="14838" width="20.44140625" style="25" customWidth="1"/>
    <col min="14839" max="14842" width="19.44140625" style="25" customWidth="1"/>
    <col min="14843" max="14843" width="11.44140625" style="25"/>
    <col min="14844" max="14844" width="15.44140625" style="25" bestFit="1" customWidth="1"/>
    <col min="14845" max="14848" width="14.44140625" style="25" customWidth="1"/>
    <col min="14849" max="14850" width="12.44140625" style="25" bestFit="1" customWidth="1"/>
    <col min="14851" max="15088" width="11.44140625" style="25"/>
    <col min="15089" max="15089" width="8" style="25" customWidth="1"/>
    <col min="15090" max="15092" width="20.44140625" style="25" customWidth="1"/>
    <col min="15093" max="15093" width="17.44140625" style="25" bestFit="1" customWidth="1"/>
    <col min="15094" max="15094" width="20.44140625" style="25" customWidth="1"/>
    <col min="15095" max="15098" width="19.44140625" style="25" customWidth="1"/>
    <col min="15099" max="15099" width="11.44140625" style="25"/>
    <col min="15100" max="15100" width="15.44140625" style="25" bestFit="1" customWidth="1"/>
    <col min="15101" max="15104" width="14.44140625" style="25" customWidth="1"/>
    <col min="15105" max="15106" width="12.44140625" style="25" bestFit="1" customWidth="1"/>
    <col min="15107" max="15344" width="11.44140625" style="25"/>
    <col min="15345" max="15345" width="8" style="25" customWidth="1"/>
    <col min="15346" max="15348" width="20.44140625" style="25" customWidth="1"/>
    <col min="15349" max="15349" width="17.44140625" style="25" bestFit="1" customWidth="1"/>
    <col min="15350" max="15350" width="20.44140625" style="25" customWidth="1"/>
    <col min="15351" max="15354" width="19.44140625" style="25" customWidth="1"/>
    <col min="15355" max="15355" width="11.44140625" style="25"/>
    <col min="15356" max="15356" width="15.44140625" style="25" bestFit="1" customWidth="1"/>
    <col min="15357" max="15360" width="14.44140625" style="25" customWidth="1"/>
    <col min="15361" max="15362" width="12.44140625" style="25" bestFit="1" customWidth="1"/>
    <col min="15363" max="15600" width="11.44140625" style="25"/>
    <col min="15601" max="15601" width="8" style="25" customWidth="1"/>
    <col min="15602" max="15604" width="20.44140625" style="25" customWidth="1"/>
    <col min="15605" max="15605" width="17.44140625" style="25" bestFit="1" customWidth="1"/>
    <col min="15606" max="15606" width="20.44140625" style="25" customWidth="1"/>
    <col min="15607" max="15610" width="19.44140625" style="25" customWidth="1"/>
    <col min="15611" max="15611" width="11.44140625" style="25"/>
    <col min="15612" max="15612" width="15.44140625" style="25" bestFit="1" customWidth="1"/>
    <col min="15613" max="15616" width="14.44140625" style="25" customWidth="1"/>
    <col min="15617" max="15618" width="12.44140625" style="25" bestFit="1" customWidth="1"/>
    <col min="15619" max="15856" width="11.44140625" style="25"/>
    <col min="15857" max="15857" width="8" style="25" customWidth="1"/>
    <col min="15858" max="15860" width="20.44140625" style="25" customWidth="1"/>
    <col min="15861" max="15861" width="17.44140625" style="25" bestFit="1" customWidth="1"/>
    <col min="15862" max="15862" width="20.44140625" style="25" customWidth="1"/>
    <col min="15863" max="15866" width="19.44140625" style="25" customWidth="1"/>
    <col min="15867" max="15867" width="11.44140625" style="25"/>
    <col min="15868" max="15868" width="15.44140625" style="25" bestFit="1" customWidth="1"/>
    <col min="15869" max="15872" width="14.44140625" style="25" customWidth="1"/>
    <col min="15873" max="15874" width="12.44140625" style="25" bestFit="1" customWidth="1"/>
    <col min="15875" max="16112" width="11.44140625" style="25"/>
    <col min="16113" max="16113" width="8" style="25" customWidth="1"/>
    <col min="16114" max="16116" width="20.44140625" style="25" customWidth="1"/>
    <col min="16117" max="16117" width="17.44140625" style="25" bestFit="1" customWidth="1"/>
    <col min="16118" max="16118" width="20.44140625" style="25" customWidth="1"/>
    <col min="16119" max="16122" width="19.44140625" style="25" customWidth="1"/>
    <col min="16123" max="16123" width="11.44140625" style="25"/>
    <col min="16124" max="16124" width="15.44140625" style="25" bestFit="1" customWidth="1"/>
    <col min="16125" max="16128" width="14.44140625" style="25" customWidth="1"/>
    <col min="16129" max="16130" width="12.44140625" style="25" bestFit="1" customWidth="1"/>
    <col min="16131" max="16384" width="11.44140625" style="25"/>
  </cols>
  <sheetData>
    <row r="1" spans="1:24" s="22" customFormat="1" ht="40.049999999999997" customHeight="1">
      <c r="A1" s="1018" t="s">
        <v>7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9"/>
      <c r="O1" s="1018"/>
      <c r="P1" s="1018"/>
      <c r="Q1" s="71"/>
      <c r="R1" s="71"/>
      <c r="S1" s="71"/>
      <c r="T1" s="71"/>
      <c r="U1" s="71"/>
      <c r="V1" s="71"/>
      <c r="W1" s="71"/>
      <c r="X1" s="71"/>
    </row>
    <row r="2" spans="1:24" s="22" customFormat="1" ht="15" customHeight="1">
      <c r="A2" s="60"/>
      <c r="B2" s="861"/>
      <c r="C2" s="60"/>
      <c r="D2" s="60"/>
      <c r="E2" s="60"/>
      <c r="F2" s="60"/>
      <c r="G2" s="861"/>
      <c r="H2" s="60"/>
      <c r="I2" s="60"/>
      <c r="J2" s="60"/>
      <c r="K2" s="60"/>
      <c r="L2" s="60"/>
      <c r="M2" s="60"/>
      <c r="N2" s="60"/>
      <c r="O2" s="60"/>
      <c r="P2" s="60"/>
      <c r="Q2" s="71"/>
      <c r="R2" s="71"/>
      <c r="S2" s="71"/>
      <c r="T2" s="71"/>
      <c r="U2" s="71"/>
      <c r="V2" s="71"/>
      <c r="W2" s="71"/>
      <c r="X2" s="71"/>
    </row>
    <row r="3" spans="1:24" s="74" customFormat="1" ht="55.05" customHeight="1">
      <c r="A3" s="2" t="s">
        <v>1</v>
      </c>
      <c r="B3" s="6" t="s">
        <v>179</v>
      </c>
      <c r="C3" s="6" t="s">
        <v>987</v>
      </c>
      <c r="D3" s="6" t="s">
        <v>180</v>
      </c>
      <c r="E3" s="6" t="s">
        <v>185</v>
      </c>
      <c r="F3" s="6" t="s">
        <v>206</v>
      </c>
      <c r="G3" s="6" t="s">
        <v>181</v>
      </c>
      <c r="H3" s="6" t="s">
        <v>184</v>
      </c>
      <c r="I3" s="6" t="s">
        <v>182</v>
      </c>
      <c r="J3" s="72" t="s">
        <v>153</v>
      </c>
      <c r="K3" s="170" t="s">
        <v>253</v>
      </c>
      <c r="L3" s="170" t="s">
        <v>205</v>
      </c>
      <c r="M3" s="170" t="s">
        <v>183</v>
      </c>
      <c r="N3" s="584" t="s">
        <v>1219</v>
      </c>
      <c r="O3" s="170" t="s">
        <v>186</v>
      </c>
      <c r="P3" s="170" t="s">
        <v>302</v>
      </c>
      <c r="Q3" s="73"/>
      <c r="R3" s="170" t="s">
        <v>303</v>
      </c>
      <c r="S3" s="73"/>
      <c r="T3" s="170" t="s">
        <v>748</v>
      </c>
      <c r="U3" s="73"/>
      <c r="V3" s="73"/>
      <c r="W3" s="73"/>
      <c r="X3" s="73"/>
    </row>
    <row r="4" spans="1:24" ht="15" customHeight="1">
      <c r="A4" s="75">
        <v>1</v>
      </c>
      <c r="B4" s="139">
        <f t="array" ref="B4:B33">TRANSPOSE('Recursos Humanos 2'!D8:AG8)</f>
        <v>3899364</v>
      </c>
      <c r="C4" s="139">
        <f>'Energia Elétrica'!T4</f>
        <v>9366051.4839957282</v>
      </c>
      <c r="D4" s="12">
        <f>'Total PQ'!D5</f>
        <v>2417093.1839467138</v>
      </c>
      <c r="E4" s="12">
        <f>'Disposição de Lodo'!F5</f>
        <v>674801.93669329886</v>
      </c>
      <c r="F4" s="139">
        <f t="array" ref="F4:F33">TRANSPOSE('Veículos e Equipamentos'!B61:AE61)</f>
        <v>394560</v>
      </c>
      <c r="G4" s="139">
        <f xml:space="preserve"> ( (('Evolução Ligações'!J5+'Evolução Ligações'!L5+'Evolução Ligações'!N5) + ('Evolução Ligações'!B5+'Evolução Ligações'!D5+'Evolução Ligações'!F5))* ( 'Dados de Entrada'!$D$82 ) )</f>
        <v>1204595</v>
      </c>
      <c r="H4" s="12">
        <f>IF(('Evolução Ligações'!J5+'Evolução Ligações'!L5+'Evolução Ligações'!N5)*('Dados de Entrada'!$D$83)&lt;=20000,20000,('Evolução Ligações'!J5+'Evolução Ligações'!L5+'Evolução Ligações'!N5)*('Dados de Entrada'!$D$83))</f>
        <v>20000</v>
      </c>
      <c r="I4" s="11">
        <f>SUM(B4:H4)</f>
        <v>17976465.604635742</v>
      </c>
      <c r="J4" s="76"/>
      <c r="K4" s="182">
        <f t="array" ref="K4:K33">TRANSPOSE('Recursos Humanos 2'!D11:AG11)</f>
        <v>2177724</v>
      </c>
      <c r="L4" s="173">
        <f t="array" ref="L4:L33">(TRANSPOSE('Veículos e Equipamentos'!B52:AE52))</f>
        <v>83700</v>
      </c>
      <c r="M4" s="173">
        <f xml:space="preserve"> ( ( 'Composição Faturamento 2'!$I4 ) * ( 'Dados de Entrada'!$D$86 ) )</f>
        <v>19403.481842429897</v>
      </c>
      <c r="N4" s="637">
        <f>('Evolução Ligações'!P5+'Evolução Ligações'!H5)*'Dados de Entrada'!$D$84</f>
        <v>137668</v>
      </c>
      <c r="O4" s="173">
        <f xml:space="preserve"> ( ( 'Composição Faturamento 2'!$I4 ) * ( 'Dados de Entrada'!$D$85 ) )</f>
        <v>19403.481842429897</v>
      </c>
      <c r="P4" s="173">
        <f xml:space="preserve"> SUM($K4:$O4 )</f>
        <v>2437898.9636848597</v>
      </c>
      <c r="R4" s="11">
        <f>I4+P4</f>
        <v>20414364.568320602</v>
      </c>
      <c r="T4" s="862">
        <f>R4/('Evolução Ligações'!B5+'Evolução Ligações'!D5+'Evolução Ligações'!F5+'Evolução Ligações'!J5+'Evolução Ligações'!L5+'Evolução Ligações'!N5)</f>
        <v>593.14770515502812</v>
      </c>
    </row>
    <row r="5" spans="1:24" ht="15" customHeight="1">
      <c r="A5" s="75">
        <f xml:space="preserve"> ( ( A4 ) + ( 1 ) )</f>
        <v>2</v>
      </c>
      <c r="B5" s="12">
        <v>3899364</v>
      </c>
      <c r="C5" s="139">
        <f>'Energia Elétrica'!T5</f>
        <v>9217077.5092225093</v>
      </c>
      <c r="D5" s="12">
        <f>'Total PQ'!D6</f>
        <v>2396641.5780435996</v>
      </c>
      <c r="E5" s="12">
        <f>'Disposição de Lodo'!F6</f>
        <v>664068.71289395855</v>
      </c>
      <c r="F5" s="139">
        <v>394560</v>
      </c>
      <c r="G5" s="139">
        <f xml:space="preserve"> ( (('Evolução Ligações'!J6+'Evolução Ligações'!L6+'Evolução Ligações'!N6) + ('Evolução Ligações'!B6+'Evolução Ligações'!D6+'Evolução Ligações'!F6))* ( 'Dados de Entrada'!$D$82 ) )</f>
        <v>1221430</v>
      </c>
      <c r="H5" s="12">
        <f>IF(('Evolução Ligações'!J6+'Evolução Ligações'!L6+'Evolução Ligações'!N6)*('Dados de Entrada'!$D$83)&lt;=20000,20000,('Evolução Ligações'!J6+'Evolução Ligações'!L6+'Evolução Ligações'!N6)*('Dados de Entrada'!$D$83))</f>
        <v>20000</v>
      </c>
      <c r="I5" s="11">
        <f t="shared" ref="I5:I31" si="0">SUM(B5:H5)</f>
        <v>17813141.800160069</v>
      </c>
      <c r="J5" s="76"/>
      <c r="K5" s="173">
        <v>2177724</v>
      </c>
      <c r="L5" s="173">
        <v>83700</v>
      </c>
      <c r="M5" s="173">
        <f xml:space="preserve"> ( ( 'Composição Faturamento 2'!$I5 ) * ( 'Dados de Entrada'!$D$86 ) )</f>
        <v>19674.469437163956</v>
      </c>
      <c r="N5" s="637">
        <f>('Evolução Ligações'!P6+'Evolução Ligações'!H6)*'Dados de Entrada'!$D$84</f>
        <v>139592</v>
      </c>
      <c r="O5" s="173">
        <f xml:space="preserve"> ( ( 'Composição Faturamento 2'!$I5 ) * ( 'Dados de Entrada'!$D$85 ) )</f>
        <v>19674.469437163956</v>
      </c>
      <c r="P5" s="173">
        <f t="shared" ref="P5:P32" si="1" xml:space="preserve"> SUM($K5:$O5 )</f>
        <v>2440364.9388743276</v>
      </c>
      <c r="R5" s="11">
        <f t="shared" ref="R5:R32" si="2">I5+P5</f>
        <v>20253506.739034396</v>
      </c>
      <c r="T5" s="862">
        <f>R5/('Evolução Ligações'!B6+'Evolução Ligações'!D6+'Evolução Ligações'!F6+'Evolução Ligações'!J6+'Evolução Ligações'!L6+'Evolução Ligações'!N6)</f>
        <v>580.36296461213806</v>
      </c>
    </row>
    <row r="6" spans="1:24" ht="15" customHeight="1">
      <c r="A6" s="75">
        <f t="shared" ref="A6:A33" si="3" xml:space="preserve"> ( ( A5 ) + ( 1 ) )</f>
        <v>3</v>
      </c>
      <c r="B6" s="12">
        <v>4940052</v>
      </c>
      <c r="C6" s="139">
        <f>'Energia Elétrica'!T6</f>
        <v>9106330.5337750874</v>
      </c>
      <c r="D6" s="12">
        <f>'Total PQ'!D7</f>
        <v>2385622.7868815488</v>
      </c>
      <c r="E6" s="12">
        <f>'Disposição de Lodo'!F7</f>
        <v>656089.65430747299</v>
      </c>
      <c r="F6" s="139">
        <v>282960</v>
      </c>
      <c r="G6" s="139">
        <f xml:space="preserve"> ( (('Evolução Ligações'!J7+'Evolução Ligações'!L7+'Evolução Ligações'!N7) + ('Evolução Ligações'!B7+'Evolução Ligações'!D7+'Evolução Ligações'!F7))* ( 'Dados de Entrada'!$D$82 ) )</f>
        <v>1238265</v>
      </c>
      <c r="H6" s="12">
        <f>IF(('Evolução Ligações'!J7+'Evolução Ligações'!L7+'Evolução Ligações'!N7)*('Dados de Entrada'!$D$83)&lt;=20000,20000,('Evolução Ligações'!J7+'Evolução Ligações'!L7+'Evolução Ligações'!N7)*('Dados de Entrada'!$D$83))</f>
        <v>20000</v>
      </c>
      <c r="I6" s="11">
        <f t="shared" si="0"/>
        <v>18629319.974964108</v>
      </c>
      <c r="J6" s="76"/>
      <c r="K6" s="173">
        <v>2177724</v>
      </c>
      <c r="L6" s="173">
        <v>83700</v>
      </c>
      <c r="M6" s="173">
        <f xml:space="preserve"> ( ( 'Composição Faturamento 2'!$I6 ) * ( 'Dados de Entrada'!$D$86 ) )</f>
        <v>20144.911602216998</v>
      </c>
      <c r="N6" s="637">
        <f>('Evolução Ligações'!P7+'Evolução Ligações'!H7)*'Dados de Entrada'!$D$84</f>
        <v>141516</v>
      </c>
      <c r="O6" s="173">
        <f xml:space="preserve"> ( ( 'Composição Faturamento 2'!$I6 ) * ( 'Dados de Entrada'!$D$85 ) )</f>
        <v>20144.911602216998</v>
      </c>
      <c r="P6" s="173">
        <f t="shared" si="1"/>
        <v>2443229.8232044335</v>
      </c>
      <c r="R6" s="11">
        <f t="shared" si="2"/>
        <v>21072549.79816854</v>
      </c>
      <c r="T6" s="862">
        <f>R6/('Evolução Ligações'!B7+'Evolução Ligações'!D7+'Evolução Ligações'!F7+'Evolução Ligações'!J7+'Evolução Ligações'!L7+'Evolução Ligações'!N7)</f>
        <v>595.62310404953621</v>
      </c>
    </row>
    <row r="7" spans="1:24" ht="15" customHeight="1">
      <c r="A7" s="75">
        <f t="shared" si="3"/>
        <v>4</v>
      </c>
      <c r="B7" s="12">
        <v>5711484</v>
      </c>
      <c r="C7" s="139">
        <f>'Energia Elétrica'!T7</f>
        <v>14675990.062410237</v>
      </c>
      <c r="D7" s="12">
        <f>'Total PQ'!D8</f>
        <v>2515633.2949225819</v>
      </c>
      <c r="E7" s="12">
        <f>'Disposição de Lodo'!F8</f>
        <v>638070.92709484056</v>
      </c>
      <c r="F7" s="139">
        <v>534060</v>
      </c>
      <c r="G7" s="139">
        <f xml:space="preserve"> ( (('Evolução Ligações'!J8+'Evolução Ligações'!L8+'Evolução Ligações'!N8) + ('Evolução Ligações'!B8+'Evolução Ligações'!D8+'Evolução Ligações'!F8))* ( 'Dados de Entrada'!$D$82 ) )</f>
        <v>1495880.1084225476</v>
      </c>
      <c r="H7" s="12">
        <f>IF(('Evolução Ligações'!J8+'Evolução Ligações'!L8+'Evolução Ligações'!N8)*('Dados de Entrada'!$D$83)&lt;=20000,20000,('Evolução Ligações'!J8+'Evolução Ligações'!L8+'Evolução Ligações'!N8)*('Dados de Entrada'!$D$83))</f>
        <v>41276.590015293863</v>
      </c>
      <c r="I7" s="11">
        <f t="shared" si="0"/>
        <v>25612394.982865497</v>
      </c>
      <c r="J7" s="76"/>
      <c r="K7" s="173">
        <v>2271840</v>
      </c>
      <c r="L7" s="173">
        <v>111600</v>
      </c>
      <c r="M7" s="173">
        <f xml:space="preserve"> ( ( 'Composição Faturamento 2'!$I7 ) * ( 'Dados de Entrada'!$D$86 ) )</f>
        <v>22637.34886077149</v>
      </c>
      <c r="N7" s="637">
        <f>('Evolução Ligações'!P8+'Evolução Ligações'!H8)*'Dados de Entrada'!$D$84</f>
        <v>170957.72667686257</v>
      </c>
      <c r="O7" s="173">
        <f xml:space="preserve"> ( ( 'Composição Faturamento 2'!$I7 ) * ( 'Dados de Entrada'!$D$85 ) )</f>
        <v>22637.34886077149</v>
      </c>
      <c r="P7" s="173">
        <f t="shared" si="1"/>
        <v>2599672.4243984055</v>
      </c>
      <c r="R7" s="11">
        <f t="shared" si="2"/>
        <v>28212067.407263905</v>
      </c>
      <c r="T7" s="862">
        <f>R7/('Evolução Ligações'!B8+'Evolução Ligações'!D8+'Evolução Ligações'!F8+'Evolução Ligações'!J8+'Evolução Ligações'!L8+'Evolução Ligações'!N8)</f>
        <v>660.09458491663781</v>
      </c>
    </row>
    <row r="8" spans="1:24" ht="15" customHeight="1">
      <c r="A8" s="75">
        <f t="shared" si="3"/>
        <v>5</v>
      </c>
      <c r="B8" s="12">
        <v>5776284</v>
      </c>
      <c r="C8" s="139">
        <f>'Energia Elétrica'!T8</f>
        <v>15074400.950603684</v>
      </c>
      <c r="D8" s="12">
        <f>'Total PQ'!D9</f>
        <v>2677168.064169223</v>
      </c>
      <c r="E8" s="12">
        <f>'Disposição de Lodo'!F9</f>
        <v>736249.12760368816</v>
      </c>
      <c r="F8" s="139">
        <v>589860</v>
      </c>
      <c r="G8" s="139">
        <f xml:space="preserve"> ( (('Evolução Ligações'!J9+'Evolução Ligações'!L9+'Evolução Ligações'!N9) + ('Evolução Ligações'!B9+'Evolução Ligações'!D9+'Evolução Ligações'!F9))* ( 'Dados de Entrada'!$D$82 ) )</f>
        <v>1759923.3303291821</v>
      </c>
      <c r="H8" s="12">
        <f>IF(('Evolução Ligações'!J9+'Evolução Ligações'!L9+'Evolução Ligações'!N9)*('Dados de Entrada'!$D$83)&lt;=20000,20000,('Evolução Ligações'!J9+'Evolução Ligações'!L9+'Evolução Ligações'!N9)*('Dados de Entrada'!$D$83))</f>
        <v>83655.142342145526</v>
      </c>
      <c r="I8" s="11">
        <f t="shared" si="0"/>
        <v>26697540.615047928</v>
      </c>
      <c r="J8" s="76"/>
      <c r="K8" s="173">
        <v>2466240</v>
      </c>
      <c r="L8" s="173">
        <v>111600</v>
      </c>
      <c r="M8" s="173">
        <f xml:space="preserve"> ( ( 'Composição Faturamento 2'!$I8 ) * ( 'Dados de Entrada'!$D$86 ) )</f>
        <v>25230.332834098019</v>
      </c>
      <c r="N8" s="637">
        <f>('Evolução Ligações'!P9+'Evolução Ligações'!H9)*'Dados de Entrada'!$D$84</f>
        <v>201134.09489476366</v>
      </c>
      <c r="O8" s="173">
        <f xml:space="preserve"> ( ( 'Composição Faturamento 2'!$I8 ) * ( 'Dados de Entrada'!$D$85 ) )</f>
        <v>25230.332834098019</v>
      </c>
      <c r="P8" s="173">
        <f t="shared" si="1"/>
        <v>2829434.7605629596</v>
      </c>
      <c r="R8" s="11">
        <f>I8+P8</f>
        <v>29526975.375610888</v>
      </c>
      <c r="T8" s="862">
        <f>R8/('Evolução Ligações'!B9+'Evolução Ligações'!D9+'Evolução Ligações'!F9+'Evolução Ligações'!J9+'Evolução Ligações'!L9+'Evolução Ligações'!N9)</f>
        <v>587.20974961624165</v>
      </c>
    </row>
    <row r="9" spans="1:24" ht="15" customHeight="1">
      <c r="A9" s="75">
        <f t="shared" si="3"/>
        <v>6</v>
      </c>
      <c r="B9" s="12">
        <v>5776284</v>
      </c>
      <c r="C9" s="139">
        <f>'Energia Elétrica'!T9</f>
        <v>15145293.94324759</v>
      </c>
      <c r="D9" s="12">
        <f>'Total PQ'!D10</f>
        <v>2784494.7961673448</v>
      </c>
      <c r="E9" s="12">
        <f>'Disposição de Lodo'!F10</f>
        <v>822083.48463905917</v>
      </c>
      <c r="F9" s="139">
        <v>645660</v>
      </c>
      <c r="G9" s="139">
        <f xml:space="preserve"> ( (('Evolução Ligações'!J10+'Evolução Ligações'!L10+'Evolução Ligações'!N10) + ('Evolução Ligações'!B10+'Evolução Ligações'!D10+'Evolução Ligações'!F10))* ( 'Dados de Entrada'!$D$82 ) )</f>
        <v>2030429.665719904</v>
      </c>
      <c r="H9" s="12">
        <f>IF(('Evolução Ligações'!J10+'Evolução Ligações'!L10+'Evolução Ligações'!N10)*('Dados de Entrada'!$D$83)&lt;=20000,20000,('Evolução Ligações'!J10+'Evolução Ligações'!L10+'Evolução Ligações'!N10)*('Dados de Entrada'!$D$83))</f>
        <v>127147.65698055497</v>
      </c>
      <c r="I9" s="11">
        <f t="shared" si="0"/>
        <v>27331393.546754453</v>
      </c>
      <c r="J9" s="76"/>
      <c r="K9" s="173">
        <v>2466240</v>
      </c>
      <c r="L9" s="173">
        <v>111600</v>
      </c>
      <c r="M9" s="173">
        <f xml:space="preserve"> ( ( 'Composição Faturamento 2'!$I9 ) * ( 'Dados de Entrada'!$D$86 ) )</f>
        <v>27653.050616556051</v>
      </c>
      <c r="N9" s="637">
        <f>('Evolução Ligações'!P10+'Evolução Ligações'!H10)*'Dados de Entrada'!$D$84</f>
        <v>232049.10465370331</v>
      </c>
      <c r="O9" s="173">
        <f xml:space="preserve"> ( ( 'Composição Faturamento 2'!$I9 ) * ( 'Dados de Entrada'!$D$85 ) )</f>
        <v>27653.050616556051</v>
      </c>
      <c r="P9" s="173">
        <f t="shared" si="1"/>
        <v>2865195.2058868152</v>
      </c>
      <c r="R9" s="11">
        <f t="shared" si="2"/>
        <v>30196588.752641268</v>
      </c>
      <c r="T9" s="862">
        <f>R9/('Evolução Ligações'!B10+'Evolução Ligações'!D10+'Evolução Ligações'!F10+'Evolução Ligações'!J10+'Evolução Ligações'!L10+'Evolução Ligações'!N10)</f>
        <v>520.52066820434254</v>
      </c>
    </row>
    <row r="10" spans="1:24" ht="15" customHeight="1">
      <c r="A10" s="75">
        <f t="shared" si="3"/>
        <v>7</v>
      </c>
      <c r="B10" s="12">
        <v>5776284</v>
      </c>
      <c r="C10" s="139">
        <f>'Energia Elétrica'!T10</f>
        <v>15004096.601612905</v>
      </c>
      <c r="D10" s="12">
        <f>'Total PQ'!D11</f>
        <v>2836857.4114531605</v>
      </c>
      <c r="E10" s="12">
        <f>'Disposição de Lodo'!F11</f>
        <v>912576.36619147309</v>
      </c>
      <c r="F10" s="139">
        <v>3942360</v>
      </c>
      <c r="G10" s="139">
        <f xml:space="preserve"> ( (('Evolução Ligações'!J11+'Evolução Ligações'!L11+'Evolução Ligações'!N11) + ('Evolução Ligações'!B11+'Evolução Ligações'!D11+'Evolução Ligações'!F11))* ( 'Dados de Entrada'!$D$82 ) )</f>
        <v>2182178.6018862431</v>
      </c>
      <c r="H10" s="12">
        <f>IF(('Evolução Ligações'!J11+'Evolução Ligações'!L11+'Evolução Ligações'!N11)*('Dados de Entrada'!$D$83)&lt;=20000,20000,('Evolução Ligações'!J11+'Evolução Ligações'!L11+'Evolução Ligações'!N11)*('Dados de Entrada'!$D$83))</f>
        <v>150275.76032335591</v>
      </c>
      <c r="I10" s="11">
        <f t="shared" si="0"/>
        <v>30804628.741467137</v>
      </c>
      <c r="J10" s="76"/>
      <c r="K10" s="173">
        <v>2560356</v>
      </c>
      <c r="L10" s="173">
        <v>139500</v>
      </c>
      <c r="M10" s="173">
        <f xml:space="preserve"> ( ( 'Composição Faturamento 2'!$I10 ) * ( 'Dados de Entrada'!$D$86 ) )</f>
        <v>29071.781396853617</v>
      </c>
      <c r="N10" s="637">
        <f>('Evolução Ligações'!P11+'Evolução Ligações'!H11)*'Dados de Entrada'!$D$84</f>
        <v>249391.84021557061</v>
      </c>
      <c r="O10" s="173">
        <f xml:space="preserve"> ( ( 'Composição Faturamento 2'!$I10 ) * ( 'Dados de Entrada'!$D$85 ) )</f>
        <v>29071.781396853617</v>
      </c>
      <c r="P10" s="173">
        <f t="shared" si="1"/>
        <v>3007391.4030092782</v>
      </c>
      <c r="R10" s="11">
        <f t="shared" si="2"/>
        <v>33812020.144476414</v>
      </c>
      <c r="T10" s="862">
        <f>R10/('Evolução Ligações'!B11+'Evolução Ligações'!D11+'Evolução Ligações'!F11+'Evolução Ligações'!J11+'Evolução Ligações'!L11+'Evolução Ligações'!N11)</f>
        <v>542.31157066325511</v>
      </c>
    </row>
    <row r="11" spans="1:24" ht="15" customHeight="1">
      <c r="A11" s="75">
        <f t="shared" si="3"/>
        <v>8</v>
      </c>
      <c r="B11" s="12">
        <v>5776284</v>
      </c>
      <c r="C11" s="139">
        <f>'Energia Elétrica'!T11</f>
        <v>14729095.856513208</v>
      </c>
      <c r="D11" s="12">
        <f>'Total PQ'!D12</f>
        <v>2860781.0801739483</v>
      </c>
      <c r="E11" s="12">
        <f>'Disposição de Lodo'!F12</f>
        <v>945314.37945140956</v>
      </c>
      <c r="F11" s="139">
        <v>3886560</v>
      </c>
      <c r="G11" s="139">
        <f xml:space="preserve"> ( (('Evolução Ligações'!J12+'Evolução Ligações'!L12+'Evolução Ligações'!N12) + ('Evolução Ligações'!B12+'Evolução Ligações'!D12+'Evolução Ligações'!F12))* ( 'Dados de Entrada'!$D$82 ) )</f>
        <v>2337187.3441482778</v>
      </c>
      <c r="H11" s="12">
        <f>IF(('Evolução Ligações'!J12+'Evolução Ligações'!L12+'Evolução Ligações'!N12)*('Dados de Entrada'!$D$83)&lt;=20000,20000,('Evolução Ligações'!J12+'Evolução Ligações'!L12+'Evolução Ligações'!N12)*('Dados de Entrada'!$D$83))</f>
        <v>173962.68756827616</v>
      </c>
      <c r="I11" s="11">
        <f t="shared" si="0"/>
        <v>30709185.347855121</v>
      </c>
      <c r="J11" s="76"/>
      <c r="K11" s="173">
        <v>2560356</v>
      </c>
      <c r="L11" s="173">
        <v>139500</v>
      </c>
      <c r="M11" s="173">
        <f xml:space="preserve"> ( ( 'Composição Faturamento 2'!$I11 ) * ( 'Dados de Entrada'!$D$86 ) )</f>
        <v>30518.085143763488</v>
      </c>
      <c r="N11" s="637">
        <f>('Evolução Ligações'!P12+'Evolução Ligações'!H12)*'Dados de Entrada'!$D$84</f>
        <v>267107.12504551746</v>
      </c>
      <c r="O11" s="173">
        <f xml:space="preserve"> ( ( 'Composição Faturamento 2'!$I11 ) * ( 'Dados de Entrada'!$D$85 ) )</f>
        <v>30518.085143763488</v>
      </c>
      <c r="P11" s="173">
        <f t="shared" si="1"/>
        <v>3027999.2953330446</v>
      </c>
      <c r="R11" s="11">
        <f t="shared" si="2"/>
        <v>33737184.643188164</v>
      </c>
      <c r="T11" s="862">
        <f>R11/('Evolução Ligações'!B12+'Evolução Ligações'!D12+'Evolução Ligações'!F12+'Evolução Ligações'!J12+'Evolução Ligações'!L12+'Evolução Ligações'!N12)</f>
        <v>505.22328279246079</v>
      </c>
    </row>
    <row r="12" spans="1:24" ht="15" customHeight="1">
      <c r="A12" s="75">
        <f t="shared" si="3"/>
        <v>9</v>
      </c>
      <c r="B12" s="12">
        <v>5776284</v>
      </c>
      <c r="C12" s="139">
        <f>'Energia Elétrica'!T12</f>
        <v>14846735.176972721</v>
      </c>
      <c r="D12" s="12">
        <f>'Total PQ'!D13</f>
        <v>2951112.0299199992</v>
      </c>
      <c r="E12" s="12">
        <f>'Disposição de Lodo'!F13</f>
        <v>996825.60885111906</v>
      </c>
      <c r="F12" s="139">
        <v>3942360</v>
      </c>
      <c r="G12" s="139">
        <f xml:space="preserve"> ( (('Evolução Ligações'!J13+'Evolução Ligações'!L13+'Evolução Ligações'!N13) + ('Evolução Ligações'!B13+'Evolução Ligações'!D13+'Evolução Ligações'!F13))* ( 'Dados de Entrada'!$D$82 ) )</f>
        <v>2495342.8950913986</v>
      </c>
      <c r="H12" s="12">
        <f>IF(('Evolução Ligações'!J13+'Evolução Ligações'!L13+'Evolução Ligações'!N13)*('Dados de Entrada'!$D$83)&lt;=20000,20000,('Evolução Ligações'!J13+'Evolução Ligações'!L13+'Evolução Ligações'!N13)*('Dados de Entrada'!$D$83))</f>
        <v>198189.06772995414</v>
      </c>
      <c r="I12" s="11">
        <f t="shared" si="0"/>
        <v>31206848.778565194</v>
      </c>
      <c r="J12" s="76"/>
      <c r="K12" s="173">
        <v>2560356</v>
      </c>
      <c r="L12" s="173">
        <v>139500</v>
      </c>
      <c r="M12" s="173">
        <f xml:space="preserve"> ( ( 'Composição Faturamento 2'!$I12 ) * ( 'Dados de Entrada'!$D$86 ) )</f>
        <v>31991.100640683937</v>
      </c>
      <c r="N12" s="637">
        <f>('Evolução Ligações'!P13+'Evolução Ligações'!H13)*'Dados de Entrada'!$D$84</f>
        <v>285182.04515330272</v>
      </c>
      <c r="O12" s="173">
        <f xml:space="preserve"> ( ( 'Composição Faturamento 2'!$I12 ) * ( 'Dados de Entrada'!$D$85 ) )</f>
        <v>31991.100640683937</v>
      </c>
      <c r="P12" s="173">
        <f t="shared" si="1"/>
        <v>3049020.2464346704</v>
      </c>
      <c r="R12" s="11">
        <f t="shared" si="2"/>
        <v>34255869.024999864</v>
      </c>
      <c r="T12" s="862">
        <f>R12/('Evolução Ligações'!B13+'Evolução Ligações'!D13+'Evolução Ligações'!F13+'Evolução Ligações'!J13+'Evolução Ligações'!L13+'Evolução Ligações'!N13)</f>
        <v>480.4772194769169</v>
      </c>
    </row>
    <row r="13" spans="1:24" ht="15" customHeight="1">
      <c r="A13" s="75">
        <f t="shared" si="3"/>
        <v>10</v>
      </c>
      <c r="B13" s="12">
        <v>5776284</v>
      </c>
      <c r="C13" s="139">
        <f>'Energia Elétrica'!T13</f>
        <v>14866101.482650179</v>
      </c>
      <c r="D13" s="12">
        <f>'Total PQ'!D14</f>
        <v>2979659.1165206642</v>
      </c>
      <c r="E13" s="12">
        <f>'Disposição de Lodo'!F14</f>
        <v>1057496.9273928546</v>
      </c>
      <c r="F13" s="139">
        <v>3942360</v>
      </c>
      <c r="G13" s="139">
        <f xml:space="preserve"> ( (('Evolução Ligações'!J14+'Evolução Ligações'!L14+'Evolução Ligações'!N14) + ('Evolução Ligações'!B14+'Evolução Ligações'!D14+'Evolução Ligações'!F14))* ( 'Dados de Entrada'!$D$82 ) )</f>
        <v>2526695.0264001167</v>
      </c>
      <c r="H13" s="12">
        <f>IF(('Evolução Ligações'!J14+'Evolução Ligações'!L14+'Evolução Ligações'!N14)*('Dados de Entrada'!$D$83)&lt;=20000,20000,('Evolução Ligações'!J14+'Evolução Ligações'!L14+'Evolução Ligações'!N14)*('Dados de Entrada'!$D$83))</f>
        <v>200677.71881144858</v>
      </c>
      <c r="I13" s="11">
        <f t="shared" si="0"/>
        <v>31349274.271775264</v>
      </c>
      <c r="J13" s="76"/>
      <c r="K13" s="173">
        <v>2560356</v>
      </c>
      <c r="L13" s="173">
        <v>139500</v>
      </c>
      <c r="M13" s="173">
        <f xml:space="preserve"> ( ( 'Composição Faturamento 2'!$I13 ) * ( 'Dados de Entrada'!$D$86 ) )</f>
        <v>32393.013236250295</v>
      </c>
      <c r="N13" s="637">
        <f>('Evolução Ligações'!P14+'Evolução Ligações'!H14)*'Dados de Entrada'!$D$84</f>
        <v>288765.14587429905</v>
      </c>
      <c r="O13" s="173">
        <f xml:space="preserve"> ( ( 'Composição Faturamento 2'!$I13 ) * ( 'Dados de Entrada'!$D$85 ) )</f>
        <v>32393.013236250295</v>
      </c>
      <c r="P13" s="173">
        <f xml:space="preserve"> SUM($K13:$O13 )</f>
        <v>3053407.1723467996</v>
      </c>
      <c r="R13" s="11">
        <f t="shared" si="2"/>
        <v>34402681.444122061</v>
      </c>
      <c r="T13" s="862">
        <f>R13/('Evolução Ligações'!B14+'Evolução Ligações'!D14+'Evolução Ligações'!F14+'Evolução Ligações'!J14+'Evolução Ligações'!L14+'Evolução Ligações'!N14)</f>
        <v>476.54894554480234</v>
      </c>
    </row>
    <row r="14" spans="1:24" ht="15" customHeight="1">
      <c r="A14" s="75">
        <f t="shared" si="3"/>
        <v>11</v>
      </c>
      <c r="B14" s="12">
        <v>5896104</v>
      </c>
      <c r="C14" s="139">
        <f>'Energia Elétrica'!T14</f>
        <v>15050527.781108862</v>
      </c>
      <c r="D14" s="12">
        <f>'Total PQ'!D15</f>
        <v>3031331.7452583602</v>
      </c>
      <c r="E14" s="12">
        <f>'Disposição de Lodo'!F15</f>
        <v>1070690.2361526056</v>
      </c>
      <c r="F14" s="139">
        <v>3914460</v>
      </c>
      <c r="G14" s="139">
        <f xml:space="preserve"> ( (('Evolução Ligações'!J15+'Evolução Ligações'!L15+'Evolução Ligações'!N15) + ('Evolução Ligações'!B15+'Evolução Ligações'!D15+'Evolução Ligações'!F15))* ( 'Dados de Entrada'!$D$82 ) )</f>
        <v>2558060.6590015292</v>
      </c>
      <c r="H14" s="12">
        <f>IF(('Evolução Ligações'!J15+'Evolução Ligações'!L15+'Evolução Ligações'!N15)*('Dados de Entrada'!$D$83)&lt;=20000,20000,('Evolução Ligações'!J15+'Evolução Ligações'!L15+'Evolução Ligações'!N15)*('Dados de Entrada'!$D$83))</f>
        <v>203168.68440026219</v>
      </c>
      <c r="I14" s="11">
        <f t="shared" si="0"/>
        <v>31724343.105921619</v>
      </c>
      <c r="J14" s="76"/>
      <c r="K14" s="173">
        <v>2851956</v>
      </c>
      <c r="L14" s="173">
        <v>167400</v>
      </c>
      <c r="M14" s="173">
        <f xml:space="preserve"> ( ( 'Composição Faturamento 2'!$I14 ) * ( 'Dados de Entrada'!$D$86 ) )</f>
        <v>32794.765502783834</v>
      </c>
      <c r="N14" s="637">
        <f>('Evolução Ligações'!P15+'Evolução Ligações'!H15)*'Dados de Entrada'!$D$84</f>
        <v>292349.78960017476</v>
      </c>
      <c r="O14" s="173">
        <f xml:space="preserve"> ( ( 'Composição Faturamento 2'!$I14 ) * ( 'Dados de Entrada'!$D$85 ) )</f>
        <v>32794.765502783834</v>
      </c>
      <c r="P14" s="173">
        <f t="shared" si="1"/>
        <v>3377295.3206057427</v>
      </c>
      <c r="R14" s="11">
        <f t="shared" si="2"/>
        <v>35101638.426527359</v>
      </c>
      <c r="T14" s="862">
        <f>R14/('Evolução Ligações'!B15+'Evolução Ligações'!D15+'Evolução Ligações'!F15+'Evolução Ligações'!J15+'Evolução Ligações'!L15+'Evolução Ligações'!N15)</f>
        <v>480.26904311486976</v>
      </c>
    </row>
    <row r="15" spans="1:24" ht="15" customHeight="1">
      <c r="A15" s="75">
        <f t="shared" si="3"/>
        <v>12</v>
      </c>
      <c r="B15" s="12">
        <v>5896104</v>
      </c>
      <c r="C15" s="139">
        <f>'Energia Elétrica'!T15</f>
        <v>15234954.079558428</v>
      </c>
      <c r="D15" s="12">
        <f>'Total PQ'!D16</f>
        <v>3083379.1489671688</v>
      </c>
      <c r="E15" s="12">
        <f>'Disposição de Lodo'!F16</f>
        <v>1083893.3999123566</v>
      </c>
      <c r="F15" s="139">
        <v>3970260</v>
      </c>
      <c r="G15" s="139">
        <f xml:space="preserve"> ( (('Evolução Ligações'!J16+'Evolução Ligações'!L16+'Evolução Ligações'!N16) + ('Evolução Ligações'!B16+'Evolução Ligações'!D16+'Evolução Ligações'!F16))* ( 'Dados de Entrada'!$D$82 ) )</f>
        <v>2589447.7903102469</v>
      </c>
      <c r="H15" s="12">
        <f>IF(('Evolução Ligações'!J16+'Evolução Ligações'!L16+'Evolução Ligações'!N16)*('Dados de Entrada'!$D$83)&lt;=20000,20000,('Evolução Ligações'!J16+'Evolução Ligações'!L16+'Evolução Ligações'!N16)*('Dados de Entrada'!$D$83))</f>
        <v>205663.33548175663</v>
      </c>
      <c r="I15" s="11">
        <f t="shared" si="0"/>
        <v>32063701.754229955</v>
      </c>
      <c r="J15" s="76"/>
      <c r="K15" s="173">
        <v>2851956</v>
      </c>
      <c r="L15" s="173">
        <v>167400</v>
      </c>
      <c r="M15" s="173">
        <f xml:space="preserve"> ( ( 'Composição Faturamento 2'!$I15 ) * ( 'Dados de Entrada'!$D$86 ) )</f>
        <v>33196.853318214533</v>
      </c>
      <c r="N15" s="637">
        <f>('Evolução Ligações'!P16+'Evolução Ligações'!H16)*'Dados de Entrada'!$D$84</f>
        <v>295936.89032117109</v>
      </c>
      <c r="O15" s="173">
        <f xml:space="preserve"> ( ( 'Composição Faturamento 2'!$I15 ) * ( 'Dados de Entrada'!$D$85 ) )</f>
        <v>33196.853318214533</v>
      </c>
      <c r="P15" s="173">
        <f t="shared" si="1"/>
        <v>3381686.5969575997</v>
      </c>
      <c r="R15" s="11">
        <f t="shared" si="2"/>
        <v>35445388.351187557</v>
      </c>
      <c r="T15" s="862">
        <f>R15/('Evolução Ligações'!B16+'Evolução Ligações'!D16+'Evolução Ligações'!F16+'Evolução Ligações'!J16+'Evolução Ligações'!L16+'Evolução Ligações'!N16)</f>
        <v>479.09388130313567</v>
      </c>
    </row>
    <row r="16" spans="1:24" ht="15" customHeight="1">
      <c r="A16" s="75">
        <f t="shared" si="3"/>
        <v>13</v>
      </c>
      <c r="B16" s="12">
        <v>5896104</v>
      </c>
      <c r="C16" s="139">
        <f>'Energia Elétrica'!T16</f>
        <v>15419380.377999198</v>
      </c>
      <c r="D16" s="12">
        <f>'Total PQ'!D17</f>
        <v>3135799.6846940024</v>
      </c>
      <c r="E16" s="12">
        <f>'Disposição de Lodo'!F17</f>
        <v>1097091.6361721074</v>
      </c>
      <c r="F16" s="139">
        <v>3970260</v>
      </c>
      <c r="G16" s="139">
        <f xml:space="preserve"> ( (('Evolução Ligações'!J17+'Evolução Ligações'!L17+'Evolução Ligações'!N17) + ('Evolução Ligações'!B17+'Evolução Ligações'!D17+'Evolução Ligações'!F17))* ( 'Dados de Entrada'!$D$82 ) )</f>
        <v>2620799.9216189645</v>
      </c>
      <c r="H16" s="12">
        <f>IF(('Evolução Ligações'!J17+'Evolução Ligações'!L17+'Evolução Ligações'!N17)*('Dados de Entrada'!$D$83)&lt;=20000,20000,('Evolução Ligações'!J17+'Evolução Ligações'!L17+'Evolução Ligações'!N17)*('Dados de Entrada'!$D$83))</f>
        <v>208151.98656325103</v>
      </c>
      <c r="I16" s="11">
        <f t="shared" si="0"/>
        <v>32347587.607047524</v>
      </c>
      <c r="J16" s="76"/>
      <c r="K16" s="173">
        <v>2851956</v>
      </c>
      <c r="L16" s="173">
        <v>167400</v>
      </c>
      <c r="M16" s="173">
        <f xml:space="preserve"> ( ( 'Composição Faturamento 2'!$I16 ) * ( 'Dados de Entrada'!$D$86 ) )</f>
        <v>33598.605584630168</v>
      </c>
      <c r="N16" s="637">
        <f>('Evolução Ligações'!P17+'Evolução Ligações'!H17)*'Dados de Entrada'!$D$84</f>
        <v>299519.99104216736</v>
      </c>
      <c r="O16" s="173">
        <f xml:space="preserve"> ( ( 'Composição Faturamento 2'!$I16 ) * ( 'Dados de Entrada'!$D$85 ) )</f>
        <v>33598.605584630168</v>
      </c>
      <c r="P16" s="173">
        <f t="shared" si="1"/>
        <v>3386073.202211428</v>
      </c>
      <c r="R16" s="11">
        <f t="shared" si="2"/>
        <v>35733660.809258953</v>
      </c>
      <c r="T16" s="862">
        <f>R16/('Evolução Ligações'!B17+'Evolução Ligações'!D17+'Evolução Ligações'!F17+'Evolução Ligações'!J17+'Evolução Ligações'!L17+'Evolução Ligações'!N17)</f>
        <v>477.2123648231314</v>
      </c>
    </row>
    <row r="17" spans="1:24" ht="15" customHeight="1">
      <c r="A17" s="75">
        <f t="shared" si="3"/>
        <v>14</v>
      </c>
      <c r="B17" s="12">
        <v>5971920</v>
      </c>
      <c r="C17" s="139">
        <f>'Energia Elétrica'!T17</f>
        <v>15603806.676431488</v>
      </c>
      <c r="D17" s="12">
        <f>'Total PQ'!D18</f>
        <v>3188595.6284046089</v>
      </c>
      <c r="E17" s="12">
        <f>'Disposição de Lodo'!F18</f>
        <v>1110289.8724318584</v>
      </c>
      <c r="F17" s="139">
        <v>3914460</v>
      </c>
      <c r="G17" s="139">
        <f xml:space="preserve"> ( (('Evolução Ligações'!J18+'Evolução Ligações'!L18+'Evolução Ligações'!N18) + ('Evolução Ligações'!B18+'Evolução Ligações'!D18+'Evolução Ligações'!F18))* ( 'Dados de Entrada'!$D$82 ) )</f>
        <v>2652130.5542203775</v>
      </c>
      <c r="H17" s="12">
        <f>IF(('Evolução Ligações'!J18+'Evolução Ligações'!L18+'Evolução Ligações'!N18)*('Dados de Entrada'!$D$83)&lt;=20000,20000,('Evolução Ligações'!J18+'Evolução Ligações'!L18+'Evolução Ligações'!N18)*('Dados de Entrada'!$D$83))</f>
        <v>210642.95215206468</v>
      </c>
      <c r="I17" s="11">
        <f t="shared" si="0"/>
        <v>32651845.683640402</v>
      </c>
      <c r="J17" s="76"/>
      <c r="K17" s="173">
        <v>2851956</v>
      </c>
      <c r="L17" s="173">
        <v>167400</v>
      </c>
      <c r="M17" s="173">
        <f xml:space="preserve"> ( ( 'Composição Faturamento 2'!$I17 ) * ( 'Dados de Entrada'!$D$86 ) )</f>
        <v>34000.518180571904</v>
      </c>
      <c r="N17" s="637">
        <f>('Evolução Ligações'!P18+'Evolução Ligações'!H18)*'Dados de Entrada'!$D$84</f>
        <v>303100.63476804312</v>
      </c>
      <c r="O17" s="173">
        <f xml:space="preserve"> ( ( 'Composição Faturamento 2'!$I17 ) * ( 'Dados de Entrada'!$D$85 ) )</f>
        <v>34000.518180571904</v>
      </c>
      <c r="P17" s="173">
        <f t="shared" si="1"/>
        <v>3390457.6711291871</v>
      </c>
      <c r="R17" s="11">
        <f>I17+P17</f>
        <v>36042303.354769588</v>
      </c>
      <c r="T17" s="862">
        <f>R17/('Evolução Ligações'!B18+'Evolução Ligações'!D18+'Evolução Ligações'!F18+'Evolução Ligações'!J18+'Evolução Ligações'!L18+'Evolução Ligações'!N18)</f>
        <v>475.64800888460093</v>
      </c>
    </row>
    <row r="18" spans="1:24" ht="15" customHeight="1">
      <c r="A18" s="75">
        <f t="shared" si="3"/>
        <v>15</v>
      </c>
      <c r="B18" s="12">
        <v>5971920</v>
      </c>
      <c r="C18" s="139">
        <f>'Energia Elétrica'!T18</f>
        <v>15788359.141284404</v>
      </c>
      <c r="D18" s="12">
        <f>'Total PQ'!D19</f>
        <v>3241790.550325694</v>
      </c>
      <c r="E18" s="12">
        <f>'Disposição de Lodo'!F19</f>
        <v>1123492.7844333274</v>
      </c>
      <c r="F18" s="139">
        <v>3970260</v>
      </c>
      <c r="G18" s="139">
        <f xml:space="preserve"> ( (('Evolução Ligações'!J19+'Evolução Ligações'!L19+'Evolução Ligações'!N19) + ('Evolução Ligações'!B19+'Evolução Ligações'!D19+'Evolução Ligações'!F19))* ( 'Dados de Entrada'!$D$82 ) )</f>
        <v>2683552.6855290951</v>
      </c>
      <c r="H18" s="12">
        <f>IF(('Evolução Ligações'!J19+'Evolução Ligações'!L19+'Evolução Ligações'!N19)*('Dados de Entrada'!$D$83)&lt;=20000,20000,('Evolução Ligações'!J19+'Evolução Ligações'!L19+'Evolução Ligações'!N19)*('Dados de Entrada'!$D$83))</f>
        <v>213137.60323355912</v>
      </c>
      <c r="I18" s="11">
        <f t="shared" si="0"/>
        <v>32992512.764806084</v>
      </c>
      <c r="J18" s="76"/>
      <c r="K18" s="173">
        <v>2851956</v>
      </c>
      <c r="L18" s="173">
        <v>167400</v>
      </c>
      <c r="M18" s="173">
        <f xml:space="preserve"> ( ( 'Composição Faturamento 2'!$I18 ) * ( 'Dados de Entrada'!$D$86 ) )</f>
        <v>34402.563215883732</v>
      </c>
      <c r="N18" s="637">
        <f>('Evolução Ligações'!P19+'Evolução Ligações'!H19)*'Dados de Entrada'!$D$84</f>
        <v>306691.73548903945</v>
      </c>
      <c r="O18" s="173">
        <f xml:space="preserve"> ( ( 'Composição Faturamento 2'!$I18 ) * ( 'Dados de Entrada'!$D$85 ) )</f>
        <v>34402.563215883732</v>
      </c>
      <c r="P18" s="173">
        <f t="shared" si="1"/>
        <v>3394852.861920807</v>
      </c>
      <c r="R18" s="11">
        <f t="shared" si="2"/>
        <v>36387365.626726888</v>
      </c>
      <c r="T18" s="862">
        <f>R18/('Evolução Ligações'!B19+'Evolução Ligações'!D19+'Evolução Ligações'!F19+'Evolução Ligações'!J19+'Evolução Ligações'!L19+'Evolução Ligações'!N19)</f>
        <v>474.57901751026873</v>
      </c>
    </row>
    <row r="19" spans="1:24" ht="15" customHeight="1">
      <c r="A19" s="75">
        <f t="shared" si="3"/>
        <v>16</v>
      </c>
      <c r="B19" s="12">
        <v>5971920</v>
      </c>
      <c r="C19" s="139">
        <f>'Energia Elétrica'!T19</f>
        <v>15972785.439696858</v>
      </c>
      <c r="D19" s="12">
        <f>'Total PQ'!D20</f>
        <v>3295346.3918234888</v>
      </c>
      <c r="E19" s="12">
        <f>'Disposição de Lodo'!F20</f>
        <v>1136695.9481930784</v>
      </c>
      <c r="F19" s="139">
        <v>3970260</v>
      </c>
      <c r="G19" s="139">
        <f xml:space="preserve"> ( (('Evolução Ligações'!J20+'Evolução Ligações'!L20+'Evolução Ligações'!N20) + ('Evolução Ligações'!B20+'Evolução Ligações'!D20+'Evolução Ligações'!F20))* ( 'Dados de Entrada'!$D$82 ) )</f>
        <v>2714904.8168378128</v>
      </c>
      <c r="H19" s="12">
        <f>IF(('Evolução Ligações'!J20+'Evolução Ligações'!L20+'Evolução Ligações'!N20)*('Dados de Entrada'!$D$83)&lt;=20000,20000,('Evolução Ligações'!J20+'Evolução Ligações'!L20+'Evolução Ligações'!N20)*('Dados de Entrada'!$D$83))</f>
        <v>215626.25431505352</v>
      </c>
      <c r="I19" s="11">
        <f t="shared" si="0"/>
        <v>33277538.850866288</v>
      </c>
      <c r="J19" s="76"/>
      <c r="K19" s="173">
        <v>2851956</v>
      </c>
      <c r="L19" s="173">
        <v>167400</v>
      </c>
      <c r="M19" s="173">
        <f xml:space="preserve"> ( ( 'Composição Faturamento 2'!$I19 ) * ( 'Dados de Entrada'!$D$86 ) )</f>
        <v>34804.47581245139</v>
      </c>
      <c r="N19" s="637">
        <f>('Evolução Ligações'!P20+'Evolução Ligações'!H20)*'Dados de Entrada'!$D$84</f>
        <v>310274.83621003572</v>
      </c>
      <c r="O19" s="173">
        <f xml:space="preserve"> ( ( 'Composição Faturamento 2'!$I19 ) * ( 'Dados de Entrada'!$D$85 ) )</f>
        <v>34804.47581245139</v>
      </c>
      <c r="P19" s="173">
        <f t="shared" si="1"/>
        <v>3399239.7878349386</v>
      </c>
      <c r="R19" s="11">
        <f t="shared" si="2"/>
        <v>36676778.63870123</v>
      </c>
      <c r="T19" s="862">
        <f>R19/('Evolução Ligações'!B20+'Evolução Ligações'!D20+'Evolução Ligações'!F20+'Evolução Ligações'!J20+'Evolução Ligações'!L20+'Evolução Ligações'!N20)</f>
        <v>472.82956087194202</v>
      </c>
    </row>
    <row r="20" spans="1:24" ht="15" customHeight="1">
      <c r="A20" s="75">
        <f t="shared" si="3"/>
        <v>17</v>
      </c>
      <c r="B20" s="12">
        <v>5971920</v>
      </c>
      <c r="C20" s="139">
        <f>'Energia Elétrica'!T20</f>
        <v>16157211.73810176</v>
      </c>
      <c r="D20" s="12">
        <f>'Total PQ'!D21</f>
        <v>3349266.3722108048</v>
      </c>
      <c r="E20" s="12">
        <f>'Disposição de Lodo'!F21</f>
        <v>1149889.256952829</v>
      </c>
      <c r="F20" s="139">
        <v>3914460</v>
      </c>
      <c r="G20" s="139">
        <f xml:space="preserve"> ( (('Evolução Ligações'!J21+'Evolução Ligações'!L21+'Evolução Ligações'!N21) + ('Evolução Ligações'!B21+'Evolução Ligações'!D21+'Evolução Ligações'!F21))* ( 'Dados de Entrada'!$D$82 ) )</f>
        <v>2746256.94814653</v>
      </c>
      <c r="H20" s="12">
        <f>IF(('Evolução Ligações'!J21+'Evolução Ligações'!L21+'Evolução Ligações'!N21)*('Dados de Entrada'!$D$83)&lt;=20000,20000,('Evolução Ligações'!J21+'Evolução Ligações'!L21+'Evolução Ligações'!N21)*('Dados de Entrada'!$D$83))</f>
        <v>218120.90539654798</v>
      </c>
      <c r="I20" s="11">
        <f t="shared" si="0"/>
        <v>33507125.220808469</v>
      </c>
      <c r="J20" s="76"/>
      <c r="K20" s="173">
        <v>2851956</v>
      </c>
      <c r="L20" s="173">
        <v>167400</v>
      </c>
      <c r="M20" s="173">
        <f xml:space="preserve"> ( ( 'Composição Faturamento 2'!$I20 ) * ( 'Dados de Entrada'!$D$86 ) )</f>
        <v>35206.554554235969</v>
      </c>
      <c r="N20" s="637">
        <f>('Evolução Ligações'!P21+'Evolução Ligações'!H21)*'Dados de Entrada'!$D$84</f>
        <v>313857.93693103199</v>
      </c>
      <c r="O20" s="173">
        <f xml:space="preserve"> ( ( 'Composição Faturamento 2'!$I20 ) * ( 'Dados de Entrada'!$D$85 ) )</f>
        <v>35206.554554235969</v>
      </c>
      <c r="P20" s="173">
        <f t="shared" si="1"/>
        <v>3403627.046039504</v>
      </c>
      <c r="R20" s="11">
        <f t="shared" si="2"/>
        <v>36910752.266847976</v>
      </c>
      <c r="T20" s="862">
        <f>R20/('Evolução Ligações'!B21+'Evolução Ligações'!D21+'Evolução Ligações'!F21+'Evolução Ligações'!J21+'Evolução Ligações'!L21+'Evolução Ligações'!N21)</f>
        <v>470.41349507065479</v>
      </c>
    </row>
    <row r="21" spans="1:24" ht="15" customHeight="1">
      <c r="A21" s="75">
        <f t="shared" si="3"/>
        <v>18</v>
      </c>
      <c r="B21" s="12">
        <v>5971920</v>
      </c>
      <c r="C21" s="139">
        <f>'Energia Elétrica'!T21</f>
        <v>16343006.177168248</v>
      </c>
      <c r="D21" s="12">
        <f>'Total PQ'!D22</f>
        <v>3403836.3470999319</v>
      </c>
      <c r="E21" s="12">
        <f>'Disposição de Lodo'!F22</f>
        <v>1163143.853871482</v>
      </c>
      <c r="F21" s="139">
        <v>3970260</v>
      </c>
      <c r="G21" s="139">
        <f xml:space="preserve"> ( (('Evolução Ligações'!J22+'Evolução Ligações'!L22+'Evolução Ligações'!N22) + ('Evolução Ligações'!B22+'Evolução Ligações'!D22+'Evolução Ligações'!F22))* ( 'Dados de Entrada'!$D$82 ) )</f>
        <v>2777870.074284466</v>
      </c>
      <c r="H21" s="12">
        <f>IF(('Evolução Ligações'!J22+'Evolução Ligações'!L22+'Evolução Ligações'!N22)*('Dados de Entrada'!$D$83)&lt;=20000,20000,('Evolução Ligações'!J22+'Evolução Ligações'!L22+'Evolução Ligações'!N22)*('Dados de Entrada'!$D$83))</f>
        <v>220630.29844876559</v>
      </c>
      <c r="I21" s="11">
        <f t="shared" si="0"/>
        <v>33850666.750872895</v>
      </c>
      <c r="J21" s="76"/>
      <c r="K21" s="173">
        <v>2851956</v>
      </c>
      <c r="L21" s="173">
        <v>167400</v>
      </c>
      <c r="M21" s="173">
        <f xml:space="preserve"> ( ( 'Composição Faturamento 2'!$I21 ) * ( 'Dados de Entrada'!$D$86 ) )</f>
        <v>35611.392582288478</v>
      </c>
      <c r="N21" s="637">
        <f>('Evolução Ligações'!P22+'Evolução Ligações'!H22)*'Dados de Entrada'!$D$84</f>
        <v>317470.86563251039</v>
      </c>
      <c r="O21" s="173">
        <f xml:space="preserve"> ( ( 'Composição Faturamento 2'!$I21 ) * ( 'Dados de Entrada'!$D$85 ) )</f>
        <v>35611.392582288478</v>
      </c>
      <c r="P21" s="173">
        <f t="shared" si="1"/>
        <v>3408049.6507970872</v>
      </c>
      <c r="R21" s="11">
        <f t="shared" si="2"/>
        <v>37258716.401669979</v>
      </c>
      <c r="T21" s="862">
        <f>R21/('Evolução Ligações'!B22+'Evolução Ligações'!D22+'Evolução Ligações'!F22+'Evolução Ligações'!J22+'Evolução Ligações'!L22+'Evolução Ligações'!N22)</f>
        <v>469.4442285585846</v>
      </c>
    </row>
    <row r="22" spans="1:24" s="24" customFormat="1" ht="15" customHeight="1">
      <c r="A22" s="75">
        <f t="shared" si="3"/>
        <v>19</v>
      </c>
      <c r="B22" s="12">
        <v>5971920</v>
      </c>
      <c r="C22" s="139">
        <f>'Energia Elétrica'!T22</f>
        <v>16530925.755429162</v>
      </c>
      <c r="D22" s="12">
        <f>'Total PQ'!D23</f>
        <v>3459342.6394833764</v>
      </c>
      <c r="E22" s="12">
        <f>'Disposição de Lodo'!F23</f>
        <v>1176517.3583993472</v>
      </c>
      <c r="F22" s="139">
        <v>3970260</v>
      </c>
      <c r="G22" s="139">
        <f xml:space="preserve"> ( (('Evolução Ligações'!J23+'Evolução Ligações'!L23+'Evolução Ligações'!N23) + ('Evolução Ligações'!B23+'Evolução Ligações'!D23+'Evolução Ligações'!F23))* ( 'Dados de Entrada'!$D$82 ) )</f>
        <v>2809795.1900808392</v>
      </c>
      <c r="H22" s="12">
        <f>IF(('Evolução Ligações'!J23+'Evolução Ligações'!L23+'Evolução Ligações'!N23)*('Dados de Entrada'!$D$83)&lt;=20000,20000,('Evolução Ligações'!J23+'Evolução Ligações'!L23+'Evolução Ligações'!N23)*('Dados de Entrada'!$D$83))</f>
        <v>223163.17544242955</v>
      </c>
      <c r="I22" s="11">
        <f t="shared" si="0"/>
        <v>34141924.118835151</v>
      </c>
      <c r="J22" s="76"/>
      <c r="K22" s="173">
        <v>2851956</v>
      </c>
      <c r="L22" s="173">
        <v>167400</v>
      </c>
      <c r="M22" s="173">
        <f xml:space="preserve"> ( ( 'Composição Faturamento 2'!$I22 ) * ( 'Dados de Entrada'!$D$86 ) )</f>
        <v>36020.665557273678</v>
      </c>
      <c r="N22" s="637">
        <f>('Evolução Ligações'!P23+'Evolução Ligações'!H23)*'Dados de Entrada'!$D$84</f>
        <v>321119.45029495307</v>
      </c>
      <c r="O22" s="173">
        <f xml:space="preserve"> ( ( 'Composição Faturamento 2'!$I22 ) * ( 'Dados de Entrada'!$D$85 ) )</f>
        <v>36020.665557273678</v>
      </c>
      <c r="P22" s="173">
        <f t="shared" si="1"/>
        <v>3412516.7814095002</v>
      </c>
      <c r="Q22" s="78"/>
      <c r="R22" s="11">
        <f t="shared" si="2"/>
        <v>37554440.900244653</v>
      </c>
      <c r="S22" s="78"/>
      <c r="T22" s="862">
        <f>R22/('Evolução Ligações'!B23+'Evolução Ligações'!D23+'Evolução Ligações'!F23+'Evolução Ligações'!J23+'Evolução Ligações'!L23+'Evolução Ligações'!N23)</f>
        <v>467.79403571786548</v>
      </c>
      <c r="U22" s="77"/>
      <c r="V22" s="77"/>
      <c r="W22" s="78"/>
      <c r="X22" s="78"/>
    </row>
    <row r="23" spans="1:24" ht="15" customHeight="1">
      <c r="A23" s="75">
        <f t="shared" si="3"/>
        <v>20</v>
      </c>
      <c r="B23" s="12">
        <v>5971920</v>
      </c>
      <c r="C23" s="139">
        <f>'Energia Elétrica'!T23</f>
        <v>16720970.47285061</v>
      </c>
      <c r="D23" s="12">
        <f>'Total PQ'!D24</f>
        <v>3515871.8585250098</v>
      </c>
      <c r="E23" s="12">
        <f>'Disposição de Lodo'!F24</f>
        <v>1190039.335536425</v>
      </c>
      <c r="F23" s="139">
        <v>3914460</v>
      </c>
      <c r="G23" s="139">
        <f xml:space="preserve"> ( (('Evolução Ligações'!J24+'Evolução Ligações'!L24+'Evolução Ligações'!N24) + ('Evolução Ligações'!B24+'Evolução Ligações'!D24+'Evolução Ligações'!F24))* ( 'Dados de Entrada'!$D$82 ) )</f>
        <v>2842102.2955356492</v>
      </c>
      <c r="H23" s="12">
        <f>IF(('Evolução Ligações'!J24+'Evolução Ligações'!L24+'Evolução Ligações'!N24)*('Dados de Entrada'!$D$83)&lt;=20000,20000,('Evolução Ligações'!J24+'Evolução Ligações'!L24+'Evolução Ligações'!N24)*('Dados de Entrada'!$D$83))</f>
        <v>225731.53637753992</v>
      </c>
      <c r="I23" s="11">
        <f t="shared" si="0"/>
        <v>34381095.498825237</v>
      </c>
      <c r="J23" s="76"/>
      <c r="K23" s="173">
        <v>2851956</v>
      </c>
      <c r="L23" s="173">
        <v>167400</v>
      </c>
      <c r="M23" s="173">
        <f xml:space="preserve"> ( ( 'Composição Faturamento 2'!$I23 ) * ( 'Dados de Entrada'!$D$86 ) )</f>
        <v>36435.035497333949</v>
      </c>
      <c r="N23" s="637">
        <f>('Evolução Ligações'!P24+'Evolução Ligações'!H24)*'Dados de Entrada'!$D$84</f>
        <v>324811.69091835991</v>
      </c>
      <c r="O23" s="173">
        <f xml:space="preserve"> ( ( 'Composição Faturamento 2'!$I23 ) * ( 'Dados de Entrada'!$D$85 ) )</f>
        <v>36435.035497333949</v>
      </c>
      <c r="P23" s="173">
        <f t="shared" si="1"/>
        <v>3417037.7619130276</v>
      </c>
      <c r="R23" s="11">
        <f t="shared" si="2"/>
        <v>37798133.260738268</v>
      </c>
      <c r="T23" s="862">
        <f>R23/('Evolução Ligações'!B24+'Evolução Ligações'!D24+'Evolução Ligações'!F24+'Evolução Ligações'!J24+'Evolução Ligações'!L24+'Evolução Ligações'!N24)</f>
        <v>465.47749748624256</v>
      </c>
    </row>
    <row r="24" spans="1:24" ht="15" customHeight="1">
      <c r="A24" s="75">
        <f t="shared" si="3"/>
        <v>21</v>
      </c>
      <c r="B24" s="12">
        <v>5971920</v>
      </c>
      <c r="C24" s="139">
        <f>'Energia Elétrica'!T24</f>
        <v>16913266.495804384</v>
      </c>
      <c r="D24" s="12">
        <f>'Total PQ'!D25</f>
        <v>3573460.1547883684</v>
      </c>
      <c r="E24" s="12">
        <f>'Disposição de Lodo'!F25</f>
        <v>1203729.2435244331</v>
      </c>
      <c r="F24" s="139">
        <v>3970260</v>
      </c>
      <c r="G24" s="139">
        <f xml:space="preserve"> ( (('Evolução Ligações'!J25+'Evolução Ligações'!L25+'Evolução Ligações'!N25) + ('Evolução Ligações'!B25+'Evolução Ligações'!D25+'Evolução Ligações'!F25))* ( 'Dados de Entrada'!$D$82 ) )</f>
        <v>2874847.889356201</v>
      </c>
      <c r="H24" s="12">
        <f>IF(('Evolução Ligações'!J25+'Evolução Ligações'!L25+'Evolução Ligações'!N25)*('Dados de Entrada'!$D$83)&lt;=20000,20000,('Evolução Ligações'!J25+'Evolução Ligações'!L25+'Evolução Ligações'!N25)*('Dados de Entrada'!$D$83))</f>
        <v>228333.06674677736</v>
      </c>
      <c r="I24" s="11">
        <f t="shared" si="0"/>
        <v>34735816.850220166</v>
      </c>
      <c r="J24" s="76"/>
      <c r="K24" s="173">
        <v>2851956</v>
      </c>
      <c r="L24" s="173">
        <v>167400</v>
      </c>
      <c r="M24" s="173">
        <f xml:space="preserve"> ( ( 'Composição Faturamento 2'!$I24 ) * ( 'Dados de Entrada'!$D$86 ) )</f>
        <v>36854.157108274696</v>
      </c>
      <c r="N24" s="637">
        <f>('Evolução Ligações'!P25+'Evolução Ligações'!H25)*'Dados de Entrada'!$D$84</f>
        <v>328554.04449785157</v>
      </c>
      <c r="O24" s="173">
        <f xml:space="preserve"> ( ( 'Composição Faturamento 2'!$I24 ) * ( 'Dados de Entrada'!$D$85 ) )</f>
        <v>36854.157108274696</v>
      </c>
      <c r="P24" s="173">
        <f t="shared" si="1"/>
        <v>3421618.3587144013</v>
      </c>
      <c r="R24" s="11">
        <f t="shared" si="2"/>
        <v>38157435.208934568</v>
      </c>
      <c r="T24" s="862">
        <f>R24/('Evolução Ligações'!B25+'Evolução Ligações'!D25+'Evolução Ligações'!F25+'Evolução Ligações'!J25+'Evolução Ligações'!L25+'Evolução Ligações'!N25)</f>
        <v>464.54987662383297</v>
      </c>
    </row>
    <row r="25" spans="1:24" ht="15" customHeight="1">
      <c r="A25" s="75">
        <f t="shared" si="3"/>
        <v>22</v>
      </c>
      <c r="B25" s="12">
        <v>5971920</v>
      </c>
      <c r="C25" s="139">
        <f>'Energia Elétrica'!T25</f>
        <v>17107789.463183656</v>
      </c>
      <c r="D25" s="12">
        <f>'Total PQ'!D26</f>
        <v>3632133.769877892</v>
      </c>
      <c r="E25" s="12">
        <f>'Disposição de Lodo'!F26</f>
        <v>1217572.299863372</v>
      </c>
      <c r="F25" s="139">
        <v>3970260</v>
      </c>
      <c r="G25" s="139">
        <f xml:space="preserve"> ( (('Evolução Ligações'!J26+'Evolução Ligações'!L26+'Evolução Ligações'!N26) + ('Evolução Ligações'!B26+'Evolução Ligações'!D26+'Evolução Ligações'!F26))* ( 'Dados de Entrada'!$D$82 ) )</f>
        <v>2907883.9741278859</v>
      </c>
      <c r="H25" s="12">
        <f>IF(('Evolução Ligações'!J26+'Evolução Ligações'!L26+'Evolução Ligações'!N26)*('Dados de Entrada'!$D$83)&lt;=20000,20000,('Evolução Ligações'!J26+'Evolução Ligações'!L26+'Evolução Ligações'!N26)*('Dados de Entrada'!$D$83))</f>
        <v>230960.39556478043</v>
      </c>
      <c r="I25" s="11">
        <f t="shared" si="0"/>
        <v>35038519.902617589</v>
      </c>
      <c r="J25" s="76"/>
      <c r="K25" s="173">
        <v>2851956</v>
      </c>
      <c r="L25" s="173">
        <v>167400</v>
      </c>
      <c r="M25" s="173">
        <f xml:space="preserve"> ( ( 'Composição Faturamento 2'!$I25 ) * ( 'Dados de Entrada'!$D$86 ) )</f>
        <v>37278.13373363253</v>
      </c>
      <c r="N25" s="637">
        <f>('Evolução Ligações'!P26+'Evolução Ligações'!H26)*'Dados de Entrada'!$D$84</f>
        <v>332329.59704318695</v>
      </c>
      <c r="O25" s="173">
        <f xml:space="preserve"> ( ( 'Composição Faturamento 2'!$I25 ) * ( 'Dados de Entrada'!$D$85 ) )</f>
        <v>37278.13373363253</v>
      </c>
      <c r="P25" s="173">
        <f t="shared" si="1"/>
        <v>3426241.8645104519</v>
      </c>
      <c r="R25" s="11">
        <f t="shared" si="2"/>
        <v>38464761.767128043</v>
      </c>
      <c r="T25" s="862">
        <f>R25/('Evolução Ligações'!B26+'Evolução Ligações'!D26+'Evolução Ligações'!F26+'Evolução Ligações'!J26+'Evolução Ligações'!L26+'Evolução Ligações'!N26)</f>
        <v>462.97124432320078</v>
      </c>
    </row>
    <row r="26" spans="1:24" s="24" customFormat="1" ht="15" customHeight="1">
      <c r="A26" s="75">
        <f t="shared" si="3"/>
        <v>23</v>
      </c>
      <c r="B26" s="12">
        <v>5971920</v>
      </c>
      <c r="C26" s="139">
        <f>'Energia Elétrica'!T26</f>
        <v>17304563.736171521</v>
      </c>
      <c r="D26" s="12">
        <f>'Total PQ'!D27</f>
        <v>3691905.6242858884</v>
      </c>
      <c r="E26" s="12">
        <f>'Disposição de Lodo'!F27</f>
        <v>1231583.2870532412</v>
      </c>
      <c r="F26" s="139">
        <v>3914460</v>
      </c>
      <c r="G26" s="139">
        <f xml:space="preserve"> ( (('Evolução Ligações'!J27+'Evolução Ligações'!L27+'Evolução Ligações'!N27) + ('Evolução Ligações'!B27+'Evolução Ligações'!D27+'Evolução Ligações'!F27))* ( 'Dados de Entrada'!$D$82 ) )</f>
        <v>2941337.048558007</v>
      </c>
      <c r="H26" s="12">
        <f>IF(('Evolução Ligações'!J27+'Evolução Ligações'!L27+'Evolução Ligações'!N27)*('Dados de Entrada'!$D$83)&lt;=20000,20000,('Evolução Ligações'!J27+'Evolução Ligações'!L27+'Evolução Ligações'!N27)*('Dados de Entrada'!$D$83))</f>
        <v>233617.20832422987</v>
      </c>
      <c r="I26" s="11">
        <f t="shared" si="0"/>
        <v>35289386.904392891</v>
      </c>
      <c r="J26" s="76"/>
      <c r="K26" s="173">
        <v>2851956</v>
      </c>
      <c r="L26" s="173">
        <v>167400</v>
      </c>
      <c r="M26" s="173">
        <f xml:space="preserve"> ( ( 'Composição Faturamento 2'!$I26 ) * ( 'Dados de Entrada'!$D$86 ) )</f>
        <v>37706.838071491497</v>
      </c>
      <c r="N26" s="637">
        <f>('Evolução Ligações'!P27+'Evolução Ligações'!H27)*'Dados de Entrada'!$D$84</f>
        <v>336152.80554948654</v>
      </c>
      <c r="O26" s="173">
        <f xml:space="preserve"> ( ( 'Composição Faturamento 2'!$I26 ) * ( 'Dados de Entrada'!$D$85 ) )</f>
        <v>37706.838071491497</v>
      </c>
      <c r="P26" s="173">
        <f t="shared" si="1"/>
        <v>3430922.4816924697</v>
      </c>
      <c r="Q26" s="78"/>
      <c r="R26" s="11">
        <f t="shared" si="2"/>
        <v>38720309.386085361</v>
      </c>
      <c r="S26" s="78"/>
      <c r="T26" s="862">
        <f>R26/('Evolução Ligações'!B27+'Evolução Ligações'!D27+'Evolução Ligações'!F27+'Evolução Ligações'!J27+'Evolução Ligações'!L27+'Evolução Ligações'!N27)</f>
        <v>460.74652654219983</v>
      </c>
      <c r="U26" s="77"/>
      <c r="V26" s="77"/>
      <c r="W26" s="78"/>
      <c r="X26" s="78"/>
    </row>
    <row r="27" spans="1:24" s="24" customFormat="1" ht="15" customHeight="1">
      <c r="A27" s="75">
        <f t="shared" si="3"/>
        <v>24</v>
      </c>
      <c r="B27" s="12">
        <v>5971920</v>
      </c>
      <c r="C27" s="139">
        <f>'Energia Elétrica'!T27</f>
        <v>17503715.481259551</v>
      </c>
      <c r="D27" s="12">
        <f>'Total PQ'!D28</f>
        <v>3752820.2031001551</v>
      </c>
      <c r="E27" s="12">
        <f>'Disposição de Lodo'!F28</f>
        <v>1245747.1708357597</v>
      </c>
      <c r="F27" s="139">
        <v>3970260</v>
      </c>
      <c r="G27" s="139">
        <f xml:space="preserve"> ( (('Evolução Ligações'!J28+'Evolução Ligações'!L28+'Evolução Ligações'!N28) + ('Evolução Ligações'!B28+'Evolução Ligações'!D28+'Evolução Ligações'!F28))* ( 'Dados de Entrada'!$D$82 ) )</f>
        <v>2975250.1100611752</v>
      </c>
      <c r="H27" s="12">
        <f>IF(('Evolução Ligações'!J28+'Evolução Ligações'!L28+'Evolução Ligações'!N28)*('Dados de Entrada'!$D$83)&lt;=20000,20000,('Evolução Ligações'!J28+'Evolução Ligações'!L28+'Evolução Ligações'!N28)*('Dados de Entrada'!$D$83))</f>
        <v>236310.87601048726</v>
      </c>
      <c r="I27" s="11">
        <f t="shared" si="0"/>
        <v>35656023.841267124</v>
      </c>
      <c r="J27" s="76"/>
      <c r="K27" s="173">
        <v>2946072</v>
      </c>
      <c r="L27" s="173">
        <v>167400</v>
      </c>
      <c r="M27" s="173">
        <f xml:space="preserve"> ( ( 'Composição Faturamento 2'!$I27 ) * ( 'Dados de Entrada'!$D$86 ) )</f>
        <v>38140.738103131967</v>
      </c>
      <c r="N27" s="637">
        <f>('Evolução Ligações'!P28+'Evolução Ligações'!H28)*'Dados de Entrada'!$D$84</f>
        <v>340028.58400699147</v>
      </c>
      <c r="O27" s="173">
        <f xml:space="preserve"> ( ( 'Composição Faturamento 2'!$I27 ) * ( 'Dados de Entrada'!$D$85 ) )</f>
        <v>38140.738103131967</v>
      </c>
      <c r="P27" s="173">
        <f t="shared" si="1"/>
        <v>3529782.0602132548</v>
      </c>
      <c r="Q27" s="78"/>
      <c r="R27" s="11">
        <f t="shared" si="2"/>
        <v>39185805.901480377</v>
      </c>
      <c r="S27" s="78"/>
      <c r="T27" s="862">
        <f>R27/('Evolução Ligações'!B28+'Evolução Ligações'!D28+'Evolução Ligações'!F28+'Evolução Ligações'!J28+'Evolução Ligações'!L28+'Evolução Ligações'!N28)</f>
        <v>460.97072710422088</v>
      </c>
      <c r="U27" s="77"/>
      <c r="V27" s="77"/>
      <c r="W27" s="78"/>
      <c r="X27" s="78"/>
    </row>
    <row r="28" spans="1:24" ht="15" customHeight="1">
      <c r="A28" s="75">
        <f t="shared" si="3"/>
        <v>25</v>
      </c>
      <c r="B28" s="12">
        <v>5971920</v>
      </c>
      <c r="C28" s="139">
        <f>'Energia Elétrica'!T28</f>
        <v>17705244.698573802</v>
      </c>
      <c r="D28" s="12">
        <f>'Total PQ'!D29</f>
        <v>3814902.8632866875</v>
      </c>
      <c r="E28" s="12">
        <f>'Disposição de Lodo'!F29</f>
        <v>1260093.5162109274</v>
      </c>
      <c r="F28" s="139">
        <v>3970260</v>
      </c>
      <c r="G28" s="139">
        <f xml:space="preserve"> ( (('Evolução Ligações'!J29+'Evolução Ligações'!L29+'Evolução Ligações'!N29) + ('Evolução Ligações'!B29+'Evolução Ligações'!D29+'Evolução Ligações'!F29))* ( 'Dados de Entrada'!$D$82 ) )</f>
        <v>3009545.1612227811</v>
      </c>
      <c r="H28" s="12">
        <f>IF(('Evolução Ligações'!J29+'Evolução Ligações'!L29+'Evolução Ligações'!N29)*('Dados de Entrada'!$D$83)&lt;=20000,20000,('Evolução Ligações'!J29+'Evolução Ligações'!L29+'Evolução Ligações'!N29)*('Dados de Entrada'!$D$83))</f>
        <v>239034.02763819095</v>
      </c>
      <c r="I28" s="11">
        <f t="shared" si="0"/>
        <v>35971000.266932391</v>
      </c>
      <c r="J28" s="76"/>
      <c r="K28" s="173">
        <v>2946072</v>
      </c>
      <c r="L28" s="173">
        <v>167400</v>
      </c>
      <c r="M28" s="173">
        <f xml:space="preserve"> ( ( 'Composição Faturamento 2'!$I28 ) * ( 'Dados de Entrada'!$D$86 ) )</f>
        <v>38579.955316398424</v>
      </c>
      <c r="N28" s="637">
        <f>('Evolução Ligações'!P29+'Evolução Ligações'!H29)*'Dados de Entrada'!$D$84</f>
        <v>343948.01842546067</v>
      </c>
      <c r="O28" s="173">
        <f xml:space="preserve"> ( ( 'Composição Faturamento 2'!$I28 ) * ( 'Dados de Entrada'!$D$85 ) )</f>
        <v>38579.955316398424</v>
      </c>
      <c r="P28" s="173">
        <f t="shared" si="1"/>
        <v>3534579.9290582575</v>
      </c>
      <c r="R28" s="11">
        <f t="shared" si="2"/>
        <v>39505580.195990652</v>
      </c>
      <c r="T28" s="862">
        <f>R28/('Evolução Ligações'!B29+'Evolução Ligações'!D29+'Evolução Ligações'!F29+'Evolução Ligações'!J29+'Evolução Ligações'!L29+'Evolução Ligações'!N29)</f>
        <v>459.4366366969162</v>
      </c>
    </row>
    <row r="29" spans="1:24" ht="15" customHeight="1">
      <c r="A29" s="75">
        <f t="shared" si="3"/>
        <v>26</v>
      </c>
      <c r="B29" s="12">
        <v>5971920</v>
      </c>
      <c r="C29" s="139">
        <f>'Energia Elétrica'!T29</f>
        <v>17908879.364874229</v>
      </c>
      <c r="D29" s="12">
        <f>'Total PQ'!D30</f>
        <v>3878111.3916426254</v>
      </c>
      <c r="E29" s="12">
        <f>'Disposição de Lodo'!F30</f>
        <v>1274598.1891953072</v>
      </c>
      <c r="F29" s="139">
        <v>3914460</v>
      </c>
      <c r="G29" s="139">
        <f xml:space="preserve"> ( (('Evolução Ligações'!J30+'Evolução Ligações'!L30+'Evolução Ligações'!N30) + ('Evolução Ligações'!B30+'Evolução Ligações'!D30+'Evolução Ligações'!F30))* ( 'Dados de Entrada'!$D$82 ) )</f>
        <v>3044165.7033355185</v>
      </c>
      <c r="H29" s="12">
        <f>IF(('Evolução Ligações'!J30+'Evolução Ligações'!L30+'Evolução Ligações'!N30)*('Dados de Entrada'!$D$83)&lt;=20000,20000,('Evolução Ligações'!J30+'Evolução Ligações'!L30+'Evolução Ligações'!N30)*('Dados de Entrada'!$D$83))</f>
        <v>241782.97771466029</v>
      </c>
      <c r="I29" s="11">
        <f t="shared" si="0"/>
        <v>36233917.626762338</v>
      </c>
      <c r="J29" s="76"/>
      <c r="K29" s="173">
        <v>2946072</v>
      </c>
      <c r="L29" s="173">
        <v>167400</v>
      </c>
      <c r="M29" s="173">
        <f xml:space="preserve"> ( ( 'Composição Faturamento 2'!$I29 ) * ( 'Dados de Entrada'!$D$86 ) )</f>
        <v>39023.598406828678</v>
      </c>
      <c r="N29" s="637">
        <f>('Evolução Ligações'!P30+'Evolução Ligações'!H30)*'Dados de Entrada'!$D$84</f>
        <v>347904.65180977352</v>
      </c>
      <c r="O29" s="173">
        <f xml:space="preserve"> ( ( 'Composição Faturamento 2'!$I29 ) * ( 'Dados de Entrada'!$D$85 ) )</f>
        <v>39023.598406828678</v>
      </c>
      <c r="P29" s="173">
        <f t="shared" si="1"/>
        <v>3539423.8486234304</v>
      </c>
      <c r="R29" s="11">
        <f t="shared" si="2"/>
        <v>39773341.47538577</v>
      </c>
      <c r="T29" s="862">
        <f>R29/('Evolução Ligações'!B30+'Evolução Ligações'!D30+'Evolução Ligações'!F30+'Evolução Ligações'!J30+'Evolução Ligações'!L30+'Evolução Ligações'!N30)</f>
        <v>457.29013703597093</v>
      </c>
    </row>
    <row r="30" spans="1:24" ht="15" customHeight="1">
      <c r="A30" s="75">
        <f t="shared" si="3"/>
        <v>27</v>
      </c>
      <c r="B30" s="12">
        <v>5971920</v>
      </c>
      <c r="C30" s="139">
        <f>'Energia Elétrica'!T30</f>
        <v>18114891.503272217</v>
      </c>
      <c r="D30" s="12">
        <f>'Total PQ'!D31</f>
        <v>3942492.545290364</v>
      </c>
      <c r="E30" s="12">
        <f>'Disposição de Lodo'!F31</f>
        <v>1289260.6862723362</v>
      </c>
      <c r="F30" s="139">
        <v>3970260</v>
      </c>
      <c r="G30" s="139">
        <f xml:space="preserve"> ( (('Evolução Ligações'!J31+'Evolução Ligações'!L31+'Evolução Ligações'!N31) + ('Evolução Ligações'!B31+'Evolução Ligações'!D31+'Evolução Ligações'!F31))* ( 'Dados de Entrada'!$D$82 ) )</f>
        <v>3079154.7338139974</v>
      </c>
      <c r="H30" s="12">
        <f>IF(('Evolução Ligações'!J31+'Evolução Ligações'!L31+'Evolução Ligações'!N31)*('Dados de Entrada'!$D$83)&lt;=20000,20000,('Evolução Ligações'!J31+'Evolução Ligações'!L31+'Evolução Ligações'!N31)*('Dados de Entrada'!$D$83))</f>
        <v>244565.09722525673</v>
      </c>
      <c r="I30" s="11">
        <f t="shared" si="0"/>
        <v>36612544.565874167</v>
      </c>
      <c r="J30" s="76"/>
      <c r="K30" s="173">
        <v>2946072</v>
      </c>
      <c r="L30" s="173">
        <v>167400</v>
      </c>
      <c r="M30" s="173">
        <f xml:space="preserve"> ( ( 'Composição Faturamento 2'!$I30 ) * ( 'Dados de Entrada'!$D$86 ) )</f>
        <v>39472.564494921397</v>
      </c>
      <c r="N30" s="637">
        <f>('Evolução Ligações'!P31+'Evolução Ligações'!H31)*'Dados de Entrada'!$D$84</f>
        <v>351903.39815017115</v>
      </c>
      <c r="O30" s="173">
        <f xml:space="preserve"> ( ( 'Composição Faturamento 2'!$I30 ) * ( 'Dados de Entrada'!$D$85 ) )</f>
        <v>39472.564494921397</v>
      </c>
      <c r="P30" s="173">
        <f t="shared" si="1"/>
        <v>3544320.5271400139</v>
      </c>
      <c r="R30" s="11">
        <f t="shared" si="2"/>
        <v>40156865.093014181</v>
      </c>
      <c r="T30" s="862">
        <f>R30/('Evolução Ligações'!B31+'Evolução Ligações'!D31+'Evolução Ligações'!F31+'Evolução Ligações'!J31+'Evolução Ligações'!L31+'Evolução Ligações'!N31)</f>
        <v>456.45328012294613</v>
      </c>
    </row>
    <row r="31" spans="1:24" ht="15" customHeight="1">
      <c r="A31" s="75">
        <f t="shared" si="3"/>
        <v>28</v>
      </c>
      <c r="B31" s="12">
        <v>5971920</v>
      </c>
      <c r="C31" s="139">
        <f>'Energia Elétrica'!T31</f>
        <v>18323281.113811046</v>
      </c>
      <c r="D31" s="12">
        <f>'Total PQ'!D32</f>
        <v>4008090.0217019292</v>
      </c>
      <c r="E31" s="12">
        <f>'Disposição de Lodo'!F32</f>
        <v>1304090.8624420138</v>
      </c>
      <c r="F31" s="139">
        <v>3970260</v>
      </c>
      <c r="G31" s="139">
        <f xml:space="preserve"> ( (('Evolução Ligações'!J32+'Evolução Ligações'!L32+'Evolução Ligações'!N32) + ('Evolução Ligações'!B32+'Evolução Ligações'!D32+'Evolução Ligações'!F32))* ( 'Dados de Entrada'!$D$82 ) )</f>
        <v>3114617.2526582186</v>
      </c>
      <c r="H31" s="12">
        <f>IF(('Evolução Ligações'!J32+'Evolução Ligações'!L32+'Evolução Ligações'!N32)*('Dados de Entrada'!$D$83)&lt;=20000,20000,('Evolução Ligações'!J32+'Evolução Ligações'!L32+'Evolução Ligações'!N32)*('Dados de Entrada'!$D$83))</f>
        <v>247380.38616998034</v>
      </c>
      <c r="I31" s="11">
        <f t="shared" si="0"/>
        <v>36939639.636783183</v>
      </c>
      <c r="J31" s="76"/>
      <c r="K31" s="173">
        <v>2946072</v>
      </c>
      <c r="L31" s="173">
        <v>167400</v>
      </c>
      <c r="M31" s="173">
        <f xml:space="preserve"> ( ( 'Composição Faturamento 2'!$I31 ) * ( 'Dados de Entrada'!$D$86 ) )</f>
        <v>39926.720458804753</v>
      </c>
      <c r="N31" s="637">
        <f>('Evolução Ligações'!P32+'Evolução Ligações'!H32)*'Dados de Entrada'!$D$84</f>
        <v>355956.25744665356</v>
      </c>
      <c r="O31" s="173">
        <f xml:space="preserve"> ( ( 'Composição Faturamento 2'!$I31 ) * ( 'Dados de Entrada'!$D$85 ) )</f>
        <v>39926.720458804753</v>
      </c>
      <c r="P31" s="173">
        <f t="shared" si="1"/>
        <v>3549281.6983642629</v>
      </c>
      <c r="R31" s="11">
        <f t="shared" si="2"/>
        <v>40488921.335147448</v>
      </c>
      <c r="T31" s="862">
        <f>R31/('Evolução Ligações'!B32+'Evolução Ligações'!D32+'Evolução Ligações'!F32+'Evolução Ligações'!J32+'Evolução Ligações'!L32+'Evolução Ligações'!N32)</f>
        <v>454.98760578710085</v>
      </c>
    </row>
    <row r="32" spans="1:24" ht="15" customHeight="1">
      <c r="A32" s="75">
        <f t="shared" si="3"/>
        <v>29</v>
      </c>
      <c r="B32" s="12">
        <v>5971920</v>
      </c>
      <c r="C32" s="139">
        <f>'Energia Elétrica'!T32</f>
        <v>18534028.505985864</v>
      </c>
      <c r="D32" s="12">
        <f>'Total PQ'!D33</f>
        <v>4074913.347514159</v>
      </c>
      <c r="E32" s="12">
        <f>'Disposição de Lodo'!F33</f>
        <v>1319098.5727043408</v>
      </c>
      <c r="F32" s="139">
        <v>3914460</v>
      </c>
      <c r="G32" s="139">
        <f xml:space="preserve"> ( (('Evolução Ligações'!J33+'Evolução Ligações'!L33+'Evolução Ligações'!N33) + ('Evolução Ligações'!B33+'Evolução Ligações'!D33+'Evolução Ligações'!F33))* ( 'Dados de Entrada'!$D$82 ) )</f>
        <v>3150426.7611608771</v>
      </c>
      <c r="H32" s="12">
        <f>IF(('Evolução Ligações'!J33+'Evolução Ligações'!L33+'Evolução Ligações'!N33)*('Dados de Entrada'!$D$83)&lt;=20000,20000,('Evolução Ligações'!J33+'Evolução Ligações'!L33+'Evolução Ligações'!N33)*('Dados de Entrada'!$D$83))</f>
        <v>250225.1590561503</v>
      </c>
      <c r="I32" s="11">
        <f t="shared" ref="I32:I33" si="4">SUM(B32:H32)</f>
        <v>37215072.346421398</v>
      </c>
      <c r="J32" s="76"/>
      <c r="K32" s="173">
        <v>2946072</v>
      </c>
      <c r="L32" s="173">
        <v>167400</v>
      </c>
      <c r="M32" s="173">
        <f xml:space="preserve"> ( ( 'Composição Faturamento 2'!$I32 ) * ( 'Dados de Entrada'!$D$86 ) )</f>
        <v>40385.863877788521</v>
      </c>
      <c r="N32" s="637">
        <f>('Evolução Ligações'!P33+'Evolução Ligações'!H33)*'Dados de Entrada'!$D$84</f>
        <v>360048.77270410024</v>
      </c>
      <c r="O32" s="173">
        <f xml:space="preserve"> ( ( 'Composição Faturamento 2'!$I32 ) * ( 'Dados de Entrada'!$D$85 ) )</f>
        <v>40385.863877788521</v>
      </c>
      <c r="P32" s="173">
        <f t="shared" si="1"/>
        <v>3554292.5004596775</v>
      </c>
      <c r="R32" s="11">
        <f t="shared" si="2"/>
        <v>40769364.846881077</v>
      </c>
      <c r="T32" s="862">
        <f>R32/('Evolução Ligações'!B33+'Evolução Ligações'!D33+'Evolução Ligações'!F33+'Evolução Ligações'!J33+'Evolução Ligações'!L33+'Evolução Ligações'!N33)</f>
        <v>452.93157969336187</v>
      </c>
    </row>
    <row r="33" spans="1:24" ht="15" customHeight="1">
      <c r="A33" s="75">
        <f t="shared" si="3"/>
        <v>30</v>
      </c>
      <c r="B33" s="12">
        <v>5971920</v>
      </c>
      <c r="C33" s="139">
        <f>'Energia Elétrica'!T33</f>
        <v>18747298.528291289</v>
      </c>
      <c r="D33" s="12">
        <f>'Total PQ'!D34</f>
        <v>4143015.5051597883</v>
      </c>
      <c r="E33" s="12">
        <f>'Disposição de Lodo'!F34</f>
        <v>1334273.7103010353</v>
      </c>
      <c r="F33" s="139">
        <v>3970260</v>
      </c>
      <c r="G33" s="139">
        <f xml:space="preserve"> ( (('Evolução Ligações'!J34+'Evolução Ligações'!L34+'Evolução Ligações'!N34) + ('Evolução Ligações'!B34+'Evolução Ligações'!D34+'Evolução Ligações'!F34))* ( 'Dados de Entrada'!$D$82 ) )</f>
        <v>3186731.2567365817</v>
      </c>
      <c r="H33" s="12">
        <f>IF(('Evolução Ligações'!J34+'Evolução Ligações'!L34+'Evolução Ligações'!N34)*('Dados de Entrada'!$D$83)&lt;=20000,20000,('Evolução Ligações'!J34+'Evolução Ligações'!L34+'Evolução Ligações'!N34)*('Dados de Entrada'!$D$83))</f>
        <v>253106.78686912823</v>
      </c>
      <c r="I33" s="11">
        <f t="shared" si="4"/>
        <v>37606605.787357822</v>
      </c>
      <c r="J33" s="76"/>
      <c r="K33" s="173">
        <v>2946072</v>
      </c>
      <c r="L33" s="173">
        <v>167400</v>
      </c>
      <c r="M33" s="173">
        <f xml:space="preserve"> ( ( 'Composição Faturamento 2'!$I33 ) * ( 'Dados de Entrada'!$D$86 ) )</f>
        <v>40850.48086965843</v>
      </c>
      <c r="N33" s="637">
        <f>('Evolução Ligações'!P34+'Evolução Ligações'!H34)*'Dados de Entrada'!$D$84</f>
        <v>364197.8579127522</v>
      </c>
      <c r="O33" s="173">
        <f xml:space="preserve"> ( ( 'Composição Faturamento 2'!$I33 ) * ( 'Dados de Entrada'!$D$85 ) )</f>
        <v>40850.48086965843</v>
      </c>
      <c r="P33" s="173">
        <f t="shared" ref="P33" si="5" xml:space="preserve"> SUM($K33:$O33 )</f>
        <v>3559370.8196520689</v>
      </c>
      <c r="R33" s="11">
        <f t="shared" ref="R33" si="6">I33+P33</f>
        <v>41165976.607009888</v>
      </c>
      <c r="T33" s="862">
        <f>R33/('Evolução Ligações'!B34+'Evolução Ligações'!D34+'Evolução Ligações'!F34+'Evolução Ligações'!J34+'Evolução Ligações'!L34+'Evolução Ligações'!N34)</f>
        <v>452.12760825047656</v>
      </c>
    </row>
    <row r="34" spans="1:24" ht="15" customHeight="1">
      <c r="A34" s="2" t="s">
        <v>4</v>
      </c>
      <c r="B34" s="11">
        <f t="shared" ref="B34:I34" si="7">SUM(B4:B33)</f>
        <v>172318920</v>
      </c>
      <c r="C34" s="11">
        <f t="shared" si="7"/>
        <v>469016060.13186044</v>
      </c>
      <c r="D34" s="11">
        <f t="shared" si="7"/>
        <v>98021469.135639101</v>
      </c>
      <c r="E34" s="11">
        <f t="shared" si="7"/>
        <v>32085368.345577359</v>
      </c>
      <c r="F34" s="11">
        <f t="shared" si="7"/>
        <v>97569900</v>
      </c>
      <c r="G34" s="11">
        <f t="shared" si="7"/>
        <v>75770807.7985944</v>
      </c>
      <c r="H34" s="11">
        <f t="shared" si="7"/>
        <v>5584537.3369019022</v>
      </c>
      <c r="I34" s="11">
        <f t="shared" si="7"/>
        <v>950367062.74857318</v>
      </c>
      <c r="J34" s="79"/>
      <c r="K34" s="174">
        <f>SUM(K4:K33)</f>
        <v>81676848</v>
      </c>
      <c r="L34" s="174">
        <f>SUM(L4:L33)</f>
        <v>4491900</v>
      </c>
      <c r="M34" s="174">
        <f>SUM(M4:M33)</f>
        <v>993008.05585738609</v>
      </c>
      <c r="N34" s="305"/>
      <c r="O34" s="174">
        <f>SUM(O4:O33)</f>
        <v>993008.05585738609</v>
      </c>
      <c r="P34" s="174">
        <f>SUM(P4:P33)</f>
        <v>96814285.002982661</v>
      </c>
      <c r="Q34" s="80"/>
      <c r="R34" s="174"/>
      <c r="S34" s="80"/>
      <c r="T34" s="80"/>
      <c r="V34" s="80"/>
      <c r="W34" s="80"/>
      <c r="X34" s="80"/>
    </row>
    <row r="35" spans="1:24" ht="15" customHeight="1">
      <c r="B35" s="81"/>
      <c r="C35" s="81"/>
      <c r="D35" s="81"/>
      <c r="E35" s="81"/>
      <c r="F35" s="81"/>
      <c r="G35" s="81"/>
      <c r="H35" s="81"/>
      <c r="T35" s="863">
        <f>AVERAGE(T4:T33)</f>
        <v>495.22487168509605</v>
      </c>
      <c r="V35" s="866"/>
    </row>
    <row r="36" spans="1:24" ht="15" customHeight="1">
      <c r="B36" s="81"/>
      <c r="C36" s="81"/>
      <c r="D36" s="81"/>
      <c r="E36" s="81"/>
      <c r="F36" s="81"/>
      <c r="G36" s="81"/>
      <c r="H36" s="81"/>
    </row>
    <row r="37" spans="1:24" ht="15" customHeight="1">
      <c r="K37" s="48"/>
    </row>
  </sheetData>
  <mergeCells count="1">
    <mergeCell ref="A1:P1"/>
  </mergeCells>
  <printOptions horizontalCentered="1"/>
  <pageMargins left="1.3779527559055118" right="0.39370078740157483" top="1.1811023622047245" bottom="1.1811023622047245" header="0.31496062992125984" footer="0.31496062992125984"/>
  <pageSetup paperSize="8" scale="92" orientation="landscape" r:id="rId1"/>
  <ignoredErrors>
    <ignoredError sqref="B34:P34" evalErro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-0.249977111117893"/>
  </sheetPr>
  <dimension ref="A1:AH50"/>
  <sheetViews>
    <sheetView showGridLines="0" topLeftCell="A11" zoomScale="70" zoomScaleNormal="70" workbookViewId="0">
      <selection activeCell="F52" sqref="F52"/>
    </sheetView>
  </sheetViews>
  <sheetFormatPr defaultColWidth="9.109375" defaultRowHeight="13.2"/>
  <cols>
    <col min="1" max="1" width="7" style="84" customWidth="1"/>
    <col min="2" max="2" width="84.44140625" style="84" customWidth="1"/>
    <col min="3" max="3" width="11.6640625" style="84" bestFit="1" customWidth="1"/>
    <col min="4" max="4" width="18.109375" style="84" customWidth="1"/>
    <col min="5" max="5" width="14.44140625" style="85" customWidth="1"/>
    <col min="6" max="6" width="17" style="85" customWidth="1"/>
    <col min="7" max="7" width="14.77734375" style="85" customWidth="1"/>
    <col min="8" max="34" width="14.44140625" style="85" customWidth="1"/>
    <col min="35" max="16384" width="9.109375" style="84"/>
  </cols>
  <sheetData>
    <row r="1" spans="1:34" ht="40.049999999999997" customHeight="1">
      <c r="B1" s="569" t="s">
        <v>252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0"/>
      <c r="AH1" s="570"/>
    </row>
    <row r="2" spans="1:34" s="205" customFormat="1" ht="15.75" customHeight="1">
      <c r="A2" s="573"/>
      <c r="B2" s="574"/>
      <c r="C2" s="574"/>
      <c r="D2" s="574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6"/>
    </row>
    <row r="3" spans="1:34" s="205" customFormat="1" ht="15.75" customHeight="1">
      <c r="A3" s="577"/>
      <c r="B3" s="578"/>
      <c r="C3" s="578"/>
      <c r="D3" s="578"/>
      <c r="E3" s="579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1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2"/>
    </row>
    <row r="4" spans="1:34" s="88" customFormat="1" ht="24.45" customHeight="1">
      <c r="A4" s="571"/>
      <c r="B4" s="571" t="s">
        <v>1229</v>
      </c>
      <c r="C4" s="571"/>
      <c r="D4" s="572"/>
      <c r="E4" s="1022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</row>
    <row r="5" spans="1:34" s="88" customFormat="1" ht="15.75" customHeight="1">
      <c r="A5" s="1026">
        <v>1</v>
      </c>
      <c r="B5" s="1020" t="s">
        <v>313</v>
      </c>
      <c r="C5" s="202"/>
      <c r="D5" s="193" t="s">
        <v>4</v>
      </c>
      <c r="E5" s="194" t="s">
        <v>39</v>
      </c>
      <c r="F5" s="194" t="s">
        <v>40</v>
      </c>
      <c r="G5" s="194" t="s">
        <v>41</v>
      </c>
      <c r="H5" s="194" t="s">
        <v>42</v>
      </c>
      <c r="I5" s="194" t="s">
        <v>43</v>
      </c>
      <c r="J5" s="194" t="s">
        <v>44</v>
      </c>
      <c r="K5" s="194" t="s">
        <v>45</v>
      </c>
      <c r="L5" s="194" t="s">
        <v>46</v>
      </c>
      <c r="M5" s="194" t="s">
        <v>47</v>
      </c>
      <c r="N5" s="194" t="s">
        <v>9</v>
      </c>
      <c r="O5" s="194" t="s">
        <v>10</v>
      </c>
      <c r="P5" s="194" t="s">
        <v>11</v>
      </c>
      <c r="Q5" s="194" t="s">
        <v>12</v>
      </c>
      <c r="R5" s="194" t="s">
        <v>13</v>
      </c>
      <c r="S5" s="194" t="s">
        <v>14</v>
      </c>
      <c r="T5" s="194" t="s">
        <v>15</v>
      </c>
      <c r="U5" s="194" t="s">
        <v>16</v>
      </c>
      <c r="V5" s="194" t="s">
        <v>17</v>
      </c>
      <c r="W5" s="194" t="s">
        <v>18</v>
      </c>
      <c r="X5" s="194" t="s">
        <v>19</v>
      </c>
      <c r="Y5" s="194" t="s">
        <v>20</v>
      </c>
      <c r="Z5" s="194" t="s">
        <v>21</v>
      </c>
      <c r="AA5" s="194" t="s">
        <v>22</v>
      </c>
      <c r="AB5" s="194" t="s">
        <v>23</v>
      </c>
      <c r="AC5" s="194" t="s">
        <v>24</v>
      </c>
      <c r="AD5" s="194" t="s">
        <v>25</v>
      </c>
      <c r="AE5" s="194" t="s">
        <v>26</v>
      </c>
      <c r="AF5" s="194" t="s">
        <v>27</v>
      </c>
      <c r="AG5" s="194" t="s">
        <v>28</v>
      </c>
      <c r="AH5" s="194" t="s">
        <v>29</v>
      </c>
    </row>
    <row r="6" spans="1:34" s="88" customFormat="1" ht="15.75" customHeight="1">
      <c r="A6" s="1027"/>
      <c r="B6" s="1021"/>
      <c r="C6" s="203"/>
      <c r="D6" s="196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</row>
    <row r="7" spans="1:34" s="88" customFormat="1" ht="15.75" customHeight="1">
      <c r="A7" s="183" t="s">
        <v>315</v>
      </c>
      <c r="B7" s="190" t="s">
        <v>208</v>
      </c>
      <c r="C7" s="204" t="s">
        <v>371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</row>
    <row r="8" spans="1:34" ht="15.75" customHeight="1">
      <c r="A8" s="185" t="s">
        <v>320</v>
      </c>
      <c r="B8" s="184" t="s">
        <v>1249</v>
      </c>
      <c r="C8" s="185" t="s">
        <v>372</v>
      </c>
      <c r="D8" s="189">
        <f xml:space="preserve"> SUM( $E8:$AH8 )</f>
        <v>206501.99999999988</v>
      </c>
      <c r="E8" s="139">
        <f>'Evolução Ligações'!$H5*'Dados de Entrada'!$C101</f>
        <v>6883.4000000000005</v>
      </c>
      <c r="F8" s="139">
        <f>'Evolução Ligações'!$H5*'Dados de Entrada'!$C101</f>
        <v>6883.4000000000005</v>
      </c>
      <c r="G8" s="139">
        <f>'Evolução Ligações'!$H5*'Dados de Entrada'!$C101</f>
        <v>6883.4000000000005</v>
      </c>
      <c r="H8" s="139">
        <f>'Evolução Ligações'!$H5*'Dados de Entrada'!$C101</f>
        <v>6883.4000000000005</v>
      </c>
      <c r="I8" s="139">
        <f>'Evolução Ligações'!$H5*'Dados de Entrada'!$C101</f>
        <v>6883.4000000000005</v>
      </c>
      <c r="J8" s="139">
        <f>'Evolução Ligações'!$H5*'Dados de Entrada'!$C101</f>
        <v>6883.4000000000005</v>
      </c>
      <c r="K8" s="139">
        <f>'Evolução Ligações'!$H5*'Dados de Entrada'!$C101</f>
        <v>6883.4000000000005</v>
      </c>
      <c r="L8" s="139">
        <f>'Evolução Ligações'!$H5*'Dados de Entrada'!$C101</f>
        <v>6883.4000000000005</v>
      </c>
      <c r="M8" s="139">
        <f>'Evolução Ligações'!$H5*'Dados de Entrada'!$C101</f>
        <v>6883.4000000000005</v>
      </c>
      <c r="N8" s="139">
        <f>'Evolução Ligações'!$H5*'Dados de Entrada'!$C101</f>
        <v>6883.4000000000005</v>
      </c>
      <c r="O8" s="139">
        <f>'Evolução Ligações'!$H5*'Dados de Entrada'!$C101</f>
        <v>6883.4000000000005</v>
      </c>
      <c r="P8" s="139">
        <f>'Evolução Ligações'!$H5*'Dados de Entrada'!$C101</f>
        <v>6883.4000000000005</v>
      </c>
      <c r="Q8" s="139">
        <f>'Evolução Ligações'!$H5*'Dados de Entrada'!$C101</f>
        <v>6883.4000000000005</v>
      </c>
      <c r="R8" s="139">
        <f>'Evolução Ligações'!$H5*'Dados de Entrada'!$C101</f>
        <v>6883.4000000000005</v>
      </c>
      <c r="S8" s="139">
        <f>'Evolução Ligações'!$H5*'Dados de Entrada'!$C101</f>
        <v>6883.4000000000005</v>
      </c>
      <c r="T8" s="139">
        <f>'Evolução Ligações'!$H5*'Dados de Entrada'!$C101</f>
        <v>6883.4000000000005</v>
      </c>
      <c r="U8" s="139">
        <f>'Evolução Ligações'!$H5*'Dados de Entrada'!$C101</f>
        <v>6883.4000000000005</v>
      </c>
      <c r="V8" s="139">
        <f>'Evolução Ligações'!$H5*'Dados de Entrada'!$C101</f>
        <v>6883.4000000000005</v>
      </c>
      <c r="W8" s="139">
        <f>'Evolução Ligações'!$H5*'Dados de Entrada'!$C101</f>
        <v>6883.4000000000005</v>
      </c>
      <c r="X8" s="139">
        <f>'Evolução Ligações'!$H5*'Dados de Entrada'!$C101</f>
        <v>6883.4000000000005</v>
      </c>
      <c r="Y8" s="139">
        <f>'Evolução Ligações'!$H5*'Dados de Entrada'!$C101</f>
        <v>6883.4000000000005</v>
      </c>
      <c r="Z8" s="139">
        <f>'Evolução Ligações'!$H5*'Dados de Entrada'!$C101</f>
        <v>6883.4000000000005</v>
      </c>
      <c r="AA8" s="139">
        <f>'Evolução Ligações'!$H5*'Dados de Entrada'!$C101</f>
        <v>6883.4000000000005</v>
      </c>
      <c r="AB8" s="139">
        <f>'Evolução Ligações'!$H5*'Dados de Entrada'!$C101</f>
        <v>6883.4000000000005</v>
      </c>
      <c r="AC8" s="139">
        <f>'Evolução Ligações'!$H5*'Dados de Entrada'!$C101</f>
        <v>6883.4000000000005</v>
      </c>
      <c r="AD8" s="139">
        <f>'Evolução Ligações'!$H5*'Dados de Entrada'!$C101</f>
        <v>6883.4000000000005</v>
      </c>
      <c r="AE8" s="139">
        <f>'Evolução Ligações'!$H5*'Dados de Entrada'!$C101</f>
        <v>6883.4000000000005</v>
      </c>
      <c r="AF8" s="139">
        <f>'Evolução Ligações'!$H5*'Dados de Entrada'!$C101</f>
        <v>6883.4000000000005</v>
      </c>
      <c r="AG8" s="139">
        <f>'Evolução Ligações'!$H5*'Dados de Entrada'!$C101</f>
        <v>6883.4000000000005</v>
      </c>
      <c r="AH8" s="139">
        <f>'Evolução Ligações'!$H5*'Dados de Entrada'!$C101</f>
        <v>6883.4000000000005</v>
      </c>
    </row>
    <row r="9" spans="1:34" ht="15.75" customHeight="1">
      <c r="A9" s="185" t="s">
        <v>321</v>
      </c>
      <c r="B9" s="184" t="s">
        <v>708</v>
      </c>
      <c r="C9" s="185" t="s">
        <v>372</v>
      </c>
      <c r="D9" s="189">
        <f xml:space="preserve"> SUM( $F9:$AH9 )</f>
        <v>1406</v>
      </c>
      <c r="E9" s="711">
        <f t="array" ref="E9:AH9">ROUND(TRANSPOSE('Evolução Ligações'!H5:H34*'Dados de Entrada'!D101:D130),0)</f>
        <v>0</v>
      </c>
      <c r="F9" s="139">
        <v>698</v>
      </c>
      <c r="G9" s="139">
        <v>708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39">
        <v>0</v>
      </c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  <c r="AH9" s="139">
        <v>0</v>
      </c>
    </row>
    <row r="10" spans="1:34" ht="15.75" customHeight="1">
      <c r="A10" s="185" t="s">
        <v>322</v>
      </c>
      <c r="B10" s="184" t="s">
        <v>709</v>
      </c>
      <c r="C10" s="185" t="s">
        <v>372</v>
      </c>
      <c r="D10" s="189">
        <f t="shared" ref="D10:D11" si="0" xml:space="preserve"> SUM( $E10:$AH10 )</f>
        <v>1769</v>
      </c>
      <c r="E10" s="139">
        <f t="array" ref="E10:AH10">ROUND(TRANSPOSE('Evolução Ligações'!H5:H34*'Dados de Entrada'!E101:E130),0)</f>
        <v>344</v>
      </c>
      <c r="F10" s="139">
        <v>349</v>
      </c>
      <c r="G10" s="139">
        <v>354</v>
      </c>
      <c r="H10" s="139">
        <v>359</v>
      </c>
      <c r="I10" s="139">
        <v>363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</row>
    <row r="11" spans="1:34" ht="15.75" customHeight="1">
      <c r="A11" s="185" t="s">
        <v>323</v>
      </c>
      <c r="B11" s="184" t="s">
        <v>783</v>
      </c>
      <c r="C11" s="185" t="s">
        <v>247</v>
      </c>
      <c r="D11" s="189">
        <f t="shared" si="0"/>
        <v>104495</v>
      </c>
      <c r="E11" s="139">
        <f t="array" ref="E11:AH11">ROUND(TRANSPOSE('Evolução de Rede'!K4:K33*'Dados de Entrada'!F101:F130),0)</f>
        <v>0</v>
      </c>
      <c r="F11" s="139">
        <v>9800</v>
      </c>
      <c r="G11" s="139">
        <v>9945</v>
      </c>
      <c r="H11" s="139">
        <v>10089</v>
      </c>
      <c r="I11" s="139">
        <v>10233</v>
      </c>
      <c r="J11" s="139">
        <v>10377</v>
      </c>
      <c r="K11" s="139">
        <v>10522</v>
      </c>
      <c r="L11" s="139">
        <v>10666</v>
      </c>
      <c r="M11" s="139">
        <v>10810</v>
      </c>
      <c r="N11" s="139">
        <v>10954</v>
      </c>
      <c r="O11" s="139">
        <v>11099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</row>
    <row r="12" spans="1:34" ht="15.75" customHeight="1">
      <c r="A12" s="185" t="s">
        <v>324</v>
      </c>
      <c r="B12" s="184" t="s">
        <v>335</v>
      </c>
      <c r="C12" s="185" t="s">
        <v>226</v>
      </c>
      <c r="D12" s="189">
        <f xml:space="preserve"> SUM( $E12:$AH12 )</f>
        <v>1</v>
      </c>
      <c r="E12" s="218">
        <v>1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</row>
    <row r="13" spans="1:34" ht="15.75" customHeight="1">
      <c r="A13" s="185" t="s">
        <v>325</v>
      </c>
      <c r="B13" s="84" t="s">
        <v>1186</v>
      </c>
      <c r="C13" s="185" t="s">
        <v>226</v>
      </c>
      <c r="D13" s="189">
        <f xml:space="preserve"> SUM( $E13:$AH13 )</f>
        <v>1</v>
      </c>
      <c r="E13" s="218">
        <v>1</v>
      </c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</row>
    <row r="14" spans="1:34" ht="15.75" customHeight="1">
      <c r="A14" s="185" t="s">
        <v>326</v>
      </c>
      <c r="B14" s="184" t="s">
        <v>317</v>
      </c>
      <c r="C14" s="185" t="s">
        <v>226</v>
      </c>
      <c r="D14" s="189">
        <f xml:space="preserve"> SUM( $E14:$AH14 )</f>
        <v>1</v>
      </c>
      <c r="E14" s="218">
        <v>1</v>
      </c>
      <c r="F14" s="139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</row>
    <row r="15" spans="1:34" ht="15.75" customHeight="1">
      <c r="A15" s="185" t="s">
        <v>343</v>
      </c>
      <c r="B15" s="184" t="s">
        <v>1185</v>
      </c>
      <c r="C15" s="185" t="s">
        <v>226</v>
      </c>
      <c r="D15" s="189">
        <f xml:space="preserve"> SUM( $E15:$AH15 )</f>
        <v>1</v>
      </c>
      <c r="E15" s="218">
        <v>1</v>
      </c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</row>
    <row r="16" spans="1:34" ht="15.75" customHeight="1">
      <c r="A16" s="185" t="s">
        <v>344</v>
      </c>
      <c r="B16" s="184" t="s">
        <v>516</v>
      </c>
      <c r="C16" s="185" t="s">
        <v>226</v>
      </c>
      <c r="D16" s="189">
        <f xml:space="preserve"> SUM( $E16:$AH16 )</f>
        <v>1</v>
      </c>
      <c r="E16" s="218">
        <v>1</v>
      </c>
      <c r="F16" s="760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4"/>
    </row>
    <row r="17" spans="1:34" s="88" customFormat="1" ht="16.05" customHeight="1">
      <c r="A17" s="183" t="s">
        <v>316</v>
      </c>
      <c r="B17" s="190" t="s">
        <v>318</v>
      </c>
      <c r="C17" s="197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</row>
    <row r="18" spans="1:34" s="88" customFormat="1" ht="15.75" customHeight="1">
      <c r="A18" s="185" t="s">
        <v>327</v>
      </c>
      <c r="B18" s="184" t="s">
        <v>404</v>
      </c>
      <c r="C18" s="185" t="s">
        <v>373</v>
      </c>
      <c r="D18" s="189">
        <f xml:space="preserve"> SUM( $E18:$AH18 )</f>
        <v>0</v>
      </c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</row>
    <row r="19" spans="1:34" s="149" customFormat="1" ht="15.75" customHeight="1">
      <c r="A19" s="185" t="s">
        <v>328</v>
      </c>
      <c r="B19" s="184" t="s">
        <v>369</v>
      </c>
      <c r="C19" s="185" t="s">
        <v>260</v>
      </c>
      <c r="D19" s="189">
        <f xml:space="preserve"> SUM( $E19:$AH19 )</f>
        <v>0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</row>
    <row r="20" spans="1:34" s="149" customFormat="1" ht="15.75" customHeight="1">
      <c r="A20" s="185" t="s">
        <v>329</v>
      </c>
      <c r="B20" s="184" t="s">
        <v>538</v>
      </c>
      <c r="C20" s="185" t="s">
        <v>372</v>
      </c>
      <c r="D20" s="189">
        <f t="shared" ref="D20" si="1">SUM(E20:AH20)</f>
        <v>14929</v>
      </c>
      <c r="E20" s="148">
        <f t="array" ref="E20:AH20">TRANSPOSE('Evolução Ligações'!C5:C34+'Evolução Ligações'!E5:E34+'Evolução Ligações'!G5:G34)</f>
        <v>481</v>
      </c>
      <c r="F20" s="148">
        <v>481</v>
      </c>
      <c r="G20" s="148">
        <v>481</v>
      </c>
      <c r="H20" s="148">
        <v>481</v>
      </c>
      <c r="I20" s="148">
        <v>481</v>
      </c>
      <c r="J20" s="148">
        <v>480</v>
      </c>
      <c r="K20" s="148">
        <v>481</v>
      </c>
      <c r="L20" s="148">
        <v>481</v>
      </c>
      <c r="M20" s="148">
        <v>481</v>
      </c>
      <c r="N20" s="148">
        <v>481</v>
      </c>
      <c r="O20" s="148">
        <v>481</v>
      </c>
      <c r="P20" s="148">
        <v>481</v>
      </c>
      <c r="Q20" s="148">
        <v>481</v>
      </c>
      <c r="R20" s="148">
        <v>480</v>
      </c>
      <c r="S20" s="148">
        <v>482</v>
      </c>
      <c r="T20" s="148">
        <v>481</v>
      </c>
      <c r="U20" s="148">
        <v>480</v>
      </c>
      <c r="V20" s="148">
        <v>485</v>
      </c>
      <c r="W20" s="148">
        <v>490</v>
      </c>
      <c r="X20" s="148">
        <v>495</v>
      </c>
      <c r="Y20" s="148">
        <v>502</v>
      </c>
      <c r="Z20" s="148">
        <v>506</v>
      </c>
      <c r="AA20" s="148">
        <v>513</v>
      </c>
      <c r="AB20" s="148">
        <v>520</v>
      </c>
      <c r="AC20" s="148">
        <v>526</v>
      </c>
      <c r="AD20" s="148">
        <v>531</v>
      </c>
      <c r="AE20" s="148">
        <v>536</v>
      </c>
      <c r="AF20" s="148">
        <v>544</v>
      </c>
      <c r="AG20" s="148">
        <v>549</v>
      </c>
      <c r="AH20" s="148">
        <v>557</v>
      </c>
    </row>
    <row r="21" spans="1:34" ht="15.75" customHeight="1">
      <c r="A21" s="185" t="s">
        <v>330</v>
      </c>
      <c r="B21" s="184" t="s">
        <v>539</v>
      </c>
      <c r="C21" s="185" t="s">
        <v>247</v>
      </c>
      <c r="D21" s="189">
        <f>SUM(E21:AH21)</f>
        <v>2114.9540506365629</v>
      </c>
      <c r="E21" s="148">
        <f t="array" ref="E21:AH21">TRANSPOSE('Evolução de Rede'!L4:L33)*'Dados de Entrada'!D93</f>
        <v>72.150000000000006</v>
      </c>
      <c r="F21" s="148">
        <v>72.150000000000006</v>
      </c>
      <c r="G21" s="148">
        <v>72.150000000000006</v>
      </c>
      <c r="H21" s="148">
        <v>72.150000000000006</v>
      </c>
      <c r="I21" s="148">
        <v>72.150000000000006</v>
      </c>
      <c r="J21" s="148">
        <v>72</v>
      </c>
      <c r="K21" s="148">
        <v>72.150000000000006</v>
      </c>
      <c r="L21" s="148">
        <v>72.150000000000006</v>
      </c>
      <c r="M21" s="148">
        <v>72.150000000000006</v>
      </c>
      <c r="N21" s="148">
        <v>72.150000000000006</v>
      </c>
      <c r="O21" s="148">
        <v>66.707663467825697</v>
      </c>
      <c r="P21" s="148">
        <v>66.707663467825697</v>
      </c>
      <c r="Q21" s="148">
        <v>66.707663467825697</v>
      </c>
      <c r="R21" s="148">
        <v>66.707663467825697</v>
      </c>
      <c r="S21" s="148">
        <v>66.857663467825702</v>
      </c>
      <c r="T21" s="148">
        <v>66.752644909419601</v>
      </c>
      <c r="U21" s="148">
        <v>66.557663467825691</v>
      </c>
      <c r="V21" s="148">
        <v>66.707663467825697</v>
      </c>
      <c r="W21" s="148">
        <v>67.202459325358674</v>
      </c>
      <c r="X21" s="148">
        <v>67.967143832455108</v>
      </c>
      <c r="Y21" s="148">
        <v>68.731828339551527</v>
      </c>
      <c r="Z21" s="148">
        <v>69.541494288241864</v>
      </c>
      <c r="AA21" s="148">
        <v>70.456178795338289</v>
      </c>
      <c r="AB21" s="148">
        <v>71.265844744028627</v>
      </c>
      <c r="AC21" s="148">
        <v>72.120492134312869</v>
      </c>
      <c r="AD21" s="148">
        <v>72.825139524597105</v>
      </c>
      <c r="AE21" s="148">
        <v>73.589824031693524</v>
      </c>
      <c r="AF21" s="148">
        <v>74.594471421977786</v>
      </c>
      <c r="AG21" s="148">
        <v>75.299118812262023</v>
      </c>
      <c r="AH21" s="148">
        <v>76.303766202546257</v>
      </c>
    </row>
    <row r="22" spans="1:34" ht="15.75" customHeight="1">
      <c r="A22" s="185" t="s">
        <v>331</v>
      </c>
      <c r="B22" s="184" t="s">
        <v>374</v>
      </c>
      <c r="C22" s="185" t="s">
        <v>373</v>
      </c>
      <c r="D22" s="189">
        <f>SUM(E22:AH22)</f>
        <v>4800</v>
      </c>
      <c r="E22" s="148">
        <f t="array" ref="E22:AH22">TRANSPOSE(Reservação!H5:H34+Reservação!H39:H68+Reservação!H73:H102)</f>
        <v>0</v>
      </c>
      <c r="F22" s="148">
        <v>0</v>
      </c>
      <c r="G22" s="148">
        <v>3000</v>
      </c>
      <c r="H22" s="148">
        <v>0</v>
      </c>
      <c r="I22" s="148">
        <v>0</v>
      </c>
      <c r="J22" s="148">
        <v>1800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148">
        <v>0</v>
      </c>
      <c r="V22" s="148">
        <v>0</v>
      </c>
      <c r="W22" s="148">
        <v>0</v>
      </c>
      <c r="X22" s="148">
        <v>0</v>
      </c>
      <c r="Y22" s="148">
        <v>0</v>
      </c>
      <c r="Z22" s="148">
        <v>0</v>
      </c>
      <c r="AA22" s="148">
        <v>0</v>
      </c>
      <c r="AB22" s="148">
        <v>0</v>
      </c>
      <c r="AC22" s="148">
        <v>0</v>
      </c>
      <c r="AD22" s="148">
        <v>0</v>
      </c>
      <c r="AE22" s="148">
        <v>0</v>
      </c>
      <c r="AF22" s="148">
        <v>0</v>
      </c>
      <c r="AG22" s="148">
        <v>0</v>
      </c>
      <c r="AH22" s="148">
        <v>0</v>
      </c>
    </row>
    <row r="23" spans="1:34" s="92" customFormat="1" ht="15.75" customHeight="1">
      <c r="A23" s="185" t="s">
        <v>332</v>
      </c>
      <c r="B23" s="184" t="s">
        <v>540</v>
      </c>
      <c r="C23" s="185" t="s">
        <v>260</v>
      </c>
      <c r="D23" s="189">
        <f t="shared" ref="D23:D25" si="2">SUM(E23:AH23)</f>
        <v>25</v>
      </c>
      <c r="E23" s="12">
        <f t="array" ref="E23:AH23">TRANSPOSE('Produção de Água'!P5:P35+'Produção de Água'!P40:P70+'Produção de Água'!P75:P105)</f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25</v>
      </c>
      <c r="AF23" s="12">
        <v>0</v>
      </c>
      <c r="AG23" s="12">
        <v>0</v>
      </c>
      <c r="AH23" s="12">
        <v>0</v>
      </c>
    </row>
    <row r="24" spans="1:34" s="92" customFormat="1" ht="15.45" customHeight="1">
      <c r="A24" s="185" t="s">
        <v>333</v>
      </c>
      <c r="B24" s="184" t="s">
        <v>532</v>
      </c>
      <c r="C24" s="185" t="s">
        <v>372</v>
      </c>
      <c r="D24" s="189">
        <f t="shared" si="2"/>
        <v>1767</v>
      </c>
      <c r="E24" s="139">
        <v>51</v>
      </c>
      <c r="F24" s="139">
        <v>51</v>
      </c>
      <c r="G24" s="139">
        <v>53</v>
      </c>
      <c r="H24" s="139">
        <v>55</v>
      </c>
      <c r="I24" s="139">
        <v>57</v>
      </c>
      <c r="J24" s="139">
        <v>60</v>
      </c>
      <c r="K24" s="139">
        <v>60</v>
      </c>
      <c r="L24" s="139">
        <v>60</v>
      </c>
      <c r="M24" s="139">
        <v>60</v>
      </c>
      <c r="N24" s="139">
        <v>60</v>
      </c>
      <c r="O24" s="139">
        <v>60</v>
      </c>
      <c r="P24" s="139">
        <v>60</v>
      </c>
      <c r="Q24" s="139">
        <v>60</v>
      </c>
      <c r="R24" s="139">
        <v>60</v>
      </c>
      <c r="S24" s="139">
        <v>60</v>
      </c>
      <c r="T24" s="139">
        <v>60</v>
      </c>
      <c r="U24" s="139">
        <v>60</v>
      </c>
      <c r="V24" s="139">
        <v>60</v>
      </c>
      <c r="W24" s="139">
        <v>60</v>
      </c>
      <c r="X24" s="139">
        <v>60</v>
      </c>
      <c r="Y24" s="139">
        <v>60</v>
      </c>
      <c r="Z24" s="139">
        <v>60</v>
      </c>
      <c r="AA24" s="139">
        <v>60</v>
      </c>
      <c r="AB24" s="139">
        <v>60</v>
      </c>
      <c r="AC24" s="139">
        <v>60</v>
      </c>
      <c r="AD24" s="139">
        <v>60</v>
      </c>
      <c r="AE24" s="139">
        <v>60</v>
      </c>
      <c r="AF24" s="139">
        <v>60</v>
      </c>
      <c r="AG24" s="139">
        <v>60</v>
      </c>
      <c r="AH24" s="139">
        <v>60</v>
      </c>
    </row>
    <row r="25" spans="1:34" s="92" customFormat="1" ht="15.75" customHeight="1">
      <c r="A25" s="185" t="s">
        <v>345</v>
      </c>
      <c r="B25" s="184" t="s">
        <v>1171</v>
      </c>
      <c r="C25" s="185" t="s">
        <v>372</v>
      </c>
      <c r="D25" s="189">
        <f t="shared" si="2"/>
        <v>18</v>
      </c>
      <c r="E25" s="12"/>
      <c r="F25" s="139">
        <v>6</v>
      </c>
      <c r="G25" s="12">
        <v>6</v>
      </c>
      <c r="H25" s="12">
        <v>6</v>
      </c>
      <c r="I25" s="12"/>
      <c r="J25" s="12"/>
      <c r="K25" s="12"/>
      <c r="L25" s="12"/>
      <c r="M25" s="12"/>
      <c r="N25" s="12"/>
      <c r="O25" s="12"/>
      <c r="P25" s="139"/>
      <c r="Q25" s="139"/>
      <c r="R25" s="12"/>
      <c r="S25" s="12"/>
      <c r="T25" s="12"/>
      <c r="U25" s="12"/>
      <c r="V25" s="12"/>
      <c r="W25" s="12"/>
      <c r="X25" s="12"/>
      <c r="Y25" s="12"/>
      <c r="Z25" s="139"/>
      <c r="AA25" s="139"/>
      <c r="AB25" s="12"/>
      <c r="AC25" s="12"/>
      <c r="AD25" s="12"/>
      <c r="AE25" s="12"/>
      <c r="AF25" s="12"/>
      <c r="AG25" s="12"/>
      <c r="AH25" s="12"/>
    </row>
    <row r="26" spans="1:34" s="88" customFormat="1" ht="15.75" customHeight="1">
      <c r="A26" s="1024">
        <v>2</v>
      </c>
      <c r="B26" s="1020" t="s">
        <v>314</v>
      </c>
      <c r="C26" s="202"/>
      <c r="D26" s="1020" t="s">
        <v>4</v>
      </c>
      <c r="E26" s="194" t="s">
        <v>39</v>
      </c>
      <c r="F26" s="194" t="s">
        <v>40</v>
      </c>
      <c r="G26" s="194" t="s">
        <v>41</v>
      </c>
      <c r="H26" s="194" t="s">
        <v>42</v>
      </c>
      <c r="I26" s="194" t="s">
        <v>43</v>
      </c>
      <c r="J26" s="194" t="s">
        <v>44</v>
      </c>
      <c r="K26" s="194" t="s">
        <v>45</v>
      </c>
      <c r="L26" s="194" t="s">
        <v>46</v>
      </c>
      <c r="M26" s="194" t="s">
        <v>47</v>
      </c>
      <c r="N26" s="194" t="s">
        <v>9</v>
      </c>
      <c r="O26" s="194" t="s">
        <v>10</v>
      </c>
      <c r="P26" s="194" t="s">
        <v>11</v>
      </c>
      <c r="Q26" s="194" t="s">
        <v>12</v>
      </c>
      <c r="R26" s="194" t="s">
        <v>13</v>
      </c>
      <c r="S26" s="194" t="s">
        <v>14</v>
      </c>
      <c r="T26" s="194" t="s">
        <v>15</v>
      </c>
      <c r="U26" s="194" t="s">
        <v>16</v>
      </c>
      <c r="V26" s="194" t="s">
        <v>17</v>
      </c>
      <c r="W26" s="194" t="s">
        <v>18</v>
      </c>
      <c r="X26" s="194" t="s">
        <v>19</v>
      </c>
      <c r="Y26" s="194" t="s">
        <v>20</v>
      </c>
      <c r="Z26" s="194" t="s">
        <v>21</v>
      </c>
      <c r="AA26" s="194" t="s">
        <v>22</v>
      </c>
      <c r="AB26" s="194" t="s">
        <v>23</v>
      </c>
      <c r="AC26" s="194" t="s">
        <v>24</v>
      </c>
      <c r="AD26" s="194" t="s">
        <v>25</v>
      </c>
      <c r="AE26" s="194" t="s">
        <v>26</v>
      </c>
      <c r="AF26" s="194" t="s">
        <v>27</v>
      </c>
      <c r="AG26" s="194" t="s">
        <v>28</v>
      </c>
      <c r="AH26" s="194" t="s">
        <v>29</v>
      </c>
    </row>
    <row r="27" spans="1:34" s="88" customFormat="1" ht="15.75" customHeight="1">
      <c r="A27" s="1025"/>
      <c r="B27" s="1021"/>
      <c r="C27" s="203"/>
      <c r="D27" s="1021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</row>
    <row r="28" spans="1:34" s="88" customFormat="1" ht="15.75" customHeight="1">
      <c r="A28" s="195" t="s">
        <v>319</v>
      </c>
      <c r="B28" s="190" t="s">
        <v>334</v>
      </c>
      <c r="C28" s="197"/>
      <c r="D28" s="189">
        <f xml:space="preserve"> SUM( $E28:$AH28 )</f>
        <v>0</v>
      </c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</row>
    <row r="29" spans="1:34" ht="15.75" customHeight="1">
      <c r="A29" s="185" t="s">
        <v>338</v>
      </c>
      <c r="B29" s="184" t="s">
        <v>545</v>
      </c>
      <c r="C29" s="185" t="s">
        <v>372</v>
      </c>
      <c r="D29" s="189">
        <f xml:space="preserve"> SUM( $E29:$AH29 )</f>
        <v>0</v>
      </c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</row>
    <row r="30" spans="1:34" ht="15.75" customHeight="1">
      <c r="A30" s="185" t="s">
        <v>339</v>
      </c>
      <c r="B30" s="184" t="s">
        <v>543</v>
      </c>
      <c r="C30" s="185" t="s">
        <v>372</v>
      </c>
      <c r="D30" s="189">
        <f xml:space="preserve"> SUM( $E30:$AH30 )</f>
        <v>0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</row>
    <row r="31" spans="1:34" ht="15.75" customHeight="1">
      <c r="A31" s="185" t="s">
        <v>340</v>
      </c>
      <c r="B31" s="184" t="s">
        <v>695</v>
      </c>
      <c r="C31" s="185" t="s">
        <v>494</v>
      </c>
      <c r="D31" s="189">
        <f xml:space="preserve"> SUM( $E31:$AH31 )</f>
        <v>0</v>
      </c>
      <c r="E31" s="12">
        <v>0</v>
      </c>
      <c r="F31" s="12"/>
      <c r="G31" s="12"/>
      <c r="H31" s="12"/>
      <c r="I31" s="12"/>
      <c r="J31" s="12"/>
      <c r="K31" s="12"/>
      <c r="L31" s="12"/>
      <c r="M31" s="12"/>
      <c r="N31" s="8"/>
      <c r="O31" s="12"/>
      <c r="P31" s="12"/>
      <c r="Q31" s="12"/>
      <c r="R31" s="12"/>
      <c r="S31" s="12"/>
      <c r="T31" s="12"/>
      <c r="U31" s="12"/>
      <c r="V31" s="12"/>
      <c r="W31" s="12"/>
      <c r="X31" s="8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.75" customHeight="1">
      <c r="A32" s="185" t="s">
        <v>341</v>
      </c>
      <c r="B32" s="184" t="s">
        <v>337</v>
      </c>
      <c r="C32" s="185" t="s">
        <v>494</v>
      </c>
      <c r="D32" s="189">
        <f t="shared" ref="D32:D39" si="3" xml:space="preserve"> SUM( $E32:$AH32 )</f>
        <v>0</v>
      </c>
      <c r="E32" s="12">
        <v>0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</row>
    <row r="33" spans="1:34" s="88" customFormat="1" ht="15.75" customHeight="1">
      <c r="A33" s="196" t="s">
        <v>348</v>
      </c>
      <c r="B33" s="197" t="s">
        <v>347</v>
      </c>
      <c r="C33" s="197"/>
      <c r="D33" s="189">
        <f t="shared" si="3"/>
        <v>0</v>
      </c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</row>
    <row r="34" spans="1:34" s="149" customFormat="1" ht="15.75" customHeight="1">
      <c r="A34" s="188" t="s">
        <v>349</v>
      </c>
      <c r="B34" s="184" t="s">
        <v>537</v>
      </c>
      <c r="C34" s="184"/>
      <c r="D34" s="189">
        <f t="shared" si="3"/>
        <v>42184.464478188042</v>
      </c>
      <c r="E34" s="148">
        <f t="array" ref="E34:AH34">TRANSPOSE('Evolução Ligações'!Q5:Q34)</f>
        <v>0</v>
      </c>
      <c r="F34" s="148">
        <v>0</v>
      </c>
      <c r="G34" s="148">
        <v>0</v>
      </c>
      <c r="H34" s="148">
        <v>6879.4316692156435</v>
      </c>
      <c r="I34" s="148">
        <v>7063.0920544752762</v>
      </c>
      <c r="J34" s="148">
        <v>7248.752439734908</v>
      </c>
      <c r="K34" s="148">
        <v>3854.6838904668257</v>
      </c>
      <c r="L34" s="148">
        <v>3947.8212074867079</v>
      </c>
      <c r="M34" s="148">
        <v>4037.7300269463267</v>
      </c>
      <c r="N34" s="148">
        <v>414.77518024907477</v>
      </c>
      <c r="O34" s="148">
        <v>415.160931468934</v>
      </c>
      <c r="P34" s="148">
        <v>415.77518024907477</v>
      </c>
      <c r="Q34" s="148">
        <v>414.77518024906749</v>
      </c>
      <c r="R34" s="148">
        <v>415.16093146894127</v>
      </c>
      <c r="S34" s="148">
        <v>415.77518024907477</v>
      </c>
      <c r="T34" s="148">
        <v>414.77518024906749</v>
      </c>
      <c r="U34" s="148">
        <v>415.77518024907477</v>
      </c>
      <c r="V34" s="148">
        <v>418.23217536960146</v>
      </c>
      <c r="W34" s="148">
        <v>422.14616561066214</v>
      </c>
      <c r="X34" s="148">
        <v>428.06015585172281</v>
      </c>
      <c r="Y34" s="148">
        <v>433.5883948729097</v>
      </c>
      <c r="Z34" s="148">
        <v>437.88813633384416</v>
      </c>
      <c r="AA34" s="148">
        <v>442.80212657490483</v>
      </c>
      <c r="AB34" s="148">
        <v>448.94461437623249</v>
      </c>
      <c r="AC34" s="148">
        <v>453.85860461728589</v>
      </c>
      <c r="AD34" s="148">
        <v>458.15834607822035</v>
      </c>
      <c r="AE34" s="148">
        <v>463.68658509940724</v>
      </c>
      <c r="AF34" s="148">
        <v>469.21482412060141</v>
      </c>
      <c r="AG34" s="148">
        <v>474.12881436166208</v>
      </c>
      <c r="AH34" s="148">
        <v>480.27130216298974</v>
      </c>
    </row>
    <row r="35" spans="1:34" s="149" customFormat="1" ht="15.75" customHeight="1">
      <c r="A35" s="188" t="s">
        <v>350</v>
      </c>
      <c r="B35" s="184" t="s">
        <v>1248</v>
      </c>
      <c r="C35" s="184"/>
      <c r="D35" s="189">
        <f t="shared" si="3"/>
        <v>546974.27793684369</v>
      </c>
      <c r="E35" s="148">
        <f t="array" ref="E35:AH35">TRANSPOSE('Evolução de Rede'!W4:W33)</f>
        <v>0</v>
      </c>
      <c r="F35" s="148">
        <v>0</v>
      </c>
      <c r="G35" s="148">
        <v>76490</v>
      </c>
      <c r="H35" s="148">
        <v>76490</v>
      </c>
      <c r="I35" s="148">
        <v>76490</v>
      </c>
      <c r="J35" s="148">
        <v>76490</v>
      </c>
      <c r="K35" s="148">
        <v>76490</v>
      </c>
      <c r="L35" s="148">
        <v>76490</v>
      </c>
      <c r="M35" s="148">
        <v>76490</v>
      </c>
      <c r="N35" s="148">
        <v>522.54271039270748</v>
      </c>
      <c r="O35" s="148">
        <v>524.94754336705262</v>
      </c>
      <c r="P35" s="148">
        <v>522.94754336705262</v>
      </c>
      <c r="Q35" s="148">
        <v>524.54271039270748</v>
      </c>
      <c r="R35" s="148">
        <v>522.94754336705262</v>
      </c>
      <c r="S35" s="148">
        <v>524.94754336705262</v>
      </c>
      <c r="T35" s="148">
        <v>520.94754336705262</v>
      </c>
      <c r="U35" s="148">
        <v>524.94754336705262</v>
      </c>
      <c r="V35" s="148">
        <v>526.59104013615911</v>
      </c>
      <c r="W35" s="148">
        <v>532.25870177699142</v>
      </c>
      <c r="X35" s="148">
        <v>540.73602936651412</v>
      </c>
      <c r="Y35" s="148">
        <v>544.80852398169168</v>
      </c>
      <c r="Z35" s="148">
        <v>554.88101859686913</v>
      </c>
      <c r="AA35" s="148">
        <v>556.95351321204669</v>
      </c>
      <c r="AB35" s="148">
        <v>566.24050675025967</v>
      </c>
      <c r="AC35" s="148">
        <v>574.31300136543723</v>
      </c>
      <c r="AD35" s="148">
        <v>578.38549598061468</v>
      </c>
      <c r="AE35" s="148">
        <v>584.86282357013738</v>
      </c>
      <c r="AF35" s="148">
        <v>593.74498413400522</v>
      </c>
      <c r="AG35" s="148">
        <v>598.22231172352792</v>
      </c>
      <c r="AH35" s="148">
        <v>603.50930526174079</v>
      </c>
    </row>
    <row r="36" spans="1:34" s="149" customFormat="1" ht="15.75" customHeight="1">
      <c r="A36" s="188" t="s">
        <v>351</v>
      </c>
      <c r="B36" s="184" t="s">
        <v>1173</v>
      </c>
      <c r="C36" s="184"/>
      <c r="D36" s="189">
        <f t="shared" si="3"/>
        <v>21</v>
      </c>
      <c r="E36" s="148">
        <v>0</v>
      </c>
      <c r="F36" s="148">
        <v>0</v>
      </c>
      <c r="G36" s="148">
        <v>6</v>
      </c>
      <c r="H36" s="148">
        <v>3</v>
      </c>
      <c r="I36" s="148">
        <v>3</v>
      </c>
      <c r="J36" s="148">
        <v>3</v>
      </c>
      <c r="K36" s="148">
        <v>5</v>
      </c>
      <c r="L36" s="148">
        <v>1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</row>
    <row r="37" spans="1:34" s="92" customFormat="1" ht="15.75" customHeight="1">
      <c r="A37" s="188" t="s">
        <v>352</v>
      </c>
      <c r="B37" s="184" t="s">
        <v>1203</v>
      </c>
      <c r="C37" s="184"/>
      <c r="D37" s="189">
        <f t="shared" si="3"/>
        <v>289</v>
      </c>
      <c r="E37" s="139">
        <f t="array" ref="E37:AH37">TRANSPOSE('Tratamento de Esgoto'!I4:I33+'Tratamento de Esgoto'!I39:I68+'Tratamento de Esgoto'!I74:I103)</f>
        <v>0</v>
      </c>
      <c r="F37" s="139">
        <v>0</v>
      </c>
      <c r="G37" s="139">
        <v>99</v>
      </c>
      <c r="H37" s="139">
        <v>0</v>
      </c>
      <c r="I37" s="139">
        <v>0</v>
      </c>
      <c r="J37" s="139">
        <v>95</v>
      </c>
      <c r="K37" s="139">
        <v>0</v>
      </c>
      <c r="L37" s="139">
        <v>0</v>
      </c>
      <c r="M37" s="139">
        <v>95</v>
      </c>
      <c r="N37" s="139">
        <v>0</v>
      </c>
      <c r="O37" s="139">
        <v>0</v>
      </c>
      <c r="P37" s="139">
        <v>0</v>
      </c>
      <c r="Q37" s="139">
        <v>0</v>
      </c>
      <c r="R37" s="139">
        <v>0</v>
      </c>
      <c r="S37" s="139">
        <v>0</v>
      </c>
      <c r="T37" s="139">
        <v>0</v>
      </c>
      <c r="U37" s="139">
        <v>0</v>
      </c>
      <c r="V37" s="139">
        <v>0</v>
      </c>
      <c r="W37" s="139"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</row>
    <row r="38" spans="1:34" s="92" customFormat="1" ht="15.75" customHeight="1">
      <c r="A38" s="188" t="s">
        <v>353</v>
      </c>
      <c r="B38" s="184" t="s">
        <v>532</v>
      </c>
      <c r="C38" s="184"/>
      <c r="D38" s="189">
        <f t="shared" si="3"/>
        <v>573</v>
      </c>
      <c r="E38" s="139">
        <v>0</v>
      </c>
      <c r="F38" s="139">
        <v>0</v>
      </c>
      <c r="G38" s="139">
        <v>7</v>
      </c>
      <c r="H38" s="139">
        <v>10</v>
      </c>
      <c r="I38" s="139">
        <v>13</v>
      </c>
      <c r="J38" s="139">
        <v>16</v>
      </c>
      <c r="K38" s="139">
        <v>21</v>
      </c>
      <c r="L38" s="139">
        <v>22</v>
      </c>
      <c r="M38" s="139">
        <v>22</v>
      </c>
      <c r="N38" s="139">
        <v>22</v>
      </c>
      <c r="O38" s="139">
        <v>22</v>
      </c>
      <c r="P38" s="139">
        <v>22</v>
      </c>
      <c r="Q38" s="139">
        <v>22</v>
      </c>
      <c r="R38" s="139">
        <v>22</v>
      </c>
      <c r="S38" s="139">
        <v>22</v>
      </c>
      <c r="T38" s="139">
        <v>22</v>
      </c>
      <c r="U38" s="139">
        <v>22</v>
      </c>
      <c r="V38" s="139">
        <v>22</v>
      </c>
      <c r="W38" s="139">
        <v>22</v>
      </c>
      <c r="X38" s="139">
        <v>22</v>
      </c>
      <c r="Y38" s="139">
        <v>22</v>
      </c>
      <c r="Z38" s="139">
        <v>22</v>
      </c>
      <c r="AA38" s="139">
        <v>22</v>
      </c>
      <c r="AB38" s="139">
        <v>22</v>
      </c>
      <c r="AC38" s="139">
        <v>22</v>
      </c>
      <c r="AD38" s="139">
        <v>22</v>
      </c>
      <c r="AE38" s="139">
        <v>22</v>
      </c>
      <c r="AF38" s="139">
        <v>22</v>
      </c>
      <c r="AG38" s="139">
        <v>22</v>
      </c>
      <c r="AH38" s="139">
        <v>22</v>
      </c>
    </row>
    <row r="39" spans="1:34" s="92" customFormat="1" ht="15.75" customHeight="1">
      <c r="A39" s="188" t="s">
        <v>354</v>
      </c>
      <c r="B39" s="184" t="s">
        <v>336</v>
      </c>
      <c r="C39" s="184"/>
      <c r="D39" s="189">
        <f t="shared" si="3"/>
        <v>144</v>
      </c>
      <c r="E39" s="139">
        <f t="array" ref="E39:AH39">TRANSPOSE('Tratamento de Esgoto'!G4:G33+'Tratamento de Esgoto'!G39:G68+'Tratamento de Esgoto'!G74:G103+'Produção de Água'!M5:M35+'Produção de Água'!M40:M70+'Produção de Água'!M75:M105)</f>
        <v>2</v>
      </c>
      <c r="F39" s="139">
        <v>2</v>
      </c>
      <c r="G39" s="139">
        <v>5</v>
      </c>
      <c r="H39" s="139">
        <v>5</v>
      </c>
      <c r="I39" s="139">
        <v>5</v>
      </c>
      <c r="J39" s="139">
        <v>5</v>
      </c>
      <c r="K39" s="139">
        <v>5</v>
      </c>
      <c r="L39" s="139">
        <v>5</v>
      </c>
      <c r="M39" s="139">
        <v>5</v>
      </c>
      <c r="N39" s="139">
        <v>5</v>
      </c>
      <c r="O39" s="139">
        <v>5</v>
      </c>
      <c r="P39" s="139">
        <v>5</v>
      </c>
      <c r="Q39" s="139">
        <v>5</v>
      </c>
      <c r="R39" s="139">
        <v>5</v>
      </c>
      <c r="S39" s="139">
        <v>5</v>
      </c>
      <c r="T39" s="139">
        <v>5</v>
      </c>
      <c r="U39" s="139">
        <v>5</v>
      </c>
      <c r="V39" s="139">
        <v>5</v>
      </c>
      <c r="W39" s="139">
        <v>5</v>
      </c>
      <c r="X39" s="139">
        <v>5</v>
      </c>
      <c r="Y39" s="139">
        <v>5</v>
      </c>
      <c r="Z39" s="139">
        <v>5</v>
      </c>
      <c r="AA39" s="139">
        <v>5</v>
      </c>
      <c r="AB39" s="139">
        <v>5</v>
      </c>
      <c r="AC39" s="139">
        <v>5</v>
      </c>
      <c r="AD39" s="139">
        <v>5</v>
      </c>
      <c r="AE39" s="139">
        <v>5</v>
      </c>
      <c r="AF39" s="139">
        <v>5</v>
      </c>
      <c r="AG39" s="139">
        <v>5</v>
      </c>
      <c r="AH39" s="139">
        <v>5</v>
      </c>
    </row>
    <row r="40" spans="1:34" s="92" customFormat="1" ht="15.75" customHeight="1">
      <c r="A40" s="188" t="s">
        <v>1226</v>
      </c>
      <c r="B40" s="800" t="s">
        <v>1227</v>
      </c>
      <c r="C40" s="800"/>
      <c r="D40" s="801"/>
      <c r="E40" s="319">
        <f t="array" ref="E40:AH40">TRANSPOSE('Evolução Economias'!P5:P34)</f>
        <v>0</v>
      </c>
      <c r="F40" s="319">
        <v>0</v>
      </c>
      <c r="G40" s="319">
        <v>0</v>
      </c>
      <c r="H40" s="319">
        <v>474</v>
      </c>
      <c r="I40" s="637">
        <v>486</v>
      </c>
      <c r="J40" s="637">
        <v>500</v>
      </c>
      <c r="K40" s="637">
        <v>265</v>
      </c>
      <c r="L40" s="637">
        <v>272</v>
      </c>
      <c r="M40" s="637">
        <v>278</v>
      </c>
      <c r="N40" s="637">
        <v>29</v>
      </c>
      <c r="O40" s="319">
        <v>28</v>
      </c>
      <c r="P40" s="319">
        <v>29</v>
      </c>
      <c r="Q40" s="319">
        <v>28</v>
      </c>
      <c r="R40" s="319">
        <v>29</v>
      </c>
      <c r="S40" s="319">
        <v>28</v>
      </c>
      <c r="T40" s="319">
        <v>29</v>
      </c>
      <c r="U40" s="319">
        <v>28</v>
      </c>
      <c r="V40" s="319">
        <v>29</v>
      </c>
      <c r="W40" s="319">
        <v>29</v>
      </c>
      <c r="X40" s="319">
        <v>30</v>
      </c>
      <c r="Y40" s="319">
        <v>30</v>
      </c>
      <c r="Z40" s="319">
        <v>30</v>
      </c>
      <c r="AA40" s="319">
        <v>30</v>
      </c>
      <c r="AB40" s="319">
        <v>30</v>
      </c>
      <c r="AC40" s="319">
        <v>32</v>
      </c>
      <c r="AD40" s="319">
        <v>31</v>
      </c>
      <c r="AE40" s="319">
        <v>31</v>
      </c>
      <c r="AF40" s="319">
        <v>33</v>
      </c>
      <c r="AG40" s="319">
        <v>32</v>
      </c>
      <c r="AH40" s="319">
        <v>33</v>
      </c>
    </row>
    <row r="41" spans="1:34" s="92" customFormat="1" ht="15.75" customHeight="1">
      <c r="A41" s="188" t="s">
        <v>1245</v>
      </c>
      <c r="B41" s="800" t="s">
        <v>1246</v>
      </c>
      <c r="C41" s="800"/>
      <c r="D41" s="801"/>
      <c r="E41" s="319" cm="1">
        <f t="array" ref="E41:AH41">TRANSPOSE('Evolução de Rede'!AC4:AC33)</f>
        <v>0</v>
      </c>
      <c r="F41" s="319">
        <v>0</v>
      </c>
      <c r="G41" s="319">
        <v>0</v>
      </c>
      <c r="H41" s="319">
        <v>4060</v>
      </c>
      <c r="I41" s="637">
        <v>4060</v>
      </c>
      <c r="J41" s="637">
        <v>4060</v>
      </c>
      <c r="K41" s="637">
        <v>4060</v>
      </c>
      <c r="L41" s="637">
        <v>4060</v>
      </c>
      <c r="M41" s="637">
        <v>0</v>
      </c>
      <c r="N41" s="637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19">
        <v>0</v>
      </c>
      <c r="Y41" s="319">
        <v>0</v>
      </c>
      <c r="Z41" s="319">
        <v>0</v>
      </c>
      <c r="AA41" s="319">
        <v>0</v>
      </c>
      <c r="AB41" s="319">
        <v>0</v>
      </c>
      <c r="AC41" s="319">
        <v>0</v>
      </c>
      <c r="AD41" s="319">
        <v>0</v>
      </c>
      <c r="AE41" s="319">
        <v>0</v>
      </c>
      <c r="AF41" s="319">
        <v>0</v>
      </c>
      <c r="AG41" s="319">
        <v>0</v>
      </c>
      <c r="AH41" s="319">
        <v>0</v>
      </c>
    </row>
    <row r="42" spans="1:34" ht="15" customHeight="1">
      <c r="A42" s="1024">
        <v>3</v>
      </c>
      <c r="B42" s="1020" t="s">
        <v>363</v>
      </c>
      <c r="C42" s="202"/>
      <c r="D42" s="193" t="s">
        <v>4</v>
      </c>
      <c r="E42" s="194" t="s">
        <v>39</v>
      </c>
      <c r="F42" s="194" t="s">
        <v>40</v>
      </c>
      <c r="G42" s="194" t="s">
        <v>41</v>
      </c>
      <c r="H42" s="194" t="s">
        <v>42</v>
      </c>
      <c r="I42" s="194" t="s">
        <v>43</v>
      </c>
      <c r="J42" s="194" t="s">
        <v>44</v>
      </c>
      <c r="K42" s="194" t="s">
        <v>45</v>
      </c>
      <c r="L42" s="194" t="s">
        <v>46</v>
      </c>
      <c r="M42" s="194" t="s">
        <v>47</v>
      </c>
      <c r="N42" s="194" t="s">
        <v>9</v>
      </c>
      <c r="O42" s="194" t="s">
        <v>10</v>
      </c>
      <c r="P42" s="194" t="s">
        <v>11</v>
      </c>
      <c r="Q42" s="194" t="s">
        <v>12</v>
      </c>
      <c r="R42" s="194" t="s">
        <v>13</v>
      </c>
      <c r="S42" s="194" t="s">
        <v>14</v>
      </c>
      <c r="T42" s="194" t="s">
        <v>15</v>
      </c>
      <c r="U42" s="194" t="s">
        <v>16</v>
      </c>
      <c r="V42" s="194" t="s">
        <v>17</v>
      </c>
      <c r="W42" s="194" t="s">
        <v>18</v>
      </c>
      <c r="X42" s="194" t="s">
        <v>19</v>
      </c>
      <c r="Y42" s="194" t="s">
        <v>20</v>
      </c>
      <c r="Z42" s="194" t="s">
        <v>21</v>
      </c>
      <c r="AA42" s="194" t="s">
        <v>22</v>
      </c>
      <c r="AB42" s="194" t="s">
        <v>23</v>
      </c>
      <c r="AC42" s="194" t="s">
        <v>24</v>
      </c>
      <c r="AD42" s="194" t="s">
        <v>25</v>
      </c>
      <c r="AE42" s="194" t="s">
        <v>26</v>
      </c>
      <c r="AF42" s="194" t="s">
        <v>27</v>
      </c>
      <c r="AG42" s="194" t="s">
        <v>28</v>
      </c>
      <c r="AH42" s="194" t="s">
        <v>29</v>
      </c>
    </row>
    <row r="43" spans="1:34" ht="15" customHeight="1">
      <c r="A43" s="1025"/>
      <c r="B43" s="1021"/>
      <c r="C43" s="203"/>
      <c r="D43" s="196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</row>
    <row r="44" spans="1:34" s="94" customFormat="1" ht="15.75" customHeight="1">
      <c r="A44" s="187" t="s">
        <v>356</v>
      </c>
      <c r="B44" s="192" t="s">
        <v>225</v>
      </c>
      <c r="C44" s="186"/>
      <c r="D44" s="189">
        <f xml:space="preserve"> SUM( $E44:$AH44 )</f>
        <v>0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</row>
    <row r="45" spans="1:34" s="94" customFormat="1" ht="15.75" customHeight="1">
      <c r="A45" s="187" t="s">
        <v>358</v>
      </c>
      <c r="B45" s="93" t="s">
        <v>1192</v>
      </c>
      <c r="C45" s="184"/>
      <c r="D45" s="189">
        <f xml:space="preserve"> SUM( $E45:$AH45 )</f>
        <v>1</v>
      </c>
      <c r="E45" s="8">
        <v>0.5</v>
      </c>
      <c r="F45" s="8">
        <v>0.5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</row>
    <row r="46" spans="1:34" s="94" customFormat="1" ht="15.75" customHeight="1">
      <c r="A46" s="187" t="s">
        <v>359</v>
      </c>
      <c r="B46" s="93" t="s">
        <v>379</v>
      </c>
      <c r="C46" s="184"/>
      <c r="D46" s="189">
        <f t="shared" ref="D46:D49" si="4" xml:space="preserve"> SUM( $E46:$AH46 )</f>
        <v>14</v>
      </c>
      <c r="E46" s="218"/>
      <c r="F46" s="12">
        <v>2</v>
      </c>
      <c r="G46" s="12"/>
      <c r="H46" s="12"/>
      <c r="I46" s="12">
        <v>2</v>
      </c>
      <c r="J46" s="12"/>
      <c r="K46" s="12"/>
      <c r="L46" s="12"/>
      <c r="M46" s="12"/>
      <c r="N46" s="12">
        <v>2</v>
      </c>
      <c r="O46" s="12"/>
      <c r="P46" s="12"/>
      <c r="Q46" s="12"/>
      <c r="R46" s="12"/>
      <c r="S46" s="12">
        <v>2</v>
      </c>
      <c r="T46" s="12"/>
      <c r="U46" s="12"/>
      <c r="V46" s="12"/>
      <c r="W46" s="12"/>
      <c r="X46" s="12">
        <v>2</v>
      </c>
      <c r="Y46" s="12"/>
      <c r="Z46" s="12"/>
      <c r="AA46" s="12"/>
      <c r="AB46" s="12"/>
      <c r="AC46" s="12">
        <v>2</v>
      </c>
      <c r="AD46" s="12"/>
      <c r="AE46" s="12"/>
      <c r="AF46" s="12"/>
      <c r="AG46" s="12"/>
      <c r="AH46" s="12">
        <v>2</v>
      </c>
    </row>
    <row r="47" spans="1:34" s="94" customFormat="1" ht="15.75" customHeight="1">
      <c r="A47" s="187" t="s">
        <v>357</v>
      </c>
      <c r="B47" s="192" t="s">
        <v>360</v>
      </c>
      <c r="C47" s="186"/>
      <c r="D47" s="189">
        <f t="shared" si="4"/>
        <v>0</v>
      </c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</row>
    <row r="48" spans="1:34" s="94" customFormat="1" ht="15.75" customHeight="1">
      <c r="A48" s="187" t="s">
        <v>361</v>
      </c>
      <c r="B48" s="93" t="s">
        <v>355</v>
      </c>
      <c r="C48" s="184"/>
      <c r="D48" s="189">
        <f t="shared" si="4"/>
        <v>30</v>
      </c>
      <c r="E48" s="12">
        <v>1</v>
      </c>
      <c r="F48" s="12">
        <v>1</v>
      </c>
      <c r="G48" s="12">
        <v>1</v>
      </c>
      <c r="H48" s="12">
        <v>1</v>
      </c>
      <c r="I48" s="12">
        <v>1</v>
      </c>
      <c r="J48" s="12">
        <v>1</v>
      </c>
      <c r="K48" s="12">
        <v>1</v>
      </c>
      <c r="L48" s="12">
        <v>1</v>
      </c>
      <c r="M48" s="12">
        <v>1</v>
      </c>
      <c r="N48" s="12">
        <v>1</v>
      </c>
      <c r="O48" s="12">
        <v>1</v>
      </c>
      <c r="P48" s="12">
        <v>1</v>
      </c>
      <c r="Q48" s="12">
        <v>1</v>
      </c>
      <c r="R48" s="12">
        <v>1</v>
      </c>
      <c r="S48" s="12">
        <v>1</v>
      </c>
      <c r="T48" s="12">
        <v>1</v>
      </c>
      <c r="U48" s="12">
        <v>1</v>
      </c>
      <c r="V48" s="12">
        <v>1</v>
      </c>
      <c r="W48" s="12">
        <v>1</v>
      </c>
      <c r="X48" s="12">
        <v>1</v>
      </c>
      <c r="Y48" s="12">
        <v>1</v>
      </c>
      <c r="Z48" s="12">
        <v>1</v>
      </c>
      <c r="AA48" s="12">
        <v>1</v>
      </c>
      <c r="AB48" s="12">
        <v>1</v>
      </c>
      <c r="AC48" s="12">
        <v>1</v>
      </c>
      <c r="AD48" s="12">
        <v>1</v>
      </c>
      <c r="AE48" s="12">
        <v>1</v>
      </c>
      <c r="AF48" s="12">
        <v>1</v>
      </c>
      <c r="AG48" s="12">
        <v>1</v>
      </c>
      <c r="AH48" s="12">
        <v>1</v>
      </c>
    </row>
    <row r="49" spans="1:34" s="94" customFormat="1" ht="15.75" customHeight="1">
      <c r="A49" s="187" t="s">
        <v>362</v>
      </c>
      <c r="B49" s="93" t="s">
        <v>377</v>
      </c>
      <c r="C49" s="184"/>
      <c r="D49" s="189">
        <f t="shared" si="4"/>
        <v>30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1</v>
      </c>
      <c r="L49" s="12">
        <v>1</v>
      </c>
      <c r="M49" s="12">
        <v>1</v>
      </c>
      <c r="N49" s="12">
        <v>1</v>
      </c>
      <c r="O49" s="12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>
        <v>1</v>
      </c>
      <c r="AE49" s="12">
        <v>1</v>
      </c>
      <c r="AF49" s="12">
        <v>1</v>
      </c>
      <c r="AG49" s="12">
        <v>1</v>
      </c>
      <c r="AH49" s="12">
        <v>1</v>
      </c>
    </row>
    <row r="50" spans="1:34" ht="15.75" customHeight="1"/>
  </sheetData>
  <mergeCells count="8">
    <mergeCell ref="D26:D27"/>
    <mergeCell ref="E4:AH4"/>
    <mergeCell ref="A42:A43"/>
    <mergeCell ref="B42:B43"/>
    <mergeCell ref="A5:A6"/>
    <mergeCell ref="B5:B6"/>
    <mergeCell ref="A26:A27"/>
    <mergeCell ref="B26:B27"/>
  </mergeCells>
  <phoneticPr fontId="12" type="noConversion"/>
  <conditionalFormatting sqref="E12:F16">
    <cfRule type="cellIs" dxfId="20" priority="6" stopIfTrue="1" operator="equal">
      <formula>"N"</formula>
    </cfRule>
  </conditionalFormatting>
  <conditionalFormatting sqref="E5:AH8">
    <cfRule type="cellIs" dxfId="19" priority="55" stopIfTrue="1" operator="equal">
      <formula>"N"</formula>
    </cfRule>
  </conditionalFormatting>
  <conditionalFormatting sqref="E10:AH11">
    <cfRule type="cellIs" dxfId="18" priority="37" stopIfTrue="1" operator="equal">
      <formula>"N"</formula>
    </cfRule>
  </conditionalFormatting>
  <conditionalFormatting sqref="E17:AH17">
    <cfRule type="cellIs" dxfId="17" priority="76" stopIfTrue="1" operator="equal">
      <formula>"N"</formula>
    </cfRule>
  </conditionalFormatting>
  <conditionalFormatting sqref="E19:AH23 E25 G25:O25 R25:Y25 AB25:AH25 E26:AH37">
    <cfRule type="cellIs" dxfId="16" priority="47" stopIfTrue="1" operator="equal">
      <formula>"N"</formula>
    </cfRule>
  </conditionalFormatting>
  <conditionalFormatting sqref="E39:AH49">
    <cfRule type="cellIs" dxfId="15" priority="40" stopIfTrue="1" operator="equal">
      <formula>"N"</formula>
    </cfRule>
  </conditionalFormatting>
  <conditionalFormatting sqref="F3:T3 E4 F9:AH9 G12:AH15 G16:AG16">
    <cfRule type="cellIs" dxfId="14" priority="81" stopIfTrue="1" operator="equal">
      <formula>"N"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D9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</sheetPr>
  <dimension ref="A1:XFB144"/>
  <sheetViews>
    <sheetView showGridLines="0" topLeftCell="A119" zoomScale="175" zoomScaleNormal="175" workbookViewId="0">
      <selection activeCell="A97" sqref="A97"/>
    </sheetView>
  </sheetViews>
  <sheetFormatPr defaultColWidth="9.109375" defaultRowHeight="11.4"/>
  <cols>
    <col min="1" max="1" width="91.44140625" style="422" bestFit="1" customWidth="1"/>
    <col min="2" max="2" width="15" style="422" bestFit="1" customWidth="1"/>
    <col min="3" max="3" width="10" style="422" customWidth="1"/>
    <col min="4" max="4" width="25.44140625" style="423" customWidth="1"/>
    <col min="5" max="5" width="24.109375" style="422" bestFit="1" customWidth="1"/>
    <col min="6" max="6" width="23.44140625" style="422" customWidth="1"/>
    <col min="7" max="7" width="19.33203125" style="422" customWidth="1"/>
    <col min="8" max="8" width="25.109375" style="422" customWidth="1"/>
    <col min="9" max="9" width="17.6640625" style="422" customWidth="1"/>
    <col min="10" max="10" width="9.109375" style="422"/>
    <col min="11" max="11" width="17.109375" style="422" customWidth="1"/>
    <col min="12" max="12" width="14.109375" style="422" bestFit="1" customWidth="1"/>
    <col min="13" max="16384" width="9.109375" style="422"/>
  </cols>
  <sheetData>
    <row r="1" spans="1:11" ht="12">
      <c r="A1" s="1030" t="s">
        <v>611</v>
      </c>
      <c r="B1" s="1030"/>
      <c r="G1" s="1031"/>
      <c r="H1" s="1031"/>
      <c r="I1" s="1031"/>
      <c r="K1" s="424"/>
    </row>
    <row r="2" spans="1:11" ht="12" thickBot="1">
      <c r="G2" s="1031"/>
      <c r="H2" s="1031"/>
      <c r="I2" s="1031"/>
    </row>
    <row r="3" spans="1:11">
      <c r="A3" s="466"/>
      <c r="B3" s="466"/>
      <c r="D3" s="1032" t="s">
        <v>612</v>
      </c>
      <c r="G3" s="425" t="s">
        <v>613</v>
      </c>
      <c r="H3" s="426" t="s">
        <v>614</v>
      </c>
    </row>
    <row r="4" spans="1:11" ht="12" thickBot="1">
      <c r="A4" s="427" t="s">
        <v>224</v>
      </c>
      <c r="B4" s="427" t="s">
        <v>371</v>
      </c>
      <c r="D4" s="1033"/>
      <c r="G4" s="428" t="s">
        <v>615</v>
      </c>
      <c r="H4" s="429">
        <f>(2.41%+2.96%)</f>
        <v>5.3699999999999998E-2</v>
      </c>
    </row>
    <row r="5" spans="1:11" ht="12" thickBot="1">
      <c r="D5" s="430"/>
      <c r="G5" s="423"/>
      <c r="H5" s="430"/>
    </row>
    <row r="6" spans="1:11" ht="18" customHeight="1" thickBot="1">
      <c r="A6" s="431" t="s">
        <v>616</v>
      </c>
      <c r="B6" s="432"/>
      <c r="D6" s="433" t="s">
        <v>617</v>
      </c>
      <c r="G6" s="434" t="str">
        <f>G4</f>
        <v>VALOR UNITÁRIO</v>
      </c>
      <c r="H6" s="435" t="str">
        <f>H3</f>
        <v>FATOR DE CORREÇÃO</v>
      </c>
    </row>
    <row r="7" spans="1:11" ht="14.55" customHeight="1">
      <c r="A7" s="436" t="s">
        <v>618</v>
      </c>
      <c r="B7" s="437" t="s">
        <v>619</v>
      </c>
      <c r="D7" s="438">
        <f>H7/5</f>
        <v>12644.4</v>
      </c>
      <c r="G7" s="439">
        <v>60000</v>
      </c>
      <c r="H7" s="440">
        <f t="shared" ref="H7:H13" si="0">G7+(G7*$H$4)</f>
        <v>63222</v>
      </c>
    </row>
    <row r="8" spans="1:11" ht="14.55" customHeight="1">
      <c r="A8" s="441" t="s">
        <v>620</v>
      </c>
      <c r="B8" s="442" t="s">
        <v>619</v>
      </c>
      <c r="D8" s="443">
        <f>H8/10</f>
        <v>12117.65537</v>
      </c>
      <c r="G8" s="444">
        <v>115001</v>
      </c>
      <c r="H8" s="445">
        <f t="shared" si="0"/>
        <v>121176.5537</v>
      </c>
    </row>
    <row r="9" spans="1:11" ht="14.55" customHeight="1">
      <c r="A9" s="441" t="s">
        <v>621</v>
      </c>
      <c r="B9" s="442" t="s">
        <v>619</v>
      </c>
      <c r="D9" s="443">
        <f>H9/20</f>
        <v>11590.7</v>
      </c>
      <c r="G9" s="444">
        <v>220000</v>
      </c>
      <c r="H9" s="445">
        <f t="shared" si="0"/>
        <v>231814</v>
      </c>
    </row>
    <row r="10" spans="1:11" ht="14.55" customHeight="1">
      <c r="A10" s="441" t="s">
        <v>622</v>
      </c>
      <c r="B10" s="442" t="s">
        <v>619</v>
      </c>
      <c r="D10" s="443">
        <f>H10/80</f>
        <v>10537</v>
      </c>
      <c r="G10" s="444">
        <v>800000</v>
      </c>
      <c r="H10" s="445">
        <f t="shared" si="0"/>
        <v>842960</v>
      </c>
    </row>
    <row r="11" spans="1:11" ht="14.55" customHeight="1">
      <c r="A11" s="441" t="s">
        <v>623</v>
      </c>
      <c r="B11" s="442" t="s">
        <v>619</v>
      </c>
      <c r="D11" s="443">
        <v>10000</v>
      </c>
      <c r="G11" s="446">
        <f>D11*200</f>
        <v>2000000</v>
      </c>
      <c r="H11" s="447">
        <f t="shared" si="0"/>
        <v>2107400</v>
      </c>
    </row>
    <row r="12" spans="1:11" ht="14.55" customHeight="1">
      <c r="A12" s="441" t="s">
        <v>624</v>
      </c>
      <c r="B12" s="442" t="s">
        <v>619</v>
      </c>
      <c r="D12" s="443">
        <v>10000</v>
      </c>
      <c r="G12" s="446">
        <f>D12*500</f>
        <v>5000000</v>
      </c>
      <c r="H12" s="447">
        <f t="shared" si="0"/>
        <v>5268500</v>
      </c>
    </row>
    <row r="13" spans="1:11" ht="14.55" customHeight="1">
      <c r="A13" s="441" t="s">
        <v>625</v>
      </c>
      <c r="B13" s="442" t="s">
        <v>619</v>
      </c>
      <c r="D13" s="443">
        <v>10000</v>
      </c>
      <c r="G13" s="446">
        <f>D13*1000</f>
        <v>10000000</v>
      </c>
      <c r="H13" s="447">
        <f t="shared" si="0"/>
        <v>10537000</v>
      </c>
    </row>
    <row r="14" spans="1:11" ht="12" thickBot="1">
      <c r="D14" s="422"/>
      <c r="G14" s="423"/>
      <c r="H14" s="430"/>
    </row>
    <row r="15" spans="1:11" ht="18" customHeight="1" thickBot="1">
      <c r="A15" s="431" t="s">
        <v>626</v>
      </c>
      <c r="B15" s="432"/>
      <c r="D15" s="433" t="str">
        <f>D6</f>
        <v>PREÇO UNITÁRIO (R$/L/S)</v>
      </c>
      <c r="G15" s="434" t="str">
        <f>G6</f>
        <v>VALOR UNITÁRIO</v>
      </c>
      <c r="H15" s="435" t="str">
        <f>H6</f>
        <v>FATOR DE CORREÇÃO</v>
      </c>
    </row>
    <row r="16" spans="1:11" ht="14.55" customHeight="1">
      <c r="A16" s="436" t="s">
        <v>627</v>
      </c>
      <c r="B16" s="437" t="s">
        <v>619</v>
      </c>
      <c r="D16" s="438">
        <f>H16/5</f>
        <v>8429.6</v>
      </c>
      <c r="G16" s="439">
        <v>40000</v>
      </c>
      <c r="H16" s="440">
        <f>G16+(G16*$H$4)</f>
        <v>42148</v>
      </c>
    </row>
    <row r="17" spans="1:12" ht="14.55" customHeight="1">
      <c r="A17" s="441" t="s">
        <v>628</v>
      </c>
      <c r="B17" s="442" t="s">
        <v>619</v>
      </c>
      <c r="D17" s="443">
        <f>H17/10</f>
        <v>8429.6</v>
      </c>
      <c r="G17" s="444">
        <v>80000</v>
      </c>
      <c r="H17" s="445">
        <f>G17+(G17*$H$4)</f>
        <v>84296</v>
      </c>
    </row>
    <row r="18" spans="1:12" ht="14.55" customHeight="1">
      <c r="A18" s="441" t="s">
        <v>629</v>
      </c>
      <c r="B18" s="442" t="s">
        <v>619</v>
      </c>
      <c r="D18" s="443">
        <f>H18/20</f>
        <v>6322.2</v>
      </c>
      <c r="G18" s="444">
        <v>120000</v>
      </c>
      <c r="H18" s="445">
        <f>G18+(G18*$H$4)</f>
        <v>126444</v>
      </c>
    </row>
    <row r="19" spans="1:12">
      <c r="A19" s="442" t="s">
        <v>630</v>
      </c>
      <c r="B19" s="442"/>
    </row>
    <row r="20" spans="1:12" ht="12" thickBot="1"/>
    <row r="21" spans="1:12" ht="18" customHeight="1" thickBot="1">
      <c r="A21" s="431" t="s">
        <v>631</v>
      </c>
      <c r="B21" s="432"/>
      <c r="D21" s="434" t="str">
        <f>D15</f>
        <v>PREÇO UNITÁRIO (R$/L/S)</v>
      </c>
      <c r="L21" s="761"/>
    </row>
    <row r="22" spans="1:12">
      <c r="A22" s="436" t="s">
        <v>632</v>
      </c>
      <c r="B22" s="437" t="s">
        <v>430</v>
      </c>
      <c r="D22" s="448">
        <v>65000</v>
      </c>
      <c r="E22" s="449"/>
      <c r="F22" s="784"/>
      <c r="H22" s="449"/>
      <c r="L22" s="761"/>
    </row>
    <row r="23" spans="1:12">
      <c r="A23" s="441" t="s">
        <v>633</v>
      </c>
      <c r="B23" s="442" t="s">
        <v>430</v>
      </c>
      <c r="D23" s="450">
        <v>55000</v>
      </c>
      <c r="E23" s="449"/>
      <c r="F23" s="784"/>
      <c r="H23" s="449"/>
      <c r="L23" s="761"/>
    </row>
    <row r="24" spans="1:12">
      <c r="A24" s="441" t="s">
        <v>634</v>
      </c>
      <c r="B24" s="442" t="s">
        <v>430</v>
      </c>
      <c r="D24" s="450">
        <v>45000</v>
      </c>
      <c r="E24" s="449"/>
      <c r="F24" s="784"/>
      <c r="H24" s="449"/>
      <c r="L24" s="761"/>
    </row>
    <row r="25" spans="1:12" s="778" customFormat="1" ht="15">
      <c r="A25" s="441" t="s">
        <v>635</v>
      </c>
      <c r="B25" s="442" t="s">
        <v>430</v>
      </c>
      <c r="C25" s="782"/>
      <c r="D25" s="450">
        <v>52000</v>
      </c>
      <c r="E25" s="779"/>
      <c r="F25" s="785"/>
      <c r="H25" s="779"/>
      <c r="L25" s="783"/>
    </row>
    <row r="26" spans="1:12">
      <c r="A26" s="441" t="s">
        <v>636</v>
      </c>
      <c r="B26" s="442" t="s">
        <v>430</v>
      </c>
      <c r="D26" s="450">
        <v>25000</v>
      </c>
      <c r="E26" s="449"/>
      <c r="F26" s="784"/>
      <c r="H26" s="449"/>
      <c r="L26" s="761"/>
    </row>
    <row r="27" spans="1:12">
      <c r="A27" s="441" t="s">
        <v>637</v>
      </c>
      <c r="B27" s="442" t="s">
        <v>430</v>
      </c>
      <c r="D27" s="450">
        <v>17000</v>
      </c>
      <c r="E27" s="449"/>
      <c r="F27" s="784"/>
      <c r="H27" s="449"/>
    </row>
    <row r="28" spans="1:12" ht="12" thickBot="1"/>
    <row r="29" spans="1:12" ht="18" customHeight="1" thickBot="1">
      <c r="A29" s="431" t="s">
        <v>638</v>
      </c>
      <c r="B29" s="432"/>
      <c r="D29" s="451" t="s">
        <v>639</v>
      </c>
      <c r="H29" s="452"/>
    </row>
    <row r="30" spans="1:12">
      <c r="A30" s="436" t="s">
        <v>640</v>
      </c>
      <c r="B30" s="437" t="s">
        <v>619</v>
      </c>
      <c r="D30" s="448">
        <f>115000</f>
        <v>115000</v>
      </c>
      <c r="E30" s="449"/>
      <c r="F30" s="449"/>
      <c r="H30" s="449"/>
      <c r="K30" s="761"/>
    </row>
    <row r="31" spans="1:12">
      <c r="A31" s="441" t="s">
        <v>641</v>
      </c>
      <c r="B31" s="442" t="s">
        <v>619</v>
      </c>
      <c r="D31" s="450">
        <f>325000</f>
        <v>325000</v>
      </c>
      <c r="E31" s="449"/>
      <c r="F31" s="449"/>
      <c r="H31" s="449"/>
      <c r="K31" s="761"/>
    </row>
    <row r="32" spans="1:12">
      <c r="A32" s="441" t="s">
        <v>642</v>
      </c>
      <c r="B32" s="442" t="s">
        <v>619</v>
      </c>
      <c r="D32" s="450">
        <f>575000</f>
        <v>575000</v>
      </c>
      <c r="E32" s="449"/>
      <c r="F32" s="449"/>
      <c r="H32" s="449"/>
      <c r="K32" s="761"/>
    </row>
    <row r="33" spans="1:11">
      <c r="A33" s="441" t="s">
        <v>643</v>
      </c>
      <c r="B33" s="442" t="s">
        <v>619</v>
      </c>
      <c r="D33" s="450">
        <f>840000</f>
        <v>840000</v>
      </c>
      <c r="E33" s="449"/>
      <c r="F33" s="449"/>
      <c r="H33" s="449"/>
      <c r="K33" s="761"/>
    </row>
    <row r="34" spans="1:11">
      <c r="A34" s="441" t="s">
        <v>644</v>
      </c>
      <c r="B34" s="442" t="s">
        <v>619</v>
      </c>
      <c r="D34" s="450">
        <f>2080000</f>
        <v>2080000</v>
      </c>
      <c r="E34" s="449"/>
      <c r="F34" s="449"/>
      <c r="H34" s="449"/>
      <c r="K34" s="761"/>
    </row>
    <row r="35" spans="1:11">
      <c r="A35" s="441" t="s">
        <v>645</v>
      </c>
      <c r="B35" s="442" t="s">
        <v>619</v>
      </c>
      <c r="D35" s="450">
        <f>9000000</f>
        <v>9000000</v>
      </c>
      <c r="E35" s="449"/>
      <c r="F35" s="449"/>
      <c r="H35" s="449"/>
      <c r="K35" s="761"/>
    </row>
    <row r="36" spans="1:11" ht="12" thickBot="1">
      <c r="K36" s="761"/>
    </row>
    <row r="37" spans="1:11" ht="18" customHeight="1" thickBot="1">
      <c r="A37" s="431" t="s">
        <v>646</v>
      </c>
      <c r="B37" s="432"/>
      <c r="D37" s="451" t="s">
        <v>647</v>
      </c>
      <c r="K37" s="761"/>
    </row>
    <row r="38" spans="1:11" ht="15">
      <c r="A38" s="442">
        <v>1000</v>
      </c>
      <c r="B38" s="442" t="s">
        <v>648</v>
      </c>
      <c r="C38" s="782"/>
      <c r="D38" s="450">
        <v>1352</v>
      </c>
      <c r="K38" s="761"/>
    </row>
    <row r="39" spans="1:11">
      <c r="A39" s="442">
        <v>2000</v>
      </c>
      <c r="B39" s="442" t="s">
        <v>648</v>
      </c>
      <c r="D39" s="865">
        <v>2100</v>
      </c>
      <c r="K39" s="761"/>
    </row>
    <row r="40" spans="1:11">
      <c r="A40" s="442">
        <v>3000</v>
      </c>
      <c r="B40" s="442" t="s">
        <v>648</v>
      </c>
      <c r="D40" s="450">
        <v>937.5</v>
      </c>
      <c r="K40" s="761"/>
    </row>
    <row r="41" spans="1:11">
      <c r="A41" s="442">
        <v>4000</v>
      </c>
      <c r="B41" s="442" t="s">
        <v>648</v>
      </c>
      <c r="D41" s="450">
        <v>828</v>
      </c>
      <c r="K41" s="761"/>
    </row>
    <row r="42" spans="1:11">
      <c r="A42" s="442">
        <v>6000</v>
      </c>
      <c r="B42" s="442" t="s">
        <v>648</v>
      </c>
      <c r="D42" s="450">
        <v>624</v>
      </c>
      <c r="K42" s="761"/>
    </row>
    <row r="43" spans="1:11" ht="12" thickBot="1">
      <c r="A43" s="765">
        <v>10000</v>
      </c>
      <c r="B43" s="765" t="s">
        <v>648</v>
      </c>
      <c r="D43" s="450">
        <v>462.87499999999994</v>
      </c>
      <c r="K43" s="761"/>
    </row>
    <row r="44" spans="1:11" ht="12" thickBot="1">
      <c r="A44" s="766"/>
      <c r="B44" s="767"/>
      <c r="D44" s="453"/>
      <c r="K44" s="761"/>
    </row>
    <row r="45" spans="1:11" ht="12" thickBot="1">
      <c r="A45" s="431" t="s">
        <v>1188</v>
      </c>
      <c r="B45" s="432"/>
      <c r="D45" s="451" t="s">
        <v>1191</v>
      </c>
      <c r="K45" s="761"/>
    </row>
    <row r="46" spans="1:11">
      <c r="A46" s="437">
        <v>100</v>
      </c>
      <c r="B46" s="442" t="s">
        <v>648</v>
      </c>
      <c r="D46" s="448">
        <v>149233.995</v>
      </c>
      <c r="K46" s="761"/>
    </row>
    <row r="47" spans="1:11">
      <c r="A47" s="442">
        <v>200</v>
      </c>
      <c r="B47" s="442" t="s">
        <v>648</v>
      </c>
      <c r="D47" s="450">
        <v>298467.99</v>
      </c>
      <c r="K47" s="761"/>
    </row>
    <row r="48" spans="1:11">
      <c r="A48" s="442">
        <v>300</v>
      </c>
      <c r="B48" s="442" t="s">
        <v>648</v>
      </c>
      <c r="D48" s="450">
        <v>385050.91</v>
      </c>
      <c r="K48" s="761"/>
    </row>
    <row r="49" spans="1:11">
      <c r="A49" s="442">
        <v>500</v>
      </c>
      <c r="B49" s="442" t="s">
        <v>648</v>
      </c>
      <c r="D49" s="450">
        <v>641751.51699999999</v>
      </c>
      <c r="K49" s="761"/>
    </row>
    <row r="50" spans="1:11">
      <c r="A50" s="442">
        <v>1300</v>
      </c>
      <c r="B50" s="442" t="s">
        <v>648</v>
      </c>
      <c r="D50" s="450">
        <v>1508468.81</v>
      </c>
      <c r="K50" s="761"/>
    </row>
    <row r="51" spans="1:11">
      <c r="A51" s="442">
        <v>3000</v>
      </c>
      <c r="B51" s="442" t="s">
        <v>648</v>
      </c>
      <c r="D51" s="450">
        <v>2633427.85</v>
      </c>
      <c r="K51" s="761"/>
    </row>
    <row r="52" spans="1:11">
      <c r="A52" s="442">
        <v>5000</v>
      </c>
      <c r="B52" s="442" t="s">
        <v>648</v>
      </c>
      <c r="D52" s="450">
        <v>4729735.57</v>
      </c>
      <c r="K52" s="761"/>
    </row>
    <row r="53" spans="1:11">
      <c r="A53" s="442">
        <v>6000</v>
      </c>
      <c r="B53" s="442" t="s">
        <v>648</v>
      </c>
      <c r="D53" s="450">
        <v>12334545.189999999</v>
      </c>
      <c r="K53" s="761"/>
    </row>
    <row r="54" spans="1:11" ht="12" thickBot="1">
      <c r="D54" s="422"/>
      <c r="K54" s="761"/>
    </row>
    <row r="55" spans="1:11" ht="12" thickBot="1">
      <c r="A55" s="763" t="s">
        <v>1189</v>
      </c>
      <c r="B55" s="764"/>
      <c r="D55" s="451" t="s">
        <v>1191</v>
      </c>
      <c r="K55" s="761"/>
    </row>
    <row r="56" spans="1:11">
      <c r="A56" s="442">
        <v>15</v>
      </c>
      <c r="B56" s="442" t="s">
        <v>648</v>
      </c>
      <c r="D56" s="448">
        <v>56166.03</v>
      </c>
      <c r="K56" s="761"/>
    </row>
    <row r="57" spans="1:11">
      <c r="A57" s="442">
        <v>30</v>
      </c>
      <c r="B57" s="442" t="s">
        <v>648</v>
      </c>
      <c r="D57" s="448">
        <v>176297.74</v>
      </c>
      <c r="K57" s="761"/>
    </row>
    <row r="58" spans="1:11">
      <c r="A58" s="442">
        <v>50</v>
      </c>
      <c r="B58" s="442" t="s">
        <v>648</v>
      </c>
      <c r="D58" s="448">
        <v>208276.73</v>
      </c>
      <c r="K58" s="761"/>
    </row>
    <row r="59" spans="1:11">
      <c r="A59" s="442">
        <v>75</v>
      </c>
      <c r="B59" s="442" t="s">
        <v>648</v>
      </c>
      <c r="D59" s="448">
        <v>176725.19</v>
      </c>
      <c r="K59" s="761"/>
    </row>
    <row r="60" spans="1:11">
      <c r="A60" s="442">
        <v>100</v>
      </c>
      <c r="B60" s="442" t="s">
        <v>648</v>
      </c>
      <c r="D60" s="448">
        <v>122425.57</v>
      </c>
      <c r="K60" s="761"/>
    </row>
    <row r="61" spans="1:11">
      <c r="A61" s="442">
        <v>150</v>
      </c>
      <c r="B61" s="442" t="s">
        <v>648</v>
      </c>
      <c r="D61" s="448">
        <v>274809.71000000002</v>
      </c>
      <c r="K61" s="761"/>
    </row>
    <row r="62" spans="1:11">
      <c r="A62" s="442">
        <v>200</v>
      </c>
      <c r="B62" s="442" t="s">
        <v>648</v>
      </c>
      <c r="D62" s="448">
        <v>215068.9</v>
      </c>
      <c r="K62" s="761"/>
    </row>
    <row r="63" spans="1:11">
      <c r="A63" s="442">
        <v>200</v>
      </c>
      <c r="B63" s="442" t="s">
        <v>648</v>
      </c>
      <c r="D63" s="448">
        <v>256652.68</v>
      </c>
      <c r="K63" s="761"/>
    </row>
    <row r="64" spans="1:11">
      <c r="A64" s="442">
        <v>300</v>
      </c>
      <c r="B64" s="442" t="s">
        <v>648</v>
      </c>
      <c r="D64" s="448">
        <v>341224.61</v>
      </c>
      <c r="K64" s="761"/>
    </row>
    <row r="65" spans="1:11">
      <c r="A65" s="442">
        <v>500</v>
      </c>
      <c r="B65" s="442" t="s">
        <v>648</v>
      </c>
      <c r="D65" s="448">
        <v>701682.38</v>
      </c>
      <c r="K65" s="761"/>
    </row>
    <row r="66" spans="1:11">
      <c r="A66" s="442">
        <v>1000</v>
      </c>
      <c r="B66" s="442" t="s">
        <v>648</v>
      </c>
      <c r="D66" s="448">
        <v>1164349</v>
      </c>
      <c r="K66" s="761"/>
    </row>
    <row r="67" spans="1:11">
      <c r="A67" s="442">
        <v>1500</v>
      </c>
      <c r="B67" s="442" t="s">
        <v>648</v>
      </c>
      <c r="D67" s="448">
        <v>1232890.94</v>
      </c>
      <c r="K67" s="761"/>
    </row>
    <row r="68" spans="1:11">
      <c r="A68" s="442">
        <v>2200</v>
      </c>
      <c r="B68" s="442" t="s">
        <v>648</v>
      </c>
      <c r="D68" s="448">
        <v>1908240.2</v>
      </c>
      <c r="K68" s="761"/>
    </row>
    <row r="69" spans="1:11">
      <c r="A69" s="442">
        <v>2500</v>
      </c>
      <c r="B69" s="442" t="s">
        <v>648</v>
      </c>
      <c r="D69" s="448">
        <v>1582412.02</v>
      </c>
      <c r="K69" s="761"/>
    </row>
    <row r="70" spans="1:11" ht="12" thickBot="1">
      <c r="D70" s="762"/>
      <c r="K70" s="761"/>
    </row>
    <row r="71" spans="1:11" ht="12" thickBot="1">
      <c r="A71" s="431" t="s">
        <v>1190</v>
      </c>
      <c r="B71" s="432"/>
      <c r="D71" s="451" t="s">
        <v>1191</v>
      </c>
      <c r="K71" s="761"/>
    </row>
    <row r="72" spans="1:11">
      <c r="A72" s="437">
        <v>10</v>
      </c>
      <c r="B72" s="437" t="s">
        <v>648</v>
      </c>
      <c r="D72" s="448">
        <v>13475.74</v>
      </c>
      <c r="K72" s="761"/>
    </row>
    <row r="73" spans="1:11">
      <c r="A73" s="442">
        <v>15</v>
      </c>
      <c r="B73" s="442" t="s">
        <v>648</v>
      </c>
      <c r="D73" s="450">
        <v>11929.61</v>
      </c>
      <c r="K73" s="761"/>
    </row>
    <row r="74" spans="1:11">
      <c r="A74" s="442">
        <v>20</v>
      </c>
      <c r="B74" s="442" t="s">
        <v>648</v>
      </c>
      <c r="D74" s="450">
        <v>25379.37</v>
      </c>
      <c r="K74" s="761"/>
    </row>
    <row r="75" spans="1:11">
      <c r="A75" s="442">
        <v>25</v>
      </c>
      <c r="B75" s="442" t="s">
        <v>648</v>
      </c>
      <c r="D75" s="450">
        <v>24658.85</v>
      </c>
      <c r="K75" s="761"/>
    </row>
    <row r="76" spans="1:11">
      <c r="A76" s="442">
        <v>50</v>
      </c>
      <c r="B76" s="442" t="s">
        <v>648</v>
      </c>
      <c r="D76" s="450">
        <v>216609.93</v>
      </c>
      <c r="K76" s="761"/>
    </row>
    <row r="77" spans="1:11">
      <c r="A77" s="442">
        <v>100</v>
      </c>
      <c r="B77" s="442" t="s">
        <v>648</v>
      </c>
      <c r="D77" s="450">
        <v>384120.36</v>
      </c>
      <c r="K77" s="761"/>
    </row>
    <row r="78" spans="1:11">
      <c r="A78" s="442">
        <v>150</v>
      </c>
      <c r="B78" s="442" t="s">
        <v>648</v>
      </c>
      <c r="D78" s="450">
        <v>558337.03</v>
      </c>
      <c r="K78" s="761"/>
    </row>
    <row r="79" spans="1:11" ht="12" thickBot="1">
      <c r="D79" s="453"/>
      <c r="K79" s="761"/>
    </row>
    <row r="80" spans="1:11" ht="17.55" customHeight="1" thickBot="1">
      <c r="A80" s="1034" t="s">
        <v>649</v>
      </c>
      <c r="B80" s="1035"/>
      <c r="D80" s="434" t="s">
        <v>650</v>
      </c>
      <c r="E80" s="449"/>
      <c r="F80" s="454"/>
      <c r="K80" s="761"/>
    </row>
    <row r="81" spans="1:19" ht="15">
      <c r="A81" s="455" t="s">
        <v>651</v>
      </c>
      <c r="B81" s="456" t="s">
        <v>619</v>
      </c>
      <c r="C81" s="782"/>
      <c r="D81" s="865">
        <v>700</v>
      </c>
      <c r="E81" s="449"/>
      <c r="F81" s="454"/>
      <c r="K81" s="761"/>
    </row>
    <row r="82" spans="1:19" ht="18" customHeight="1">
      <c r="A82" s="455" t="s">
        <v>652</v>
      </c>
      <c r="B82" s="456" t="s">
        <v>619</v>
      </c>
      <c r="C82" s="457"/>
      <c r="D82" s="450">
        <v>150</v>
      </c>
      <c r="E82" s="449"/>
      <c r="F82" s="454"/>
    </row>
    <row r="83" spans="1:19" ht="15">
      <c r="A83" s="455" t="s">
        <v>653</v>
      </c>
      <c r="B83" s="456" t="s">
        <v>619</v>
      </c>
      <c r="C83" s="782"/>
      <c r="D83" s="865">
        <v>135</v>
      </c>
      <c r="E83" s="449"/>
      <c r="F83" s="454"/>
      <c r="G83" s="457"/>
      <c r="H83" s="457"/>
    </row>
    <row r="84" spans="1:19" s="778" customFormat="1" ht="15">
      <c r="A84" s="455" t="s">
        <v>654</v>
      </c>
      <c r="B84" s="456" t="s">
        <v>402</v>
      </c>
      <c r="C84" s="782"/>
      <c r="D84" s="865">
        <v>195</v>
      </c>
      <c r="E84" s="779"/>
      <c r="F84" s="780"/>
      <c r="G84" s="781"/>
      <c r="H84" s="782"/>
    </row>
    <row r="85" spans="1:19">
      <c r="A85" s="455" t="s">
        <v>655</v>
      </c>
      <c r="B85" s="456" t="s">
        <v>402</v>
      </c>
      <c r="C85" s="457"/>
      <c r="D85" s="450">
        <v>252.38069999999999</v>
      </c>
      <c r="E85" s="449"/>
      <c r="F85" s="454"/>
      <c r="G85" s="457"/>
      <c r="H85" s="457"/>
    </row>
    <row r="86" spans="1:19" ht="15">
      <c r="A86" s="455" t="s">
        <v>656</v>
      </c>
      <c r="B86" s="456" t="s">
        <v>402</v>
      </c>
      <c r="C86" s="782"/>
      <c r="D86" s="450">
        <v>266.90319999999997</v>
      </c>
      <c r="E86" s="449"/>
      <c r="F86" s="454"/>
    </row>
    <row r="87" spans="1:19">
      <c r="A87" s="455" t="s">
        <v>657</v>
      </c>
      <c r="B87" s="456" t="s">
        <v>402</v>
      </c>
      <c r="D87" s="450">
        <v>285.58819999999997</v>
      </c>
      <c r="E87" s="449"/>
      <c r="F87" s="454"/>
    </row>
    <row r="88" spans="1:19" s="457" customFormat="1">
      <c r="A88" s="455" t="s">
        <v>658</v>
      </c>
      <c r="B88" s="456" t="s">
        <v>402</v>
      </c>
      <c r="C88" s="422"/>
      <c r="D88" s="450">
        <v>313.33820000000003</v>
      </c>
      <c r="E88" s="449"/>
      <c r="F88" s="454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</row>
    <row r="89" spans="1:19" s="457" customFormat="1">
      <c r="A89" s="455" t="s">
        <v>659</v>
      </c>
      <c r="B89" s="456" t="s">
        <v>402</v>
      </c>
      <c r="C89" s="422"/>
      <c r="D89" s="450">
        <v>394.10919999999999</v>
      </c>
      <c r="E89" s="449"/>
      <c r="F89" s="454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</row>
    <row r="90" spans="1:19" s="457" customFormat="1">
      <c r="A90" s="455" t="s">
        <v>660</v>
      </c>
      <c r="B90" s="456" t="s">
        <v>402</v>
      </c>
      <c r="C90" s="422"/>
      <c r="D90" s="450">
        <v>755</v>
      </c>
      <c r="E90" s="449"/>
      <c r="F90" s="454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</row>
    <row r="91" spans="1:19" s="457" customFormat="1">
      <c r="A91" s="455" t="s">
        <v>661</v>
      </c>
      <c r="B91" s="456" t="s">
        <v>402</v>
      </c>
      <c r="C91" s="422"/>
      <c r="D91" s="450">
        <v>890</v>
      </c>
      <c r="E91" s="449"/>
      <c r="F91" s="454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</row>
    <row r="92" spans="1:19" s="457" customFormat="1">
      <c r="A92" s="455" t="s">
        <v>662</v>
      </c>
      <c r="B92" s="456" t="s">
        <v>402</v>
      </c>
      <c r="C92" s="422"/>
      <c r="D92" s="450">
        <v>2447.9056625000003</v>
      </c>
      <c r="E92" s="449"/>
      <c r="F92" s="454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</row>
    <row r="93" spans="1:19" s="457" customFormat="1">
      <c r="A93" s="455" t="s">
        <v>663</v>
      </c>
      <c r="B93" s="456" t="s">
        <v>402</v>
      </c>
      <c r="C93" s="422"/>
      <c r="D93" s="450">
        <v>2710</v>
      </c>
      <c r="E93" s="449"/>
      <c r="F93" s="454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</row>
    <row r="94" spans="1:19" s="457" customFormat="1">
      <c r="A94" s="455" t="s">
        <v>664</v>
      </c>
      <c r="B94" s="456" t="s">
        <v>402</v>
      </c>
      <c r="C94" s="422"/>
      <c r="D94" s="450">
        <v>2835</v>
      </c>
      <c r="E94" s="449"/>
      <c r="F94" s="454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</row>
    <row r="95" spans="1:19" s="457" customFormat="1">
      <c r="A95" s="455" t="s">
        <v>665</v>
      </c>
      <c r="B95" s="456" t="s">
        <v>402</v>
      </c>
      <c r="C95" s="422"/>
      <c r="D95" s="450">
        <v>2979.726200000001</v>
      </c>
      <c r="E95" s="449"/>
      <c r="F95" s="454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</row>
    <row r="96" spans="1:19" s="457" customFormat="1">
      <c r="A96" s="455" t="s">
        <v>666</v>
      </c>
      <c r="B96" s="456" t="s">
        <v>402</v>
      </c>
      <c r="C96" s="422"/>
      <c r="D96" s="450">
        <v>3125</v>
      </c>
      <c r="E96" s="449"/>
      <c r="F96" s="454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</row>
    <row r="97" spans="1:19" s="457" customFormat="1">
      <c r="A97" s="455" t="s">
        <v>667</v>
      </c>
      <c r="B97" s="456" t="s">
        <v>402</v>
      </c>
      <c r="C97" s="422"/>
      <c r="D97" s="450">
        <v>3250</v>
      </c>
      <c r="E97" s="449"/>
      <c r="F97" s="454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</row>
    <row r="98" spans="1:19" s="457" customFormat="1">
      <c r="A98" s="455" t="s">
        <v>668</v>
      </c>
      <c r="B98" s="456" t="s">
        <v>402</v>
      </c>
      <c r="C98" s="422"/>
      <c r="D98" s="450">
        <v>4275.3967375000002</v>
      </c>
      <c r="E98" s="449"/>
      <c r="F98" s="454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</row>
    <row r="99" spans="1:19" s="457" customFormat="1">
      <c r="A99" s="455" t="s">
        <v>669</v>
      </c>
      <c r="B99" s="456" t="s">
        <v>402</v>
      </c>
      <c r="C99" s="422"/>
      <c r="D99" s="450">
        <f>(D100+D98)/2</f>
        <v>4931.5805187499991</v>
      </c>
      <c r="E99" s="449"/>
      <c r="F99" s="454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</row>
    <row r="100" spans="1:19" s="457" customFormat="1">
      <c r="A100" s="455" t="s">
        <v>670</v>
      </c>
      <c r="B100" s="456" t="s">
        <v>402</v>
      </c>
      <c r="C100" s="422"/>
      <c r="D100" s="450">
        <v>5587.7642999999989</v>
      </c>
      <c r="E100" s="449"/>
      <c r="F100" s="454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</row>
    <row r="101" spans="1:19" s="457" customFormat="1">
      <c r="A101" s="455" t="s">
        <v>671</v>
      </c>
      <c r="B101" s="456" t="s">
        <v>402</v>
      </c>
      <c r="C101" s="422"/>
      <c r="D101" s="450">
        <f>(D102+D100)/2</f>
        <v>6621.1480812499985</v>
      </c>
      <c r="E101" s="449"/>
      <c r="F101" s="454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</row>
    <row r="102" spans="1:19" s="457" customFormat="1">
      <c r="A102" s="455" t="s">
        <v>672</v>
      </c>
      <c r="B102" s="456" t="s">
        <v>402</v>
      </c>
      <c r="C102" s="422"/>
      <c r="D102" s="450">
        <v>7654.5318624999982</v>
      </c>
      <c r="E102" s="449"/>
      <c r="F102" s="454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</row>
    <row r="103" spans="1:19" s="457" customFormat="1" ht="12" thickBot="1">
      <c r="A103" s="568"/>
      <c r="D103" s="714"/>
      <c r="E103" s="715"/>
      <c r="F103" s="453"/>
    </row>
    <row r="104" spans="1:19" ht="18" customHeight="1" thickBot="1">
      <c r="A104" s="431" t="s">
        <v>1232</v>
      </c>
      <c r="B104" s="432"/>
      <c r="D104" s="434" t="s">
        <v>260</v>
      </c>
    </row>
    <row r="105" spans="1:19">
      <c r="A105" s="436" t="s">
        <v>830</v>
      </c>
      <c r="B105" s="437" t="s">
        <v>430</v>
      </c>
      <c r="D105" s="448">
        <v>25000</v>
      </c>
      <c r="E105" s="449"/>
      <c r="F105" s="449"/>
      <c r="H105" s="449"/>
    </row>
    <row r="106" spans="1:19">
      <c r="A106" s="436" t="s">
        <v>829</v>
      </c>
      <c r="B106" s="442" t="s">
        <v>430</v>
      </c>
      <c r="D106" s="450">
        <v>22000</v>
      </c>
      <c r="E106" s="449"/>
      <c r="F106" s="449"/>
      <c r="H106" s="449"/>
    </row>
    <row r="107" spans="1:19" ht="12" thickBot="1">
      <c r="D107" s="454"/>
      <c r="E107" s="449"/>
      <c r="F107" s="454"/>
    </row>
    <row r="108" spans="1:19" ht="18" customHeight="1" thickBot="1">
      <c r="A108" s="458" t="s">
        <v>673</v>
      </c>
      <c r="B108" s="459"/>
      <c r="D108" s="460" t="s">
        <v>674</v>
      </c>
    </row>
    <row r="109" spans="1:19" ht="15">
      <c r="A109" s="441" t="s">
        <v>675</v>
      </c>
      <c r="B109" s="442" t="s">
        <v>430</v>
      </c>
      <c r="C109" s="782"/>
      <c r="D109" s="450">
        <f>(145000/2)+145000</f>
        <v>217500</v>
      </c>
      <c r="E109" s="449"/>
      <c r="F109" s="449"/>
      <c r="H109" s="449"/>
    </row>
    <row r="110" spans="1:19" ht="15">
      <c r="A110" s="441" t="s">
        <v>676</v>
      </c>
      <c r="B110" s="442" t="s">
        <v>430</v>
      </c>
      <c r="C110" s="782"/>
      <c r="D110" s="450">
        <f>(425000/2)+425000</f>
        <v>637500</v>
      </c>
      <c r="E110" s="449"/>
      <c r="F110" s="449"/>
      <c r="H110" s="449"/>
    </row>
    <row r="111" spans="1:19">
      <c r="A111" s="441" t="s">
        <v>677</v>
      </c>
      <c r="B111" s="442" t="s">
        <v>430</v>
      </c>
      <c r="D111" s="450">
        <f>695000</f>
        <v>695000</v>
      </c>
      <c r="E111" s="449"/>
      <c r="F111" s="449"/>
      <c r="H111" s="449"/>
    </row>
    <row r="112" spans="1:19">
      <c r="A112" s="441" t="s">
        <v>678</v>
      </c>
      <c r="B112" s="442" t="s">
        <v>430</v>
      </c>
      <c r="D112" s="450">
        <f>1050000</f>
        <v>1050000</v>
      </c>
      <c r="E112" s="449"/>
      <c r="F112" s="449"/>
      <c r="H112" s="449"/>
    </row>
    <row r="113" spans="1:8" ht="15">
      <c r="A113" s="441" t="s">
        <v>679</v>
      </c>
      <c r="B113" s="442" t="s">
        <v>430</v>
      </c>
      <c r="C113" s="782"/>
      <c r="D113" s="450">
        <f>(2800000/2)+2800000</f>
        <v>4200000</v>
      </c>
      <c r="E113" s="449"/>
      <c r="F113" s="449"/>
      <c r="H113" s="449"/>
    </row>
    <row r="115" spans="1:8" ht="12" thickBot="1"/>
    <row r="116" spans="1:8" ht="18" customHeight="1" thickBot="1">
      <c r="A116" s="1028" t="s">
        <v>680</v>
      </c>
      <c r="B116" s="1029"/>
      <c r="D116" s="461" t="s">
        <v>650</v>
      </c>
    </row>
    <row r="117" spans="1:8" ht="13.2" customHeight="1">
      <c r="A117" s="441" t="s">
        <v>651</v>
      </c>
      <c r="B117" s="456" t="s">
        <v>619</v>
      </c>
      <c r="C117" s="782"/>
      <c r="D117" s="865">
        <v>1030</v>
      </c>
    </row>
    <row r="118" spans="1:8" ht="14.55" customHeight="1">
      <c r="A118" s="441" t="s">
        <v>681</v>
      </c>
      <c r="B118" s="456" t="s">
        <v>402</v>
      </c>
      <c r="C118" s="880">
        <f>'Fluxo Sem Financiamento'!B31</f>
        <v>8.7917646999729815E-2</v>
      </c>
      <c r="D118" s="865">
        <v>485</v>
      </c>
    </row>
    <row r="119" spans="1:8">
      <c r="A119" s="441" t="s">
        <v>682</v>
      </c>
      <c r="B119" s="456" t="s">
        <v>402</v>
      </c>
      <c r="D119" s="865">
        <v>485</v>
      </c>
    </row>
    <row r="120" spans="1:8">
      <c r="A120" s="441" t="s">
        <v>683</v>
      </c>
      <c r="B120" s="456" t="s">
        <v>402</v>
      </c>
      <c r="D120" s="450">
        <v>523.81059855695992</v>
      </c>
    </row>
    <row r="121" spans="1:8">
      <c r="A121" s="441" t="s">
        <v>684</v>
      </c>
      <c r="B121" s="456" t="s">
        <v>402</v>
      </c>
      <c r="D121" s="450">
        <v>591.29250270948</v>
      </c>
    </row>
    <row r="122" spans="1:8">
      <c r="A122" s="441" t="s">
        <v>685</v>
      </c>
      <c r="B122" s="456" t="s">
        <v>402</v>
      </c>
      <c r="D122" s="450">
        <v>710.01884797271998</v>
      </c>
    </row>
    <row r="123" spans="1:8">
      <c r="A123" s="441" t="s">
        <v>686</v>
      </c>
      <c r="B123" s="456" t="s">
        <v>402</v>
      </c>
      <c r="D123" s="450">
        <v>695.20690239580006</v>
      </c>
    </row>
    <row r="124" spans="1:8">
      <c r="A124" s="441" t="s">
        <v>687</v>
      </c>
      <c r="B124" s="456" t="s">
        <v>402</v>
      </c>
      <c r="D124" s="865">
        <v>1250</v>
      </c>
    </row>
    <row r="125" spans="1:8">
      <c r="A125" s="441" t="s">
        <v>688</v>
      </c>
      <c r="B125" s="456" t="s">
        <v>402</v>
      </c>
      <c r="D125" s="865">
        <v>1420</v>
      </c>
    </row>
    <row r="126" spans="1:8">
      <c r="A126" s="441" t="s">
        <v>689</v>
      </c>
      <c r="B126" s="456" t="s">
        <v>402</v>
      </c>
      <c r="D126" s="865">
        <v>1540</v>
      </c>
    </row>
    <row r="127" spans="1:8">
      <c r="A127" s="441" t="s">
        <v>690</v>
      </c>
      <c r="B127" s="456" t="s">
        <v>402</v>
      </c>
      <c r="D127" s="865">
        <v>1610</v>
      </c>
    </row>
    <row r="128" spans="1:8" ht="12" thickBot="1"/>
    <row r="129" spans="1:16382" ht="12" thickBot="1">
      <c r="A129" s="1028" t="s">
        <v>756</v>
      </c>
      <c r="B129" s="1029"/>
      <c r="D129" s="462" t="s">
        <v>207</v>
      </c>
    </row>
    <row r="130" spans="1:16382">
      <c r="A130" s="437">
        <v>1</v>
      </c>
      <c r="B130" s="437" t="s">
        <v>757</v>
      </c>
      <c r="D130" s="450">
        <v>5900</v>
      </c>
      <c r="E130" s="457"/>
    </row>
    <row r="131" spans="1:16382" ht="12" thickBot="1"/>
    <row r="132" spans="1:16382" ht="12" thickBot="1">
      <c r="A132" s="1028" t="s">
        <v>691</v>
      </c>
      <c r="B132" s="1029"/>
      <c r="D132" s="462" t="s">
        <v>207</v>
      </c>
    </row>
    <row r="133" spans="1:16382" s="778" customFormat="1" ht="15">
      <c r="A133" s="437">
        <v>1</v>
      </c>
      <c r="B133" s="437" t="s">
        <v>430</v>
      </c>
      <c r="C133" s="782"/>
      <c r="D133" s="450">
        <v>320000</v>
      </c>
    </row>
    <row r="135" spans="1:16382" ht="12" thickBot="1"/>
    <row r="136" spans="1:16382" ht="12" thickBot="1">
      <c r="A136" s="1028" t="s">
        <v>692</v>
      </c>
      <c r="B136" s="1029"/>
    </row>
    <row r="137" spans="1:16382" ht="13.2">
      <c r="A137" s="437" t="s">
        <v>693</v>
      </c>
      <c r="B137" s="868">
        <f>SUM(Investimento!C42,Investimento!C24)*1%</f>
        <v>5000995.38</v>
      </c>
      <c r="C137"/>
      <c r="D137" s="423">
        <f>C137*1%</f>
        <v>0</v>
      </c>
    </row>
    <row r="138" spans="1:16382" customFormat="1" ht="13.2">
      <c r="A138" s="437" t="s">
        <v>694</v>
      </c>
      <c r="B138" s="480">
        <f>300*12</f>
        <v>3600</v>
      </c>
      <c r="C138" s="422" t="s">
        <v>1170</v>
      </c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  <c r="AA138" s="422"/>
      <c r="AB138" s="422"/>
      <c r="AC138" s="422"/>
      <c r="AD138" s="422"/>
      <c r="AE138" s="422"/>
      <c r="AF138" s="422"/>
      <c r="AG138" s="422"/>
      <c r="AH138" s="422"/>
      <c r="AI138" s="422"/>
      <c r="AJ138" s="422"/>
      <c r="AK138" s="422"/>
      <c r="AL138" s="422"/>
      <c r="AM138" s="422"/>
      <c r="AN138" s="422"/>
      <c r="AO138" s="422"/>
      <c r="AP138" s="422"/>
      <c r="AQ138" s="422"/>
      <c r="AR138" s="422"/>
      <c r="AS138" s="422"/>
      <c r="AT138" s="422"/>
      <c r="AU138" s="422"/>
      <c r="AV138" s="422"/>
      <c r="AW138" s="422"/>
      <c r="AX138" s="422"/>
      <c r="AY138" s="422"/>
      <c r="AZ138" s="422"/>
      <c r="BA138" s="422"/>
      <c r="BB138" s="422"/>
      <c r="BC138" s="422"/>
      <c r="BD138" s="422"/>
      <c r="BE138" s="422"/>
      <c r="BF138" s="422"/>
      <c r="BG138" s="422"/>
      <c r="BH138" s="422"/>
      <c r="BI138" s="422"/>
      <c r="BJ138" s="422"/>
      <c r="BK138" s="422"/>
      <c r="BL138" s="422"/>
      <c r="BM138" s="422"/>
      <c r="BN138" s="422"/>
      <c r="BO138" s="422"/>
      <c r="BP138" s="422"/>
      <c r="BQ138" s="422"/>
      <c r="BR138" s="422"/>
      <c r="BS138" s="422"/>
      <c r="BT138" s="422"/>
      <c r="BU138" s="422"/>
      <c r="BV138" s="422"/>
      <c r="BW138" s="422"/>
      <c r="BX138" s="422"/>
      <c r="BY138" s="422"/>
      <c r="BZ138" s="422"/>
      <c r="CA138" s="422"/>
      <c r="CB138" s="422"/>
      <c r="CC138" s="422"/>
      <c r="CD138" s="422"/>
      <c r="CE138" s="422"/>
      <c r="CF138" s="422"/>
      <c r="CG138" s="422"/>
      <c r="CH138" s="422"/>
      <c r="CI138" s="422"/>
      <c r="CJ138" s="422"/>
      <c r="CK138" s="422"/>
      <c r="CL138" s="422"/>
      <c r="CM138" s="422"/>
      <c r="CN138" s="422"/>
      <c r="CO138" s="422"/>
      <c r="CP138" s="422"/>
      <c r="CQ138" s="422"/>
      <c r="CR138" s="422"/>
      <c r="CS138" s="422"/>
      <c r="CT138" s="422"/>
      <c r="CU138" s="422"/>
      <c r="CV138" s="422"/>
      <c r="CW138" s="422"/>
      <c r="CX138" s="422"/>
      <c r="CY138" s="422"/>
      <c r="CZ138" s="422"/>
      <c r="DA138" s="422"/>
      <c r="DB138" s="422"/>
      <c r="DC138" s="422"/>
      <c r="DD138" s="422"/>
      <c r="DE138" s="422"/>
      <c r="DF138" s="422"/>
      <c r="DG138" s="422"/>
      <c r="DH138" s="422"/>
      <c r="DI138" s="422"/>
      <c r="DJ138" s="422"/>
      <c r="DK138" s="422"/>
      <c r="DL138" s="422"/>
      <c r="DM138" s="422"/>
      <c r="DN138" s="422"/>
      <c r="DO138" s="422"/>
      <c r="DP138" s="422"/>
      <c r="DQ138" s="422"/>
      <c r="DR138" s="422"/>
      <c r="DS138" s="422"/>
      <c r="DT138" s="422"/>
      <c r="DU138" s="422"/>
      <c r="DV138" s="422"/>
      <c r="DW138" s="422"/>
      <c r="DX138" s="422"/>
      <c r="DY138" s="422"/>
      <c r="DZ138" s="422"/>
      <c r="EA138" s="422"/>
      <c r="EB138" s="422"/>
      <c r="EC138" s="422"/>
      <c r="ED138" s="422"/>
      <c r="EE138" s="422"/>
      <c r="EF138" s="422"/>
      <c r="EG138" s="422"/>
      <c r="EH138" s="422"/>
      <c r="EI138" s="422"/>
      <c r="EJ138" s="422"/>
      <c r="EK138" s="422"/>
      <c r="EL138" s="422"/>
      <c r="EM138" s="422"/>
      <c r="EN138" s="422"/>
      <c r="EO138" s="422"/>
      <c r="EP138" s="422"/>
      <c r="EQ138" s="422"/>
      <c r="ER138" s="422"/>
      <c r="ES138" s="422"/>
      <c r="ET138" s="422"/>
      <c r="EU138" s="422"/>
      <c r="EV138" s="422"/>
      <c r="EW138" s="422"/>
      <c r="EX138" s="422"/>
      <c r="EY138" s="422"/>
      <c r="EZ138" s="422"/>
      <c r="FA138" s="422"/>
      <c r="FB138" s="422"/>
      <c r="FC138" s="422"/>
      <c r="FD138" s="422"/>
      <c r="FE138" s="422"/>
      <c r="FF138" s="422"/>
      <c r="FG138" s="422"/>
      <c r="FH138" s="422"/>
      <c r="FI138" s="422"/>
      <c r="FJ138" s="422"/>
      <c r="FK138" s="422"/>
      <c r="FL138" s="422"/>
      <c r="FM138" s="422"/>
      <c r="FN138" s="422"/>
      <c r="FO138" s="422"/>
      <c r="FP138" s="422"/>
      <c r="FQ138" s="422"/>
      <c r="FR138" s="422"/>
      <c r="FS138" s="422"/>
      <c r="FT138" s="422"/>
      <c r="FU138" s="422"/>
      <c r="FV138" s="422"/>
      <c r="FW138" s="422"/>
      <c r="FX138" s="422"/>
      <c r="FY138" s="422"/>
      <c r="FZ138" s="422"/>
      <c r="GA138" s="422"/>
      <c r="GB138" s="422"/>
      <c r="GC138" s="422"/>
      <c r="GD138" s="422"/>
      <c r="GE138" s="422"/>
      <c r="GF138" s="422"/>
      <c r="GG138" s="422"/>
      <c r="GH138" s="422"/>
      <c r="GI138" s="422"/>
      <c r="GJ138" s="422"/>
      <c r="GK138" s="422"/>
      <c r="GL138" s="422"/>
      <c r="GM138" s="422"/>
      <c r="GN138" s="422"/>
      <c r="GO138" s="422"/>
      <c r="GP138" s="422"/>
      <c r="GQ138" s="422"/>
      <c r="GR138" s="422"/>
      <c r="GS138" s="422"/>
      <c r="GT138" s="422"/>
      <c r="GU138" s="422"/>
      <c r="GV138" s="422"/>
      <c r="GW138" s="422"/>
      <c r="GX138" s="422"/>
      <c r="GY138" s="422"/>
      <c r="GZ138" s="422"/>
      <c r="HA138" s="422"/>
      <c r="HB138" s="422"/>
      <c r="HC138" s="422"/>
      <c r="HD138" s="422"/>
      <c r="HE138" s="422"/>
      <c r="HF138" s="422"/>
      <c r="HG138" s="422"/>
      <c r="HH138" s="422"/>
      <c r="HI138" s="422"/>
      <c r="HJ138" s="422"/>
      <c r="HK138" s="422"/>
      <c r="HL138" s="422"/>
      <c r="HM138" s="422"/>
      <c r="HN138" s="422"/>
      <c r="HO138" s="422"/>
      <c r="HP138" s="422"/>
      <c r="HQ138" s="422"/>
      <c r="HR138" s="422"/>
      <c r="HS138" s="422"/>
      <c r="HT138" s="422"/>
      <c r="HU138" s="422"/>
      <c r="HV138" s="422"/>
      <c r="HW138" s="422"/>
      <c r="HX138" s="422"/>
      <c r="HY138" s="422"/>
      <c r="HZ138" s="422"/>
      <c r="IA138" s="422"/>
      <c r="IB138" s="422"/>
      <c r="IC138" s="422"/>
      <c r="ID138" s="422"/>
      <c r="IE138" s="422"/>
      <c r="IF138" s="422"/>
      <c r="IG138" s="422"/>
      <c r="IH138" s="422"/>
      <c r="II138" s="422"/>
      <c r="IJ138" s="422"/>
      <c r="IK138" s="422"/>
      <c r="IL138" s="422"/>
      <c r="IM138" s="422"/>
      <c r="IN138" s="422"/>
      <c r="IO138" s="422"/>
      <c r="IP138" s="422"/>
      <c r="IQ138" s="422"/>
      <c r="IR138" s="422"/>
      <c r="IS138" s="422"/>
      <c r="IT138" s="422"/>
      <c r="IU138" s="422"/>
      <c r="IV138" s="422"/>
      <c r="IW138" s="422"/>
      <c r="IX138" s="422"/>
      <c r="IY138" s="422"/>
      <c r="IZ138" s="422"/>
      <c r="JA138" s="422"/>
      <c r="JB138" s="422"/>
      <c r="JC138" s="422"/>
      <c r="JD138" s="422"/>
      <c r="JE138" s="422"/>
      <c r="JF138" s="422"/>
      <c r="JG138" s="422"/>
      <c r="JH138" s="422"/>
      <c r="JI138" s="422"/>
      <c r="JJ138" s="422"/>
      <c r="JK138" s="422"/>
      <c r="JL138" s="422"/>
      <c r="JM138" s="422"/>
      <c r="JN138" s="422"/>
      <c r="JO138" s="422"/>
      <c r="JP138" s="422"/>
      <c r="JQ138" s="422"/>
      <c r="JR138" s="422"/>
      <c r="JS138" s="422"/>
      <c r="JT138" s="422"/>
      <c r="JU138" s="422"/>
      <c r="JV138" s="422"/>
      <c r="JW138" s="422"/>
      <c r="JX138" s="422"/>
      <c r="JY138" s="422"/>
      <c r="JZ138" s="422"/>
      <c r="KA138" s="422"/>
      <c r="KB138" s="422"/>
      <c r="KC138" s="422"/>
      <c r="KD138" s="422"/>
      <c r="KE138" s="422"/>
      <c r="KF138" s="422"/>
      <c r="KG138" s="422"/>
      <c r="KH138" s="422"/>
      <c r="KI138" s="422"/>
      <c r="KJ138" s="422"/>
      <c r="KK138" s="422"/>
      <c r="KL138" s="422"/>
      <c r="KM138" s="422"/>
      <c r="KN138" s="422"/>
      <c r="KO138" s="422"/>
      <c r="KP138" s="422"/>
      <c r="KQ138" s="422"/>
      <c r="KR138" s="422"/>
      <c r="KS138" s="422"/>
      <c r="KT138" s="422"/>
      <c r="KU138" s="422"/>
      <c r="KV138" s="422"/>
      <c r="KW138" s="422"/>
      <c r="KX138" s="422"/>
      <c r="KY138" s="422"/>
      <c r="KZ138" s="422"/>
      <c r="LA138" s="422"/>
      <c r="LB138" s="422"/>
      <c r="LC138" s="422"/>
      <c r="LD138" s="422"/>
      <c r="LE138" s="422"/>
      <c r="LF138" s="422"/>
      <c r="LG138" s="422"/>
      <c r="LH138" s="422"/>
      <c r="LI138" s="422"/>
      <c r="LJ138" s="422"/>
      <c r="LK138" s="422"/>
      <c r="LL138" s="422"/>
      <c r="LM138" s="422"/>
      <c r="LN138" s="422"/>
      <c r="LO138" s="422"/>
      <c r="LP138" s="422"/>
      <c r="LQ138" s="422"/>
      <c r="LR138" s="422"/>
      <c r="LS138" s="422"/>
      <c r="LT138" s="422"/>
      <c r="LU138" s="422"/>
      <c r="LV138" s="422"/>
      <c r="LW138" s="422"/>
      <c r="LX138" s="422"/>
      <c r="LY138" s="422"/>
      <c r="LZ138" s="422"/>
      <c r="MA138" s="422"/>
      <c r="MB138" s="422"/>
      <c r="MC138" s="422"/>
      <c r="MD138" s="422"/>
      <c r="ME138" s="422"/>
      <c r="MF138" s="422"/>
      <c r="MG138" s="422"/>
      <c r="MH138" s="422"/>
      <c r="MI138" s="422"/>
      <c r="MJ138" s="422"/>
      <c r="MK138" s="422"/>
      <c r="ML138" s="422"/>
      <c r="MM138" s="422"/>
      <c r="MN138" s="422"/>
      <c r="MO138" s="422"/>
      <c r="MP138" s="422"/>
      <c r="MQ138" s="422"/>
      <c r="MR138" s="422"/>
      <c r="MS138" s="422"/>
      <c r="MT138" s="422"/>
      <c r="MU138" s="422"/>
      <c r="MV138" s="422"/>
      <c r="MW138" s="422"/>
      <c r="MX138" s="422"/>
      <c r="MY138" s="422"/>
      <c r="MZ138" s="422"/>
      <c r="NA138" s="422"/>
      <c r="NB138" s="422"/>
      <c r="NC138" s="422"/>
      <c r="ND138" s="422"/>
      <c r="NE138" s="422"/>
      <c r="NF138" s="422"/>
      <c r="NG138" s="422"/>
      <c r="NH138" s="422"/>
      <c r="NI138" s="422"/>
      <c r="NJ138" s="422"/>
      <c r="NK138" s="422"/>
      <c r="NL138" s="422"/>
      <c r="NM138" s="422"/>
      <c r="NN138" s="422"/>
      <c r="NO138" s="422"/>
      <c r="NP138" s="422"/>
      <c r="NQ138" s="422"/>
      <c r="NR138" s="422"/>
      <c r="NS138" s="422"/>
      <c r="NT138" s="422"/>
      <c r="NU138" s="422"/>
      <c r="NV138" s="422"/>
      <c r="NW138" s="422"/>
      <c r="NX138" s="422"/>
      <c r="NY138" s="422"/>
      <c r="NZ138" s="422"/>
      <c r="OA138" s="422"/>
      <c r="OB138" s="422"/>
      <c r="OC138" s="422"/>
      <c r="OD138" s="422"/>
      <c r="OE138" s="422"/>
      <c r="OF138" s="422"/>
      <c r="OG138" s="422"/>
      <c r="OH138" s="422"/>
      <c r="OI138" s="422"/>
      <c r="OJ138" s="422"/>
      <c r="OK138" s="422"/>
      <c r="OL138" s="422"/>
      <c r="OM138" s="422"/>
      <c r="ON138" s="422"/>
      <c r="OO138" s="422"/>
      <c r="OP138" s="422"/>
      <c r="OQ138" s="422"/>
      <c r="OR138" s="422"/>
      <c r="OS138" s="422"/>
      <c r="OT138" s="422"/>
      <c r="OU138" s="422"/>
      <c r="OV138" s="422"/>
      <c r="OW138" s="422"/>
      <c r="OX138" s="422"/>
      <c r="OY138" s="422"/>
      <c r="OZ138" s="422"/>
      <c r="PA138" s="422"/>
      <c r="PB138" s="422"/>
      <c r="PC138" s="422"/>
      <c r="PD138" s="422"/>
      <c r="PE138" s="422"/>
      <c r="PF138" s="422"/>
      <c r="PG138" s="422"/>
      <c r="PH138" s="422"/>
      <c r="PI138" s="422"/>
      <c r="PJ138" s="422"/>
      <c r="PK138" s="422"/>
      <c r="PL138" s="422"/>
      <c r="PM138" s="422"/>
      <c r="PN138" s="422"/>
      <c r="PO138" s="422"/>
      <c r="PP138" s="422"/>
      <c r="PQ138" s="422"/>
      <c r="PR138" s="422"/>
      <c r="PS138" s="422"/>
      <c r="PT138" s="422"/>
      <c r="PU138" s="422"/>
      <c r="PV138" s="422"/>
      <c r="PW138" s="422"/>
      <c r="PX138" s="422"/>
      <c r="PY138" s="422"/>
      <c r="PZ138" s="422"/>
      <c r="QA138" s="422"/>
      <c r="QB138" s="422"/>
      <c r="QC138" s="422"/>
      <c r="QD138" s="422"/>
      <c r="QE138" s="422"/>
      <c r="QF138" s="422"/>
      <c r="QG138" s="422"/>
      <c r="QH138" s="422"/>
      <c r="QI138" s="422"/>
      <c r="QJ138" s="422"/>
      <c r="QK138" s="422"/>
      <c r="QL138" s="422"/>
      <c r="QM138" s="422"/>
      <c r="QN138" s="422"/>
      <c r="QO138" s="422"/>
      <c r="QP138" s="422"/>
      <c r="QQ138" s="422"/>
      <c r="QR138" s="422"/>
      <c r="QS138" s="422"/>
      <c r="QT138" s="422"/>
      <c r="QU138" s="422"/>
      <c r="QV138" s="422"/>
      <c r="QW138" s="422"/>
      <c r="QX138" s="422"/>
      <c r="QY138" s="422"/>
      <c r="QZ138" s="422"/>
      <c r="RA138" s="422"/>
      <c r="RB138" s="422"/>
      <c r="RC138" s="422"/>
      <c r="RD138" s="422"/>
      <c r="RE138" s="422"/>
      <c r="RF138" s="422"/>
      <c r="RG138" s="422"/>
      <c r="RH138" s="422"/>
      <c r="RI138" s="422"/>
      <c r="RJ138" s="422"/>
      <c r="RK138" s="422"/>
      <c r="RL138" s="422"/>
      <c r="RM138" s="422"/>
      <c r="RN138" s="422"/>
      <c r="RO138" s="422"/>
      <c r="RP138" s="422"/>
      <c r="RQ138" s="422"/>
      <c r="RR138" s="422"/>
      <c r="RS138" s="422"/>
      <c r="RT138" s="422"/>
      <c r="RU138" s="422"/>
      <c r="RV138" s="422"/>
      <c r="RW138" s="422"/>
      <c r="RX138" s="422"/>
      <c r="RY138" s="422"/>
      <c r="RZ138" s="422"/>
      <c r="SA138" s="422"/>
      <c r="SB138" s="422"/>
      <c r="SC138" s="422"/>
      <c r="SD138" s="422"/>
      <c r="SE138" s="422"/>
      <c r="SF138" s="422"/>
      <c r="SG138" s="422"/>
      <c r="SH138" s="422"/>
      <c r="SI138" s="422"/>
      <c r="SJ138" s="422"/>
      <c r="SK138" s="422"/>
      <c r="SL138" s="422"/>
      <c r="SM138" s="422"/>
      <c r="SN138" s="422"/>
      <c r="SO138" s="422"/>
      <c r="SP138" s="422"/>
      <c r="SQ138" s="422"/>
      <c r="SR138" s="422"/>
      <c r="SS138" s="422"/>
      <c r="ST138" s="422"/>
      <c r="SU138" s="422"/>
      <c r="SV138" s="422"/>
      <c r="SW138" s="422"/>
      <c r="SX138" s="422"/>
      <c r="SY138" s="422"/>
      <c r="SZ138" s="422"/>
      <c r="TA138" s="422"/>
      <c r="TB138" s="422"/>
      <c r="TC138" s="422"/>
      <c r="TD138" s="422"/>
      <c r="TE138" s="422"/>
      <c r="TF138" s="422"/>
      <c r="TG138" s="422"/>
      <c r="TH138" s="422"/>
      <c r="TI138" s="422"/>
      <c r="TJ138" s="422"/>
      <c r="TK138" s="422"/>
      <c r="TL138" s="422"/>
      <c r="TM138" s="422"/>
      <c r="TN138" s="422"/>
      <c r="TO138" s="422"/>
      <c r="TP138" s="422"/>
      <c r="TQ138" s="422"/>
      <c r="TR138" s="422"/>
      <c r="TS138" s="422"/>
      <c r="TT138" s="422"/>
      <c r="TU138" s="422"/>
      <c r="TV138" s="422"/>
      <c r="TW138" s="422"/>
      <c r="TX138" s="422"/>
      <c r="TY138" s="422"/>
      <c r="TZ138" s="422"/>
      <c r="UA138" s="422"/>
      <c r="UB138" s="422"/>
      <c r="UC138" s="422"/>
      <c r="UD138" s="422"/>
      <c r="UE138" s="422"/>
      <c r="UF138" s="422"/>
      <c r="UG138" s="422"/>
      <c r="UH138" s="422"/>
      <c r="UI138" s="422"/>
      <c r="UJ138" s="422"/>
      <c r="UK138" s="422"/>
      <c r="UL138" s="422"/>
      <c r="UM138" s="422"/>
      <c r="UN138" s="422"/>
      <c r="UO138" s="422"/>
      <c r="UP138" s="422"/>
      <c r="UQ138" s="422"/>
      <c r="UR138" s="422"/>
      <c r="US138" s="422"/>
      <c r="UT138" s="422"/>
      <c r="UU138" s="422"/>
      <c r="UV138" s="422"/>
      <c r="UW138" s="422"/>
      <c r="UX138" s="422"/>
      <c r="UY138" s="422"/>
      <c r="UZ138" s="422"/>
      <c r="VA138" s="422"/>
      <c r="VB138" s="422"/>
      <c r="VC138" s="422"/>
      <c r="VD138" s="422"/>
      <c r="VE138" s="422"/>
      <c r="VF138" s="422"/>
      <c r="VG138" s="422"/>
      <c r="VH138" s="422"/>
      <c r="VI138" s="422"/>
      <c r="VJ138" s="422"/>
      <c r="VK138" s="422"/>
      <c r="VL138" s="422"/>
      <c r="VM138" s="422"/>
      <c r="VN138" s="422"/>
      <c r="VO138" s="422"/>
      <c r="VP138" s="422"/>
      <c r="VQ138" s="422"/>
      <c r="VR138" s="422"/>
      <c r="VS138" s="422"/>
      <c r="VT138" s="422"/>
      <c r="VU138" s="422"/>
      <c r="VV138" s="422"/>
      <c r="VW138" s="422"/>
      <c r="VX138" s="422"/>
      <c r="VY138" s="422"/>
      <c r="VZ138" s="422"/>
      <c r="WA138" s="422"/>
      <c r="WB138" s="422"/>
      <c r="WC138" s="422"/>
      <c r="WD138" s="422"/>
      <c r="WE138" s="422"/>
      <c r="WF138" s="422"/>
      <c r="WG138" s="422"/>
      <c r="WH138" s="422"/>
      <c r="WI138" s="422"/>
      <c r="WJ138" s="422"/>
      <c r="WK138" s="422"/>
      <c r="WL138" s="422"/>
      <c r="WM138" s="422"/>
      <c r="WN138" s="422"/>
      <c r="WO138" s="422"/>
      <c r="WP138" s="422"/>
      <c r="WQ138" s="422"/>
      <c r="WR138" s="422"/>
      <c r="WS138" s="422"/>
      <c r="WT138" s="422"/>
      <c r="WU138" s="422"/>
      <c r="WV138" s="422"/>
      <c r="WW138" s="422"/>
      <c r="WX138" s="422"/>
      <c r="WY138" s="422"/>
      <c r="WZ138" s="422"/>
      <c r="XA138" s="422"/>
      <c r="XB138" s="422"/>
      <c r="XC138" s="422"/>
      <c r="XD138" s="422"/>
      <c r="XE138" s="422"/>
      <c r="XF138" s="422"/>
      <c r="XG138" s="422"/>
      <c r="XH138" s="422"/>
      <c r="XI138" s="422"/>
      <c r="XJ138" s="422"/>
      <c r="XK138" s="422"/>
      <c r="XL138" s="422"/>
      <c r="XM138" s="422"/>
      <c r="XN138" s="422"/>
      <c r="XO138" s="422"/>
      <c r="XP138" s="422"/>
      <c r="XQ138" s="422"/>
      <c r="XR138" s="422"/>
      <c r="XS138" s="422"/>
      <c r="XT138" s="422"/>
      <c r="XU138" s="422"/>
      <c r="XV138" s="422"/>
      <c r="XW138" s="422"/>
      <c r="XX138" s="422"/>
      <c r="XY138" s="422"/>
      <c r="XZ138" s="422"/>
      <c r="YA138" s="422"/>
      <c r="YB138" s="422"/>
      <c r="YC138" s="422"/>
      <c r="YD138" s="422"/>
      <c r="YE138" s="422"/>
      <c r="YF138" s="422"/>
      <c r="YG138" s="422"/>
      <c r="YH138" s="422"/>
      <c r="YI138" s="422"/>
      <c r="YJ138" s="422"/>
      <c r="YK138" s="422"/>
      <c r="YL138" s="422"/>
      <c r="YM138" s="422"/>
      <c r="YN138" s="422"/>
      <c r="YO138" s="422"/>
      <c r="YP138" s="422"/>
      <c r="YQ138" s="422"/>
      <c r="YR138" s="422"/>
      <c r="YS138" s="422"/>
      <c r="YT138" s="422"/>
      <c r="YU138" s="422"/>
      <c r="YV138" s="422"/>
      <c r="YW138" s="422"/>
      <c r="YX138" s="422"/>
      <c r="YY138" s="422"/>
      <c r="YZ138" s="422"/>
      <c r="ZA138" s="422"/>
      <c r="ZB138" s="422"/>
      <c r="ZC138" s="422"/>
      <c r="ZD138" s="422"/>
      <c r="ZE138" s="422"/>
      <c r="ZF138" s="422"/>
      <c r="ZG138" s="422"/>
      <c r="ZH138" s="422"/>
      <c r="ZI138" s="422"/>
      <c r="ZJ138" s="422"/>
      <c r="ZK138" s="422"/>
      <c r="ZL138" s="422"/>
      <c r="ZM138" s="422"/>
      <c r="ZN138" s="422"/>
      <c r="ZO138" s="422"/>
      <c r="ZP138" s="422"/>
      <c r="ZQ138" s="422"/>
      <c r="ZR138" s="422"/>
      <c r="ZS138" s="422"/>
      <c r="ZT138" s="422"/>
      <c r="ZU138" s="422"/>
      <c r="ZV138" s="422"/>
      <c r="ZW138" s="422"/>
      <c r="ZX138" s="422"/>
      <c r="ZY138" s="422"/>
      <c r="ZZ138" s="422"/>
      <c r="AAA138" s="422"/>
      <c r="AAB138" s="422"/>
      <c r="AAC138" s="422"/>
      <c r="AAD138" s="422"/>
      <c r="AAE138" s="422"/>
      <c r="AAF138" s="422"/>
      <c r="AAG138" s="422"/>
      <c r="AAH138" s="422"/>
      <c r="AAI138" s="422"/>
      <c r="AAJ138" s="422"/>
      <c r="AAK138" s="422"/>
      <c r="AAL138" s="422"/>
      <c r="AAM138" s="422"/>
      <c r="AAN138" s="422"/>
      <c r="AAO138" s="422"/>
      <c r="AAP138" s="422"/>
      <c r="AAQ138" s="422"/>
      <c r="AAR138" s="422"/>
      <c r="AAS138" s="422"/>
      <c r="AAT138" s="422"/>
      <c r="AAU138" s="422"/>
      <c r="AAV138" s="422"/>
      <c r="AAW138" s="422"/>
      <c r="AAX138" s="422"/>
      <c r="AAY138" s="422"/>
      <c r="AAZ138" s="422"/>
      <c r="ABA138" s="422"/>
      <c r="ABB138" s="422"/>
      <c r="ABC138" s="422"/>
      <c r="ABD138" s="422"/>
      <c r="ABE138" s="422"/>
      <c r="ABF138" s="422"/>
      <c r="ABG138" s="422"/>
      <c r="ABH138" s="422"/>
      <c r="ABI138" s="422"/>
      <c r="ABJ138" s="422"/>
      <c r="ABK138" s="422"/>
      <c r="ABL138" s="422"/>
      <c r="ABM138" s="422"/>
      <c r="ABN138" s="422"/>
      <c r="ABO138" s="422"/>
      <c r="ABP138" s="422"/>
      <c r="ABQ138" s="422"/>
      <c r="ABR138" s="422"/>
      <c r="ABS138" s="422"/>
      <c r="ABT138" s="422"/>
      <c r="ABU138" s="422"/>
      <c r="ABV138" s="422"/>
      <c r="ABW138" s="422"/>
      <c r="ABX138" s="422"/>
      <c r="ABY138" s="422"/>
      <c r="ABZ138" s="422"/>
      <c r="ACA138" s="422"/>
      <c r="ACB138" s="422"/>
      <c r="ACC138" s="422"/>
      <c r="ACD138" s="422"/>
      <c r="ACE138" s="422"/>
      <c r="ACF138" s="422"/>
      <c r="ACG138" s="422"/>
      <c r="ACH138" s="422"/>
      <c r="ACI138" s="422"/>
      <c r="ACJ138" s="422"/>
      <c r="ACK138" s="422"/>
      <c r="ACL138" s="422"/>
      <c r="ACM138" s="422"/>
      <c r="ACN138" s="422"/>
      <c r="ACO138" s="422"/>
      <c r="ACP138" s="422"/>
      <c r="ACQ138" s="422"/>
      <c r="ACR138" s="422"/>
      <c r="ACS138" s="422"/>
      <c r="ACT138" s="422"/>
      <c r="ACU138" s="422"/>
      <c r="ACV138" s="422"/>
      <c r="ACW138" s="422"/>
      <c r="ACX138" s="422"/>
      <c r="ACY138" s="422"/>
      <c r="ACZ138" s="422"/>
      <c r="ADA138" s="422"/>
      <c r="ADB138" s="422"/>
      <c r="ADC138" s="422"/>
      <c r="ADD138" s="422"/>
      <c r="ADE138" s="422"/>
      <c r="ADF138" s="422"/>
      <c r="ADG138" s="422"/>
      <c r="ADH138" s="422"/>
      <c r="ADI138" s="422"/>
      <c r="ADJ138" s="422"/>
      <c r="ADK138" s="422"/>
      <c r="ADL138" s="422"/>
      <c r="ADM138" s="422"/>
      <c r="ADN138" s="422"/>
      <c r="ADO138" s="422"/>
      <c r="ADP138" s="422"/>
      <c r="ADQ138" s="422"/>
      <c r="ADR138" s="422"/>
      <c r="ADS138" s="422"/>
      <c r="ADT138" s="422"/>
      <c r="ADU138" s="422"/>
      <c r="ADV138" s="422"/>
      <c r="ADW138" s="422"/>
      <c r="ADX138" s="422"/>
      <c r="ADY138" s="422"/>
      <c r="ADZ138" s="422"/>
      <c r="AEA138" s="422"/>
      <c r="AEB138" s="422"/>
      <c r="AEC138" s="422"/>
      <c r="AED138" s="422"/>
      <c r="AEE138" s="422"/>
      <c r="AEF138" s="422"/>
      <c r="AEG138" s="422"/>
      <c r="AEH138" s="422"/>
      <c r="AEI138" s="422"/>
      <c r="AEJ138" s="422"/>
      <c r="AEK138" s="422"/>
      <c r="AEL138" s="422"/>
      <c r="AEM138" s="422"/>
      <c r="AEN138" s="422"/>
      <c r="AEO138" s="422"/>
      <c r="AEP138" s="422"/>
      <c r="AEQ138" s="422"/>
      <c r="AER138" s="422"/>
      <c r="AES138" s="422"/>
      <c r="AET138" s="422"/>
      <c r="AEU138" s="422"/>
      <c r="AEV138" s="422"/>
      <c r="AEW138" s="422"/>
      <c r="AEX138" s="422"/>
      <c r="AEY138" s="422"/>
      <c r="AEZ138" s="422"/>
      <c r="AFA138" s="422"/>
      <c r="AFB138" s="422"/>
      <c r="AFC138" s="422"/>
      <c r="AFD138" s="422"/>
      <c r="AFE138" s="422"/>
      <c r="AFF138" s="422"/>
      <c r="AFG138" s="422"/>
      <c r="AFH138" s="422"/>
      <c r="AFI138" s="422"/>
      <c r="AFJ138" s="422"/>
      <c r="AFK138" s="422"/>
      <c r="AFL138" s="422"/>
      <c r="AFM138" s="422"/>
      <c r="AFN138" s="422"/>
      <c r="AFO138" s="422"/>
      <c r="AFP138" s="422"/>
      <c r="AFQ138" s="422"/>
      <c r="AFR138" s="422"/>
      <c r="AFS138" s="422"/>
      <c r="AFT138" s="422"/>
      <c r="AFU138" s="422"/>
      <c r="AFV138" s="422"/>
      <c r="AFW138" s="422"/>
      <c r="AFX138" s="422"/>
      <c r="AFY138" s="422"/>
      <c r="AFZ138" s="422"/>
      <c r="AGA138" s="422"/>
      <c r="AGB138" s="422"/>
      <c r="AGC138" s="422"/>
      <c r="AGD138" s="422"/>
      <c r="AGE138" s="422"/>
      <c r="AGF138" s="422"/>
      <c r="AGG138" s="422"/>
      <c r="AGH138" s="422"/>
      <c r="AGI138" s="422"/>
      <c r="AGJ138" s="422"/>
      <c r="AGK138" s="422"/>
      <c r="AGL138" s="422"/>
      <c r="AGM138" s="422"/>
      <c r="AGN138" s="422"/>
      <c r="AGO138" s="422"/>
      <c r="AGP138" s="422"/>
      <c r="AGQ138" s="422"/>
      <c r="AGR138" s="422"/>
      <c r="AGS138" s="422"/>
      <c r="AGT138" s="422"/>
      <c r="AGU138" s="422"/>
      <c r="AGV138" s="422"/>
      <c r="AGW138" s="422"/>
      <c r="AGX138" s="422"/>
      <c r="AGY138" s="422"/>
      <c r="AGZ138" s="422"/>
      <c r="AHA138" s="422"/>
      <c r="AHB138" s="422"/>
      <c r="AHC138" s="422"/>
      <c r="AHD138" s="422"/>
      <c r="AHE138" s="422"/>
      <c r="AHF138" s="422"/>
      <c r="AHG138" s="422"/>
      <c r="AHH138" s="422"/>
      <c r="AHI138" s="422"/>
      <c r="AHJ138" s="422"/>
      <c r="AHK138" s="422"/>
      <c r="AHL138" s="422"/>
      <c r="AHM138" s="422"/>
      <c r="AHN138" s="422"/>
      <c r="AHO138" s="422"/>
      <c r="AHP138" s="422"/>
      <c r="AHQ138" s="422"/>
      <c r="AHR138" s="422"/>
      <c r="AHS138" s="422"/>
      <c r="AHT138" s="422"/>
      <c r="AHU138" s="422"/>
      <c r="AHV138" s="422"/>
      <c r="AHW138" s="422"/>
      <c r="AHX138" s="422"/>
      <c r="AHY138" s="422"/>
      <c r="AHZ138" s="422"/>
      <c r="AIA138" s="422"/>
      <c r="AIB138" s="422"/>
      <c r="AIC138" s="422"/>
      <c r="AID138" s="422"/>
      <c r="AIE138" s="422"/>
      <c r="AIF138" s="422"/>
      <c r="AIG138" s="422"/>
      <c r="AIH138" s="422"/>
      <c r="AII138" s="422"/>
      <c r="AIJ138" s="422"/>
      <c r="AIK138" s="422"/>
      <c r="AIL138" s="422"/>
      <c r="AIM138" s="422"/>
      <c r="AIN138" s="422"/>
      <c r="AIO138" s="422"/>
      <c r="AIP138" s="422"/>
      <c r="AIQ138" s="422"/>
      <c r="AIR138" s="422"/>
      <c r="AIS138" s="422"/>
      <c r="AIT138" s="422"/>
      <c r="AIU138" s="422"/>
      <c r="AIV138" s="422"/>
      <c r="AIW138" s="422"/>
      <c r="AIX138" s="422"/>
      <c r="AIY138" s="422"/>
      <c r="AIZ138" s="422"/>
      <c r="AJA138" s="422"/>
      <c r="AJB138" s="422"/>
      <c r="AJC138" s="422"/>
      <c r="AJD138" s="422"/>
      <c r="AJE138" s="422"/>
      <c r="AJF138" s="422"/>
      <c r="AJG138" s="422"/>
      <c r="AJH138" s="422"/>
      <c r="AJI138" s="422"/>
      <c r="AJJ138" s="422"/>
      <c r="AJK138" s="422"/>
      <c r="AJL138" s="422"/>
      <c r="AJM138" s="422"/>
      <c r="AJN138" s="422"/>
      <c r="AJO138" s="422"/>
      <c r="AJP138" s="422"/>
      <c r="AJQ138" s="422"/>
      <c r="AJR138" s="422"/>
      <c r="AJS138" s="422"/>
      <c r="AJT138" s="422"/>
      <c r="AJU138" s="422"/>
      <c r="AJV138" s="422"/>
      <c r="AJW138" s="422"/>
      <c r="AJX138" s="422"/>
      <c r="AJY138" s="422"/>
      <c r="AJZ138" s="422"/>
      <c r="AKA138" s="422"/>
      <c r="AKB138" s="422"/>
      <c r="AKC138" s="422"/>
      <c r="AKD138" s="422"/>
      <c r="AKE138" s="422"/>
      <c r="AKF138" s="422"/>
      <c r="AKG138" s="422"/>
      <c r="AKH138" s="422"/>
      <c r="AKI138" s="422"/>
      <c r="AKJ138" s="422"/>
      <c r="AKK138" s="422"/>
      <c r="AKL138" s="422"/>
      <c r="AKM138" s="422"/>
      <c r="AKN138" s="422"/>
      <c r="AKO138" s="422"/>
      <c r="AKP138" s="422"/>
      <c r="AKQ138" s="422"/>
      <c r="AKR138" s="422"/>
      <c r="AKS138" s="422"/>
      <c r="AKT138" s="422"/>
      <c r="AKU138" s="422"/>
      <c r="AKV138" s="422"/>
      <c r="AKW138" s="422"/>
      <c r="AKX138" s="422"/>
      <c r="AKY138" s="422"/>
      <c r="AKZ138" s="422"/>
      <c r="ALA138" s="422"/>
      <c r="ALB138" s="422"/>
      <c r="ALC138" s="422"/>
      <c r="ALD138" s="422"/>
      <c r="ALE138" s="422"/>
      <c r="ALF138" s="422"/>
      <c r="ALG138" s="422"/>
      <c r="ALH138" s="422"/>
      <c r="ALI138" s="422"/>
      <c r="ALJ138" s="422"/>
      <c r="ALK138" s="422"/>
      <c r="ALL138" s="422"/>
      <c r="ALM138" s="422"/>
      <c r="ALN138" s="422"/>
      <c r="ALO138" s="422"/>
      <c r="ALP138" s="422"/>
      <c r="ALQ138" s="422"/>
      <c r="ALR138" s="422"/>
      <c r="ALS138" s="422"/>
      <c r="ALT138" s="422"/>
      <c r="ALU138" s="422"/>
      <c r="ALV138" s="422"/>
      <c r="ALW138" s="422"/>
      <c r="ALX138" s="422"/>
      <c r="ALY138" s="422"/>
      <c r="ALZ138" s="422"/>
      <c r="AMA138" s="422"/>
      <c r="AMB138" s="422"/>
      <c r="AMC138" s="422"/>
      <c r="AMD138" s="422"/>
      <c r="AME138" s="422"/>
      <c r="AMF138" s="422"/>
      <c r="AMG138" s="422"/>
      <c r="AMH138" s="422"/>
      <c r="AMI138" s="422"/>
      <c r="AMJ138" s="422"/>
      <c r="AMK138" s="422"/>
      <c r="AML138" s="422"/>
      <c r="AMM138" s="422"/>
      <c r="AMN138" s="422"/>
      <c r="AMO138" s="422"/>
      <c r="AMP138" s="422"/>
      <c r="AMQ138" s="422"/>
      <c r="AMR138" s="422"/>
      <c r="AMS138" s="422"/>
      <c r="AMT138" s="422"/>
      <c r="AMU138" s="422"/>
      <c r="AMV138" s="422"/>
      <c r="AMW138" s="422"/>
      <c r="AMX138" s="422"/>
      <c r="AMY138" s="422"/>
      <c r="AMZ138" s="422"/>
      <c r="ANA138" s="422"/>
      <c r="ANB138" s="422"/>
      <c r="ANC138" s="422"/>
      <c r="AND138" s="422"/>
      <c r="ANE138" s="422"/>
      <c r="ANF138" s="422"/>
      <c r="ANG138" s="422"/>
      <c r="ANH138" s="422"/>
      <c r="ANI138" s="422"/>
      <c r="ANJ138" s="422"/>
      <c r="ANK138" s="422"/>
      <c r="ANL138" s="422"/>
      <c r="ANM138" s="422"/>
      <c r="ANN138" s="422"/>
      <c r="ANO138" s="422"/>
      <c r="ANP138" s="422"/>
      <c r="ANQ138" s="422"/>
      <c r="ANR138" s="422"/>
      <c r="ANS138" s="422"/>
      <c r="ANT138" s="422"/>
      <c r="ANU138" s="422"/>
      <c r="ANV138" s="422"/>
      <c r="ANW138" s="422"/>
      <c r="ANX138" s="422"/>
      <c r="ANY138" s="422"/>
      <c r="ANZ138" s="422"/>
      <c r="AOA138" s="422"/>
      <c r="AOB138" s="422"/>
      <c r="AOC138" s="422"/>
      <c r="AOD138" s="422"/>
      <c r="AOE138" s="422"/>
      <c r="AOF138" s="422"/>
      <c r="AOG138" s="422"/>
      <c r="AOH138" s="422"/>
      <c r="AOI138" s="422"/>
      <c r="AOJ138" s="422"/>
      <c r="AOK138" s="422"/>
      <c r="AOL138" s="422"/>
      <c r="AOM138" s="422"/>
      <c r="AON138" s="422"/>
      <c r="AOO138" s="422"/>
      <c r="AOP138" s="422"/>
      <c r="AOQ138" s="422"/>
      <c r="AOR138" s="422"/>
      <c r="AOS138" s="422"/>
      <c r="AOT138" s="422"/>
      <c r="AOU138" s="422"/>
      <c r="AOV138" s="422"/>
      <c r="AOW138" s="422"/>
      <c r="AOX138" s="422"/>
      <c r="AOY138" s="422"/>
      <c r="AOZ138" s="422"/>
      <c r="APA138" s="422"/>
      <c r="APB138" s="422"/>
      <c r="APC138" s="422"/>
      <c r="APD138" s="422"/>
      <c r="APE138" s="422"/>
      <c r="APF138" s="422"/>
      <c r="APG138" s="422"/>
      <c r="APH138" s="422"/>
      <c r="API138" s="422"/>
      <c r="APJ138" s="422"/>
      <c r="APK138" s="422"/>
      <c r="APL138" s="422"/>
      <c r="APM138" s="422"/>
      <c r="APN138" s="422"/>
      <c r="APO138" s="422"/>
      <c r="APP138" s="422"/>
      <c r="APQ138" s="422"/>
      <c r="APR138" s="422"/>
      <c r="APS138" s="422"/>
      <c r="APT138" s="422"/>
      <c r="APU138" s="422"/>
      <c r="APV138" s="422"/>
      <c r="APW138" s="422"/>
      <c r="APX138" s="422"/>
      <c r="APY138" s="422"/>
      <c r="APZ138" s="422"/>
      <c r="AQA138" s="422"/>
      <c r="AQB138" s="422"/>
      <c r="AQC138" s="422"/>
      <c r="AQD138" s="422"/>
      <c r="AQE138" s="422"/>
      <c r="AQF138" s="422"/>
      <c r="AQG138" s="422"/>
      <c r="AQH138" s="422"/>
      <c r="AQI138" s="422"/>
      <c r="AQJ138" s="422"/>
      <c r="AQK138" s="422"/>
      <c r="AQL138" s="422"/>
      <c r="AQM138" s="422"/>
      <c r="AQN138" s="422"/>
      <c r="AQO138" s="422"/>
      <c r="AQP138" s="422"/>
      <c r="AQQ138" s="422"/>
      <c r="AQR138" s="422"/>
      <c r="AQS138" s="422"/>
      <c r="AQT138" s="422"/>
      <c r="AQU138" s="422"/>
      <c r="AQV138" s="422"/>
      <c r="AQW138" s="422"/>
      <c r="AQX138" s="422"/>
      <c r="AQY138" s="422"/>
      <c r="AQZ138" s="422"/>
      <c r="ARA138" s="422"/>
      <c r="ARB138" s="422"/>
      <c r="ARC138" s="422"/>
      <c r="ARD138" s="422"/>
      <c r="ARE138" s="422"/>
      <c r="ARF138" s="422"/>
      <c r="ARG138" s="422"/>
      <c r="ARH138" s="422"/>
      <c r="ARI138" s="422"/>
      <c r="ARJ138" s="422"/>
      <c r="ARK138" s="422"/>
      <c r="ARL138" s="422"/>
      <c r="ARM138" s="422"/>
      <c r="ARN138" s="422"/>
      <c r="ARO138" s="422"/>
      <c r="ARP138" s="422"/>
      <c r="ARQ138" s="422"/>
      <c r="ARR138" s="422"/>
      <c r="ARS138" s="422"/>
      <c r="ART138" s="422"/>
      <c r="ARU138" s="422"/>
      <c r="ARV138" s="422"/>
      <c r="ARW138" s="422"/>
      <c r="ARX138" s="422"/>
      <c r="ARY138" s="422"/>
      <c r="ARZ138" s="422"/>
      <c r="ASA138" s="422"/>
      <c r="ASB138" s="422"/>
      <c r="ASC138" s="422"/>
      <c r="ASD138" s="422"/>
      <c r="ASE138" s="422"/>
      <c r="ASF138" s="422"/>
      <c r="ASG138" s="422"/>
      <c r="ASH138" s="422"/>
      <c r="ASI138" s="422"/>
      <c r="ASJ138" s="422"/>
      <c r="ASK138" s="422"/>
      <c r="ASL138" s="422"/>
      <c r="ASM138" s="422"/>
      <c r="ASN138" s="422"/>
      <c r="ASO138" s="422"/>
      <c r="ASP138" s="422"/>
      <c r="ASQ138" s="422"/>
      <c r="ASR138" s="422"/>
      <c r="ASS138" s="422"/>
      <c r="AST138" s="422"/>
      <c r="ASU138" s="422"/>
      <c r="ASV138" s="422"/>
      <c r="ASW138" s="422"/>
      <c r="ASX138" s="422"/>
      <c r="ASY138" s="422"/>
      <c r="ASZ138" s="422"/>
      <c r="ATA138" s="422"/>
      <c r="ATB138" s="422"/>
      <c r="ATC138" s="422"/>
      <c r="ATD138" s="422"/>
      <c r="ATE138" s="422"/>
      <c r="ATF138" s="422"/>
      <c r="ATG138" s="422"/>
      <c r="ATH138" s="422"/>
      <c r="ATI138" s="422"/>
      <c r="ATJ138" s="422"/>
      <c r="ATK138" s="422"/>
      <c r="ATL138" s="422"/>
      <c r="ATM138" s="422"/>
      <c r="ATN138" s="422"/>
      <c r="ATO138" s="422"/>
      <c r="ATP138" s="422"/>
      <c r="ATQ138" s="422"/>
      <c r="ATR138" s="422"/>
      <c r="ATS138" s="422"/>
      <c r="ATT138" s="422"/>
      <c r="ATU138" s="422"/>
      <c r="ATV138" s="422"/>
      <c r="ATW138" s="422"/>
      <c r="ATX138" s="422"/>
      <c r="ATY138" s="422"/>
      <c r="ATZ138" s="422"/>
      <c r="AUA138" s="422"/>
      <c r="AUB138" s="422"/>
      <c r="AUC138" s="422"/>
      <c r="AUD138" s="422"/>
      <c r="AUE138" s="422"/>
      <c r="AUF138" s="422"/>
      <c r="AUG138" s="422"/>
      <c r="AUH138" s="422"/>
      <c r="AUI138" s="422"/>
      <c r="AUJ138" s="422"/>
      <c r="AUK138" s="422"/>
      <c r="AUL138" s="422"/>
      <c r="AUM138" s="422"/>
      <c r="AUN138" s="422"/>
      <c r="AUO138" s="422"/>
      <c r="AUP138" s="422"/>
      <c r="AUQ138" s="422"/>
      <c r="AUR138" s="422"/>
      <c r="AUS138" s="422"/>
      <c r="AUT138" s="422"/>
      <c r="AUU138" s="422"/>
      <c r="AUV138" s="422"/>
      <c r="AUW138" s="422"/>
      <c r="AUX138" s="422"/>
      <c r="AUY138" s="422"/>
      <c r="AUZ138" s="422"/>
      <c r="AVA138" s="422"/>
      <c r="AVB138" s="422"/>
      <c r="AVC138" s="422"/>
      <c r="AVD138" s="422"/>
      <c r="AVE138" s="422"/>
      <c r="AVF138" s="422"/>
      <c r="AVG138" s="422"/>
      <c r="AVH138" s="422"/>
      <c r="AVI138" s="422"/>
      <c r="AVJ138" s="422"/>
      <c r="AVK138" s="422"/>
      <c r="AVL138" s="422"/>
      <c r="AVM138" s="422"/>
      <c r="AVN138" s="422"/>
      <c r="AVO138" s="422"/>
      <c r="AVP138" s="422"/>
      <c r="AVQ138" s="422"/>
      <c r="AVR138" s="422"/>
      <c r="AVS138" s="422"/>
      <c r="AVT138" s="422"/>
      <c r="AVU138" s="422"/>
      <c r="AVV138" s="422"/>
      <c r="AVW138" s="422"/>
      <c r="AVX138" s="422"/>
      <c r="AVY138" s="422"/>
      <c r="AVZ138" s="422"/>
      <c r="AWA138" s="422"/>
      <c r="AWB138" s="422"/>
      <c r="AWC138" s="422"/>
      <c r="AWD138" s="422"/>
      <c r="AWE138" s="422"/>
      <c r="AWF138" s="422"/>
      <c r="AWG138" s="422"/>
      <c r="AWH138" s="422"/>
      <c r="AWI138" s="422"/>
      <c r="AWJ138" s="422"/>
      <c r="AWK138" s="422"/>
      <c r="AWL138" s="422"/>
      <c r="AWM138" s="422"/>
      <c r="AWN138" s="422"/>
      <c r="AWO138" s="422"/>
      <c r="AWP138" s="422"/>
      <c r="AWQ138" s="422"/>
      <c r="AWR138" s="422"/>
      <c r="AWS138" s="422"/>
      <c r="AWT138" s="422"/>
      <c r="AWU138" s="422"/>
      <c r="AWV138" s="422"/>
      <c r="AWW138" s="422"/>
      <c r="AWX138" s="422"/>
      <c r="AWY138" s="422"/>
      <c r="AWZ138" s="422"/>
      <c r="AXA138" s="422"/>
      <c r="AXB138" s="422"/>
      <c r="AXC138" s="422"/>
      <c r="AXD138" s="422"/>
      <c r="AXE138" s="422"/>
      <c r="AXF138" s="422"/>
      <c r="AXG138" s="422"/>
      <c r="AXH138" s="422"/>
      <c r="AXI138" s="422"/>
      <c r="AXJ138" s="422"/>
      <c r="AXK138" s="422"/>
      <c r="AXL138" s="422"/>
      <c r="AXM138" s="422"/>
      <c r="AXN138" s="422"/>
      <c r="AXO138" s="422"/>
      <c r="AXP138" s="422"/>
      <c r="AXQ138" s="422"/>
      <c r="AXR138" s="422"/>
      <c r="AXS138" s="422"/>
      <c r="AXT138" s="422"/>
      <c r="AXU138" s="422"/>
      <c r="AXV138" s="422"/>
      <c r="AXW138" s="422"/>
      <c r="AXX138" s="422"/>
      <c r="AXY138" s="422"/>
      <c r="AXZ138" s="422"/>
      <c r="AYA138" s="422"/>
      <c r="AYB138" s="422"/>
      <c r="AYC138" s="422"/>
      <c r="AYD138" s="422"/>
      <c r="AYE138" s="422"/>
      <c r="AYF138" s="422"/>
      <c r="AYG138" s="422"/>
      <c r="AYH138" s="422"/>
      <c r="AYI138" s="422"/>
      <c r="AYJ138" s="422"/>
      <c r="AYK138" s="422"/>
      <c r="AYL138" s="422"/>
      <c r="AYM138" s="422"/>
      <c r="AYN138" s="422"/>
      <c r="AYO138" s="422"/>
      <c r="AYP138" s="422"/>
      <c r="AYQ138" s="422"/>
      <c r="AYR138" s="422"/>
      <c r="AYS138" s="422"/>
      <c r="AYT138" s="422"/>
      <c r="AYU138" s="422"/>
      <c r="AYV138" s="422"/>
      <c r="AYW138" s="422"/>
      <c r="AYX138" s="422"/>
      <c r="AYY138" s="422"/>
      <c r="AYZ138" s="422"/>
      <c r="AZA138" s="422"/>
      <c r="AZB138" s="422"/>
      <c r="AZC138" s="422"/>
      <c r="AZD138" s="422"/>
      <c r="AZE138" s="422"/>
      <c r="AZF138" s="422"/>
      <c r="AZG138" s="422"/>
      <c r="AZH138" s="422"/>
      <c r="AZI138" s="422"/>
      <c r="AZJ138" s="422"/>
      <c r="AZK138" s="422"/>
      <c r="AZL138" s="422"/>
      <c r="AZM138" s="422"/>
      <c r="AZN138" s="422"/>
      <c r="AZO138" s="422"/>
      <c r="AZP138" s="422"/>
      <c r="AZQ138" s="422"/>
      <c r="AZR138" s="422"/>
      <c r="AZS138" s="422"/>
      <c r="AZT138" s="422"/>
      <c r="AZU138" s="422"/>
      <c r="AZV138" s="422"/>
      <c r="AZW138" s="422"/>
      <c r="AZX138" s="422"/>
      <c r="AZY138" s="422"/>
      <c r="AZZ138" s="422"/>
      <c r="BAA138" s="422"/>
      <c r="BAB138" s="422"/>
      <c r="BAC138" s="422"/>
      <c r="BAD138" s="422"/>
      <c r="BAE138" s="422"/>
      <c r="BAF138" s="422"/>
      <c r="BAG138" s="422"/>
      <c r="BAH138" s="422"/>
      <c r="BAI138" s="422"/>
      <c r="BAJ138" s="422"/>
      <c r="BAK138" s="422"/>
      <c r="BAL138" s="422"/>
      <c r="BAM138" s="422"/>
      <c r="BAN138" s="422"/>
      <c r="BAO138" s="422"/>
      <c r="BAP138" s="422"/>
      <c r="BAQ138" s="422"/>
      <c r="BAR138" s="422"/>
      <c r="BAS138" s="422"/>
      <c r="BAT138" s="422"/>
      <c r="BAU138" s="422"/>
      <c r="BAV138" s="422"/>
      <c r="BAW138" s="422"/>
      <c r="BAX138" s="422"/>
      <c r="BAY138" s="422"/>
      <c r="BAZ138" s="422"/>
      <c r="BBA138" s="422"/>
      <c r="BBB138" s="422"/>
      <c r="BBC138" s="422"/>
      <c r="BBD138" s="422"/>
      <c r="BBE138" s="422"/>
      <c r="BBF138" s="422"/>
      <c r="BBG138" s="422"/>
      <c r="BBH138" s="422"/>
      <c r="BBI138" s="422"/>
      <c r="BBJ138" s="422"/>
      <c r="BBK138" s="422"/>
      <c r="BBL138" s="422"/>
      <c r="BBM138" s="422"/>
      <c r="BBN138" s="422"/>
      <c r="BBO138" s="422"/>
      <c r="BBP138" s="422"/>
      <c r="BBQ138" s="422"/>
      <c r="BBR138" s="422"/>
      <c r="BBS138" s="422"/>
      <c r="BBT138" s="422"/>
      <c r="BBU138" s="422"/>
      <c r="BBV138" s="422"/>
      <c r="BBW138" s="422"/>
      <c r="BBX138" s="422"/>
      <c r="BBY138" s="422"/>
      <c r="BBZ138" s="422"/>
      <c r="BCA138" s="422"/>
      <c r="BCB138" s="422"/>
      <c r="BCC138" s="422"/>
      <c r="BCD138" s="422"/>
      <c r="BCE138" s="422"/>
      <c r="BCF138" s="422"/>
      <c r="BCG138" s="422"/>
      <c r="BCH138" s="422"/>
      <c r="BCI138" s="422"/>
      <c r="BCJ138" s="422"/>
      <c r="BCK138" s="422"/>
      <c r="BCL138" s="422"/>
      <c r="BCM138" s="422"/>
      <c r="BCN138" s="422"/>
      <c r="BCO138" s="422"/>
      <c r="BCP138" s="422"/>
      <c r="BCQ138" s="422"/>
      <c r="BCR138" s="422"/>
      <c r="BCS138" s="422"/>
      <c r="BCT138" s="422"/>
      <c r="BCU138" s="422"/>
      <c r="BCV138" s="422"/>
      <c r="BCW138" s="422"/>
      <c r="BCX138" s="422"/>
      <c r="BCY138" s="422"/>
      <c r="BCZ138" s="422"/>
      <c r="BDA138" s="422"/>
      <c r="BDB138" s="422"/>
      <c r="BDC138" s="422"/>
      <c r="BDD138" s="422"/>
      <c r="BDE138" s="422"/>
      <c r="BDF138" s="422"/>
      <c r="BDG138" s="422"/>
      <c r="BDH138" s="422"/>
      <c r="BDI138" s="422"/>
      <c r="BDJ138" s="422"/>
      <c r="BDK138" s="422"/>
      <c r="BDL138" s="422"/>
      <c r="BDM138" s="422"/>
      <c r="BDN138" s="422"/>
      <c r="BDO138" s="422"/>
      <c r="BDP138" s="422"/>
      <c r="BDQ138" s="422"/>
      <c r="BDR138" s="422"/>
      <c r="BDS138" s="422"/>
      <c r="BDT138" s="422"/>
      <c r="BDU138" s="422"/>
      <c r="BDV138" s="422"/>
      <c r="BDW138" s="422"/>
      <c r="BDX138" s="422"/>
      <c r="BDY138" s="422"/>
      <c r="BDZ138" s="422"/>
      <c r="BEA138" s="422"/>
      <c r="BEB138" s="422"/>
      <c r="BEC138" s="422"/>
      <c r="BED138" s="422"/>
      <c r="BEE138" s="422"/>
      <c r="BEF138" s="422"/>
      <c r="BEG138" s="422"/>
      <c r="BEH138" s="422"/>
      <c r="BEI138" s="422"/>
      <c r="BEJ138" s="422"/>
      <c r="BEK138" s="422"/>
      <c r="BEL138" s="422"/>
      <c r="BEM138" s="422"/>
      <c r="BEN138" s="422"/>
      <c r="BEO138" s="422"/>
      <c r="BEP138" s="422"/>
      <c r="BEQ138" s="422"/>
      <c r="BER138" s="422"/>
      <c r="BES138" s="422"/>
      <c r="BET138" s="422"/>
      <c r="BEU138" s="422"/>
      <c r="BEV138" s="422"/>
      <c r="BEW138" s="422"/>
      <c r="BEX138" s="422"/>
      <c r="BEY138" s="422"/>
      <c r="BEZ138" s="422"/>
      <c r="BFA138" s="422"/>
      <c r="BFB138" s="422"/>
      <c r="BFC138" s="422"/>
      <c r="BFD138" s="422"/>
      <c r="BFE138" s="422"/>
      <c r="BFF138" s="422"/>
      <c r="BFG138" s="422"/>
      <c r="BFH138" s="422"/>
      <c r="BFI138" s="422"/>
      <c r="BFJ138" s="422"/>
      <c r="BFK138" s="422"/>
      <c r="BFL138" s="422"/>
      <c r="BFM138" s="422"/>
      <c r="BFN138" s="422"/>
      <c r="BFO138" s="422"/>
      <c r="BFP138" s="422"/>
      <c r="BFQ138" s="422"/>
      <c r="BFR138" s="422"/>
      <c r="BFS138" s="422"/>
      <c r="BFT138" s="422"/>
      <c r="BFU138" s="422"/>
      <c r="BFV138" s="422"/>
      <c r="BFW138" s="422"/>
      <c r="BFX138" s="422"/>
      <c r="BFY138" s="422"/>
      <c r="BFZ138" s="422"/>
      <c r="BGA138" s="422"/>
      <c r="BGB138" s="422"/>
      <c r="BGC138" s="422"/>
      <c r="BGD138" s="422"/>
      <c r="BGE138" s="422"/>
      <c r="BGF138" s="422"/>
      <c r="BGG138" s="422"/>
      <c r="BGH138" s="422"/>
      <c r="BGI138" s="422"/>
      <c r="BGJ138" s="422"/>
      <c r="BGK138" s="422"/>
      <c r="BGL138" s="422"/>
      <c r="BGM138" s="422"/>
      <c r="BGN138" s="422"/>
      <c r="BGO138" s="422"/>
      <c r="BGP138" s="422"/>
      <c r="BGQ138" s="422"/>
      <c r="BGR138" s="422"/>
      <c r="BGS138" s="422"/>
      <c r="BGT138" s="422"/>
      <c r="BGU138" s="422"/>
      <c r="BGV138" s="422"/>
      <c r="BGW138" s="422"/>
      <c r="BGX138" s="422"/>
      <c r="BGY138" s="422"/>
      <c r="BGZ138" s="422"/>
      <c r="BHA138" s="422"/>
      <c r="BHB138" s="422"/>
      <c r="BHC138" s="422"/>
      <c r="BHD138" s="422"/>
      <c r="BHE138" s="422"/>
      <c r="BHF138" s="422"/>
      <c r="BHG138" s="422"/>
      <c r="BHH138" s="422"/>
      <c r="BHI138" s="422"/>
      <c r="BHJ138" s="422"/>
      <c r="BHK138" s="422"/>
      <c r="BHL138" s="422"/>
      <c r="BHM138" s="422"/>
      <c r="BHN138" s="422"/>
      <c r="BHO138" s="422"/>
      <c r="BHP138" s="422"/>
      <c r="BHQ138" s="422"/>
      <c r="BHR138" s="422"/>
      <c r="BHS138" s="422"/>
      <c r="BHT138" s="422"/>
      <c r="BHU138" s="422"/>
      <c r="BHV138" s="422"/>
      <c r="BHW138" s="422"/>
      <c r="BHX138" s="422"/>
      <c r="BHY138" s="422"/>
      <c r="BHZ138" s="422"/>
      <c r="BIA138" s="422"/>
      <c r="BIB138" s="422"/>
      <c r="BIC138" s="422"/>
      <c r="BID138" s="422"/>
      <c r="BIE138" s="422"/>
      <c r="BIF138" s="422"/>
      <c r="BIG138" s="422"/>
      <c r="BIH138" s="422"/>
      <c r="BII138" s="422"/>
      <c r="BIJ138" s="422"/>
      <c r="BIK138" s="422"/>
      <c r="BIL138" s="422"/>
      <c r="BIM138" s="422"/>
      <c r="BIN138" s="422"/>
      <c r="BIO138" s="422"/>
      <c r="BIP138" s="422"/>
      <c r="BIQ138" s="422"/>
      <c r="BIR138" s="422"/>
      <c r="BIS138" s="422"/>
      <c r="BIT138" s="422"/>
      <c r="BIU138" s="422"/>
      <c r="BIV138" s="422"/>
      <c r="BIW138" s="422"/>
      <c r="BIX138" s="422"/>
      <c r="BIY138" s="422"/>
      <c r="BIZ138" s="422"/>
      <c r="BJA138" s="422"/>
      <c r="BJB138" s="422"/>
      <c r="BJC138" s="422"/>
      <c r="BJD138" s="422"/>
      <c r="BJE138" s="422"/>
      <c r="BJF138" s="422"/>
      <c r="BJG138" s="422"/>
      <c r="BJH138" s="422"/>
      <c r="BJI138" s="422"/>
      <c r="BJJ138" s="422"/>
      <c r="BJK138" s="422"/>
      <c r="BJL138" s="422"/>
      <c r="BJM138" s="422"/>
      <c r="BJN138" s="422"/>
      <c r="BJO138" s="422"/>
      <c r="BJP138" s="422"/>
      <c r="BJQ138" s="422"/>
      <c r="BJR138" s="422"/>
      <c r="BJS138" s="422"/>
      <c r="BJT138" s="422"/>
      <c r="BJU138" s="422"/>
      <c r="BJV138" s="422"/>
      <c r="BJW138" s="422"/>
      <c r="BJX138" s="422"/>
      <c r="BJY138" s="422"/>
      <c r="BJZ138" s="422"/>
      <c r="BKA138" s="422"/>
      <c r="BKB138" s="422"/>
      <c r="BKC138" s="422"/>
      <c r="BKD138" s="422"/>
      <c r="BKE138" s="422"/>
      <c r="BKF138" s="422"/>
      <c r="BKG138" s="422"/>
      <c r="BKH138" s="422"/>
      <c r="BKI138" s="422"/>
      <c r="BKJ138" s="422"/>
      <c r="BKK138" s="422"/>
      <c r="BKL138" s="422"/>
      <c r="BKM138" s="422"/>
      <c r="BKN138" s="422"/>
      <c r="BKO138" s="422"/>
      <c r="BKP138" s="422"/>
      <c r="BKQ138" s="422"/>
      <c r="BKR138" s="422"/>
      <c r="BKS138" s="422"/>
      <c r="BKT138" s="422"/>
      <c r="BKU138" s="422"/>
      <c r="BKV138" s="422"/>
      <c r="BKW138" s="422"/>
      <c r="BKX138" s="422"/>
      <c r="BKY138" s="422"/>
      <c r="BKZ138" s="422"/>
      <c r="BLA138" s="422"/>
      <c r="BLB138" s="422"/>
      <c r="BLC138" s="422"/>
      <c r="BLD138" s="422"/>
      <c r="BLE138" s="422"/>
      <c r="BLF138" s="422"/>
      <c r="BLG138" s="422"/>
      <c r="BLH138" s="422"/>
      <c r="BLI138" s="422"/>
      <c r="BLJ138" s="422"/>
      <c r="BLK138" s="422"/>
      <c r="BLL138" s="422"/>
      <c r="BLM138" s="422"/>
      <c r="BLN138" s="422"/>
      <c r="BLO138" s="422"/>
      <c r="BLP138" s="422"/>
      <c r="BLQ138" s="422"/>
      <c r="BLR138" s="422"/>
      <c r="BLS138" s="422"/>
      <c r="BLT138" s="422"/>
      <c r="BLU138" s="422"/>
      <c r="BLV138" s="422"/>
      <c r="BLW138" s="422"/>
      <c r="BLX138" s="422"/>
      <c r="BLY138" s="422"/>
      <c r="BLZ138" s="422"/>
      <c r="BMA138" s="422"/>
      <c r="BMB138" s="422"/>
      <c r="BMC138" s="422"/>
      <c r="BMD138" s="422"/>
      <c r="BME138" s="422"/>
      <c r="BMF138" s="422"/>
      <c r="BMG138" s="422"/>
      <c r="BMH138" s="422"/>
      <c r="BMI138" s="422"/>
      <c r="BMJ138" s="422"/>
      <c r="BMK138" s="422"/>
      <c r="BML138" s="422"/>
      <c r="BMM138" s="422"/>
      <c r="BMN138" s="422"/>
      <c r="BMO138" s="422"/>
      <c r="BMP138" s="422"/>
      <c r="BMQ138" s="422"/>
      <c r="BMR138" s="422"/>
      <c r="BMS138" s="422"/>
      <c r="BMT138" s="422"/>
      <c r="BMU138" s="422"/>
      <c r="BMV138" s="422"/>
      <c r="BMW138" s="422"/>
      <c r="BMX138" s="422"/>
      <c r="BMY138" s="422"/>
      <c r="BMZ138" s="422"/>
      <c r="BNA138" s="422"/>
      <c r="BNB138" s="422"/>
      <c r="BNC138" s="422"/>
      <c r="BND138" s="422"/>
      <c r="BNE138" s="422"/>
      <c r="BNF138" s="422"/>
      <c r="BNG138" s="422"/>
      <c r="BNH138" s="422"/>
      <c r="BNI138" s="422"/>
      <c r="BNJ138" s="422"/>
      <c r="BNK138" s="422"/>
      <c r="BNL138" s="422"/>
      <c r="BNM138" s="422"/>
      <c r="BNN138" s="422"/>
      <c r="BNO138" s="422"/>
      <c r="BNP138" s="422"/>
      <c r="BNQ138" s="422"/>
      <c r="BNR138" s="422"/>
      <c r="BNS138" s="422"/>
      <c r="BNT138" s="422"/>
      <c r="BNU138" s="422"/>
      <c r="BNV138" s="422"/>
      <c r="BNW138" s="422"/>
      <c r="BNX138" s="422"/>
      <c r="BNY138" s="422"/>
      <c r="BNZ138" s="422"/>
      <c r="BOA138" s="422"/>
      <c r="BOB138" s="422"/>
      <c r="BOC138" s="422"/>
      <c r="BOD138" s="422"/>
      <c r="BOE138" s="422"/>
      <c r="BOF138" s="422"/>
      <c r="BOG138" s="422"/>
      <c r="BOH138" s="422"/>
      <c r="BOI138" s="422"/>
      <c r="BOJ138" s="422"/>
      <c r="BOK138" s="422"/>
      <c r="BOL138" s="422"/>
      <c r="BOM138" s="422"/>
      <c r="BON138" s="422"/>
      <c r="BOO138" s="422"/>
      <c r="BOP138" s="422"/>
      <c r="BOQ138" s="422"/>
      <c r="BOR138" s="422"/>
      <c r="BOS138" s="422"/>
      <c r="BOT138" s="422"/>
      <c r="BOU138" s="422"/>
      <c r="BOV138" s="422"/>
      <c r="BOW138" s="422"/>
      <c r="BOX138" s="422"/>
      <c r="BOY138" s="422"/>
      <c r="BOZ138" s="422"/>
      <c r="BPA138" s="422"/>
      <c r="BPB138" s="422"/>
      <c r="BPC138" s="422"/>
      <c r="BPD138" s="422"/>
      <c r="BPE138" s="422"/>
      <c r="BPF138" s="422"/>
      <c r="BPG138" s="422"/>
      <c r="BPH138" s="422"/>
      <c r="BPI138" s="422"/>
      <c r="BPJ138" s="422"/>
      <c r="BPK138" s="422"/>
      <c r="BPL138" s="422"/>
      <c r="BPM138" s="422"/>
      <c r="BPN138" s="422"/>
      <c r="BPO138" s="422"/>
      <c r="BPP138" s="422"/>
      <c r="BPQ138" s="422"/>
      <c r="BPR138" s="422"/>
      <c r="BPS138" s="422"/>
      <c r="BPT138" s="422"/>
      <c r="BPU138" s="422"/>
      <c r="BPV138" s="422"/>
      <c r="BPW138" s="422"/>
      <c r="BPX138" s="422"/>
      <c r="BPY138" s="422"/>
      <c r="BPZ138" s="422"/>
      <c r="BQA138" s="422"/>
      <c r="BQB138" s="422"/>
      <c r="BQC138" s="422"/>
      <c r="BQD138" s="422"/>
      <c r="BQE138" s="422"/>
      <c r="BQF138" s="422"/>
      <c r="BQG138" s="422"/>
      <c r="BQH138" s="422"/>
      <c r="BQI138" s="422"/>
      <c r="BQJ138" s="422"/>
      <c r="BQK138" s="422"/>
      <c r="BQL138" s="422"/>
      <c r="BQM138" s="422"/>
      <c r="BQN138" s="422"/>
      <c r="BQO138" s="422"/>
      <c r="BQP138" s="422"/>
      <c r="BQQ138" s="422"/>
      <c r="BQR138" s="422"/>
      <c r="BQS138" s="422"/>
      <c r="BQT138" s="422"/>
      <c r="BQU138" s="422"/>
      <c r="BQV138" s="422"/>
      <c r="BQW138" s="422"/>
      <c r="BQX138" s="422"/>
      <c r="BQY138" s="422"/>
      <c r="BQZ138" s="422"/>
      <c r="BRA138" s="422"/>
      <c r="BRB138" s="422"/>
      <c r="BRC138" s="422"/>
      <c r="BRD138" s="422"/>
      <c r="BRE138" s="422"/>
      <c r="BRF138" s="422"/>
      <c r="BRG138" s="422"/>
      <c r="BRH138" s="422"/>
      <c r="BRI138" s="422"/>
      <c r="BRJ138" s="422"/>
      <c r="BRK138" s="422"/>
      <c r="BRL138" s="422"/>
      <c r="BRM138" s="422"/>
      <c r="BRN138" s="422"/>
      <c r="BRO138" s="422"/>
      <c r="BRP138" s="422"/>
      <c r="BRQ138" s="422"/>
      <c r="BRR138" s="422"/>
      <c r="BRS138" s="422"/>
      <c r="BRT138" s="422"/>
      <c r="BRU138" s="422"/>
      <c r="BRV138" s="422"/>
      <c r="BRW138" s="422"/>
      <c r="BRX138" s="422"/>
      <c r="BRY138" s="422"/>
      <c r="BRZ138" s="422"/>
      <c r="BSA138" s="422"/>
      <c r="BSB138" s="422"/>
      <c r="BSC138" s="422"/>
      <c r="BSD138" s="422"/>
      <c r="BSE138" s="422"/>
      <c r="BSF138" s="422"/>
      <c r="BSG138" s="422"/>
      <c r="BSH138" s="422"/>
      <c r="BSI138" s="422"/>
      <c r="BSJ138" s="422"/>
      <c r="BSK138" s="422"/>
      <c r="BSL138" s="422"/>
      <c r="BSM138" s="422"/>
      <c r="BSN138" s="422"/>
      <c r="BSO138" s="422"/>
      <c r="BSP138" s="422"/>
      <c r="BSQ138" s="422"/>
      <c r="BSR138" s="422"/>
      <c r="BSS138" s="422"/>
      <c r="BST138" s="422"/>
      <c r="BSU138" s="422"/>
      <c r="BSV138" s="422"/>
      <c r="BSW138" s="422"/>
      <c r="BSX138" s="422"/>
      <c r="BSY138" s="422"/>
      <c r="BSZ138" s="422"/>
      <c r="BTA138" s="422"/>
      <c r="BTB138" s="422"/>
      <c r="BTC138" s="422"/>
      <c r="BTD138" s="422"/>
      <c r="BTE138" s="422"/>
      <c r="BTF138" s="422"/>
      <c r="BTG138" s="422"/>
      <c r="BTH138" s="422"/>
      <c r="BTI138" s="422"/>
      <c r="BTJ138" s="422"/>
      <c r="BTK138" s="422"/>
      <c r="BTL138" s="422"/>
      <c r="BTM138" s="422"/>
      <c r="BTN138" s="422"/>
      <c r="BTO138" s="422"/>
      <c r="BTP138" s="422"/>
      <c r="BTQ138" s="422"/>
      <c r="BTR138" s="422"/>
      <c r="BTS138" s="422"/>
      <c r="BTT138" s="422"/>
      <c r="BTU138" s="422"/>
      <c r="BTV138" s="422"/>
      <c r="BTW138" s="422"/>
      <c r="BTX138" s="422"/>
      <c r="BTY138" s="422"/>
      <c r="BTZ138" s="422"/>
      <c r="BUA138" s="422"/>
      <c r="BUB138" s="422"/>
      <c r="BUC138" s="422"/>
      <c r="BUD138" s="422"/>
      <c r="BUE138" s="422"/>
      <c r="BUF138" s="422"/>
      <c r="BUG138" s="422"/>
      <c r="BUH138" s="422"/>
      <c r="BUI138" s="422"/>
      <c r="BUJ138" s="422"/>
      <c r="BUK138" s="422"/>
      <c r="BUL138" s="422"/>
      <c r="BUM138" s="422"/>
      <c r="BUN138" s="422"/>
      <c r="BUO138" s="422"/>
      <c r="BUP138" s="422"/>
      <c r="BUQ138" s="422"/>
      <c r="BUR138" s="422"/>
      <c r="BUS138" s="422"/>
      <c r="BUT138" s="422"/>
      <c r="BUU138" s="422"/>
      <c r="BUV138" s="422"/>
      <c r="BUW138" s="422"/>
      <c r="BUX138" s="422"/>
      <c r="BUY138" s="422"/>
      <c r="BUZ138" s="422"/>
      <c r="BVA138" s="422"/>
      <c r="BVB138" s="422"/>
      <c r="BVC138" s="422"/>
      <c r="BVD138" s="422"/>
      <c r="BVE138" s="422"/>
      <c r="BVF138" s="422"/>
      <c r="BVG138" s="422"/>
      <c r="BVH138" s="422"/>
      <c r="BVI138" s="422"/>
      <c r="BVJ138" s="422"/>
      <c r="BVK138" s="422"/>
      <c r="BVL138" s="422"/>
      <c r="BVM138" s="422"/>
      <c r="BVN138" s="422"/>
      <c r="BVO138" s="422"/>
      <c r="BVP138" s="422"/>
      <c r="BVQ138" s="422"/>
      <c r="BVR138" s="422"/>
      <c r="BVS138" s="422"/>
      <c r="BVT138" s="422"/>
      <c r="BVU138" s="422"/>
      <c r="BVV138" s="422"/>
      <c r="BVW138" s="422"/>
      <c r="BVX138" s="422"/>
      <c r="BVY138" s="422"/>
      <c r="BVZ138" s="422"/>
      <c r="BWA138" s="422"/>
      <c r="BWB138" s="422"/>
      <c r="BWC138" s="422"/>
      <c r="BWD138" s="422"/>
      <c r="BWE138" s="422"/>
      <c r="BWF138" s="422"/>
      <c r="BWG138" s="422"/>
      <c r="BWH138" s="422"/>
      <c r="BWI138" s="422"/>
      <c r="BWJ138" s="422"/>
      <c r="BWK138" s="422"/>
      <c r="BWL138" s="422"/>
      <c r="BWM138" s="422"/>
      <c r="BWN138" s="422"/>
      <c r="BWO138" s="422"/>
      <c r="BWP138" s="422"/>
      <c r="BWQ138" s="422"/>
      <c r="BWR138" s="422"/>
      <c r="BWS138" s="422"/>
      <c r="BWT138" s="422"/>
      <c r="BWU138" s="422"/>
      <c r="BWV138" s="422"/>
      <c r="BWW138" s="422"/>
      <c r="BWX138" s="422"/>
      <c r="BWY138" s="422"/>
      <c r="BWZ138" s="422"/>
      <c r="BXA138" s="422"/>
      <c r="BXB138" s="422"/>
      <c r="BXC138" s="422"/>
      <c r="BXD138" s="422"/>
      <c r="BXE138" s="422"/>
      <c r="BXF138" s="422"/>
      <c r="BXG138" s="422"/>
      <c r="BXH138" s="422"/>
      <c r="BXI138" s="422"/>
      <c r="BXJ138" s="422"/>
      <c r="BXK138" s="422"/>
      <c r="BXL138" s="422"/>
      <c r="BXM138" s="422"/>
      <c r="BXN138" s="422"/>
      <c r="BXO138" s="422"/>
      <c r="BXP138" s="422"/>
      <c r="BXQ138" s="422"/>
      <c r="BXR138" s="422"/>
      <c r="BXS138" s="422"/>
      <c r="BXT138" s="422"/>
      <c r="BXU138" s="422"/>
      <c r="BXV138" s="422"/>
      <c r="BXW138" s="422"/>
      <c r="BXX138" s="422"/>
      <c r="BXY138" s="422"/>
      <c r="BXZ138" s="422"/>
      <c r="BYA138" s="422"/>
      <c r="BYB138" s="422"/>
      <c r="BYC138" s="422"/>
      <c r="BYD138" s="422"/>
      <c r="BYE138" s="422"/>
      <c r="BYF138" s="422"/>
      <c r="BYG138" s="422"/>
      <c r="BYH138" s="422"/>
      <c r="BYI138" s="422"/>
      <c r="BYJ138" s="422"/>
      <c r="BYK138" s="422"/>
      <c r="BYL138" s="422"/>
      <c r="BYM138" s="422"/>
      <c r="BYN138" s="422"/>
      <c r="BYO138" s="422"/>
      <c r="BYP138" s="422"/>
      <c r="BYQ138" s="422"/>
      <c r="BYR138" s="422"/>
      <c r="BYS138" s="422"/>
      <c r="BYT138" s="422"/>
      <c r="BYU138" s="422"/>
      <c r="BYV138" s="422"/>
      <c r="BYW138" s="422"/>
      <c r="BYX138" s="422"/>
      <c r="BYY138" s="422"/>
      <c r="BYZ138" s="422"/>
      <c r="BZA138" s="422"/>
      <c r="BZB138" s="422"/>
      <c r="BZC138" s="422"/>
      <c r="BZD138" s="422"/>
      <c r="BZE138" s="422"/>
      <c r="BZF138" s="422"/>
      <c r="BZG138" s="422"/>
      <c r="BZH138" s="422"/>
      <c r="BZI138" s="422"/>
      <c r="BZJ138" s="422"/>
      <c r="BZK138" s="422"/>
      <c r="BZL138" s="422"/>
      <c r="BZM138" s="422"/>
      <c r="BZN138" s="422"/>
      <c r="BZO138" s="422"/>
      <c r="BZP138" s="422"/>
      <c r="BZQ138" s="422"/>
      <c r="BZR138" s="422"/>
      <c r="BZS138" s="422"/>
      <c r="BZT138" s="422"/>
      <c r="BZU138" s="422"/>
      <c r="BZV138" s="422"/>
      <c r="BZW138" s="422"/>
      <c r="BZX138" s="422"/>
      <c r="BZY138" s="422"/>
      <c r="BZZ138" s="422"/>
      <c r="CAA138" s="422"/>
      <c r="CAB138" s="422"/>
      <c r="CAC138" s="422"/>
      <c r="CAD138" s="422"/>
      <c r="CAE138" s="422"/>
      <c r="CAF138" s="422"/>
      <c r="CAG138" s="422"/>
      <c r="CAH138" s="422"/>
      <c r="CAI138" s="422"/>
      <c r="CAJ138" s="422"/>
      <c r="CAK138" s="422"/>
      <c r="CAL138" s="422"/>
      <c r="CAM138" s="422"/>
      <c r="CAN138" s="422"/>
      <c r="CAO138" s="422"/>
      <c r="CAP138" s="422"/>
      <c r="CAQ138" s="422"/>
      <c r="CAR138" s="422"/>
      <c r="CAS138" s="422"/>
      <c r="CAT138" s="422"/>
      <c r="CAU138" s="422"/>
      <c r="CAV138" s="422"/>
      <c r="CAW138" s="422"/>
      <c r="CAX138" s="422"/>
      <c r="CAY138" s="422"/>
      <c r="CAZ138" s="422"/>
      <c r="CBA138" s="422"/>
      <c r="CBB138" s="422"/>
      <c r="CBC138" s="422"/>
      <c r="CBD138" s="422"/>
      <c r="CBE138" s="422"/>
      <c r="CBF138" s="422"/>
      <c r="CBG138" s="422"/>
      <c r="CBH138" s="422"/>
      <c r="CBI138" s="422"/>
      <c r="CBJ138" s="422"/>
      <c r="CBK138" s="422"/>
      <c r="CBL138" s="422"/>
      <c r="CBM138" s="422"/>
      <c r="CBN138" s="422"/>
      <c r="CBO138" s="422"/>
      <c r="CBP138" s="422"/>
      <c r="CBQ138" s="422"/>
      <c r="CBR138" s="422"/>
      <c r="CBS138" s="422"/>
      <c r="CBT138" s="422"/>
      <c r="CBU138" s="422"/>
      <c r="CBV138" s="422"/>
      <c r="CBW138" s="422"/>
      <c r="CBX138" s="422"/>
      <c r="CBY138" s="422"/>
      <c r="CBZ138" s="422"/>
      <c r="CCA138" s="422"/>
      <c r="CCB138" s="422"/>
      <c r="CCC138" s="422"/>
      <c r="CCD138" s="422"/>
      <c r="CCE138" s="422"/>
      <c r="CCF138" s="422"/>
      <c r="CCG138" s="422"/>
      <c r="CCH138" s="422"/>
      <c r="CCI138" s="422"/>
      <c r="CCJ138" s="422"/>
      <c r="CCK138" s="422"/>
      <c r="CCL138" s="422"/>
      <c r="CCM138" s="422"/>
      <c r="CCN138" s="422"/>
      <c r="CCO138" s="422"/>
      <c r="CCP138" s="422"/>
      <c r="CCQ138" s="422"/>
      <c r="CCR138" s="422"/>
      <c r="CCS138" s="422"/>
      <c r="CCT138" s="422"/>
      <c r="CCU138" s="422"/>
      <c r="CCV138" s="422"/>
      <c r="CCW138" s="422"/>
      <c r="CCX138" s="422"/>
      <c r="CCY138" s="422"/>
      <c r="CCZ138" s="422"/>
      <c r="CDA138" s="422"/>
      <c r="CDB138" s="422"/>
      <c r="CDC138" s="422"/>
      <c r="CDD138" s="422"/>
      <c r="CDE138" s="422"/>
      <c r="CDF138" s="422"/>
      <c r="CDG138" s="422"/>
      <c r="CDH138" s="422"/>
      <c r="CDI138" s="422"/>
      <c r="CDJ138" s="422"/>
      <c r="CDK138" s="422"/>
      <c r="CDL138" s="422"/>
      <c r="CDM138" s="422"/>
      <c r="CDN138" s="422"/>
      <c r="CDO138" s="422"/>
      <c r="CDP138" s="422"/>
      <c r="CDQ138" s="422"/>
      <c r="CDR138" s="422"/>
      <c r="CDS138" s="422"/>
      <c r="CDT138" s="422"/>
      <c r="CDU138" s="422"/>
      <c r="CDV138" s="422"/>
      <c r="CDW138" s="422"/>
      <c r="CDX138" s="422"/>
      <c r="CDY138" s="422"/>
      <c r="CDZ138" s="422"/>
      <c r="CEA138" s="422"/>
      <c r="CEB138" s="422"/>
      <c r="CEC138" s="422"/>
      <c r="CED138" s="422"/>
      <c r="CEE138" s="422"/>
      <c r="CEF138" s="422"/>
      <c r="CEG138" s="422"/>
      <c r="CEH138" s="422"/>
      <c r="CEI138" s="422"/>
      <c r="CEJ138" s="422"/>
      <c r="CEK138" s="422"/>
      <c r="CEL138" s="422"/>
      <c r="CEM138" s="422"/>
      <c r="CEN138" s="422"/>
      <c r="CEO138" s="422"/>
      <c r="CEP138" s="422"/>
      <c r="CEQ138" s="422"/>
      <c r="CER138" s="422"/>
      <c r="CES138" s="422"/>
      <c r="CET138" s="422"/>
      <c r="CEU138" s="422"/>
      <c r="CEV138" s="422"/>
      <c r="CEW138" s="422"/>
      <c r="CEX138" s="422"/>
      <c r="CEY138" s="422"/>
      <c r="CEZ138" s="422"/>
      <c r="CFA138" s="422"/>
      <c r="CFB138" s="422"/>
      <c r="CFC138" s="422"/>
      <c r="CFD138" s="422"/>
      <c r="CFE138" s="422"/>
      <c r="CFF138" s="422"/>
      <c r="CFG138" s="422"/>
      <c r="CFH138" s="422"/>
      <c r="CFI138" s="422"/>
      <c r="CFJ138" s="422"/>
      <c r="CFK138" s="422"/>
      <c r="CFL138" s="422"/>
      <c r="CFM138" s="422"/>
      <c r="CFN138" s="422"/>
      <c r="CFO138" s="422"/>
      <c r="CFP138" s="422"/>
      <c r="CFQ138" s="422"/>
      <c r="CFR138" s="422"/>
      <c r="CFS138" s="422"/>
      <c r="CFT138" s="422"/>
      <c r="CFU138" s="422"/>
      <c r="CFV138" s="422"/>
      <c r="CFW138" s="422"/>
      <c r="CFX138" s="422"/>
      <c r="CFY138" s="422"/>
      <c r="CFZ138" s="422"/>
      <c r="CGA138" s="422"/>
      <c r="CGB138" s="422"/>
      <c r="CGC138" s="422"/>
      <c r="CGD138" s="422"/>
      <c r="CGE138" s="422"/>
      <c r="CGF138" s="422"/>
      <c r="CGG138" s="422"/>
      <c r="CGH138" s="422"/>
      <c r="CGI138" s="422"/>
      <c r="CGJ138" s="422"/>
      <c r="CGK138" s="422"/>
      <c r="CGL138" s="422"/>
      <c r="CGM138" s="422"/>
      <c r="CGN138" s="422"/>
      <c r="CGO138" s="422"/>
      <c r="CGP138" s="422"/>
      <c r="CGQ138" s="422"/>
      <c r="CGR138" s="422"/>
      <c r="CGS138" s="422"/>
      <c r="CGT138" s="422"/>
      <c r="CGU138" s="422"/>
      <c r="CGV138" s="422"/>
      <c r="CGW138" s="422"/>
      <c r="CGX138" s="422"/>
      <c r="CGY138" s="422"/>
      <c r="CGZ138" s="422"/>
      <c r="CHA138" s="422"/>
      <c r="CHB138" s="422"/>
      <c r="CHC138" s="422"/>
      <c r="CHD138" s="422"/>
      <c r="CHE138" s="422"/>
      <c r="CHF138" s="422"/>
      <c r="CHG138" s="422"/>
      <c r="CHH138" s="422"/>
      <c r="CHI138" s="422"/>
      <c r="CHJ138" s="422"/>
      <c r="CHK138" s="422"/>
      <c r="CHL138" s="422"/>
      <c r="CHM138" s="422"/>
      <c r="CHN138" s="422"/>
      <c r="CHO138" s="422"/>
      <c r="CHP138" s="422"/>
      <c r="CHQ138" s="422"/>
      <c r="CHR138" s="422"/>
      <c r="CHS138" s="422"/>
      <c r="CHT138" s="422"/>
      <c r="CHU138" s="422"/>
      <c r="CHV138" s="422"/>
      <c r="CHW138" s="422"/>
      <c r="CHX138" s="422"/>
      <c r="CHY138" s="422"/>
      <c r="CHZ138" s="422"/>
      <c r="CIA138" s="422"/>
      <c r="CIB138" s="422"/>
      <c r="CIC138" s="422"/>
      <c r="CID138" s="422"/>
      <c r="CIE138" s="422"/>
      <c r="CIF138" s="422"/>
      <c r="CIG138" s="422"/>
      <c r="CIH138" s="422"/>
      <c r="CII138" s="422"/>
      <c r="CIJ138" s="422"/>
      <c r="CIK138" s="422"/>
      <c r="CIL138" s="422"/>
      <c r="CIM138" s="422"/>
      <c r="CIN138" s="422"/>
      <c r="CIO138" s="422"/>
      <c r="CIP138" s="422"/>
      <c r="CIQ138" s="422"/>
      <c r="CIR138" s="422"/>
      <c r="CIS138" s="422"/>
      <c r="CIT138" s="422"/>
      <c r="CIU138" s="422"/>
      <c r="CIV138" s="422"/>
      <c r="CIW138" s="422"/>
      <c r="CIX138" s="422"/>
      <c r="CIY138" s="422"/>
      <c r="CIZ138" s="422"/>
      <c r="CJA138" s="422"/>
      <c r="CJB138" s="422"/>
      <c r="CJC138" s="422"/>
      <c r="CJD138" s="422"/>
      <c r="CJE138" s="422"/>
      <c r="CJF138" s="422"/>
      <c r="CJG138" s="422"/>
      <c r="CJH138" s="422"/>
      <c r="CJI138" s="422"/>
      <c r="CJJ138" s="422"/>
      <c r="CJK138" s="422"/>
      <c r="CJL138" s="422"/>
      <c r="CJM138" s="422"/>
      <c r="CJN138" s="422"/>
      <c r="CJO138" s="422"/>
      <c r="CJP138" s="422"/>
      <c r="CJQ138" s="422"/>
      <c r="CJR138" s="422"/>
      <c r="CJS138" s="422"/>
      <c r="CJT138" s="422"/>
      <c r="CJU138" s="422"/>
      <c r="CJV138" s="422"/>
      <c r="CJW138" s="422"/>
      <c r="CJX138" s="422"/>
      <c r="CJY138" s="422"/>
      <c r="CJZ138" s="422"/>
      <c r="CKA138" s="422"/>
      <c r="CKB138" s="422"/>
      <c r="CKC138" s="422"/>
      <c r="CKD138" s="422"/>
      <c r="CKE138" s="422"/>
      <c r="CKF138" s="422"/>
      <c r="CKG138" s="422"/>
      <c r="CKH138" s="422"/>
      <c r="CKI138" s="422"/>
      <c r="CKJ138" s="422"/>
      <c r="CKK138" s="422"/>
      <c r="CKL138" s="422"/>
      <c r="CKM138" s="422"/>
      <c r="CKN138" s="422"/>
      <c r="CKO138" s="422"/>
      <c r="CKP138" s="422"/>
      <c r="CKQ138" s="422"/>
      <c r="CKR138" s="422"/>
      <c r="CKS138" s="422"/>
      <c r="CKT138" s="422"/>
      <c r="CKU138" s="422"/>
      <c r="CKV138" s="422"/>
      <c r="CKW138" s="422"/>
      <c r="CKX138" s="422"/>
      <c r="CKY138" s="422"/>
      <c r="CKZ138" s="422"/>
      <c r="CLA138" s="422"/>
      <c r="CLB138" s="422"/>
      <c r="CLC138" s="422"/>
      <c r="CLD138" s="422"/>
      <c r="CLE138" s="422"/>
      <c r="CLF138" s="422"/>
      <c r="CLG138" s="422"/>
      <c r="CLH138" s="422"/>
      <c r="CLI138" s="422"/>
      <c r="CLJ138" s="422"/>
      <c r="CLK138" s="422"/>
      <c r="CLL138" s="422"/>
      <c r="CLM138" s="422"/>
      <c r="CLN138" s="422"/>
      <c r="CLO138" s="422"/>
      <c r="CLP138" s="422"/>
      <c r="CLQ138" s="422"/>
      <c r="CLR138" s="422"/>
      <c r="CLS138" s="422"/>
      <c r="CLT138" s="422"/>
      <c r="CLU138" s="422"/>
      <c r="CLV138" s="422"/>
      <c r="CLW138" s="422"/>
      <c r="CLX138" s="422"/>
      <c r="CLY138" s="422"/>
      <c r="CLZ138" s="422"/>
      <c r="CMA138" s="422"/>
      <c r="CMB138" s="422"/>
      <c r="CMC138" s="422"/>
      <c r="CMD138" s="422"/>
      <c r="CME138" s="422"/>
      <c r="CMF138" s="422"/>
      <c r="CMG138" s="422"/>
      <c r="CMH138" s="422"/>
      <c r="CMI138" s="422"/>
      <c r="CMJ138" s="422"/>
      <c r="CMK138" s="422"/>
      <c r="CML138" s="422"/>
      <c r="CMM138" s="422"/>
      <c r="CMN138" s="422"/>
      <c r="CMO138" s="422"/>
      <c r="CMP138" s="422"/>
      <c r="CMQ138" s="422"/>
      <c r="CMR138" s="422"/>
      <c r="CMS138" s="422"/>
      <c r="CMT138" s="422"/>
      <c r="CMU138" s="422"/>
      <c r="CMV138" s="422"/>
      <c r="CMW138" s="422"/>
      <c r="CMX138" s="422"/>
      <c r="CMY138" s="422"/>
      <c r="CMZ138" s="422"/>
      <c r="CNA138" s="422"/>
      <c r="CNB138" s="422"/>
      <c r="CNC138" s="422"/>
      <c r="CND138" s="422"/>
      <c r="CNE138" s="422"/>
      <c r="CNF138" s="422"/>
      <c r="CNG138" s="422"/>
      <c r="CNH138" s="422"/>
      <c r="CNI138" s="422"/>
      <c r="CNJ138" s="422"/>
      <c r="CNK138" s="422"/>
      <c r="CNL138" s="422"/>
      <c r="CNM138" s="422"/>
      <c r="CNN138" s="422"/>
      <c r="CNO138" s="422"/>
      <c r="CNP138" s="422"/>
      <c r="CNQ138" s="422"/>
      <c r="CNR138" s="422"/>
      <c r="CNS138" s="422"/>
      <c r="CNT138" s="422"/>
      <c r="CNU138" s="422"/>
      <c r="CNV138" s="422"/>
      <c r="CNW138" s="422"/>
      <c r="CNX138" s="422"/>
      <c r="CNY138" s="422"/>
      <c r="CNZ138" s="422"/>
      <c r="COA138" s="422"/>
      <c r="COB138" s="422"/>
      <c r="COC138" s="422"/>
      <c r="COD138" s="422"/>
      <c r="COE138" s="422"/>
      <c r="COF138" s="422"/>
      <c r="COG138" s="422"/>
      <c r="COH138" s="422"/>
      <c r="COI138" s="422"/>
      <c r="COJ138" s="422"/>
      <c r="COK138" s="422"/>
      <c r="COL138" s="422"/>
      <c r="COM138" s="422"/>
      <c r="CON138" s="422"/>
      <c r="COO138" s="422"/>
      <c r="COP138" s="422"/>
      <c r="COQ138" s="422"/>
      <c r="COR138" s="422"/>
      <c r="COS138" s="422"/>
      <c r="COT138" s="422"/>
      <c r="COU138" s="422"/>
      <c r="COV138" s="422"/>
      <c r="COW138" s="422"/>
      <c r="COX138" s="422"/>
      <c r="COY138" s="422"/>
      <c r="COZ138" s="422"/>
      <c r="CPA138" s="422"/>
      <c r="CPB138" s="422"/>
      <c r="CPC138" s="422"/>
      <c r="CPD138" s="422"/>
      <c r="CPE138" s="422"/>
      <c r="CPF138" s="422"/>
      <c r="CPG138" s="422"/>
      <c r="CPH138" s="422"/>
      <c r="CPI138" s="422"/>
      <c r="CPJ138" s="422"/>
      <c r="CPK138" s="422"/>
      <c r="CPL138" s="422"/>
      <c r="CPM138" s="422"/>
      <c r="CPN138" s="422"/>
      <c r="CPO138" s="422"/>
      <c r="CPP138" s="422"/>
      <c r="CPQ138" s="422"/>
      <c r="CPR138" s="422"/>
      <c r="CPS138" s="422"/>
      <c r="CPT138" s="422"/>
      <c r="CPU138" s="422"/>
      <c r="CPV138" s="422"/>
      <c r="CPW138" s="422"/>
      <c r="CPX138" s="422"/>
      <c r="CPY138" s="422"/>
      <c r="CPZ138" s="422"/>
      <c r="CQA138" s="422"/>
      <c r="CQB138" s="422"/>
      <c r="CQC138" s="422"/>
      <c r="CQD138" s="422"/>
      <c r="CQE138" s="422"/>
      <c r="CQF138" s="422"/>
      <c r="CQG138" s="422"/>
      <c r="CQH138" s="422"/>
      <c r="CQI138" s="422"/>
      <c r="CQJ138" s="422"/>
      <c r="CQK138" s="422"/>
      <c r="CQL138" s="422"/>
      <c r="CQM138" s="422"/>
      <c r="CQN138" s="422"/>
      <c r="CQO138" s="422"/>
      <c r="CQP138" s="422"/>
      <c r="CQQ138" s="422"/>
      <c r="CQR138" s="422"/>
      <c r="CQS138" s="422"/>
      <c r="CQT138" s="422"/>
      <c r="CQU138" s="422"/>
      <c r="CQV138" s="422"/>
      <c r="CQW138" s="422"/>
      <c r="CQX138" s="422"/>
      <c r="CQY138" s="422"/>
      <c r="CQZ138" s="422"/>
      <c r="CRA138" s="422"/>
      <c r="CRB138" s="422"/>
      <c r="CRC138" s="422"/>
      <c r="CRD138" s="422"/>
      <c r="CRE138" s="422"/>
      <c r="CRF138" s="422"/>
      <c r="CRG138" s="422"/>
      <c r="CRH138" s="422"/>
      <c r="CRI138" s="422"/>
      <c r="CRJ138" s="422"/>
      <c r="CRK138" s="422"/>
      <c r="CRL138" s="422"/>
      <c r="CRM138" s="422"/>
      <c r="CRN138" s="422"/>
      <c r="CRO138" s="422"/>
      <c r="CRP138" s="422"/>
      <c r="CRQ138" s="422"/>
      <c r="CRR138" s="422"/>
      <c r="CRS138" s="422"/>
      <c r="CRT138" s="422"/>
      <c r="CRU138" s="422"/>
      <c r="CRV138" s="422"/>
      <c r="CRW138" s="422"/>
      <c r="CRX138" s="422"/>
      <c r="CRY138" s="422"/>
      <c r="CRZ138" s="422"/>
      <c r="CSA138" s="422"/>
      <c r="CSB138" s="422"/>
      <c r="CSC138" s="422"/>
      <c r="CSD138" s="422"/>
      <c r="CSE138" s="422"/>
      <c r="CSF138" s="422"/>
      <c r="CSG138" s="422"/>
      <c r="CSH138" s="422"/>
      <c r="CSI138" s="422"/>
      <c r="CSJ138" s="422"/>
      <c r="CSK138" s="422"/>
      <c r="CSL138" s="422"/>
      <c r="CSM138" s="422"/>
      <c r="CSN138" s="422"/>
      <c r="CSO138" s="422"/>
      <c r="CSP138" s="422"/>
      <c r="CSQ138" s="422"/>
      <c r="CSR138" s="422"/>
      <c r="CSS138" s="422"/>
      <c r="CST138" s="422"/>
      <c r="CSU138" s="422"/>
      <c r="CSV138" s="422"/>
      <c r="CSW138" s="422"/>
      <c r="CSX138" s="422"/>
      <c r="CSY138" s="422"/>
      <c r="CSZ138" s="422"/>
      <c r="CTA138" s="422"/>
      <c r="CTB138" s="422"/>
      <c r="CTC138" s="422"/>
      <c r="CTD138" s="422"/>
      <c r="CTE138" s="422"/>
      <c r="CTF138" s="422"/>
      <c r="CTG138" s="422"/>
      <c r="CTH138" s="422"/>
      <c r="CTI138" s="422"/>
      <c r="CTJ138" s="422"/>
      <c r="CTK138" s="422"/>
      <c r="CTL138" s="422"/>
      <c r="CTM138" s="422"/>
      <c r="CTN138" s="422"/>
      <c r="CTO138" s="422"/>
      <c r="CTP138" s="422"/>
      <c r="CTQ138" s="422"/>
      <c r="CTR138" s="422"/>
      <c r="CTS138" s="422"/>
      <c r="CTT138" s="422"/>
      <c r="CTU138" s="422"/>
      <c r="CTV138" s="422"/>
      <c r="CTW138" s="422"/>
      <c r="CTX138" s="422"/>
      <c r="CTY138" s="422"/>
      <c r="CTZ138" s="422"/>
      <c r="CUA138" s="422"/>
      <c r="CUB138" s="422"/>
      <c r="CUC138" s="422"/>
      <c r="CUD138" s="422"/>
      <c r="CUE138" s="422"/>
      <c r="CUF138" s="422"/>
      <c r="CUG138" s="422"/>
      <c r="CUH138" s="422"/>
      <c r="CUI138" s="422"/>
      <c r="CUJ138" s="422"/>
      <c r="CUK138" s="422"/>
      <c r="CUL138" s="422"/>
      <c r="CUM138" s="422"/>
      <c r="CUN138" s="422"/>
      <c r="CUO138" s="422"/>
      <c r="CUP138" s="422"/>
      <c r="CUQ138" s="422"/>
      <c r="CUR138" s="422"/>
      <c r="CUS138" s="422"/>
      <c r="CUT138" s="422"/>
      <c r="CUU138" s="422"/>
      <c r="CUV138" s="422"/>
      <c r="CUW138" s="422"/>
      <c r="CUX138" s="422"/>
      <c r="CUY138" s="422"/>
      <c r="CUZ138" s="422"/>
      <c r="CVA138" s="422"/>
      <c r="CVB138" s="422"/>
      <c r="CVC138" s="422"/>
      <c r="CVD138" s="422"/>
      <c r="CVE138" s="422"/>
      <c r="CVF138" s="422"/>
      <c r="CVG138" s="422"/>
      <c r="CVH138" s="422"/>
      <c r="CVI138" s="422"/>
      <c r="CVJ138" s="422"/>
      <c r="CVK138" s="422"/>
      <c r="CVL138" s="422"/>
      <c r="CVM138" s="422"/>
      <c r="CVN138" s="422"/>
      <c r="CVO138" s="422"/>
      <c r="CVP138" s="422"/>
      <c r="CVQ138" s="422"/>
      <c r="CVR138" s="422"/>
      <c r="CVS138" s="422"/>
      <c r="CVT138" s="422"/>
      <c r="CVU138" s="422"/>
      <c r="CVV138" s="422"/>
      <c r="CVW138" s="422"/>
      <c r="CVX138" s="422"/>
      <c r="CVY138" s="422"/>
      <c r="CVZ138" s="422"/>
      <c r="CWA138" s="422"/>
      <c r="CWB138" s="422"/>
      <c r="CWC138" s="422"/>
      <c r="CWD138" s="422"/>
      <c r="CWE138" s="422"/>
      <c r="CWF138" s="422"/>
      <c r="CWG138" s="422"/>
      <c r="CWH138" s="422"/>
      <c r="CWI138" s="422"/>
      <c r="CWJ138" s="422"/>
      <c r="CWK138" s="422"/>
      <c r="CWL138" s="422"/>
      <c r="CWM138" s="422"/>
      <c r="CWN138" s="422"/>
      <c r="CWO138" s="422"/>
      <c r="CWP138" s="422"/>
      <c r="CWQ138" s="422"/>
      <c r="CWR138" s="422"/>
      <c r="CWS138" s="422"/>
      <c r="CWT138" s="422"/>
      <c r="CWU138" s="422"/>
      <c r="CWV138" s="422"/>
      <c r="CWW138" s="422"/>
      <c r="CWX138" s="422"/>
      <c r="CWY138" s="422"/>
      <c r="CWZ138" s="422"/>
      <c r="CXA138" s="422"/>
      <c r="CXB138" s="422"/>
      <c r="CXC138" s="422"/>
      <c r="CXD138" s="422"/>
      <c r="CXE138" s="422"/>
      <c r="CXF138" s="422"/>
      <c r="CXG138" s="422"/>
      <c r="CXH138" s="422"/>
      <c r="CXI138" s="422"/>
      <c r="CXJ138" s="422"/>
      <c r="CXK138" s="422"/>
      <c r="CXL138" s="422"/>
      <c r="CXM138" s="422"/>
      <c r="CXN138" s="422"/>
      <c r="CXO138" s="422"/>
      <c r="CXP138" s="422"/>
      <c r="CXQ138" s="422"/>
      <c r="CXR138" s="422"/>
      <c r="CXS138" s="422"/>
      <c r="CXT138" s="422"/>
      <c r="CXU138" s="422"/>
      <c r="CXV138" s="422"/>
      <c r="CXW138" s="422"/>
      <c r="CXX138" s="422"/>
      <c r="CXY138" s="422"/>
      <c r="CXZ138" s="422"/>
      <c r="CYA138" s="422"/>
      <c r="CYB138" s="422"/>
      <c r="CYC138" s="422"/>
      <c r="CYD138" s="422"/>
      <c r="CYE138" s="422"/>
      <c r="CYF138" s="422"/>
      <c r="CYG138" s="422"/>
      <c r="CYH138" s="422"/>
      <c r="CYI138" s="422"/>
      <c r="CYJ138" s="422"/>
      <c r="CYK138" s="422"/>
      <c r="CYL138" s="422"/>
      <c r="CYM138" s="422"/>
      <c r="CYN138" s="422"/>
      <c r="CYO138" s="422"/>
      <c r="CYP138" s="422"/>
      <c r="CYQ138" s="422"/>
      <c r="CYR138" s="422"/>
      <c r="CYS138" s="422"/>
      <c r="CYT138" s="422"/>
      <c r="CYU138" s="422"/>
      <c r="CYV138" s="422"/>
      <c r="CYW138" s="422"/>
      <c r="CYX138" s="422"/>
      <c r="CYY138" s="422"/>
      <c r="CYZ138" s="422"/>
      <c r="CZA138" s="422"/>
      <c r="CZB138" s="422"/>
      <c r="CZC138" s="422"/>
      <c r="CZD138" s="422"/>
      <c r="CZE138" s="422"/>
      <c r="CZF138" s="422"/>
      <c r="CZG138" s="422"/>
      <c r="CZH138" s="422"/>
      <c r="CZI138" s="422"/>
      <c r="CZJ138" s="422"/>
      <c r="CZK138" s="422"/>
      <c r="CZL138" s="422"/>
      <c r="CZM138" s="422"/>
      <c r="CZN138" s="422"/>
      <c r="CZO138" s="422"/>
      <c r="CZP138" s="422"/>
      <c r="CZQ138" s="422"/>
      <c r="CZR138" s="422"/>
      <c r="CZS138" s="422"/>
      <c r="CZT138" s="422"/>
      <c r="CZU138" s="422"/>
      <c r="CZV138" s="422"/>
      <c r="CZW138" s="422"/>
      <c r="CZX138" s="422"/>
      <c r="CZY138" s="422"/>
      <c r="CZZ138" s="422"/>
      <c r="DAA138" s="422"/>
      <c r="DAB138" s="422"/>
      <c r="DAC138" s="422"/>
      <c r="DAD138" s="422"/>
      <c r="DAE138" s="422"/>
      <c r="DAF138" s="422"/>
      <c r="DAG138" s="422"/>
      <c r="DAH138" s="422"/>
      <c r="DAI138" s="422"/>
      <c r="DAJ138" s="422"/>
      <c r="DAK138" s="422"/>
      <c r="DAL138" s="422"/>
      <c r="DAM138" s="422"/>
      <c r="DAN138" s="422"/>
      <c r="DAO138" s="422"/>
      <c r="DAP138" s="422"/>
      <c r="DAQ138" s="422"/>
      <c r="DAR138" s="422"/>
      <c r="DAS138" s="422"/>
      <c r="DAT138" s="422"/>
      <c r="DAU138" s="422"/>
      <c r="DAV138" s="422"/>
      <c r="DAW138" s="422"/>
      <c r="DAX138" s="422"/>
      <c r="DAY138" s="422"/>
      <c r="DAZ138" s="422"/>
      <c r="DBA138" s="422"/>
      <c r="DBB138" s="422"/>
      <c r="DBC138" s="422"/>
      <c r="DBD138" s="422"/>
      <c r="DBE138" s="422"/>
      <c r="DBF138" s="422"/>
      <c r="DBG138" s="422"/>
      <c r="DBH138" s="422"/>
      <c r="DBI138" s="422"/>
      <c r="DBJ138" s="422"/>
      <c r="DBK138" s="422"/>
      <c r="DBL138" s="422"/>
      <c r="DBM138" s="422"/>
      <c r="DBN138" s="422"/>
      <c r="DBO138" s="422"/>
      <c r="DBP138" s="422"/>
      <c r="DBQ138" s="422"/>
      <c r="DBR138" s="422"/>
      <c r="DBS138" s="422"/>
      <c r="DBT138" s="422"/>
      <c r="DBU138" s="422"/>
      <c r="DBV138" s="422"/>
      <c r="DBW138" s="422"/>
      <c r="DBX138" s="422"/>
      <c r="DBY138" s="422"/>
      <c r="DBZ138" s="422"/>
      <c r="DCA138" s="422"/>
      <c r="DCB138" s="422"/>
      <c r="DCC138" s="422"/>
      <c r="DCD138" s="422"/>
      <c r="DCE138" s="422"/>
      <c r="DCF138" s="422"/>
      <c r="DCG138" s="422"/>
      <c r="DCH138" s="422"/>
      <c r="DCI138" s="422"/>
      <c r="DCJ138" s="422"/>
      <c r="DCK138" s="422"/>
      <c r="DCL138" s="422"/>
      <c r="DCM138" s="422"/>
      <c r="DCN138" s="422"/>
      <c r="DCO138" s="422"/>
      <c r="DCP138" s="422"/>
      <c r="DCQ138" s="422"/>
      <c r="DCR138" s="422"/>
      <c r="DCS138" s="422"/>
      <c r="DCT138" s="422"/>
      <c r="DCU138" s="422"/>
      <c r="DCV138" s="422"/>
      <c r="DCW138" s="422"/>
      <c r="DCX138" s="422"/>
      <c r="DCY138" s="422"/>
      <c r="DCZ138" s="422"/>
      <c r="DDA138" s="422"/>
      <c r="DDB138" s="422"/>
      <c r="DDC138" s="422"/>
      <c r="DDD138" s="422"/>
      <c r="DDE138" s="422"/>
      <c r="DDF138" s="422"/>
      <c r="DDG138" s="422"/>
      <c r="DDH138" s="422"/>
      <c r="DDI138" s="422"/>
      <c r="DDJ138" s="422"/>
      <c r="DDK138" s="422"/>
      <c r="DDL138" s="422"/>
      <c r="DDM138" s="422"/>
      <c r="DDN138" s="422"/>
      <c r="DDO138" s="422"/>
      <c r="DDP138" s="422"/>
      <c r="DDQ138" s="422"/>
      <c r="DDR138" s="422"/>
      <c r="DDS138" s="422"/>
      <c r="DDT138" s="422"/>
      <c r="DDU138" s="422"/>
      <c r="DDV138" s="422"/>
      <c r="DDW138" s="422"/>
      <c r="DDX138" s="422"/>
      <c r="DDY138" s="422"/>
      <c r="DDZ138" s="422"/>
      <c r="DEA138" s="422"/>
      <c r="DEB138" s="422"/>
      <c r="DEC138" s="422"/>
      <c r="DED138" s="422"/>
      <c r="DEE138" s="422"/>
      <c r="DEF138" s="422"/>
      <c r="DEG138" s="422"/>
      <c r="DEH138" s="422"/>
      <c r="DEI138" s="422"/>
      <c r="DEJ138" s="422"/>
      <c r="DEK138" s="422"/>
      <c r="DEL138" s="422"/>
      <c r="DEM138" s="422"/>
      <c r="DEN138" s="422"/>
      <c r="DEO138" s="422"/>
      <c r="DEP138" s="422"/>
      <c r="DEQ138" s="422"/>
      <c r="DER138" s="422"/>
      <c r="DES138" s="422"/>
      <c r="DET138" s="422"/>
      <c r="DEU138" s="422"/>
      <c r="DEV138" s="422"/>
      <c r="DEW138" s="422"/>
      <c r="DEX138" s="422"/>
      <c r="DEY138" s="422"/>
      <c r="DEZ138" s="422"/>
      <c r="DFA138" s="422"/>
      <c r="DFB138" s="422"/>
      <c r="DFC138" s="422"/>
      <c r="DFD138" s="422"/>
      <c r="DFE138" s="422"/>
      <c r="DFF138" s="422"/>
      <c r="DFG138" s="422"/>
      <c r="DFH138" s="422"/>
      <c r="DFI138" s="422"/>
      <c r="DFJ138" s="422"/>
      <c r="DFK138" s="422"/>
      <c r="DFL138" s="422"/>
      <c r="DFM138" s="422"/>
      <c r="DFN138" s="422"/>
      <c r="DFO138" s="422"/>
      <c r="DFP138" s="422"/>
      <c r="DFQ138" s="422"/>
      <c r="DFR138" s="422"/>
      <c r="DFS138" s="422"/>
      <c r="DFT138" s="422"/>
      <c r="DFU138" s="422"/>
      <c r="DFV138" s="422"/>
      <c r="DFW138" s="422"/>
      <c r="DFX138" s="422"/>
      <c r="DFY138" s="422"/>
      <c r="DFZ138" s="422"/>
      <c r="DGA138" s="422"/>
      <c r="DGB138" s="422"/>
      <c r="DGC138" s="422"/>
      <c r="DGD138" s="422"/>
      <c r="DGE138" s="422"/>
      <c r="DGF138" s="422"/>
      <c r="DGG138" s="422"/>
      <c r="DGH138" s="422"/>
      <c r="DGI138" s="422"/>
      <c r="DGJ138" s="422"/>
      <c r="DGK138" s="422"/>
      <c r="DGL138" s="422"/>
      <c r="DGM138" s="422"/>
      <c r="DGN138" s="422"/>
      <c r="DGO138" s="422"/>
      <c r="DGP138" s="422"/>
      <c r="DGQ138" s="422"/>
      <c r="DGR138" s="422"/>
      <c r="DGS138" s="422"/>
      <c r="DGT138" s="422"/>
      <c r="DGU138" s="422"/>
      <c r="DGV138" s="422"/>
      <c r="DGW138" s="422"/>
      <c r="DGX138" s="422"/>
      <c r="DGY138" s="422"/>
      <c r="DGZ138" s="422"/>
      <c r="DHA138" s="422"/>
      <c r="DHB138" s="422"/>
      <c r="DHC138" s="422"/>
      <c r="DHD138" s="422"/>
      <c r="DHE138" s="422"/>
      <c r="DHF138" s="422"/>
      <c r="DHG138" s="422"/>
      <c r="DHH138" s="422"/>
      <c r="DHI138" s="422"/>
      <c r="DHJ138" s="422"/>
      <c r="DHK138" s="422"/>
      <c r="DHL138" s="422"/>
      <c r="DHM138" s="422"/>
      <c r="DHN138" s="422"/>
      <c r="DHO138" s="422"/>
      <c r="DHP138" s="422"/>
      <c r="DHQ138" s="422"/>
      <c r="DHR138" s="422"/>
      <c r="DHS138" s="422"/>
      <c r="DHT138" s="422"/>
      <c r="DHU138" s="422"/>
      <c r="DHV138" s="422"/>
      <c r="DHW138" s="422"/>
      <c r="DHX138" s="422"/>
      <c r="DHY138" s="422"/>
      <c r="DHZ138" s="422"/>
      <c r="DIA138" s="422"/>
      <c r="DIB138" s="422"/>
      <c r="DIC138" s="422"/>
      <c r="DID138" s="422"/>
      <c r="DIE138" s="422"/>
      <c r="DIF138" s="422"/>
      <c r="DIG138" s="422"/>
      <c r="DIH138" s="422"/>
      <c r="DII138" s="422"/>
      <c r="DIJ138" s="422"/>
      <c r="DIK138" s="422"/>
      <c r="DIL138" s="422"/>
      <c r="DIM138" s="422"/>
      <c r="DIN138" s="422"/>
      <c r="DIO138" s="422"/>
      <c r="DIP138" s="422"/>
      <c r="DIQ138" s="422"/>
      <c r="DIR138" s="422"/>
      <c r="DIS138" s="422"/>
      <c r="DIT138" s="422"/>
      <c r="DIU138" s="422"/>
      <c r="DIV138" s="422"/>
      <c r="DIW138" s="422"/>
      <c r="DIX138" s="422"/>
      <c r="DIY138" s="422"/>
      <c r="DIZ138" s="422"/>
      <c r="DJA138" s="422"/>
      <c r="DJB138" s="422"/>
      <c r="DJC138" s="422"/>
      <c r="DJD138" s="422"/>
      <c r="DJE138" s="422"/>
      <c r="DJF138" s="422"/>
      <c r="DJG138" s="422"/>
      <c r="DJH138" s="422"/>
      <c r="DJI138" s="422"/>
      <c r="DJJ138" s="422"/>
      <c r="DJK138" s="422"/>
      <c r="DJL138" s="422"/>
      <c r="DJM138" s="422"/>
      <c r="DJN138" s="422"/>
      <c r="DJO138" s="422"/>
      <c r="DJP138" s="422"/>
      <c r="DJQ138" s="422"/>
      <c r="DJR138" s="422"/>
      <c r="DJS138" s="422"/>
      <c r="DJT138" s="422"/>
      <c r="DJU138" s="422"/>
      <c r="DJV138" s="422"/>
      <c r="DJW138" s="422"/>
      <c r="DJX138" s="422"/>
      <c r="DJY138" s="422"/>
      <c r="DJZ138" s="422"/>
      <c r="DKA138" s="422"/>
      <c r="DKB138" s="422"/>
      <c r="DKC138" s="422"/>
      <c r="DKD138" s="422"/>
      <c r="DKE138" s="422"/>
      <c r="DKF138" s="422"/>
      <c r="DKG138" s="422"/>
      <c r="DKH138" s="422"/>
      <c r="DKI138" s="422"/>
      <c r="DKJ138" s="422"/>
      <c r="DKK138" s="422"/>
      <c r="DKL138" s="422"/>
      <c r="DKM138" s="422"/>
      <c r="DKN138" s="422"/>
      <c r="DKO138" s="422"/>
      <c r="DKP138" s="422"/>
      <c r="DKQ138" s="422"/>
      <c r="DKR138" s="422"/>
      <c r="DKS138" s="422"/>
      <c r="DKT138" s="422"/>
      <c r="DKU138" s="422"/>
      <c r="DKV138" s="422"/>
      <c r="DKW138" s="422"/>
      <c r="DKX138" s="422"/>
      <c r="DKY138" s="422"/>
      <c r="DKZ138" s="422"/>
      <c r="DLA138" s="422"/>
      <c r="DLB138" s="422"/>
      <c r="DLC138" s="422"/>
      <c r="DLD138" s="422"/>
      <c r="DLE138" s="422"/>
      <c r="DLF138" s="422"/>
      <c r="DLG138" s="422"/>
      <c r="DLH138" s="422"/>
      <c r="DLI138" s="422"/>
      <c r="DLJ138" s="422"/>
      <c r="DLK138" s="422"/>
      <c r="DLL138" s="422"/>
      <c r="DLM138" s="422"/>
      <c r="DLN138" s="422"/>
      <c r="DLO138" s="422"/>
      <c r="DLP138" s="422"/>
      <c r="DLQ138" s="422"/>
      <c r="DLR138" s="422"/>
      <c r="DLS138" s="422"/>
      <c r="DLT138" s="422"/>
      <c r="DLU138" s="422"/>
      <c r="DLV138" s="422"/>
      <c r="DLW138" s="422"/>
      <c r="DLX138" s="422"/>
      <c r="DLY138" s="422"/>
      <c r="DLZ138" s="422"/>
      <c r="DMA138" s="422"/>
      <c r="DMB138" s="422"/>
      <c r="DMC138" s="422"/>
      <c r="DMD138" s="422"/>
      <c r="DME138" s="422"/>
      <c r="DMF138" s="422"/>
      <c r="DMG138" s="422"/>
      <c r="DMH138" s="422"/>
      <c r="DMI138" s="422"/>
      <c r="DMJ138" s="422"/>
      <c r="DMK138" s="422"/>
      <c r="DML138" s="422"/>
      <c r="DMM138" s="422"/>
      <c r="DMN138" s="422"/>
      <c r="DMO138" s="422"/>
      <c r="DMP138" s="422"/>
      <c r="DMQ138" s="422"/>
      <c r="DMR138" s="422"/>
      <c r="DMS138" s="422"/>
      <c r="DMT138" s="422"/>
      <c r="DMU138" s="422"/>
      <c r="DMV138" s="422"/>
      <c r="DMW138" s="422"/>
      <c r="DMX138" s="422"/>
      <c r="DMY138" s="422"/>
      <c r="DMZ138" s="422"/>
      <c r="DNA138" s="422"/>
      <c r="DNB138" s="422"/>
      <c r="DNC138" s="422"/>
      <c r="DND138" s="422"/>
      <c r="DNE138" s="422"/>
      <c r="DNF138" s="422"/>
      <c r="DNG138" s="422"/>
      <c r="DNH138" s="422"/>
      <c r="DNI138" s="422"/>
      <c r="DNJ138" s="422"/>
      <c r="DNK138" s="422"/>
      <c r="DNL138" s="422"/>
      <c r="DNM138" s="422"/>
      <c r="DNN138" s="422"/>
      <c r="DNO138" s="422"/>
      <c r="DNP138" s="422"/>
      <c r="DNQ138" s="422"/>
      <c r="DNR138" s="422"/>
      <c r="DNS138" s="422"/>
      <c r="DNT138" s="422"/>
      <c r="DNU138" s="422"/>
      <c r="DNV138" s="422"/>
      <c r="DNW138" s="422"/>
      <c r="DNX138" s="422"/>
      <c r="DNY138" s="422"/>
      <c r="DNZ138" s="422"/>
      <c r="DOA138" s="422"/>
      <c r="DOB138" s="422"/>
      <c r="DOC138" s="422"/>
      <c r="DOD138" s="422"/>
      <c r="DOE138" s="422"/>
      <c r="DOF138" s="422"/>
      <c r="DOG138" s="422"/>
      <c r="DOH138" s="422"/>
      <c r="DOI138" s="422"/>
      <c r="DOJ138" s="422"/>
      <c r="DOK138" s="422"/>
      <c r="DOL138" s="422"/>
      <c r="DOM138" s="422"/>
      <c r="DON138" s="422"/>
      <c r="DOO138" s="422"/>
      <c r="DOP138" s="422"/>
      <c r="DOQ138" s="422"/>
      <c r="DOR138" s="422"/>
      <c r="DOS138" s="422"/>
      <c r="DOT138" s="422"/>
      <c r="DOU138" s="422"/>
      <c r="DOV138" s="422"/>
      <c r="DOW138" s="422"/>
      <c r="DOX138" s="422"/>
      <c r="DOY138" s="422"/>
      <c r="DOZ138" s="422"/>
      <c r="DPA138" s="422"/>
      <c r="DPB138" s="422"/>
      <c r="DPC138" s="422"/>
      <c r="DPD138" s="422"/>
      <c r="DPE138" s="422"/>
      <c r="DPF138" s="422"/>
      <c r="DPG138" s="422"/>
      <c r="DPH138" s="422"/>
      <c r="DPI138" s="422"/>
      <c r="DPJ138" s="422"/>
      <c r="DPK138" s="422"/>
      <c r="DPL138" s="422"/>
      <c r="DPM138" s="422"/>
      <c r="DPN138" s="422"/>
      <c r="DPO138" s="422"/>
      <c r="DPP138" s="422"/>
      <c r="DPQ138" s="422"/>
      <c r="DPR138" s="422"/>
      <c r="DPS138" s="422"/>
      <c r="DPT138" s="422"/>
      <c r="DPU138" s="422"/>
      <c r="DPV138" s="422"/>
      <c r="DPW138" s="422"/>
      <c r="DPX138" s="422"/>
      <c r="DPY138" s="422"/>
      <c r="DPZ138" s="422"/>
      <c r="DQA138" s="422"/>
      <c r="DQB138" s="422"/>
      <c r="DQC138" s="422"/>
      <c r="DQD138" s="422"/>
      <c r="DQE138" s="422"/>
      <c r="DQF138" s="422"/>
      <c r="DQG138" s="422"/>
      <c r="DQH138" s="422"/>
      <c r="DQI138" s="422"/>
      <c r="DQJ138" s="422"/>
      <c r="DQK138" s="422"/>
      <c r="DQL138" s="422"/>
      <c r="DQM138" s="422"/>
      <c r="DQN138" s="422"/>
      <c r="DQO138" s="422"/>
      <c r="DQP138" s="422"/>
      <c r="DQQ138" s="422"/>
      <c r="DQR138" s="422"/>
      <c r="DQS138" s="422"/>
      <c r="DQT138" s="422"/>
      <c r="DQU138" s="422"/>
      <c r="DQV138" s="422"/>
      <c r="DQW138" s="422"/>
      <c r="DQX138" s="422"/>
      <c r="DQY138" s="422"/>
      <c r="DQZ138" s="422"/>
      <c r="DRA138" s="422"/>
      <c r="DRB138" s="422"/>
      <c r="DRC138" s="422"/>
      <c r="DRD138" s="422"/>
      <c r="DRE138" s="422"/>
      <c r="DRF138" s="422"/>
      <c r="DRG138" s="422"/>
      <c r="DRH138" s="422"/>
      <c r="DRI138" s="422"/>
      <c r="DRJ138" s="422"/>
      <c r="DRK138" s="422"/>
      <c r="DRL138" s="422"/>
      <c r="DRM138" s="422"/>
      <c r="DRN138" s="422"/>
      <c r="DRO138" s="422"/>
      <c r="DRP138" s="422"/>
      <c r="DRQ138" s="422"/>
      <c r="DRR138" s="422"/>
      <c r="DRS138" s="422"/>
      <c r="DRT138" s="422"/>
      <c r="DRU138" s="422"/>
      <c r="DRV138" s="422"/>
      <c r="DRW138" s="422"/>
      <c r="DRX138" s="422"/>
      <c r="DRY138" s="422"/>
      <c r="DRZ138" s="422"/>
      <c r="DSA138" s="422"/>
      <c r="DSB138" s="422"/>
      <c r="DSC138" s="422"/>
      <c r="DSD138" s="422"/>
      <c r="DSE138" s="422"/>
      <c r="DSF138" s="422"/>
      <c r="DSG138" s="422"/>
      <c r="DSH138" s="422"/>
      <c r="DSI138" s="422"/>
      <c r="DSJ138" s="422"/>
      <c r="DSK138" s="422"/>
      <c r="DSL138" s="422"/>
      <c r="DSM138" s="422"/>
      <c r="DSN138" s="422"/>
      <c r="DSO138" s="422"/>
      <c r="DSP138" s="422"/>
      <c r="DSQ138" s="422"/>
      <c r="DSR138" s="422"/>
      <c r="DSS138" s="422"/>
      <c r="DST138" s="422"/>
      <c r="DSU138" s="422"/>
      <c r="DSV138" s="422"/>
      <c r="DSW138" s="422"/>
      <c r="DSX138" s="422"/>
      <c r="DSY138" s="422"/>
      <c r="DSZ138" s="422"/>
      <c r="DTA138" s="422"/>
      <c r="DTB138" s="422"/>
      <c r="DTC138" s="422"/>
      <c r="DTD138" s="422"/>
      <c r="DTE138" s="422"/>
      <c r="DTF138" s="422"/>
      <c r="DTG138" s="422"/>
      <c r="DTH138" s="422"/>
      <c r="DTI138" s="422"/>
      <c r="DTJ138" s="422"/>
      <c r="DTK138" s="422"/>
      <c r="DTL138" s="422"/>
      <c r="DTM138" s="422"/>
      <c r="DTN138" s="422"/>
      <c r="DTO138" s="422"/>
      <c r="DTP138" s="422"/>
      <c r="DTQ138" s="422"/>
      <c r="DTR138" s="422"/>
      <c r="DTS138" s="422"/>
      <c r="DTT138" s="422"/>
      <c r="DTU138" s="422"/>
      <c r="DTV138" s="422"/>
      <c r="DTW138" s="422"/>
      <c r="DTX138" s="422"/>
      <c r="DTY138" s="422"/>
      <c r="DTZ138" s="422"/>
      <c r="DUA138" s="422"/>
      <c r="DUB138" s="422"/>
      <c r="DUC138" s="422"/>
      <c r="DUD138" s="422"/>
      <c r="DUE138" s="422"/>
      <c r="DUF138" s="422"/>
      <c r="DUG138" s="422"/>
      <c r="DUH138" s="422"/>
      <c r="DUI138" s="422"/>
      <c r="DUJ138" s="422"/>
      <c r="DUK138" s="422"/>
      <c r="DUL138" s="422"/>
      <c r="DUM138" s="422"/>
      <c r="DUN138" s="422"/>
      <c r="DUO138" s="422"/>
      <c r="DUP138" s="422"/>
      <c r="DUQ138" s="422"/>
      <c r="DUR138" s="422"/>
      <c r="DUS138" s="422"/>
      <c r="DUT138" s="422"/>
      <c r="DUU138" s="422"/>
      <c r="DUV138" s="422"/>
      <c r="DUW138" s="422"/>
      <c r="DUX138" s="422"/>
      <c r="DUY138" s="422"/>
      <c r="DUZ138" s="422"/>
      <c r="DVA138" s="422"/>
      <c r="DVB138" s="422"/>
      <c r="DVC138" s="422"/>
      <c r="DVD138" s="422"/>
      <c r="DVE138" s="422"/>
      <c r="DVF138" s="422"/>
      <c r="DVG138" s="422"/>
      <c r="DVH138" s="422"/>
      <c r="DVI138" s="422"/>
      <c r="DVJ138" s="422"/>
      <c r="DVK138" s="422"/>
      <c r="DVL138" s="422"/>
      <c r="DVM138" s="422"/>
      <c r="DVN138" s="422"/>
      <c r="DVO138" s="422"/>
      <c r="DVP138" s="422"/>
      <c r="DVQ138" s="422"/>
      <c r="DVR138" s="422"/>
      <c r="DVS138" s="422"/>
      <c r="DVT138" s="422"/>
      <c r="DVU138" s="422"/>
      <c r="DVV138" s="422"/>
      <c r="DVW138" s="422"/>
      <c r="DVX138" s="422"/>
      <c r="DVY138" s="422"/>
      <c r="DVZ138" s="422"/>
      <c r="DWA138" s="422"/>
      <c r="DWB138" s="422"/>
      <c r="DWC138" s="422"/>
      <c r="DWD138" s="422"/>
      <c r="DWE138" s="422"/>
      <c r="DWF138" s="422"/>
      <c r="DWG138" s="422"/>
      <c r="DWH138" s="422"/>
      <c r="DWI138" s="422"/>
      <c r="DWJ138" s="422"/>
      <c r="DWK138" s="422"/>
      <c r="DWL138" s="422"/>
      <c r="DWM138" s="422"/>
      <c r="DWN138" s="422"/>
      <c r="DWO138" s="422"/>
      <c r="DWP138" s="422"/>
      <c r="DWQ138" s="422"/>
      <c r="DWR138" s="422"/>
      <c r="DWS138" s="422"/>
      <c r="DWT138" s="422"/>
      <c r="DWU138" s="422"/>
      <c r="DWV138" s="422"/>
      <c r="DWW138" s="422"/>
      <c r="DWX138" s="422"/>
      <c r="DWY138" s="422"/>
      <c r="DWZ138" s="422"/>
      <c r="DXA138" s="422"/>
      <c r="DXB138" s="422"/>
      <c r="DXC138" s="422"/>
      <c r="DXD138" s="422"/>
      <c r="DXE138" s="422"/>
      <c r="DXF138" s="422"/>
      <c r="DXG138" s="422"/>
      <c r="DXH138" s="422"/>
      <c r="DXI138" s="422"/>
      <c r="DXJ138" s="422"/>
      <c r="DXK138" s="422"/>
      <c r="DXL138" s="422"/>
      <c r="DXM138" s="422"/>
      <c r="DXN138" s="422"/>
      <c r="DXO138" s="422"/>
      <c r="DXP138" s="422"/>
      <c r="DXQ138" s="422"/>
      <c r="DXR138" s="422"/>
      <c r="DXS138" s="422"/>
      <c r="DXT138" s="422"/>
      <c r="DXU138" s="422"/>
      <c r="DXV138" s="422"/>
      <c r="DXW138" s="422"/>
      <c r="DXX138" s="422"/>
      <c r="DXY138" s="422"/>
      <c r="DXZ138" s="422"/>
      <c r="DYA138" s="422"/>
      <c r="DYB138" s="422"/>
      <c r="DYC138" s="422"/>
      <c r="DYD138" s="422"/>
      <c r="DYE138" s="422"/>
      <c r="DYF138" s="422"/>
      <c r="DYG138" s="422"/>
      <c r="DYH138" s="422"/>
      <c r="DYI138" s="422"/>
      <c r="DYJ138" s="422"/>
      <c r="DYK138" s="422"/>
      <c r="DYL138" s="422"/>
      <c r="DYM138" s="422"/>
      <c r="DYN138" s="422"/>
      <c r="DYO138" s="422"/>
      <c r="DYP138" s="422"/>
      <c r="DYQ138" s="422"/>
      <c r="DYR138" s="422"/>
      <c r="DYS138" s="422"/>
      <c r="DYT138" s="422"/>
      <c r="DYU138" s="422"/>
      <c r="DYV138" s="422"/>
      <c r="DYW138" s="422"/>
      <c r="DYX138" s="422"/>
      <c r="DYY138" s="422"/>
      <c r="DYZ138" s="422"/>
      <c r="DZA138" s="422"/>
      <c r="DZB138" s="422"/>
      <c r="DZC138" s="422"/>
      <c r="DZD138" s="422"/>
      <c r="DZE138" s="422"/>
      <c r="DZF138" s="422"/>
      <c r="DZG138" s="422"/>
      <c r="DZH138" s="422"/>
      <c r="DZI138" s="422"/>
      <c r="DZJ138" s="422"/>
      <c r="DZK138" s="422"/>
      <c r="DZL138" s="422"/>
      <c r="DZM138" s="422"/>
      <c r="DZN138" s="422"/>
      <c r="DZO138" s="422"/>
      <c r="DZP138" s="422"/>
      <c r="DZQ138" s="422"/>
      <c r="DZR138" s="422"/>
      <c r="DZS138" s="422"/>
      <c r="DZT138" s="422"/>
      <c r="DZU138" s="422"/>
      <c r="DZV138" s="422"/>
      <c r="DZW138" s="422"/>
      <c r="DZX138" s="422"/>
      <c r="DZY138" s="422"/>
      <c r="DZZ138" s="422"/>
      <c r="EAA138" s="422"/>
      <c r="EAB138" s="422"/>
      <c r="EAC138" s="422"/>
      <c r="EAD138" s="422"/>
      <c r="EAE138" s="422"/>
      <c r="EAF138" s="422"/>
      <c r="EAG138" s="422"/>
      <c r="EAH138" s="422"/>
      <c r="EAI138" s="422"/>
      <c r="EAJ138" s="422"/>
      <c r="EAK138" s="422"/>
      <c r="EAL138" s="422"/>
      <c r="EAM138" s="422"/>
      <c r="EAN138" s="422"/>
      <c r="EAO138" s="422"/>
      <c r="EAP138" s="422"/>
      <c r="EAQ138" s="422"/>
      <c r="EAR138" s="422"/>
      <c r="EAS138" s="422"/>
      <c r="EAT138" s="422"/>
      <c r="EAU138" s="422"/>
      <c r="EAV138" s="422"/>
      <c r="EAW138" s="422"/>
      <c r="EAX138" s="422"/>
      <c r="EAY138" s="422"/>
      <c r="EAZ138" s="422"/>
      <c r="EBA138" s="422"/>
      <c r="EBB138" s="422"/>
      <c r="EBC138" s="422"/>
      <c r="EBD138" s="422"/>
      <c r="EBE138" s="422"/>
      <c r="EBF138" s="422"/>
      <c r="EBG138" s="422"/>
      <c r="EBH138" s="422"/>
      <c r="EBI138" s="422"/>
      <c r="EBJ138" s="422"/>
      <c r="EBK138" s="422"/>
      <c r="EBL138" s="422"/>
      <c r="EBM138" s="422"/>
      <c r="EBN138" s="422"/>
      <c r="EBO138" s="422"/>
      <c r="EBP138" s="422"/>
      <c r="EBQ138" s="422"/>
      <c r="EBR138" s="422"/>
      <c r="EBS138" s="422"/>
      <c r="EBT138" s="422"/>
      <c r="EBU138" s="422"/>
      <c r="EBV138" s="422"/>
      <c r="EBW138" s="422"/>
      <c r="EBX138" s="422"/>
      <c r="EBY138" s="422"/>
      <c r="EBZ138" s="422"/>
      <c r="ECA138" s="422"/>
      <c r="ECB138" s="422"/>
      <c r="ECC138" s="422"/>
      <c r="ECD138" s="422"/>
      <c r="ECE138" s="422"/>
      <c r="ECF138" s="422"/>
      <c r="ECG138" s="422"/>
      <c r="ECH138" s="422"/>
      <c r="ECI138" s="422"/>
      <c r="ECJ138" s="422"/>
      <c r="ECK138" s="422"/>
      <c r="ECL138" s="422"/>
      <c r="ECM138" s="422"/>
      <c r="ECN138" s="422"/>
      <c r="ECO138" s="422"/>
      <c r="ECP138" s="422"/>
      <c r="ECQ138" s="422"/>
      <c r="ECR138" s="422"/>
      <c r="ECS138" s="422"/>
      <c r="ECT138" s="422"/>
      <c r="ECU138" s="422"/>
      <c r="ECV138" s="422"/>
      <c r="ECW138" s="422"/>
      <c r="ECX138" s="422"/>
      <c r="ECY138" s="422"/>
      <c r="ECZ138" s="422"/>
      <c r="EDA138" s="422"/>
      <c r="EDB138" s="422"/>
      <c r="EDC138" s="422"/>
      <c r="EDD138" s="422"/>
      <c r="EDE138" s="422"/>
      <c r="EDF138" s="422"/>
      <c r="EDG138" s="422"/>
      <c r="EDH138" s="422"/>
      <c r="EDI138" s="422"/>
      <c r="EDJ138" s="422"/>
      <c r="EDK138" s="422"/>
      <c r="EDL138" s="422"/>
      <c r="EDM138" s="422"/>
      <c r="EDN138" s="422"/>
      <c r="EDO138" s="422"/>
      <c r="EDP138" s="422"/>
      <c r="EDQ138" s="422"/>
      <c r="EDR138" s="422"/>
      <c r="EDS138" s="422"/>
      <c r="EDT138" s="422"/>
      <c r="EDU138" s="422"/>
      <c r="EDV138" s="422"/>
      <c r="EDW138" s="422"/>
      <c r="EDX138" s="422"/>
      <c r="EDY138" s="422"/>
      <c r="EDZ138" s="422"/>
      <c r="EEA138" s="422"/>
      <c r="EEB138" s="422"/>
      <c r="EEC138" s="422"/>
      <c r="EED138" s="422"/>
      <c r="EEE138" s="422"/>
      <c r="EEF138" s="422"/>
      <c r="EEG138" s="422"/>
      <c r="EEH138" s="422"/>
      <c r="EEI138" s="422"/>
      <c r="EEJ138" s="422"/>
      <c r="EEK138" s="422"/>
      <c r="EEL138" s="422"/>
      <c r="EEM138" s="422"/>
      <c r="EEN138" s="422"/>
      <c r="EEO138" s="422"/>
      <c r="EEP138" s="422"/>
      <c r="EEQ138" s="422"/>
      <c r="EER138" s="422"/>
      <c r="EES138" s="422"/>
      <c r="EET138" s="422"/>
      <c r="EEU138" s="422"/>
      <c r="EEV138" s="422"/>
      <c r="EEW138" s="422"/>
      <c r="EEX138" s="422"/>
      <c r="EEY138" s="422"/>
      <c r="EEZ138" s="422"/>
      <c r="EFA138" s="422"/>
      <c r="EFB138" s="422"/>
      <c r="EFC138" s="422"/>
      <c r="EFD138" s="422"/>
      <c r="EFE138" s="422"/>
      <c r="EFF138" s="422"/>
      <c r="EFG138" s="422"/>
      <c r="EFH138" s="422"/>
      <c r="EFI138" s="422"/>
      <c r="EFJ138" s="422"/>
      <c r="EFK138" s="422"/>
      <c r="EFL138" s="422"/>
      <c r="EFM138" s="422"/>
      <c r="EFN138" s="422"/>
      <c r="EFO138" s="422"/>
      <c r="EFP138" s="422"/>
      <c r="EFQ138" s="422"/>
      <c r="EFR138" s="422"/>
      <c r="EFS138" s="422"/>
      <c r="EFT138" s="422"/>
      <c r="EFU138" s="422"/>
      <c r="EFV138" s="422"/>
      <c r="EFW138" s="422"/>
      <c r="EFX138" s="422"/>
      <c r="EFY138" s="422"/>
      <c r="EFZ138" s="422"/>
      <c r="EGA138" s="422"/>
      <c r="EGB138" s="422"/>
      <c r="EGC138" s="422"/>
      <c r="EGD138" s="422"/>
      <c r="EGE138" s="422"/>
      <c r="EGF138" s="422"/>
      <c r="EGG138" s="422"/>
      <c r="EGH138" s="422"/>
      <c r="EGI138" s="422"/>
      <c r="EGJ138" s="422"/>
      <c r="EGK138" s="422"/>
      <c r="EGL138" s="422"/>
      <c r="EGM138" s="422"/>
      <c r="EGN138" s="422"/>
      <c r="EGO138" s="422"/>
      <c r="EGP138" s="422"/>
      <c r="EGQ138" s="422"/>
      <c r="EGR138" s="422"/>
      <c r="EGS138" s="422"/>
      <c r="EGT138" s="422"/>
      <c r="EGU138" s="422"/>
      <c r="EGV138" s="422"/>
      <c r="EGW138" s="422"/>
      <c r="EGX138" s="422"/>
      <c r="EGY138" s="422"/>
      <c r="EGZ138" s="422"/>
      <c r="EHA138" s="422"/>
      <c r="EHB138" s="422"/>
      <c r="EHC138" s="422"/>
      <c r="EHD138" s="422"/>
      <c r="EHE138" s="422"/>
      <c r="EHF138" s="422"/>
      <c r="EHG138" s="422"/>
      <c r="EHH138" s="422"/>
      <c r="EHI138" s="422"/>
      <c r="EHJ138" s="422"/>
      <c r="EHK138" s="422"/>
      <c r="EHL138" s="422"/>
      <c r="EHM138" s="422"/>
      <c r="EHN138" s="422"/>
      <c r="EHO138" s="422"/>
      <c r="EHP138" s="422"/>
      <c r="EHQ138" s="422"/>
      <c r="EHR138" s="422"/>
      <c r="EHS138" s="422"/>
      <c r="EHT138" s="422"/>
      <c r="EHU138" s="422"/>
      <c r="EHV138" s="422"/>
      <c r="EHW138" s="422"/>
      <c r="EHX138" s="422"/>
      <c r="EHY138" s="422"/>
      <c r="EHZ138" s="422"/>
      <c r="EIA138" s="422"/>
      <c r="EIB138" s="422"/>
      <c r="EIC138" s="422"/>
      <c r="EID138" s="422"/>
      <c r="EIE138" s="422"/>
      <c r="EIF138" s="422"/>
      <c r="EIG138" s="422"/>
      <c r="EIH138" s="422"/>
      <c r="EII138" s="422"/>
      <c r="EIJ138" s="422"/>
      <c r="EIK138" s="422"/>
      <c r="EIL138" s="422"/>
      <c r="EIM138" s="422"/>
      <c r="EIN138" s="422"/>
      <c r="EIO138" s="422"/>
      <c r="EIP138" s="422"/>
      <c r="EIQ138" s="422"/>
      <c r="EIR138" s="422"/>
      <c r="EIS138" s="422"/>
      <c r="EIT138" s="422"/>
      <c r="EIU138" s="422"/>
      <c r="EIV138" s="422"/>
      <c r="EIW138" s="422"/>
      <c r="EIX138" s="422"/>
      <c r="EIY138" s="422"/>
      <c r="EIZ138" s="422"/>
      <c r="EJA138" s="422"/>
      <c r="EJB138" s="422"/>
      <c r="EJC138" s="422"/>
      <c r="EJD138" s="422"/>
      <c r="EJE138" s="422"/>
      <c r="EJF138" s="422"/>
      <c r="EJG138" s="422"/>
      <c r="EJH138" s="422"/>
      <c r="EJI138" s="422"/>
      <c r="EJJ138" s="422"/>
      <c r="EJK138" s="422"/>
      <c r="EJL138" s="422"/>
      <c r="EJM138" s="422"/>
      <c r="EJN138" s="422"/>
      <c r="EJO138" s="422"/>
      <c r="EJP138" s="422"/>
      <c r="EJQ138" s="422"/>
      <c r="EJR138" s="422"/>
      <c r="EJS138" s="422"/>
      <c r="EJT138" s="422"/>
      <c r="EJU138" s="422"/>
      <c r="EJV138" s="422"/>
      <c r="EJW138" s="422"/>
      <c r="EJX138" s="422"/>
      <c r="EJY138" s="422"/>
      <c r="EJZ138" s="422"/>
      <c r="EKA138" s="422"/>
      <c r="EKB138" s="422"/>
      <c r="EKC138" s="422"/>
      <c r="EKD138" s="422"/>
      <c r="EKE138" s="422"/>
      <c r="EKF138" s="422"/>
      <c r="EKG138" s="422"/>
      <c r="EKH138" s="422"/>
      <c r="EKI138" s="422"/>
      <c r="EKJ138" s="422"/>
      <c r="EKK138" s="422"/>
      <c r="EKL138" s="422"/>
      <c r="EKM138" s="422"/>
      <c r="EKN138" s="422"/>
      <c r="EKO138" s="422"/>
      <c r="EKP138" s="422"/>
      <c r="EKQ138" s="422"/>
      <c r="EKR138" s="422"/>
      <c r="EKS138" s="422"/>
      <c r="EKT138" s="422"/>
      <c r="EKU138" s="422"/>
      <c r="EKV138" s="422"/>
      <c r="EKW138" s="422"/>
      <c r="EKX138" s="422"/>
      <c r="EKY138" s="422"/>
      <c r="EKZ138" s="422"/>
      <c r="ELA138" s="422"/>
      <c r="ELB138" s="422"/>
      <c r="ELC138" s="422"/>
      <c r="ELD138" s="422"/>
      <c r="ELE138" s="422"/>
      <c r="ELF138" s="422"/>
      <c r="ELG138" s="422"/>
      <c r="ELH138" s="422"/>
      <c r="ELI138" s="422"/>
      <c r="ELJ138" s="422"/>
      <c r="ELK138" s="422"/>
      <c r="ELL138" s="422"/>
      <c r="ELM138" s="422"/>
      <c r="ELN138" s="422"/>
      <c r="ELO138" s="422"/>
      <c r="ELP138" s="422"/>
      <c r="ELQ138" s="422"/>
      <c r="ELR138" s="422"/>
      <c r="ELS138" s="422"/>
      <c r="ELT138" s="422"/>
      <c r="ELU138" s="422"/>
      <c r="ELV138" s="422"/>
      <c r="ELW138" s="422"/>
      <c r="ELX138" s="422"/>
      <c r="ELY138" s="422"/>
      <c r="ELZ138" s="422"/>
      <c r="EMA138" s="422"/>
      <c r="EMB138" s="422"/>
      <c r="EMC138" s="422"/>
      <c r="EMD138" s="422"/>
      <c r="EME138" s="422"/>
      <c r="EMF138" s="422"/>
      <c r="EMG138" s="422"/>
      <c r="EMH138" s="422"/>
      <c r="EMI138" s="422"/>
      <c r="EMJ138" s="422"/>
      <c r="EMK138" s="422"/>
      <c r="EML138" s="422"/>
      <c r="EMM138" s="422"/>
      <c r="EMN138" s="422"/>
      <c r="EMO138" s="422"/>
      <c r="EMP138" s="422"/>
      <c r="EMQ138" s="422"/>
      <c r="EMR138" s="422"/>
      <c r="EMS138" s="422"/>
      <c r="EMT138" s="422"/>
      <c r="EMU138" s="422"/>
      <c r="EMV138" s="422"/>
      <c r="EMW138" s="422"/>
      <c r="EMX138" s="422"/>
      <c r="EMY138" s="422"/>
      <c r="EMZ138" s="422"/>
      <c r="ENA138" s="422"/>
      <c r="ENB138" s="422"/>
      <c r="ENC138" s="422"/>
      <c r="END138" s="422"/>
      <c r="ENE138" s="422"/>
      <c r="ENF138" s="422"/>
      <c r="ENG138" s="422"/>
      <c r="ENH138" s="422"/>
      <c r="ENI138" s="422"/>
      <c r="ENJ138" s="422"/>
      <c r="ENK138" s="422"/>
      <c r="ENL138" s="422"/>
      <c r="ENM138" s="422"/>
      <c r="ENN138" s="422"/>
      <c r="ENO138" s="422"/>
      <c r="ENP138" s="422"/>
      <c r="ENQ138" s="422"/>
      <c r="ENR138" s="422"/>
      <c r="ENS138" s="422"/>
      <c r="ENT138" s="422"/>
      <c r="ENU138" s="422"/>
      <c r="ENV138" s="422"/>
      <c r="ENW138" s="422"/>
      <c r="ENX138" s="422"/>
      <c r="ENY138" s="422"/>
      <c r="ENZ138" s="422"/>
      <c r="EOA138" s="422"/>
      <c r="EOB138" s="422"/>
      <c r="EOC138" s="422"/>
      <c r="EOD138" s="422"/>
      <c r="EOE138" s="422"/>
      <c r="EOF138" s="422"/>
      <c r="EOG138" s="422"/>
      <c r="EOH138" s="422"/>
      <c r="EOI138" s="422"/>
      <c r="EOJ138" s="422"/>
      <c r="EOK138" s="422"/>
      <c r="EOL138" s="422"/>
      <c r="EOM138" s="422"/>
      <c r="EON138" s="422"/>
      <c r="EOO138" s="422"/>
      <c r="EOP138" s="422"/>
      <c r="EOQ138" s="422"/>
      <c r="EOR138" s="422"/>
      <c r="EOS138" s="422"/>
      <c r="EOT138" s="422"/>
      <c r="EOU138" s="422"/>
      <c r="EOV138" s="422"/>
      <c r="EOW138" s="422"/>
      <c r="EOX138" s="422"/>
      <c r="EOY138" s="422"/>
      <c r="EOZ138" s="422"/>
      <c r="EPA138" s="422"/>
      <c r="EPB138" s="422"/>
      <c r="EPC138" s="422"/>
      <c r="EPD138" s="422"/>
      <c r="EPE138" s="422"/>
      <c r="EPF138" s="422"/>
      <c r="EPG138" s="422"/>
      <c r="EPH138" s="422"/>
      <c r="EPI138" s="422"/>
      <c r="EPJ138" s="422"/>
      <c r="EPK138" s="422"/>
      <c r="EPL138" s="422"/>
      <c r="EPM138" s="422"/>
      <c r="EPN138" s="422"/>
      <c r="EPO138" s="422"/>
      <c r="EPP138" s="422"/>
      <c r="EPQ138" s="422"/>
      <c r="EPR138" s="422"/>
      <c r="EPS138" s="422"/>
      <c r="EPT138" s="422"/>
      <c r="EPU138" s="422"/>
      <c r="EPV138" s="422"/>
      <c r="EPW138" s="422"/>
      <c r="EPX138" s="422"/>
      <c r="EPY138" s="422"/>
      <c r="EPZ138" s="422"/>
      <c r="EQA138" s="422"/>
      <c r="EQB138" s="422"/>
      <c r="EQC138" s="422"/>
      <c r="EQD138" s="422"/>
      <c r="EQE138" s="422"/>
      <c r="EQF138" s="422"/>
      <c r="EQG138" s="422"/>
      <c r="EQH138" s="422"/>
      <c r="EQI138" s="422"/>
      <c r="EQJ138" s="422"/>
      <c r="EQK138" s="422"/>
      <c r="EQL138" s="422"/>
      <c r="EQM138" s="422"/>
      <c r="EQN138" s="422"/>
      <c r="EQO138" s="422"/>
      <c r="EQP138" s="422"/>
      <c r="EQQ138" s="422"/>
      <c r="EQR138" s="422"/>
      <c r="EQS138" s="422"/>
      <c r="EQT138" s="422"/>
      <c r="EQU138" s="422"/>
      <c r="EQV138" s="422"/>
      <c r="EQW138" s="422"/>
      <c r="EQX138" s="422"/>
      <c r="EQY138" s="422"/>
      <c r="EQZ138" s="422"/>
      <c r="ERA138" s="422"/>
      <c r="ERB138" s="422"/>
      <c r="ERC138" s="422"/>
      <c r="ERD138" s="422"/>
      <c r="ERE138" s="422"/>
      <c r="ERF138" s="422"/>
      <c r="ERG138" s="422"/>
      <c r="ERH138" s="422"/>
      <c r="ERI138" s="422"/>
      <c r="ERJ138" s="422"/>
      <c r="ERK138" s="422"/>
      <c r="ERL138" s="422"/>
      <c r="ERM138" s="422"/>
      <c r="ERN138" s="422"/>
      <c r="ERO138" s="422"/>
      <c r="ERP138" s="422"/>
      <c r="ERQ138" s="422"/>
      <c r="ERR138" s="422"/>
      <c r="ERS138" s="422"/>
      <c r="ERT138" s="422"/>
      <c r="ERU138" s="422"/>
      <c r="ERV138" s="422"/>
      <c r="ERW138" s="422"/>
      <c r="ERX138" s="422"/>
      <c r="ERY138" s="422"/>
      <c r="ERZ138" s="422"/>
      <c r="ESA138" s="422"/>
      <c r="ESB138" s="422"/>
      <c r="ESC138" s="422"/>
      <c r="ESD138" s="422"/>
      <c r="ESE138" s="422"/>
      <c r="ESF138" s="422"/>
      <c r="ESG138" s="422"/>
      <c r="ESH138" s="422"/>
      <c r="ESI138" s="422"/>
      <c r="ESJ138" s="422"/>
      <c r="ESK138" s="422"/>
      <c r="ESL138" s="422"/>
      <c r="ESM138" s="422"/>
      <c r="ESN138" s="422"/>
      <c r="ESO138" s="422"/>
      <c r="ESP138" s="422"/>
      <c r="ESQ138" s="422"/>
      <c r="ESR138" s="422"/>
      <c r="ESS138" s="422"/>
      <c r="EST138" s="422"/>
      <c r="ESU138" s="422"/>
      <c r="ESV138" s="422"/>
      <c r="ESW138" s="422"/>
      <c r="ESX138" s="422"/>
      <c r="ESY138" s="422"/>
      <c r="ESZ138" s="422"/>
      <c r="ETA138" s="422"/>
      <c r="ETB138" s="422"/>
      <c r="ETC138" s="422"/>
      <c r="ETD138" s="422"/>
      <c r="ETE138" s="422"/>
      <c r="ETF138" s="422"/>
      <c r="ETG138" s="422"/>
      <c r="ETH138" s="422"/>
      <c r="ETI138" s="422"/>
      <c r="ETJ138" s="422"/>
      <c r="ETK138" s="422"/>
      <c r="ETL138" s="422"/>
      <c r="ETM138" s="422"/>
      <c r="ETN138" s="422"/>
      <c r="ETO138" s="422"/>
      <c r="ETP138" s="422"/>
      <c r="ETQ138" s="422"/>
      <c r="ETR138" s="422"/>
      <c r="ETS138" s="422"/>
      <c r="ETT138" s="422"/>
      <c r="ETU138" s="422"/>
      <c r="ETV138" s="422"/>
      <c r="ETW138" s="422"/>
      <c r="ETX138" s="422"/>
      <c r="ETY138" s="422"/>
      <c r="ETZ138" s="422"/>
      <c r="EUA138" s="422"/>
      <c r="EUB138" s="422"/>
      <c r="EUC138" s="422"/>
      <c r="EUD138" s="422"/>
      <c r="EUE138" s="422"/>
      <c r="EUF138" s="422"/>
      <c r="EUG138" s="422"/>
      <c r="EUH138" s="422"/>
      <c r="EUI138" s="422"/>
      <c r="EUJ138" s="422"/>
      <c r="EUK138" s="422"/>
      <c r="EUL138" s="422"/>
      <c r="EUM138" s="422"/>
      <c r="EUN138" s="422"/>
      <c r="EUO138" s="422"/>
      <c r="EUP138" s="422"/>
      <c r="EUQ138" s="422"/>
      <c r="EUR138" s="422"/>
      <c r="EUS138" s="422"/>
      <c r="EUT138" s="422"/>
      <c r="EUU138" s="422"/>
      <c r="EUV138" s="422"/>
      <c r="EUW138" s="422"/>
      <c r="EUX138" s="422"/>
      <c r="EUY138" s="422"/>
      <c r="EUZ138" s="422"/>
      <c r="EVA138" s="422"/>
      <c r="EVB138" s="422"/>
      <c r="EVC138" s="422"/>
      <c r="EVD138" s="422"/>
      <c r="EVE138" s="422"/>
      <c r="EVF138" s="422"/>
      <c r="EVG138" s="422"/>
      <c r="EVH138" s="422"/>
      <c r="EVI138" s="422"/>
      <c r="EVJ138" s="422"/>
      <c r="EVK138" s="422"/>
      <c r="EVL138" s="422"/>
      <c r="EVM138" s="422"/>
      <c r="EVN138" s="422"/>
      <c r="EVO138" s="422"/>
      <c r="EVP138" s="422"/>
      <c r="EVQ138" s="422"/>
      <c r="EVR138" s="422"/>
      <c r="EVS138" s="422"/>
      <c r="EVT138" s="422"/>
      <c r="EVU138" s="422"/>
      <c r="EVV138" s="422"/>
      <c r="EVW138" s="422"/>
      <c r="EVX138" s="422"/>
      <c r="EVY138" s="422"/>
      <c r="EVZ138" s="422"/>
      <c r="EWA138" s="422"/>
      <c r="EWB138" s="422"/>
      <c r="EWC138" s="422"/>
      <c r="EWD138" s="422"/>
      <c r="EWE138" s="422"/>
      <c r="EWF138" s="422"/>
      <c r="EWG138" s="422"/>
      <c r="EWH138" s="422"/>
      <c r="EWI138" s="422"/>
      <c r="EWJ138" s="422"/>
      <c r="EWK138" s="422"/>
      <c r="EWL138" s="422"/>
      <c r="EWM138" s="422"/>
      <c r="EWN138" s="422"/>
      <c r="EWO138" s="422"/>
      <c r="EWP138" s="422"/>
      <c r="EWQ138" s="422"/>
      <c r="EWR138" s="422"/>
      <c r="EWS138" s="422"/>
      <c r="EWT138" s="422"/>
      <c r="EWU138" s="422"/>
      <c r="EWV138" s="422"/>
      <c r="EWW138" s="422"/>
      <c r="EWX138" s="422"/>
      <c r="EWY138" s="422"/>
      <c r="EWZ138" s="422"/>
      <c r="EXA138" s="422"/>
      <c r="EXB138" s="422"/>
      <c r="EXC138" s="422"/>
      <c r="EXD138" s="422"/>
      <c r="EXE138" s="422"/>
      <c r="EXF138" s="422"/>
      <c r="EXG138" s="422"/>
      <c r="EXH138" s="422"/>
      <c r="EXI138" s="422"/>
      <c r="EXJ138" s="422"/>
      <c r="EXK138" s="422"/>
      <c r="EXL138" s="422"/>
      <c r="EXM138" s="422"/>
      <c r="EXN138" s="422"/>
      <c r="EXO138" s="422"/>
      <c r="EXP138" s="422"/>
      <c r="EXQ138" s="422"/>
      <c r="EXR138" s="422"/>
      <c r="EXS138" s="422"/>
      <c r="EXT138" s="422"/>
      <c r="EXU138" s="422"/>
      <c r="EXV138" s="422"/>
      <c r="EXW138" s="422"/>
      <c r="EXX138" s="422"/>
      <c r="EXY138" s="422"/>
      <c r="EXZ138" s="422"/>
      <c r="EYA138" s="422"/>
      <c r="EYB138" s="422"/>
      <c r="EYC138" s="422"/>
      <c r="EYD138" s="422"/>
      <c r="EYE138" s="422"/>
      <c r="EYF138" s="422"/>
      <c r="EYG138" s="422"/>
      <c r="EYH138" s="422"/>
      <c r="EYI138" s="422"/>
      <c r="EYJ138" s="422"/>
      <c r="EYK138" s="422"/>
      <c r="EYL138" s="422"/>
      <c r="EYM138" s="422"/>
      <c r="EYN138" s="422"/>
      <c r="EYO138" s="422"/>
      <c r="EYP138" s="422"/>
      <c r="EYQ138" s="422"/>
      <c r="EYR138" s="422"/>
      <c r="EYS138" s="422"/>
      <c r="EYT138" s="422"/>
      <c r="EYU138" s="422"/>
      <c r="EYV138" s="422"/>
      <c r="EYW138" s="422"/>
      <c r="EYX138" s="422"/>
      <c r="EYY138" s="422"/>
      <c r="EYZ138" s="422"/>
      <c r="EZA138" s="422"/>
      <c r="EZB138" s="422"/>
      <c r="EZC138" s="422"/>
      <c r="EZD138" s="422"/>
      <c r="EZE138" s="422"/>
      <c r="EZF138" s="422"/>
      <c r="EZG138" s="422"/>
      <c r="EZH138" s="422"/>
      <c r="EZI138" s="422"/>
      <c r="EZJ138" s="422"/>
      <c r="EZK138" s="422"/>
      <c r="EZL138" s="422"/>
      <c r="EZM138" s="422"/>
      <c r="EZN138" s="422"/>
      <c r="EZO138" s="422"/>
      <c r="EZP138" s="422"/>
      <c r="EZQ138" s="422"/>
      <c r="EZR138" s="422"/>
      <c r="EZS138" s="422"/>
      <c r="EZT138" s="422"/>
      <c r="EZU138" s="422"/>
      <c r="EZV138" s="422"/>
      <c r="EZW138" s="422"/>
      <c r="EZX138" s="422"/>
      <c r="EZY138" s="422"/>
      <c r="EZZ138" s="422"/>
      <c r="FAA138" s="422"/>
      <c r="FAB138" s="422"/>
      <c r="FAC138" s="422"/>
      <c r="FAD138" s="422"/>
      <c r="FAE138" s="422"/>
      <c r="FAF138" s="422"/>
      <c r="FAG138" s="422"/>
      <c r="FAH138" s="422"/>
      <c r="FAI138" s="422"/>
      <c r="FAJ138" s="422"/>
      <c r="FAK138" s="422"/>
      <c r="FAL138" s="422"/>
      <c r="FAM138" s="422"/>
      <c r="FAN138" s="422"/>
      <c r="FAO138" s="422"/>
      <c r="FAP138" s="422"/>
      <c r="FAQ138" s="422"/>
      <c r="FAR138" s="422"/>
      <c r="FAS138" s="422"/>
      <c r="FAT138" s="422"/>
      <c r="FAU138" s="422"/>
      <c r="FAV138" s="422"/>
      <c r="FAW138" s="422"/>
      <c r="FAX138" s="422"/>
      <c r="FAY138" s="422"/>
      <c r="FAZ138" s="422"/>
      <c r="FBA138" s="422"/>
      <c r="FBB138" s="422"/>
      <c r="FBC138" s="422"/>
      <c r="FBD138" s="422"/>
      <c r="FBE138" s="422"/>
      <c r="FBF138" s="422"/>
      <c r="FBG138" s="422"/>
      <c r="FBH138" s="422"/>
      <c r="FBI138" s="422"/>
      <c r="FBJ138" s="422"/>
      <c r="FBK138" s="422"/>
      <c r="FBL138" s="422"/>
      <c r="FBM138" s="422"/>
      <c r="FBN138" s="422"/>
      <c r="FBO138" s="422"/>
      <c r="FBP138" s="422"/>
      <c r="FBQ138" s="422"/>
      <c r="FBR138" s="422"/>
      <c r="FBS138" s="422"/>
      <c r="FBT138" s="422"/>
      <c r="FBU138" s="422"/>
      <c r="FBV138" s="422"/>
      <c r="FBW138" s="422"/>
      <c r="FBX138" s="422"/>
      <c r="FBY138" s="422"/>
      <c r="FBZ138" s="422"/>
      <c r="FCA138" s="422"/>
      <c r="FCB138" s="422"/>
      <c r="FCC138" s="422"/>
      <c r="FCD138" s="422"/>
      <c r="FCE138" s="422"/>
      <c r="FCF138" s="422"/>
      <c r="FCG138" s="422"/>
      <c r="FCH138" s="422"/>
      <c r="FCI138" s="422"/>
      <c r="FCJ138" s="422"/>
      <c r="FCK138" s="422"/>
      <c r="FCL138" s="422"/>
      <c r="FCM138" s="422"/>
      <c r="FCN138" s="422"/>
      <c r="FCO138" s="422"/>
      <c r="FCP138" s="422"/>
      <c r="FCQ138" s="422"/>
      <c r="FCR138" s="422"/>
      <c r="FCS138" s="422"/>
      <c r="FCT138" s="422"/>
      <c r="FCU138" s="422"/>
      <c r="FCV138" s="422"/>
      <c r="FCW138" s="422"/>
      <c r="FCX138" s="422"/>
      <c r="FCY138" s="422"/>
      <c r="FCZ138" s="422"/>
      <c r="FDA138" s="422"/>
      <c r="FDB138" s="422"/>
      <c r="FDC138" s="422"/>
      <c r="FDD138" s="422"/>
      <c r="FDE138" s="422"/>
      <c r="FDF138" s="422"/>
      <c r="FDG138" s="422"/>
      <c r="FDH138" s="422"/>
      <c r="FDI138" s="422"/>
      <c r="FDJ138" s="422"/>
      <c r="FDK138" s="422"/>
      <c r="FDL138" s="422"/>
      <c r="FDM138" s="422"/>
      <c r="FDN138" s="422"/>
      <c r="FDO138" s="422"/>
      <c r="FDP138" s="422"/>
      <c r="FDQ138" s="422"/>
      <c r="FDR138" s="422"/>
      <c r="FDS138" s="422"/>
      <c r="FDT138" s="422"/>
      <c r="FDU138" s="422"/>
      <c r="FDV138" s="422"/>
      <c r="FDW138" s="422"/>
      <c r="FDX138" s="422"/>
      <c r="FDY138" s="422"/>
      <c r="FDZ138" s="422"/>
      <c r="FEA138" s="422"/>
      <c r="FEB138" s="422"/>
      <c r="FEC138" s="422"/>
      <c r="FED138" s="422"/>
      <c r="FEE138" s="422"/>
      <c r="FEF138" s="422"/>
      <c r="FEG138" s="422"/>
      <c r="FEH138" s="422"/>
      <c r="FEI138" s="422"/>
      <c r="FEJ138" s="422"/>
      <c r="FEK138" s="422"/>
      <c r="FEL138" s="422"/>
      <c r="FEM138" s="422"/>
      <c r="FEN138" s="422"/>
      <c r="FEO138" s="422"/>
      <c r="FEP138" s="422"/>
      <c r="FEQ138" s="422"/>
      <c r="FER138" s="422"/>
      <c r="FES138" s="422"/>
      <c r="FET138" s="422"/>
      <c r="FEU138" s="422"/>
      <c r="FEV138" s="422"/>
      <c r="FEW138" s="422"/>
      <c r="FEX138" s="422"/>
      <c r="FEY138" s="422"/>
      <c r="FEZ138" s="422"/>
      <c r="FFA138" s="422"/>
      <c r="FFB138" s="422"/>
      <c r="FFC138" s="422"/>
      <c r="FFD138" s="422"/>
      <c r="FFE138" s="422"/>
      <c r="FFF138" s="422"/>
      <c r="FFG138" s="422"/>
      <c r="FFH138" s="422"/>
      <c r="FFI138" s="422"/>
      <c r="FFJ138" s="422"/>
      <c r="FFK138" s="422"/>
      <c r="FFL138" s="422"/>
      <c r="FFM138" s="422"/>
      <c r="FFN138" s="422"/>
      <c r="FFO138" s="422"/>
      <c r="FFP138" s="422"/>
      <c r="FFQ138" s="422"/>
      <c r="FFR138" s="422"/>
      <c r="FFS138" s="422"/>
      <c r="FFT138" s="422"/>
      <c r="FFU138" s="422"/>
      <c r="FFV138" s="422"/>
      <c r="FFW138" s="422"/>
      <c r="FFX138" s="422"/>
      <c r="FFY138" s="422"/>
      <c r="FFZ138" s="422"/>
      <c r="FGA138" s="422"/>
      <c r="FGB138" s="422"/>
      <c r="FGC138" s="422"/>
      <c r="FGD138" s="422"/>
      <c r="FGE138" s="422"/>
      <c r="FGF138" s="422"/>
      <c r="FGG138" s="422"/>
      <c r="FGH138" s="422"/>
      <c r="FGI138" s="422"/>
      <c r="FGJ138" s="422"/>
      <c r="FGK138" s="422"/>
      <c r="FGL138" s="422"/>
      <c r="FGM138" s="422"/>
      <c r="FGN138" s="422"/>
      <c r="FGO138" s="422"/>
      <c r="FGP138" s="422"/>
      <c r="FGQ138" s="422"/>
      <c r="FGR138" s="422"/>
      <c r="FGS138" s="422"/>
      <c r="FGT138" s="422"/>
      <c r="FGU138" s="422"/>
      <c r="FGV138" s="422"/>
      <c r="FGW138" s="422"/>
      <c r="FGX138" s="422"/>
      <c r="FGY138" s="422"/>
      <c r="FGZ138" s="422"/>
      <c r="FHA138" s="422"/>
      <c r="FHB138" s="422"/>
      <c r="FHC138" s="422"/>
      <c r="FHD138" s="422"/>
      <c r="FHE138" s="422"/>
      <c r="FHF138" s="422"/>
      <c r="FHG138" s="422"/>
      <c r="FHH138" s="422"/>
      <c r="FHI138" s="422"/>
      <c r="FHJ138" s="422"/>
      <c r="FHK138" s="422"/>
      <c r="FHL138" s="422"/>
      <c r="FHM138" s="422"/>
      <c r="FHN138" s="422"/>
      <c r="FHO138" s="422"/>
      <c r="FHP138" s="422"/>
      <c r="FHQ138" s="422"/>
      <c r="FHR138" s="422"/>
      <c r="FHS138" s="422"/>
      <c r="FHT138" s="422"/>
      <c r="FHU138" s="422"/>
      <c r="FHV138" s="422"/>
      <c r="FHW138" s="422"/>
      <c r="FHX138" s="422"/>
      <c r="FHY138" s="422"/>
      <c r="FHZ138" s="422"/>
      <c r="FIA138" s="422"/>
      <c r="FIB138" s="422"/>
      <c r="FIC138" s="422"/>
      <c r="FID138" s="422"/>
      <c r="FIE138" s="422"/>
      <c r="FIF138" s="422"/>
      <c r="FIG138" s="422"/>
      <c r="FIH138" s="422"/>
      <c r="FII138" s="422"/>
      <c r="FIJ138" s="422"/>
      <c r="FIK138" s="422"/>
      <c r="FIL138" s="422"/>
      <c r="FIM138" s="422"/>
      <c r="FIN138" s="422"/>
      <c r="FIO138" s="422"/>
      <c r="FIP138" s="422"/>
      <c r="FIQ138" s="422"/>
      <c r="FIR138" s="422"/>
      <c r="FIS138" s="422"/>
      <c r="FIT138" s="422"/>
      <c r="FIU138" s="422"/>
      <c r="FIV138" s="422"/>
      <c r="FIW138" s="422"/>
      <c r="FIX138" s="422"/>
      <c r="FIY138" s="422"/>
      <c r="FIZ138" s="422"/>
      <c r="FJA138" s="422"/>
      <c r="FJB138" s="422"/>
      <c r="FJC138" s="422"/>
      <c r="FJD138" s="422"/>
      <c r="FJE138" s="422"/>
      <c r="FJF138" s="422"/>
      <c r="FJG138" s="422"/>
      <c r="FJH138" s="422"/>
      <c r="FJI138" s="422"/>
      <c r="FJJ138" s="422"/>
      <c r="FJK138" s="422"/>
      <c r="FJL138" s="422"/>
      <c r="FJM138" s="422"/>
      <c r="FJN138" s="422"/>
      <c r="FJO138" s="422"/>
      <c r="FJP138" s="422"/>
      <c r="FJQ138" s="422"/>
      <c r="FJR138" s="422"/>
      <c r="FJS138" s="422"/>
      <c r="FJT138" s="422"/>
      <c r="FJU138" s="422"/>
      <c r="FJV138" s="422"/>
      <c r="FJW138" s="422"/>
      <c r="FJX138" s="422"/>
      <c r="FJY138" s="422"/>
      <c r="FJZ138" s="422"/>
      <c r="FKA138" s="422"/>
      <c r="FKB138" s="422"/>
      <c r="FKC138" s="422"/>
      <c r="FKD138" s="422"/>
      <c r="FKE138" s="422"/>
      <c r="FKF138" s="422"/>
      <c r="FKG138" s="422"/>
      <c r="FKH138" s="422"/>
      <c r="FKI138" s="422"/>
      <c r="FKJ138" s="422"/>
      <c r="FKK138" s="422"/>
      <c r="FKL138" s="422"/>
      <c r="FKM138" s="422"/>
      <c r="FKN138" s="422"/>
      <c r="FKO138" s="422"/>
      <c r="FKP138" s="422"/>
      <c r="FKQ138" s="422"/>
      <c r="FKR138" s="422"/>
      <c r="FKS138" s="422"/>
      <c r="FKT138" s="422"/>
      <c r="FKU138" s="422"/>
      <c r="FKV138" s="422"/>
      <c r="FKW138" s="422"/>
      <c r="FKX138" s="422"/>
      <c r="FKY138" s="422"/>
      <c r="FKZ138" s="422"/>
      <c r="FLA138" s="422"/>
      <c r="FLB138" s="422"/>
      <c r="FLC138" s="422"/>
      <c r="FLD138" s="422"/>
      <c r="FLE138" s="422"/>
      <c r="FLF138" s="422"/>
      <c r="FLG138" s="422"/>
      <c r="FLH138" s="422"/>
      <c r="FLI138" s="422"/>
      <c r="FLJ138" s="422"/>
      <c r="FLK138" s="422"/>
      <c r="FLL138" s="422"/>
      <c r="FLM138" s="422"/>
      <c r="FLN138" s="422"/>
      <c r="FLO138" s="422"/>
      <c r="FLP138" s="422"/>
      <c r="FLQ138" s="422"/>
      <c r="FLR138" s="422"/>
      <c r="FLS138" s="422"/>
      <c r="FLT138" s="422"/>
      <c r="FLU138" s="422"/>
      <c r="FLV138" s="422"/>
      <c r="FLW138" s="422"/>
      <c r="FLX138" s="422"/>
      <c r="FLY138" s="422"/>
      <c r="FLZ138" s="422"/>
      <c r="FMA138" s="422"/>
      <c r="FMB138" s="422"/>
      <c r="FMC138" s="422"/>
      <c r="FMD138" s="422"/>
      <c r="FME138" s="422"/>
      <c r="FMF138" s="422"/>
      <c r="FMG138" s="422"/>
      <c r="FMH138" s="422"/>
      <c r="FMI138" s="422"/>
      <c r="FMJ138" s="422"/>
      <c r="FMK138" s="422"/>
      <c r="FML138" s="422"/>
      <c r="FMM138" s="422"/>
      <c r="FMN138" s="422"/>
      <c r="FMO138" s="422"/>
      <c r="FMP138" s="422"/>
      <c r="FMQ138" s="422"/>
      <c r="FMR138" s="422"/>
      <c r="FMS138" s="422"/>
      <c r="FMT138" s="422"/>
      <c r="FMU138" s="422"/>
      <c r="FMV138" s="422"/>
      <c r="FMW138" s="422"/>
      <c r="FMX138" s="422"/>
      <c r="FMY138" s="422"/>
      <c r="FMZ138" s="422"/>
      <c r="FNA138" s="422"/>
      <c r="FNB138" s="422"/>
      <c r="FNC138" s="422"/>
      <c r="FND138" s="422"/>
      <c r="FNE138" s="422"/>
      <c r="FNF138" s="422"/>
      <c r="FNG138" s="422"/>
      <c r="FNH138" s="422"/>
      <c r="FNI138" s="422"/>
      <c r="FNJ138" s="422"/>
      <c r="FNK138" s="422"/>
      <c r="FNL138" s="422"/>
      <c r="FNM138" s="422"/>
      <c r="FNN138" s="422"/>
      <c r="FNO138" s="422"/>
      <c r="FNP138" s="422"/>
      <c r="FNQ138" s="422"/>
      <c r="FNR138" s="422"/>
      <c r="FNS138" s="422"/>
      <c r="FNT138" s="422"/>
      <c r="FNU138" s="422"/>
      <c r="FNV138" s="422"/>
      <c r="FNW138" s="422"/>
      <c r="FNX138" s="422"/>
      <c r="FNY138" s="422"/>
      <c r="FNZ138" s="422"/>
      <c r="FOA138" s="422"/>
      <c r="FOB138" s="422"/>
      <c r="FOC138" s="422"/>
      <c r="FOD138" s="422"/>
      <c r="FOE138" s="422"/>
      <c r="FOF138" s="422"/>
      <c r="FOG138" s="422"/>
      <c r="FOH138" s="422"/>
      <c r="FOI138" s="422"/>
      <c r="FOJ138" s="422"/>
      <c r="FOK138" s="422"/>
      <c r="FOL138" s="422"/>
      <c r="FOM138" s="422"/>
      <c r="FON138" s="422"/>
      <c r="FOO138" s="422"/>
      <c r="FOP138" s="422"/>
      <c r="FOQ138" s="422"/>
      <c r="FOR138" s="422"/>
      <c r="FOS138" s="422"/>
      <c r="FOT138" s="422"/>
      <c r="FOU138" s="422"/>
      <c r="FOV138" s="422"/>
      <c r="FOW138" s="422"/>
      <c r="FOX138" s="422"/>
      <c r="FOY138" s="422"/>
      <c r="FOZ138" s="422"/>
      <c r="FPA138" s="422"/>
      <c r="FPB138" s="422"/>
      <c r="FPC138" s="422"/>
      <c r="FPD138" s="422"/>
      <c r="FPE138" s="422"/>
      <c r="FPF138" s="422"/>
      <c r="FPG138" s="422"/>
      <c r="FPH138" s="422"/>
      <c r="FPI138" s="422"/>
      <c r="FPJ138" s="422"/>
      <c r="FPK138" s="422"/>
      <c r="FPL138" s="422"/>
      <c r="FPM138" s="422"/>
      <c r="FPN138" s="422"/>
      <c r="FPO138" s="422"/>
      <c r="FPP138" s="422"/>
      <c r="FPQ138" s="422"/>
      <c r="FPR138" s="422"/>
      <c r="FPS138" s="422"/>
      <c r="FPT138" s="422"/>
      <c r="FPU138" s="422"/>
      <c r="FPV138" s="422"/>
      <c r="FPW138" s="422"/>
      <c r="FPX138" s="422"/>
      <c r="FPY138" s="422"/>
      <c r="FPZ138" s="422"/>
      <c r="FQA138" s="422"/>
      <c r="FQB138" s="422"/>
      <c r="FQC138" s="422"/>
      <c r="FQD138" s="422"/>
      <c r="FQE138" s="422"/>
      <c r="FQF138" s="422"/>
      <c r="FQG138" s="422"/>
      <c r="FQH138" s="422"/>
      <c r="FQI138" s="422"/>
      <c r="FQJ138" s="422"/>
      <c r="FQK138" s="422"/>
      <c r="FQL138" s="422"/>
      <c r="FQM138" s="422"/>
      <c r="FQN138" s="422"/>
      <c r="FQO138" s="422"/>
      <c r="FQP138" s="422"/>
      <c r="FQQ138" s="422"/>
      <c r="FQR138" s="422"/>
      <c r="FQS138" s="422"/>
      <c r="FQT138" s="422"/>
      <c r="FQU138" s="422"/>
      <c r="FQV138" s="422"/>
      <c r="FQW138" s="422"/>
      <c r="FQX138" s="422"/>
      <c r="FQY138" s="422"/>
      <c r="FQZ138" s="422"/>
      <c r="FRA138" s="422"/>
      <c r="FRB138" s="422"/>
      <c r="FRC138" s="422"/>
      <c r="FRD138" s="422"/>
      <c r="FRE138" s="422"/>
      <c r="FRF138" s="422"/>
      <c r="FRG138" s="422"/>
      <c r="FRH138" s="422"/>
      <c r="FRI138" s="422"/>
      <c r="FRJ138" s="422"/>
      <c r="FRK138" s="422"/>
      <c r="FRL138" s="422"/>
      <c r="FRM138" s="422"/>
      <c r="FRN138" s="422"/>
      <c r="FRO138" s="422"/>
      <c r="FRP138" s="422"/>
      <c r="FRQ138" s="422"/>
      <c r="FRR138" s="422"/>
      <c r="FRS138" s="422"/>
      <c r="FRT138" s="422"/>
      <c r="FRU138" s="422"/>
      <c r="FRV138" s="422"/>
      <c r="FRW138" s="422"/>
      <c r="FRX138" s="422"/>
      <c r="FRY138" s="422"/>
      <c r="FRZ138" s="422"/>
      <c r="FSA138" s="422"/>
      <c r="FSB138" s="422"/>
      <c r="FSC138" s="422"/>
      <c r="FSD138" s="422"/>
      <c r="FSE138" s="422"/>
      <c r="FSF138" s="422"/>
      <c r="FSG138" s="422"/>
      <c r="FSH138" s="422"/>
      <c r="FSI138" s="422"/>
      <c r="FSJ138" s="422"/>
      <c r="FSK138" s="422"/>
      <c r="FSL138" s="422"/>
      <c r="FSM138" s="422"/>
      <c r="FSN138" s="422"/>
      <c r="FSO138" s="422"/>
      <c r="FSP138" s="422"/>
      <c r="FSQ138" s="422"/>
      <c r="FSR138" s="422"/>
      <c r="FSS138" s="422"/>
      <c r="FST138" s="422"/>
      <c r="FSU138" s="422"/>
      <c r="FSV138" s="422"/>
      <c r="FSW138" s="422"/>
      <c r="FSX138" s="422"/>
      <c r="FSY138" s="422"/>
      <c r="FSZ138" s="422"/>
      <c r="FTA138" s="422"/>
      <c r="FTB138" s="422"/>
      <c r="FTC138" s="422"/>
      <c r="FTD138" s="422"/>
      <c r="FTE138" s="422"/>
      <c r="FTF138" s="422"/>
      <c r="FTG138" s="422"/>
      <c r="FTH138" s="422"/>
      <c r="FTI138" s="422"/>
      <c r="FTJ138" s="422"/>
      <c r="FTK138" s="422"/>
      <c r="FTL138" s="422"/>
      <c r="FTM138" s="422"/>
      <c r="FTN138" s="422"/>
      <c r="FTO138" s="422"/>
      <c r="FTP138" s="422"/>
      <c r="FTQ138" s="422"/>
      <c r="FTR138" s="422"/>
      <c r="FTS138" s="422"/>
      <c r="FTT138" s="422"/>
      <c r="FTU138" s="422"/>
      <c r="FTV138" s="422"/>
      <c r="FTW138" s="422"/>
      <c r="FTX138" s="422"/>
      <c r="FTY138" s="422"/>
      <c r="FTZ138" s="422"/>
      <c r="FUA138" s="422"/>
      <c r="FUB138" s="422"/>
      <c r="FUC138" s="422"/>
      <c r="FUD138" s="422"/>
      <c r="FUE138" s="422"/>
      <c r="FUF138" s="422"/>
      <c r="FUG138" s="422"/>
      <c r="FUH138" s="422"/>
      <c r="FUI138" s="422"/>
      <c r="FUJ138" s="422"/>
      <c r="FUK138" s="422"/>
      <c r="FUL138" s="422"/>
      <c r="FUM138" s="422"/>
      <c r="FUN138" s="422"/>
      <c r="FUO138" s="422"/>
      <c r="FUP138" s="422"/>
      <c r="FUQ138" s="422"/>
      <c r="FUR138" s="422"/>
      <c r="FUS138" s="422"/>
      <c r="FUT138" s="422"/>
      <c r="FUU138" s="422"/>
      <c r="FUV138" s="422"/>
      <c r="FUW138" s="422"/>
      <c r="FUX138" s="422"/>
      <c r="FUY138" s="422"/>
      <c r="FUZ138" s="422"/>
      <c r="FVA138" s="422"/>
      <c r="FVB138" s="422"/>
      <c r="FVC138" s="422"/>
      <c r="FVD138" s="422"/>
      <c r="FVE138" s="422"/>
      <c r="FVF138" s="422"/>
      <c r="FVG138" s="422"/>
      <c r="FVH138" s="422"/>
      <c r="FVI138" s="422"/>
      <c r="FVJ138" s="422"/>
      <c r="FVK138" s="422"/>
      <c r="FVL138" s="422"/>
      <c r="FVM138" s="422"/>
      <c r="FVN138" s="422"/>
      <c r="FVO138" s="422"/>
      <c r="FVP138" s="422"/>
      <c r="FVQ138" s="422"/>
      <c r="FVR138" s="422"/>
      <c r="FVS138" s="422"/>
      <c r="FVT138" s="422"/>
      <c r="FVU138" s="422"/>
      <c r="FVV138" s="422"/>
      <c r="FVW138" s="422"/>
      <c r="FVX138" s="422"/>
      <c r="FVY138" s="422"/>
      <c r="FVZ138" s="422"/>
      <c r="FWA138" s="422"/>
      <c r="FWB138" s="422"/>
      <c r="FWC138" s="422"/>
      <c r="FWD138" s="422"/>
      <c r="FWE138" s="422"/>
      <c r="FWF138" s="422"/>
      <c r="FWG138" s="422"/>
      <c r="FWH138" s="422"/>
      <c r="FWI138" s="422"/>
      <c r="FWJ138" s="422"/>
      <c r="FWK138" s="422"/>
      <c r="FWL138" s="422"/>
      <c r="FWM138" s="422"/>
      <c r="FWN138" s="422"/>
      <c r="FWO138" s="422"/>
      <c r="FWP138" s="422"/>
      <c r="FWQ138" s="422"/>
      <c r="FWR138" s="422"/>
      <c r="FWS138" s="422"/>
      <c r="FWT138" s="422"/>
      <c r="FWU138" s="422"/>
      <c r="FWV138" s="422"/>
      <c r="FWW138" s="422"/>
      <c r="FWX138" s="422"/>
      <c r="FWY138" s="422"/>
      <c r="FWZ138" s="422"/>
      <c r="FXA138" s="422"/>
      <c r="FXB138" s="422"/>
      <c r="FXC138" s="422"/>
      <c r="FXD138" s="422"/>
      <c r="FXE138" s="422"/>
      <c r="FXF138" s="422"/>
      <c r="FXG138" s="422"/>
      <c r="FXH138" s="422"/>
      <c r="FXI138" s="422"/>
      <c r="FXJ138" s="422"/>
      <c r="FXK138" s="422"/>
      <c r="FXL138" s="422"/>
      <c r="FXM138" s="422"/>
      <c r="FXN138" s="422"/>
      <c r="FXO138" s="422"/>
      <c r="FXP138" s="422"/>
      <c r="FXQ138" s="422"/>
      <c r="FXR138" s="422"/>
      <c r="FXS138" s="422"/>
      <c r="FXT138" s="422"/>
      <c r="FXU138" s="422"/>
      <c r="FXV138" s="422"/>
      <c r="FXW138" s="422"/>
      <c r="FXX138" s="422"/>
      <c r="FXY138" s="422"/>
      <c r="FXZ138" s="422"/>
      <c r="FYA138" s="422"/>
      <c r="FYB138" s="422"/>
      <c r="FYC138" s="422"/>
      <c r="FYD138" s="422"/>
      <c r="FYE138" s="422"/>
      <c r="FYF138" s="422"/>
      <c r="FYG138" s="422"/>
      <c r="FYH138" s="422"/>
      <c r="FYI138" s="422"/>
      <c r="FYJ138" s="422"/>
      <c r="FYK138" s="422"/>
      <c r="FYL138" s="422"/>
      <c r="FYM138" s="422"/>
      <c r="FYN138" s="422"/>
      <c r="FYO138" s="422"/>
      <c r="FYP138" s="422"/>
      <c r="FYQ138" s="422"/>
      <c r="FYR138" s="422"/>
      <c r="FYS138" s="422"/>
      <c r="FYT138" s="422"/>
      <c r="FYU138" s="422"/>
      <c r="FYV138" s="422"/>
      <c r="FYW138" s="422"/>
      <c r="FYX138" s="422"/>
      <c r="FYY138" s="422"/>
      <c r="FYZ138" s="422"/>
      <c r="FZA138" s="422"/>
      <c r="FZB138" s="422"/>
      <c r="FZC138" s="422"/>
      <c r="FZD138" s="422"/>
      <c r="FZE138" s="422"/>
      <c r="FZF138" s="422"/>
      <c r="FZG138" s="422"/>
      <c r="FZH138" s="422"/>
      <c r="FZI138" s="422"/>
      <c r="FZJ138" s="422"/>
      <c r="FZK138" s="422"/>
      <c r="FZL138" s="422"/>
      <c r="FZM138" s="422"/>
      <c r="FZN138" s="422"/>
      <c r="FZO138" s="422"/>
      <c r="FZP138" s="422"/>
      <c r="FZQ138" s="422"/>
      <c r="FZR138" s="422"/>
      <c r="FZS138" s="422"/>
      <c r="FZT138" s="422"/>
      <c r="FZU138" s="422"/>
      <c r="FZV138" s="422"/>
      <c r="FZW138" s="422"/>
      <c r="FZX138" s="422"/>
      <c r="FZY138" s="422"/>
      <c r="FZZ138" s="422"/>
      <c r="GAA138" s="422"/>
      <c r="GAB138" s="422"/>
      <c r="GAC138" s="422"/>
      <c r="GAD138" s="422"/>
      <c r="GAE138" s="422"/>
      <c r="GAF138" s="422"/>
      <c r="GAG138" s="422"/>
      <c r="GAH138" s="422"/>
      <c r="GAI138" s="422"/>
      <c r="GAJ138" s="422"/>
      <c r="GAK138" s="422"/>
      <c r="GAL138" s="422"/>
      <c r="GAM138" s="422"/>
      <c r="GAN138" s="422"/>
      <c r="GAO138" s="422"/>
      <c r="GAP138" s="422"/>
      <c r="GAQ138" s="422"/>
      <c r="GAR138" s="422"/>
      <c r="GAS138" s="422"/>
      <c r="GAT138" s="422"/>
      <c r="GAU138" s="422"/>
      <c r="GAV138" s="422"/>
      <c r="GAW138" s="422"/>
      <c r="GAX138" s="422"/>
      <c r="GAY138" s="422"/>
      <c r="GAZ138" s="422"/>
      <c r="GBA138" s="422"/>
      <c r="GBB138" s="422"/>
      <c r="GBC138" s="422"/>
      <c r="GBD138" s="422"/>
      <c r="GBE138" s="422"/>
      <c r="GBF138" s="422"/>
      <c r="GBG138" s="422"/>
      <c r="GBH138" s="422"/>
      <c r="GBI138" s="422"/>
      <c r="GBJ138" s="422"/>
      <c r="GBK138" s="422"/>
      <c r="GBL138" s="422"/>
      <c r="GBM138" s="422"/>
      <c r="GBN138" s="422"/>
      <c r="GBO138" s="422"/>
      <c r="GBP138" s="422"/>
      <c r="GBQ138" s="422"/>
      <c r="GBR138" s="422"/>
      <c r="GBS138" s="422"/>
      <c r="GBT138" s="422"/>
      <c r="GBU138" s="422"/>
      <c r="GBV138" s="422"/>
      <c r="GBW138" s="422"/>
      <c r="GBX138" s="422"/>
      <c r="GBY138" s="422"/>
      <c r="GBZ138" s="422"/>
      <c r="GCA138" s="422"/>
      <c r="GCB138" s="422"/>
      <c r="GCC138" s="422"/>
      <c r="GCD138" s="422"/>
      <c r="GCE138" s="422"/>
      <c r="GCF138" s="422"/>
      <c r="GCG138" s="422"/>
      <c r="GCH138" s="422"/>
      <c r="GCI138" s="422"/>
      <c r="GCJ138" s="422"/>
      <c r="GCK138" s="422"/>
      <c r="GCL138" s="422"/>
      <c r="GCM138" s="422"/>
      <c r="GCN138" s="422"/>
      <c r="GCO138" s="422"/>
      <c r="GCP138" s="422"/>
      <c r="GCQ138" s="422"/>
      <c r="GCR138" s="422"/>
      <c r="GCS138" s="422"/>
      <c r="GCT138" s="422"/>
      <c r="GCU138" s="422"/>
      <c r="GCV138" s="422"/>
      <c r="GCW138" s="422"/>
      <c r="GCX138" s="422"/>
      <c r="GCY138" s="422"/>
      <c r="GCZ138" s="422"/>
      <c r="GDA138" s="422"/>
      <c r="GDB138" s="422"/>
      <c r="GDC138" s="422"/>
      <c r="GDD138" s="422"/>
      <c r="GDE138" s="422"/>
      <c r="GDF138" s="422"/>
      <c r="GDG138" s="422"/>
      <c r="GDH138" s="422"/>
      <c r="GDI138" s="422"/>
      <c r="GDJ138" s="422"/>
      <c r="GDK138" s="422"/>
      <c r="GDL138" s="422"/>
      <c r="GDM138" s="422"/>
      <c r="GDN138" s="422"/>
      <c r="GDO138" s="422"/>
      <c r="GDP138" s="422"/>
      <c r="GDQ138" s="422"/>
      <c r="GDR138" s="422"/>
      <c r="GDS138" s="422"/>
      <c r="GDT138" s="422"/>
      <c r="GDU138" s="422"/>
      <c r="GDV138" s="422"/>
      <c r="GDW138" s="422"/>
      <c r="GDX138" s="422"/>
      <c r="GDY138" s="422"/>
      <c r="GDZ138" s="422"/>
      <c r="GEA138" s="422"/>
      <c r="GEB138" s="422"/>
      <c r="GEC138" s="422"/>
      <c r="GED138" s="422"/>
      <c r="GEE138" s="422"/>
      <c r="GEF138" s="422"/>
      <c r="GEG138" s="422"/>
      <c r="GEH138" s="422"/>
      <c r="GEI138" s="422"/>
      <c r="GEJ138" s="422"/>
      <c r="GEK138" s="422"/>
      <c r="GEL138" s="422"/>
      <c r="GEM138" s="422"/>
      <c r="GEN138" s="422"/>
      <c r="GEO138" s="422"/>
      <c r="GEP138" s="422"/>
      <c r="GEQ138" s="422"/>
      <c r="GER138" s="422"/>
      <c r="GES138" s="422"/>
      <c r="GET138" s="422"/>
      <c r="GEU138" s="422"/>
      <c r="GEV138" s="422"/>
      <c r="GEW138" s="422"/>
      <c r="GEX138" s="422"/>
      <c r="GEY138" s="422"/>
      <c r="GEZ138" s="422"/>
      <c r="GFA138" s="422"/>
      <c r="GFB138" s="422"/>
      <c r="GFC138" s="422"/>
      <c r="GFD138" s="422"/>
      <c r="GFE138" s="422"/>
      <c r="GFF138" s="422"/>
      <c r="GFG138" s="422"/>
      <c r="GFH138" s="422"/>
      <c r="GFI138" s="422"/>
      <c r="GFJ138" s="422"/>
      <c r="GFK138" s="422"/>
      <c r="GFL138" s="422"/>
      <c r="GFM138" s="422"/>
      <c r="GFN138" s="422"/>
      <c r="GFO138" s="422"/>
      <c r="GFP138" s="422"/>
      <c r="GFQ138" s="422"/>
      <c r="GFR138" s="422"/>
      <c r="GFS138" s="422"/>
      <c r="GFT138" s="422"/>
      <c r="GFU138" s="422"/>
      <c r="GFV138" s="422"/>
      <c r="GFW138" s="422"/>
      <c r="GFX138" s="422"/>
      <c r="GFY138" s="422"/>
      <c r="GFZ138" s="422"/>
      <c r="GGA138" s="422"/>
      <c r="GGB138" s="422"/>
      <c r="GGC138" s="422"/>
      <c r="GGD138" s="422"/>
      <c r="GGE138" s="422"/>
      <c r="GGF138" s="422"/>
      <c r="GGG138" s="422"/>
      <c r="GGH138" s="422"/>
      <c r="GGI138" s="422"/>
      <c r="GGJ138" s="422"/>
      <c r="GGK138" s="422"/>
      <c r="GGL138" s="422"/>
      <c r="GGM138" s="422"/>
      <c r="GGN138" s="422"/>
      <c r="GGO138" s="422"/>
      <c r="GGP138" s="422"/>
      <c r="GGQ138" s="422"/>
      <c r="GGR138" s="422"/>
      <c r="GGS138" s="422"/>
      <c r="GGT138" s="422"/>
      <c r="GGU138" s="422"/>
      <c r="GGV138" s="422"/>
      <c r="GGW138" s="422"/>
      <c r="GGX138" s="422"/>
      <c r="GGY138" s="422"/>
      <c r="GGZ138" s="422"/>
      <c r="GHA138" s="422"/>
      <c r="GHB138" s="422"/>
      <c r="GHC138" s="422"/>
      <c r="GHD138" s="422"/>
      <c r="GHE138" s="422"/>
      <c r="GHF138" s="422"/>
      <c r="GHG138" s="422"/>
      <c r="GHH138" s="422"/>
      <c r="GHI138" s="422"/>
      <c r="GHJ138" s="422"/>
      <c r="GHK138" s="422"/>
      <c r="GHL138" s="422"/>
      <c r="GHM138" s="422"/>
      <c r="GHN138" s="422"/>
      <c r="GHO138" s="422"/>
      <c r="GHP138" s="422"/>
      <c r="GHQ138" s="422"/>
      <c r="GHR138" s="422"/>
      <c r="GHS138" s="422"/>
      <c r="GHT138" s="422"/>
      <c r="GHU138" s="422"/>
      <c r="GHV138" s="422"/>
      <c r="GHW138" s="422"/>
      <c r="GHX138" s="422"/>
      <c r="GHY138" s="422"/>
      <c r="GHZ138" s="422"/>
      <c r="GIA138" s="422"/>
      <c r="GIB138" s="422"/>
      <c r="GIC138" s="422"/>
      <c r="GID138" s="422"/>
      <c r="GIE138" s="422"/>
      <c r="GIF138" s="422"/>
      <c r="GIG138" s="422"/>
      <c r="GIH138" s="422"/>
      <c r="GII138" s="422"/>
      <c r="GIJ138" s="422"/>
      <c r="GIK138" s="422"/>
      <c r="GIL138" s="422"/>
      <c r="GIM138" s="422"/>
      <c r="GIN138" s="422"/>
      <c r="GIO138" s="422"/>
      <c r="GIP138" s="422"/>
      <c r="GIQ138" s="422"/>
      <c r="GIR138" s="422"/>
      <c r="GIS138" s="422"/>
      <c r="GIT138" s="422"/>
      <c r="GIU138" s="422"/>
      <c r="GIV138" s="422"/>
      <c r="GIW138" s="422"/>
      <c r="GIX138" s="422"/>
      <c r="GIY138" s="422"/>
      <c r="GIZ138" s="422"/>
      <c r="GJA138" s="422"/>
      <c r="GJB138" s="422"/>
      <c r="GJC138" s="422"/>
      <c r="GJD138" s="422"/>
      <c r="GJE138" s="422"/>
      <c r="GJF138" s="422"/>
      <c r="GJG138" s="422"/>
      <c r="GJH138" s="422"/>
      <c r="GJI138" s="422"/>
      <c r="GJJ138" s="422"/>
      <c r="GJK138" s="422"/>
      <c r="GJL138" s="422"/>
      <c r="GJM138" s="422"/>
      <c r="GJN138" s="422"/>
      <c r="GJO138" s="422"/>
      <c r="GJP138" s="422"/>
      <c r="GJQ138" s="422"/>
      <c r="GJR138" s="422"/>
      <c r="GJS138" s="422"/>
      <c r="GJT138" s="422"/>
      <c r="GJU138" s="422"/>
      <c r="GJV138" s="422"/>
      <c r="GJW138" s="422"/>
      <c r="GJX138" s="422"/>
      <c r="GJY138" s="422"/>
      <c r="GJZ138" s="422"/>
      <c r="GKA138" s="422"/>
      <c r="GKB138" s="422"/>
      <c r="GKC138" s="422"/>
      <c r="GKD138" s="422"/>
      <c r="GKE138" s="422"/>
      <c r="GKF138" s="422"/>
      <c r="GKG138" s="422"/>
      <c r="GKH138" s="422"/>
      <c r="GKI138" s="422"/>
      <c r="GKJ138" s="422"/>
      <c r="GKK138" s="422"/>
      <c r="GKL138" s="422"/>
      <c r="GKM138" s="422"/>
      <c r="GKN138" s="422"/>
      <c r="GKO138" s="422"/>
      <c r="GKP138" s="422"/>
      <c r="GKQ138" s="422"/>
      <c r="GKR138" s="422"/>
      <c r="GKS138" s="422"/>
      <c r="GKT138" s="422"/>
      <c r="GKU138" s="422"/>
      <c r="GKV138" s="422"/>
      <c r="GKW138" s="422"/>
      <c r="GKX138" s="422"/>
      <c r="GKY138" s="422"/>
      <c r="GKZ138" s="422"/>
      <c r="GLA138" s="422"/>
      <c r="GLB138" s="422"/>
      <c r="GLC138" s="422"/>
      <c r="GLD138" s="422"/>
      <c r="GLE138" s="422"/>
      <c r="GLF138" s="422"/>
      <c r="GLG138" s="422"/>
      <c r="GLH138" s="422"/>
      <c r="GLI138" s="422"/>
      <c r="GLJ138" s="422"/>
      <c r="GLK138" s="422"/>
      <c r="GLL138" s="422"/>
      <c r="GLM138" s="422"/>
      <c r="GLN138" s="422"/>
      <c r="GLO138" s="422"/>
      <c r="GLP138" s="422"/>
      <c r="GLQ138" s="422"/>
      <c r="GLR138" s="422"/>
      <c r="GLS138" s="422"/>
      <c r="GLT138" s="422"/>
      <c r="GLU138" s="422"/>
      <c r="GLV138" s="422"/>
      <c r="GLW138" s="422"/>
      <c r="GLX138" s="422"/>
      <c r="GLY138" s="422"/>
      <c r="GLZ138" s="422"/>
      <c r="GMA138" s="422"/>
      <c r="GMB138" s="422"/>
      <c r="GMC138" s="422"/>
      <c r="GMD138" s="422"/>
      <c r="GME138" s="422"/>
      <c r="GMF138" s="422"/>
      <c r="GMG138" s="422"/>
      <c r="GMH138" s="422"/>
      <c r="GMI138" s="422"/>
      <c r="GMJ138" s="422"/>
      <c r="GMK138" s="422"/>
      <c r="GML138" s="422"/>
      <c r="GMM138" s="422"/>
      <c r="GMN138" s="422"/>
      <c r="GMO138" s="422"/>
      <c r="GMP138" s="422"/>
      <c r="GMQ138" s="422"/>
      <c r="GMR138" s="422"/>
      <c r="GMS138" s="422"/>
      <c r="GMT138" s="422"/>
      <c r="GMU138" s="422"/>
      <c r="GMV138" s="422"/>
      <c r="GMW138" s="422"/>
      <c r="GMX138" s="422"/>
      <c r="GMY138" s="422"/>
      <c r="GMZ138" s="422"/>
      <c r="GNA138" s="422"/>
      <c r="GNB138" s="422"/>
      <c r="GNC138" s="422"/>
      <c r="GND138" s="422"/>
      <c r="GNE138" s="422"/>
      <c r="GNF138" s="422"/>
      <c r="GNG138" s="422"/>
      <c r="GNH138" s="422"/>
      <c r="GNI138" s="422"/>
      <c r="GNJ138" s="422"/>
      <c r="GNK138" s="422"/>
      <c r="GNL138" s="422"/>
      <c r="GNM138" s="422"/>
      <c r="GNN138" s="422"/>
      <c r="GNO138" s="422"/>
      <c r="GNP138" s="422"/>
      <c r="GNQ138" s="422"/>
      <c r="GNR138" s="422"/>
      <c r="GNS138" s="422"/>
      <c r="GNT138" s="422"/>
      <c r="GNU138" s="422"/>
      <c r="GNV138" s="422"/>
      <c r="GNW138" s="422"/>
      <c r="GNX138" s="422"/>
      <c r="GNY138" s="422"/>
      <c r="GNZ138" s="422"/>
      <c r="GOA138" s="422"/>
      <c r="GOB138" s="422"/>
      <c r="GOC138" s="422"/>
      <c r="GOD138" s="422"/>
      <c r="GOE138" s="422"/>
      <c r="GOF138" s="422"/>
      <c r="GOG138" s="422"/>
      <c r="GOH138" s="422"/>
      <c r="GOI138" s="422"/>
      <c r="GOJ138" s="422"/>
      <c r="GOK138" s="422"/>
      <c r="GOL138" s="422"/>
      <c r="GOM138" s="422"/>
      <c r="GON138" s="422"/>
      <c r="GOO138" s="422"/>
      <c r="GOP138" s="422"/>
      <c r="GOQ138" s="422"/>
      <c r="GOR138" s="422"/>
      <c r="GOS138" s="422"/>
      <c r="GOT138" s="422"/>
      <c r="GOU138" s="422"/>
      <c r="GOV138" s="422"/>
      <c r="GOW138" s="422"/>
      <c r="GOX138" s="422"/>
      <c r="GOY138" s="422"/>
      <c r="GOZ138" s="422"/>
      <c r="GPA138" s="422"/>
      <c r="GPB138" s="422"/>
      <c r="GPC138" s="422"/>
      <c r="GPD138" s="422"/>
      <c r="GPE138" s="422"/>
      <c r="GPF138" s="422"/>
      <c r="GPG138" s="422"/>
      <c r="GPH138" s="422"/>
      <c r="GPI138" s="422"/>
      <c r="GPJ138" s="422"/>
      <c r="GPK138" s="422"/>
      <c r="GPL138" s="422"/>
      <c r="GPM138" s="422"/>
      <c r="GPN138" s="422"/>
      <c r="GPO138" s="422"/>
      <c r="GPP138" s="422"/>
      <c r="GPQ138" s="422"/>
      <c r="GPR138" s="422"/>
      <c r="GPS138" s="422"/>
      <c r="GPT138" s="422"/>
      <c r="GPU138" s="422"/>
      <c r="GPV138" s="422"/>
      <c r="GPW138" s="422"/>
      <c r="GPX138" s="422"/>
      <c r="GPY138" s="422"/>
      <c r="GPZ138" s="422"/>
      <c r="GQA138" s="422"/>
      <c r="GQB138" s="422"/>
      <c r="GQC138" s="422"/>
      <c r="GQD138" s="422"/>
      <c r="GQE138" s="422"/>
      <c r="GQF138" s="422"/>
      <c r="GQG138" s="422"/>
      <c r="GQH138" s="422"/>
      <c r="GQI138" s="422"/>
      <c r="GQJ138" s="422"/>
      <c r="GQK138" s="422"/>
      <c r="GQL138" s="422"/>
      <c r="GQM138" s="422"/>
      <c r="GQN138" s="422"/>
      <c r="GQO138" s="422"/>
      <c r="GQP138" s="422"/>
      <c r="GQQ138" s="422"/>
      <c r="GQR138" s="422"/>
      <c r="GQS138" s="422"/>
      <c r="GQT138" s="422"/>
      <c r="GQU138" s="422"/>
      <c r="GQV138" s="422"/>
      <c r="GQW138" s="422"/>
      <c r="GQX138" s="422"/>
      <c r="GQY138" s="422"/>
      <c r="GQZ138" s="422"/>
      <c r="GRA138" s="422"/>
      <c r="GRB138" s="422"/>
      <c r="GRC138" s="422"/>
      <c r="GRD138" s="422"/>
      <c r="GRE138" s="422"/>
      <c r="GRF138" s="422"/>
      <c r="GRG138" s="422"/>
      <c r="GRH138" s="422"/>
      <c r="GRI138" s="422"/>
      <c r="GRJ138" s="422"/>
      <c r="GRK138" s="422"/>
      <c r="GRL138" s="422"/>
      <c r="GRM138" s="422"/>
      <c r="GRN138" s="422"/>
      <c r="GRO138" s="422"/>
      <c r="GRP138" s="422"/>
      <c r="GRQ138" s="422"/>
      <c r="GRR138" s="422"/>
      <c r="GRS138" s="422"/>
      <c r="GRT138" s="422"/>
      <c r="GRU138" s="422"/>
      <c r="GRV138" s="422"/>
      <c r="GRW138" s="422"/>
      <c r="GRX138" s="422"/>
      <c r="GRY138" s="422"/>
      <c r="GRZ138" s="422"/>
      <c r="GSA138" s="422"/>
      <c r="GSB138" s="422"/>
      <c r="GSC138" s="422"/>
      <c r="GSD138" s="422"/>
      <c r="GSE138" s="422"/>
      <c r="GSF138" s="422"/>
      <c r="GSG138" s="422"/>
      <c r="GSH138" s="422"/>
      <c r="GSI138" s="422"/>
      <c r="GSJ138" s="422"/>
      <c r="GSK138" s="422"/>
      <c r="GSL138" s="422"/>
      <c r="GSM138" s="422"/>
      <c r="GSN138" s="422"/>
      <c r="GSO138" s="422"/>
      <c r="GSP138" s="422"/>
      <c r="GSQ138" s="422"/>
      <c r="GSR138" s="422"/>
      <c r="GSS138" s="422"/>
      <c r="GST138" s="422"/>
      <c r="GSU138" s="422"/>
      <c r="GSV138" s="422"/>
      <c r="GSW138" s="422"/>
      <c r="GSX138" s="422"/>
      <c r="GSY138" s="422"/>
      <c r="GSZ138" s="422"/>
      <c r="GTA138" s="422"/>
      <c r="GTB138" s="422"/>
      <c r="GTC138" s="422"/>
      <c r="GTD138" s="422"/>
      <c r="GTE138" s="422"/>
      <c r="GTF138" s="422"/>
      <c r="GTG138" s="422"/>
      <c r="GTH138" s="422"/>
      <c r="GTI138" s="422"/>
      <c r="GTJ138" s="422"/>
      <c r="GTK138" s="422"/>
      <c r="GTL138" s="422"/>
      <c r="GTM138" s="422"/>
      <c r="GTN138" s="422"/>
      <c r="GTO138" s="422"/>
      <c r="GTP138" s="422"/>
      <c r="GTQ138" s="422"/>
      <c r="GTR138" s="422"/>
      <c r="GTS138" s="422"/>
      <c r="GTT138" s="422"/>
      <c r="GTU138" s="422"/>
      <c r="GTV138" s="422"/>
      <c r="GTW138" s="422"/>
      <c r="GTX138" s="422"/>
      <c r="GTY138" s="422"/>
      <c r="GTZ138" s="422"/>
      <c r="GUA138" s="422"/>
      <c r="GUB138" s="422"/>
      <c r="GUC138" s="422"/>
      <c r="GUD138" s="422"/>
      <c r="GUE138" s="422"/>
      <c r="GUF138" s="422"/>
      <c r="GUG138" s="422"/>
      <c r="GUH138" s="422"/>
      <c r="GUI138" s="422"/>
      <c r="GUJ138" s="422"/>
      <c r="GUK138" s="422"/>
      <c r="GUL138" s="422"/>
      <c r="GUM138" s="422"/>
      <c r="GUN138" s="422"/>
      <c r="GUO138" s="422"/>
      <c r="GUP138" s="422"/>
      <c r="GUQ138" s="422"/>
      <c r="GUR138" s="422"/>
      <c r="GUS138" s="422"/>
      <c r="GUT138" s="422"/>
      <c r="GUU138" s="422"/>
      <c r="GUV138" s="422"/>
      <c r="GUW138" s="422"/>
      <c r="GUX138" s="422"/>
      <c r="GUY138" s="422"/>
      <c r="GUZ138" s="422"/>
      <c r="GVA138" s="422"/>
      <c r="GVB138" s="422"/>
      <c r="GVC138" s="422"/>
      <c r="GVD138" s="422"/>
      <c r="GVE138" s="422"/>
      <c r="GVF138" s="422"/>
      <c r="GVG138" s="422"/>
      <c r="GVH138" s="422"/>
      <c r="GVI138" s="422"/>
      <c r="GVJ138" s="422"/>
      <c r="GVK138" s="422"/>
      <c r="GVL138" s="422"/>
      <c r="GVM138" s="422"/>
      <c r="GVN138" s="422"/>
      <c r="GVO138" s="422"/>
      <c r="GVP138" s="422"/>
      <c r="GVQ138" s="422"/>
      <c r="GVR138" s="422"/>
      <c r="GVS138" s="422"/>
      <c r="GVT138" s="422"/>
      <c r="GVU138" s="422"/>
      <c r="GVV138" s="422"/>
      <c r="GVW138" s="422"/>
      <c r="GVX138" s="422"/>
      <c r="GVY138" s="422"/>
      <c r="GVZ138" s="422"/>
      <c r="GWA138" s="422"/>
      <c r="GWB138" s="422"/>
      <c r="GWC138" s="422"/>
      <c r="GWD138" s="422"/>
      <c r="GWE138" s="422"/>
      <c r="GWF138" s="422"/>
      <c r="GWG138" s="422"/>
      <c r="GWH138" s="422"/>
      <c r="GWI138" s="422"/>
      <c r="GWJ138" s="422"/>
      <c r="GWK138" s="422"/>
      <c r="GWL138" s="422"/>
      <c r="GWM138" s="422"/>
      <c r="GWN138" s="422"/>
      <c r="GWO138" s="422"/>
      <c r="GWP138" s="422"/>
      <c r="GWQ138" s="422"/>
      <c r="GWR138" s="422"/>
      <c r="GWS138" s="422"/>
      <c r="GWT138" s="422"/>
      <c r="GWU138" s="422"/>
      <c r="GWV138" s="422"/>
      <c r="GWW138" s="422"/>
      <c r="GWX138" s="422"/>
      <c r="GWY138" s="422"/>
      <c r="GWZ138" s="422"/>
      <c r="GXA138" s="422"/>
      <c r="GXB138" s="422"/>
      <c r="GXC138" s="422"/>
      <c r="GXD138" s="422"/>
      <c r="GXE138" s="422"/>
      <c r="GXF138" s="422"/>
      <c r="GXG138" s="422"/>
      <c r="GXH138" s="422"/>
      <c r="GXI138" s="422"/>
      <c r="GXJ138" s="422"/>
      <c r="GXK138" s="422"/>
      <c r="GXL138" s="422"/>
      <c r="GXM138" s="422"/>
      <c r="GXN138" s="422"/>
      <c r="GXO138" s="422"/>
      <c r="GXP138" s="422"/>
      <c r="GXQ138" s="422"/>
      <c r="GXR138" s="422"/>
      <c r="GXS138" s="422"/>
      <c r="GXT138" s="422"/>
      <c r="GXU138" s="422"/>
      <c r="GXV138" s="422"/>
      <c r="GXW138" s="422"/>
      <c r="GXX138" s="422"/>
      <c r="GXY138" s="422"/>
      <c r="GXZ138" s="422"/>
      <c r="GYA138" s="422"/>
      <c r="GYB138" s="422"/>
      <c r="GYC138" s="422"/>
      <c r="GYD138" s="422"/>
      <c r="GYE138" s="422"/>
      <c r="GYF138" s="422"/>
      <c r="GYG138" s="422"/>
      <c r="GYH138" s="422"/>
      <c r="GYI138" s="422"/>
      <c r="GYJ138" s="422"/>
      <c r="GYK138" s="422"/>
      <c r="GYL138" s="422"/>
      <c r="GYM138" s="422"/>
      <c r="GYN138" s="422"/>
      <c r="GYO138" s="422"/>
      <c r="GYP138" s="422"/>
      <c r="GYQ138" s="422"/>
      <c r="GYR138" s="422"/>
      <c r="GYS138" s="422"/>
      <c r="GYT138" s="422"/>
      <c r="GYU138" s="422"/>
      <c r="GYV138" s="422"/>
      <c r="GYW138" s="422"/>
      <c r="GYX138" s="422"/>
      <c r="GYY138" s="422"/>
      <c r="GYZ138" s="422"/>
      <c r="GZA138" s="422"/>
      <c r="GZB138" s="422"/>
      <c r="GZC138" s="422"/>
      <c r="GZD138" s="422"/>
      <c r="GZE138" s="422"/>
      <c r="GZF138" s="422"/>
      <c r="GZG138" s="422"/>
      <c r="GZH138" s="422"/>
      <c r="GZI138" s="422"/>
      <c r="GZJ138" s="422"/>
      <c r="GZK138" s="422"/>
      <c r="GZL138" s="422"/>
      <c r="GZM138" s="422"/>
      <c r="GZN138" s="422"/>
      <c r="GZO138" s="422"/>
      <c r="GZP138" s="422"/>
      <c r="GZQ138" s="422"/>
      <c r="GZR138" s="422"/>
      <c r="GZS138" s="422"/>
      <c r="GZT138" s="422"/>
      <c r="GZU138" s="422"/>
      <c r="GZV138" s="422"/>
      <c r="GZW138" s="422"/>
      <c r="GZX138" s="422"/>
      <c r="GZY138" s="422"/>
      <c r="GZZ138" s="422"/>
      <c r="HAA138" s="422"/>
      <c r="HAB138" s="422"/>
      <c r="HAC138" s="422"/>
      <c r="HAD138" s="422"/>
      <c r="HAE138" s="422"/>
      <c r="HAF138" s="422"/>
      <c r="HAG138" s="422"/>
      <c r="HAH138" s="422"/>
      <c r="HAI138" s="422"/>
      <c r="HAJ138" s="422"/>
      <c r="HAK138" s="422"/>
      <c r="HAL138" s="422"/>
      <c r="HAM138" s="422"/>
      <c r="HAN138" s="422"/>
      <c r="HAO138" s="422"/>
      <c r="HAP138" s="422"/>
      <c r="HAQ138" s="422"/>
      <c r="HAR138" s="422"/>
      <c r="HAS138" s="422"/>
      <c r="HAT138" s="422"/>
      <c r="HAU138" s="422"/>
      <c r="HAV138" s="422"/>
      <c r="HAW138" s="422"/>
      <c r="HAX138" s="422"/>
      <c r="HAY138" s="422"/>
      <c r="HAZ138" s="422"/>
      <c r="HBA138" s="422"/>
      <c r="HBB138" s="422"/>
      <c r="HBC138" s="422"/>
      <c r="HBD138" s="422"/>
      <c r="HBE138" s="422"/>
      <c r="HBF138" s="422"/>
      <c r="HBG138" s="422"/>
      <c r="HBH138" s="422"/>
      <c r="HBI138" s="422"/>
      <c r="HBJ138" s="422"/>
      <c r="HBK138" s="422"/>
      <c r="HBL138" s="422"/>
      <c r="HBM138" s="422"/>
      <c r="HBN138" s="422"/>
      <c r="HBO138" s="422"/>
      <c r="HBP138" s="422"/>
      <c r="HBQ138" s="422"/>
      <c r="HBR138" s="422"/>
      <c r="HBS138" s="422"/>
      <c r="HBT138" s="422"/>
      <c r="HBU138" s="422"/>
      <c r="HBV138" s="422"/>
      <c r="HBW138" s="422"/>
      <c r="HBX138" s="422"/>
      <c r="HBY138" s="422"/>
      <c r="HBZ138" s="422"/>
      <c r="HCA138" s="422"/>
      <c r="HCB138" s="422"/>
      <c r="HCC138" s="422"/>
      <c r="HCD138" s="422"/>
      <c r="HCE138" s="422"/>
      <c r="HCF138" s="422"/>
      <c r="HCG138" s="422"/>
      <c r="HCH138" s="422"/>
      <c r="HCI138" s="422"/>
      <c r="HCJ138" s="422"/>
      <c r="HCK138" s="422"/>
      <c r="HCL138" s="422"/>
      <c r="HCM138" s="422"/>
      <c r="HCN138" s="422"/>
      <c r="HCO138" s="422"/>
      <c r="HCP138" s="422"/>
      <c r="HCQ138" s="422"/>
      <c r="HCR138" s="422"/>
      <c r="HCS138" s="422"/>
      <c r="HCT138" s="422"/>
      <c r="HCU138" s="422"/>
      <c r="HCV138" s="422"/>
      <c r="HCW138" s="422"/>
      <c r="HCX138" s="422"/>
      <c r="HCY138" s="422"/>
      <c r="HCZ138" s="422"/>
      <c r="HDA138" s="422"/>
      <c r="HDB138" s="422"/>
      <c r="HDC138" s="422"/>
      <c r="HDD138" s="422"/>
      <c r="HDE138" s="422"/>
      <c r="HDF138" s="422"/>
      <c r="HDG138" s="422"/>
      <c r="HDH138" s="422"/>
      <c r="HDI138" s="422"/>
      <c r="HDJ138" s="422"/>
      <c r="HDK138" s="422"/>
      <c r="HDL138" s="422"/>
      <c r="HDM138" s="422"/>
      <c r="HDN138" s="422"/>
      <c r="HDO138" s="422"/>
      <c r="HDP138" s="422"/>
      <c r="HDQ138" s="422"/>
      <c r="HDR138" s="422"/>
      <c r="HDS138" s="422"/>
      <c r="HDT138" s="422"/>
      <c r="HDU138" s="422"/>
      <c r="HDV138" s="422"/>
      <c r="HDW138" s="422"/>
      <c r="HDX138" s="422"/>
      <c r="HDY138" s="422"/>
      <c r="HDZ138" s="422"/>
      <c r="HEA138" s="422"/>
      <c r="HEB138" s="422"/>
      <c r="HEC138" s="422"/>
      <c r="HED138" s="422"/>
      <c r="HEE138" s="422"/>
      <c r="HEF138" s="422"/>
      <c r="HEG138" s="422"/>
      <c r="HEH138" s="422"/>
      <c r="HEI138" s="422"/>
      <c r="HEJ138" s="422"/>
      <c r="HEK138" s="422"/>
      <c r="HEL138" s="422"/>
      <c r="HEM138" s="422"/>
      <c r="HEN138" s="422"/>
      <c r="HEO138" s="422"/>
      <c r="HEP138" s="422"/>
      <c r="HEQ138" s="422"/>
      <c r="HER138" s="422"/>
      <c r="HES138" s="422"/>
      <c r="HET138" s="422"/>
      <c r="HEU138" s="422"/>
      <c r="HEV138" s="422"/>
      <c r="HEW138" s="422"/>
      <c r="HEX138" s="422"/>
      <c r="HEY138" s="422"/>
      <c r="HEZ138" s="422"/>
      <c r="HFA138" s="422"/>
      <c r="HFB138" s="422"/>
      <c r="HFC138" s="422"/>
      <c r="HFD138" s="422"/>
      <c r="HFE138" s="422"/>
      <c r="HFF138" s="422"/>
      <c r="HFG138" s="422"/>
      <c r="HFH138" s="422"/>
      <c r="HFI138" s="422"/>
      <c r="HFJ138" s="422"/>
      <c r="HFK138" s="422"/>
      <c r="HFL138" s="422"/>
      <c r="HFM138" s="422"/>
      <c r="HFN138" s="422"/>
      <c r="HFO138" s="422"/>
      <c r="HFP138" s="422"/>
      <c r="HFQ138" s="422"/>
      <c r="HFR138" s="422"/>
      <c r="HFS138" s="422"/>
      <c r="HFT138" s="422"/>
      <c r="HFU138" s="422"/>
      <c r="HFV138" s="422"/>
      <c r="HFW138" s="422"/>
      <c r="HFX138" s="422"/>
      <c r="HFY138" s="422"/>
      <c r="HFZ138" s="422"/>
      <c r="HGA138" s="422"/>
      <c r="HGB138" s="422"/>
      <c r="HGC138" s="422"/>
      <c r="HGD138" s="422"/>
      <c r="HGE138" s="422"/>
      <c r="HGF138" s="422"/>
      <c r="HGG138" s="422"/>
      <c r="HGH138" s="422"/>
      <c r="HGI138" s="422"/>
      <c r="HGJ138" s="422"/>
      <c r="HGK138" s="422"/>
      <c r="HGL138" s="422"/>
      <c r="HGM138" s="422"/>
      <c r="HGN138" s="422"/>
      <c r="HGO138" s="422"/>
      <c r="HGP138" s="422"/>
      <c r="HGQ138" s="422"/>
      <c r="HGR138" s="422"/>
      <c r="HGS138" s="422"/>
      <c r="HGT138" s="422"/>
      <c r="HGU138" s="422"/>
      <c r="HGV138" s="422"/>
      <c r="HGW138" s="422"/>
      <c r="HGX138" s="422"/>
      <c r="HGY138" s="422"/>
      <c r="HGZ138" s="422"/>
      <c r="HHA138" s="422"/>
      <c r="HHB138" s="422"/>
      <c r="HHC138" s="422"/>
      <c r="HHD138" s="422"/>
      <c r="HHE138" s="422"/>
      <c r="HHF138" s="422"/>
      <c r="HHG138" s="422"/>
      <c r="HHH138" s="422"/>
      <c r="HHI138" s="422"/>
      <c r="HHJ138" s="422"/>
      <c r="HHK138" s="422"/>
      <c r="HHL138" s="422"/>
      <c r="HHM138" s="422"/>
      <c r="HHN138" s="422"/>
      <c r="HHO138" s="422"/>
      <c r="HHP138" s="422"/>
      <c r="HHQ138" s="422"/>
      <c r="HHR138" s="422"/>
      <c r="HHS138" s="422"/>
      <c r="HHT138" s="422"/>
      <c r="HHU138" s="422"/>
      <c r="HHV138" s="422"/>
      <c r="HHW138" s="422"/>
      <c r="HHX138" s="422"/>
      <c r="HHY138" s="422"/>
      <c r="HHZ138" s="422"/>
      <c r="HIA138" s="422"/>
      <c r="HIB138" s="422"/>
      <c r="HIC138" s="422"/>
      <c r="HID138" s="422"/>
      <c r="HIE138" s="422"/>
      <c r="HIF138" s="422"/>
      <c r="HIG138" s="422"/>
      <c r="HIH138" s="422"/>
      <c r="HII138" s="422"/>
      <c r="HIJ138" s="422"/>
      <c r="HIK138" s="422"/>
      <c r="HIL138" s="422"/>
      <c r="HIM138" s="422"/>
      <c r="HIN138" s="422"/>
      <c r="HIO138" s="422"/>
      <c r="HIP138" s="422"/>
      <c r="HIQ138" s="422"/>
      <c r="HIR138" s="422"/>
      <c r="HIS138" s="422"/>
      <c r="HIT138" s="422"/>
      <c r="HIU138" s="422"/>
      <c r="HIV138" s="422"/>
      <c r="HIW138" s="422"/>
      <c r="HIX138" s="422"/>
      <c r="HIY138" s="422"/>
      <c r="HIZ138" s="422"/>
      <c r="HJA138" s="422"/>
      <c r="HJB138" s="422"/>
      <c r="HJC138" s="422"/>
      <c r="HJD138" s="422"/>
      <c r="HJE138" s="422"/>
      <c r="HJF138" s="422"/>
      <c r="HJG138" s="422"/>
      <c r="HJH138" s="422"/>
      <c r="HJI138" s="422"/>
      <c r="HJJ138" s="422"/>
      <c r="HJK138" s="422"/>
      <c r="HJL138" s="422"/>
      <c r="HJM138" s="422"/>
      <c r="HJN138" s="422"/>
      <c r="HJO138" s="422"/>
      <c r="HJP138" s="422"/>
      <c r="HJQ138" s="422"/>
      <c r="HJR138" s="422"/>
      <c r="HJS138" s="422"/>
      <c r="HJT138" s="422"/>
      <c r="HJU138" s="422"/>
      <c r="HJV138" s="422"/>
      <c r="HJW138" s="422"/>
      <c r="HJX138" s="422"/>
      <c r="HJY138" s="422"/>
      <c r="HJZ138" s="422"/>
      <c r="HKA138" s="422"/>
      <c r="HKB138" s="422"/>
      <c r="HKC138" s="422"/>
      <c r="HKD138" s="422"/>
      <c r="HKE138" s="422"/>
      <c r="HKF138" s="422"/>
      <c r="HKG138" s="422"/>
      <c r="HKH138" s="422"/>
      <c r="HKI138" s="422"/>
      <c r="HKJ138" s="422"/>
      <c r="HKK138" s="422"/>
      <c r="HKL138" s="422"/>
      <c r="HKM138" s="422"/>
      <c r="HKN138" s="422"/>
      <c r="HKO138" s="422"/>
      <c r="HKP138" s="422"/>
      <c r="HKQ138" s="422"/>
      <c r="HKR138" s="422"/>
      <c r="HKS138" s="422"/>
      <c r="HKT138" s="422"/>
      <c r="HKU138" s="422"/>
      <c r="HKV138" s="422"/>
      <c r="HKW138" s="422"/>
      <c r="HKX138" s="422"/>
      <c r="HKY138" s="422"/>
      <c r="HKZ138" s="422"/>
      <c r="HLA138" s="422"/>
      <c r="HLB138" s="422"/>
      <c r="HLC138" s="422"/>
      <c r="HLD138" s="422"/>
      <c r="HLE138" s="422"/>
      <c r="HLF138" s="422"/>
      <c r="HLG138" s="422"/>
      <c r="HLH138" s="422"/>
      <c r="HLI138" s="422"/>
      <c r="HLJ138" s="422"/>
      <c r="HLK138" s="422"/>
      <c r="HLL138" s="422"/>
      <c r="HLM138" s="422"/>
      <c r="HLN138" s="422"/>
      <c r="HLO138" s="422"/>
      <c r="HLP138" s="422"/>
      <c r="HLQ138" s="422"/>
      <c r="HLR138" s="422"/>
      <c r="HLS138" s="422"/>
      <c r="HLT138" s="422"/>
      <c r="HLU138" s="422"/>
      <c r="HLV138" s="422"/>
      <c r="HLW138" s="422"/>
      <c r="HLX138" s="422"/>
      <c r="HLY138" s="422"/>
      <c r="HLZ138" s="422"/>
      <c r="HMA138" s="422"/>
      <c r="HMB138" s="422"/>
      <c r="HMC138" s="422"/>
      <c r="HMD138" s="422"/>
      <c r="HME138" s="422"/>
      <c r="HMF138" s="422"/>
      <c r="HMG138" s="422"/>
      <c r="HMH138" s="422"/>
      <c r="HMI138" s="422"/>
      <c r="HMJ138" s="422"/>
      <c r="HMK138" s="422"/>
      <c r="HML138" s="422"/>
      <c r="HMM138" s="422"/>
      <c r="HMN138" s="422"/>
      <c r="HMO138" s="422"/>
      <c r="HMP138" s="422"/>
      <c r="HMQ138" s="422"/>
      <c r="HMR138" s="422"/>
      <c r="HMS138" s="422"/>
      <c r="HMT138" s="422"/>
      <c r="HMU138" s="422"/>
      <c r="HMV138" s="422"/>
      <c r="HMW138" s="422"/>
      <c r="HMX138" s="422"/>
      <c r="HMY138" s="422"/>
      <c r="HMZ138" s="422"/>
      <c r="HNA138" s="422"/>
      <c r="HNB138" s="422"/>
      <c r="HNC138" s="422"/>
      <c r="HND138" s="422"/>
      <c r="HNE138" s="422"/>
      <c r="HNF138" s="422"/>
      <c r="HNG138" s="422"/>
      <c r="HNH138" s="422"/>
      <c r="HNI138" s="422"/>
      <c r="HNJ138" s="422"/>
      <c r="HNK138" s="422"/>
      <c r="HNL138" s="422"/>
      <c r="HNM138" s="422"/>
      <c r="HNN138" s="422"/>
      <c r="HNO138" s="422"/>
      <c r="HNP138" s="422"/>
      <c r="HNQ138" s="422"/>
      <c r="HNR138" s="422"/>
      <c r="HNS138" s="422"/>
      <c r="HNT138" s="422"/>
      <c r="HNU138" s="422"/>
      <c r="HNV138" s="422"/>
      <c r="HNW138" s="422"/>
      <c r="HNX138" s="422"/>
      <c r="HNY138" s="422"/>
      <c r="HNZ138" s="422"/>
      <c r="HOA138" s="422"/>
      <c r="HOB138" s="422"/>
      <c r="HOC138" s="422"/>
      <c r="HOD138" s="422"/>
      <c r="HOE138" s="422"/>
      <c r="HOF138" s="422"/>
      <c r="HOG138" s="422"/>
      <c r="HOH138" s="422"/>
      <c r="HOI138" s="422"/>
      <c r="HOJ138" s="422"/>
      <c r="HOK138" s="422"/>
      <c r="HOL138" s="422"/>
      <c r="HOM138" s="422"/>
      <c r="HON138" s="422"/>
      <c r="HOO138" s="422"/>
      <c r="HOP138" s="422"/>
      <c r="HOQ138" s="422"/>
      <c r="HOR138" s="422"/>
      <c r="HOS138" s="422"/>
      <c r="HOT138" s="422"/>
      <c r="HOU138" s="422"/>
      <c r="HOV138" s="422"/>
      <c r="HOW138" s="422"/>
      <c r="HOX138" s="422"/>
      <c r="HOY138" s="422"/>
      <c r="HOZ138" s="422"/>
      <c r="HPA138" s="422"/>
      <c r="HPB138" s="422"/>
      <c r="HPC138" s="422"/>
      <c r="HPD138" s="422"/>
      <c r="HPE138" s="422"/>
      <c r="HPF138" s="422"/>
      <c r="HPG138" s="422"/>
      <c r="HPH138" s="422"/>
      <c r="HPI138" s="422"/>
      <c r="HPJ138" s="422"/>
      <c r="HPK138" s="422"/>
      <c r="HPL138" s="422"/>
      <c r="HPM138" s="422"/>
      <c r="HPN138" s="422"/>
      <c r="HPO138" s="422"/>
      <c r="HPP138" s="422"/>
      <c r="HPQ138" s="422"/>
      <c r="HPR138" s="422"/>
      <c r="HPS138" s="422"/>
      <c r="HPT138" s="422"/>
      <c r="HPU138" s="422"/>
      <c r="HPV138" s="422"/>
      <c r="HPW138" s="422"/>
      <c r="HPX138" s="422"/>
      <c r="HPY138" s="422"/>
      <c r="HPZ138" s="422"/>
      <c r="HQA138" s="422"/>
      <c r="HQB138" s="422"/>
      <c r="HQC138" s="422"/>
      <c r="HQD138" s="422"/>
      <c r="HQE138" s="422"/>
      <c r="HQF138" s="422"/>
      <c r="HQG138" s="422"/>
      <c r="HQH138" s="422"/>
      <c r="HQI138" s="422"/>
      <c r="HQJ138" s="422"/>
      <c r="HQK138" s="422"/>
      <c r="HQL138" s="422"/>
      <c r="HQM138" s="422"/>
      <c r="HQN138" s="422"/>
      <c r="HQO138" s="422"/>
      <c r="HQP138" s="422"/>
      <c r="HQQ138" s="422"/>
      <c r="HQR138" s="422"/>
      <c r="HQS138" s="422"/>
      <c r="HQT138" s="422"/>
      <c r="HQU138" s="422"/>
      <c r="HQV138" s="422"/>
      <c r="HQW138" s="422"/>
      <c r="HQX138" s="422"/>
      <c r="HQY138" s="422"/>
      <c r="HQZ138" s="422"/>
      <c r="HRA138" s="422"/>
      <c r="HRB138" s="422"/>
      <c r="HRC138" s="422"/>
      <c r="HRD138" s="422"/>
      <c r="HRE138" s="422"/>
      <c r="HRF138" s="422"/>
      <c r="HRG138" s="422"/>
      <c r="HRH138" s="422"/>
      <c r="HRI138" s="422"/>
      <c r="HRJ138" s="422"/>
      <c r="HRK138" s="422"/>
      <c r="HRL138" s="422"/>
      <c r="HRM138" s="422"/>
      <c r="HRN138" s="422"/>
      <c r="HRO138" s="422"/>
      <c r="HRP138" s="422"/>
      <c r="HRQ138" s="422"/>
      <c r="HRR138" s="422"/>
      <c r="HRS138" s="422"/>
      <c r="HRT138" s="422"/>
      <c r="HRU138" s="422"/>
      <c r="HRV138" s="422"/>
      <c r="HRW138" s="422"/>
      <c r="HRX138" s="422"/>
      <c r="HRY138" s="422"/>
      <c r="HRZ138" s="422"/>
      <c r="HSA138" s="422"/>
      <c r="HSB138" s="422"/>
      <c r="HSC138" s="422"/>
      <c r="HSD138" s="422"/>
      <c r="HSE138" s="422"/>
      <c r="HSF138" s="422"/>
      <c r="HSG138" s="422"/>
      <c r="HSH138" s="422"/>
      <c r="HSI138" s="422"/>
      <c r="HSJ138" s="422"/>
      <c r="HSK138" s="422"/>
      <c r="HSL138" s="422"/>
      <c r="HSM138" s="422"/>
      <c r="HSN138" s="422"/>
      <c r="HSO138" s="422"/>
      <c r="HSP138" s="422"/>
      <c r="HSQ138" s="422"/>
      <c r="HSR138" s="422"/>
      <c r="HSS138" s="422"/>
      <c r="HST138" s="422"/>
      <c r="HSU138" s="422"/>
      <c r="HSV138" s="422"/>
      <c r="HSW138" s="422"/>
      <c r="HSX138" s="422"/>
      <c r="HSY138" s="422"/>
      <c r="HSZ138" s="422"/>
      <c r="HTA138" s="422"/>
      <c r="HTB138" s="422"/>
      <c r="HTC138" s="422"/>
      <c r="HTD138" s="422"/>
      <c r="HTE138" s="422"/>
      <c r="HTF138" s="422"/>
      <c r="HTG138" s="422"/>
      <c r="HTH138" s="422"/>
      <c r="HTI138" s="422"/>
      <c r="HTJ138" s="422"/>
      <c r="HTK138" s="422"/>
      <c r="HTL138" s="422"/>
      <c r="HTM138" s="422"/>
      <c r="HTN138" s="422"/>
      <c r="HTO138" s="422"/>
      <c r="HTP138" s="422"/>
      <c r="HTQ138" s="422"/>
      <c r="HTR138" s="422"/>
      <c r="HTS138" s="422"/>
      <c r="HTT138" s="422"/>
      <c r="HTU138" s="422"/>
      <c r="HTV138" s="422"/>
      <c r="HTW138" s="422"/>
      <c r="HTX138" s="422"/>
      <c r="HTY138" s="422"/>
      <c r="HTZ138" s="422"/>
      <c r="HUA138" s="422"/>
      <c r="HUB138" s="422"/>
      <c r="HUC138" s="422"/>
      <c r="HUD138" s="422"/>
      <c r="HUE138" s="422"/>
      <c r="HUF138" s="422"/>
      <c r="HUG138" s="422"/>
      <c r="HUH138" s="422"/>
      <c r="HUI138" s="422"/>
      <c r="HUJ138" s="422"/>
      <c r="HUK138" s="422"/>
      <c r="HUL138" s="422"/>
      <c r="HUM138" s="422"/>
      <c r="HUN138" s="422"/>
      <c r="HUO138" s="422"/>
      <c r="HUP138" s="422"/>
      <c r="HUQ138" s="422"/>
      <c r="HUR138" s="422"/>
      <c r="HUS138" s="422"/>
      <c r="HUT138" s="422"/>
      <c r="HUU138" s="422"/>
      <c r="HUV138" s="422"/>
      <c r="HUW138" s="422"/>
      <c r="HUX138" s="422"/>
      <c r="HUY138" s="422"/>
      <c r="HUZ138" s="422"/>
      <c r="HVA138" s="422"/>
      <c r="HVB138" s="422"/>
      <c r="HVC138" s="422"/>
      <c r="HVD138" s="422"/>
      <c r="HVE138" s="422"/>
      <c r="HVF138" s="422"/>
      <c r="HVG138" s="422"/>
      <c r="HVH138" s="422"/>
      <c r="HVI138" s="422"/>
      <c r="HVJ138" s="422"/>
      <c r="HVK138" s="422"/>
      <c r="HVL138" s="422"/>
      <c r="HVM138" s="422"/>
      <c r="HVN138" s="422"/>
      <c r="HVO138" s="422"/>
      <c r="HVP138" s="422"/>
      <c r="HVQ138" s="422"/>
      <c r="HVR138" s="422"/>
      <c r="HVS138" s="422"/>
      <c r="HVT138" s="422"/>
      <c r="HVU138" s="422"/>
      <c r="HVV138" s="422"/>
      <c r="HVW138" s="422"/>
      <c r="HVX138" s="422"/>
      <c r="HVY138" s="422"/>
      <c r="HVZ138" s="422"/>
      <c r="HWA138" s="422"/>
      <c r="HWB138" s="422"/>
      <c r="HWC138" s="422"/>
      <c r="HWD138" s="422"/>
      <c r="HWE138" s="422"/>
      <c r="HWF138" s="422"/>
      <c r="HWG138" s="422"/>
      <c r="HWH138" s="422"/>
      <c r="HWI138" s="422"/>
      <c r="HWJ138" s="422"/>
      <c r="HWK138" s="422"/>
      <c r="HWL138" s="422"/>
      <c r="HWM138" s="422"/>
      <c r="HWN138" s="422"/>
      <c r="HWO138" s="422"/>
      <c r="HWP138" s="422"/>
      <c r="HWQ138" s="422"/>
      <c r="HWR138" s="422"/>
      <c r="HWS138" s="422"/>
      <c r="HWT138" s="422"/>
      <c r="HWU138" s="422"/>
      <c r="HWV138" s="422"/>
      <c r="HWW138" s="422"/>
      <c r="HWX138" s="422"/>
      <c r="HWY138" s="422"/>
      <c r="HWZ138" s="422"/>
      <c r="HXA138" s="422"/>
      <c r="HXB138" s="422"/>
      <c r="HXC138" s="422"/>
      <c r="HXD138" s="422"/>
      <c r="HXE138" s="422"/>
      <c r="HXF138" s="422"/>
      <c r="HXG138" s="422"/>
      <c r="HXH138" s="422"/>
      <c r="HXI138" s="422"/>
      <c r="HXJ138" s="422"/>
      <c r="HXK138" s="422"/>
      <c r="HXL138" s="422"/>
      <c r="HXM138" s="422"/>
      <c r="HXN138" s="422"/>
      <c r="HXO138" s="422"/>
      <c r="HXP138" s="422"/>
      <c r="HXQ138" s="422"/>
      <c r="HXR138" s="422"/>
      <c r="HXS138" s="422"/>
      <c r="HXT138" s="422"/>
      <c r="HXU138" s="422"/>
      <c r="HXV138" s="422"/>
      <c r="HXW138" s="422"/>
      <c r="HXX138" s="422"/>
      <c r="HXY138" s="422"/>
      <c r="HXZ138" s="422"/>
      <c r="HYA138" s="422"/>
      <c r="HYB138" s="422"/>
      <c r="HYC138" s="422"/>
      <c r="HYD138" s="422"/>
      <c r="HYE138" s="422"/>
      <c r="HYF138" s="422"/>
      <c r="HYG138" s="422"/>
      <c r="HYH138" s="422"/>
      <c r="HYI138" s="422"/>
      <c r="HYJ138" s="422"/>
      <c r="HYK138" s="422"/>
      <c r="HYL138" s="422"/>
      <c r="HYM138" s="422"/>
      <c r="HYN138" s="422"/>
      <c r="HYO138" s="422"/>
      <c r="HYP138" s="422"/>
      <c r="HYQ138" s="422"/>
      <c r="HYR138" s="422"/>
      <c r="HYS138" s="422"/>
      <c r="HYT138" s="422"/>
      <c r="HYU138" s="422"/>
      <c r="HYV138" s="422"/>
      <c r="HYW138" s="422"/>
      <c r="HYX138" s="422"/>
      <c r="HYY138" s="422"/>
      <c r="HYZ138" s="422"/>
      <c r="HZA138" s="422"/>
      <c r="HZB138" s="422"/>
      <c r="HZC138" s="422"/>
      <c r="HZD138" s="422"/>
      <c r="HZE138" s="422"/>
      <c r="HZF138" s="422"/>
      <c r="HZG138" s="422"/>
      <c r="HZH138" s="422"/>
      <c r="HZI138" s="422"/>
      <c r="HZJ138" s="422"/>
      <c r="HZK138" s="422"/>
      <c r="HZL138" s="422"/>
      <c r="HZM138" s="422"/>
      <c r="HZN138" s="422"/>
      <c r="HZO138" s="422"/>
      <c r="HZP138" s="422"/>
      <c r="HZQ138" s="422"/>
      <c r="HZR138" s="422"/>
      <c r="HZS138" s="422"/>
      <c r="HZT138" s="422"/>
      <c r="HZU138" s="422"/>
      <c r="HZV138" s="422"/>
      <c r="HZW138" s="422"/>
      <c r="HZX138" s="422"/>
      <c r="HZY138" s="422"/>
      <c r="HZZ138" s="422"/>
      <c r="IAA138" s="422"/>
      <c r="IAB138" s="422"/>
      <c r="IAC138" s="422"/>
      <c r="IAD138" s="422"/>
      <c r="IAE138" s="422"/>
      <c r="IAF138" s="422"/>
      <c r="IAG138" s="422"/>
      <c r="IAH138" s="422"/>
      <c r="IAI138" s="422"/>
      <c r="IAJ138" s="422"/>
      <c r="IAK138" s="422"/>
      <c r="IAL138" s="422"/>
      <c r="IAM138" s="422"/>
      <c r="IAN138" s="422"/>
      <c r="IAO138" s="422"/>
      <c r="IAP138" s="422"/>
      <c r="IAQ138" s="422"/>
      <c r="IAR138" s="422"/>
      <c r="IAS138" s="422"/>
      <c r="IAT138" s="422"/>
      <c r="IAU138" s="422"/>
      <c r="IAV138" s="422"/>
      <c r="IAW138" s="422"/>
      <c r="IAX138" s="422"/>
      <c r="IAY138" s="422"/>
      <c r="IAZ138" s="422"/>
      <c r="IBA138" s="422"/>
      <c r="IBB138" s="422"/>
      <c r="IBC138" s="422"/>
      <c r="IBD138" s="422"/>
      <c r="IBE138" s="422"/>
      <c r="IBF138" s="422"/>
      <c r="IBG138" s="422"/>
      <c r="IBH138" s="422"/>
      <c r="IBI138" s="422"/>
      <c r="IBJ138" s="422"/>
      <c r="IBK138" s="422"/>
      <c r="IBL138" s="422"/>
      <c r="IBM138" s="422"/>
      <c r="IBN138" s="422"/>
      <c r="IBO138" s="422"/>
      <c r="IBP138" s="422"/>
      <c r="IBQ138" s="422"/>
      <c r="IBR138" s="422"/>
      <c r="IBS138" s="422"/>
      <c r="IBT138" s="422"/>
      <c r="IBU138" s="422"/>
      <c r="IBV138" s="422"/>
      <c r="IBW138" s="422"/>
      <c r="IBX138" s="422"/>
      <c r="IBY138" s="422"/>
      <c r="IBZ138" s="422"/>
      <c r="ICA138" s="422"/>
      <c r="ICB138" s="422"/>
      <c r="ICC138" s="422"/>
      <c r="ICD138" s="422"/>
      <c r="ICE138" s="422"/>
      <c r="ICF138" s="422"/>
      <c r="ICG138" s="422"/>
      <c r="ICH138" s="422"/>
      <c r="ICI138" s="422"/>
      <c r="ICJ138" s="422"/>
      <c r="ICK138" s="422"/>
      <c r="ICL138" s="422"/>
      <c r="ICM138" s="422"/>
      <c r="ICN138" s="422"/>
      <c r="ICO138" s="422"/>
      <c r="ICP138" s="422"/>
      <c r="ICQ138" s="422"/>
      <c r="ICR138" s="422"/>
      <c r="ICS138" s="422"/>
      <c r="ICT138" s="422"/>
      <c r="ICU138" s="422"/>
      <c r="ICV138" s="422"/>
      <c r="ICW138" s="422"/>
      <c r="ICX138" s="422"/>
      <c r="ICY138" s="422"/>
      <c r="ICZ138" s="422"/>
      <c r="IDA138" s="422"/>
      <c r="IDB138" s="422"/>
      <c r="IDC138" s="422"/>
      <c r="IDD138" s="422"/>
      <c r="IDE138" s="422"/>
      <c r="IDF138" s="422"/>
      <c r="IDG138" s="422"/>
      <c r="IDH138" s="422"/>
      <c r="IDI138" s="422"/>
      <c r="IDJ138" s="422"/>
      <c r="IDK138" s="422"/>
      <c r="IDL138" s="422"/>
      <c r="IDM138" s="422"/>
      <c r="IDN138" s="422"/>
      <c r="IDO138" s="422"/>
      <c r="IDP138" s="422"/>
      <c r="IDQ138" s="422"/>
      <c r="IDR138" s="422"/>
      <c r="IDS138" s="422"/>
      <c r="IDT138" s="422"/>
      <c r="IDU138" s="422"/>
      <c r="IDV138" s="422"/>
      <c r="IDW138" s="422"/>
      <c r="IDX138" s="422"/>
      <c r="IDY138" s="422"/>
      <c r="IDZ138" s="422"/>
      <c r="IEA138" s="422"/>
      <c r="IEB138" s="422"/>
      <c r="IEC138" s="422"/>
      <c r="IED138" s="422"/>
      <c r="IEE138" s="422"/>
      <c r="IEF138" s="422"/>
      <c r="IEG138" s="422"/>
      <c r="IEH138" s="422"/>
      <c r="IEI138" s="422"/>
      <c r="IEJ138" s="422"/>
      <c r="IEK138" s="422"/>
      <c r="IEL138" s="422"/>
      <c r="IEM138" s="422"/>
      <c r="IEN138" s="422"/>
      <c r="IEO138" s="422"/>
      <c r="IEP138" s="422"/>
      <c r="IEQ138" s="422"/>
      <c r="IER138" s="422"/>
      <c r="IES138" s="422"/>
      <c r="IET138" s="422"/>
      <c r="IEU138" s="422"/>
      <c r="IEV138" s="422"/>
      <c r="IEW138" s="422"/>
      <c r="IEX138" s="422"/>
      <c r="IEY138" s="422"/>
      <c r="IEZ138" s="422"/>
      <c r="IFA138" s="422"/>
      <c r="IFB138" s="422"/>
      <c r="IFC138" s="422"/>
      <c r="IFD138" s="422"/>
      <c r="IFE138" s="422"/>
      <c r="IFF138" s="422"/>
      <c r="IFG138" s="422"/>
      <c r="IFH138" s="422"/>
      <c r="IFI138" s="422"/>
      <c r="IFJ138" s="422"/>
      <c r="IFK138" s="422"/>
      <c r="IFL138" s="422"/>
      <c r="IFM138" s="422"/>
      <c r="IFN138" s="422"/>
      <c r="IFO138" s="422"/>
      <c r="IFP138" s="422"/>
      <c r="IFQ138" s="422"/>
      <c r="IFR138" s="422"/>
      <c r="IFS138" s="422"/>
      <c r="IFT138" s="422"/>
      <c r="IFU138" s="422"/>
      <c r="IFV138" s="422"/>
      <c r="IFW138" s="422"/>
      <c r="IFX138" s="422"/>
      <c r="IFY138" s="422"/>
      <c r="IFZ138" s="422"/>
      <c r="IGA138" s="422"/>
      <c r="IGB138" s="422"/>
      <c r="IGC138" s="422"/>
      <c r="IGD138" s="422"/>
      <c r="IGE138" s="422"/>
      <c r="IGF138" s="422"/>
      <c r="IGG138" s="422"/>
      <c r="IGH138" s="422"/>
      <c r="IGI138" s="422"/>
      <c r="IGJ138" s="422"/>
      <c r="IGK138" s="422"/>
      <c r="IGL138" s="422"/>
      <c r="IGM138" s="422"/>
      <c r="IGN138" s="422"/>
      <c r="IGO138" s="422"/>
      <c r="IGP138" s="422"/>
      <c r="IGQ138" s="422"/>
      <c r="IGR138" s="422"/>
      <c r="IGS138" s="422"/>
      <c r="IGT138" s="422"/>
      <c r="IGU138" s="422"/>
      <c r="IGV138" s="422"/>
      <c r="IGW138" s="422"/>
      <c r="IGX138" s="422"/>
      <c r="IGY138" s="422"/>
      <c r="IGZ138" s="422"/>
      <c r="IHA138" s="422"/>
      <c r="IHB138" s="422"/>
      <c r="IHC138" s="422"/>
      <c r="IHD138" s="422"/>
      <c r="IHE138" s="422"/>
      <c r="IHF138" s="422"/>
      <c r="IHG138" s="422"/>
      <c r="IHH138" s="422"/>
      <c r="IHI138" s="422"/>
      <c r="IHJ138" s="422"/>
      <c r="IHK138" s="422"/>
      <c r="IHL138" s="422"/>
      <c r="IHM138" s="422"/>
      <c r="IHN138" s="422"/>
      <c r="IHO138" s="422"/>
      <c r="IHP138" s="422"/>
      <c r="IHQ138" s="422"/>
      <c r="IHR138" s="422"/>
      <c r="IHS138" s="422"/>
      <c r="IHT138" s="422"/>
      <c r="IHU138" s="422"/>
      <c r="IHV138" s="422"/>
      <c r="IHW138" s="422"/>
      <c r="IHX138" s="422"/>
      <c r="IHY138" s="422"/>
      <c r="IHZ138" s="422"/>
      <c r="IIA138" s="422"/>
      <c r="IIB138" s="422"/>
      <c r="IIC138" s="422"/>
      <c r="IID138" s="422"/>
      <c r="IIE138" s="422"/>
      <c r="IIF138" s="422"/>
      <c r="IIG138" s="422"/>
      <c r="IIH138" s="422"/>
      <c r="III138" s="422"/>
      <c r="IIJ138" s="422"/>
      <c r="IIK138" s="422"/>
      <c r="IIL138" s="422"/>
      <c r="IIM138" s="422"/>
      <c r="IIN138" s="422"/>
      <c r="IIO138" s="422"/>
      <c r="IIP138" s="422"/>
      <c r="IIQ138" s="422"/>
      <c r="IIR138" s="422"/>
      <c r="IIS138" s="422"/>
      <c r="IIT138" s="422"/>
      <c r="IIU138" s="422"/>
      <c r="IIV138" s="422"/>
      <c r="IIW138" s="422"/>
      <c r="IIX138" s="422"/>
      <c r="IIY138" s="422"/>
      <c r="IIZ138" s="422"/>
      <c r="IJA138" s="422"/>
      <c r="IJB138" s="422"/>
      <c r="IJC138" s="422"/>
      <c r="IJD138" s="422"/>
      <c r="IJE138" s="422"/>
      <c r="IJF138" s="422"/>
      <c r="IJG138" s="422"/>
      <c r="IJH138" s="422"/>
      <c r="IJI138" s="422"/>
      <c r="IJJ138" s="422"/>
      <c r="IJK138" s="422"/>
      <c r="IJL138" s="422"/>
      <c r="IJM138" s="422"/>
      <c r="IJN138" s="422"/>
      <c r="IJO138" s="422"/>
      <c r="IJP138" s="422"/>
      <c r="IJQ138" s="422"/>
      <c r="IJR138" s="422"/>
      <c r="IJS138" s="422"/>
      <c r="IJT138" s="422"/>
      <c r="IJU138" s="422"/>
      <c r="IJV138" s="422"/>
      <c r="IJW138" s="422"/>
      <c r="IJX138" s="422"/>
      <c r="IJY138" s="422"/>
      <c r="IJZ138" s="422"/>
      <c r="IKA138" s="422"/>
      <c r="IKB138" s="422"/>
      <c r="IKC138" s="422"/>
      <c r="IKD138" s="422"/>
      <c r="IKE138" s="422"/>
      <c r="IKF138" s="422"/>
      <c r="IKG138" s="422"/>
      <c r="IKH138" s="422"/>
      <c r="IKI138" s="422"/>
      <c r="IKJ138" s="422"/>
      <c r="IKK138" s="422"/>
      <c r="IKL138" s="422"/>
      <c r="IKM138" s="422"/>
      <c r="IKN138" s="422"/>
      <c r="IKO138" s="422"/>
      <c r="IKP138" s="422"/>
      <c r="IKQ138" s="422"/>
      <c r="IKR138" s="422"/>
      <c r="IKS138" s="422"/>
      <c r="IKT138" s="422"/>
      <c r="IKU138" s="422"/>
      <c r="IKV138" s="422"/>
      <c r="IKW138" s="422"/>
      <c r="IKX138" s="422"/>
      <c r="IKY138" s="422"/>
      <c r="IKZ138" s="422"/>
      <c r="ILA138" s="422"/>
      <c r="ILB138" s="422"/>
      <c r="ILC138" s="422"/>
      <c r="ILD138" s="422"/>
      <c r="ILE138" s="422"/>
      <c r="ILF138" s="422"/>
      <c r="ILG138" s="422"/>
      <c r="ILH138" s="422"/>
      <c r="ILI138" s="422"/>
      <c r="ILJ138" s="422"/>
      <c r="ILK138" s="422"/>
      <c r="ILL138" s="422"/>
      <c r="ILM138" s="422"/>
      <c r="ILN138" s="422"/>
      <c r="ILO138" s="422"/>
      <c r="ILP138" s="422"/>
      <c r="ILQ138" s="422"/>
      <c r="ILR138" s="422"/>
      <c r="ILS138" s="422"/>
      <c r="ILT138" s="422"/>
      <c r="ILU138" s="422"/>
      <c r="ILV138" s="422"/>
      <c r="ILW138" s="422"/>
      <c r="ILX138" s="422"/>
      <c r="ILY138" s="422"/>
      <c r="ILZ138" s="422"/>
      <c r="IMA138" s="422"/>
      <c r="IMB138" s="422"/>
      <c r="IMC138" s="422"/>
      <c r="IMD138" s="422"/>
      <c r="IME138" s="422"/>
      <c r="IMF138" s="422"/>
      <c r="IMG138" s="422"/>
      <c r="IMH138" s="422"/>
      <c r="IMI138" s="422"/>
      <c r="IMJ138" s="422"/>
      <c r="IMK138" s="422"/>
      <c r="IML138" s="422"/>
      <c r="IMM138" s="422"/>
      <c r="IMN138" s="422"/>
      <c r="IMO138" s="422"/>
      <c r="IMP138" s="422"/>
      <c r="IMQ138" s="422"/>
      <c r="IMR138" s="422"/>
      <c r="IMS138" s="422"/>
      <c r="IMT138" s="422"/>
      <c r="IMU138" s="422"/>
      <c r="IMV138" s="422"/>
      <c r="IMW138" s="422"/>
      <c r="IMX138" s="422"/>
      <c r="IMY138" s="422"/>
      <c r="IMZ138" s="422"/>
      <c r="INA138" s="422"/>
      <c r="INB138" s="422"/>
      <c r="INC138" s="422"/>
      <c r="IND138" s="422"/>
      <c r="INE138" s="422"/>
      <c r="INF138" s="422"/>
      <c r="ING138" s="422"/>
      <c r="INH138" s="422"/>
      <c r="INI138" s="422"/>
      <c r="INJ138" s="422"/>
      <c r="INK138" s="422"/>
      <c r="INL138" s="422"/>
      <c r="INM138" s="422"/>
      <c r="INN138" s="422"/>
      <c r="INO138" s="422"/>
      <c r="INP138" s="422"/>
      <c r="INQ138" s="422"/>
      <c r="INR138" s="422"/>
      <c r="INS138" s="422"/>
      <c r="INT138" s="422"/>
      <c r="INU138" s="422"/>
      <c r="INV138" s="422"/>
      <c r="INW138" s="422"/>
      <c r="INX138" s="422"/>
      <c r="INY138" s="422"/>
      <c r="INZ138" s="422"/>
      <c r="IOA138" s="422"/>
      <c r="IOB138" s="422"/>
      <c r="IOC138" s="422"/>
      <c r="IOD138" s="422"/>
      <c r="IOE138" s="422"/>
      <c r="IOF138" s="422"/>
      <c r="IOG138" s="422"/>
      <c r="IOH138" s="422"/>
      <c r="IOI138" s="422"/>
      <c r="IOJ138" s="422"/>
      <c r="IOK138" s="422"/>
      <c r="IOL138" s="422"/>
      <c r="IOM138" s="422"/>
      <c r="ION138" s="422"/>
      <c r="IOO138" s="422"/>
      <c r="IOP138" s="422"/>
      <c r="IOQ138" s="422"/>
      <c r="IOR138" s="422"/>
      <c r="IOS138" s="422"/>
      <c r="IOT138" s="422"/>
      <c r="IOU138" s="422"/>
      <c r="IOV138" s="422"/>
      <c r="IOW138" s="422"/>
      <c r="IOX138" s="422"/>
      <c r="IOY138" s="422"/>
      <c r="IOZ138" s="422"/>
      <c r="IPA138" s="422"/>
      <c r="IPB138" s="422"/>
      <c r="IPC138" s="422"/>
      <c r="IPD138" s="422"/>
      <c r="IPE138" s="422"/>
      <c r="IPF138" s="422"/>
      <c r="IPG138" s="422"/>
      <c r="IPH138" s="422"/>
      <c r="IPI138" s="422"/>
      <c r="IPJ138" s="422"/>
      <c r="IPK138" s="422"/>
      <c r="IPL138" s="422"/>
      <c r="IPM138" s="422"/>
      <c r="IPN138" s="422"/>
      <c r="IPO138" s="422"/>
      <c r="IPP138" s="422"/>
      <c r="IPQ138" s="422"/>
      <c r="IPR138" s="422"/>
      <c r="IPS138" s="422"/>
      <c r="IPT138" s="422"/>
      <c r="IPU138" s="422"/>
      <c r="IPV138" s="422"/>
      <c r="IPW138" s="422"/>
      <c r="IPX138" s="422"/>
      <c r="IPY138" s="422"/>
      <c r="IPZ138" s="422"/>
      <c r="IQA138" s="422"/>
      <c r="IQB138" s="422"/>
      <c r="IQC138" s="422"/>
      <c r="IQD138" s="422"/>
      <c r="IQE138" s="422"/>
      <c r="IQF138" s="422"/>
      <c r="IQG138" s="422"/>
      <c r="IQH138" s="422"/>
      <c r="IQI138" s="422"/>
      <c r="IQJ138" s="422"/>
      <c r="IQK138" s="422"/>
      <c r="IQL138" s="422"/>
      <c r="IQM138" s="422"/>
      <c r="IQN138" s="422"/>
      <c r="IQO138" s="422"/>
      <c r="IQP138" s="422"/>
      <c r="IQQ138" s="422"/>
      <c r="IQR138" s="422"/>
      <c r="IQS138" s="422"/>
      <c r="IQT138" s="422"/>
      <c r="IQU138" s="422"/>
      <c r="IQV138" s="422"/>
      <c r="IQW138" s="422"/>
      <c r="IQX138" s="422"/>
      <c r="IQY138" s="422"/>
      <c r="IQZ138" s="422"/>
      <c r="IRA138" s="422"/>
      <c r="IRB138" s="422"/>
      <c r="IRC138" s="422"/>
      <c r="IRD138" s="422"/>
      <c r="IRE138" s="422"/>
      <c r="IRF138" s="422"/>
      <c r="IRG138" s="422"/>
      <c r="IRH138" s="422"/>
      <c r="IRI138" s="422"/>
      <c r="IRJ138" s="422"/>
      <c r="IRK138" s="422"/>
      <c r="IRL138" s="422"/>
      <c r="IRM138" s="422"/>
      <c r="IRN138" s="422"/>
      <c r="IRO138" s="422"/>
      <c r="IRP138" s="422"/>
      <c r="IRQ138" s="422"/>
      <c r="IRR138" s="422"/>
      <c r="IRS138" s="422"/>
      <c r="IRT138" s="422"/>
      <c r="IRU138" s="422"/>
      <c r="IRV138" s="422"/>
      <c r="IRW138" s="422"/>
      <c r="IRX138" s="422"/>
      <c r="IRY138" s="422"/>
      <c r="IRZ138" s="422"/>
      <c r="ISA138" s="422"/>
      <c r="ISB138" s="422"/>
      <c r="ISC138" s="422"/>
      <c r="ISD138" s="422"/>
      <c r="ISE138" s="422"/>
      <c r="ISF138" s="422"/>
      <c r="ISG138" s="422"/>
      <c r="ISH138" s="422"/>
      <c r="ISI138" s="422"/>
      <c r="ISJ138" s="422"/>
      <c r="ISK138" s="422"/>
      <c r="ISL138" s="422"/>
      <c r="ISM138" s="422"/>
      <c r="ISN138" s="422"/>
      <c r="ISO138" s="422"/>
      <c r="ISP138" s="422"/>
      <c r="ISQ138" s="422"/>
      <c r="ISR138" s="422"/>
      <c r="ISS138" s="422"/>
      <c r="IST138" s="422"/>
      <c r="ISU138" s="422"/>
      <c r="ISV138" s="422"/>
      <c r="ISW138" s="422"/>
      <c r="ISX138" s="422"/>
      <c r="ISY138" s="422"/>
      <c r="ISZ138" s="422"/>
      <c r="ITA138" s="422"/>
      <c r="ITB138" s="422"/>
      <c r="ITC138" s="422"/>
      <c r="ITD138" s="422"/>
      <c r="ITE138" s="422"/>
      <c r="ITF138" s="422"/>
      <c r="ITG138" s="422"/>
      <c r="ITH138" s="422"/>
      <c r="ITI138" s="422"/>
      <c r="ITJ138" s="422"/>
      <c r="ITK138" s="422"/>
      <c r="ITL138" s="422"/>
      <c r="ITM138" s="422"/>
      <c r="ITN138" s="422"/>
      <c r="ITO138" s="422"/>
      <c r="ITP138" s="422"/>
      <c r="ITQ138" s="422"/>
      <c r="ITR138" s="422"/>
      <c r="ITS138" s="422"/>
      <c r="ITT138" s="422"/>
      <c r="ITU138" s="422"/>
      <c r="ITV138" s="422"/>
      <c r="ITW138" s="422"/>
      <c r="ITX138" s="422"/>
      <c r="ITY138" s="422"/>
      <c r="ITZ138" s="422"/>
      <c r="IUA138" s="422"/>
      <c r="IUB138" s="422"/>
      <c r="IUC138" s="422"/>
      <c r="IUD138" s="422"/>
      <c r="IUE138" s="422"/>
      <c r="IUF138" s="422"/>
      <c r="IUG138" s="422"/>
      <c r="IUH138" s="422"/>
      <c r="IUI138" s="422"/>
      <c r="IUJ138" s="422"/>
      <c r="IUK138" s="422"/>
      <c r="IUL138" s="422"/>
      <c r="IUM138" s="422"/>
      <c r="IUN138" s="422"/>
      <c r="IUO138" s="422"/>
      <c r="IUP138" s="422"/>
      <c r="IUQ138" s="422"/>
      <c r="IUR138" s="422"/>
      <c r="IUS138" s="422"/>
      <c r="IUT138" s="422"/>
      <c r="IUU138" s="422"/>
      <c r="IUV138" s="422"/>
      <c r="IUW138" s="422"/>
      <c r="IUX138" s="422"/>
      <c r="IUY138" s="422"/>
      <c r="IUZ138" s="422"/>
      <c r="IVA138" s="422"/>
      <c r="IVB138" s="422"/>
      <c r="IVC138" s="422"/>
      <c r="IVD138" s="422"/>
      <c r="IVE138" s="422"/>
      <c r="IVF138" s="422"/>
      <c r="IVG138" s="422"/>
      <c r="IVH138" s="422"/>
      <c r="IVI138" s="422"/>
      <c r="IVJ138" s="422"/>
      <c r="IVK138" s="422"/>
      <c r="IVL138" s="422"/>
      <c r="IVM138" s="422"/>
      <c r="IVN138" s="422"/>
      <c r="IVO138" s="422"/>
      <c r="IVP138" s="422"/>
      <c r="IVQ138" s="422"/>
      <c r="IVR138" s="422"/>
      <c r="IVS138" s="422"/>
      <c r="IVT138" s="422"/>
      <c r="IVU138" s="422"/>
      <c r="IVV138" s="422"/>
      <c r="IVW138" s="422"/>
      <c r="IVX138" s="422"/>
      <c r="IVY138" s="422"/>
      <c r="IVZ138" s="422"/>
      <c r="IWA138" s="422"/>
      <c r="IWB138" s="422"/>
      <c r="IWC138" s="422"/>
      <c r="IWD138" s="422"/>
      <c r="IWE138" s="422"/>
      <c r="IWF138" s="422"/>
      <c r="IWG138" s="422"/>
      <c r="IWH138" s="422"/>
      <c r="IWI138" s="422"/>
      <c r="IWJ138" s="422"/>
      <c r="IWK138" s="422"/>
      <c r="IWL138" s="422"/>
      <c r="IWM138" s="422"/>
      <c r="IWN138" s="422"/>
      <c r="IWO138" s="422"/>
      <c r="IWP138" s="422"/>
      <c r="IWQ138" s="422"/>
      <c r="IWR138" s="422"/>
      <c r="IWS138" s="422"/>
      <c r="IWT138" s="422"/>
      <c r="IWU138" s="422"/>
      <c r="IWV138" s="422"/>
      <c r="IWW138" s="422"/>
      <c r="IWX138" s="422"/>
      <c r="IWY138" s="422"/>
      <c r="IWZ138" s="422"/>
      <c r="IXA138" s="422"/>
      <c r="IXB138" s="422"/>
      <c r="IXC138" s="422"/>
      <c r="IXD138" s="422"/>
      <c r="IXE138" s="422"/>
      <c r="IXF138" s="422"/>
      <c r="IXG138" s="422"/>
      <c r="IXH138" s="422"/>
      <c r="IXI138" s="422"/>
      <c r="IXJ138" s="422"/>
      <c r="IXK138" s="422"/>
      <c r="IXL138" s="422"/>
      <c r="IXM138" s="422"/>
      <c r="IXN138" s="422"/>
      <c r="IXO138" s="422"/>
      <c r="IXP138" s="422"/>
      <c r="IXQ138" s="422"/>
      <c r="IXR138" s="422"/>
      <c r="IXS138" s="422"/>
      <c r="IXT138" s="422"/>
      <c r="IXU138" s="422"/>
      <c r="IXV138" s="422"/>
      <c r="IXW138" s="422"/>
      <c r="IXX138" s="422"/>
      <c r="IXY138" s="422"/>
      <c r="IXZ138" s="422"/>
      <c r="IYA138" s="422"/>
      <c r="IYB138" s="422"/>
      <c r="IYC138" s="422"/>
      <c r="IYD138" s="422"/>
      <c r="IYE138" s="422"/>
      <c r="IYF138" s="422"/>
      <c r="IYG138" s="422"/>
      <c r="IYH138" s="422"/>
      <c r="IYI138" s="422"/>
      <c r="IYJ138" s="422"/>
      <c r="IYK138" s="422"/>
      <c r="IYL138" s="422"/>
      <c r="IYM138" s="422"/>
      <c r="IYN138" s="422"/>
      <c r="IYO138" s="422"/>
      <c r="IYP138" s="422"/>
      <c r="IYQ138" s="422"/>
      <c r="IYR138" s="422"/>
      <c r="IYS138" s="422"/>
      <c r="IYT138" s="422"/>
      <c r="IYU138" s="422"/>
      <c r="IYV138" s="422"/>
      <c r="IYW138" s="422"/>
      <c r="IYX138" s="422"/>
      <c r="IYY138" s="422"/>
      <c r="IYZ138" s="422"/>
      <c r="IZA138" s="422"/>
      <c r="IZB138" s="422"/>
      <c r="IZC138" s="422"/>
      <c r="IZD138" s="422"/>
      <c r="IZE138" s="422"/>
      <c r="IZF138" s="422"/>
      <c r="IZG138" s="422"/>
      <c r="IZH138" s="422"/>
      <c r="IZI138" s="422"/>
      <c r="IZJ138" s="422"/>
      <c r="IZK138" s="422"/>
      <c r="IZL138" s="422"/>
      <c r="IZM138" s="422"/>
      <c r="IZN138" s="422"/>
      <c r="IZO138" s="422"/>
      <c r="IZP138" s="422"/>
      <c r="IZQ138" s="422"/>
      <c r="IZR138" s="422"/>
      <c r="IZS138" s="422"/>
      <c r="IZT138" s="422"/>
      <c r="IZU138" s="422"/>
      <c r="IZV138" s="422"/>
      <c r="IZW138" s="422"/>
      <c r="IZX138" s="422"/>
      <c r="IZY138" s="422"/>
      <c r="IZZ138" s="422"/>
      <c r="JAA138" s="422"/>
      <c r="JAB138" s="422"/>
      <c r="JAC138" s="422"/>
      <c r="JAD138" s="422"/>
      <c r="JAE138" s="422"/>
      <c r="JAF138" s="422"/>
      <c r="JAG138" s="422"/>
      <c r="JAH138" s="422"/>
      <c r="JAI138" s="422"/>
      <c r="JAJ138" s="422"/>
      <c r="JAK138" s="422"/>
      <c r="JAL138" s="422"/>
      <c r="JAM138" s="422"/>
      <c r="JAN138" s="422"/>
      <c r="JAO138" s="422"/>
      <c r="JAP138" s="422"/>
      <c r="JAQ138" s="422"/>
      <c r="JAR138" s="422"/>
      <c r="JAS138" s="422"/>
      <c r="JAT138" s="422"/>
      <c r="JAU138" s="422"/>
      <c r="JAV138" s="422"/>
      <c r="JAW138" s="422"/>
      <c r="JAX138" s="422"/>
      <c r="JAY138" s="422"/>
      <c r="JAZ138" s="422"/>
      <c r="JBA138" s="422"/>
      <c r="JBB138" s="422"/>
      <c r="JBC138" s="422"/>
      <c r="JBD138" s="422"/>
      <c r="JBE138" s="422"/>
      <c r="JBF138" s="422"/>
      <c r="JBG138" s="422"/>
      <c r="JBH138" s="422"/>
      <c r="JBI138" s="422"/>
      <c r="JBJ138" s="422"/>
      <c r="JBK138" s="422"/>
      <c r="JBL138" s="422"/>
      <c r="JBM138" s="422"/>
      <c r="JBN138" s="422"/>
      <c r="JBO138" s="422"/>
      <c r="JBP138" s="422"/>
      <c r="JBQ138" s="422"/>
      <c r="JBR138" s="422"/>
      <c r="JBS138" s="422"/>
      <c r="JBT138" s="422"/>
      <c r="JBU138" s="422"/>
      <c r="JBV138" s="422"/>
      <c r="JBW138" s="422"/>
      <c r="JBX138" s="422"/>
      <c r="JBY138" s="422"/>
      <c r="JBZ138" s="422"/>
      <c r="JCA138" s="422"/>
      <c r="JCB138" s="422"/>
      <c r="JCC138" s="422"/>
      <c r="JCD138" s="422"/>
      <c r="JCE138" s="422"/>
      <c r="JCF138" s="422"/>
      <c r="JCG138" s="422"/>
      <c r="JCH138" s="422"/>
      <c r="JCI138" s="422"/>
      <c r="JCJ138" s="422"/>
      <c r="JCK138" s="422"/>
      <c r="JCL138" s="422"/>
      <c r="JCM138" s="422"/>
      <c r="JCN138" s="422"/>
      <c r="JCO138" s="422"/>
      <c r="JCP138" s="422"/>
      <c r="JCQ138" s="422"/>
      <c r="JCR138" s="422"/>
      <c r="JCS138" s="422"/>
      <c r="JCT138" s="422"/>
      <c r="JCU138" s="422"/>
      <c r="JCV138" s="422"/>
      <c r="JCW138" s="422"/>
      <c r="JCX138" s="422"/>
      <c r="JCY138" s="422"/>
      <c r="JCZ138" s="422"/>
      <c r="JDA138" s="422"/>
      <c r="JDB138" s="422"/>
      <c r="JDC138" s="422"/>
      <c r="JDD138" s="422"/>
      <c r="JDE138" s="422"/>
      <c r="JDF138" s="422"/>
      <c r="JDG138" s="422"/>
      <c r="JDH138" s="422"/>
      <c r="JDI138" s="422"/>
      <c r="JDJ138" s="422"/>
      <c r="JDK138" s="422"/>
      <c r="JDL138" s="422"/>
      <c r="JDM138" s="422"/>
      <c r="JDN138" s="422"/>
      <c r="JDO138" s="422"/>
      <c r="JDP138" s="422"/>
      <c r="JDQ138" s="422"/>
      <c r="JDR138" s="422"/>
      <c r="JDS138" s="422"/>
      <c r="JDT138" s="422"/>
      <c r="JDU138" s="422"/>
      <c r="JDV138" s="422"/>
      <c r="JDW138" s="422"/>
      <c r="JDX138" s="422"/>
      <c r="JDY138" s="422"/>
      <c r="JDZ138" s="422"/>
      <c r="JEA138" s="422"/>
      <c r="JEB138" s="422"/>
      <c r="JEC138" s="422"/>
      <c r="JED138" s="422"/>
      <c r="JEE138" s="422"/>
      <c r="JEF138" s="422"/>
      <c r="JEG138" s="422"/>
      <c r="JEH138" s="422"/>
      <c r="JEI138" s="422"/>
      <c r="JEJ138" s="422"/>
      <c r="JEK138" s="422"/>
      <c r="JEL138" s="422"/>
      <c r="JEM138" s="422"/>
      <c r="JEN138" s="422"/>
      <c r="JEO138" s="422"/>
      <c r="JEP138" s="422"/>
      <c r="JEQ138" s="422"/>
      <c r="JER138" s="422"/>
      <c r="JES138" s="422"/>
      <c r="JET138" s="422"/>
      <c r="JEU138" s="422"/>
      <c r="JEV138" s="422"/>
      <c r="JEW138" s="422"/>
      <c r="JEX138" s="422"/>
      <c r="JEY138" s="422"/>
      <c r="JEZ138" s="422"/>
      <c r="JFA138" s="422"/>
      <c r="JFB138" s="422"/>
      <c r="JFC138" s="422"/>
      <c r="JFD138" s="422"/>
      <c r="JFE138" s="422"/>
      <c r="JFF138" s="422"/>
      <c r="JFG138" s="422"/>
      <c r="JFH138" s="422"/>
      <c r="JFI138" s="422"/>
      <c r="JFJ138" s="422"/>
      <c r="JFK138" s="422"/>
      <c r="JFL138" s="422"/>
      <c r="JFM138" s="422"/>
      <c r="JFN138" s="422"/>
      <c r="JFO138" s="422"/>
      <c r="JFP138" s="422"/>
      <c r="JFQ138" s="422"/>
      <c r="JFR138" s="422"/>
      <c r="JFS138" s="422"/>
      <c r="JFT138" s="422"/>
      <c r="JFU138" s="422"/>
      <c r="JFV138" s="422"/>
      <c r="JFW138" s="422"/>
      <c r="JFX138" s="422"/>
      <c r="JFY138" s="422"/>
      <c r="JFZ138" s="422"/>
      <c r="JGA138" s="422"/>
      <c r="JGB138" s="422"/>
      <c r="JGC138" s="422"/>
      <c r="JGD138" s="422"/>
      <c r="JGE138" s="422"/>
      <c r="JGF138" s="422"/>
      <c r="JGG138" s="422"/>
      <c r="JGH138" s="422"/>
      <c r="JGI138" s="422"/>
      <c r="JGJ138" s="422"/>
      <c r="JGK138" s="422"/>
      <c r="JGL138" s="422"/>
      <c r="JGM138" s="422"/>
      <c r="JGN138" s="422"/>
      <c r="JGO138" s="422"/>
      <c r="JGP138" s="422"/>
      <c r="JGQ138" s="422"/>
      <c r="JGR138" s="422"/>
      <c r="JGS138" s="422"/>
      <c r="JGT138" s="422"/>
      <c r="JGU138" s="422"/>
      <c r="JGV138" s="422"/>
      <c r="JGW138" s="422"/>
      <c r="JGX138" s="422"/>
      <c r="JGY138" s="422"/>
      <c r="JGZ138" s="422"/>
      <c r="JHA138" s="422"/>
      <c r="JHB138" s="422"/>
      <c r="JHC138" s="422"/>
      <c r="JHD138" s="422"/>
      <c r="JHE138" s="422"/>
      <c r="JHF138" s="422"/>
      <c r="JHG138" s="422"/>
      <c r="JHH138" s="422"/>
      <c r="JHI138" s="422"/>
      <c r="JHJ138" s="422"/>
      <c r="JHK138" s="422"/>
      <c r="JHL138" s="422"/>
      <c r="JHM138" s="422"/>
      <c r="JHN138" s="422"/>
      <c r="JHO138" s="422"/>
      <c r="JHP138" s="422"/>
      <c r="JHQ138" s="422"/>
      <c r="JHR138" s="422"/>
      <c r="JHS138" s="422"/>
      <c r="JHT138" s="422"/>
      <c r="JHU138" s="422"/>
      <c r="JHV138" s="422"/>
      <c r="JHW138" s="422"/>
      <c r="JHX138" s="422"/>
      <c r="JHY138" s="422"/>
      <c r="JHZ138" s="422"/>
      <c r="JIA138" s="422"/>
      <c r="JIB138" s="422"/>
      <c r="JIC138" s="422"/>
      <c r="JID138" s="422"/>
      <c r="JIE138" s="422"/>
      <c r="JIF138" s="422"/>
      <c r="JIG138" s="422"/>
      <c r="JIH138" s="422"/>
      <c r="JII138" s="422"/>
      <c r="JIJ138" s="422"/>
      <c r="JIK138" s="422"/>
      <c r="JIL138" s="422"/>
      <c r="JIM138" s="422"/>
      <c r="JIN138" s="422"/>
      <c r="JIO138" s="422"/>
      <c r="JIP138" s="422"/>
      <c r="JIQ138" s="422"/>
      <c r="JIR138" s="422"/>
      <c r="JIS138" s="422"/>
      <c r="JIT138" s="422"/>
      <c r="JIU138" s="422"/>
      <c r="JIV138" s="422"/>
      <c r="JIW138" s="422"/>
      <c r="JIX138" s="422"/>
      <c r="JIY138" s="422"/>
      <c r="JIZ138" s="422"/>
      <c r="JJA138" s="422"/>
      <c r="JJB138" s="422"/>
      <c r="JJC138" s="422"/>
      <c r="JJD138" s="422"/>
      <c r="JJE138" s="422"/>
      <c r="JJF138" s="422"/>
      <c r="JJG138" s="422"/>
      <c r="JJH138" s="422"/>
      <c r="JJI138" s="422"/>
      <c r="JJJ138" s="422"/>
      <c r="JJK138" s="422"/>
      <c r="JJL138" s="422"/>
      <c r="JJM138" s="422"/>
      <c r="JJN138" s="422"/>
      <c r="JJO138" s="422"/>
      <c r="JJP138" s="422"/>
      <c r="JJQ138" s="422"/>
      <c r="JJR138" s="422"/>
      <c r="JJS138" s="422"/>
      <c r="JJT138" s="422"/>
      <c r="JJU138" s="422"/>
      <c r="JJV138" s="422"/>
      <c r="JJW138" s="422"/>
      <c r="JJX138" s="422"/>
      <c r="JJY138" s="422"/>
      <c r="JJZ138" s="422"/>
      <c r="JKA138" s="422"/>
      <c r="JKB138" s="422"/>
      <c r="JKC138" s="422"/>
      <c r="JKD138" s="422"/>
      <c r="JKE138" s="422"/>
      <c r="JKF138" s="422"/>
      <c r="JKG138" s="422"/>
      <c r="JKH138" s="422"/>
      <c r="JKI138" s="422"/>
      <c r="JKJ138" s="422"/>
      <c r="JKK138" s="422"/>
      <c r="JKL138" s="422"/>
      <c r="JKM138" s="422"/>
      <c r="JKN138" s="422"/>
      <c r="JKO138" s="422"/>
      <c r="JKP138" s="422"/>
      <c r="JKQ138" s="422"/>
      <c r="JKR138" s="422"/>
      <c r="JKS138" s="422"/>
      <c r="JKT138" s="422"/>
      <c r="JKU138" s="422"/>
      <c r="JKV138" s="422"/>
      <c r="JKW138" s="422"/>
      <c r="JKX138" s="422"/>
      <c r="JKY138" s="422"/>
      <c r="JKZ138" s="422"/>
      <c r="JLA138" s="422"/>
      <c r="JLB138" s="422"/>
      <c r="JLC138" s="422"/>
      <c r="JLD138" s="422"/>
      <c r="JLE138" s="422"/>
      <c r="JLF138" s="422"/>
      <c r="JLG138" s="422"/>
      <c r="JLH138" s="422"/>
      <c r="JLI138" s="422"/>
      <c r="JLJ138" s="422"/>
      <c r="JLK138" s="422"/>
      <c r="JLL138" s="422"/>
      <c r="JLM138" s="422"/>
      <c r="JLN138" s="422"/>
      <c r="JLO138" s="422"/>
      <c r="JLP138" s="422"/>
      <c r="JLQ138" s="422"/>
      <c r="JLR138" s="422"/>
      <c r="JLS138" s="422"/>
      <c r="JLT138" s="422"/>
      <c r="JLU138" s="422"/>
      <c r="JLV138" s="422"/>
      <c r="JLW138" s="422"/>
      <c r="JLX138" s="422"/>
      <c r="JLY138" s="422"/>
      <c r="JLZ138" s="422"/>
      <c r="JMA138" s="422"/>
      <c r="JMB138" s="422"/>
      <c r="JMC138" s="422"/>
      <c r="JMD138" s="422"/>
      <c r="JME138" s="422"/>
      <c r="JMF138" s="422"/>
      <c r="JMG138" s="422"/>
      <c r="JMH138" s="422"/>
      <c r="JMI138" s="422"/>
      <c r="JMJ138" s="422"/>
      <c r="JMK138" s="422"/>
      <c r="JML138" s="422"/>
      <c r="JMM138" s="422"/>
      <c r="JMN138" s="422"/>
      <c r="JMO138" s="422"/>
      <c r="JMP138" s="422"/>
      <c r="JMQ138" s="422"/>
      <c r="JMR138" s="422"/>
      <c r="JMS138" s="422"/>
      <c r="JMT138" s="422"/>
      <c r="JMU138" s="422"/>
      <c r="JMV138" s="422"/>
      <c r="JMW138" s="422"/>
      <c r="JMX138" s="422"/>
      <c r="JMY138" s="422"/>
      <c r="JMZ138" s="422"/>
      <c r="JNA138" s="422"/>
      <c r="JNB138" s="422"/>
      <c r="JNC138" s="422"/>
      <c r="JND138" s="422"/>
      <c r="JNE138" s="422"/>
      <c r="JNF138" s="422"/>
      <c r="JNG138" s="422"/>
      <c r="JNH138" s="422"/>
      <c r="JNI138" s="422"/>
      <c r="JNJ138" s="422"/>
      <c r="JNK138" s="422"/>
      <c r="JNL138" s="422"/>
      <c r="JNM138" s="422"/>
      <c r="JNN138" s="422"/>
      <c r="JNO138" s="422"/>
      <c r="JNP138" s="422"/>
      <c r="JNQ138" s="422"/>
      <c r="JNR138" s="422"/>
      <c r="JNS138" s="422"/>
      <c r="JNT138" s="422"/>
      <c r="JNU138" s="422"/>
      <c r="JNV138" s="422"/>
      <c r="JNW138" s="422"/>
      <c r="JNX138" s="422"/>
      <c r="JNY138" s="422"/>
      <c r="JNZ138" s="422"/>
      <c r="JOA138" s="422"/>
      <c r="JOB138" s="422"/>
      <c r="JOC138" s="422"/>
      <c r="JOD138" s="422"/>
      <c r="JOE138" s="422"/>
      <c r="JOF138" s="422"/>
      <c r="JOG138" s="422"/>
      <c r="JOH138" s="422"/>
      <c r="JOI138" s="422"/>
      <c r="JOJ138" s="422"/>
      <c r="JOK138" s="422"/>
      <c r="JOL138" s="422"/>
      <c r="JOM138" s="422"/>
      <c r="JON138" s="422"/>
      <c r="JOO138" s="422"/>
      <c r="JOP138" s="422"/>
      <c r="JOQ138" s="422"/>
      <c r="JOR138" s="422"/>
      <c r="JOS138" s="422"/>
      <c r="JOT138" s="422"/>
      <c r="JOU138" s="422"/>
      <c r="JOV138" s="422"/>
      <c r="JOW138" s="422"/>
      <c r="JOX138" s="422"/>
      <c r="JOY138" s="422"/>
      <c r="JOZ138" s="422"/>
      <c r="JPA138" s="422"/>
      <c r="JPB138" s="422"/>
      <c r="JPC138" s="422"/>
      <c r="JPD138" s="422"/>
      <c r="JPE138" s="422"/>
      <c r="JPF138" s="422"/>
      <c r="JPG138" s="422"/>
      <c r="JPH138" s="422"/>
      <c r="JPI138" s="422"/>
      <c r="JPJ138" s="422"/>
      <c r="JPK138" s="422"/>
      <c r="JPL138" s="422"/>
      <c r="JPM138" s="422"/>
      <c r="JPN138" s="422"/>
      <c r="JPO138" s="422"/>
      <c r="JPP138" s="422"/>
      <c r="JPQ138" s="422"/>
      <c r="JPR138" s="422"/>
      <c r="JPS138" s="422"/>
      <c r="JPT138" s="422"/>
      <c r="JPU138" s="422"/>
      <c r="JPV138" s="422"/>
      <c r="JPW138" s="422"/>
      <c r="JPX138" s="422"/>
      <c r="JPY138" s="422"/>
      <c r="JPZ138" s="422"/>
      <c r="JQA138" s="422"/>
      <c r="JQB138" s="422"/>
      <c r="JQC138" s="422"/>
      <c r="JQD138" s="422"/>
      <c r="JQE138" s="422"/>
      <c r="JQF138" s="422"/>
      <c r="JQG138" s="422"/>
      <c r="JQH138" s="422"/>
      <c r="JQI138" s="422"/>
      <c r="JQJ138" s="422"/>
      <c r="JQK138" s="422"/>
      <c r="JQL138" s="422"/>
      <c r="JQM138" s="422"/>
      <c r="JQN138" s="422"/>
      <c r="JQO138" s="422"/>
      <c r="JQP138" s="422"/>
      <c r="JQQ138" s="422"/>
      <c r="JQR138" s="422"/>
      <c r="JQS138" s="422"/>
      <c r="JQT138" s="422"/>
      <c r="JQU138" s="422"/>
      <c r="JQV138" s="422"/>
      <c r="JQW138" s="422"/>
      <c r="JQX138" s="422"/>
      <c r="JQY138" s="422"/>
      <c r="JQZ138" s="422"/>
      <c r="JRA138" s="422"/>
      <c r="JRB138" s="422"/>
      <c r="JRC138" s="422"/>
      <c r="JRD138" s="422"/>
      <c r="JRE138" s="422"/>
      <c r="JRF138" s="422"/>
      <c r="JRG138" s="422"/>
      <c r="JRH138" s="422"/>
      <c r="JRI138" s="422"/>
      <c r="JRJ138" s="422"/>
      <c r="JRK138" s="422"/>
      <c r="JRL138" s="422"/>
      <c r="JRM138" s="422"/>
      <c r="JRN138" s="422"/>
      <c r="JRO138" s="422"/>
      <c r="JRP138" s="422"/>
      <c r="JRQ138" s="422"/>
      <c r="JRR138" s="422"/>
      <c r="JRS138" s="422"/>
      <c r="JRT138" s="422"/>
      <c r="JRU138" s="422"/>
      <c r="JRV138" s="422"/>
      <c r="JRW138" s="422"/>
      <c r="JRX138" s="422"/>
      <c r="JRY138" s="422"/>
      <c r="JRZ138" s="422"/>
      <c r="JSA138" s="422"/>
      <c r="JSB138" s="422"/>
      <c r="JSC138" s="422"/>
      <c r="JSD138" s="422"/>
      <c r="JSE138" s="422"/>
      <c r="JSF138" s="422"/>
      <c r="JSG138" s="422"/>
      <c r="JSH138" s="422"/>
      <c r="JSI138" s="422"/>
      <c r="JSJ138" s="422"/>
      <c r="JSK138" s="422"/>
      <c r="JSL138" s="422"/>
      <c r="JSM138" s="422"/>
      <c r="JSN138" s="422"/>
      <c r="JSO138" s="422"/>
      <c r="JSP138" s="422"/>
      <c r="JSQ138" s="422"/>
      <c r="JSR138" s="422"/>
      <c r="JSS138" s="422"/>
      <c r="JST138" s="422"/>
      <c r="JSU138" s="422"/>
      <c r="JSV138" s="422"/>
      <c r="JSW138" s="422"/>
      <c r="JSX138" s="422"/>
      <c r="JSY138" s="422"/>
      <c r="JSZ138" s="422"/>
      <c r="JTA138" s="422"/>
      <c r="JTB138" s="422"/>
      <c r="JTC138" s="422"/>
      <c r="JTD138" s="422"/>
      <c r="JTE138" s="422"/>
      <c r="JTF138" s="422"/>
      <c r="JTG138" s="422"/>
      <c r="JTH138" s="422"/>
      <c r="JTI138" s="422"/>
      <c r="JTJ138" s="422"/>
      <c r="JTK138" s="422"/>
      <c r="JTL138" s="422"/>
      <c r="JTM138" s="422"/>
      <c r="JTN138" s="422"/>
      <c r="JTO138" s="422"/>
      <c r="JTP138" s="422"/>
      <c r="JTQ138" s="422"/>
      <c r="JTR138" s="422"/>
      <c r="JTS138" s="422"/>
      <c r="JTT138" s="422"/>
      <c r="JTU138" s="422"/>
      <c r="JTV138" s="422"/>
      <c r="JTW138" s="422"/>
      <c r="JTX138" s="422"/>
      <c r="JTY138" s="422"/>
      <c r="JTZ138" s="422"/>
      <c r="JUA138" s="422"/>
      <c r="JUB138" s="422"/>
      <c r="JUC138" s="422"/>
      <c r="JUD138" s="422"/>
      <c r="JUE138" s="422"/>
      <c r="JUF138" s="422"/>
      <c r="JUG138" s="422"/>
      <c r="JUH138" s="422"/>
      <c r="JUI138" s="422"/>
      <c r="JUJ138" s="422"/>
      <c r="JUK138" s="422"/>
      <c r="JUL138" s="422"/>
      <c r="JUM138" s="422"/>
      <c r="JUN138" s="422"/>
      <c r="JUO138" s="422"/>
      <c r="JUP138" s="422"/>
      <c r="JUQ138" s="422"/>
      <c r="JUR138" s="422"/>
      <c r="JUS138" s="422"/>
      <c r="JUT138" s="422"/>
      <c r="JUU138" s="422"/>
      <c r="JUV138" s="422"/>
      <c r="JUW138" s="422"/>
      <c r="JUX138" s="422"/>
      <c r="JUY138" s="422"/>
      <c r="JUZ138" s="422"/>
      <c r="JVA138" s="422"/>
      <c r="JVB138" s="422"/>
      <c r="JVC138" s="422"/>
      <c r="JVD138" s="422"/>
      <c r="JVE138" s="422"/>
      <c r="JVF138" s="422"/>
      <c r="JVG138" s="422"/>
      <c r="JVH138" s="422"/>
      <c r="JVI138" s="422"/>
      <c r="JVJ138" s="422"/>
      <c r="JVK138" s="422"/>
      <c r="JVL138" s="422"/>
      <c r="JVM138" s="422"/>
      <c r="JVN138" s="422"/>
      <c r="JVO138" s="422"/>
      <c r="JVP138" s="422"/>
      <c r="JVQ138" s="422"/>
      <c r="JVR138" s="422"/>
      <c r="JVS138" s="422"/>
      <c r="JVT138" s="422"/>
      <c r="JVU138" s="422"/>
      <c r="JVV138" s="422"/>
      <c r="JVW138" s="422"/>
      <c r="JVX138" s="422"/>
      <c r="JVY138" s="422"/>
      <c r="JVZ138" s="422"/>
      <c r="JWA138" s="422"/>
      <c r="JWB138" s="422"/>
      <c r="JWC138" s="422"/>
      <c r="JWD138" s="422"/>
      <c r="JWE138" s="422"/>
      <c r="JWF138" s="422"/>
      <c r="JWG138" s="422"/>
      <c r="JWH138" s="422"/>
      <c r="JWI138" s="422"/>
      <c r="JWJ138" s="422"/>
      <c r="JWK138" s="422"/>
      <c r="JWL138" s="422"/>
      <c r="JWM138" s="422"/>
      <c r="JWN138" s="422"/>
      <c r="JWO138" s="422"/>
      <c r="JWP138" s="422"/>
      <c r="JWQ138" s="422"/>
      <c r="JWR138" s="422"/>
      <c r="JWS138" s="422"/>
      <c r="JWT138" s="422"/>
      <c r="JWU138" s="422"/>
      <c r="JWV138" s="422"/>
      <c r="JWW138" s="422"/>
      <c r="JWX138" s="422"/>
      <c r="JWY138" s="422"/>
      <c r="JWZ138" s="422"/>
      <c r="JXA138" s="422"/>
      <c r="JXB138" s="422"/>
      <c r="JXC138" s="422"/>
      <c r="JXD138" s="422"/>
      <c r="JXE138" s="422"/>
      <c r="JXF138" s="422"/>
      <c r="JXG138" s="422"/>
      <c r="JXH138" s="422"/>
      <c r="JXI138" s="422"/>
      <c r="JXJ138" s="422"/>
      <c r="JXK138" s="422"/>
      <c r="JXL138" s="422"/>
      <c r="JXM138" s="422"/>
      <c r="JXN138" s="422"/>
      <c r="JXO138" s="422"/>
      <c r="JXP138" s="422"/>
      <c r="JXQ138" s="422"/>
      <c r="JXR138" s="422"/>
      <c r="JXS138" s="422"/>
      <c r="JXT138" s="422"/>
      <c r="JXU138" s="422"/>
      <c r="JXV138" s="422"/>
      <c r="JXW138" s="422"/>
      <c r="JXX138" s="422"/>
      <c r="JXY138" s="422"/>
      <c r="JXZ138" s="422"/>
      <c r="JYA138" s="422"/>
      <c r="JYB138" s="422"/>
      <c r="JYC138" s="422"/>
      <c r="JYD138" s="422"/>
      <c r="JYE138" s="422"/>
      <c r="JYF138" s="422"/>
      <c r="JYG138" s="422"/>
      <c r="JYH138" s="422"/>
      <c r="JYI138" s="422"/>
      <c r="JYJ138" s="422"/>
      <c r="JYK138" s="422"/>
      <c r="JYL138" s="422"/>
      <c r="JYM138" s="422"/>
      <c r="JYN138" s="422"/>
      <c r="JYO138" s="422"/>
      <c r="JYP138" s="422"/>
      <c r="JYQ138" s="422"/>
      <c r="JYR138" s="422"/>
      <c r="JYS138" s="422"/>
      <c r="JYT138" s="422"/>
      <c r="JYU138" s="422"/>
      <c r="JYV138" s="422"/>
      <c r="JYW138" s="422"/>
      <c r="JYX138" s="422"/>
      <c r="JYY138" s="422"/>
      <c r="JYZ138" s="422"/>
      <c r="JZA138" s="422"/>
      <c r="JZB138" s="422"/>
      <c r="JZC138" s="422"/>
      <c r="JZD138" s="422"/>
      <c r="JZE138" s="422"/>
      <c r="JZF138" s="422"/>
      <c r="JZG138" s="422"/>
      <c r="JZH138" s="422"/>
      <c r="JZI138" s="422"/>
      <c r="JZJ138" s="422"/>
      <c r="JZK138" s="422"/>
      <c r="JZL138" s="422"/>
      <c r="JZM138" s="422"/>
      <c r="JZN138" s="422"/>
      <c r="JZO138" s="422"/>
      <c r="JZP138" s="422"/>
      <c r="JZQ138" s="422"/>
      <c r="JZR138" s="422"/>
      <c r="JZS138" s="422"/>
      <c r="JZT138" s="422"/>
      <c r="JZU138" s="422"/>
      <c r="JZV138" s="422"/>
      <c r="JZW138" s="422"/>
      <c r="JZX138" s="422"/>
      <c r="JZY138" s="422"/>
      <c r="JZZ138" s="422"/>
      <c r="KAA138" s="422"/>
      <c r="KAB138" s="422"/>
      <c r="KAC138" s="422"/>
      <c r="KAD138" s="422"/>
      <c r="KAE138" s="422"/>
      <c r="KAF138" s="422"/>
      <c r="KAG138" s="422"/>
      <c r="KAH138" s="422"/>
      <c r="KAI138" s="422"/>
      <c r="KAJ138" s="422"/>
      <c r="KAK138" s="422"/>
      <c r="KAL138" s="422"/>
      <c r="KAM138" s="422"/>
      <c r="KAN138" s="422"/>
      <c r="KAO138" s="422"/>
      <c r="KAP138" s="422"/>
      <c r="KAQ138" s="422"/>
      <c r="KAR138" s="422"/>
      <c r="KAS138" s="422"/>
      <c r="KAT138" s="422"/>
      <c r="KAU138" s="422"/>
      <c r="KAV138" s="422"/>
      <c r="KAW138" s="422"/>
      <c r="KAX138" s="422"/>
      <c r="KAY138" s="422"/>
      <c r="KAZ138" s="422"/>
      <c r="KBA138" s="422"/>
      <c r="KBB138" s="422"/>
      <c r="KBC138" s="422"/>
      <c r="KBD138" s="422"/>
      <c r="KBE138" s="422"/>
      <c r="KBF138" s="422"/>
      <c r="KBG138" s="422"/>
      <c r="KBH138" s="422"/>
      <c r="KBI138" s="422"/>
      <c r="KBJ138" s="422"/>
      <c r="KBK138" s="422"/>
      <c r="KBL138" s="422"/>
      <c r="KBM138" s="422"/>
      <c r="KBN138" s="422"/>
      <c r="KBO138" s="422"/>
      <c r="KBP138" s="422"/>
      <c r="KBQ138" s="422"/>
      <c r="KBR138" s="422"/>
      <c r="KBS138" s="422"/>
      <c r="KBT138" s="422"/>
      <c r="KBU138" s="422"/>
      <c r="KBV138" s="422"/>
      <c r="KBW138" s="422"/>
      <c r="KBX138" s="422"/>
      <c r="KBY138" s="422"/>
      <c r="KBZ138" s="422"/>
      <c r="KCA138" s="422"/>
      <c r="KCB138" s="422"/>
      <c r="KCC138" s="422"/>
      <c r="KCD138" s="422"/>
      <c r="KCE138" s="422"/>
      <c r="KCF138" s="422"/>
      <c r="KCG138" s="422"/>
      <c r="KCH138" s="422"/>
      <c r="KCI138" s="422"/>
      <c r="KCJ138" s="422"/>
      <c r="KCK138" s="422"/>
      <c r="KCL138" s="422"/>
      <c r="KCM138" s="422"/>
      <c r="KCN138" s="422"/>
      <c r="KCO138" s="422"/>
      <c r="KCP138" s="422"/>
      <c r="KCQ138" s="422"/>
      <c r="KCR138" s="422"/>
      <c r="KCS138" s="422"/>
      <c r="KCT138" s="422"/>
      <c r="KCU138" s="422"/>
      <c r="KCV138" s="422"/>
      <c r="KCW138" s="422"/>
      <c r="KCX138" s="422"/>
      <c r="KCY138" s="422"/>
      <c r="KCZ138" s="422"/>
      <c r="KDA138" s="422"/>
      <c r="KDB138" s="422"/>
      <c r="KDC138" s="422"/>
      <c r="KDD138" s="422"/>
      <c r="KDE138" s="422"/>
      <c r="KDF138" s="422"/>
      <c r="KDG138" s="422"/>
      <c r="KDH138" s="422"/>
      <c r="KDI138" s="422"/>
      <c r="KDJ138" s="422"/>
      <c r="KDK138" s="422"/>
      <c r="KDL138" s="422"/>
      <c r="KDM138" s="422"/>
      <c r="KDN138" s="422"/>
      <c r="KDO138" s="422"/>
      <c r="KDP138" s="422"/>
      <c r="KDQ138" s="422"/>
      <c r="KDR138" s="422"/>
      <c r="KDS138" s="422"/>
      <c r="KDT138" s="422"/>
      <c r="KDU138" s="422"/>
      <c r="KDV138" s="422"/>
      <c r="KDW138" s="422"/>
      <c r="KDX138" s="422"/>
      <c r="KDY138" s="422"/>
      <c r="KDZ138" s="422"/>
      <c r="KEA138" s="422"/>
      <c r="KEB138" s="422"/>
      <c r="KEC138" s="422"/>
      <c r="KED138" s="422"/>
      <c r="KEE138" s="422"/>
      <c r="KEF138" s="422"/>
      <c r="KEG138" s="422"/>
      <c r="KEH138" s="422"/>
      <c r="KEI138" s="422"/>
      <c r="KEJ138" s="422"/>
      <c r="KEK138" s="422"/>
      <c r="KEL138" s="422"/>
      <c r="KEM138" s="422"/>
      <c r="KEN138" s="422"/>
      <c r="KEO138" s="422"/>
      <c r="KEP138" s="422"/>
      <c r="KEQ138" s="422"/>
      <c r="KER138" s="422"/>
      <c r="KES138" s="422"/>
      <c r="KET138" s="422"/>
      <c r="KEU138" s="422"/>
      <c r="KEV138" s="422"/>
      <c r="KEW138" s="422"/>
      <c r="KEX138" s="422"/>
      <c r="KEY138" s="422"/>
      <c r="KEZ138" s="422"/>
      <c r="KFA138" s="422"/>
      <c r="KFB138" s="422"/>
      <c r="KFC138" s="422"/>
      <c r="KFD138" s="422"/>
      <c r="KFE138" s="422"/>
      <c r="KFF138" s="422"/>
      <c r="KFG138" s="422"/>
      <c r="KFH138" s="422"/>
      <c r="KFI138" s="422"/>
      <c r="KFJ138" s="422"/>
      <c r="KFK138" s="422"/>
      <c r="KFL138" s="422"/>
      <c r="KFM138" s="422"/>
      <c r="KFN138" s="422"/>
      <c r="KFO138" s="422"/>
      <c r="KFP138" s="422"/>
      <c r="KFQ138" s="422"/>
      <c r="KFR138" s="422"/>
      <c r="KFS138" s="422"/>
      <c r="KFT138" s="422"/>
      <c r="KFU138" s="422"/>
      <c r="KFV138" s="422"/>
      <c r="KFW138" s="422"/>
      <c r="KFX138" s="422"/>
      <c r="KFY138" s="422"/>
      <c r="KFZ138" s="422"/>
      <c r="KGA138" s="422"/>
      <c r="KGB138" s="422"/>
      <c r="KGC138" s="422"/>
      <c r="KGD138" s="422"/>
      <c r="KGE138" s="422"/>
      <c r="KGF138" s="422"/>
      <c r="KGG138" s="422"/>
      <c r="KGH138" s="422"/>
      <c r="KGI138" s="422"/>
      <c r="KGJ138" s="422"/>
      <c r="KGK138" s="422"/>
      <c r="KGL138" s="422"/>
      <c r="KGM138" s="422"/>
      <c r="KGN138" s="422"/>
      <c r="KGO138" s="422"/>
      <c r="KGP138" s="422"/>
      <c r="KGQ138" s="422"/>
      <c r="KGR138" s="422"/>
      <c r="KGS138" s="422"/>
      <c r="KGT138" s="422"/>
      <c r="KGU138" s="422"/>
      <c r="KGV138" s="422"/>
      <c r="KGW138" s="422"/>
      <c r="KGX138" s="422"/>
      <c r="KGY138" s="422"/>
      <c r="KGZ138" s="422"/>
      <c r="KHA138" s="422"/>
      <c r="KHB138" s="422"/>
      <c r="KHC138" s="422"/>
      <c r="KHD138" s="422"/>
      <c r="KHE138" s="422"/>
      <c r="KHF138" s="422"/>
      <c r="KHG138" s="422"/>
      <c r="KHH138" s="422"/>
      <c r="KHI138" s="422"/>
      <c r="KHJ138" s="422"/>
      <c r="KHK138" s="422"/>
      <c r="KHL138" s="422"/>
      <c r="KHM138" s="422"/>
      <c r="KHN138" s="422"/>
      <c r="KHO138" s="422"/>
      <c r="KHP138" s="422"/>
      <c r="KHQ138" s="422"/>
      <c r="KHR138" s="422"/>
      <c r="KHS138" s="422"/>
      <c r="KHT138" s="422"/>
      <c r="KHU138" s="422"/>
      <c r="KHV138" s="422"/>
      <c r="KHW138" s="422"/>
      <c r="KHX138" s="422"/>
      <c r="KHY138" s="422"/>
      <c r="KHZ138" s="422"/>
      <c r="KIA138" s="422"/>
      <c r="KIB138" s="422"/>
      <c r="KIC138" s="422"/>
      <c r="KID138" s="422"/>
      <c r="KIE138" s="422"/>
      <c r="KIF138" s="422"/>
      <c r="KIG138" s="422"/>
      <c r="KIH138" s="422"/>
      <c r="KII138" s="422"/>
      <c r="KIJ138" s="422"/>
      <c r="KIK138" s="422"/>
      <c r="KIL138" s="422"/>
      <c r="KIM138" s="422"/>
      <c r="KIN138" s="422"/>
      <c r="KIO138" s="422"/>
      <c r="KIP138" s="422"/>
      <c r="KIQ138" s="422"/>
      <c r="KIR138" s="422"/>
      <c r="KIS138" s="422"/>
      <c r="KIT138" s="422"/>
      <c r="KIU138" s="422"/>
      <c r="KIV138" s="422"/>
      <c r="KIW138" s="422"/>
      <c r="KIX138" s="422"/>
      <c r="KIY138" s="422"/>
      <c r="KIZ138" s="422"/>
      <c r="KJA138" s="422"/>
      <c r="KJB138" s="422"/>
      <c r="KJC138" s="422"/>
      <c r="KJD138" s="422"/>
      <c r="KJE138" s="422"/>
      <c r="KJF138" s="422"/>
      <c r="KJG138" s="422"/>
      <c r="KJH138" s="422"/>
      <c r="KJI138" s="422"/>
      <c r="KJJ138" s="422"/>
      <c r="KJK138" s="422"/>
      <c r="KJL138" s="422"/>
      <c r="KJM138" s="422"/>
      <c r="KJN138" s="422"/>
      <c r="KJO138" s="422"/>
      <c r="KJP138" s="422"/>
      <c r="KJQ138" s="422"/>
      <c r="KJR138" s="422"/>
      <c r="KJS138" s="422"/>
      <c r="KJT138" s="422"/>
      <c r="KJU138" s="422"/>
      <c r="KJV138" s="422"/>
      <c r="KJW138" s="422"/>
      <c r="KJX138" s="422"/>
      <c r="KJY138" s="422"/>
      <c r="KJZ138" s="422"/>
      <c r="KKA138" s="422"/>
      <c r="KKB138" s="422"/>
      <c r="KKC138" s="422"/>
      <c r="KKD138" s="422"/>
      <c r="KKE138" s="422"/>
      <c r="KKF138" s="422"/>
      <c r="KKG138" s="422"/>
      <c r="KKH138" s="422"/>
      <c r="KKI138" s="422"/>
      <c r="KKJ138" s="422"/>
      <c r="KKK138" s="422"/>
      <c r="KKL138" s="422"/>
      <c r="KKM138" s="422"/>
      <c r="KKN138" s="422"/>
      <c r="KKO138" s="422"/>
      <c r="KKP138" s="422"/>
      <c r="KKQ138" s="422"/>
      <c r="KKR138" s="422"/>
      <c r="KKS138" s="422"/>
      <c r="KKT138" s="422"/>
      <c r="KKU138" s="422"/>
      <c r="KKV138" s="422"/>
      <c r="KKW138" s="422"/>
      <c r="KKX138" s="422"/>
      <c r="KKY138" s="422"/>
      <c r="KKZ138" s="422"/>
      <c r="KLA138" s="422"/>
      <c r="KLB138" s="422"/>
      <c r="KLC138" s="422"/>
      <c r="KLD138" s="422"/>
      <c r="KLE138" s="422"/>
      <c r="KLF138" s="422"/>
      <c r="KLG138" s="422"/>
      <c r="KLH138" s="422"/>
      <c r="KLI138" s="422"/>
      <c r="KLJ138" s="422"/>
      <c r="KLK138" s="422"/>
      <c r="KLL138" s="422"/>
      <c r="KLM138" s="422"/>
      <c r="KLN138" s="422"/>
      <c r="KLO138" s="422"/>
      <c r="KLP138" s="422"/>
      <c r="KLQ138" s="422"/>
      <c r="KLR138" s="422"/>
      <c r="KLS138" s="422"/>
      <c r="KLT138" s="422"/>
      <c r="KLU138" s="422"/>
      <c r="KLV138" s="422"/>
      <c r="KLW138" s="422"/>
      <c r="KLX138" s="422"/>
      <c r="KLY138" s="422"/>
      <c r="KLZ138" s="422"/>
      <c r="KMA138" s="422"/>
      <c r="KMB138" s="422"/>
      <c r="KMC138" s="422"/>
      <c r="KMD138" s="422"/>
      <c r="KME138" s="422"/>
      <c r="KMF138" s="422"/>
      <c r="KMG138" s="422"/>
      <c r="KMH138" s="422"/>
      <c r="KMI138" s="422"/>
      <c r="KMJ138" s="422"/>
      <c r="KMK138" s="422"/>
      <c r="KML138" s="422"/>
      <c r="KMM138" s="422"/>
      <c r="KMN138" s="422"/>
      <c r="KMO138" s="422"/>
      <c r="KMP138" s="422"/>
      <c r="KMQ138" s="422"/>
      <c r="KMR138" s="422"/>
      <c r="KMS138" s="422"/>
      <c r="KMT138" s="422"/>
      <c r="KMU138" s="422"/>
      <c r="KMV138" s="422"/>
      <c r="KMW138" s="422"/>
      <c r="KMX138" s="422"/>
      <c r="KMY138" s="422"/>
      <c r="KMZ138" s="422"/>
      <c r="KNA138" s="422"/>
      <c r="KNB138" s="422"/>
      <c r="KNC138" s="422"/>
      <c r="KND138" s="422"/>
      <c r="KNE138" s="422"/>
      <c r="KNF138" s="422"/>
      <c r="KNG138" s="422"/>
      <c r="KNH138" s="422"/>
      <c r="KNI138" s="422"/>
      <c r="KNJ138" s="422"/>
      <c r="KNK138" s="422"/>
      <c r="KNL138" s="422"/>
      <c r="KNM138" s="422"/>
      <c r="KNN138" s="422"/>
      <c r="KNO138" s="422"/>
      <c r="KNP138" s="422"/>
      <c r="KNQ138" s="422"/>
      <c r="KNR138" s="422"/>
      <c r="KNS138" s="422"/>
      <c r="KNT138" s="422"/>
      <c r="KNU138" s="422"/>
      <c r="KNV138" s="422"/>
      <c r="KNW138" s="422"/>
      <c r="KNX138" s="422"/>
      <c r="KNY138" s="422"/>
      <c r="KNZ138" s="422"/>
      <c r="KOA138" s="422"/>
      <c r="KOB138" s="422"/>
      <c r="KOC138" s="422"/>
      <c r="KOD138" s="422"/>
      <c r="KOE138" s="422"/>
      <c r="KOF138" s="422"/>
      <c r="KOG138" s="422"/>
      <c r="KOH138" s="422"/>
      <c r="KOI138" s="422"/>
      <c r="KOJ138" s="422"/>
      <c r="KOK138" s="422"/>
      <c r="KOL138" s="422"/>
      <c r="KOM138" s="422"/>
      <c r="KON138" s="422"/>
      <c r="KOO138" s="422"/>
      <c r="KOP138" s="422"/>
      <c r="KOQ138" s="422"/>
      <c r="KOR138" s="422"/>
      <c r="KOS138" s="422"/>
      <c r="KOT138" s="422"/>
      <c r="KOU138" s="422"/>
      <c r="KOV138" s="422"/>
      <c r="KOW138" s="422"/>
      <c r="KOX138" s="422"/>
      <c r="KOY138" s="422"/>
      <c r="KOZ138" s="422"/>
      <c r="KPA138" s="422"/>
      <c r="KPB138" s="422"/>
      <c r="KPC138" s="422"/>
      <c r="KPD138" s="422"/>
      <c r="KPE138" s="422"/>
      <c r="KPF138" s="422"/>
      <c r="KPG138" s="422"/>
      <c r="KPH138" s="422"/>
      <c r="KPI138" s="422"/>
      <c r="KPJ138" s="422"/>
      <c r="KPK138" s="422"/>
      <c r="KPL138" s="422"/>
      <c r="KPM138" s="422"/>
      <c r="KPN138" s="422"/>
      <c r="KPO138" s="422"/>
      <c r="KPP138" s="422"/>
      <c r="KPQ138" s="422"/>
      <c r="KPR138" s="422"/>
      <c r="KPS138" s="422"/>
      <c r="KPT138" s="422"/>
      <c r="KPU138" s="422"/>
      <c r="KPV138" s="422"/>
      <c r="KPW138" s="422"/>
      <c r="KPX138" s="422"/>
      <c r="KPY138" s="422"/>
      <c r="KPZ138" s="422"/>
      <c r="KQA138" s="422"/>
      <c r="KQB138" s="422"/>
      <c r="KQC138" s="422"/>
      <c r="KQD138" s="422"/>
      <c r="KQE138" s="422"/>
      <c r="KQF138" s="422"/>
      <c r="KQG138" s="422"/>
      <c r="KQH138" s="422"/>
      <c r="KQI138" s="422"/>
      <c r="KQJ138" s="422"/>
      <c r="KQK138" s="422"/>
      <c r="KQL138" s="422"/>
      <c r="KQM138" s="422"/>
      <c r="KQN138" s="422"/>
      <c r="KQO138" s="422"/>
      <c r="KQP138" s="422"/>
      <c r="KQQ138" s="422"/>
      <c r="KQR138" s="422"/>
      <c r="KQS138" s="422"/>
      <c r="KQT138" s="422"/>
      <c r="KQU138" s="422"/>
      <c r="KQV138" s="422"/>
      <c r="KQW138" s="422"/>
      <c r="KQX138" s="422"/>
      <c r="KQY138" s="422"/>
      <c r="KQZ138" s="422"/>
      <c r="KRA138" s="422"/>
      <c r="KRB138" s="422"/>
      <c r="KRC138" s="422"/>
      <c r="KRD138" s="422"/>
      <c r="KRE138" s="422"/>
      <c r="KRF138" s="422"/>
      <c r="KRG138" s="422"/>
      <c r="KRH138" s="422"/>
      <c r="KRI138" s="422"/>
      <c r="KRJ138" s="422"/>
      <c r="KRK138" s="422"/>
      <c r="KRL138" s="422"/>
      <c r="KRM138" s="422"/>
      <c r="KRN138" s="422"/>
      <c r="KRO138" s="422"/>
      <c r="KRP138" s="422"/>
      <c r="KRQ138" s="422"/>
      <c r="KRR138" s="422"/>
      <c r="KRS138" s="422"/>
      <c r="KRT138" s="422"/>
      <c r="KRU138" s="422"/>
      <c r="KRV138" s="422"/>
      <c r="KRW138" s="422"/>
      <c r="KRX138" s="422"/>
      <c r="KRY138" s="422"/>
      <c r="KRZ138" s="422"/>
      <c r="KSA138" s="422"/>
      <c r="KSB138" s="422"/>
      <c r="KSC138" s="422"/>
      <c r="KSD138" s="422"/>
      <c r="KSE138" s="422"/>
      <c r="KSF138" s="422"/>
      <c r="KSG138" s="422"/>
      <c r="KSH138" s="422"/>
      <c r="KSI138" s="422"/>
      <c r="KSJ138" s="422"/>
      <c r="KSK138" s="422"/>
      <c r="KSL138" s="422"/>
      <c r="KSM138" s="422"/>
      <c r="KSN138" s="422"/>
      <c r="KSO138" s="422"/>
      <c r="KSP138" s="422"/>
      <c r="KSQ138" s="422"/>
      <c r="KSR138" s="422"/>
      <c r="KSS138" s="422"/>
      <c r="KST138" s="422"/>
      <c r="KSU138" s="422"/>
      <c r="KSV138" s="422"/>
      <c r="KSW138" s="422"/>
      <c r="KSX138" s="422"/>
      <c r="KSY138" s="422"/>
      <c r="KSZ138" s="422"/>
      <c r="KTA138" s="422"/>
      <c r="KTB138" s="422"/>
      <c r="KTC138" s="422"/>
      <c r="KTD138" s="422"/>
      <c r="KTE138" s="422"/>
      <c r="KTF138" s="422"/>
      <c r="KTG138" s="422"/>
      <c r="KTH138" s="422"/>
      <c r="KTI138" s="422"/>
      <c r="KTJ138" s="422"/>
      <c r="KTK138" s="422"/>
      <c r="KTL138" s="422"/>
      <c r="KTM138" s="422"/>
      <c r="KTN138" s="422"/>
      <c r="KTO138" s="422"/>
      <c r="KTP138" s="422"/>
      <c r="KTQ138" s="422"/>
      <c r="KTR138" s="422"/>
      <c r="KTS138" s="422"/>
      <c r="KTT138" s="422"/>
      <c r="KTU138" s="422"/>
      <c r="KTV138" s="422"/>
      <c r="KTW138" s="422"/>
      <c r="KTX138" s="422"/>
      <c r="KTY138" s="422"/>
      <c r="KTZ138" s="422"/>
      <c r="KUA138" s="422"/>
      <c r="KUB138" s="422"/>
      <c r="KUC138" s="422"/>
      <c r="KUD138" s="422"/>
      <c r="KUE138" s="422"/>
      <c r="KUF138" s="422"/>
      <c r="KUG138" s="422"/>
      <c r="KUH138" s="422"/>
      <c r="KUI138" s="422"/>
      <c r="KUJ138" s="422"/>
      <c r="KUK138" s="422"/>
      <c r="KUL138" s="422"/>
      <c r="KUM138" s="422"/>
      <c r="KUN138" s="422"/>
      <c r="KUO138" s="422"/>
      <c r="KUP138" s="422"/>
      <c r="KUQ138" s="422"/>
      <c r="KUR138" s="422"/>
      <c r="KUS138" s="422"/>
      <c r="KUT138" s="422"/>
      <c r="KUU138" s="422"/>
      <c r="KUV138" s="422"/>
      <c r="KUW138" s="422"/>
      <c r="KUX138" s="422"/>
      <c r="KUY138" s="422"/>
      <c r="KUZ138" s="422"/>
      <c r="KVA138" s="422"/>
      <c r="KVB138" s="422"/>
      <c r="KVC138" s="422"/>
      <c r="KVD138" s="422"/>
      <c r="KVE138" s="422"/>
      <c r="KVF138" s="422"/>
      <c r="KVG138" s="422"/>
      <c r="KVH138" s="422"/>
      <c r="KVI138" s="422"/>
      <c r="KVJ138" s="422"/>
      <c r="KVK138" s="422"/>
      <c r="KVL138" s="422"/>
      <c r="KVM138" s="422"/>
      <c r="KVN138" s="422"/>
      <c r="KVO138" s="422"/>
      <c r="KVP138" s="422"/>
      <c r="KVQ138" s="422"/>
      <c r="KVR138" s="422"/>
      <c r="KVS138" s="422"/>
      <c r="KVT138" s="422"/>
      <c r="KVU138" s="422"/>
      <c r="KVV138" s="422"/>
      <c r="KVW138" s="422"/>
      <c r="KVX138" s="422"/>
      <c r="KVY138" s="422"/>
      <c r="KVZ138" s="422"/>
      <c r="KWA138" s="422"/>
      <c r="KWB138" s="422"/>
      <c r="KWC138" s="422"/>
      <c r="KWD138" s="422"/>
      <c r="KWE138" s="422"/>
      <c r="KWF138" s="422"/>
      <c r="KWG138" s="422"/>
      <c r="KWH138" s="422"/>
      <c r="KWI138" s="422"/>
      <c r="KWJ138" s="422"/>
      <c r="KWK138" s="422"/>
      <c r="KWL138" s="422"/>
      <c r="KWM138" s="422"/>
      <c r="KWN138" s="422"/>
      <c r="KWO138" s="422"/>
      <c r="KWP138" s="422"/>
      <c r="KWQ138" s="422"/>
      <c r="KWR138" s="422"/>
      <c r="KWS138" s="422"/>
      <c r="KWT138" s="422"/>
      <c r="KWU138" s="422"/>
      <c r="KWV138" s="422"/>
      <c r="KWW138" s="422"/>
      <c r="KWX138" s="422"/>
      <c r="KWY138" s="422"/>
      <c r="KWZ138" s="422"/>
      <c r="KXA138" s="422"/>
      <c r="KXB138" s="422"/>
      <c r="KXC138" s="422"/>
      <c r="KXD138" s="422"/>
      <c r="KXE138" s="422"/>
      <c r="KXF138" s="422"/>
      <c r="KXG138" s="422"/>
      <c r="KXH138" s="422"/>
      <c r="KXI138" s="422"/>
      <c r="KXJ138" s="422"/>
      <c r="KXK138" s="422"/>
      <c r="KXL138" s="422"/>
      <c r="KXM138" s="422"/>
      <c r="KXN138" s="422"/>
      <c r="KXO138" s="422"/>
      <c r="KXP138" s="422"/>
      <c r="KXQ138" s="422"/>
      <c r="KXR138" s="422"/>
      <c r="KXS138" s="422"/>
      <c r="KXT138" s="422"/>
      <c r="KXU138" s="422"/>
      <c r="KXV138" s="422"/>
      <c r="KXW138" s="422"/>
      <c r="KXX138" s="422"/>
      <c r="KXY138" s="422"/>
      <c r="KXZ138" s="422"/>
      <c r="KYA138" s="422"/>
      <c r="KYB138" s="422"/>
      <c r="KYC138" s="422"/>
      <c r="KYD138" s="422"/>
      <c r="KYE138" s="422"/>
      <c r="KYF138" s="422"/>
      <c r="KYG138" s="422"/>
      <c r="KYH138" s="422"/>
      <c r="KYI138" s="422"/>
      <c r="KYJ138" s="422"/>
      <c r="KYK138" s="422"/>
      <c r="KYL138" s="422"/>
      <c r="KYM138" s="422"/>
      <c r="KYN138" s="422"/>
      <c r="KYO138" s="422"/>
      <c r="KYP138" s="422"/>
      <c r="KYQ138" s="422"/>
      <c r="KYR138" s="422"/>
      <c r="KYS138" s="422"/>
      <c r="KYT138" s="422"/>
      <c r="KYU138" s="422"/>
      <c r="KYV138" s="422"/>
      <c r="KYW138" s="422"/>
      <c r="KYX138" s="422"/>
      <c r="KYY138" s="422"/>
      <c r="KYZ138" s="422"/>
      <c r="KZA138" s="422"/>
      <c r="KZB138" s="422"/>
      <c r="KZC138" s="422"/>
      <c r="KZD138" s="422"/>
      <c r="KZE138" s="422"/>
      <c r="KZF138" s="422"/>
      <c r="KZG138" s="422"/>
      <c r="KZH138" s="422"/>
      <c r="KZI138" s="422"/>
      <c r="KZJ138" s="422"/>
      <c r="KZK138" s="422"/>
      <c r="KZL138" s="422"/>
      <c r="KZM138" s="422"/>
      <c r="KZN138" s="422"/>
      <c r="KZO138" s="422"/>
      <c r="KZP138" s="422"/>
      <c r="KZQ138" s="422"/>
      <c r="KZR138" s="422"/>
      <c r="KZS138" s="422"/>
      <c r="KZT138" s="422"/>
      <c r="KZU138" s="422"/>
      <c r="KZV138" s="422"/>
      <c r="KZW138" s="422"/>
      <c r="KZX138" s="422"/>
      <c r="KZY138" s="422"/>
      <c r="KZZ138" s="422"/>
      <c r="LAA138" s="422"/>
      <c r="LAB138" s="422"/>
      <c r="LAC138" s="422"/>
      <c r="LAD138" s="422"/>
      <c r="LAE138" s="422"/>
      <c r="LAF138" s="422"/>
      <c r="LAG138" s="422"/>
      <c r="LAH138" s="422"/>
      <c r="LAI138" s="422"/>
      <c r="LAJ138" s="422"/>
      <c r="LAK138" s="422"/>
      <c r="LAL138" s="422"/>
      <c r="LAM138" s="422"/>
      <c r="LAN138" s="422"/>
      <c r="LAO138" s="422"/>
      <c r="LAP138" s="422"/>
      <c r="LAQ138" s="422"/>
      <c r="LAR138" s="422"/>
      <c r="LAS138" s="422"/>
      <c r="LAT138" s="422"/>
      <c r="LAU138" s="422"/>
      <c r="LAV138" s="422"/>
      <c r="LAW138" s="422"/>
      <c r="LAX138" s="422"/>
      <c r="LAY138" s="422"/>
      <c r="LAZ138" s="422"/>
      <c r="LBA138" s="422"/>
      <c r="LBB138" s="422"/>
      <c r="LBC138" s="422"/>
      <c r="LBD138" s="422"/>
      <c r="LBE138" s="422"/>
      <c r="LBF138" s="422"/>
      <c r="LBG138" s="422"/>
      <c r="LBH138" s="422"/>
      <c r="LBI138" s="422"/>
      <c r="LBJ138" s="422"/>
      <c r="LBK138" s="422"/>
      <c r="LBL138" s="422"/>
      <c r="LBM138" s="422"/>
      <c r="LBN138" s="422"/>
      <c r="LBO138" s="422"/>
      <c r="LBP138" s="422"/>
      <c r="LBQ138" s="422"/>
      <c r="LBR138" s="422"/>
      <c r="LBS138" s="422"/>
      <c r="LBT138" s="422"/>
      <c r="LBU138" s="422"/>
      <c r="LBV138" s="422"/>
      <c r="LBW138" s="422"/>
      <c r="LBX138" s="422"/>
      <c r="LBY138" s="422"/>
      <c r="LBZ138" s="422"/>
      <c r="LCA138" s="422"/>
      <c r="LCB138" s="422"/>
      <c r="LCC138" s="422"/>
      <c r="LCD138" s="422"/>
      <c r="LCE138" s="422"/>
      <c r="LCF138" s="422"/>
      <c r="LCG138" s="422"/>
      <c r="LCH138" s="422"/>
      <c r="LCI138" s="422"/>
      <c r="LCJ138" s="422"/>
      <c r="LCK138" s="422"/>
      <c r="LCL138" s="422"/>
      <c r="LCM138" s="422"/>
      <c r="LCN138" s="422"/>
      <c r="LCO138" s="422"/>
      <c r="LCP138" s="422"/>
      <c r="LCQ138" s="422"/>
      <c r="LCR138" s="422"/>
      <c r="LCS138" s="422"/>
      <c r="LCT138" s="422"/>
      <c r="LCU138" s="422"/>
      <c r="LCV138" s="422"/>
      <c r="LCW138" s="422"/>
      <c r="LCX138" s="422"/>
      <c r="LCY138" s="422"/>
      <c r="LCZ138" s="422"/>
      <c r="LDA138" s="422"/>
      <c r="LDB138" s="422"/>
      <c r="LDC138" s="422"/>
      <c r="LDD138" s="422"/>
      <c r="LDE138" s="422"/>
      <c r="LDF138" s="422"/>
      <c r="LDG138" s="422"/>
      <c r="LDH138" s="422"/>
      <c r="LDI138" s="422"/>
      <c r="LDJ138" s="422"/>
      <c r="LDK138" s="422"/>
      <c r="LDL138" s="422"/>
      <c r="LDM138" s="422"/>
      <c r="LDN138" s="422"/>
      <c r="LDO138" s="422"/>
      <c r="LDP138" s="422"/>
      <c r="LDQ138" s="422"/>
      <c r="LDR138" s="422"/>
      <c r="LDS138" s="422"/>
      <c r="LDT138" s="422"/>
      <c r="LDU138" s="422"/>
      <c r="LDV138" s="422"/>
      <c r="LDW138" s="422"/>
      <c r="LDX138" s="422"/>
      <c r="LDY138" s="422"/>
      <c r="LDZ138" s="422"/>
      <c r="LEA138" s="422"/>
      <c r="LEB138" s="422"/>
      <c r="LEC138" s="422"/>
      <c r="LED138" s="422"/>
      <c r="LEE138" s="422"/>
      <c r="LEF138" s="422"/>
      <c r="LEG138" s="422"/>
      <c r="LEH138" s="422"/>
      <c r="LEI138" s="422"/>
      <c r="LEJ138" s="422"/>
      <c r="LEK138" s="422"/>
      <c r="LEL138" s="422"/>
      <c r="LEM138" s="422"/>
      <c r="LEN138" s="422"/>
      <c r="LEO138" s="422"/>
      <c r="LEP138" s="422"/>
      <c r="LEQ138" s="422"/>
      <c r="LER138" s="422"/>
      <c r="LES138" s="422"/>
      <c r="LET138" s="422"/>
      <c r="LEU138" s="422"/>
      <c r="LEV138" s="422"/>
      <c r="LEW138" s="422"/>
      <c r="LEX138" s="422"/>
      <c r="LEY138" s="422"/>
      <c r="LEZ138" s="422"/>
      <c r="LFA138" s="422"/>
      <c r="LFB138" s="422"/>
      <c r="LFC138" s="422"/>
      <c r="LFD138" s="422"/>
      <c r="LFE138" s="422"/>
      <c r="LFF138" s="422"/>
      <c r="LFG138" s="422"/>
      <c r="LFH138" s="422"/>
      <c r="LFI138" s="422"/>
      <c r="LFJ138" s="422"/>
      <c r="LFK138" s="422"/>
      <c r="LFL138" s="422"/>
      <c r="LFM138" s="422"/>
      <c r="LFN138" s="422"/>
      <c r="LFO138" s="422"/>
      <c r="LFP138" s="422"/>
      <c r="LFQ138" s="422"/>
      <c r="LFR138" s="422"/>
      <c r="LFS138" s="422"/>
      <c r="LFT138" s="422"/>
      <c r="LFU138" s="422"/>
      <c r="LFV138" s="422"/>
      <c r="LFW138" s="422"/>
      <c r="LFX138" s="422"/>
      <c r="LFY138" s="422"/>
      <c r="LFZ138" s="422"/>
      <c r="LGA138" s="422"/>
      <c r="LGB138" s="422"/>
      <c r="LGC138" s="422"/>
      <c r="LGD138" s="422"/>
      <c r="LGE138" s="422"/>
      <c r="LGF138" s="422"/>
      <c r="LGG138" s="422"/>
      <c r="LGH138" s="422"/>
      <c r="LGI138" s="422"/>
      <c r="LGJ138" s="422"/>
      <c r="LGK138" s="422"/>
      <c r="LGL138" s="422"/>
      <c r="LGM138" s="422"/>
      <c r="LGN138" s="422"/>
      <c r="LGO138" s="422"/>
      <c r="LGP138" s="422"/>
      <c r="LGQ138" s="422"/>
      <c r="LGR138" s="422"/>
      <c r="LGS138" s="422"/>
      <c r="LGT138" s="422"/>
      <c r="LGU138" s="422"/>
      <c r="LGV138" s="422"/>
      <c r="LGW138" s="422"/>
      <c r="LGX138" s="422"/>
      <c r="LGY138" s="422"/>
      <c r="LGZ138" s="422"/>
      <c r="LHA138" s="422"/>
      <c r="LHB138" s="422"/>
      <c r="LHC138" s="422"/>
      <c r="LHD138" s="422"/>
      <c r="LHE138" s="422"/>
      <c r="LHF138" s="422"/>
      <c r="LHG138" s="422"/>
      <c r="LHH138" s="422"/>
      <c r="LHI138" s="422"/>
      <c r="LHJ138" s="422"/>
      <c r="LHK138" s="422"/>
      <c r="LHL138" s="422"/>
      <c r="LHM138" s="422"/>
      <c r="LHN138" s="422"/>
      <c r="LHO138" s="422"/>
      <c r="LHP138" s="422"/>
      <c r="LHQ138" s="422"/>
      <c r="LHR138" s="422"/>
      <c r="LHS138" s="422"/>
      <c r="LHT138" s="422"/>
      <c r="LHU138" s="422"/>
      <c r="LHV138" s="422"/>
      <c r="LHW138" s="422"/>
      <c r="LHX138" s="422"/>
      <c r="LHY138" s="422"/>
      <c r="LHZ138" s="422"/>
      <c r="LIA138" s="422"/>
      <c r="LIB138" s="422"/>
      <c r="LIC138" s="422"/>
      <c r="LID138" s="422"/>
      <c r="LIE138" s="422"/>
      <c r="LIF138" s="422"/>
      <c r="LIG138" s="422"/>
      <c r="LIH138" s="422"/>
      <c r="LII138" s="422"/>
      <c r="LIJ138" s="422"/>
      <c r="LIK138" s="422"/>
      <c r="LIL138" s="422"/>
      <c r="LIM138" s="422"/>
      <c r="LIN138" s="422"/>
      <c r="LIO138" s="422"/>
      <c r="LIP138" s="422"/>
      <c r="LIQ138" s="422"/>
      <c r="LIR138" s="422"/>
      <c r="LIS138" s="422"/>
      <c r="LIT138" s="422"/>
      <c r="LIU138" s="422"/>
      <c r="LIV138" s="422"/>
      <c r="LIW138" s="422"/>
      <c r="LIX138" s="422"/>
      <c r="LIY138" s="422"/>
      <c r="LIZ138" s="422"/>
      <c r="LJA138" s="422"/>
      <c r="LJB138" s="422"/>
      <c r="LJC138" s="422"/>
      <c r="LJD138" s="422"/>
      <c r="LJE138" s="422"/>
      <c r="LJF138" s="422"/>
      <c r="LJG138" s="422"/>
      <c r="LJH138" s="422"/>
      <c r="LJI138" s="422"/>
      <c r="LJJ138" s="422"/>
      <c r="LJK138" s="422"/>
      <c r="LJL138" s="422"/>
      <c r="LJM138" s="422"/>
      <c r="LJN138" s="422"/>
      <c r="LJO138" s="422"/>
      <c r="LJP138" s="422"/>
      <c r="LJQ138" s="422"/>
      <c r="LJR138" s="422"/>
      <c r="LJS138" s="422"/>
      <c r="LJT138" s="422"/>
      <c r="LJU138" s="422"/>
      <c r="LJV138" s="422"/>
      <c r="LJW138" s="422"/>
      <c r="LJX138" s="422"/>
      <c r="LJY138" s="422"/>
      <c r="LJZ138" s="422"/>
      <c r="LKA138" s="422"/>
      <c r="LKB138" s="422"/>
      <c r="LKC138" s="422"/>
      <c r="LKD138" s="422"/>
      <c r="LKE138" s="422"/>
      <c r="LKF138" s="422"/>
      <c r="LKG138" s="422"/>
      <c r="LKH138" s="422"/>
      <c r="LKI138" s="422"/>
      <c r="LKJ138" s="422"/>
      <c r="LKK138" s="422"/>
      <c r="LKL138" s="422"/>
      <c r="LKM138" s="422"/>
      <c r="LKN138" s="422"/>
      <c r="LKO138" s="422"/>
      <c r="LKP138" s="422"/>
      <c r="LKQ138" s="422"/>
      <c r="LKR138" s="422"/>
      <c r="LKS138" s="422"/>
      <c r="LKT138" s="422"/>
      <c r="LKU138" s="422"/>
      <c r="LKV138" s="422"/>
      <c r="LKW138" s="422"/>
      <c r="LKX138" s="422"/>
      <c r="LKY138" s="422"/>
      <c r="LKZ138" s="422"/>
      <c r="LLA138" s="422"/>
      <c r="LLB138" s="422"/>
      <c r="LLC138" s="422"/>
      <c r="LLD138" s="422"/>
      <c r="LLE138" s="422"/>
      <c r="LLF138" s="422"/>
      <c r="LLG138" s="422"/>
      <c r="LLH138" s="422"/>
      <c r="LLI138" s="422"/>
      <c r="LLJ138" s="422"/>
      <c r="LLK138" s="422"/>
      <c r="LLL138" s="422"/>
      <c r="LLM138" s="422"/>
      <c r="LLN138" s="422"/>
      <c r="LLO138" s="422"/>
      <c r="LLP138" s="422"/>
      <c r="LLQ138" s="422"/>
      <c r="LLR138" s="422"/>
      <c r="LLS138" s="422"/>
      <c r="LLT138" s="422"/>
      <c r="LLU138" s="422"/>
      <c r="LLV138" s="422"/>
      <c r="LLW138" s="422"/>
      <c r="LLX138" s="422"/>
      <c r="LLY138" s="422"/>
      <c r="LLZ138" s="422"/>
      <c r="LMA138" s="422"/>
      <c r="LMB138" s="422"/>
      <c r="LMC138" s="422"/>
      <c r="LMD138" s="422"/>
      <c r="LME138" s="422"/>
      <c r="LMF138" s="422"/>
      <c r="LMG138" s="422"/>
      <c r="LMH138" s="422"/>
      <c r="LMI138" s="422"/>
      <c r="LMJ138" s="422"/>
      <c r="LMK138" s="422"/>
      <c r="LML138" s="422"/>
      <c r="LMM138" s="422"/>
      <c r="LMN138" s="422"/>
      <c r="LMO138" s="422"/>
      <c r="LMP138" s="422"/>
      <c r="LMQ138" s="422"/>
      <c r="LMR138" s="422"/>
      <c r="LMS138" s="422"/>
      <c r="LMT138" s="422"/>
      <c r="LMU138" s="422"/>
      <c r="LMV138" s="422"/>
      <c r="LMW138" s="422"/>
      <c r="LMX138" s="422"/>
      <c r="LMY138" s="422"/>
      <c r="LMZ138" s="422"/>
      <c r="LNA138" s="422"/>
      <c r="LNB138" s="422"/>
      <c r="LNC138" s="422"/>
      <c r="LND138" s="422"/>
      <c r="LNE138" s="422"/>
      <c r="LNF138" s="422"/>
      <c r="LNG138" s="422"/>
      <c r="LNH138" s="422"/>
      <c r="LNI138" s="422"/>
      <c r="LNJ138" s="422"/>
      <c r="LNK138" s="422"/>
      <c r="LNL138" s="422"/>
      <c r="LNM138" s="422"/>
      <c r="LNN138" s="422"/>
      <c r="LNO138" s="422"/>
      <c r="LNP138" s="422"/>
      <c r="LNQ138" s="422"/>
      <c r="LNR138" s="422"/>
      <c r="LNS138" s="422"/>
      <c r="LNT138" s="422"/>
      <c r="LNU138" s="422"/>
      <c r="LNV138" s="422"/>
      <c r="LNW138" s="422"/>
      <c r="LNX138" s="422"/>
      <c r="LNY138" s="422"/>
      <c r="LNZ138" s="422"/>
      <c r="LOA138" s="422"/>
      <c r="LOB138" s="422"/>
      <c r="LOC138" s="422"/>
      <c r="LOD138" s="422"/>
      <c r="LOE138" s="422"/>
      <c r="LOF138" s="422"/>
      <c r="LOG138" s="422"/>
      <c r="LOH138" s="422"/>
      <c r="LOI138" s="422"/>
      <c r="LOJ138" s="422"/>
      <c r="LOK138" s="422"/>
      <c r="LOL138" s="422"/>
      <c r="LOM138" s="422"/>
      <c r="LON138" s="422"/>
      <c r="LOO138" s="422"/>
      <c r="LOP138" s="422"/>
      <c r="LOQ138" s="422"/>
      <c r="LOR138" s="422"/>
      <c r="LOS138" s="422"/>
      <c r="LOT138" s="422"/>
      <c r="LOU138" s="422"/>
      <c r="LOV138" s="422"/>
      <c r="LOW138" s="422"/>
      <c r="LOX138" s="422"/>
      <c r="LOY138" s="422"/>
      <c r="LOZ138" s="422"/>
      <c r="LPA138" s="422"/>
      <c r="LPB138" s="422"/>
      <c r="LPC138" s="422"/>
      <c r="LPD138" s="422"/>
      <c r="LPE138" s="422"/>
      <c r="LPF138" s="422"/>
      <c r="LPG138" s="422"/>
      <c r="LPH138" s="422"/>
      <c r="LPI138" s="422"/>
      <c r="LPJ138" s="422"/>
      <c r="LPK138" s="422"/>
      <c r="LPL138" s="422"/>
      <c r="LPM138" s="422"/>
      <c r="LPN138" s="422"/>
      <c r="LPO138" s="422"/>
      <c r="LPP138" s="422"/>
      <c r="LPQ138" s="422"/>
      <c r="LPR138" s="422"/>
      <c r="LPS138" s="422"/>
      <c r="LPT138" s="422"/>
      <c r="LPU138" s="422"/>
      <c r="LPV138" s="422"/>
      <c r="LPW138" s="422"/>
      <c r="LPX138" s="422"/>
      <c r="LPY138" s="422"/>
      <c r="LPZ138" s="422"/>
      <c r="LQA138" s="422"/>
      <c r="LQB138" s="422"/>
      <c r="LQC138" s="422"/>
      <c r="LQD138" s="422"/>
      <c r="LQE138" s="422"/>
      <c r="LQF138" s="422"/>
      <c r="LQG138" s="422"/>
      <c r="LQH138" s="422"/>
      <c r="LQI138" s="422"/>
      <c r="LQJ138" s="422"/>
      <c r="LQK138" s="422"/>
      <c r="LQL138" s="422"/>
      <c r="LQM138" s="422"/>
      <c r="LQN138" s="422"/>
      <c r="LQO138" s="422"/>
      <c r="LQP138" s="422"/>
      <c r="LQQ138" s="422"/>
      <c r="LQR138" s="422"/>
      <c r="LQS138" s="422"/>
      <c r="LQT138" s="422"/>
      <c r="LQU138" s="422"/>
      <c r="LQV138" s="422"/>
      <c r="LQW138" s="422"/>
      <c r="LQX138" s="422"/>
      <c r="LQY138" s="422"/>
      <c r="LQZ138" s="422"/>
      <c r="LRA138" s="422"/>
      <c r="LRB138" s="422"/>
      <c r="LRC138" s="422"/>
      <c r="LRD138" s="422"/>
      <c r="LRE138" s="422"/>
      <c r="LRF138" s="422"/>
      <c r="LRG138" s="422"/>
      <c r="LRH138" s="422"/>
      <c r="LRI138" s="422"/>
      <c r="LRJ138" s="422"/>
      <c r="LRK138" s="422"/>
      <c r="LRL138" s="422"/>
      <c r="LRM138" s="422"/>
      <c r="LRN138" s="422"/>
      <c r="LRO138" s="422"/>
      <c r="LRP138" s="422"/>
      <c r="LRQ138" s="422"/>
      <c r="LRR138" s="422"/>
      <c r="LRS138" s="422"/>
      <c r="LRT138" s="422"/>
      <c r="LRU138" s="422"/>
      <c r="LRV138" s="422"/>
      <c r="LRW138" s="422"/>
      <c r="LRX138" s="422"/>
      <c r="LRY138" s="422"/>
      <c r="LRZ138" s="422"/>
      <c r="LSA138" s="422"/>
      <c r="LSB138" s="422"/>
      <c r="LSC138" s="422"/>
      <c r="LSD138" s="422"/>
      <c r="LSE138" s="422"/>
      <c r="LSF138" s="422"/>
      <c r="LSG138" s="422"/>
      <c r="LSH138" s="422"/>
      <c r="LSI138" s="422"/>
      <c r="LSJ138" s="422"/>
      <c r="LSK138" s="422"/>
      <c r="LSL138" s="422"/>
      <c r="LSM138" s="422"/>
      <c r="LSN138" s="422"/>
      <c r="LSO138" s="422"/>
      <c r="LSP138" s="422"/>
      <c r="LSQ138" s="422"/>
      <c r="LSR138" s="422"/>
      <c r="LSS138" s="422"/>
      <c r="LST138" s="422"/>
      <c r="LSU138" s="422"/>
      <c r="LSV138" s="422"/>
      <c r="LSW138" s="422"/>
      <c r="LSX138" s="422"/>
      <c r="LSY138" s="422"/>
      <c r="LSZ138" s="422"/>
      <c r="LTA138" s="422"/>
      <c r="LTB138" s="422"/>
      <c r="LTC138" s="422"/>
      <c r="LTD138" s="422"/>
      <c r="LTE138" s="422"/>
      <c r="LTF138" s="422"/>
      <c r="LTG138" s="422"/>
      <c r="LTH138" s="422"/>
      <c r="LTI138" s="422"/>
      <c r="LTJ138" s="422"/>
      <c r="LTK138" s="422"/>
      <c r="LTL138" s="422"/>
      <c r="LTM138" s="422"/>
      <c r="LTN138" s="422"/>
      <c r="LTO138" s="422"/>
      <c r="LTP138" s="422"/>
      <c r="LTQ138" s="422"/>
      <c r="LTR138" s="422"/>
      <c r="LTS138" s="422"/>
      <c r="LTT138" s="422"/>
      <c r="LTU138" s="422"/>
      <c r="LTV138" s="422"/>
      <c r="LTW138" s="422"/>
      <c r="LTX138" s="422"/>
      <c r="LTY138" s="422"/>
      <c r="LTZ138" s="422"/>
      <c r="LUA138" s="422"/>
      <c r="LUB138" s="422"/>
      <c r="LUC138" s="422"/>
      <c r="LUD138" s="422"/>
      <c r="LUE138" s="422"/>
      <c r="LUF138" s="422"/>
      <c r="LUG138" s="422"/>
      <c r="LUH138" s="422"/>
      <c r="LUI138" s="422"/>
      <c r="LUJ138" s="422"/>
      <c r="LUK138" s="422"/>
      <c r="LUL138" s="422"/>
      <c r="LUM138" s="422"/>
      <c r="LUN138" s="422"/>
      <c r="LUO138" s="422"/>
      <c r="LUP138" s="422"/>
      <c r="LUQ138" s="422"/>
      <c r="LUR138" s="422"/>
      <c r="LUS138" s="422"/>
      <c r="LUT138" s="422"/>
      <c r="LUU138" s="422"/>
      <c r="LUV138" s="422"/>
      <c r="LUW138" s="422"/>
      <c r="LUX138" s="422"/>
      <c r="LUY138" s="422"/>
      <c r="LUZ138" s="422"/>
      <c r="LVA138" s="422"/>
      <c r="LVB138" s="422"/>
      <c r="LVC138" s="422"/>
      <c r="LVD138" s="422"/>
      <c r="LVE138" s="422"/>
      <c r="LVF138" s="422"/>
      <c r="LVG138" s="422"/>
      <c r="LVH138" s="422"/>
      <c r="LVI138" s="422"/>
      <c r="LVJ138" s="422"/>
      <c r="LVK138" s="422"/>
      <c r="LVL138" s="422"/>
      <c r="LVM138" s="422"/>
      <c r="LVN138" s="422"/>
      <c r="LVO138" s="422"/>
      <c r="LVP138" s="422"/>
      <c r="LVQ138" s="422"/>
      <c r="LVR138" s="422"/>
      <c r="LVS138" s="422"/>
      <c r="LVT138" s="422"/>
      <c r="LVU138" s="422"/>
      <c r="LVV138" s="422"/>
      <c r="LVW138" s="422"/>
      <c r="LVX138" s="422"/>
      <c r="LVY138" s="422"/>
      <c r="LVZ138" s="422"/>
      <c r="LWA138" s="422"/>
      <c r="LWB138" s="422"/>
      <c r="LWC138" s="422"/>
      <c r="LWD138" s="422"/>
      <c r="LWE138" s="422"/>
      <c r="LWF138" s="422"/>
      <c r="LWG138" s="422"/>
      <c r="LWH138" s="422"/>
      <c r="LWI138" s="422"/>
      <c r="LWJ138" s="422"/>
      <c r="LWK138" s="422"/>
      <c r="LWL138" s="422"/>
      <c r="LWM138" s="422"/>
      <c r="LWN138" s="422"/>
      <c r="LWO138" s="422"/>
      <c r="LWP138" s="422"/>
      <c r="LWQ138" s="422"/>
      <c r="LWR138" s="422"/>
      <c r="LWS138" s="422"/>
      <c r="LWT138" s="422"/>
      <c r="LWU138" s="422"/>
      <c r="LWV138" s="422"/>
      <c r="LWW138" s="422"/>
      <c r="LWX138" s="422"/>
      <c r="LWY138" s="422"/>
      <c r="LWZ138" s="422"/>
      <c r="LXA138" s="422"/>
      <c r="LXB138" s="422"/>
      <c r="LXC138" s="422"/>
      <c r="LXD138" s="422"/>
      <c r="LXE138" s="422"/>
      <c r="LXF138" s="422"/>
      <c r="LXG138" s="422"/>
      <c r="LXH138" s="422"/>
      <c r="LXI138" s="422"/>
      <c r="LXJ138" s="422"/>
      <c r="LXK138" s="422"/>
      <c r="LXL138" s="422"/>
      <c r="LXM138" s="422"/>
      <c r="LXN138" s="422"/>
      <c r="LXO138" s="422"/>
      <c r="LXP138" s="422"/>
      <c r="LXQ138" s="422"/>
      <c r="LXR138" s="422"/>
      <c r="LXS138" s="422"/>
      <c r="LXT138" s="422"/>
      <c r="LXU138" s="422"/>
      <c r="LXV138" s="422"/>
      <c r="LXW138" s="422"/>
      <c r="LXX138" s="422"/>
      <c r="LXY138" s="422"/>
      <c r="LXZ138" s="422"/>
      <c r="LYA138" s="422"/>
      <c r="LYB138" s="422"/>
      <c r="LYC138" s="422"/>
      <c r="LYD138" s="422"/>
      <c r="LYE138" s="422"/>
      <c r="LYF138" s="422"/>
      <c r="LYG138" s="422"/>
      <c r="LYH138" s="422"/>
      <c r="LYI138" s="422"/>
      <c r="LYJ138" s="422"/>
      <c r="LYK138" s="422"/>
      <c r="LYL138" s="422"/>
      <c r="LYM138" s="422"/>
      <c r="LYN138" s="422"/>
      <c r="LYO138" s="422"/>
      <c r="LYP138" s="422"/>
      <c r="LYQ138" s="422"/>
      <c r="LYR138" s="422"/>
      <c r="LYS138" s="422"/>
      <c r="LYT138" s="422"/>
      <c r="LYU138" s="422"/>
      <c r="LYV138" s="422"/>
      <c r="LYW138" s="422"/>
      <c r="LYX138" s="422"/>
      <c r="LYY138" s="422"/>
      <c r="LYZ138" s="422"/>
      <c r="LZA138" s="422"/>
      <c r="LZB138" s="422"/>
      <c r="LZC138" s="422"/>
      <c r="LZD138" s="422"/>
      <c r="LZE138" s="422"/>
      <c r="LZF138" s="422"/>
      <c r="LZG138" s="422"/>
      <c r="LZH138" s="422"/>
      <c r="LZI138" s="422"/>
      <c r="LZJ138" s="422"/>
      <c r="LZK138" s="422"/>
      <c r="LZL138" s="422"/>
      <c r="LZM138" s="422"/>
      <c r="LZN138" s="422"/>
      <c r="LZO138" s="422"/>
      <c r="LZP138" s="422"/>
      <c r="LZQ138" s="422"/>
      <c r="LZR138" s="422"/>
      <c r="LZS138" s="422"/>
      <c r="LZT138" s="422"/>
      <c r="LZU138" s="422"/>
      <c r="LZV138" s="422"/>
      <c r="LZW138" s="422"/>
      <c r="LZX138" s="422"/>
      <c r="LZY138" s="422"/>
      <c r="LZZ138" s="422"/>
      <c r="MAA138" s="422"/>
      <c r="MAB138" s="422"/>
      <c r="MAC138" s="422"/>
      <c r="MAD138" s="422"/>
      <c r="MAE138" s="422"/>
      <c r="MAF138" s="422"/>
      <c r="MAG138" s="422"/>
      <c r="MAH138" s="422"/>
      <c r="MAI138" s="422"/>
      <c r="MAJ138" s="422"/>
      <c r="MAK138" s="422"/>
      <c r="MAL138" s="422"/>
      <c r="MAM138" s="422"/>
      <c r="MAN138" s="422"/>
      <c r="MAO138" s="422"/>
      <c r="MAP138" s="422"/>
      <c r="MAQ138" s="422"/>
      <c r="MAR138" s="422"/>
      <c r="MAS138" s="422"/>
      <c r="MAT138" s="422"/>
      <c r="MAU138" s="422"/>
      <c r="MAV138" s="422"/>
      <c r="MAW138" s="422"/>
      <c r="MAX138" s="422"/>
      <c r="MAY138" s="422"/>
      <c r="MAZ138" s="422"/>
      <c r="MBA138" s="422"/>
      <c r="MBB138" s="422"/>
      <c r="MBC138" s="422"/>
      <c r="MBD138" s="422"/>
      <c r="MBE138" s="422"/>
      <c r="MBF138" s="422"/>
      <c r="MBG138" s="422"/>
      <c r="MBH138" s="422"/>
      <c r="MBI138" s="422"/>
      <c r="MBJ138" s="422"/>
      <c r="MBK138" s="422"/>
      <c r="MBL138" s="422"/>
      <c r="MBM138" s="422"/>
      <c r="MBN138" s="422"/>
      <c r="MBO138" s="422"/>
      <c r="MBP138" s="422"/>
      <c r="MBQ138" s="422"/>
      <c r="MBR138" s="422"/>
      <c r="MBS138" s="422"/>
      <c r="MBT138" s="422"/>
      <c r="MBU138" s="422"/>
      <c r="MBV138" s="422"/>
      <c r="MBW138" s="422"/>
      <c r="MBX138" s="422"/>
      <c r="MBY138" s="422"/>
      <c r="MBZ138" s="422"/>
      <c r="MCA138" s="422"/>
      <c r="MCB138" s="422"/>
      <c r="MCC138" s="422"/>
      <c r="MCD138" s="422"/>
      <c r="MCE138" s="422"/>
      <c r="MCF138" s="422"/>
      <c r="MCG138" s="422"/>
      <c r="MCH138" s="422"/>
      <c r="MCI138" s="422"/>
      <c r="MCJ138" s="422"/>
      <c r="MCK138" s="422"/>
      <c r="MCL138" s="422"/>
      <c r="MCM138" s="422"/>
      <c r="MCN138" s="422"/>
      <c r="MCO138" s="422"/>
      <c r="MCP138" s="422"/>
      <c r="MCQ138" s="422"/>
      <c r="MCR138" s="422"/>
      <c r="MCS138" s="422"/>
      <c r="MCT138" s="422"/>
      <c r="MCU138" s="422"/>
      <c r="MCV138" s="422"/>
      <c r="MCW138" s="422"/>
      <c r="MCX138" s="422"/>
      <c r="MCY138" s="422"/>
      <c r="MCZ138" s="422"/>
      <c r="MDA138" s="422"/>
      <c r="MDB138" s="422"/>
      <c r="MDC138" s="422"/>
      <c r="MDD138" s="422"/>
      <c r="MDE138" s="422"/>
      <c r="MDF138" s="422"/>
      <c r="MDG138" s="422"/>
      <c r="MDH138" s="422"/>
      <c r="MDI138" s="422"/>
      <c r="MDJ138" s="422"/>
      <c r="MDK138" s="422"/>
      <c r="MDL138" s="422"/>
      <c r="MDM138" s="422"/>
      <c r="MDN138" s="422"/>
      <c r="MDO138" s="422"/>
      <c r="MDP138" s="422"/>
      <c r="MDQ138" s="422"/>
      <c r="MDR138" s="422"/>
      <c r="MDS138" s="422"/>
      <c r="MDT138" s="422"/>
      <c r="MDU138" s="422"/>
      <c r="MDV138" s="422"/>
      <c r="MDW138" s="422"/>
      <c r="MDX138" s="422"/>
      <c r="MDY138" s="422"/>
      <c r="MDZ138" s="422"/>
      <c r="MEA138" s="422"/>
      <c r="MEB138" s="422"/>
      <c r="MEC138" s="422"/>
      <c r="MED138" s="422"/>
      <c r="MEE138" s="422"/>
      <c r="MEF138" s="422"/>
      <c r="MEG138" s="422"/>
      <c r="MEH138" s="422"/>
      <c r="MEI138" s="422"/>
      <c r="MEJ138" s="422"/>
      <c r="MEK138" s="422"/>
      <c r="MEL138" s="422"/>
      <c r="MEM138" s="422"/>
      <c r="MEN138" s="422"/>
      <c r="MEO138" s="422"/>
      <c r="MEP138" s="422"/>
      <c r="MEQ138" s="422"/>
      <c r="MER138" s="422"/>
      <c r="MES138" s="422"/>
      <c r="MET138" s="422"/>
      <c r="MEU138" s="422"/>
      <c r="MEV138" s="422"/>
      <c r="MEW138" s="422"/>
      <c r="MEX138" s="422"/>
      <c r="MEY138" s="422"/>
      <c r="MEZ138" s="422"/>
      <c r="MFA138" s="422"/>
      <c r="MFB138" s="422"/>
      <c r="MFC138" s="422"/>
      <c r="MFD138" s="422"/>
      <c r="MFE138" s="422"/>
      <c r="MFF138" s="422"/>
      <c r="MFG138" s="422"/>
      <c r="MFH138" s="422"/>
      <c r="MFI138" s="422"/>
      <c r="MFJ138" s="422"/>
      <c r="MFK138" s="422"/>
      <c r="MFL138" s="422"/>
      <c r="MFM138" s="422"/>
      <c r="MFN138" s="422"/>
      <c r="MFO138" s="422"/>
      <c r="MFP138" s="422"/>
      <c r="MFQ138" s="422"/>
      <c r="MFR138" s="422"/>
      <c r="MFS138" s="422"/>
      <c r="MFT138" s="422"/>
      <c r="MFU138" s="422"/>
      <c r="MFV138" s="422"/>
      <c r="MFW138" s="422"/>
      <c r="MFX138" s="422"/>
      <c r="MFY138" s="422"/>
      <c r="MFZ138" s="422"/>
      <c r="MGA138" s="422"/>
      <c r="MGB138" s="422"/>
      <c r="MGC138" s="422"/>
      <c r="MGD138" s="422"/>
      <c r="MGE138" s="422"/>
      <c r="MGF138" s="422"/>
      <c r="MGG138" s="422"/>
      <c r="MGH138" s="422"/>
      <c r="MGI138" s="422"/>
      <c r="MGJ138" s="422"/>
      <c r="MGK138" s="422"/>
      <c r="MGL138" s="422"/>
      <c r="MGM138" s="422"/>
      <c r="MGN138" s="422"/>
      <c r="MGO138" s="422"/>
      <c r="MGP138" s="422"/>
      <c r="MGQ138" s="422"/>
      <c r="MGR138" s="422"/>
      <c r="MGS138" s="422"/>
      <c r="MGT138" s="422"/>
      <c r="MGU138" s="422"/>
      <c r="MGV138" s="422"/>
      <c r="MGW138" s="422"/>
      <c r="MGX138" s="422"/>
      <c r="MGY138" s="422"/>
      <c r="MGZ138" s="422"/>
      <c r="MHA138" s="422"/>
      <c r="MHB138" s="422"/>
      <c r="MHC138" s="422"/>
      <c r="MHD138" s="422"/>
      <c r="MHE138" s="422"/>
      <c r="MHF138" s="422"/>
      <c r="MHG138" s="422"/>
      <c r="MHH138" s="422"/>
      <c r="MHI138" s="422"/>
      <c r="MHJ138" s="422"/>
      <c r="MHK138" s="422"/>
      <c r="MHL138" s="422"/>
      <c r="MHM138" s="422"/>
      <c r="MHN138" s="422"/>
      <c r="MHO138" s="422"/>
      <c r="MHP138" s="422"/>
      <c r="MHQ138" s="422"/>
      <c r="MHR138" s="422"/>
      <c r="MHS138" s="422"/>
      <c r="MHT138" s="422"/>
      <c r="MHU138" s="422"/>
      <c r="MHV138" s="422"/>
      <c r="MHW138" s="422"/>
      <c r="MHX138" s="422"/>
      <c r="MHY138" s="422"/>
      <c r="MHZ138" s="422"/>
      <c r="MIA138" s="422"/>
      <c r="MIB138" s="422"/>
      <c r="MIC138" s="422"/>
      <c r="MID138" s="422"/>
      <c r="MIE138" s="422"/>
      <c r="MIF138" s="422"/>
      <c r="MIG138" s="422"/>
      <c r="MIH138" s="422"/>
      <c r="MII138" s="422"/>
      <c r="MIJ138" s="422"/>
      <c r="MIK138" s="422"/>
      <c r="MIL138" s="422"/>
      <c r="MIM138" s="422"/>
      <c r="MIN138" s="422"/>
      <c r="MIO138" s="422"/>
      <c r="MIP138" s="422"/>
      <c r="MIQ138" s="422"/>
      <c r="MIR138" s="422"/>
      <c r="MIS138" s="422"/>
      <c r="MIT138" s="422"/>
      <c r="MIU138" s="422"/>
      <c r="MIV138" s="422"/>
      <c r="MIW138" s="422"/>
      <c r="MIX138" s="422"/>
      <c r="MIY138" s="422"/>
      <c r="MIZ138" s="422"/>
      <c r="MJA138" s="422"/>
      <c r="MJB138" s="422"/>
      <c r="MJC138" s="422"/>
      <c r="MJD138" s="422"/>
      <c r="MJE138" s="422"/>
      <c r="MJF138" s="422"/>
      <c r="MJG138" s="422"/>
      <c r="MJH138" s="422"/>
      <c r="MJI138" s="422"/>
      <c r="MJJ138" s="422"/>
      <c r="MJK138" s="422"/>
      <c r="MJL138" s="422"/>
      <c r="MJM138" s="422"/>
      <c r="MJN138" s="422"/>
      <c r="MJO138" s="422"/>
      <c r="MJP138" s="422"/>
      <c r="MJQ138" s="422"/>
      <c r="MJR138" s="422"/>
      <c r="MJS138" s="422"/>
      <c r="MJT138" s="422"/>
      <c r="MJU138" s="422"/>
      <c r="MJV138" s="422"/>
      <c r="MJW138" s="422"/>
      <c r="MJX138" s="422"/>
      <c r="MJY138" s="422"/>
      <c r="MJZ138" s="422"/>
      <c r="MKA138" s="422"/>
      <c r="MKB138" s="422"/>
      <c r="MKC138" s="422"/>
      <c r="MKD138" s="422"/>
      <c r="MKE138" s="422"/>
      <c r="MKF138" s="422"/>
      <c r="MKG138" s="422"/>
      <c r="MKH138" s="422"/>
      <c r="MKI138" s="422"/>
      <c r="MKJ138" s="422"/>
      <c r="MKK138" s="422"/>
      <c r="MKL138" s="422"/>
      <c r="MKM138" s="422"/>
      <c r="MKN138" s="422"/>
      <c r="MKO138" s="422"/>
      <c r="MKP138" s="422"/>
      <c r="MKQ138" s="422"/>
      <c r="MKR138" s="422"/>
      <c r="MKS138" s="422"/>
      <c r="MKT138" s="422"/>
      <c r="MKU138" s="422"/>
      <c r="MKV138" s="422"/>
      <c r="MKW138" s="422"/>
      <c r="MKX138" s="422"/>
      <c r="MKY138" s="422"/>
      <c r="MKZ138" s="422"/>
      <c r="MLA138" s="422"/>
      <c r="MLB138" s="422"/>
      <c r="MLC138" s="422"/>
      <c r="MLD138" s="422"/>
      <c r="MLE138" s="422"/>
      <c r="MLF138" s="422"/>
      <c r="MLG138" s="422"/>
      <c r="MLH138" s="422"/>
      <c r="MLI138" s="422"/>
      <c r="MLJ138" s="422"/>
      <c r="MLK138" s="422"/>
      <c r="MLL138" s="422"/>
      <c r="MLM138" s="422"/>
      <c r="MLN138" s="422"/>
      <c r="MLO138" s="422"/>
      <c r="MLP138" s="422"/>
      <c r="MLQ138" s="422"/>
      <c r="MLR138" s="422"/>
      <c r="MLS138" s="422"/>
      <c r="MLT138" s="422"/>
      <c r="MLU138" s="422"/>
      <c r="MLV138" s="422"/>
      <c r="MLW138" s="422"/>
      <c r="MLX138" s="422"/>
      <c r="MLY138" s="422"/>
      <c r="MLZ138" s="422"/>
      <c r="MMA138" s="422"/>
      <c r="MMB138" s="422"/>
      <c r="MMC138" s="422"/>
      <c r="MMD138" s="422"/>
      <c r="MME138" s="422"/>
      <c r="MMF138" s="422"/>
      <c r="MMG138" s="422"/>
      <c r="MMH138" s="422"/>
      <c r="MMI138" s="422"/>
      <c r="MMJ138" s="422"/>
      <c r="MMK138" s="422"/>
      <c r="MML138" s="422"/>
      <c r="MMM138" s="422"/>
      <c r="MMN138" s="422"/>
      <c r="MMO138" s="422"/>
      <c r="MMP138" s="422"/>
      <c r="MMQ138" s="422"/>
      <c r="MMR138" s="422"/>
      <c r="MMS138" s="422"/>
      <c r="MMT138" s="422"/>
      <c r="MMU138" s="422"/>
      <c r="MMV138" s="422"/>
      <c r="MMW138" s="422"/>
      <c r="MMX138" s="422"/>
      <c r="MMY138" s="422"/>
      <c r="MMZ138" s="422"/>
      <c r="MNA138" s="422"/>
      <c r="MNB138" s="422"/>
      <c r="MNC138" s="422"/>
      <c r="MND138" s="422"/>
      <c r="MNE138" s="422"/>
      <c r="MNF138" s="422"/>
      <c r="MNG138" s="422"/>
      <c r="MNH138" s="422"/>
      <c r="MNI138" s="422"/>
      <c r="MNJ138" s="422"/>
      <c r="MNK138" s="422"/>
      <c r="MNL138" s="422"/>
      <c r="MNM138" s="422"/>
      <c r="MNN138" s="422"/>
      <c r="MNO138" s="422"/>
      <c r="MNP138" s="422"/>
      <c r="MNQ138" s="422"/>
      <c r="MNR138" s="422"/>
      <c r="MNS138" s="422"/>
      <c r="MNT138" s="422"/>
      <c r="MNU138" s="422"/>
      <c r="MNV138" s="422"/>
      <c r="MNW138" s="422"/>
      <c r="MNX138" s="422"/>
      <c r="MNY138" s="422"/>
      <c r="MNZ138" s="422"/>
      <c r="MOA138" s="422"/>
      <c r="MOB138" s="422"/>
      <c r="MOC138" s="422"/>
      <c r="MOD138" s="422"/>
      <c r="MOE138" s="422"/>
      <c r="MOF138" s="422"/>
      <c r="MOG138" s="422"/>
      <c r="MOH138" s="422"/>
      <c r="MOI138" s="422"/>
      <c r="MOJ138" s="422"/>
      <c r="MOK138" s="422"/>
      <c r="MOL138" s="422"/>
      <c r="MOM138" s="422"/>
      <c r="MON138" s="422"/>
      <c r="MOO138" s="422"/>
      <c r="MOP138" s="422"/>
      <c r="MOQ138" s="422"/>
      <c r="MOR138" s="422"/>
      <c r="MOS138" s="422"/>
      <c r="MOT138" s="422"/>
      <c r="MOU138" s="422"/>
      <c r="MOV138" s="422"/>
      <c r="MOW138" s="422"/>
      <c r="MOX138" s="422"/>
      <c r="MOY138" s="422"/>
      <c r="MOZ138" s="422"/>
      <c r="MPA138" s="422"/>
      <c r="MPB138" s="422"/>
      <c r="MPC138" s="422"/>
      <c r="MPD138" s="422"/>
      <c r="MPE138" s="422"/>
      <c r="MPF138" s="422"/>
      <c r="MPG138" s="422"/>
      <c r="MPH138" s="422"/>
      <c r="MPI138" s="422"/>
      <c r="MPJ138" s="422"/>
      <c r="MPK138" s="422"/>
      <c r="MPL138" s="422"/>
      <c r="MPM138" s="422"/>
      <c r="MPN138" s="422"/>
      <c r="MPO138" s="422"/>
      <c r="MPP138" s="422"/>
      <c r="MPQ138" s="422"/>
      <c r="MPR138" s="422"/>
      <c r="MPS138" s="422"/>
      <c r="MPT138" s="422"/>
      <c r="MPU138" s="422"/>
      <c r="MPV138" s="422"/>
      <c r="MPW138" s="422"/>
      <c r="MPX138" s="422"/>
      <c r="MPY138" s="422"/>
      <c r="MPZ138" s="422"/>
      <c r="MQA138" s="422"/>
      <c r="MQB138" s="422"/>
      <c r="MQC138" s="422"/>
      <c r="MQD138" s="422"/>
      <c r="MQE138" s="422"/>
      <c r="MQF138" s="422"/>
      <c r="MQG138" s="422"/>
      <c r="MQH138" s="422"/>
      <c r="MQI138" s="422"/>
      <c r="MQJ138" s="422"/>
      <c r="MQK138" s="422"/>
      <c r="MQL138" s="422"/>
      <c r="MQM138" s="422"/>
      <c r="MQN138" s="422"/>
      <c r="MQO138" s="422"/>
      <c r="MQP138" s="422"/>
      <c r="MQQ138" s="422"/>
      <c r="MQR138" s="422"/>
      <c r="MQS138" s="422"/>
      <c r="MQT138" s="422"/>
      <c r="MQU138" s="422"/>
      <c r="MQV138" s="422"/>
      <c r="MQW138" s="422"/>
      <c r="MQX138" s="422"/>
      <c r="MQY138" s="422"/>
      <c r="MQZ138" s="422"/>
      <c r="MRA138" s="422"/>
      <c r="MRB138" s="422"/>
      <c r="MRC138" s="422"/>
      <c r="MRD138" s="422"/>
      <c r="MRE138" s="422"/>
      <c r="MRF138" s="422"/>
      <c r="MRG138" s="422"/>
      <c r="MRH138" s="422"/>
      <c r="MRI138" s="422"/>
      <c r="MRJ138" s="422"/>
      <c r="MRK138" s="422"/>
      <c r="MRL138" s="422"/>
      <c r="MRM138" s="422"/>
      <c r="MRN138" s="422"/>
      <c r="MRO138" s="422"/>
      <c r="MRP138" s="422"/>
      <c r="MRQ138" s="422"/>
      <c r="MRR138" s="422"/>
      <c r="MRS138" s="422"/>
      <c r="MRT138" s="422"/>
      <c r="MRU138" s="422"/>
      <c r="MRV138" s="422"/>
      <c r="MRW138" s="422"/>
      <c r="MRX138" s="422"/>
      <c r="MRY138" s="422"/>
      <c r="MRZ138" s="422"/>
      <c r="MSA138" s="422"/>
      <c r="MSB138" s="422"/>
      <c r="MSC138" s="422"/>
      <c r="MSD138" s="422"/>
      <c r="MSE138" s="422"/>
      <c r="MSF138" s="422"/>
      <c r="MSG138" s="422"/>
      <c r="MSH138" s="422"/>
      <c r="MSI138" s="422"/>
      <c r="MSJ138" s="422"/>
      <c r="MSK138" s="422"/>
      <c r="MSL138" s="422"/>
      <c r="MSM138" s="422"/>
      <c r="MSN138" s="422"/>
      <c r="MSO138" s="422"/>
      <c r="MSP138" s="422"/>
      <c r="MSQ138" s="422"/>
      <c r="MSR138" s="422"/>
      <c r="MSS138" s="422"/>
      <c r="MST138" s="422"/>
      <c r="MSU138" s="422"/>
      <c r="MSV138" s="422"/>
      <c r="MSW138" s="422"/>
      <c r="MSX138" s="422"/>
      <c r="MSY138" s="422"/>
      <c r="MSZ138" s="422"/>
      <c r="MTA138" s="422"/>
      <c r="MTB138" s="422"/>
      <c r="MTC138" s="422"/>
      <c r="MTD138" s="422"/>
      <c r="MTE138" s="422"/>
      <c r="MTF138" s="422"/>
      <c r="MTG138" s="422"/>
      <c r="MTH138" s="422"/>
      <c r="MTI138" s="422"/>
      <c r="MTJ138" s="422"/>
      <c r="MTK138" s="422"/>
      <c r="MTL138" s="422"/>
      <c r="MTM138" s="422"/>
      <c r="MTN138" s="422"/>
      <c r="MTO138" s="422"/>
      <c r="MTP138" s="422"/>
      <c r="MTQ138" s="422"/>
      <c r="MTR138" s="422"/>
      <c r="MTS138" s="422"/>
      <c r="MTT138" s="422"/>
      <c r="MTU138" s="422"/>
      <c r="MTV138" s="422"/>
      <c r="MTW138" s="422"/>
      <c r="MTX138" s="422"/>
      <c r="MTY138" s="422"/>
      <c r="MTZ138" s="422"/>
      <c r="MUA138" s="422"/>
      <c r="MUB138" s="422"/>
      <c r="MUC138" s="422"/>
      <c r="MUD138" s="422"/>
      <c r="MUE138" s="422"/>
      <c r="MUF138" s="422"/>
      <c r="MUG138" s="422"/>
      <c r="MUH138" s="422"/>
      <c r="MUI138" s="422"/>
      <c r="MUJ138" s="422"/>
      <c r="MUK138" s="422"/>
      <c r="MUL138" s="422"/>
      <c r="MUM138" s="422"/>
      <c r="MUN138" s="422"/>
      <c r="MUO138" s="422"/>
      <c r="MUP138" s="422"/>
      <c r="MUQ138" s="422"/>
      <c r="MUR138" s="422"/>
      <c r="MUS138" s="422"/>
      <c r="MUT138" s="422"/>
      <c r="MUU138" s="422"/>
      <c r="MUV138" s="422"/>
      <c r="MUW138" s="422"/>
      <c r="MUX138" s="422"/>
      <c r="MUY138" s="422"/>
      <c r="MUZ138" s="422"/>
      <c r="MVA138" s="422"/>
      <c r="MVB138" s="422"/>
      <c r="MVC138" s="422"/>
      <c r="MVD138" s="422"/>
      <c r="MVE138" s="422"/>
      <c r="MVF138" s="422"/>
      <c r="MVG138" s="422"/>
      <c r="MVH138" s="422"/>
      <c r="MVI138" s="422"/>
      <c r="MVJ138" s="422"/>
      <c r="MVK138" s="422"/>
      <c r="MVL138" s="422"/>
      <c r="MVM138" s="422"/>
      <c r="MVN138" s="422"/>
      <c r="MVO138" s="422"/>
      <c r="MVP138" s="422"/>
      <c r="MVQ138" s="422"/>
      <c r="MVR138" s="422"/>
      <c r="MVS138" s="422"/>
      <c r="MVT138" s="422"/>
      <c r="MVU138" s="422"/>
      <c r="MVV138" s="422"/>
      <c r="MVW138" s="422"/>
      <c r="MVX138" s="422"/>
      <c r="MVY138" s="422"/>
      <c r="MVZ138" s="422"/>
      <c r="MWA138" s="422"/>
      <c r="MWB138" s="422"/>
      <c r="MWC138" s="422"/>
      <c r="MWD138" s="422"/>
      <c r="MWE138" s="422"/>
      <c r="MWF138" s="422"/>
      <c r="MWG138" s="422"/>
      <c r="MWH138" s="422"/>
      <c r="MWI138" s="422"/>
      <c r="MWJ138" s="422"/>
      <c r="MWK138" s="422"/>
      <c r="MWL138" s="422"/>
      <c r="MWM138" s="422"/>
      <c r="MWN138" s="422"/>
      <c r="MWO138" s="422"/>
      <c r="MWP138" s="422"/>
      <c r="MWQ138" s="422"/>
      <c r="MWR138" s="422"/>
      <c r="MWS138" s="422"/>
      <c r="MWT138" s="422"/>
      <c r="MWU138" s="422"/>
      <c r="MWV138" s="422"/>
      <c r="MWW138" s="422"/>
      <c r="MWX138" s="422"/>
      <c r="MWY138" s="422"/>
      <c r="MWZ138" s="422"/>
      <c r="MXA138" s="422"/>
      <c r="MXB138" s="422"/>
      <c r="MXC138" s="422"/>
      <c r="MXD138" s="422"/>
      <c r="MXE138" s="422"/>
      <c r="MXF138" s="422"/>
      <c r="MXG138" s="422"/>
      <c r="MXH138" s="422"/>
      <c r="MXI138" s="422"/>
      <c r="MXJ138" s="422"/>
      <c r="MXK138" s="422"/>
      <c r="MXL138" s="422"/>
      <c r="MXM138" s="422"/>
      <c r="MXN138" s="422"/>
      <c r="MXO138" s="422"/>
      <c r="MXP138" s="422"/>
      <c r="MXQ138" s="422"/>
      <c r="MXR138" s="422"/>
      <c r="MXS138" s="422"/>
      <c r="MXT138" s="422"/>
      <c r="MXU138" s="422"/>
      <c r="MXV138" s="422"/>
      <c r="MXW138" s="422"/>
      <c r="MXX138" s="422"/>
      <c r="MXY138" s="422"/>
      <c r="MXZ138" s="422"/>
      <c r="MYA138" s="422"/>
      <c r="MYB138" s="422"/>
      <c r="MYC138" s="422"/>
      <c r="MYD138" s="422"/>
      <c r="MYE138" s="422"/>
      <c r="MYF138" s="422"/>
      <c r="MYG138" s="422"/>
      <c r="MYH138" s="422"/>
      <c r="MYI138" s="422"/>
      <c r="MYJ138" s="422"/>
      <c r="MYK138" s="422"/>
      <c r="MYL138" s="422"/>
      <c r="MYM138" s="422"/>
      <c r="MYN138" s="422"/>
      <c r="MYO138" s="422"/>
      <c r="MYP138" s="422"/>
      <c r="MYQ138" s="422"/>
      <c r="MYR138" s="422"/>
      <c r="MYS138" s="422"/>
      <c r="MYT138" s="422"/>
      <c r="MYU138" s="422"/>
      <c r="MYV138" s="422"/>
      <c r="MYW138" s="422"/>
      <c r="MYX138" s="422"/>
      <c r="MYY138" s="422"/>
      <c r="MYZ138" s="422"/>
      <c r="MZA138" s="422"/>
      <c r="MZB138" s="422"/>
      <c r="MZC138" s="422"/>
      <c r="MZD138" s="422"/>
      <c r="MZE138" s="422"/>
      <c r="MZF138" s="422"/>
      <c r="MZG138" s="422"/>
      <c r="MZH138" s="422"/>
      <c r="MZI138" s="422"/>
      <c r="MZJ138" s="422"/>
      <c r="MZK138" s="422"/>
      <c r="MZL138" s="422"/>
      <c r="MZM138" s="422"/>
      <c r="MZN138" s="422"/>
      <c r="MZO138" s="422"/>
      <c r="MZP138" s="422"/>
      <c r="MZQ138" s="422"/>
      <c r="MZR138" s="422"/>
      <c r="MZS138" s="422"/>
      <c r="MZT138" s="422"/>
      <c r="MZU138" s="422"/>
      <c r="MZV138" s="422"/>
      <c r="MZW138" s="422"/>
      <c r="MZX138" s="422"/>
      <c r="MZY138" s="422"/>
      <c r="MZZ138" s="422"/>
      <c r="NAA138" s="422"/>
      <c r="NAB138" s="422"/>
      <c r="NAC138" s="422"/>
      <c r="NAD138" s="422"/>
      <c r="NAE138" s="422"/>
      <c r="NAF138" s="422"/>
      <c r="NAG138" s="422"/>
      <c r="NAH138" s="422"/>
      <c r="NAI138" s="422"/>
      <c r="NAJ138" s="422"/>
      <c r="NAK138" s="422"/>
      <c r="NAL138" s="422"/>
      <c r="NAM138" s="422"/>
      <c r="NAN138" s="422"/>
      <c r="NAO138" s="422"/>
      <c r="NAP138" s="422"/>
      <c r="NAQ138" s="422"/>
      <c r="NAR138" s="422"/>
      <c r="NAS138" s="422"/>
      <c r="NAT138" s="422"/>
      <c r="NAU138" s="422"/>
      <c r="NAV138" s="422"/>
      <c r="NAW138" s="422"/>
      <c r="NAX138" s="422"/>
      <c r="NAY138" s="422"/>
      <c r="NAZ138" s="422"/>
      <c r="NBA138" s="422"/>
      <c r="NBB138" s="422"/>
      <c r="NBC138" s="422"/>
      <c r="NBD138" s="422"/>
      <c r="NBE138" s="422"/>
      <c r="NBF138" s="422"/>
      <c r="NBG138" s="422"/>
      <c r="NBH138" s="422"/>
      <c r="NBI138" s="422"/>
      <c r="NBJ138" s="422"/>
      <c r="NBK138" s="422"/>
      <c r="NBL138" s="422"/>
      <c r="NBM138" s="422"/>
      <c r="NBN138" s="422"/>
      <c r="NBO138" s="422"/>
      <c r="NBP138" s="422"/>
      <c r="NBQ138" s="422"/>
      <c r="NBR138" s="422"/>
      <c r="NBS138" s="422"/>
      <c r="NBT138" s="422"/>
      <c r="NBU138" s="422"/>
      <c r="NBV138" s="422"/>
      <c r="NBW138" s="422"/>
      <c r="NBX138" s="422"/>
      <c r="NBY138" s="422"/>
      <c r="NBZ138" s="422"/>
      <c r="NCA138" s="422"/>
      <c r="NCB138" s="422"/>
      <c r="NCC138" s="422"/>
      <c r="NCD138" s="422"/>
      <c r="NCE138" s="422"/>
      <c r="NCF138" s="422"/>
      <c r="NCG138" s="422"/>
      <c r="NCH138" s="422"/>
      <c r="NCI138" s="422"/>
      <c r="NCJ138" s="422"/>
      <c r="NCK138" s="422"/>
      <c r="NCL138" s="422"/>
      <c r="NCM138" s="422"/>
      <c r="NCN138" s="422"/>
      <c r="NCO138" s="422"/>
      <c r="NCP138" s="422"/>
      <c r="NCQ138" s="422"/>
      <c r="NCR138" s="422"/>
      <c r="NCS138" s="422"/>
      <c r="NCT138" s="422"/>
      <c r="NCU138" s="422"/>
      <c r="NCV138" s="422"/>
      <c r="NCW138" s="422"/>
      <c r="NCX138" s="422"/>
      <c r="NCY138" s="422"/>
      <c r="NCZ138" s="422"/>
      <c r="NDA138" s="422"/>
      <c r="NDB138" s="422"/>
      <c r="NDC138" s="422"/>
      <c r="NDD138" s="422"/>
      <c r="NDE138" s="422"/>
      <c r="NDF138" s="422"/>
      <c r="NDG138" s="422"/>
      <c r="NDH138" s="422"/>
      <c r="NDI138" s="422"/>
      <c r="NDJ138" s="422"/>
      <c r="NDK138" s="422"/>
      <c r="NDL138" s="422"/>
      <c r="NDM138" s="422"/>
      <c r="NDN138" s="422"/>
      <c r="NDO138" s="422"/>
      <c r="NDP138" s="422"/>
      <c r="NDQ138" s="422"/>
      <c r="NDR138" s="422"/>
      <c r="NDS138" s="422"/>
      <c r="NDT138" s="422"/>
      <c r="NDU138" s="422"/>
      <c r="NDV138" s="422"/>
      <c r="NDW138" s="422"/>
      <c r="NDX138" s="422"/>
      <c r="NDY138" s="422"/>
      <c r="NDZ138" s="422"/>
      <c r="NEA138" s="422"/>
      <c r="NEB138" s="422"/>
      <c r="NEC138" s="422"/>
      <c r="NED138" s="422"/>
      <c r="NEE138" s="422"/>
      <c r="NEF138" s="422"/>
      <c r="NEG138" s="422"/>
      <c r="NEH138" s="422"/>
      <c r="NEI138" s="422"/>
      <c r="NEJ138" s="422"/>
      <c r="NEK138" s="422"/>
      <c r="NEL138" s="422"/>
      <c r="NEM138" s="422"/>
      <c r="NEN138" s="422"/>
      <c r="NEO138" s="422"/>
      <c r="NEP138" s="422"/>
      <c r="NEQ138" s="422"/>
      <c r="NER138" s="422"/>
      <c r="NES138" s="422"/>
      <c r="NET138" s="422"/>
      <c r="NEU138" s="422"/>
      <c r="NEV138" s="422"/>
      <c r="NEW138" s="422"/>
      <c r="NEX138" s="422"/>
      <c r="NEY138" s="422"/>
      <c r="NEZ138" s="422"/>
      <c r="NFA138" s="422"/>
      <c r="NFB138" s="422"/>
      <c r="NFC138" s="422"/>
      <c r="NFD138" s="422"/>
      <c r="NFE138" s="422"/>
      <c r="NFF138" s="422"/>
      <c r="NFG138" s="422"/>
      <c r="NFH138" s="422"/>
      <c r="NFI138" s="422"/>
      <c r="NFJ138" s="422"/>
      <c r="NFK138" s="422"/>
      <c r="NFL138" s="422"/>
      <c r="NFM138" s="422"/>
      <c r="NFN138" s="422"/>
      <c r="NFO138" s="422"/>
      <c r="NFP138" s="422"/>
      <c r="NFQ138" s="422"/>
      <c r="NFR138" s="422"/>
      <c r="NFS138" s="422"/>
      <c r="NFT138" s="422"/>
      <c r="NFU138" s="422"/>
      <c r="NFV138" s="422"/>
      <c r="NFW138" s="422"/>
      <c r="NFX138" s="422"/>
      <c r="NFY138" s="422"/>
      <c r="NFZ138" s="422"/>
      <c r="NGA138" s="422"/>
      <c r="NGB138" s="422"/>
      <c r="NGC138" s="422"/>
      <c r="NGD138" s="422"/>
      <c r="NGE138" s="422"/>
      <c r="NGF138" s="422"/>
      <c r="NGG138" s="422"/>
      <c r="NGH138" s="422"/>
      <c r="NGI138" s="422"/>
      <c r="NGJ138" s="422"/>
      <c r="NGK138" s="422"/>
      <c r="NGL138" s="422"/>
      <c r="NGM138" s="422"/>
      <c r="NGN138" s="422"/>
      <c r="NGO138" s="422"/>
      <c r="NGP138" s="422"/>
      <c r="NGQ138" s="422"/>
      <c r="NGR138" s="422"/>
      <c r="NGS138" s="422"/>
      <c r="NGT138" s="422"/>
      <c r="NGU138" s="422"/>
      <c r="NGV138" s="422"/>
      <c r="NGW138" s="422"/>
      <c r="NGX138" s="422"/>
      <c r="NGY138" s="422"/>
      <c r="NGZ138" s="422"/>
      <c r="NHA138" s="422"/>
      <c r="NHB138" s="422"/>
      <c r="NHC138" s="422"/>
      <c r="NHD138" s="422"/>
      <c r="NHE138" s="422"/>
      <c r="NHF138" s="422"/>
      <c r="NHG138" s="422"/>
      <c r="NHH138" s="422"/>
      <c r="NHI138" s="422"/>
      <c r="NHJ138" s="422"/>
      <c r="NHK138" s="422"/>
      <c r="NHL138" s="422"/>
      <c r="NHM138" s="422"/>
      <c r="NHN138" s="422"/>
      <c r="NHO138" s="422"/>
      <c r="NHP138" s="422"/>
      <c r="NHQ138" s="422"/>
      <c r="NHR138" s="422"/>
      <c r="NHS138" s="422"/>
      <c r="NHT138" s="422"/>
      <c r="NHU138" s="422"/>
      <c r="NHV138" s="422"/>
      <c r="NHW138" s="422"/>
      <c r="NHX138" s="422"/>
      <c r="NHY138" s="422"/>
      <c r="NHZ138" s="422"/>
      <c r="NIA138" s="422"/>
      <c r="NIB138" s="422"/>
      <c r="NIC138" s="422"/>
      <c r="NID138" s="422"/>
      <c r="NIE138" s="422"/>
      <c r="NIF138" s="422"/>
      <c r="NIG138" s="422"/>
      <c r="NIH138" s="422"/>
      <c r="NII138" s="422"/>
      <c r="NIJ138" s="422"/>
      <c r="NIK138" s="422"/>
      <c r="NIL138" s="422"/>
      <c r="NIM138" s="422"/>
      <c r="NIN138" s="422"/>
      <c r="NIO138" s="422"/>
      <c r="NIP138" s="422"/>
      <c r="NIQ138" s="422"/>
      <c r="NIR138" s="422"/>
      <c r="NIS138" s="422"/>
      <c r="NIT138" s="422"/>
      <c r="NIU138" s="422"/>
      <c r="NIV138" s="422"/>
      <c r="NIW138" s="422"/>
      <c r="NIX138" s="422"/>
      <c r="NIY138" s="422"/>
      <c r="NIZ138" s="422"/>
      <c r="NJA138" s="422"/>
      <c r="NJB138" s="422"/>
      <c r="NJC138" s="422"/>
      <c r="NJD138" s="422"/>
      <c r="NJE138" s="422"/>
      <c r="NJF138" s="422"/>
      <c r="NJG138" s="422"/>
      <c r="NJH138" s="422"/>
      <c r="NJI138" s="422"/>
      <c r="NJJ138" s="422"/>
      <c r="NJK138" s="422"/>
      <c r="NJL138" s="422"/>
      <c r="NJM138" s="422"/>
      <c r="NJN138" s="422"/>
      <c r="NJO138" s="422"/>
      <c r="NJP138" s="422"/>
      <c r="NJQ138" s="422"/>
      <c r="NJR138" s="422"/>
      <c r="NJS138" s="422"/>
      <c r="NJT138" s="422"/>
      <c r="NJU138" s="422"/>
      <c r="NJV138" s="422"/>
      <c r="NJW138" s="422"/>
      <c r="NJX138" s="422"/>
      <c r="NJY138" s="422"/>
      <c r="NJZ138" s="422"/>
      <c r="NKA138" s="422"/>
      <c r="NKB138" s="422"/>
      <c r="NKC138" s="422"/>
      <c r="NKD138" s="422"/>
      <c r="NKE138" s="422"/>
      <c r="NKF138" s="422"/>
      <c r="NKG138" s="422"/>
      <c r="NKH138" s="422"/>
      <c r="NKI138" s="422"/>
      <c r="NKJ138" s="422"/>
      <c r="NKK138" s="422"/>
      <c r="NKL138" s="422"/>
      <c r="NKM138" s="422"/>
      <c r="NKN138" s="422"/>
      <c r="NKO138" s="422"/>
      <c r="NKP138" s="422"/>
      <c r="NKQ138" s="422"/>
      <c r="NKR138" s="422"/>
      <c r="NKS138" s="422"/>
      <c r="NKT138" s="422"/>
      <c r="NKU138" s="422"/>
      <c r="NKV138" s="422"/>
      <c r="NKW138" s="422"/>
      <c r="NKX138" s="422"/>
      <c r="NKY138" s="422"/>
      <c r="NKZ138" s="422"/>
      <c r="NLA138" s="422"/>
      <c r="NLB138" s="422"/>
      <c r="NLC138" s="422"/>
      <c r="NLD138" s="422"/>
      <c r="NLE138" s="422"/>
      <c r="NLF138" s="422"/>
      <c r="NLG138" s="422"/>
      <c r="NLH138" s="422"/>
      <c r="NLI138" s="422"/>
      <c r="NLJ138" s="422"/>
      <c r="NLK138" s="422"/>
      <c r="NLL138" s="422"/>
      <c r="NLM138" s="422"/>
      <c r="NLN138" s="422"/>
      <c r="NLO138" s="422"/>
      <c r="NLP138" s="422"/>
      <c r="NLQ138" s="422"/>
      <c r="NLR138" s="422"/>
      <c r="NLS138" s="422"/>
      <c r="NLT138" s="422"/>
      <c r="NLU138" s="422"/>
      <c r="NLV138" s="422"/>
      <c r="NLW138" s="422"/>
      <c r="NLX138" s="422"/>
      <c r="NLY138" s="422"/>
      <c r="NLZ138" s="422"/>
      <c r="NMA138" s="422"/>
      <c r="NMB138" s="422"/>
      <c r="NMC138" s="422"/>
      <c r="NMD138" s="422"/>
      <c r="NME138" s="422"/>
      <c r="NMF138" s="422"/>
      <c r="NMG138" s="422"/>
      <c r="NMH138" s="422"/>
      <c r="NMI138" s="422"/>
      <c r="NMJ138" s="422"/>
      <c r="NMK138" s="422"/>
      <c r="NML138" s="422"/>
      <c r="NMM138" s="422"/>
      <c r="NMN138" s="422"/>
      <c r="NMO138" s="422"/>
      <c r="NMP138" s="422"/>
      <c r="NMQ138" s="422"/>
      <c r="NMR138" s="422"/>
      <c r="NMS138" s="422"/>
      <c r="NMT138" s="422"/>
      <c r="NMU138" s="422"/>
      <c r="NMV138" s="422"/>
      <c r="NMW138" s="422"/>
      <c r="NMX138" s="422"/>
      <c r="NMY138" s="422"/>
      <c r="NMZ138" s="422"/>
      <c r="NNA138" s="422"/>
      <c r="NNB138" s="422"/>
      <c r="NNC138" s="422"/>
      <c r="NND138" s="422"/>
      <c r="NNE138" s="422"/>
      <c r="NNF138" s="422"/>
      <c r="NNG138" s="422"/>
      <c r="NNH138" s="422"/>
      <c r="NNI138" s="422"/>
      <c r="NNJ138" s="422"/>
      <c r="NNK138" s="422"/>
      <c r="NNL138" s="422"/>
      <c r="NNM138" s="422"/>
      <c r="NNN138" s="422"/>
      <c r="NNO138" s="422"/>
      <c r="NNP138" s="422"/>
      <c r="NNQ138" s="422"/>
      <c r="NNR138" s="422"/>
      <c r="NNS138" s="422"/>
      <c r="NNT138" s="422"/>
      <c r="NNU138" s="422"/>
      <c r="NNV138" s="422"/>
      <c r="NNW138" s="422"/>
      <c r="NNX138" s="422"/>
      <c r="NNY138" s="422"/>
      <c r="NNZ138" s="422"/>
      <c r="NOA138" s="422"/>
      <c r="NOB138" s="422"/>
      <c r="NOC138" s="422"/>
      <c r="NOD138" s="422"/>
      <c r="NOE138" s="422"/>
      <c r="NOF138" s="422"/>
      <c r="NOG138" s="422"/>
      <c r="NOH138" s="422"/>
      <c r="NOI138" s="422"/>
      <c r="NOJ138" s="422"/>
      <c r="NOK138" s="422"/>
      <c r="NOL138" s="422"/>
      <c r="NOM138" s="422"/>
      <c r="NON138" s="422"/>
      <c r="NOO138" s="422"/>
      <c r="NOP138" s="422"/>
      <c r="NOQ138" s="422"/>
      <c r="NOR138" s="422"/>
      <c r="NOS138" s="422"/>
      <c r="NOT138" s="422"/>
      <c r="NOU138" s="422"/>
      <c r="NOV138" s="422"/>
      <c r="NOW138" s="422"/>
      <c r="NOX138" s="422"/>
      <c r="NOY138" s="422"/>
      <c r="NOZ138" s="422"/>
      <c r="NPA138" s="422"/>
      <c r="NPB138" s="422"/>
      <c r="NPC138" s="422"/>
      <c r="NPD138" s="422"/>
      <c r="NPE138" s="422"/>
      <c r="NPF138" s="422"/>
      <c r="NPG138" s="422"/>
      <c r="NPH138" s="422"/>
      <c r="NPI138" s="422"/>
      <c r="NPJ138" s="422"/>
      <c r="NPK138" s="422"/>
      <c r="NPL138" s="422"/>
      <c r="NPM138" s="422"/>
      <c r="NPN138" s="422"/>
      <c r="NPO138" s="422"/>
      <c r="NPP138" s="422"/>
      <c r="NPQ138" s="422"/>
      <c r="NPR138" s="422"/>
      <c r="NPS138" s="422"/>
      <c r="NPT138" s="422"/>
      <c r="NPU138" s="422"/>
      <c r="NPV138" s="422"/>
      <c r="NPW138" s="422"/>
      <c r="NPX138" s="422"/>
      <c r="NPY138" s="422"/>
      <c r="NPZ138" s="422"/>
      <c r="NQA138" s="422"/>
      <c r="NQB138" s="422"/>
      <c r="NQC138" s="422"/>
      <c r="NQD138" s="422"/>
      <c r="NQE138" s="422"/>
      <c r="NQF138" s="422"/>
      <c r="NQG138" s="422"/>
      <c r="NQH138" s="422"/>
      <c r="NQI138" s="422"/>
      <c r="NQJ138" s="422"/>
      <c r="NQK138" s="422"/>
      <c r="NQL138" s="422"/>
      <c r="NQM138" s="422"/>
      <c r="NQN138" s="422"/>
      <c r="NQO138" s="422"/>
      <c r="NQP138" s="422"/>
      <c r="NQQ138" s="422"/>
      <c r="NQR138" s="422"/>
      <c r="NQS138" s="422"/>
      <c r="NQT138" s="422"/>
      <c r="NQU138" s="422"/>
      <c r="NQV138" s="422"/>
      <c r="NQW138" s="422"/>
      <c r="NQX138" s="422"/>
      <c r="NQY138" s="422"/>
      <c r="NQZ138" s="422"/>
      <c r="NRA138" s="422"/>
      <c r="NRB138" s="422"/>
      <c r="NRC138" s="422"/>
      <c r="NRD138" s="422"/>
      <c r="NRE138" s="422"/>
      <c r="NRF138" s="422"/>
      <c r="NRG138" s="422"/>
      <c r="NRH138" s="422"/>
      <c r="NRI138" s="422"/>
      <c r="NRJ138" s="422"/>
      <c r="NRK138" s="422"/>
      <c r="NRL138" s="422"/>
      <c r="NRM138" s="422"/>
      <c r="NRN138" s="422"/>
      <c r="NRO138" s="422"/>
      <c r="NRP138" s="422"/>
      <c r="NRQ138" s="422"/>
      <c r="NRR138" s="422"/>
      <c r="NRS138" s="422"/>
      <c r="NRT138" s="422"/>
      <c r="NRU138" s="422"/>
      <c r="NRV138" s="422"/>
      <c r="NRW138" s="422"/>
      <c r="NRX138" s="422"/>
      <c r="NRY138" s="422"/>
      <c r="NRZ138" s="422"/>
      <c r="NSA138" s="422"/>
      <c r="NSB138" s="422"/>
      <c r="NSC138" s="422"/>
      <c r="NSD138" s="422"/>
      <c r="NSE138" s="422"/>
      <c r="NSF138" s="422"/>
      <c r="NSG138" s="422"/>
      <c r="NSH138" s="422"/>
      <c r="NSI138" s="422"/>
      <c r="NSJ138" s="422"/>
      <c r="NSK138" s="422"/>
      <c r="NSL138" s="422"/>
      <c r="NSM138" s="422"/>
      <c r="NSN138" s="422"/>
      <c r="NSO138" s="422"/>
      <c r="NSP138" s="422"/>
      <c r="NSQ138" s="422"/>
      <c r="NSR138" s="422"/>
      <c r="NSS138" s="422"/>
      <c r="NST138" s="422"/>
      <c r="NSU138" s="422"/>
      <c r="NSV138" s="422"/>
      <c r="NSW138" s="422"/>
      <c r="NSX138" s="422"/>
      <c r="NSY138" s="422"/>
      <c r="NSZ138" s="422"/>
      <c r="NTA138" s="422"/>
      <c r="NTB138" s="422"/>
      <c r="NTC138" s="422"/>
      <c r="NTD138" s="422"/>
      <c r="NTE138" s="422"/>
      <c r="NTF138" s="422"/>
      <c r="NTG138" s="422"/>
      <c r="NTH138" s="422"/>
      <c r="NTI138" s="422"/>
      <c r="NTJ138" s="422"/>
      <c r="NTK138" s="422"/>
      <c r="NTL138" s="422"/>
      <c r="NTM138" s="422"/>
      <c r="NTN138" s="422"/>
      <c r="NTO138" s="422"/>
      <c r="NTP138" s="422"/>
      <c r="NTQ138" s="422"/>
      <c r="NTR138" s="422"/>
      <c r="NTS138" s="422"/>
      <c r="NTT138" s="422"/>
      <c r="NTU138" s="422"/>
      <c r="NTV138" s="422"/>
      <c r="NTW138" s="422"/>
      <c r="NTX138" s="422"/>
      <c r="NTY138" s="422"/>
      <c r="NTZ138" s="422"/>
      <c r="NUA138" s="422"/>
      <c r="NUB138" s="422"/>
      <c r="NUC138" s="422"/>
      <c r="NUD138" s="422"/>
      <c r="NUE138" s="422"/>
      <c r="NUF138" s="422"/>
      <c r="NUG138" s="422"/>
      <c r="NUH138" s="422"/>
      <c r="NUI138" s="422"/>
      <c r="NUJ138" s="422"/>
      <c r="NUK138" s="422"/>
      <c r="NUL138" s="422"/>
      <c r="NUM138" s="422"/>
      <c r="NUN138" s="422"/>
      <c r="NUO138" s="422"/>
      <c r="NUP138" s="422"/>
      <c r="NUQ138" s="422"/>
      <c r="NUR138" s="422"/>
      <c r="NUS138" s="422"/>
      <c r="NUT138" s="422"/>
      <c r="NUU138" s="422"/>
      <c r="NUV138" s="422"/>
      <c r="NUW138" s="422"/>
      <c r="NUX138" s="422"/>
      <c r="NUY138" s="422"/>
      <c r="NUZ138" s="422"/>
      <c r="NVA138" s="422"/>
      <c r="NVB138" s="422"/>
      <c r="NVC138" s="422"/>
      <c r="NVD138" s="422"/>
      <c r="NVE138" s="422"/>
      <c r="NVF138" s="422"/>
      <c r="NVG138" s="422"/>
      <c r="NVH138" s="422"/>
      <c r="NVI138" s="422"/>
      <c r="NVJ138" s="422"/>
      <c r="NVK138" s="422"/>
      <c r="NVL138" s="422"/>
      <c r="NVM138" s="422"/>
      <c r="NVN138" s="422"/>
      <c r="NVO138" s="422"/>
      <c r="NVP138" s="422"/>
      <c r="NVQ138" s="422"/>
      <c r="NVR138" s="422"/>
      <c r="NVS138" s="422"/>
      <c r="NVT138" s="422"/>
      <c r="NVU138" s="422"/>
      <c r="NVV138" s="422"/>
      <c r="NVW138" s="422"/>
      <c r="NVX138" s="422"/>
      <c r="NVY138" s="422"/>
      <c r="NVZ138" s="422"/>
      <c r="NWA138" s="422"/>
      <c r="NWB138" s="422"/>
      <c r="NWC138" s="422"/>
      <c r="NWD138" s="422"/>
      <c r="NWE138" s="422"/>
      <c r="NWF138" s="422"/>
      <c r="NWG138" s="422"/>
      <c r="NWH138" s="422"/>
      <c r="NWI138" s="422"/>
      <c r="NWJ138" s="422"/>
      <c r="NWK138" s="422"/>
      <c r="NWL138" s="422"/>
      <c r="NWM138" s="422"/>
      <c r="NWN138" s="422"/>
      <c r="NWO138" s="422"/>
      <c r="NWP138" s="422"/>
      <c r="NWQ138" s="422"/>
      <c r="NWR138" s="422"/>
      <c r="NWS138" s="422"/>
      <c r="NWT138" s="422"/>
      <c r="NWU138" s="422"/>
      <c r="NWV138" s="422"/>
      <c r="NWW138" s="422"/>
      <c r="NWX138" s="422"/>
      <c r="NWY138" s="422"/>
      <c r="NWZ138" s="422"/>
      <c r="NXA138" s="422"/>
      <c r="NXB138" s="422"/>
      <c r="NXC138" s="422"/>
      <c r="NXD138" s="422"/>
      <c r="NXE138" s="422"/>
      <c r="NXF138" s="422"/>
      <c r="NXG138" s="422"/>
      <c r="NXH138" s="422"/>
      <c r="NXI138" s="422"/>
      <c r="NXJ138" s="422"/>
      <c r="NXK138" s="422"/>
      <c r="NXL138" s="422"/>
      <c r="NXM138" s="422"/>
      <c r="NXN138" s="422"/>
      <c r="NXO138" s="422"/>
      <c r="NXP138" s="422"/>
      <c r="NXQ138" s="422"/>
      <c r="NXR138" s="422"/>
      <c r="NXS138" s="422"/>
      <c r="NXT138" s="422"/>
      <c r="NXU138" s="422"/>
      <c r="NXV138" s="422"/>
      <c r="NXW138" s="422"/>
      <c r="NXX138" s="422"/>
      <c r="NXY138" s="422"/>
      <c r="NXZ138" s="422"/>
      <c r="NYA138" s="422"/>
      <c r="NYB138" s="422"/>
      <c r="NYC138" s="422"/>
      <c r="NYD138" s="422"/>
      <c r="NYE138" s="422"/>
      <c r="NYF138" s="422"/>
      <c r="NYG138" s="422"/>
      <c r="NYH138" s="422"/>
      <c r="NYI138" s="422"/>
      <c r="NYJ138" s="422"/>
      <c r="NYK138" s="422"/>
      <c r="NYL138" s="422"/>
      <c r="NYM138" s="422"/>
      <c r="NYN138" s="422"/>
      <c r="NYO138" s="422"/>
      <c r="NYP138" s="422"/>
      <c r="NYQ138" s="422"/>
      <c r="NYR138" s="422"/>
      <c r="NYS138" s="422"/>
      <c r="NYT138" s="422"/>
      <c r="NYU138" s="422"/>
      <c r="NYV138" s="422"/>
      <c r="NYW138" s="422"/>
      <c r="NYX138" s="422"/>
      <c r="NYY138" s="422"/>
      <c r="NYZ138" s="422"/>
      <c r="NZA138" s="422"/>
      <c r="NZB138" s="422"/>
      <c r="NZC138" s="422"/>
      <c r="NZD138" s="422"/>
      <c r="NZE138" s="422"/>
      <c r="NZF138" s="422"/>
      <c r="NZG138" s="422"/>
      <c r="NZH138" s="422"/>
      <c r="NZI138" s="422"/>
      <c r="NZJ138" s="422"/>
      <c r="NZK138" s="422"/>
      <c r="NZL138" s="422"/>
      <c r="NZM138" s="422"/>
      <c r="NZN138" s="422"/>
      <c r="NZO138" s="422"/>
      <c r="NZP138" s="422"/>
      <c r="NZQ138" s="422"/>
      <c r="NZR138" s="422"/>
      <c r="NZS138" s="422"/>
      <c r="NZT138" s="422"/>
      <c r="NZU138" s="422"/>
      <c r="NZV138" s="422"/>
      <c r="NZW138" s="422"/>
      <c r="NZX138" s="422"/>
      <c r="NZY138" s="422"/>
      <c r="NZZ138" s="422"/>
      <c r="OAA138" s="422"/>
      <c r="OAB138" s="422"/>
      <c r="OAC138" s="422"/>
      <c r="OAD138" s="422"/>
      <c r="OAE138" s="422"/>
      <c r="OAF138" s="422"/>
      <c r="OAG138" s="422"/>
      <c r="OAH138" s="422"/>
      <c r="OAI138" s="422"/>
      <c r="OAJ138" s="422"/>
      <c r="OAK138" s="422"/>
      <c r="OAL138" s="422"/>
      <c r="OAM138" s="422"/>
      <c r="OAN138" s="422"/>
      <c r="OAO138" s="422"/>
      <c r="OAP138" s="422"/>
      <c r="OAQ138" s="422"/>
      <c r="OAR138" s="422"/>
      <c r="OAS138" s="422"/>
      <c r="OAT138" s="422"/>
      <c r="OAU138" s="422"/>
      <c r="OAV138" s="422"/>
      <c r="OAW138" s="422"/>
      <c r="OAX138" s="422"/>
      <c r="OAY138" s="422"/>
      <c r="OAZ138" s="422"/>
      <c r="OBA138" s="422"/>
      <c r="OBB138" s="422"/>
      <c r="OBC138" s="422"/>
      <c r="OBD138" s="422"/>
      <c r="OBE138" s="422"/>
      <c r="OBF138" s="422"/>
      <c r="OBG138" s="422"/>
      <c r="OBH138" s="422"/>
      <c r="OBI138" s="422"/>
      <c r="OBJ138" s="422"/>
      <c r="OBK138" s="422"/>
      <c r="OBL138" s="422"/>
      <c r="OBM138" s="422"/>
      <c r="OBN138" s="422"/>
      <c r="OBO138" s="422"/>
      <c r="OBP138" s="422"/>
      <c r="OBQ138" s="422"/>
      <c r="OBR138" s="422"/>
      <c r="OBS138" s="422"/>
      <c r="OBT138" s="422"/>
      <c r="OBU138" s="422"/>
      <c r="OBV138" s="422"/>
      <c r="OBW138" s="422"/>
      <c r="OBX138" s="422"/>
      <c r="OBY138" s="422"/>
      <c r="OBZ138" s="422"/>
      <c r="OCA138" s="422"/>
      <c r="OCB138" s="422"/>
      <c r="OCC138" s="422"/>
      <c r="OCD138" s="422"/>
      <c r="OCE138" s="422"/>
      <c r="OCF138" s="422"/>
      <c r="OCG138" s="422"/>
      <c r="OCH138" s="422"/>
      <c r="OCI138" s="422"/>
      <c r="OCJ138" s="422"/>
      <c r="OCK138" s="422"/>
      <c r="OCL138" s="422"/>
      <c r="OCM138" s="422"/>
      <c r="OCN138" s="422"/>
      <c r="OCO138" s="422"/>
      <c r="OCP138" s="422"/>
      <c r="OCQ138" s="422"/>
      <c r="OCR138" s="422"/>
      <c r="OCS138" s="422"/>
      <c r="OCT138" s="422"/>
      <c r="OCU138" s="422"/>
      <c r="OCV138" s="422"/>
      <c r="OCW138" s="422"/>
      <c r="OCX138" s="422"/>
      <c r="OCY138" s="422"/>
      <c r="OCZ138" s="422"/>
      <c r="ODA138" s="422"/>
      <c r="ODB138" s="422"/>
      <c r="ODC138" s="422"/>
      <c r="ODD138" s="422"/>
      <c r="ODE138" s="422"/>
      <c r="ODF138" s="422"/>
      <c r="ODG138" s="422"/>
      <c r="ODH138" s="422"/>
      <c r="ODI138" s="422"/>
      <c r="ODJ138" s="422"/>
      <c r="ODK138" s="422"/>
      <c r="ODL138" s="422"/>
      <c r="ODM138" s="422"/>
      <c r="ODN138" s="422"/>
      <c r="ODO138" s="422"/>
      <c r="ODP138" s="422"/>
      <c r="ODQ138" s="422"/>
      <c r="ODR138" s="422"/>
      <c r="ODS138" s="422"/>
      <c r="ODT138" s="422"/>
      <c r="ODU138" s="422"/>
      <c r="ODV138" s="422"/>
      <c r="ODW138" s="422"/>
      <c r="ODX138" s="422"/>
      <c r="ODY138" s="422"/>
      <c r="ODZ138" s="422"/>
      <c r="OEA138" s="422"/>
      <c r="OEB138" s="422"/>
      <c r="OEC138" s="422"/>
      <c r="OED138" s="422"/>
      <c r="OEE138" s="422"/>
      <c r="OEF138" s="422"/>
      <c r="OEG138" s="422"/>
      <c r="OEH138" s="422"/>
      <c r="OEI138" s="422"/>
      <c r="OEJ138" s="422"/>
      <c r="OEK138" s="422"/>
      <c r="OEL138" s="422"/>
      <c r="OEM138" s="422"/>
      <c r="OEN138" s="422"/>
      <c r="OEO138" s="422"/>
      <c r="OEP138" s="422"/>
      <c r="OEQ138" s="422"/>
      <c r="OER138" s="422"/>
      <c r="OES138" s="422"/>
      <c r="OET138" s="422"/>
      <c r="OEU138" s="422"/>
      <c r="OEV138" s="422"/>
      <c r="OEW138" s="422"/>
      <c r="OEX138" s="422"/>
      <c r="OEY138" s="422"/>
      <c r="OEZ138" s="422"/>
      <c r="OFA138" s="422"/>
      <c r="OFB138" s="422"/>
      <c r="OFC138" s="422"/>
      <c r="OFD138" s="422"/>
      <c r="OFE138" s="422"/>
      <c r="OFF138" s="422"/>
      <c r="OFG138" s="422"/>
      <c r="OFH138" s="422"/>
      <c r="OFI138" s="422"/>
      <c r="OFJ138" s="422"/>
      <c r="OFK138" s="422"/>
      <c r="OFL138" s="422"/>
      <c r="OFM138" s="422"/>
      <c r="OFN138" s="422"/>
      <c r="OFO138" s="422"/>
      <c r="OFP138" s="422"/>
      <c r="OFQ138" s="422"/>
      <c r="OFR138" s="422"/>
      <c r="OFS138" s="422"/>
      <c r="OFT138" s="422"/>
      <c r="OFU138" s="422"/>
      <c r="OFV138" s="422"/>
      <c r="OFW138" s="422"/>
      <c r="OFX138" s="422"/>
      <c r="OFY138" s="422"/>
      <c r="OFZ138" s="422"/>
      <c r="OGA138" s="422"/>
      <c r="OGB138" s="422"/>
      <c r="OGC138" s="422"/>
      <c r="OGD138" s="422"/>
      <c r="OGE138" s="422"/>
      <c r="OGF138" s="422"/>
      <c r="OGG138" s="422"/>
      <c r="OGH138" s="422"/>
      <c r="OGI138" s="422"/>
      <c r="OGJ138" s="422"/>
      <c r="OGK138" s="422"/>
      <c r="OGL138" s="422"/>
      <c r="OGM138" s="422"/>
      <c r="OGN138" s="422"/>
      <c r="OGO138" s="422"/>
      <c r="OGP138" s="422"/>
      <c r="OGQ138" s="422"/>
      <c r="OGR138" s="422"/>
      <c r="OGS138" s="422"/>
      <c r="OGT138" s="422"/>
      <c r="OGU138" s="422"/>
      <c r="OGV138" s="422"/>
      <c r="OGW138" s="422"/>
      <c r="OGX138" s="422"/>
      <c r="OGY138" s="422"/>
      <c r="OGZ138" s="422"/>
      <c r="OHA138" s="422"/>
      <c r="OHB138" s="422"/>
      <c r="OHC138" s="422"/>
      <c r="OHD138" s="422"/>
      <c r="OHE138" s="422"/>
      <c r="OHF138" s="422"/>
      <c r="OHG138" s="422"/>
      <c r="OHH138" s="422"/>
      <c r="OHI138" s="422"/>
      <c r="OHJ138" s="422"/>
      <c r="OHK138" s="422"/>
      <c r="OHL138" s="422"/>
      <c r="OHM138" s="422"/>
      <c r="OHN138" s="422"/>
      <c r="OHO138" s="422"/>
      <c r="OHP138" s="422"/>
      <c r="OHQ138" s="422"/>
      <c r="OHR138" s="422"/>
      <c r="OHS138" s="422"/>
      <c r="OHT138" s="422"/>
      <c r="OHU138" s="422"/>
      <c r="OHV138" s="422"/>
      <c r="OHW138" s="422"/>
      <c r="OHX138" s="422"/>
      <c r="OHY138" s="422"/>
      <c r="OHZ138" s="422"/>
      <c r="OIA138" s="422"/>
      <c r="OIB138" s="422"/>
      <c r="OIC138" s="422"/>
      <c r="OID138" s="422"/>
      <c r="OIE138" s="422"/>
      <c r="OIF138" s="422"/>
      <c r="OIG138" s="422"/>
      <c r="OIH138" s="422"/>
      <c r="OII138" s="422"/>
      <c r="OIJ138" s="422"/>
      <c r="OIK138" s="422"/>
      <c r="OIL138" s="422"/>
      <c r="OIM138" s="422"/>
      <c r="OIN138" s="422"/>
      <c r="OIO138" s="422"/>
      <c r="OIP138" s="422"/>
      <c r="OIQ138" s="422"/>
      <c r="OIR138" s="422"/>
      <c r="OIS138" s="422"/>
      <c r="OIT138" s="422"/>
      <c r="OIU138" s="422"/>
      <c r="OIV138" s="422"/>
      <c r="OIW138" s="422"/>
      <c r="OIX138" s="422"/>
      <c r="OIY138" s="422"/>
      <c r="OIZ138" s="422"/>
      <c r="OJA138" s="422"/>
      <c r="OJB138" s="422"/>
      <c r="OJC138" s="422"/>
      <c r="OJD138" s="422"/>
      <c r="OJE138" s="422"/>
      <c r="OJF138" s="422"/>
      <c r="OJG138" s="422"/>
      <c r="OJH138" s="422"/>
      <c r="OJI138" s="422"/>
      <c r="OJJ138" s="422"/>
      <c r="OJK138" s="422"/>
      <c r="OJL138" s="422"/>
      <c r="OJM138" s="422"/>
      <c r="OJN138" s="422"/>
      <c r="OJO138" s="422"/>
      <c r="OJP138" s="422"/>
      <c r="OJQ138" s="422"/>
      <c r="OJR138" s="422"/>
      <c r="OJS138" s="422"/>
      <c r="OJT138" s="422"/>
      <c r="OJU138" s="422"/>
      <c r="OJV138" s="422"/>
      <c r="OJW138" s="422"/>
      <c r="OJX138" s="422"/>
      <c r="OJY138" s="422"/>
      <c r="OJZ138" s="422"/>
      <c r="OKA138" s="422"/>
      <c r="OKB138" s="422"/>
      <c r="OKC138" s="422"/>
      <c r="OKD138" s="422"/>
      <c r="OKE138" s="422"/>
      <c r="OKF138" s="422"/>
      <c r="OKG138" s="422"/>
      <c r="OKH138" s="422"/>
      <c r="OKI138" s="422"/>
      <c r="OKJ138" s="422"/>
      <c r="OKK138" s="422"/>
      <c r="OKL138" s="422"/>
      <c r="OKM138" s="422"/>
      <c r="OKN138" s="422"/>
      <c r="OKO138" s="422"/>
      <c r="OKP138" s="422"/>
      <c r="OKQ138" s="422"/>
      <c r="OKR138" s="422"/>
      <c r="OKS138" s="422"/>
      <c r="OKT138" s="422"/>
      <c r="OKU138" s="422"/>
      <c r="OKV138" s="422"/>
      <c r="OKW138" s="422"/>
      <c r="OKX138" s="422"/>
      <c r="OKY138" s="422"/>
      <c r="OKZ138" s="422"/>
      <c r="OLA138" s="422"/>
      <c r="OLB138" s="422"/>
      <c r="OLC138" s="422"/>
      <c r="OLD138" s="422"/>
      <c r="OLE138" s="422"/>
      <c r="OLF138" s="422"/>
      <c r="OLG138" s="422"/>
      <c r="OLH138" s="422"/>
      <c r="OLI138" s="422"/>
      <c r="OLJ138" s="422"/>
      <c r="OLK138" s="422"/>
      <c r="OLL138" s="422"/>
      <c r="OLM138" s="422"/>
      <c r="OLN138" s="422"/>
      <c r="OLO138" s="422"/>
      <c r="OLP138" s="422"/>
      <c r="OLQ138" s="422"/>
      <c r="OLR138" s="422"/>
      <c r="OLS138" s="422"/>
      <c r="OLT138" s="422"/>
      <c r="OLU138" s="422"/>
      <c r="OLV138" s="422"/>
      <c r="OLW138" s="422"/>
      <c r="OLX138" s="422"/>
      <c r="OLY138" s="422"/>
      <c r="OLZ138" s="422"/>
      <c r="OMA138" s="422"/>
      <c r="OMB138" s="422"/>
      <c r="OMC138" s="422"/>
      <c r="OMD138" s="422"/>
      <c r="OME138" s="422"/>
      <c r="OMF138" s="422"/>
      <c r="OMG138" s="422"/>
      <c r="OMH138" s="422"/>
      <c r="OMI138" s="422"/>
      <c r="OMJ138" s="422"/>
      <c r="OMK138" s="422"/>
      <c r="OML138" s="422"/>
      <c r="OMM138" s="422"/>
      <c r="OMN138" s="422"/>
      <c r="OMO138" s="422"/>
      <c r="OMP138" s="422"/>
      <c r="OMQ138" s="422"/>
      <c r="OMR138" s="422"/>
      <c r="OMS138" s="422"/>
      <c r="OMT138" s="422"/>
      <c r="OMU138" s="422"/>
      <c r="OMV138" s="422"/>
      <c r="OMW138" s="422"/>
      <c r="OMX138" s="422"/>
      <c r="OMY138" s="422"/>
      <c r="OMZ138" s="422"/>
      <c r="ONA138" s="422"/>
      <c r="ONB138" s="422"/>
      <c r="ONC138" s="422"/>
      <c r="OND138" s="422"/>
      <c r="ONE138" s="422"/>
      <c r="ONF138" s="422"/>
      <c r="ONG138" s="422"/>
      <c r="ONH138" s="422"/>
      <c r="ONI138" s="422"/>
      <c r="ONJ138" s="422"/>
      <c r="ONK138" s="422"/>
      <c r="ONL138" s="422"/>
      <c r="ONM138" s="422"/>
      <c r="ONN138" s="422"/>
      <c r="ONO138" s="422"/>
      <c r="ONP138" s="422"/>
      <c r="ONQ138" s="422"/>
      <c r="ONR138" s="422"/>
      <c r="ONS138" s="422"/>
      <c r="ONT138" s="422"/>
      <c r="ONU138" s="422"/>
      <c r="ONV138" s="422"/>
      <c r="ONW138" s="422"/>
      <c r="ONX138" s="422"/>
      <c r="ONY138" s="422"/>
      <c r="ONZ138" s="422"/>
      <c r="OOA138" s="422"/>
      <c r="OOB138" s="422"/>
      <c r="OOC138" s="422"/>
      <c r="OOD138" s="422"/>
      <c r="OOE138" s="422"/>
      <c r="OOF138" s="422"/>
      <c r="OOG138" s="422"/>
      <c r="OOH138" s="422"/>
      <c r="OOI138" s="422"/>
      <c r="OOJ138" s="422"/>
      <c r="OOK138" s="422"/>
      <c r="OOL138" s="422"/>
      <c r="OOM138" s="422"/>
      <c r="OON138" s="422"/>
      <c r="OOO138" s="422"/>
      <c r="OOP138" s="422"/>
      <c r="OOQ138" s="422"/>
      <c r="OOR138" s="422"/>
      <c r="OOS138" s="422"/>
      <c r="OOT138" s="422"/>
      <c r="OOU138" s="422"/>
      <c r="OOV138" s="422"/>
      <c r="OOW138" s="422"/>
      <c r="OOX138" s="422"/>
      <c r="OOY138" s="422"/>
      <c r="OOZ138" s="422"/>
      <c r="OPA138" s="422"/>
      <c r="OPB138" s="422"/>
      <c r="OPC138" s="422"/>
      <c r="OPD138" s="422"/>
      <c r="OPE138" s="422"/>
      <c r="OPF138" s="422"/>
      <c r="OPG138" s="422"/>
      <c r="OPH138" s="422"/>
      <c r="OPI138" s="422"/>
      <c r="OPJ138" s="422"/>
      <c r="OPK138" s="422"/>
      <c r="OPL138" s="422"/>
      <c r="OPM138" s="422"/>
      <c r="OPN138" s="422"/>
      <c r="OPO138" s="422"/>
      <c r="OPP138" s="422"/>
      <c r="OPQ138" s="422"/>
      <c r="OPR138" s="422"/>
      <c r="OPS138" s="422"/>
      <c r="OPT138" s="422"/>
      <c r="OPU138" s="422"/>
      <c r="OPV138" s="422"/>
      <c r="OPW138" s="422"/>
      <c r="OPX138" s="422"/>
      <c r="OPY138" s="422"/>
      <c r="OPZ138" s="422"/>
      <c r="OQA138" s="422"/>
      <c r="OQB138" s="422"/>
      <c r="OQC138" s="422"/>
      <c r="OQD138" s="422"/>
      <c r="OQE138" s="422"/>
      <c r="OQF138" s="422"/>
      <c r="OQG138" s="422"/>
      <c r="OQH138" s="422"/>
      <c r="OQI138" s="422"/>
      <c r="OQJ138" s="422"/>
      <c r="OQK138" s="422"/>
      <c r="OQL138" s="422"/>
      <c r="OQM138" s="422"/>
      <c r="OQN138" s="422"/>
      <c r="OQO138" s="422"/>
      <c r="OQP138" s="422"/>
      <c r="OQQ138" s="422"/>
      <c r="OQR138" s="422"/>
      <c r="OQS138" s="422"/>
      <c r="OQT138" s="422"/>
      <c r="OQU138" s="422"/>
      <c r="OQV138" s="422"/>
      <c r="OQW138" s="422"/>
      <c r="OQX138" s="422"/>
      <c r="OQY138" s="422"/>
      <c r="OQZ138" s="422"/>
      <c r="ORA138" s="422"/>
      <c r="ORB138" s="422"/>
      <c r="ORC138" s="422"/>
      <c r="ORD138" s="422"/>
      <c r="ORE138" s="422"/>
      <c r="ORF138" s="422"/>
      <c r="ORG138" s="422"/>
      <c r="ORH138" s="422"/>
      <c r="ORI138" s="422"/>
      <c r="ORJ138" s="422"/>
      <c r="ORK138" s="422"/>
      <c r="ORL138" s="422"/>
      <c r="ORM138" s="422"/>
      <c r="ORN138" s="422"/>
      <c r="ORO138" s="422"/>
      <c r="ORP138" s="422"/>
      <c r="ORQ138" s="422"/>
      <c r="ORR138" s="422"/>
      <c r="ORS138" s="422"/>
      <c r="ORT138" s="422"/>
      <c r="ORU138" s="422"/>
      <c r="ORV138" s="422"/>
      <c r="ORW138" s="422"/>
      <c r="ORX138" s="422"/>
      <c r="ORY138" s="422"/>
      <c r="ORZ138" s="422"/>
      <c r="OSA138" s="422"/>
      <c r="OSB138" s="422"/>
      <c r="OSC138" s="422"/>
      <c r="OSD138" s="422"/>
      <c r="OSE138" s="422"/>
      <c r="OSF138" s="422"/>
      <c r="OSG138" s="422"/>
      <c r="OSH138" s="422"/>
      <c r="OSI138" s="422"/>
      <c r="OSJ138" s="422"/>
      <c r="OSK138" s="422"/>
      <c r="OSL138" s="422"/>
      <c r="OSM138" s="422"/>
      <c r="OSN138" s="422"/>
      <c r="OSO138" s="422"/>
      <c r="OSP138" s="422"/>
      <c r="OSQ138" s="422"/>
      <c r="OSR138" s="422"/>
      <c r="OSS138" s="422"/>
      <c r="OST138" s="422"/>
      <c r="OSU138" s="422"/>
      <c r="OSV138" s="422"/>
      <c r="OSW138" s="422"/>
      <c r="OSX138" s="422"/>
      <c r="OSY138" s="422"/>
      <c r="OSZ138" s="422"/>
      <c r="OTA138" s="422"/>
      <c r="OTB138" s="422"/>
      <c r="OTC138" s="422"/>
      <c r="OTD138" s="422"/>
      <c r="OTE138" s="422"/>
      <c r="OTF138" s="422"/>
      <c r="OTG138" s="422"/>
      <c r="OTH138" s="422"/>
      <c r="OTI138" s="422"/>
      <c r="OTJ138" s="422"/>
      <c r="OTK138" s="422"/>
      <c r="OTL138" s="422"/>
      <c r="OTM138" s="422"/>
      <c r="OTN138" s="422"/>
      <c r="OTO138" s="422"/>
      <c r="OTP138" s="422"/>
      <c r="OTQ138" s="422"/>
      <c r="OTR138" s="422"/>
      <c r="OTS138" s="422"/>
      <c r="OTT138" s="422"/>
      <c r="OTU138" s="422"/>
      <c r="OTV138" s="422"/>
      <c r="OTW138" s="422"/>
      <c r="OTX138" s="422"/>
      <c r="OTY138" s="422"/>
      <c r="OTZ138" s="422"/>
      <c r="OUA138" s="422"/>
      <c r="OUB138" s="422"/>
      <c r="OUC138" s="422"/>
      <c r="OUD138" s="422"/>
      <c r="OUE138" s="422"/>
      <c r="OUF138" s="422"/>
      <c r="OUG138" s="422"/>
      <c r="OUH138" s="422"/>
      <c r="OUI138" s="422"/>
      <c r="OUJ138" s="422"/>
      <c r="OUK138" s="422"/>
      <c r="OUL138" s="422"/>
      <c r="OUM138" s="422"/>
      <c r="OUN138" s="422"/>
      <c r="OUO138" s="422"/>
      <c r="OUP138" s="422"/>
      <c r="OUQ138" s="422"/>
      <c r="OUR138" s="422"/>
      <c r="OUS138" s="422"/>
      <c r="OUT138" s="422"/>
      <c r="OUU138" s="422"/>
      <c r="OUV138" s="422"/>
      <c r="OUW138" s="422"/>
      <c r="OUX138" s="422"/>
      <c r="OUY138" s="422"/>
      <c r="OUZ138" s="422"/>
      <c r="OVA138" s="422"/>
      <c r="OVB138" s="422"/>
      <c r="OVC138" s="422"/>
      <c r="OVD138" s="422"/>
      <c r="OVE138" s="422"/>
      <c r="OVF138" s="422"/>
      <c r="OVG138" s="422"/>
      <c r="OVH138" s="422"/>
      <c r="OVI138" s="422"/>
      <c r="OVJ138" s="422"/>
      <c r="OVK138" s="422"/>
      <c r="OVL138" s="422"/>
      <c r="OVM138" s="422"/>
      <c r="OVN138" s="422"/>
      <c r="OVO138" s="422"/>
      <c r="OVP138" s="422"/>
      <c r="OVQ138" s="422"/>
      <c r="OVR138" s="422"/>
      <c r="OVS138" s="422"/>
      <c r="OVT138" s="422"/>
      <c r="OVU138" s="422"/>
      <c r="OVV138" s="422"/>
      <c r="OVW138" s="422"/>
      <c r="OVX138" s="422"/>
      <c r="OVY138" s="422"/>
      <c r="OVZ138" s="422"/>
      <c r="OWA138" s="422"/>
      <c r="OWB138" s="422"/>
      <c r="OWC138" s="422"/>
      <c r="OWD138" s="422"/>
      <c r="OWE138" s="422"/>
      <c r="OWF138" s="422"/>
      <c r="OWG138" s="422"/>
      <c r="OWH138" s="422"/>
      <c r="OWI138" s="422"/>
      <c r="OWJ138" s="422"/>
      <c r="OWK138" s="422"/>
      <c r="OWL138" s="422"/>
      <c r="OWM138" s="422"/>
      <c r="OWN138" s="422"/>
      <c r="OWO138" s="422"/>
      <c r="OWP138" s="422"/>
      <c r="OWQ138" s="422"/>
      <c r="OWR138" s="422"/>
      <c r="OWS138" s="422"/>
      <c r="OWT138" s="422"/>
      <c r="OWU138" s="422"/>
      <c r="OWV138" s="422"/>
      <c r="OWW138" s="422"/>
      <c r="OWX138" s="422"/>
      <c r="OWY138" s="422"/>
      <c r="OWZ138" s="422"/>
      <c r="OXA138" s="422"/>
      <c r="OXB138" s="422"/>
      <c r="OXC138" s="422"/>
      <c r="OXD138" s="422"/>
      <c r="OXE138" s="422"/>
      <c r="OXF138" s="422"/>
      <c r="OXG138" s="422"/>
      <c r="OXH138" s="422"/>
      <c r="OXI138" s="422"/>
      <c r="OXJ138" s="422"/>
      <c r="OXK138" s="422"/>
      <c r="OXL138" s="422"/>
      <c r="OXM138" s="422"/>
      <c r="OXN138" s="422"/>
      <c r="OXO138" s="422"/>
      <c r="OXP138" s="422"/>
      <c r="OXQ138" s="422"/>
      <c r="OXR138" s="422"/>
      <c r="OXS138" s="422"/>
      <c r="OXT138" s="422"/>
      <c r="OXU138" s="422"/>
      <c r="OXV138" s="422"/>
      <c r="OXW138" s="422"/>
      <c r="OXX138" s="422"/>
      <c r="OXY138" s="422"/>
      <c r="OXZ138" s="422"/>
      <c r="OYA138" s="422"/>
      <c r="OYB138" s="422"/>
      <c r="OYC138" s="422"/>
      <c r="OYD138" s="422"/>
      <c r="OYE138" s="422"/>
      <c r="OYF138" s="422"/>
      <c r="OYG138" s="422"/>
      <c r="OYH138" s="422"/>
      <c r="OYI138" s="422"/>
      <c r="OYJ138" s="422"/>
      <c r="OYK138" s="422"/>
      <c r="OYL138" s="422"/>
      <c r="OYM138" s="422"/>
      <c r="OYN138" s="422"/>
      <c r="OYO138" s="422"/>
      <c r="OYP138" s="422"/>
      <c r="OYQ138" s="422"/>
      <c r="OYR138" s="422"/>
      <c r="OYS138" s="422"/>
      <c r="OYT138" s="422"/>
      <c r="OYU138" s="422"/>
      <c r="OYV138" s="422"/>
      <c r="OYW138" s="422"/>
      <c r="OYX138" s="422"/>
      <c r="OYY138" s="422"/>
      <c r="OYZ138" s="422"/>
      <c r="OZA138" s="422"/>
      <c r="OZB138" s="422"/>
      <c r="OZC138" s="422"/>
      <c r="OZD138" s="422"/>
      <c r="OZE138" s="422"/>
      <c r="OZF138" s="422"/>
      <c r="OZG138" s="422"/>
      <c r="OZH138" s="422"/>
      <c r="OZI138" s="422"/>
      <c r="OZJ138" s="422"/>
      <c r="OZK138" s="422"/>
      <c r="OZL138" s="422"/>
      <c r="OZM138" s="422"/>
      <c r="OZN138" s="422"/>
      <c r="OZO138" s="422"/>
      <c r="OZP138" s="422"/>
      <c r="OZQ138" s="422"/>
      <c r="OZR138" s="422"/>
      <c r="OZS138" s="422"/>
      <c r="OZT138" s="422"/>
      <c r="OZU138" s="422"/>
      <c r="OZV138" s="422"/>
      <c r="OZW138" s="422"/>
      <c r="OZX138" s="422"/>
      <c r="OZY138" s="422"/>
      <c r="OZZ138" s="422"/>
      <c r="PAA138" s="422"/>
      <c r="PAB138" s="422"/>
      <c r="PAC138" s="422"/>
      <c r="PAD138" s="422"/>
      <c r="PAE138" s="422"/>
      <c r="PAF138" s="422"/>
      <c r="PAG138" s="422"/>
      <c r="PAH138" s="422"/>
      <c r="PAI138" s="422"/>
      <c r="PAJ138" s="422"/>
      <c r="PAK138" s="422"/>
      <c r="PAL138" s="422"/>
      <c r="PAM138" s="422"/>
      <c r="PAN138" s="422"/>
      <c r="PAO138" s="422"/>
      <c r="PAP138" s="422"/>
      <c r="PAQ138" s="422"/>
      <c r="PAR138" s="422"/>
      <c r="PAS138" s="422"/>
      <c r="PAT138" s="422"/>
      <c r="PAU138" s="422"/>
      <c r="PAV138" s="422"/>
      <c r="PAW138" s="422"/>
      <c r="PAX138" s="422"/>
      <c r="PAY138" s="422"/>
      <c r="PAZ138" s="422"/>
      <c r="PBA138" s="422"/>
      <c r="PBB138" s="422"/>
      <c r="PBC138" s="422"/>
      <c r="PBD138" s="422"/>
      <c r="PBE138" s="422"/>
      <c r="PBF138" s="422"/>
      <c r="PBG138" s="422"/>
      <c r="PBH138" s="422"/>
      <c r="PBI138" s="422"/>
      <c r="PBJ138" s="422"/>
      <c r="PBK138" s="422"/>
      <c r="PBL138" s="422"/>
      <c r="PBM138" s="422"/>
      <c r="PBN138" s="422"/>
      <c r="PBO138" s="422"/>
      <c r="PBP138" s="422"/>
      <c r="PBQ138" s="422"/>
      <c r="PBR138" s="422"/>
      <c r="PBS138" s="422"/>
      <c r="PBT138" s="422"/>
      <c r="PBU138" s="422"/>
      <c r="PBV138" s="422"/>
      <c r="PBW138" s="422"/>
      <c r="PBX138" s="422"/>
      <c r="PBY138" s="422"/>
      <c r="PBZ138" s="422"/>
      <c r="PCA138" s="422"/>
      <c r="PCB138" s="422"/>
      <c r="PCC138" s="422"/>
      <c r="PCD138" s="422"/>
      <c r="PCE138" s="422"/>
      <c r="PCF138" s="422"/>
      <c r="PCG138" s="422"/>
      <c r="PCH138" s="422"/>
      <c r="PCI138" s="422"/>
      <c r="PCJ138" s="422"/>
      <c r="PCK138" s="422"/>
      <c r="PCL138" s="422"/>
      <c r="PCM138" s="422"/>
      <c r="PCN138" s="422"/>
      <c r="PCO138" s="422"/>
      <c r="PCP138" s="422"/>
      <c r="PCQ138" s="422"/>
      <c r="PCR138" s="422"/>
      <c r="PCS138" s="422"/>
      <c r="PCT138" s="422"/>
      <c r="PCU138" s="422"/>
      <c r="PCV138" s="422"/>
      <c r="PCW138" s="422"/>
      <c r="PCX138" s="422"/>
      <c r="PCY138" s="422"/>
      <c r="PCZ138" s="422"/>
      <c r="PDA138" s="422"/>
      <c r="PDB138" s="422"/>
      <c r="PDC138" s="422"/>
      <c r="PDD138" s="422"/>
      <c r="PDE138" s="422"/>
      <c r="PDF138" s="422"/>
      <c r="PDG138" s="422"/>
      <c r="PDH138" s="422"/>
      <c r="PDI138" s="422"/>
      <c r="PDJ138" s="422"/>
      <c r="PDK138" s="422"/>
      <c r="PDL138" s="422"/>
      <c r="PDM138" s="422"/>
      <c r="PDN138" s="422"/>
      <c r="PDO138" s="422"/>
      <c r="PDP138" s="422"/>
      <c r="PDQ138" s="422"/>
      <c r="PDR138" s="422"/>
      <c r="PDS138" s="422"/>
      <c r="PDT138" s="422"/>
      <c r="PDU138" s="422"/>
      <c r="PDV138" s="422"/>
      <c r="PDW138" s="422"/>
      <c r="PDX138" s="422"/>
      <c r="PDY138" s="422"/>
      <c r="PDZ138" s="422"/>
      <c r="PEA138" s="422"/>
      <c r="PEB138" s="422"/>
      <c r="PEC138" s="422"/>
      <c r="PED138" s="422"/>
      <c r="PEE138" s="422"/>
      <c r="PEF138" s="422"/>
      <c r="PEG138" s="422"/>
      <c r="PEH138" s="422"/>
      <c r="PEI138" s="422"/>
      <c r="PEJ138" s="422"/>
      <c r="PEK138" s="422"/>
      <c r="PEL138" s="422"/>
      <c r="PEM138" s="422"/>
      <c r="PEN138" s="422"/>
      <c r="PEO138" s="422"/>
      <c r="PEP138" s="422"/>
      <c r="PEQ138" s="422"/>
      <c r="PER138" s="422"/>
      <c r="PES138" s="422"/>
      <c r="PET138" s="422"/>
      <c r="PEU138" s="422"/>
      <c r="PEV138" s="422"/>
      <c r="PEW138" s="422"/>
      <c r="PEX138" s="422"/>
      <c r="PEY138" s="422"/>
      <c r="PEZ138" s="422"/>
      <c r="PFA138" s="422"/>
      <c r="PFB138" s="422"/>
      <c r="PFC138" s="422"/>
      <c r="PFD138" s="422"/>
      <c r="PFE138" s="422"/>
      <c r="PFF138" s="422"/>
      <c r="PFG138" s="422"/>
      <c r="PFH138" s="422"/>
      <c r="PFI138" s="422"/>
      <c r="PFJ138" s="422"/>
      <c r="PFK138" s="422"/>
      <c r="PFL138" s="422"/>
      <c r="PFM138" s="422"/>
      <c r="PFN138" s="422"/>
      <c r="PFO138" s="422"/>
      <c r="PFP138" s="422"/>
      <c r="PFQ138" s="422"/>
      <c r="PFR138" s="422"/>
      <c r="PFS138" s="422"/>
      <c r="PFT138" s="422"/>
      <c r="PFU138" s="422"/>
      <c r="PFV138" s="422"/>
      <c r="PFW138" s="422"/>
      <c r="PFX138" s="422"/>
      <c r="PFY138" s="422"/>
      <c r="PFZ138" s="422"/>
      <c r="PGA138" s="422"/>
      <c r="PGB138" s="422"/>
      <c r="PGC138" s="422"/>
      <c r="PGD138" s="422"/>
      <c r="PGE138" s="422"/>
      <c r="PGF138" s="422"/>
      <c r="PGG138" s="422"/>
      <c r="PGH138" s="422"/>
      <c r="PGI138" s="422"/>
      <c r="PGJ138" s="422"/>
      <c r="PGK138" s="422"/>
      <c r="PGL138" s="422"/>
      <c r="PGM138" s="422"/>
      <c r="PGN138" s="422"/>
      <c r="PGO138" s="422"/>
      <c r="PGP138" s="422"/>
      <c r="PGQ138" s="422"/>
      <c r="PGR138" s="422"/>
      <c r="PGS138" s="422"/>
      <c r="PGT138" s="422"/>
      <c r="PGU138" s="422"/>
      <c r="PGV138" s="422"/>
      <c r="PGW138" s="422"/>
      <c r="PGX138" s="422"/>
      <c r="PGY138" s="422"/>
      <c r="PGZ138" s="422"/>
      <c r="PHA138" s="422"/>
      <c r="PHB138" s="422"/>
      <c r="PHC138" s="422"/>
      <c r="PHD138" s="422"/>
      <c r="PHE138" s="422"/>
      <c r="PHF138" s="422"/>
      <c r="PHG138" s="422"/>
      <c r="PHH138" s="422"/>
      <c r="PHI138" s="422"/>
      <c r="PHJ138" s="422"/>
      <c r="PHK138" s="422"/>
      <c r="PHL138" s="422"/>
      <c r="PHM138" s="422"/>
      <c r="PHN138" s="422"/>
      <c r="PHO138" s="422"/>
      <c r="PHP138" s="422"/>
      <c r="PHQ138" s="422"/>
      <c r="PHR138" s="422"/>
      <c r="PHS138" s="422"/>
      <c r="PHT138" s="422"/>
      <c r="PHU138" s="422"/>
      <c r="PHV138" s="422"/>
      <c r="PHW138" s="422"/>
      <c r="PHX138" s="422"/>
      <c r="PHY138" s="422"/>
      <c r="PHZ138" s="422"/>
      <c r="PIA138" s="422"/>
      <c r="PIB138" s="422"/>
      <c r="PIC138" s="422"/>
      <c r="PID138" s="422"/>
      <c r="PIE138" s="422"/>
      <c r="PIF138" s="422"/>
      <c r="PIG138" s="422"/>
      <c r="PIH138" s="422"/>
      <c r="PII138" s="422"/>
      <c r="PIJ138" s="422"/>
      <c r="PIK138" s="422"/>
      <c r="PIL138" s="422"/>
      <c r="PIM138" s="422"/>
      <c r="PIN138" s="422"/>
      <c r="PIO138" s="422"/>
      <c r="PIP138" s="422"/>
      <c r="PIQ138" s="422"/>
      <c r="PIR138" s="422"/>
      <c r="PIS138" s="422"/>
      <c r="PIT138" s="422"/>
      <c r="PIU138" s="422"/>
      <c r="PIV138" s="422"/>
      <c r="PIW138" s="422"/>
      <c r="PIX138" s="422"/>
      <c r="PIY138" s="422"/>
      <c r="PIZ138" s="422"/>
      <c r="PJA138" s="422"/>
      <c r="PJB138" s="422"/>
      <c r="PJC138" s="422"/>
      <c r="PJD138" s="422"/>
      <c r="PJE138" s="422"/>
      <c r="PJF138" s="422"/>
      <c r="PJG138" s="422"/>
      <c r="PJH138" s="422"/>
      <c r="PJI138" s="422"/>
      <c r="PJJ138" s="422"/>
      <c r="PJK138" s="422"/>
      <c r="PJL138" s="422"/>
      <c r="PJM138" s="422"/>
      <c r="PJN138" s="422"/>
      <c r="PJO138" s="422"/>
      <c r="PJP138" s="422"/>
      <c r="PJQ138" s="422"/>
      <c r="PJR138" s="422"/>
      <c r="PJS138" s="422"/>
      <c r="PJT138" s="422"/>
      <c r="PJU138" s="422"/>
      <c r="PJV138" s="422"/>
      <c r="PJW138" s="422"/>
      <c r="PJX138" s="422"/>
      <c r="PJY138" s="422"/>
      <c r="PJZ138" s="422"/>
      <c r="PKA138" s="422"/>
      <c r="PKB138" s="422"/>
      <c r="PKC138" s="422"/>
      <c r="PKD138" s="422"/>
      <c r="PKE138" s="422"/>
      <c r="PKF138" s="422"/>
      <c r="PKG138" s="422"/>
      <c r="PKH138" s="422"/>
      <c r="PKI138" s="422"/>
      <c r="PKJ138" s="422"/>
      <c r="PKK138" s="422"/>
      <c r="PKL138" s="422"/>
      <c r="PKM138" s="422"/>
      <c r="PKN138" s="422"/>
      <c r="PKO138" s="422"/>
      <c r="PKP138" s="422"/>
      <c r="PKQ138" s="422"/>
      <c r="PKR138" s="422"/>
      <c r="PKS138" s="422"/>
      <c r="PKT138" s="422"/>
      <c r="PKU138" s="422"/>
      <c r="PKV138" s="422"/>
      <c r="PKW138" s="422"/>
      <c r="PKX138" s="422"/>
      <c r="PKY138" s="422"/>
      <c r="PKZ138" s="422"/>
      <c r="PLA138" s="422"/>
      <c r="PLB138" s="422"/>
      <c r="PLC138" s="422"/>
      <c r="PLD138" s="422"/>
      <c r="PLE138" s="422"/>
      <c r="PLF138" s="422"/>
      <c r="PLG138" s="422"/>
      <c r="PLH138" s="422"/>
      <c r="PLI138" s="422"/>
      <c r="PLJ138" s="422"/>
      <c r="PLK138" s="422"/>
      <c r="PLL138" s="422"/>
      <c r="PLM138" s="422"/>
      <c r="PLN138" s="422"/>
      <c r="PLO138" s="422"/>
      <c r="PLP138" s="422"/>
      <c r="PLQ138" s="422"/>
      <c r="PLR138" s="422"/>
      <c r="PLS138" s="422"/>
      <c r="PLT138" s="422"/>
      <c r="PLU138" s="422"/>
      <c r="PLV138" s="422"/>
      <c r="PLW138" s="422"/>
      <c r="PLX138" s="422"/>
      <c r="PLY138" s="422"/>
      <c r="PLZ138" s="422"/>
      <c r="PMA138" s="422"/>
      <c r="PMB138" s="422"/>
      <c r="PMC138" s="422"/>
      <c r="PMD138" s="422"/>
      <c r="PME138" s="422"/>
      <c r="PMF138" s="422"/>
      <c r="PMG138" s="422"/>
      <c r="PMH138" s="422"/>
      <c r="PMI138" s="422"/>
      <c r="PMJ138" s="422"/>
      <c r="PMK138" s="422"/>
      <c r="PML138" s="422"/>
      <c r="PMM138" s="422"/>
      <c r="PMN138" s="422"/>
      <c r="PMO138" s="422"/>
      <c r="PMP138" s="422"/>
      <c r="PMQ138" s="422"/>
      <c r="PMR138" s="422"/>
      <c r="PMS138" s="422"/>
      <c r="PMT138" s="422"/>
      <c r="PMU138" s="422"/>
      <c r="PMV138" s="422"/>
      <c r="PMW138" s="422"/>
      <c r="PMX138" s="422"/>
      <c r="PMY138" s="422"/>
      <c r="PMZ138" s="422"/>
      <c r="PNA138" s="422"/>
      <c r="PNB138" s="422"/>
      <c r="PNC138" s="422"/>
      <c r="PND138" s="422"/>
      <c r="PNE138" s="422"/>
      <c r="PNF138" s="422"/>
      <c r="PNG138" s="422"/>
      <c r="PNH138" s="422"/>
      <c r="PNI138" s="422"/>
      <c r="PNJ138" s="422"/>
      <c r="PNK138" s="422"/>
      <c r="PNL138" s="422"/>
      <c r="PNM138" s="422"/>
      <c r="PNN138" s="422"/>
      <c r="PNO138" s="422"/>
      <c r="PNP138" s="422"/>
      <c r="PNQ138" s="422"/>
      <c r="PNR138" s="422"/>
      <c r="PNS138" s="422"/>
      <c r="PNT138" s="422"/>
      <c r="PNU138" s="422"/>
      <c r="PNV138" s="422"/>
      <c r="PNW138" s="422"/>
      <c r="PNX138" s="422"/>
      <c r="PNY138" s="422"/>
      <c r="PNZ138" s="422"/>
      <c r="POA138" s="422"/>
      <c r="POB138" s="422"/>
      <c r="POC138" s="422"/>
      <c r="POD138" s="422"/>
      <c r="POE138" s="422"/>
      <c r="POF138" s="422"/>
      <c r="POG138" s="422"/>
      <c r="POH138" s="422"/>
      <c r="POI138" s="422"/>
      <c r="POJ138" s="422"/>
      <c r="POK138" s="422"/>
      <c r="POL138" s="422"/>
      <c r="POM138" s="422"/>
      <c r="PON138" s="422"/>
      <c r="POO138" s="422"/>
      <c r="POP138" s="422"/>
      <c r="POQ138" s="422"/>
      <c r="POR138" s="422"/>
      <c r="POS138" s="422"/>
      <c r="POT138" s="422"/>
      <c r="POU138" s="422"/>
      <c r="POV138" s="422"/>
      <c r="POW138" s="422"/>
      <c r="POX138" s="422"/>
      <c r="POY138" s="422"/>
      <c r="POZ138" s="422"/>
      <c r="PPA138" s="422"/>
      <c r="PPB138" s="422"/>
      <c r="PPC138" s="422"/>
      <c r="PPD138" s="422"/>
      <c r="PPE138" s="422"/>
      <c r="PPF138" s="422"/>
      <c r="PPG138" s="422"/>
      <c r="PPH138" s="422"/>
      <c r="PPI138" s="422"/>
      <c r="PPJ138" s="422"/>
      <c r="PPK138" s="422"/>
      <c r="PPL138" s="422"/>
      <c r="PPM138" s="422"/>
      <c r="PPN138" s="422"/>
      <c r="PPO138" s="422"/>
      <c r="PPP138" s="422"/>
      <c r="PPQ138" s="422"/>
      <c r="PPR138" s="422"/>
      <c r="PPS138" s="422"/>
      <c r="PPT138" s="422"/>
      <c r="PPU138" s="422"/>
      <c r="PPV138" s="422"/>
      <c r="PPW138" s="422"/>
      <c r="PPX138" s="422"/>
      <c r="PPY138" s="422"/>
      <c r="PPZ138" s="422"/>
      <c r="PQA138" s="422"/>
      <c r="PQB138" s="422"/>
      <c r="PQC138" s="422"/>
      <c r="PQD138" s="422"/>
      <c r="PQE138" s="422"/>
      <c r="PQF138" s="422"/>
      <c r="PQG138" s="422"/>
      <c r="PQH138" s="422"/>
      <c r="PQI138" s="422"/>
      <c r="PQJ138" s="422"/>
      <c r="PQK138" s="422"/>
      <c r="PQL138" s="422"/>
      <c r="PQM138" s="422"/>
      <c r="PQN138" s="422"/>
      <c r="PQO138" s="422"/>
      <c r="PQP138" s="422"/>
      <c r="PQQ138" s="422"/>
      <c r="PQR138" s="422"/>
      <c r="PQS138" s="422"/>
      <c r="PQT138" s="422"/>
      <c r="PQU138" s="422"/>
      <c r="PQV138" s="422"/>
      <c r="PQW138" s="422"/>
      <c r="PQX138" s="422"/>
      <c r="PQY138" s="422"/>
      <c r="PQZ138" s="422"/>
      <c r="PRA138" s="422"/>
      <c r="PRB138" s="422"/>
      <c r="PRC138" s="422"/>
      <c r="PRD138" s="422"/>
      <c r="PRE138" s="422"/>
      <c r="PRF138" s="422"/>
      <c r="PRG138" s="422"/>
      <c r="PRH138" s="422"/>
      <c r="PRI138" s="422"/>
      <c r="PRJ138" s="422"/>
      <c r="PRK138" s="422"/>
      <c r="PRL138" s="422"/>
      <c r="PRM138" s="422"/>
      <c r="PRN138" s="422"/>
      <c r="PRO138" s="422"/>
      <c r="PRP138" s="422"/>
      <c r="PRQ138" s="422"/>
      <c r="PRR138" s="422"/>
      <c r="PRS138" s="422"/>
      <c r="PRT138" s="422"/>
      <c r="PRU138" s="422"/>
      <c r="PRV138" s="422"/>
      <c r="PRW138" s="422"/>
      <c r="PRX138" s="422"/>
      <c r="PRY138" s="422"/>
      <c r="PRZ138" s="422"/>
      <c r="PSA138" s="422"/>
      <c r="PSB138" s="422"/>
      <c r="PSC138" s="422"/>
      <c r="PSD138" s="422"/>
      <c r="PSE138" s="422"/>
      <c r="PSF138" s="422"/>
      <c r="PSG138" s="422"/>
      <c r="PSH138" s="422"/>
      <c r="PSI138" s="422"/>
      <c r="PSJ138" s="422"/>
      <c r="PSK138" s="422"/>
      <c r="PSL138" s="422"/>
      <c r="PSM138" s="422"/>
      <c r="PSN138" s="422"/>
      <c r="PSO138" s="422"/>
      <c r="PSP138" s="422"/>
      <c r="PSQ138" s="422"/>
      <c r="PSR138" s="422"/>
      <c r="PSS138" s="422"/>
      <c r="PST138" s="422"/>
      <c r="PSU138" s="422"/>
      <c r="PSV138" s="422"/>
      <c r="PSW138" s="422"/>
      <c r="PSX138" s="422"/>
      <c r="PSY138" s="422"/>
      <c r="PSZ138" s="422"/>
      <c r="PTA138" s="422"/>
      <c r="PTB138" s="422"/>
      <c r="PTC138" s="422"/>
      <c r="PTD138" s="422"/>
      <c r="PTE138" s="422"/>
      <c r="PTF138" s="422"/>
      <c r="PTG138" s="422"/>
      <c r="PTH138" s="422"/>
      <c r="PTI138" s="422"/>
      <c r="PTJ138" s="422"/>
      <c r="PTK138" s="422"/>
      <c r="PTL138" s="422"/>
      <c r="PTM138" s="422"/>
      <c r="PTN138" s="422"/>
      <c r="PTO138" s="422"/>
      <c r="PTP138" s="422"/>
      <c r="PTQ138" s="422"/>
      <c r="PTR138" s="422"/>
      <c r="PTS138" s="422"/>
      <c r="PTT138" s="422"/>
      <c r="PTU138" s="422"/>
      <c r="PTV138" s="422"/>
      <c r="PTW138" s="422"/>
      <c r="PTX138" s="422"/>
      <c r="PTY138" s="422"/>
      <c r="PTZ138" s="422"/>
      <c r="PUA138" s="422"/>
      <c r="PUB138" s="422"/>
      <c r="PUC138" s="422"/>
      <c r="PUD138" s="422"/>
      <c r="PUE138" s="422"/>
      <c r="PUF138" s="422"/>
      <c r="PUG138" s="422"/>
      <c r="PUH138" s="422"/>
      <c r="PUI138" s="422"/>
      <c r="PUJ138" s="422"/>
      <c r="PUK138" s="422"/>
      <c r="PUL138" s="422"/>
      <c r="PUM138" s="422"/>
      <c r="PUN138" s="422"/>
      <c r="PUO138" s="422"/>
      <c r="PUP138" s="422"/>
      <c r="PUQ138" s="422"/>
      <c r="PUR138" s="422"/>
      <c r="PUS138" s="422"/>
      <c r="PUT138" s="422"/>
      <c r="PUU138" s="422"/>
      <c r="PUV138" s="422"/>
      <c r="PUW138" s="422"/>
      <c r="PUX138" s="422"/>
      <c r="PUY138" s="422"/>
      <c r="PUZ138" s="422"/>
      <c r="PVA138" s="422"/>
      <c r="PVB138" s="422"/>
      <c r="PVC138" s="422"/>
      <c r="PVD138" s="422"/>
      <c r="PVE138" s="422"/>
      <c r="PVF138" s="422"/>
      <c r="PVG138" s="422"/>
      <c r="PVH138" s="422"/>
      <c r="PVI138" s="422"/>
      <c r="PVJ138" s="422"/>
      <c r="PVK138" s="422"/>
      <c r="PVL138" s="422"/>
      <c r="PVM138" s="422"/>
      <c r="PVN138" s="422"/>
      <c r="PVO138" s="422"/>
      <c r="PVP138" s="422"/>
      <c r="PVQ138" s="422"/>
      <c r="PVR138" s="422"/>
      <c r="PVS138" s="422"/>
      <c r="PVT138" s="422"/>
      <c r="PVU138" s="422"/>
      <c r="PVV138" s="422"/>
      <c r="PVW138" s="422"/>
      <c r="PVX138" s="422"/>
      <c r="PVY138" s="422"/>
      <c r="PVZ138" s="422"/>
      <c r="PWA138" s="422"/>
      <c r="PWB138" s="422"/>
      <c r="PWC138" s="422"/>
      <c r="PWD138" s="422"/>
      <c r="PWE138" s="422"/>
      <c r="PWF138" s="422"/>
      <c r="PWG138" s="422"/>
      <c r="PWH138" s="422"/>
      <c r="PWI138" s="422"/>
      <c r="PWJ138" s="422"/>
      <c r="PWK138" s="422"/>
      <c r="PWL138" s="422"/>
      <c r="PWM138" s="422"/>
      <c r="PWN138" s="422"/>
      <c r="PWO138" s="422"/>
      <c r="PWP138" s="422"/>
      <c r="PWQ138" s="422"/>
      <c r="PWR138" s="422"/>
      <c r="PWS138" s="422"/>
      <c r="PWT138" s="422"/>
      <c r="PWU138" s="422"/>
      <c r="PWV138" s="422"/>
      <c r="PWW138" s="422"/>
      <c r="PWX138" s="422"/>
      <c r="PWY138" s="422"/>
      <c r="PWZ138" s="422"/>
      <c r="PXA138" s="422"/>
      <c r="PXB138" s="422"/>
      <c r="PXC138" s="422"/>
      <c r="PXD138" s="422"/>
      <c r="PXE138" s="422"/>
      <c r="PXF138" s="422"/>
      <c r="PXG138" s="422"/>
      <c r="PXH138" s="422"/>
      <c r="PXI138" s="422"/>
      <c r="PXJ138" s="422"/>
      <c r="PXK138" s="422"/>
      <c r="PXL138" s="422"/>
      <c r="PXM138" s="422"/>
      <c r="PXN138" s="422"/>
      <c r="PXO138" s="422"/>
      <c r="PXP138" s="422"/>
      <c r="PXQ138" s="422"/>
      <c r="PXR138" s="422"/>
      <c r="PXS138" s="422"/>
      <c r="PXT138" s="422"/>
      <c r="PXU138" s="422"/>
      <c r="PXV138" s="422"/>
      <c r="PXW138" s="422"/>
      <c r="PXX138" s="422"/>
      <c r="PXY138" s="422"/>
      <c r="PXZ138" s="422"/>
      <c r="PYA138" s="422"/>
      <c r="PYB138" s="422"/>
      <c r="PYC138" s="422"/>
      <c r="PYD138" s="422"/>
      <c r="PYE138" s="422"/>
      <c r="PYF138" s="422"/>
      <c r="PYG138" s="422"/>
      <c r="PYH138" s="422"/>
      <c r="PYI138" s="422"/>
      <c r="PYJ138" s="422"/>
      <c r="PYK138" s="422"/>
      <c r="PYL138" s="422"/>
      <c r="PYM138" s="422"/>
      <c r="PYN138" s="422"/>
      <c r="PYO138" s="422"/>
      <c r="PYP138" s="422"/>
      <c r="PYQ138" s="422"/>
      <c r="PYR138" s="422"/>
      <c r="PYS138" s="422"/>
      <c r="PYT138" s="422"/>
      <c r="PYU138" s="422"/>
      <c r="PYV138" s="422"/>
      <c r="PYW138" s="422"/>
      <c r="PYX138" s="422"/>
      <c r="PYY138" s="422"/>
      <c r="PYZ138" s="422"/>
      <c r="PZA138" s="422"/>
      <c r="PZB138" s="422"/>
      <c r="PZC138" s="422"/>
      <c r="PZD138" s="422"/>
      <c r="PZE138" s="422"/>
      <c r="PZF138" s="422"/>
      <c r="PZG138" s="422"/>
      <c r="PZH138" s="422"/>
      <c r="PZI138" s="422"/>
      <c r="PZJ138" s="422"/>
      <c r="PZK138" s="422"/>
      <c r="PZL138" s="422"/>
      <c r="PZM138" s="422"/>
      <c r="PZN138" s="422"/>
      <c r="PZO138" s="422"/>
      <c r="PZP138" s="422"/>
      <c r="PZQ138" s="422"/>
      <c r="PZR138" s="422"/>
      <c r="PZS138" s="422"/>
      <c r="PZT138" s="422"/>
      <c r="PZU138" s="422"/>
      <c r="PZV138" s="422"/>
      <c r="PZW138" s="422"/>
      <c r="PZX138" s="422"/>
      <c r="PZY138" s="422"/>
      <c r="PZZ138" s="422"/>
      <c r="QAA138" s="422"/>
      <c r="QAB138" s="422"/>
      <c r="QAC138" s="422"/>
      <c r="QAD138" s="422"/>
      <c r="QAE138" s="422"/>
      <c r="QAF138" s="422"/>
      <c r="QAG138" s="422"/>
      <c r="QAH138" s="422"/>
      <c r="QAI138" s="422"/>
      <c r="QAJ138" s="422"/>
      <c r="QAK138" s="422"/>
      <c r="QAL138" s="422"/>
      <c r="QAM138" s="422"/>
      <c r="QAN138" s="422"/>
      <c r="QAO138" s="422"/>
      <c r="QAP138" s="422"/>
      <c r="QAQ138" s="422"/>
      <c r="QAR138" s="422"/>
      <c r="QAS138" s="422"/>
      <c r="QAT138" s="422"/>
      <c r="QAU138" s="422"/>
      <c r="QAV138" s="422"/>
      <c r="QAW138" s="422"/>
      <c r="QAX138" s="422"/>
      <c r="QAY138" s="422"/>
      <c r="QAZ138" s="422"/>
      <c r="QBA138" s="422"/>
      <c r="QBB138" s="422"/>
      <c r="QBC138" s="422"/>
      <c r="QBD138" s="422"/>
      <c r="QBE138" s="422"/>
      <c r="QBF138" s="422"/>
      <c r="QBG138" s="422"/>
      <c r="QBH138" s="422"/>
      <c r="QBI138" s="422"/>
      <c r="QBJ138" s="422"/>
      <c r="QBK138" s="422"/>
      <c r="QBL138" s="422"/>
      <c r="QBM138" s="422"/>
      <c r="QBN138" s="422"/>
      <c r="QBO138" s="422"/>
      <c r="QBP138" s="422"/>
      <c r="QBQ138" s="422"/>
      <c r="QBR138" s="422"/>
      <c r="QBS138" s="422"/>
      <c r="QBT138" s="422"/>
      <c r="QBU138" s="422"/>
      <c r="QBV138" s="422"/>
      <c r="QBW138" s="422"/>
      <c r="QBX138" s="422"/>
      <c r="QBY138" s="422"/>
      <c r="QBZ138" s="422"/>
      <c r="QCA138" s="422"/>
      <c r="QCB138" s="422"/>
      <c r="QCC138" s="422"/>
      <c r="QCD138" s="422"/>
      <c r="QCE138" s="422"/>
      <c r="QCF138" s="422"/>
      <c r="QCG138" s="422"/>
      <c r="QCH138" s="422"/>
      <c r="QCI138" s="422"/>
      <c r="QCJ138" s="422"/>
      <c r="QCK138" s="422"/>
      <c r="QCL138" s="422"/>
      <c r="QCM138" s="422"/>
      <c r="QCN138" s="422"/>
      <c r="QCO138" s="422"/>
      <c r="QCP138" s="422"/>
      <c r="QCQ138" s="422"/>
      <c r="QCR138" s="422"/>
      <c r="QCS138" s="422"/>
      <c r="QCT138" s="422"/>
      <c r="QCU138" s="422"/>
      <c r="QCV138" s="422"/>
      <c r="QCW138" s="422"/>
      <c r="QCX138" s="422"/>
      <c r="QCY138" s="422"/>
      <c r="QCZ138" s="422"/>
      <c r="QDA138" s="422"/>
      <c r="QDB138" s="422"/>
      <c r="QDC138" s="422"/>
      <c r="QDD138" s="422"/>
      <c r="QDE138" s="422"/>
      <c r="QDF138" s="422"/>
      <c r="QDG138" s="422"/>
      <c r="QDH138" s="422"/>
      <c r="QDI138" s="422"/>
      <c r="QDJ138" s="422"/>
      <c r="QDK138" s="422"/>
      <c r="QDL138" s="422"/>
      <c r="QDM138" s="422"/>
      <c r="QDN138" s="422"/>
      <c r="QDO138" s="422"/>
      <c r="QDP138" s="422"/>
      <c r="QDQ138" s="422"/>
      <c r="QDR138" s="422"/>
      <c r="QDS138" s="422"/>
      <c r="QDT138" s="422"/>
      <c r="QDU138" s="422"/>
      <c r="QDV138" s="422"/>
      <c r="QDW138" s="422"/>
      <c r="QDX138" s="422"/>
      <c r="QDY138" s="422"/>
      <c r="QDZ138" s="422"/>
      <c r="QEA138" s="422"/>
      <c r="QEB138" s="422"/>
      <c r="QEC138" s="422"/>
      <c r="QED138" s="422"/>
      <c r="QEE138" s="422"/>
      <c r="QEF138" s="422"/>
      <c r="QEG138" s="422"/>
      <c r="QEH138" s="422"/>
      <c r="QEI138" s="422"/>
      <c r="QEJ138" s="422"/>
      <c r="QEK138" s="422"/>
      <c r="QEL138" s="422"/>
      <c r="QEM138" s="422"/>
      <c r="QEN138" s="422"/>
      <c r="QEO138" s="422"/>
      <c r="QEP138" s="422"/>
      <c r="QEQ138" s="422"/>
      <c r="QER138" s="422"/>
      <c r="QES138" s="422"/>
      <c r="QET138" s="422"/>
      <c r="QEU138" s="422"/>
      <c r="QEV138" s="422"/>
      <c r="QEW138" s="422"/>
      <c r="QEX138" s="422"/>
      <c r="QEY138" s="422"/>
      <c r="QEZ138" s="422"/>
      <c r="QFA138" s="422"/>
      <c r="QFB138" s="422"/>
      <c r="QFC138" s="422"/>
      <c r="QFD138" s="422"/>
      <c r="QFE138" s="422"/>
      <c r="QFF138" s="422"/>
      <c r="QFG138" s="422"/>
      <c r="QFH138" s="422"/>
      <c r="QFI138" s="422"/>
      <c r="QFJ138" s="422"/>
      <c r="QFK138" s="422"/>
      <c r="QFL138" s="422"/>
      <c r="QFM138" s="422"/>
      <c r="QFN138" s="422"/>
      <c r="QFO138" s="422"/>
      <c r="QFP138" s="422"/>
      <c r="QFQ138" s="422"/>
      <c r="QFR138" s="422"/>
      <c r="QFS138" s="422"/>
      <c r="QFT138" s="422"/>
      <c r="QFU138" s="422"/>
      <c r="QFV138" s="422"/>
      <c r="QFW138" s="422"/>
      <c r="QFX138" s="422"/>
      <c r="QFY138" s="422"/>
      <c r="QFZ138" s="422"/>
      <c r="QGA138" s="422"/>
      <c r="QGB138" s="422"/>
      <c r="QGC138" s="422"/>
      <c r="QGD138" s="422"/>
      <c r="QGE138" s="422"/>
      <c r="QGF138" s="422"/>
      <c r="QGG138" s="422"/>
      <c r="QGH138" s="422"/>
      <c r="QGI138" s="422"/>
      <c r="QGJ138" s="422"/>
      <c r="QGK138" s="422"/>
      <c r="QGL138" s="422"/>
      <c r="QGM138" s="422"/>
      <c r="QGN138" s="422"/>
      <c r="QGO138" s="422"/>
      <c r="QGP138" s="422"/>
      <c r="QGQ138" s="422"/>
      <c r="QGR138" s="422"/>
      <c r="QGS138" s="422"/>
      <c r="QGT138" s="422"/>
      <c r="QGU138" s="422"/>
      <c r="QGV138" s="422"/>
      <c r="QGW138" s="422"/>
      <c r="QGX138" s="422"/>
      <c r="QGY138" s="422"/>
      <c r="QGZ138" s="422"/>
      <c r="QHA138" s="422"/>
      <c r="QHB138" s="422"/>
      <c r="QHC138" s="422"/>
      <c r="QHD138" s="422"/>
      <c r="QHE138" s="422"/>
      <c r="QHF138" s="422"/>
      <c r="QHG138" s="422"/>
      <c r="QHH138" s="422"/>
      <c r="QHI138" s="422"/>
      <c r="QHJ138" s="422"/>
      <c r="QHK138" s="422"/>
      <c r="QHL138" s="422"/>
      <c r="QHM138" s="422"/>
      <c r="QHN138" s="422"/>
      <c r="QHO138" s="422"/>
      <c r="QHP138" s="422"/>
      <c r="QHQ138" s="422"/>
      <c r="QHR138" s="422"/>
      <c r="QHS138" s="422"/>
      <c r="QHT138" s="422"/>
      <c r="QHU138" s="422"/>
      <c r="QHV138" s="422"/>
      <c r="QHW138" s="422"/>
      <c r="QHX138" s="422"/>
      <c r="QHY138" s="422"/>
      <c r="QHZ138" s="422"/>
      <c r="QIA138" s="422"/>
      <c r="QIB138" s="422"/>
      <c r="QIC138" s="422"/>
      <c r="QID138" s="422"/>
      <c r="QIE138" s="422"/>
      <c r="QIF138" s="422"/>
      <c r="QIG138" s="422"/>
      <c r="QIH138" s="422"/>
      <c r="QII138" s="422"/>
      <c r="QIJ138" s="422"/>
      <c r="QIK138" s="422"/>
      <c r="QIL138" s="422"/>
      <c r="QIM138" s="422"/>
      <c r="QIN138" s="422"/>
      <c r="QIO138" s="422"/>
      <c r="QIP138" s="422"/>
      <c r="QIQ138" s="422"/>
      <c r="QIR138" s="422"/>
      <c r="QIS138" s="422"/>
      <c r="QIT138" s="422"/>
      <c r="QIU138" s="422"/>
      <c r="QIV138" s="422"/>
      <c r="QIW138" s="422"/>
      <c r="QIX138" s="422"/>
      <c r="QIY138" s="422"/>
      <c r="QIZ138" s="422"/>
      <c r="QJA138" s="422"/>
      <c r="QJB138" s="422"/>
      <c r="QJC138" s="422"/>
      <c r="QJD138" s="422"/>
      <c r="QJE138" s="422"/>
      <c r="QJF138" s="422"/>
      <c r="QJG138" s="422"/>
      <c r="QJH138" s="422"/>
      <c r="QJI138" s="422"/>
      <c r="QJJ138" s="422"/>
      <c r="QJK138" s="422"/>
      <c r="QJL138" s="422"/>
      <c r="QJM138" s="422"/>
      <c r="QJN138" s="422"/>
      <c r="QJO138" s="422"/>
      <c r="QJP138" s="422"/>
      <c r="QJQ138" s="422"/>
      <c r="QJR138" s="422"/>
      <c r="QJS138" s="422"/>
      <c r="QJT138" s="422"/>
      <c r="QJU138" s="422"/>
      <c r="QJV138" s="422"/>
      <c r="QJW138" s="422"/>
      <c r="QJX138" s="422"/>
      <c r="QJY138" s="422"/>
      <c r="QJZ138" s="422"/>
      <c r="QKA138" s="422"/>
      <c r="QKB138" s="422"/>
      <c r="QKC138" s="422"/>
      <c r="QKD138" s="422"/>
      <c r="QKE138" s="422"/>
      <c r="QKF138" s="422"/>
      <c r="QKG138" s="422"/>
      <c r="QKH138" s="422"/>
      <c r="QKI138" s="422"/>
      <c r="QKJ138" s="422"/>
      <c r="QKK138" s="422"/>
      <c r="QKL138" s="422"/>
      <c r="QKM138" s="422"/>
      <c r="QKN138" s="422"/>
      <c r="QKO138" s="422"/>
      <c r="QKP138" s="422"/>
      <c r="QKQ138" s="422"/>
      <c r="QKR138" s="422"/>
      <c r="QKS138" s="422"/>
      <c r="QKT138" s="422"/>
      <c r="QKU138" s="422"/>
      <c r="QKV138" s="422"/>
      <c r="QKW138" s="422"/>
      <c r="QKX138" s="422"/>
      <c r="QKY138" s="422"/>
      <c r="QKZ138" s="422"/>
      <c r="QLA138" s="422"/>
      <c r="QLB138" s="422"/>
      <c r="QLC138" s="422"/>
      <c r="QLD138" s="422"/>
      <c r="QLE138" s="422"/>
      <c r="QLF138" s="422"/>
      <c r="QLG138" s="422"/>
      <c r="QLH138" s="422"/>
      <c r="QLI138" s="422"/>
      <c r="QLJ138" s="422"/>
      <c r="QLK138" s="422"/>
      <c r="QLL138" s="422"/>
      <c r="QLM138" s="422"/>
      <c r="QLN138" s="422"/>
      <c r="QLO138" s="422"/>
      <c r="QLP138" s="422"/>
      <c r="QLQ138" s="422"/>
      <c r="QLR138" s="422"/>
      <c r="QLS138" s="422"/>
      <c r="QLT138" s="422"/>
      <c r="QLU138" s="422"/>
      <c r="QLV138" s="422"/>
      <c r="QLW138" s="422"/>
      <c r="QLX138" s="422"/>
      <c r="QLY138" s="422"/>
      <c r="QLZ138" s="422"/>
      <c r="QMA138" s="422"/>
      <c r="QMB138" s="422"/>
      <c r="QMC138" s="422"/>
      <c r="QMD138" s="422"/>
      <c r="QME138" s="422"/>
      <c r="QMF138" s="422"/>
      <c r="QMG138" s="422"/>
      <c r="QMH138" s="422"/>
      <c r="QMI138" s="422"/>
      <c r="QMJ138" s="422"/>
      <c r="QMK138" s="422"/>
      <c r="QML138" s="422"/>
      <c r="QMM138" s="422"/>
      <c r="QMN138" s="422"/>
      <c r="QMO138" s="422"/>
      <c r="QMP138" s="422"/>
      <c r="QMQ138" s="422"/>
      <c r="QMR138" s="422"/>
      <c r="QMS138" s="422"/>
      <c r="QMT138" s="422"/>
      <c r="QMU138" s="422"/>
      <c r="QMV138" s="422"/>
      <c r="QMW138" s="422"/>
      <c r="QMX138" s="422"/>
      <c r="QMY138" s="422"/>
      <c r="QMZ138" s="422"/>
      <c r="QNA138" s="422"/>
      <c r="QNB138" s="422"/>
      <c r="QNC138" s="422"/>
      <c r="QND138" s="422"/>
      <c r="QNE138" s="422"/>
      <c r="QNF138" s="422"/>
      <c r="QNG138" s="422"/>
      <c r="QNH138" s="422"/>
      <c r="QNI138" s="422"/>
      <c r="QNJ138" s="422"/>
      <c r="QNK138" s="422"/>
      <c r="QNL138" s="422"/>
      <c r="QNM138" s="422"/>
      <c r="QNN138" s="422"/>
      <c r="QNO138" s="422"/>
      <c r="QNP138" s="422"/>
      <c r="QNQ138" s="422"/>
      <c r="QNR138" s="422"/>
      <c r="QNS138" s="422"/>
      <c r="QNT138" s="422"/>
      <c r="QNU138" s="422"/>
      <c r="QNV138" s="422"/>
      <c r="QNW138" s="422"/>
      <c r="QNX138" s="422"/>
      <c r="QNY138" s="422"/>
      <c r="QNZ138" s="422"/>
      <c r="QOA138" s="422"/>
      <c r="QOB138" s="422"/>
      <c r="QOC138" s="422"/>
      <c r="QOD138" s="422"/>
      <c r="QOE138" s="422"/>
      <c r="QOF138" s="422"/>
      <c r="QOG138" s="422"/>
      <c r="QOH138" s="422"/>
      <c r="QOI138" s="422"/>
      <c r="QOJ138" s="422"/>
      <c r="QOK138" s="422"/>
      <c r="QOL138" s="422"/>
      <c r="QOM138" s="422"/>
      <c r="QON138" s="422"/>
      <c r="QOO138" s="422"/>
      <c r="QOP138" s="422"/>
      <c r="QOQ138" s="422"/>
      <c r="QOR138" s="422"/>
      <c r="QOS138" s="422"/>
      <c r="QOT138" s="422"/>
      <c r="QOU138" s="422"/>
      <c r="QOV138" s="422"/>
      <c r="QOW138" s="422"/>
      <c r="QOX138" s="422"/>
      <c r="QOY138" s="422"/>
      <c r="QOZ138" s="422"/>
      <c r="QPA138" s="422"/>
      <c r="QPB138" s="422"/>
      <c r="QPC138" s="422"/>
      <c r="QPD138" s="422"/>
      <c r="QPE138" s="422"/>
      <c r="QPF138" s="422"/>
      <c r="QPG138" s="422"/>
      <c r="QPH138" s="422"/>
      <c r="QPI138" s="422"/>
      <c r="QPJ138" s="422"/>
      <c r="QPK138" s="422"/>
      <c r="QPL138" s="422"/>
      <c r="QPM138" s="422"/>
      <c r="QPN138" s="422"/>
      <c r="QPO138" s="422"/>
      <c r="QPP138" s="422"/>
      <c r="QPQ138" s="422"/>
      <c r="QPR138" s="422"/>
      <c r="QPS138" s="422"/>
      <c r="QPT138" s="422"/>
      <c r="QPU138" s="422"/>
      <c r="QPV138" s="422"/>
      <c r="QPW138" s="422"/>
      <c r="QPX138" s="422"/>
      <c r="QPY138" s="422"/>
      <c r="QPZ138" s="422"/>
      <c r="QQA138" s="422"/>
      <c r="QQB138" s="422"/>
      <c r="QQC138" s="422"/>
      <c r="QQD138" s="422"/>
      <c r="QQE138" s="422"/>
      <c r="QQF138" s="422"/>
      <c r="QQG138" s="422"/>
      <c r="QQH138" s="422"/>
      <c r="QQI138" s="422"/>
      <c r="QQJ138" s="422"/>
      <c r="QQK138" s="422"/>
      <c r="QQL138" s="422"/>
      <c r="QQM138" s="422"/>
      <c r="QQN138" s="422"/>
      <c r="QQO138" s="422"/>
      <c r="QQP138" s="422"/>
      <c r="QQQ138" s="422"/>
      <c r="QQR138" s="422"/>
      <c r="QQS138" s="422"/>
      <c r="QQT138" s="422"/>
      <c r="QQU138" s="422"/>
      <c r="QQV138" s="422"/>
      <c r="QQW138" s="422"/>
      <c r="QQX138" s="422"/>
      <c r="QQY138" s="422"/>
      <c r="QQZ138" s="422"/>
      <c r="QRA138" s="422"/>
      <c r="QRB138" s="422"/>
      <c r="QRC138" s="422"/>
      <c r="QRD138" s="422"/>
      <c r="QRE138" s="422"/>
      <c r="QRF138" s="422"/>
      <c r="QRG138" s="422"/>
      <c r="QRH138" s="422"/>
      <c r="QRI138" s="422"/>
      <c r="QRJ138" s="422"/>
      <c r="QRK138" s="422"/>
      <c r="QRL138" s="422"/>
      <c r="QRM138" s="422"/>
      <c r="QRN138" s="422"/>
      <c r="QRO138" s="422"/>
      <c r="QRP138" s="422"/>
      <c r="QRQ138" s="422"/>
      <c r="QRR138" s="422"/>
      <c r="QRS138" s="422"/>
      <c r="QRT138" s="422"/>
      <c r="QRU138" s="422"/>
      <c r="QRV138" s="422"/>
      <c r="QRW138" s="422"/>
      <c r="QRX138" s="422"/>
      <c r="QRY138" s="422"/>
      <c r="QRZ138" s="422"/>
      <c r="QSA138" s="422"/>
      <c r="QSB138" s="422"/>
      <c r="QSC138" s="422"/>
      <c r="QSD138" s="422"/>
      <c r="QSE138" s="422"/>
      <c r="QSF138" s="422"/>
      <c r="QSG138" s="422"/>
      <c r="QSH138" s="422"/>
      <c r="QSI138" s="422"/>
      <c r="QSJ138" s="422"/>
      <c r="QSK138" s="422"/>
      <c r="QSL138" s="422"/>
      <c r="QSM138" s="422"/>
      <c r="QSN138" s="422"/>
      <c r="QSO138" s="422"/>
      <c r="QSP138" s="422"/>
      <c r="QSQ138" s="422"/>
      <c r="QSR138" s="422"/>
      <c r="QSS138" s="422"/>
      <c r="QST138" s="422"/>
      <c r="QSU138" s="422"/>
      <c r="QSV138" s="422"/>
      <c r="QSW138" s="422"/>
      <c r="QSX138" s="422"/>
      <c r="QSY138" s="422"/>
      <c r="QSZ138" s="422"/>
      <c r="QTA138" s="422"/>
      <c r="QTB138" s="422"/>
      <c r="QTC138" s="422"/>
      <c r="QTD138" s="422"/>
      <c r="QTE138" s="422"/>
      <c r="QTF138" s="422"/>
      <c r="QTG138" s="422"/>
      <c r="QTH138" s="422"/>
      <c r="QTI138" s="422"/>
      <c r="QTJ138" s="422"/>
      <c r="QTK138" s="422"/>
      <c r="QTL138" s="422"/>
      <c r="QTM138" s="422"/>
      <c r="QTN138" s="422"/>
      <c r="QTO138" s="422"/>
      <c r="QTP138" s="422"/>
      <c r="QTQ138" s="422"/>
      <c r="QTR138" s="422"/>
      <c r="QTS138" s="422"/>
      <c r="QTT138" s="422"/>
      <c r="QTU138" s="422"/>
      <c r="QTV138" s="422"/>
      <c r="QTW138" s="422"/>
      <c r="QTX138" s="422"/>
      <c r="QTY138" s="422"/>
      <c r="QTZ138" s="422"/>
      <c r="QUA138" s="422"/>
      <c r="QUB138" s="422"/>
      <c r="QUC138" s="422"/>
      <c r="QUD138" s="422"/>
      <c r="QUE138" s="422"/>
      <c r="QUF138" s="422"/>
      <c r="QUG138" s="422"/>
      <c r="QUH138" s="422"/>
      <c r="QUI138" s="422"/>
      <c r="QUJ138" s="422"/>
      <c r="QUK138" s="422"/>
      <c r="QUL138" s="422"/>
      <c r="QUM138" s="422"/>
      <c r="QUN138" s="422"/>
      <c r="QUO138" s="422"/>
      <c r="QUP138" s="422"/>
      <c r="QUQ138" s="422"/>
      <c r="QUR138" s="422"/>
      <c r="QUS138" s="422"/>
      <c r="QUT138" s="422"/>
      <c r="QUU138" s="422"/>
      <c r="QUV138" s="422"/>
      <c r="QUW138" s="422"/>
      <c r="QUX138" s="422"/>
      <c r="QUY138" s="422"/>
      <c r="QUZ138" s="422"/>
      <c r="QVA138" s="422"/>
      <c r="QVB138" s="422"/>
      <c r="QVC138" s="422"/>
      <c r="QVD138" s="422"/>
      <c r="QVE138" s="422"/>
      <c r="QVF138" s="422"/>
      <c r="QVG138" s="422"/>
      <c r="QVH138" s="422"/>
      <c r="QVI138" s="422"/>
      <c r="QVJ138" s="422"/>
      <c r="QVK138" s="422"/>
      <c r="QVL138" s="422"/>
      <c r="QVM138" s="422"/>
      <c r="QVN138" s="422"/>
      <c r="QVO138" s="422"/>
      <c r="QVP138" s="422"/>
      <c r="QVQ138" s="422"/>
      <c r="QVR138" s="422"/>
      <c r="QVS138" s="422"/>
      <c r="QVT138" s="422"/>
      <c r="QVU138" s="422"/>
      <c r="QVV138" s="422"/>
      <c r="QVW138" s="422"/>
      <c r="QVX138" s="422"/>
      <c r="QVY138" s="422"/>
      <c r="QVZ138" s="422"/>
      <c r="QWA138" s="422"/>
      <c r="QWB138" s="422"/>
      <c r="QWC138" s="422"/>
      <c r="QWD138" s="422"/>
      <c r="QWE138" s="422"/>
      <c r="QWF138" s="422"/>
      <c r="QWG138" s="422"/>
      <c r="QWH138" s="422"/>
      <c r="QWI138" s="422"/>
      <c r="QWJ138" s="422"/>
      <c r="QWK138" s="422"/>
      <c r="QWL138" s="422"/>
      <c r="QWM138" s="422"/>
      <c r="QWN138" s="422"/>
      <c r="QWO138" s="422"/>
      <c r="QWP138" s="422"/>
      <c r="QWQ138" s="422"/>
      <c r="QWR138" s="422"/>
      <c r="QWS138" s="422"/>
      <c r="QWT138" s="422"/>
      <c r="QWU138" s="422"/>
      <c r="QWV138" s="422"/>
      <c r="QWW138" s="422"/>
      <c r="QWX138" s="422"/>
      <c r="QWY138" s="422"/>
      <c r="QWZ138" s="422"/>
      <c r="QXA138" s="422"/>
      <c r="QXB138" s="422"/>
      <c r="QXC138" s="422"/>
      <c r="QXD138" s="422"/>
      <c r="QXE138" s="422"/>
      <c r="QXF138" s="422"/>
      <c r="QXG138" s="422"/>
      <c r="QXH138" s="422"/>
      <c r="QXI138" s="422"/>
      <c r="QXJ138" s="422"/>
      <c r="QXK138" s="422"/>
      <c r="QXL138" s="422"/>
      <c r="QXM138" s="422"/>
      <c r="QXN138" s="422"/>
      <c r="QXO138" s="422"/>
      <c r="QXP138" s="422"/>
      <c r="QXQ138" s="422"/>
      <c r="QXR138" s="422"/>
      <c r="QXS138" s="422"/>
      <c r="QXT138" s="422"/>
      <c r="QXU138" s="422"/>
      <c r="QXV138" s="422"/>
      <c r="QXW138" s="422"/>
      <c r="QXX138" s="422"/>
      <c r="QXY138" s="422"/>
      <c r="QXZ138" s="422"/>
      <c r="QYA138" s="422"/>
      <c r="QYB138" s="422"/>
      <c r="QYC138" s="422"/>
      <c r="QYD138" s="422"/>
      <c r="QYE138" s="422"/>
      <c r="QYF138" s="422"/>
      <c r="QYG138" s="422"/>
      <c r="QYH138" s="422"/>
      <c r="QYI138" s="422"/>
      <c r="QYJ138" s="422"/>
      <c r="QYK138" s="422"/>
      <c r="QYL138" s="422"/>
      <c r="QYM138" s="422"/>
      <c r="QYN138" s="422"/>
      <c r="QYO138" s="422"/>
      <c r="QYP138" s="422"/>
      <c r="QYQ138" s="422"/>
      <c r="QYR138" s="422"/>
      <c r="QYS138" s="422"/>
      <c r="QYT138" s="422"/>
      <c r="QYU138" s="422"/>
      <c r="QYV138" s="422"/>
      <c r="QYW138" s="422"/>
      <c r="QYX138" s="422"/>
      <c r="QYY138" s="422"/>
      <c r="QYZ138" s="422"/>
      <c r="QZA138" s="422"/>
      <c r="QZB138" s="422"/>
      <c r="QZC138" s="422"/>
      <c r="QZD138" s="422"/>
      <c r="QZE138" s="422"/>
      <c r="QZF138" s="422"/>
      <c r="QZG138" s="422"/>
      <c r="QZH138" s="422"/>
      <c r="QZI138" s="422"/>
      <c r="QZJ138" s="422"/>
      <c r="QZK138" s="422"/>
      <c r="QZL138" s="422"/>
      <c r="QZM138" s="422"/>
      <c r="QZN138" s="422"/>
      <c r="QZO138" s="422"/>
      <c r="QZP138" s="422"/>
      <c r="QZQ138" s="422"/>
      <c r="QZR138" s="422"/>
      <c r="QZS138" s="422"/>
      <c r="QZT138" s="422"/>
      <c r="QZU138" s="422"/>
      <c r="QZV138" s="422"/>
      <c r="QZW138" s="422"/>
      <c r="QZX138" s="422"/>
      <c r="QZY138" s="422"/>
      <c r="QZZ138" s="422"/>
      <c r="RAA138" s="422"/>
      <c r="RAB138" s="422"/>
      <c r="RAC138" s="422"/>
      <c r="RAD138" s="422"/>
      <c r="RAE138" s="422"/>
      <c r="RAF138" s="422"/>
      <c r="RAG138" s="422"/>
      <c r="RAH138" s="422"/>
      <c r="RAI138" s="422"/>
      <c r="RAJ138" s="422"/>
      <c r="RAK138" s="422"/>
      <c r="RAL138" s="422"/>
      <c r="RAM138" s="422"/>
      <c r="RAN138" s="422"/>
      <c r="RAO138" s="422"/>
      <c r="RAP138" s="422"/>
      <c r="RAQ138" s="422"/>
      <c r="RAR138" s="422"/>
      <c r="RAS138" s="422"/>
      <c r="RAT138" s="422"/>
      <c r="RAU138" s="422"/>
      <c r="RAV138" s="422"/>
      <c r="RAW138" s="422"/>
      <c r="RAX138" s="422"/>
      <c r="RAY138" s="422"/>
      <c r="RAZ138" s="422"/>
      <c r="RBA138" s="422"/>
      <c r="RBB138" s="422"/>
      <c r="RBC138" s="422"/>
      <c r="RBD138" s="422"/>
      <c r="RBE138" s="422"/>
      <c r="RBF138" s="422"/>
      <c r="RBG138" s="422"/>
      <c r="RBH138" s="422"/>
      <c r="RBI138" s="422"/>
      <c r="RBJ138" s="422"/>
      <c r="RBK138" s="422"/>
      <c r="RBL138" s="422"/>
      <c r="RBM138" s="422"/>
      <c r="RBN138" s="422"/>
      <c r="RBO138" s="422"/>
      <c r="RBP138" s="422"/>
      <c r="RBQ138" s="422"/>
      <c r="RBR138" s="422"/>
      <c r="RBS138" s="422"/>
      <c r="RBT138" s="422"/>
      <c r="RBU138" s="422"/>
      <c r="RBV138" s="422"/>
      <c r="RBW138" s="422"/>
      <c r="RBX138" s="422"/>
      <c r="RBY138" s="422"/>
      <c r="RBZ138" s="422"/>
      <c r="RCA138" s="422"/>
      <c r="RCB138" s="422"/>
      <c r="RCC138" s="422"/>
      <c r="RCD138" s="422"/>
      <c r="RCE138" s="422"/>
      <c r="RCF138" s="422"/>
      <c r="RCG138" s="422"/>
      <c r="RCH138" s="422"/>
      <c r="RCI138" s="422"/>
      <c r="RCJ138" s="422"/>
      <c r="RCK138" s="422"/>
      <c r="RCL138" s="422"/>
      <c r="RCM138" s="422"/>
      <c r="RCN138" s="422"/>
      <c r="RCO138" s="422"/>
      <c r="RCP138" s="422"/>
      <c r="RCQ138" s="422"/>
      <c r="RCR138" s="422"/>
      <c r="RCS138" s="422"/>
      <c r="RCT138" s="422"/>
      <c r="RCU138" s="422"/>
      <c r="RCV138" s="422"/>
      <c r="RCW138" s="422"/>
      <c r="RCX138" s="422"/>
      <c r="RCY138" s="422"/>
      <c r="RCZ138" s="422"/>
      <c r="RDA138" s="422"/>
      <c r="RDB138" s="422"/>
      <c r="RDC138" s="422"/>
      <c r="RDD138" s="422"/>
      <c r="RDE138" s="422"/>
      <c r="RDF138" s="422"/>
      <c r="RDG138" s="422"/>
      <c r="RDH138" s="422"/>
      <c r="RDI138" s="422"/>
      <c r="RDJ138" s="422"/>
      <c r="RDK138" s="422"/>
      <c r="RDL138" s="422"/>
      <c r="RDM138" s="422"/>
      <c r="RDN138" s="422"/>
      <c r="RDO138" s="422"/>
      <c r="RDP138" s="422"/>
      <c r="RDQ138" s="422"/>
      <c r="RDR138" s="422"/>
      <c r="RDS138" s="422"/>
      <c r="RDT138" s="422"/>
      <c r="RDU138" s="422"/>
      <c r="RDV138" s="422"/>
      <c r="RDW138" s="422"/>
      <c r="RDX138" s="422"/>
      <c r="RDY138" s="422"/>
      <c r="RDZ138" s="422"/>
      <c r="REA138" s="422"/>
      <c r="REB138" s="422"/>
      <c r="REC138" s="422"/>
      <c r="RED138" s="422"/>
      <c r="REE138" s="422"/>
      <c r="REF138" s="422"/>
      <c r="REG138" s="422"/>
      <c r="REH138" s="422"/>
      <c r="REI138" s="422"/>
      <c r="REJ138" s="422"/>
      <c r="REK138" s="422"/>
      <c r="REL138" s="422"/>
      <c r="REM138" s="422"/>
      <c r="REN138" s="422"/>
      <c r="REO138" s="422"/>
      <c r="REP138" s="422"/>
      <c r="REQ138" s="422"/>
      <c r="RER138" s="422"/>
      <c r="RES138" s="422"/>
      <c r="RET138" s="422"/>
      <c r="REU138" s="422"/>
      <c r="REV138" s="422"/>
      <c r="REW138" s="422"/>
      <c r="REX138" s="422"/>
      <c r="REY138" s="422"/>
      <c r="REZ138" s="422"/>
      <c r="RFA138" s="422"/>
      <c r="RFB138" s="422"/>
      <c r="RFC138" s="422"/>
      <c r="RFD138" s="422"/>
      <c r="RFE138" s="422"/>
      <c r="RFF138" s="422"/>
      <c r="RFG138" s="422"/>
      <c r="RFH138" s="422"/>
      <c r="RFI138" s="422"/>
      <c r="RFJ138" s="422"/>
      <c r="RFK138" s="422"/>
      <c r="RFL138" s="422"/>
      <c r="RFM138" s="422"/>
      <c r="RFN138" s="422"/>
      <c r="RFO138" s="422"/>
      <c r="RFP138" s="422"/>
      <c r="RFQ138" s="422"/>
      <c r="RFR138" s="422"/>
      <c r="RFS138" s="422"/>
      <c r="RFT138" s="422"/>
      <c r="RFU138" s="422"/>
      <c r="RFV138" s="422"/>
      <c r="RFW138" s="422"/>
      <c r="RFX138" s="422"/>
      <c r="RFY138" s="422"/>
      <c r="RFZ138" s="422"/>
      <c r="RGA138" s="422"/>
      <c r="RGB138" s="422"/>
      <c r="RGC138" s="422"/>
      <c r="RGD138" s="422"/>
      <c r="RGE138" s="422"/>
      <c r="RGF138" s="422"/>
      <c r="RGG138" s="422"/>
      <c r="RGH138" s="422"/>
      <c r="RGI138" s="422"/>
      <c r="RGJ138" s="422"/>
      <c r="RGK138" s="422"/>
      <c r="RGL138" s="422"/>
      <c r="RGM138" s="422"/>
      <c r="RGN138" s="422"/>
      <c r="RGO138" s="422"/>
      <c r="RGP138" s="422"/>
      <c r="RGQ138" s="422"/>
      <c r="RGR138" s="422"/>
      <c r="RGS138" s="422"/>
      <c r="RGT138" s="422"/>
      <c r="RGU138" s="422"/>
      <c r="RGV138" s="422"/>
      <c r="RGW138" s="422"/>
      <c r="RGX138" s="422"/>
      <c r="RGY138" s="422"/>
      <c r="RGZ138" s="422"/>
      <c r="RHA138" s="422"/>
      <c r="RHB138" s="422"/>
      <c r="RHC138" s="422"/>
      <c r="RHD138" s="422"/>
      <c r="RHE138" s="422"/>
      <c r="RHF138" s="422"/>
      <c r="RHG138" s="422"/>
      <c r="RHH138" s="422"/>
      <c r="RHI138" s="422"/>
      <c r="RHJ138" s="422"/>
      <c r="RHK138" s="422"/>
      <c r="RHL138" s="422"/>
      <c r="RHM138" s="422"/>
      <c r="RHN138" s="422"/>
      <c r="RHO138" s="422"/>
      <c r="RHP138" s="422"/>
      <c r="RHQ138" s="422"/>
      <c r="RHR138" s="422"/>
      <c r="RHS138" s="422"/>
      <c r="RHT138" s="422"/>
      <c r="RHU138" s="422"/>
      <c r="RHV138" s="422"/>
      <c r="RHW138" s="422"/>
      <c r="RHX138" s="422"/>
      <c r="RHY138" s="422"/>
      <c r="RHZ138" s="422"/>
      <c r="RIA138" s="422"/>
      <c r="RIB138" s="422"/>
      <c r="RIC138" s="422"/>
      <c r="RID138" s="422"/>
      <c r="RIE138" s="422"/>
      <c r="RIF138" s="422"/>
      <c r="RIG138" s="422"/>
      <c r="RIH138" s="422"/>
      <c r="RII138" s="422"/>
      <c r="RIJ138" s="422"/>
      <c r="RIK138" s="422"/>
      <c r="RIL138" s="422"/>
      <c r="RIM138" s="422"/>
      <c r="RIN138" s="422"/>
      <c r="RIO138" s="422"/>
      <c r="RIP138" s="422"/>
      <c r="RIQ138" s="422"/>
      <c r="RIR138" s="422"/>
      <c r="RIS138" s="422"/>
      <c r="RIT138" s="422"/>
      <c r="RIU138" s="422"/>
      <c r="RIV138" s="422"/>
      <c r="RIW138" s="422"/>
      <c r="RIX138" s="422"/>
      <c r="RIY138" s="422"/>
      <c r="RIZ138" s="422"/>
      <c r="RJA138" s="422"/>
      <c r="RJB138" s="422"/>
      <c r="RJC138" s="422"/>
      <c r="RJD138" s="422"/>
      <c r="RJE138" s="422"/>
      <c r="RJF138" s="422"/>
      <c r="RJG138" s="422"/>
      <c r="RJH138" s="422"/>
      <c r="RJI138" s="422"/>
      <c r="RJJ138" s="422"/>
      <c r="RJK138" s="422"/>
      <c r="RJL138" s="422"/>
      <c r="RJM138" s="422"/>
      <c r="RJN138" s="422"/>
      <c r="RJO138" s="422"/>
      <c r="RJP138" s="422"/>
      <c r="RJQ138" s="422"/>
      <c r="RJR138" s="422"/>
      <c r="RJS138" s="422"/>
      <c r="RJT138" s="422"/>
      <c r="RJU138" s="422"/>
      <c r="RJV138" s="422"/>
      <c r="RJW138" s="422"/>
      <c r="RJX138" s="422"/>
      <c r="RJY138" s="422"/>
      <c r="RJZ138" s="422"/>
      <c r="RKA138" s="422"/>
      <c r="RKB138" s="422"/>
      <c r="RKC138" s="422"/>
      <c r="RKD138" s="422"/>
      <c r="RKE138" s="422"/>
      <c r="RKF138" s="422"/>
      <c r="RKG138" s="422"/>
      <c r="RKH138" s="422"/>
      <c r="RKI138" s="422"/>
      <c r="RKJ138" s="422"/>
      <c r="RKK138" s="422"/>
      <c r="RKL138" s="422"/>
      <c r="RKM138" s="422"/>
      <c r="RKN138" s="422"/>
      <c r="RKO138" s="422"/>
      <c r="RKP138" s="422"/>
      <c r="RKQ138" s="422"/>
      <c r="RKR138" s="422"/>
      <c r="RKS138" s="422"/>
      <c r="RKT138" s="422"/>
      <c r="RKU138" s="422"/>
      <c r="RKV138" s="422"/>
      <c r="RKW138" s="422"/>
      <c r="RKX138" s="422"/>
      <c r="RKY138" s="422"/>
      <c r="RKZ138" s="422"/>
      <c r="RLA138" s="422"/>
      <c r="RLB138" s="422"/>
      <c r="RLC138" s="422"/>
      <c r="RLD138" s="422"/>
      <c r="RLE138" s="422"/>
      <c r="RLF138" s="422"/>
      <c r="RLG138" s="422"/>
      <c r="RLH138" s="422"/>
      <c r="RLI138" s="422"/>
      <c r="RLJ138" s="422"/>
      <c r="RLK138" s="422"/>
      <c r="RLL138" s="422"/>
      <c r="RLM138" s="422"/>
      <c r="RLN138" s="422"/>
      <c r="RLO138" s="422"/>
      <c r="RLP138" s="422"/>
      <c r="RLQ138" s="422"/>
      <c r="RLR138" s="422"/>
      <c r="RLS138" s="422"/>
      <c r="RLT138" s="422"/>
      <c r="RLU138" s="422"/>
      <c r="RLV138" s="422"/>
      <c r="RLW138" s="422"/>
      <c r="RLX138" s="422"/>
      <c r="RLY138" s="422"/>
      <c r="RLZ138" s="422"/>
      <c r="RMA138" s="422"/>
      <c r="RMB138" s="422"/>
      <c r="RMC138" s="422"/>
      <c r="RMD138" s="422"/>
      <c r="RME138" s="422"/>
      <c r="RMF138" s="422"/>
      <c r="RMG138" s="422"/>
      <c r="RMH138" s="422"/>
      <c r="RMI138" s="422"/>
      <c r="RMJ138" s="422"/>
      <c r="RMK138" s="422"/>
      <c r="RML138" s="422"/>
      <c r="RMM138" s="422"/>
      <c r="RMN138" s="422"/>
      <c r="RMO138" s="422"/>
      <c r="RMP138" s="422"/>
      <c r="RMQ138" s="422"/>
      <c r="RMR138" s="422"/>
      <c r="RMS138" s="422"/>
      <c r="RMT138" s="422"/>
      <c r="RMU138" s="422"/>
      <c r="RMV138" s="422"/>
      <c r="RMW138" s="422"/>
      <c r="RMX138" s="422"/>
      <c r="RMY138" s="422"/>
      <c r="RMZ138" s="422"/>
      <c r="RNA138" s="422"/>
      <c r="RNB138" s="422"/>
      <c r="RNC138" s="422"/>
      <c r="RND138" s="422"/>
      <c r="RNE138" s="422"/>
      <c r="RNF138" s="422"/>
      <c r="RNG138" s="422"/>
      <c r="RNH138" s="422"/>
      <c r="RNI138" s="422"/>
      <c r="RNJ138" s="422"/>
      <c r="RNK138" s="422"/>
      <c r="RNL138" s="422"/>
      <c r="RNM138" s="422"/>
      <c r="RNN138" s="422"/>
      <c r="RNO138" s="422"/>
      <c r="RNP138" s="422"/>
      <c r="RNQ138" s="422"/>
      <c r="RNR138" s="422"/>
      <c r="RNS138" s="422"/>
      <c r="RNT138" s="422"/>
      <c r="RNU138" s="422"/>
      <c r="RNV138" s="422"/>
      <c r="RNW138" s="422"/>
      <c r="RNX138" s="422"/>
      <c r="RNY138" s="422"/>
      <c r="RNZ138" s="422"/>
      <c r="ROA138" s="422"/>
      <c r="ROB138" s="422"/>
      <c r="ROC138" s="422"/>
      <c r="ROD138" s="422"/>
      <c r="ROE138" s="422"/>
      <c r="ROF138" s="422"/>
      <c r="ROG138" s="422"/>
      <c r="ROH138" s="422"/>
      <c r="ROI138" s="422"/>
      <c r="ROJ138" s="422"/>
      <c r="ROK138" s="422"/>
      <c r="ROL138" s="422"/>
      <c r="ROM138" s="422"/>
      <c r="RON138" s="422"/>
      <c r="ROO138" s="422"/>
      <c r="ROP138" s="422"/>
      <c r="ROQ138" s="422"/>
      <c r="ROR138" s="422"/>
      <c r="ROS138" s="422"/>
      <c r="ROT138" s="422"/>
      <c r="ROU138" s="422"/>
      <c r="ROV138" s="422"/>
      <c r="ROW138" s="422"/>
      <c r="ROX138" s="422"/>
      <c r="ROY138" s="422"/>
      <c r="ROZ138" s="422"/>
      <c r="RPA138" s="422"/>
      <c r="RPB138" s="422"/>
      <c r="RPC138" s="422"/>
      <c r="RPD138" s="422"/>
      <c r="RPE138" s="422"/>
      <c r="RPF138" s="422"/>
      <c r="RPG138" s="422"/>
      <c r="RPH138" s="422"/>
      <c r="RPI138" s="422"/>
      <c r="RPJ138" s="422"/>
      <c r="RPK138" s="422"/>
      <c r="RPL138" s="422"/>
      <c r="RPM138" s="422"/>
      <c r="RPN138" s="422"/>
      <c r="RPO138" s="422"/>
      <c r="RPP138" s="422"/>
      <c r="RPQ138" s="422"/>
      <c r="RPR138" s="422"/>
      <c r="RPS138" s="422"/>
      <c r="RPT138" s="422"/>
      <c r="RPU138" s="422"/>
      <c r="RPV138" s="422"/>
      <c r="RPW138" s="422"/>
      <c r="RPX138" s="422"/>
      <c r="RPY138" s="422"/>
      <c r="RPZ138" s="422"/>
      <c r="RQA138" s="422"/>
      <c r="RQB138" s="422"/>
      <c r="RQC138" s="422"/>
      <c r="RQD138" s="422"/>
      <c r="RQE138" s="422"/>
      <c r="RQF138" s="422"/>
      <c r="RQG138" s="422"/>
      <c r="RQH138" s="422"/>
      <c r="RQI138" s="422"/>
      <c r="RQJ138" s="422"/>
      <c r="RQK138" s="422"/>
      <c r="RQL138" s="422"/>
      <c r="RQM138" s="422"/>
      <c r="RQN138" s="422"/>
      <c r="RQO138" s="422"/>
      <c r="RQP138" s="422"/>
      <c r="RQQ138" s="422"/>
      <c r="RQR138" s="422"/>
      <c r="RQS138" s="422"/>
      <c r="RQT138" s="422"/>
      <c r="RQU138" s="422"/>
      <c r="RQV138" s="422"/>
      <c r="RQW138" s="422"/>
      <c r="RQX138" s="422"/>
      <c r="RQY138" s="422"/>
      <c r="RQZ138" s="422"/>
      <c r="RRA138" s="422"/>
      <c r="RRB138" s="422"/>
      <c r="RRC138" s="422"/>
      <c r="RRD138" s="422"/>
      <c r="RRE138" s="422"/>
      <c r="RRF138" s="422"/>
      <c r="RRG138" s="422"/>
      <c r="RRH138" s="422"/>
      <c r="RRI138" s="422"/>
      <c r="RRJ138" s="422"/>
      <c r="RRK138" s="422"/>
      <c r="RRL138" s="422"/>
      <c r="RRM138" s="422"/>
      <c r="RRN138" s="422"/>
      <c r="RRO138" s="422"/>
      <c r="RRP138" s="422"/>
      <c r="RRQ138" s="422"/>
      <c r="RRR138" s="422"/>
      <c r="RRS138" s="422"/>
      <c r="RRT138" s="422"/>
      <c r="RRU138" s="422"/>
      <c r="RRV138" s="422"/>
      <c r="RRW138" s="422"/>
      <c r="RRX138" s="422"/>
      <c r="RRY138" s="422"/>
      <c r="RRZ138" s="422"/>
      <c r="RSA138" s="422"/>
      <c r="RSB138" s="422"/>
      <c r="RSC138" s="422"/>
      <c r="RSD138" s="422"/>
      <c r="RSE138" s="422"/>
      <c r="RSF138" s="422"/>
      <c r="RSG138" s="422"/>
      <c r="RSH138" s="422"/>
      <c r="RSI138" s="422"/>
      <c r="RSJ138" s="422"/>
      <c r="RSK138" s="422"/>
      <c r="RSL138" s="422"/>
      <c r="RSM138" s="422"/>
      <c r="RSN138" s="422"/>
      <c r="RSO138" s="422"/>
      <c r="RSP138" s="422"/>
      <c r="RSQ138" s="422"/>
      <c r="RSR138" s="422"/>
      <c r="RSS138" s="422"/>
      <c r="RST138" s="422"/>
      <c r="RSU138" s="422"/>
      <c r="RSV138" s="422"/>
      <c r="RSW138" s="422"/>
      <c r="RSX138" s="422"/>
      <c r="RSY138" s="422"/>
      <c r="RSZ138" s="422"/>
      <c r="RTA138" s="422"/>
      <c r="RTB138" s="422"/>
      <c r="RTC138" s="422"/>
      <c r="RTD138" s="422"/>
      <c r="RTE138" s="422"/>
      <c r="RTF138" s="422"/>
      <c r="RTG138" s="422"/>
      <c r="RTH138" s="422"/>
      <c r="RTI138" s="422"/>
      <c r="RTJ138" s="422"/>
      <c r="RTK138" s="422"/>
      <c r="RTL138" s="422"/>
      <c r="RTM138" s="422"/>
      <c r="RTN138" s="422"/>
      <c r="RTO138" s="422"/>
      <c r="RTP138" s="422"/>
      <c r="RTQ138" s="422"/>
      <c r="RTR138" s="422"/>
      <c r="RTS138" s="422"/>
      <c r="RTT138" s="422"/>
      <c r="RTU138" s="422"/>
      <c r="RTV138" s="422"/>
      <c r="RTW138" s="422"/>
      <c r="RTX138" s="422"/>
      <c r="RTY138" s="422"/>
      <c r="RTZ138" s="422"/>
      <c r="RUA138" s="422"/>
      <c r="RUB138" s="422"/>
      <c r="RUC138" s="422"/>
      <c r="RUD138" s="422"/>
      <c r="RUE138" s="422"/>
      <c r="RUF138" s="422"/>
      <c r="RUG138" s="422"/>
      <c r="RUH138" s="422"/>
      <c r="RUI138" s="422"/>
      <c r="RUJ138" s="422"/>
      <c r="RUK138" s="422"/>
      <c r="RUL138" s="422"/>
      <c r="RUM138" s="422"/>
      <c r="RUN138" s="422"/>
      <c r="RUO138" s="422"/>
      <c r="RUP138" s="422"/>
      <c r="RUQ138" s="422"/>
      <c r="RUR138" s="422"/>
      <c r="RUS138" s="422"/>
      <c r="RUT138" s="422"/>
      <c r="RUU138" s="422"/>
      <c r="RUV138" s="422"/>
      <c r="RUW138" s="422"/>
      <c r="RUX138" s="422"/>
      <c r="RUY138" s="422"/>
      <c r="RUZ138" s="422"/>
      <c r="RVA138" s="422"/>
      <c r="RVB138" s="422"/>
      <c r="RVC138" s="422"/>
      <c r="RVD138" s="422"/>
      <c r="RVE138" s="422"/>
      <c r="RVF138" s="422"/>
      <c r="RVG138" s="422"/>
      <c r="RVH138" s="422"/>
      <c r="RVI138" s="422"/>
      <c r="RVJ138" s="422"/>
      <c r="RVK138" s="422"/>
      <c r="RVL138" s="422"/>
      <c r="RVM138" s="422"/>
      <c r="RVN138" s="422"/>
      <c r="RVO138" s="422"/>
      <c r="RVP138" s="422"/>
      <c r="RVQ138" s="422"/>
      <c r="RVR138" s="422"/>
      <c r="RVS138" s="422"/>
      <c r="RVT138" s="422"/>
      <c r="RVU138" s="422"/>
      <c r="RVV138" s="422"/>
      <c r="RVW138" s="422"/>
      <c r="RVX138" s="422"/>
      <c r="RVY138" s="422"/>
      <c r="RVZ138" s="422"/>
      <c r="RWA138" s="422"/>
      <c r="RWB138" s="422"/>
      <c r="RWC138" s="422"/>
      <c r="RWD138" s="422"/>
      <c r="RWE138" s="422"/>
      <c r="RWF138" s="422"/>
      <c r="RWG138" s="422"/>
      <c r="RWH138" s="422"/>
      <c r="RWI138" s="422"/>
      <c r="RWJ138" s="422"/>
      <c r="RWK138" s="422"/>
      <c r="RWL138" s="422"/>
      <c r="RWM138" s="422"/>
      <c r="RWN138" s="422"/>
      <c r="RWO138" s="422"/>
      <c r="RWP138" s="422"/>
      <c r="RWQ138" s="422"/>
      <c r="RWR138" s="422"/>
      <c r="RWS138" s="422"/>
      <c r="RWT138" s="422"/>
      <c r="RWU138" s="422"/>
      <c r="RWV138" s="422"/>
      <c r="RWW138" s="422"/>
      <c r="RWX138" s="422"/>
      <c r="RWY138" s="422"/>
      <c r="RWZ138" s="422"/>
      <c r="RXA138" s="422"/>
      <c r="RXB138" s="422"/>
      <c r="RXC138" s="422"/>
      <c r="RXD138" s="422"/>
      <c r="RXE138" s="422"/>
      <c r="RXF138" s="422"/>
      <c r="RXG138" s="422"/>
      <c r="RXH138" s="422"/>
      <c r="RXI138" s="422"/>
      <c r="RXJ138" s="422"/>
      <c r="RXK138" s="422"/>
      <c r="RXL138" s="422"/>
      <c r="RXM138" s="422"/>
      <c r="RXN138" s="422"/>
      <c r="RXO138" s="422"/>
      <c r="RXP138" s="422"/>
      <c r="RXQ138" s="422"/>
      <c r="RXR138" s="422"/>
      <c r="RXS138" s="422"/>
      <c r="RXT138" s="422"/>
      <c r="RXU138" s="422"/>
      <c r="RXV138" s="422"/>
      <c r="RXW138" s="422"/>
      <c r="RXX138" s="422"/>
      <c r="RXY138" s="422"/>
      <c r="RXZ138" s="422"/>
      <c r="RYA138" s="422"/>
      <c r="RYB138" s="422"/>
      <c r="RYC138" s="422"/>
      <c r="RYD138" s="422"/>
      <c r="RYE138" s="422"/>
      <c r="RYF138" s="422"/>
      <c r="RYG138" s="422"/>
      <c r="RYH138" s="422"/>
      <c r="RYI138" s="422"/>
      <c r="RYJ138" s="422"/>
      <c r="RYK138" s="422"/>
      <c r="RYL138" s="422"/>
      <c r="RYM138" s="422"/>
      <c r="RYN138" s="422"/>
      <c r="RYO138" s="422"/>
      <c r="RYP138" s="422"/>
      <c r="RYQ138" s="422"/>
      <c r="RYR138" s="422"/>
      <c r="RYS138" s="422"/>
      <c r="RYT138" s="422"/>
      <c r="RYU138" s="422"/>
      <c r="RYV138" s="422"/>
      <c r="RYW138" s="422"/>
      <c r="RYX138" s="422"/>
      <c r="RYY138" s="422"/>
      <c r="RYZ138" s="422"/>
      <c r="RZA138" s="422"/>
      <c r="RZB138" s="422"/>
      <c r="RZC138" s="422"/>
      <c r="RZD138" s="422"/>
      <c r="RZE138" s="422"/>
      <c r="RZF138" s="422"/>
      <c r="RZG138" s="422"/>
      <c r="RZH138" s="422"/>
      <c r="RZI138" s="422"/>
      <c r="RZJ138" s="422"/>
      <c r="RZK138" s="422"/>
      <c r="RZL138" s="422"/>
      <c r="RZM138" s="422"/>
      <c r="RZN138" s="422"/>
      <c r="RZO138" s="422"/>
      <c r="RZP138" s="422"/>
      <c r="RZQ138" s="422"/>
      <c r="RZR138" s="422"/>
      <c r="RZS138" s="422"/>
      <c r="RZT138" s="422"/>
      <c r="RZU138" s="422"/>
      <c r="RZV138" s="422"/>
      <c r="RZW138" s="422"/>
      <c r="RZX138" s="422"/>
      <c r="RZY138" s="422"/>
      <c r="RZZ138" s="422"/>
      <c r="SAA138" s="422"/>
      <c r="SAB138" s="422"/>
      <c r="SAC138" s="422"/>
      <c r="SAD138" s="422"/>
      <c r="SAE138" s="422"/>
      <c r="SAF138" s="422"/>
      <c r="SAG138" s="422"/>
      <c r="SAH138" s="422"/>
      <c r="SAI138" s="422"/>
      <c r="SAJ138" s="422"/>
      <c r="SAK138" s="422"/>
      <c r="SAL138" s="422"/>
      <c r="SAM138" s="422"/>
      <c r="SAN138" s="422"/>
      <c r="SAO138" s="422"/>
      <c r="SAP138" s="422"/>
      <c r="SAQ138" s="422"/>
      <c r="SAR138" s="422"/>
      <c r="SAS138" s="422"/>
      <c r="SAT138" s="422"/>
      <c r="SAU138" s="422"/>
      <c r="SAV138" s="422"/>
      <c r="SAW138" s="422"/>
      <c r="SAX138" s="422"/>
      <c r="SAY138" s="422"/>
      <c r="SAZ138" s="422"/>
      <c r="SBA138" s="422"/>
      <c r="SBB138" s="422"/>
      <c r="SBC138" s="422"/>
      <c r="SBD138" s="422"/>
      <c r="SBE138" s="422"/>
      <c r="SBF138" s="422"/>
      <c r="SBG138" s="422"/>
      <c r="SBH138" s="422"/>
      <c r="SBI138" s="422"/>
      <c r="SBJ138" s="422"/>
      <c r="SBK138" s="422"/>
      <c r="SBL138" s="422"/>
      <c r="SBM138" s="422"/>
      <c r="SBN138" s="422"/>
      <c r="SBO138" s="422"/>
      <c r="SBP138" s="422"/>
      <c r="SBQ138" s="422"/>
      <c r="SBR138" s="422"/>
      <c r="SBS138" s="422"/>
      <c r="SBT138" s="422"/>
      <c r="SBU138" s="422"/>
      <c r="SBV138" s="422"/>
      <c r="SBW138" s="422"/>
      <c r="SBX138" s="422"/>
      <c r="SBY138" s="422"/>
      <c r="SBZ138" s="422"/>
      <c r="SCA138" s="422"/>
      <c r="SCB138" s="422"/>
      <c r="SCC138" s="422"/>
      <c r="SCD138" s="422"/>
      <c r="SCE138" s="422"/>
      <c r="SCF138" s="422"/>
      <c r="SCG138" s="422"/>
      <c r="SCH138" s="422"/>
      <c r="SCI138" s="422"/>
      <c r="SCJ138" s="422"/>
      <c r="SCK138" s="422"/>
      <c r="SCL138" s="422"/>
      <c r="SCM138" s="422"/>
      <c r="SCN138" s="422"/>
      <c r="SCO138" s="422"/>
      <c r="SCP138" s="422"/>
      <c r="SCQ138" s="422"/>
      <c r="SCR138" s="422"/>
      <c r="SCS138" s="422"/>
      <c r="SCT138" s="422"/>
      <c r="SCU138" s="422"/>
      <c r="SCV138" s="422"/>
      <c r="SCW138" s="422"/>
      <c r="SCX138" s="422"/>
      <c r="SCY138" s="422"/>
      <c r="SCZ138" s="422"/>
      <c r="SDA138" s="422"/>
      <c r="SDB138" s="422"/>
      <c r="SDC138" s="422"/>
      <c r="SDD138" s="422"/>
      <c r="SDE138" s="422"/>
      <c r="SDF138" s="422"/>
      <c r="SDG138" s="422"/>
      <c r="SDH138" s="422"/>
      <c r="SDI138" s="422"/>
      <c r="SDJ138" s="422"/>
      <c r="SDK138" s="422"/>
      <c r="SDL138" s="422"/>
      <c r="SDM138" s="422"/>
      <c r="SDN138" s="422"/>
      <c r="SDO138" s="422"/>
      <c r="SDP138" s="422"/>
      <c r="SDQ138" s="422"/>
      <c r="SDR138" s="422"/>
      <c r="SDS138" s="422"/>
      <c r="SDT138" s="422"/>
      <c r="SDU138" s="422"/>
      <c r="SDV138" s="422"/>
      <c r="SDW138" s="422"/>
      <c r="SDX138" s="422"/>
      <c r="SDY138" s="422"/>
      <c r="SDZ138" s="422"/>
      <c r="SEA138" s="422"/>
      <c r="SEB138" s="422"/>
      <c r="SEC138" s="422"/>
      <c r="SED138" s="422"/>
      <c r="SEE138" s="422"/>
      <c r="SEF138" s="422"/>
      <c r="SEG138" s="422"/>
      <c r="SEH138" s="422"/>
      <c r="SEI138" s="422"/>
      <c r="SEJ138" s="422"/>
      <c r="SEK138" s="422"/>
      <c r="SEL138" s="422"/>
      <c r="SEM138" s="422"/>
      <c r="SEN138" s="422"/>
      <c r="SEO138" s="422"/>
      <c r="SEP138" s="422"/>
      <c r="SEQ138" s="422"/>
      <c r="SER138" s="422"/>
      <c r="SES138" s="422"/>
      <c r="SET138" s="422"/>
      <c r="SEU138" s="422"/>
      <c r="SEV138" s="422"/>
      <c r="SEW138" s="422"/>
      <c r="SEX138" s="422"/>
      <c r="SEY138" s="422"/>
      <c r="SEZ138" s="422"/>
      <c r="SFA138" s="422"/>
      <c r="SFB138" s="422"/>
      <c r="SFC138" s="422"/>
      <c r="SFD138" s="422"/>
      <c r="SFE138" s="422"/>
      <c r="SFF138" s="422"/>
      <c r="SFG138" s="422"/>
      <c r="SFH138" s="422"/>
      <c r="SFI138" s="422"/>
      <c r="SFJ138" s="422"/>
      <c r="SFK138" s="422"/>
      <c r="SFL138" s="422"/>
      <c r="SFM138" s="422"/>
      <c r="SFN138" s="422"/>
      <c r="SFO138" s="422"/>
      <c r="SFP138" s="422"/>
      <c r="SFQ138" s="422"/>
      <c r="SFR138" s="422"/>
      <c r="SFS138" s="422"/>
      <c r="SFT138" s="422"/>
      <c r="SFU138" s="422"/>
      <c r="SFV138" s="422"/>
      <c r="SFW138" s="422"/>
      <c r="SFX138" s="422"/>
      <c r="SFY138" s="422"/>
      <c r="SFZ138" s="422"/>
      <c r="SGA138" s="422"/>
      <c r="SGB138" s="422"/>
      <c r="SGC138" s="422"/>
      <c r="SGD138" s="422"/>
      <c r="SGE138" s="422"/>
      <c r="SGF138" s="422"/>
      <c r="SGG138" s="422"/>
      <c r="SGH138" s="422"/>
      <c r="SGI138" s="422"/>
      <c r="SGJ138" s="422"/>
      <c r="SGK138" s="422"/>
      <c r="SGL138" s="422"/>
      <c r="SGM138" s="422"/>
      <c r="SGN138" s="422"/>
      <c r="SGO138" s="422"/>
      <c r="SGP138" s="422"/>
      <c r="SGQ138" s="422"/>
      <c r="SGR138" s="422"/>
      <c r="SGS138" s="422"/>
      <c r="SGT138" s="422"/>
      <c r="SGU138" s="422"/>
      <c r="SGV138" s="422"/>
      <c r="SGW138" s="422"/>
      <c r="SGX138" s="422"/>
      <c r="SGY138" s="422"/>
      <c r="SGZ138" s="422"/>
      <c r="SHA138" s="422"/>
      <c r="SHB138" s="422"/>
      <c r="SHC138" s="422"/>
      <c r="SHD138" s="422"/>
      <c r="SHE138" s="422"/>
      <c r="SHF138" s="422"/>
      <c r="SHG138" s="422"/>
      <c r="SHH138" s="422"/>
      <c r="SHI138" s="422"/>
      <c r="SHJ138" s="422"/>
      <c r="SHK138" s="422"/>
      <c r="SHL138" s="422"/>
      <c r="SHM138" s="422"/>
      <c r="SHN138" s="422"/>
      <c r="SHO138" s="422"/>
      <c r="SHP138" s="422"/>
      <c r="SHQ138" s="422"/>
      <c r="SHR138" s="422"/>
      <c r="SHS138" s="422"/>
      <c r="SHT138" s="422"/>
      <c r="SHU138" s="422"/>
      <c r="SHV138" s="422"/>
      <c r="SHW138" s="422"/>
      <c r="SHX138" s="422"/>
      <c r="SHY138" s="422"/>
      <c r="SHZ138" s="422"/>
      <c r="SIA138" s="422"/>
      <c r="SIB138" s="422"/>
      <c r="SIC138" s="422"/>
      <c r="SID138" s="422"/>
      <c r="SIE138" s="422"/>
      <c r="SIF138" s="422"/>
      <c r="SIG138" s="422"/>
      <c r="SIH138" s="422"/>
      <c r="SII138" s="422"/>
      <c r="SIJ138" s="422"/>
      <c r="SIK138" s="422"/>
      <c r="SIL138" s="422"/>
      <c r="SIM138" s="422"/>
      <c r="SIN138" s="422"/>
      <c r="SIO138" s="422"/>
      <c r="SIP138" s="422"/>
      <c r="SIQ138" s="422"/>
      <c r="SIR138" s="422"/>
      <c r="SIS138" s="422"/>
      <c r="SIT138" s="422"/>
      <c r="SIU138" s="422"/>
      <c r="SIV138" s="422"/>
      <c r="SIW138" s="422"/>
      <c r="SIX138" s="422"/>
      <c r="SIY138" s="422"/>
      <c r="SIZ138" s="422"/>
      <c r="SJA138" s="422"/>
      <c r="SJB138" s="422"/>
      <c r="SJC138" s="422"/>
      <c r="SJD138" s="422"/>
      <c r="SJE138" s="422"/>
      <c r="SJF138" s="422"/>
      <c r="SJG138" s="422"/>
      <c r="SJH138" s="422"/>
      <c r="SJI138" s="422"/>
      <c r="SJJ138" s="422"/>
      <c r="SJK138" s="422"/>
      <c r="SJL138" s="422"/>
      <c r="SJM138" s="422"/>
      <c r="SJN138" s="422"/>
      <c r="SJO138" s="422"/>
      <c r="SJP138" s="422"/>
      <c r="SJQ138" s="422"/>
      <c r="SJR138" s="422"/>
      <c r="SJS138" s="422"/>
      <c r="SJT138" s="422"/>
      <c r="SJU138" s="422"/>
      <c r="SJV138" s="422"/>
      <c r="SJW138" s="422"/>
      <c r="SJX138" s="422"/>
      <c r="SJY138" s="422"/>
      <c r="SJZ138" s="422"/>
      <c r="SKA138" s="422"/>
      <c r="SKB138" s="422"/>
      <c r="SKC138" s="422"/>
      <c r="SKD138" s="422"/>
      <c r="SKE138" s="422"/>
      <c r="SKF138" s="422"/>
      <c r="SKG138" s="422"/>
      <c r="SKH138" s="422"/>
      <c r="SKI138" s="422"/>
      <c r="SKJ138" s="422"/>
      <c r="SKK138" s="422"/>
      <c r="SKL138" s="422"/>
      <c r="SKM138" s="422"/>
      <c r="SKN138" s="422"/>
      <c r="SKO138" s="422"/>
      <c r="SKP138" s="422"/>
      <c r="SKQ138" s="422"/>
      <c r="SKR138" s="422"/>
      <c r="SKS138" s="422"/>
      <c r="SKT138" s="422"/>
      <c r="SKU138" s="422"/>
      <c r="SKV138" s="422"/>
      <c r="SKW138" s="422"/>
      <c r="SKX138" s="422"/>
      <c r="SKY138" s="422"/>
      <c r="SKZ138" s="422"/>
      <c r="SLA138" s="422"/>
      <c r="SLB138" s="422"/>
      <c r="SLC138" s="422"/>
      <c r="SLD138" s="422"/>
      <c r="SLE138" s="422"/>
      <c r="SLF138" s="422"/>
      <c r="SLG138" s="422"/>
      <c r="SLH138" s="422"/>
      <c r="SLI138" s="422"/>
      <c r="SLJ138" s="422"/>
      <c r="SLK138" s="422"/>
      <c r="SLL138" s="422"/>
      <c r="SLM138" s="422"/>
      <c r="SLN138" s="422"/>
      <c r="SLO138" s="422"/>
      <c r="SLP138" s="422"/>
      <c r="SLQ138" s="422"/>
      <c r="SLR138" s="422"/>
      <c r="SLS138" s="422"/>
      <c r="SLT138" s="422"/>
      <c r="SLU138" s="422"/>
      <c r="SLV138" s="422"/>
      <c r="SLW138" s="422"/>
      <c r="SLX138" s="422"/>
      <c r="SLY138" s="422"/>
      <c r="SLZ138" s="422"/>
      <c r="SMA138" s="422"/>
      <c r="SMB138" s="422"/>
      <c r="SMC138" s="422"/>
      <c r="SMD138" s="422"/>
      <c r="SME138" s="422"/>
      <c r="SMF138" s="422"/>
      <c r="SMG138" s="422"/>
      <c r="SMH138" s="422"/>
      <c r="SMI138" s="422"/>
      <c r="SMJ138" s="422"/>
      <c r="SMK138" s="422"/>
      <c r="SML138" s="422"/>
      <c r="SMM138" s="422"/>
      <c r="SMN138" s="422"/>
      <c r="SMO138" s="422"/>
      <c r="SMP138" s="422"/>
      <c r="SMQ138" s="422"/>
      <c r="SMR138" s="422"/>
      <c r="SMS138" s="422"/>
      <c r="SMT138" s="422"/>
      <c r="SMU138" s="422"/>
      <c r="SMV138" s="422"/>
      <c r="SMW138" s="422"/>
      <c r="SMX138" s="422"/>
      <c r="SMY138" s="422"/>
      <c r="SMZ138" s="422"/>
      <c r="SNA138" s="422"/>
      <c r="SNB138" s="422"/>
      <c r="SNC138" s="422"/>
      <c r="SND138" s="422"/>
      <c r="SNE138" s="422"/>
      <c r="SNF138" s="422"/>
      <c r="SNG138" s="422"/>
      <c r="SNH138" s="422"/>
      <c r="SNI138" s="422"/>
      <c r="SNJ138" s="422"/>
      <c r="SNK138" s="422"/>
      <c r="SNL138" s="422"/>
      <c r="SNM138" s="422"/>
      <c r="SNN138" s="422"/>
      <c r="SNO138" s="422"/>
      <c r="SNP138" s="422"/>
      <c r="SNQ138" s="422"/>
      <c r="SNR138" s="422"/>
      <c r="SNS138" s="422"/>
      <c r="SNT138" s="422"/>
      <c r="SNU138" s="422"/>
      <c r="SNV138" s="422"/>
      <c r="SNW138" s="422"/>
      <c r="SNX138" s="422"/>
      <c r="SNY138" s="422"/>
      <c r="SNZ138" s="422"/>
      <c r="SOA138" s="422"/>
      <c r="SOB138" s="422"/>
      <c r="SOC138" s="422"/>
      <c r="SOD138" s="422"/>
      <c r="SOE138" s="422"/>
      <c r="SOF138" s="422"/>
      <c r="SOG138" s="422"/>
      <c r="SOH138" s="422"/>
      <c r="SOI138" s="422"/>
      <c r="SOJ138" s="422"/>
      <c r="SOK138" s="422"/>
      <c r="SOL138" s="422"/>
      <c r="SOM138" s="422"/>
      <c r="SON138" s="422"/>
      <c r="SOO138" s="422"/>
      <c r="SOP138" s="422"/>
      <c r="SOQ138" s="422"/>
      <c r="SOR138" s="422"/>
      <c r="SOS138" s="422"/>
      <c r="SOT138" s="422"/>
      <c r="SOU138" s="422"/>
      <c r="SOV138" s="422"/>
      <c r="SOW138" s="422"/>
      <c r="SOX138" s="422"/>
      <c r="SOY138" s="422"/>
      <c r="SOZ138" s="422"/>
      <c r="SPA138" s="422"/>
      <c r="SPB138" s="422"/>
      <c r="SPC138" s="422"/>
      <c r="SPD138" s="422"/>
      <c r="SPE138" s="422"/>
      <c r="SPF138" s="422"/>
      <c r="SPG138" s="422"/>
      <c r="SPH138" s="422"/>
      <c r="SPI138" s="422"/>
      <c r="SPJ138" s="422"/>
      <c r="SPK138" s="422"/>
      <c r="SPL138" s="422"/>
      <c r="SPM138" s="422"/>
      <c r="SPN138" s="422"/>
      <c r="SPO138" s="422"/>
      <c r="SPP138" s="422"/>
      <c r="SPQ138" s="422"/>
      <c r="SPR138" s="422"/>
      <c r="SPS138" s="422"/>
      <c r="SPT138" s="422"/>
      <c r="SPU138" s="422"/>
      <c r="SPV138" s="422"/>
      <c r="SPW138" s="422"/>
      <c r="SPX138" s="422"/>
      <c r="SPY138" s="422"/>
      <c r="SPZ138" s="422"/>
      <c r="SQA138" s="422"/>
      <c r="SQB138" s="422"/>
      <c r="SQC138" s="422"/>
      <c r="SQD138" s="422"/>
      <c r="SQE138" s="422"/>
      <c r="SQF138" s="422"/>
      <c r="SQG138" s="422"/>
      <c r="SQH138" s="422"/>
      <c r="SQI138" s="422"/>
      <c r="SQJ138" s="422"/>
      <c r="SQK138" s="422"/>
      <c r="SQL138" s="422"/>
      <c r="SQM138" s="422"/>
      <c r="SQN138" s="422"/>
      <c r="SQO138" s="422"/>
      <c r="SQP138" s="422"/>
      <c r="SQQ138" s="422"/>
      <c r="SQR138" s="422"/>
      <c r="SQS138" s="422"/>
      <c r="SQT138" s="422"/>
      <c r="SQU138" s="422"/>
      <c r="SQV138" s="422"/>
      <c r="SQW138" s="422"/>
      <c r="SQX138" s="422"/>
      <c r="SQY138" s="422"/>
      <c r="SQZ138" s="422"/>
      <c r="SRA138" s="422"/>
      <c r="SRB138" s="422"/>
      <c r="SRC138" s="422"/>
      <c r="SRD138" s="422"/>
      <c r="SRE138" s="422"/>
      <c r="SRF138" s="422"/>
      <c r="SRG138" s="422"/>
      <c r="SRH138" s="422"/>
      <c r="SRI138" s="422"/>
      <c r="SRJ138" s="422"/>
      <c r="SRK138" s="422"/>
      <c r="SRL138" s="422"/>
      <c r="SRM138" s="422"/>
      <c r="SRN138" s="422"/>
      <c r="SRO138" s="422"/>
      <c r="SRP138" s="422"/>
      <c r="SRQ138" s="422"/>
      <c r="SRR138" s="422"/>
      <c r="SRS138" s="422"/>
      <c r="SRT138" s="422"/>
      <c r="SRU138" s="422"/>
      <c r="SRV138" s="422"/>
      <c r="SRW138" s="422"/>
      <c r="SRX138" s="422"/>
      <c r="SRY138" s="422"/>
      <c r="SRZ138" s="422"/>
      <c r="SSA138" s="422"/>
      <c r="SSB138" s="422"/>
      <c r="SSC138" s="422"/>
      <c r="SSD138" s="422"/>
      <c r="SSE138" s="422"/>
      <c r="SSF138" s="422"/>
      <c r="SSG138" s="422"/>
      <c r="SSH138" s="422"/>
      <c r="SSI138" s="422"/>
      <c r="SSJ138" s="422"/>
      <c r="SSK138" s="422"/>
      <c r="SSL138" s="422"/>
      <c r="SSM138" s="422"/>
      <c r="SSN138" s="422"/>
      <c r="SSO138" s="422"/>
      <c r="SSP138" s="422"/>
      <c r="SSQ138" s="422"/>
      <c r="SSR138" s="422"/>
      <c r="SSS138" s="422"/>
      <c r="SST138" s="422"/>
      <c r="SSU138" s="422"/>
      <c r="SSV138" s="422"/>
      <c r="SSW138" s="422"/>
      <c r="SSX138" s="422"/>
      <c r="SSY138" s="422"/>
      <c r="SSZ138" s="422"/>
      <c r="STA138" s="422"/>
      <c r="STB138" s="422"/>
      <c r="STC138" s="422"/>
      <c r="STD138" s="422"/>
      <c r="STE138" s="422"/>
      <c r="STF138" s="422"/>
      <c r="STG138" s="422"/>
      <c r="STH138" s="422"/>
      <c r="STI138" s="422"/>
      <c r="STJ138" s="422"/>
      <c r="STK138" s="422"/>
      <c r="STL138" s="422"/>
      <c r="STM138" s="422"/>
      <c r="STN138" s="422"/>
      <c r="STO138" s="422"/>
      <c r="STP138" s="422"/>
      <c r="STQ138" s="422"/>
      <c r="STR138" s="422"/>
      <c r="STS138" s="422"/>
      <c r="STT138" s="422"/>
      <c r="STU138" s="422"/>
      <c r="STV138" s="422"/>
      <c r="STW138" s="422"/>
      <c r="STX138" s="422"/>
      <c r="STY138" s="422"/>
      <c r="STZ138" s="422"/>
      <c r="SUA138" s="422"/>
      <c r="SUB138" s="422"/>
      <c r="SUC138" s="422"/>
      <c r="SUD138" s="422"/>
      <c r="SUE138" s="422"/>
      <c r="SUF138" s="422"/>
      <c r="SUG138" s="422"/>
      <c r="SUH138" s="422"/>
      <c r="SUI138" s="422"/>
      <c r="SUJ138" s="422"/>
      <c r="SUK138" s="422"/>
      <c r="SUL138" s="422"/>
      <c r="SUM138" s="422"/>
      <c r="SUN138" s="422"/>
      <c r="SUO138" s="422"/>
      <c r="SUP138" s="422"/>
      <c r="SUQ138" s="422"/>
      <c r="SUR138" s="422"/>
      <c r="SUS138" s="422"/>
      <c r="SUT138" s="422"/>
      <c r="SUU138" s="422"/>
      <c r="SUV138" s="422"/>
      <c r="SUW138" s="422"/>
      <c r="SUX138" s="422"/>
      <c r="SUY138" s="422"/>
      <c r="SUZ138" s="422"/>
      <c r="SVA138" s="422"/>
      <c r="SVB138" s="422"/>
      <c r="SVC138" s="422"/>
      <c r="SVD138" s="422"/>
      <c r="SVE138" s="422"/>
      <c r="SVF138" s="422"/>
      <c r="SVG138" s="422"/>
      <c r="SVH138" s="422"/>
      <c r="SVI138" s="422"/>
      <c r="SVJ138" s="422"/>
      <c r="SVK138" s="422"/>
      <c r="SVL138" s="422"/>
      <c r="SVM138" s="422"/>
      <c r="SVN138" s="422"/>
      <c r="SVO138" s="422"/>
      <c r="SVP138" s="422"/>
      <c r="SVQ138" s="422"/>
      <c r="SVR138" s="422"/>
      <c r="SVS138" s="422"/>
      <c r="SVT138" s="422"/>
      <c r="SVU138" s="422"/>
      <c r="SVV138" s="422"/>
      <c r="SVW138" s="422"/>
      <c r="SVX138" s="422"/>
      <c r="SVY138" s="422"/>
      <c r="SVZ138" s="422"/>
      <c r="SWA138" s="422"/>
      <c r="SWB138" s="422"/>
      <c r="SWC138" s="422"/>
      <c r="SWD138" s="422"/>
      <c r="SWE138" s="422"/>
      <c r="SWF138" s="422"/>
      <c r="SWG138" s="422"/>
      <c r="SWH138" s="422"/>
      <c r="SWI138" s="422"/>
      <c r="SWJ138" s="422"/>
      <c r="SWK138" s="422"/>
      <c r="SWL138" s="422"/>
      <c r="SWM138" s="422"/>
      <c r="SWN138" s="422"/>
      <c r="SWO138" s="422"/>
      <c r="SWP138" s="422"/>
      <c r="SWQ138" s="422"/>
      <c r="SWR138" s="422"/>
      <c r="SWS138" s="422"/>
      <c r="SWT138" s="422"/>
      <c r="SWU138" s="422"/>
      <c r="SWV138" s="422"/>
      <c r="SWW138" s="422"/>
      <c r="SWX138" s="422"/>
      <c r="SWY138" s="422"/>
      <c r="SWZ138" s="422"/>
      <c r="SXA138" s="422"/>
      <c r="SXB138" s="422"/>
      <c r="SXC138" s="422"/>
      <c r="SXD138" s="422"/>
      <c r="SXE138" s="422"/>
      <c r="SXF138" s="422"/>
      <c r="SXG138" s="422"/>
      <c r="SXH138" s="422"/>
      <c r="SXI138" s="422"/>
      <c r="SXJ138" s="422"/>
      <c r="SXK138" s="422"/>
      <c r="SXL138" s="422"/>
      <c r="SXM138" s="422"/>
      <c r="SXN138" s="422"/>
      <c r="SXO138" s="422"/>
      <c r="SXP138" s="422"/>
      <c r="SXQ138" s="422"/>
      <c r="SXR138" s="422"/>
      <c r="SXS138" s="422"/>
      <c r="SXT138" s="422"/>
      <c r="SXU138" s="422"/>
      <c r="SXV138" s="422"/>
      <c r="SXW138" s="422"/>
      <c r="SXX138" s="422"/>
      <c r="SXY138" s="422"/>
      <c r="SXZ138" s="422"/>
      <c r="SYA138" s="422"/>
      <c r="SYB138" s="422"/>
      <c r="SYC138" s="422"/>
      <c r="SYD138" s="422"/>
      <c r="SYE138" s="422"/>
      <c r="SYF138" s="422"/>
      <c r="SYG138" s="422"/>
      <c r="SYH138" s="422"/>
      <c r="SYI138" s="422"/>
      <c r="SYJ138" s="422"/>
      <c r="SYK138" s="422"/>
      <c r="SYL138" s="422"/>
      <c r="SYM138" s="422"/>
      <c r="SYN138" s="422"/>
      <c r="SYO138" s="422"/>
      <c r="SYP138" s="422"/>
      <c r="SYQ138" s="422"/>
      <c r="SYR138" s="422"/>
      <c r="SYS138" s="422"/>
      <c r="SYT138" s="422"/>
      <c r="SYU138" s="422"/>
      <c r="SYV138" s="422"/>
      <c r="SYW138" s="422"/>
      <c r="SYX138" s="422"/>
      <c r="SYY138" s="422"/>
      <c r="SYZ138" s="422"/>
      <c r="SZA138" s="422"/>
      <c r="SZB138" s="422"/>
      <c r="SZC138" s="422"/>
      <c r="SZD138" s="422"/>
      <c r="SZE138" s="422"/>
      <c r="SZF138" s="422"/>
      <c r="SZG138" s="422"/>
      <c r="SZH138" s="422"/>
      <c r="SZI138" s="422"/>
      <c r="SZJ138" s="422"/>
      <c r="SZK138" s="422"/>
      <c r="SZL138" s="422"/>
      <c r="SZM138" s="422"/>
      <c r="SZN138" s="422"/>
      <c r="SZO138" s="422"/>
      <c r="SZP138" s="422"/>
      <c r="SZQ138" s="422"/>
      <c r="SZR138" s="422"/>
      <c r="SZS138" s="422"/>
      <c r="SZT138" s="422"/>
      <c r="SZU138" s="422"/>
      <c r="SZV138" s="422"/>
      <c r="SZW138" s="422"/>
      <c r="SZX138" s="422"/>
      <c r="SZY138" s="422"/>
      <c r="SZZ138" s="422"/>
      <c r="TAA138" s="422"/>
      <c r="TAB138" s="422"/>
      <c r="TAC138" s="422"/>
      <c r="TAD138" s="422"/>
      <c r="TAE138" s="422"/>
      <c r="TAF138" s="422"/>
      <c r="TAG138" s="422"/>
      <c r="TAH138" s="422"/>
      <c r="TAI138" s="422"/>
      <c r="TAJ138" s="422"/>
      <c r="TAK138" s="422"/>
      <c r="TAL138" s="422"/>
      <c r="TAM138" s="422"/>
      <c r="TAN138" s="422"/>
      <c r="TAO138" s="422"/>
      <c r="TAP138" s="422"/>
      <c r="TAQ138" s="422"/>
      <c r="TAR138" s="422"/>
      <c r="TAS138" s="422"/>
      <c r="TAT138" s="422"/>
      <c r="TAU138" s="422"/>
      <c r="TAV138" s="422"/>
      <c r="TAW138" s="422"/>
      <c r="TAX138" s="422"/>
      <c r="TAY138" s="422"/>
      <c r="TAZ138" s="422"/>
      <c r="TBA138" s="422"/>
      <c r="TBB138" s="422"/>
      <c r="TBC138" s="422"/>
      <c r="TBD138" s="422"/>
      <c r="TBE138" s="422"/>
      <c r="TBF138" s="422"/>
      <c r="TBG138" s="422"/>
      <c r="TBH138" s="422"/>
      <c r="TBI138" s="422"/>
      <c r="TBJ138" s="422"/>
      <c r="TBK138" s="422"/>
      <c r="TBL138" s="422"/>
      <c r="TBM138" s="422"/>
      <c r="TBN138" s="422"/>
      <c r="TBO138" s="422"/>
      <c r="TBP138" s="422"/>
      <c r="TBQ138" s="422"/>
      <c r="TBR138" s="422"/>
      <c r="TBS138" s="422"/>
      <c r="TBT138" s="422"/>
      <c r="TBU138" s="422"/>
      <c r="TBV138" s="422"/>
      <c r="TBW138" s="422"/>
      <c r="TBX138" s="422"/>
      <c r="TBY138" s="422"/>
      <c r="TBZ138" s="422"/>
      <c r="TCA138" s="422"/>
      <c r="TCB138" s="422"/>
      <c r="TCC138" s="422"/>
      <c r="TCD138" s="422"/>
      <c r="TCE138" s="422"/>
      <c r="TCF138" s="422"/>
      <c r="TCG138" s="422"/>
      <c r="TCH138" s="422"/>
      <c r="TCI138" s="422"/>
      <c r="TCJ138" s="422"/>
      <c r="TCK138" s="422"/>
      <c r="TCL138" s="422"/>
      <c r="TCM138" s="422"/>
      <c r="TCN138" s="422"/>
      <c r="TCO138" s="422"/>
      <c r="TCP138" s="422"/>
      <c r="TCQ138" s="422"/>
      <c r="TCR138" s="422"/>
      <c r="TCS138" s="422"/>
      <c r="TCT138" s="422"/>
      <c r="TCU138" s="422"/>
      <c r="TCV138" s="422"/>
      <c r="TCW138" s="422"/>
      <c r="TCX138" s="422"/>
      <c r="TCY138" s="422"/>
      <c r="TCZ138" s="422"/>
      <c r="TDA138" s="422"/>
      <c r="TDB138" s="422"/>
      <c r="TDC138" s="422"/>
      <c r="TDD138" s="422"/>
      <c r="TDE138" s="422"/>
      <c r="TDF138" s="422"/>
      <c r="TDG138" s="422"/>
      <c r="TDH138" s="422"/>
      <c r="TDI138" s="422"/>
      <c r="TDJ138" s="422"/>
      <c r="TDK138" s="422"/>
      <c r="TDL138" s="422"/>
      <c r="TDM138" s="422"/>
      <c r="TDN138" s="422"/>
      <c r="TDO138" s="422"/>
      <c r="TDP138" s="422"/>
      <c r="TDQ138" s="422"/>
      <c r="TDR138" s="422"/>
      <c r="TDS138" s="422"/>
      <c r="TDT138" s="422"/>
      <c r="TDU138" s="422"/>
      <c r="TDV138" s="422"/>
      <c r="TDW138" s="422"/>
      <c r="TDX138" s="422"/>
      <c r="TDY138" s="422"/>
      <c r="TDZ138" s="422"/>
      <c r="TEA138" s="422"/>
      <c r="TEB138" s="422"/>
      <c r="TEC138" s="422"/>
      <c r="TED138" s="422"/>
      <c r="TEE138" s="422"/>
      <c r="TEF138" s="422"/>
      <c r="TEG138" s="422"/>
      <c r="TEH138" s="422"/>
      <c r="TEI138" s="422"/>
      <c r="TEJ138" s="422"/>
      <c r="TEK138" s="422"/>
      <c r="TEL138" s="422"/>
      <c r="TEM138" s="422"/>
      <c r="TEN138" s="422"/>
      <c r="TEO138" s="422"/>
      <c r="TEP138" s="422"/>
      <c r="TEQ138" s="422"/>
      <c r="TER138" s="422"/>
      <c r="TES138" s="422"/>
      <c r="TET138" s="422"/>
      <c r="TEU138" s="422"/>
      <c r="TEV138" s="422"/>
      <c r="TEW138" s="422"/>
      <c r="TEX138" s="422"/>
      <c r="TEY138" s="422"/>
      <c r="TEZ138" s="422"/>
      <c r="TFA138" s="422"/>
      <c r="TFB138" s="422"/>
      <c r="TFC138" s="422"/>
      <c r="TFD138" s="422"/>
      <c r="TFE138" s="422"/>
      <c r="TFF138" s="422"/>
      <c r="TFG138" s="422"/>
      <c r="TFH138" s="422"/>
      <c r="TFI138" s="422"/>
      <c r="TFJ138" s="422"/>
      <c r="TFK138" s="422"/>
      <c r="TFL138" s="422"/>
      <c r="TFM138" s="422"/>
      <c r="TFN138" s="422"/>
      <c r="TFO138" s="422"/>
      <c r="TFP138" s="422"/>
      <c r="TFQ138" s="422"/>
      <c r="TFR138" s="422"/>
      <c r="TFS138" s="422"/>
      <c r="TFT138" s="422"/>
      <c r="TFU138" s="422"/>
      <c r="TFV138" s="422"/>
      <c r="TFW138" s="422"/>
      <c r="TFX138" s="422"/>
      <c r="TFY138" s="422"/>
      <c r="TFZ138" s="422"/>
      <c r="TGA138" s="422"/>
      <c r="TGB138" s="422"/>
      <c r="TGC138" s="422"/>
      <c r="TGD138" s="422"/>
      <c r="TGE138" s="422"/>
      <c r="TGF138" s="422"/>
      <c r="TGG138" s="422"/>
      <c r="TGH138" s="422"/>
      <c r="TGI138" s="422"/>
      <c r="TGJ138" s="422"/>
      <c r="TGK138" s="422"/>
      <c r="TGL138" s="422"/>
      <c r="TGM138" s="422"/>
      <c r="TGN138" s="422"/>
      <c r="TGO138" s="422"/>
      <c r="TGP138" s="422"/>
      <c r="TGQ138" s="422"/>
      <c r="TGR138" s="422"/>
      <c r="TGS138" s="422"/>
      <c r="TGT138" s="422"/>
      <c r="TGU138" s="422"/>
      <c r="TGV138" s="422"/>
      <c r="TGW138" s="422"/>
      <c r="TGX138" s="422"/>
      <c r="TGY138" s="422"/>
      <c r="TGZ138" s="422"/>
      <c r="THA138" s="422"/>
      <c r="THB138" s="422"/>
      <c r="THC138" s="422"/>
      <c r="THD138" s="422"/>
      <c r="THE138" s="422"/>
      <c r="THF138" s="422"/>
      <c r="THG138" s="422"/>
      <c r="THH138" s="422"/>
      <c r="THI138" s="422"/>
      <c r="THJ138" s="422"/>
      <c r="THK138" s="422"/>
      <c r="THL138" s="422"/>
      <c r="THM138" s="422"/>
      <c r="THN138" s="422"/>
      <c r="THO138" s="422"/>
      <c r="THP138" s="422"/>
      <c r="THQ138" s="422"/>
      <c r="THR138" s="422"/>
      <c r="THS138" s="422"/>
      <c r="THT138" s="422"/>
      <c r="THU138" s="422"/>
      <c r="THV138" s="422"/>
      <c r="THW138" s="422"/>
      <c r="THX138" s="422"/>
      <c r="THY138" s="422"/>
      <c r="THZ138" s="422"/>
      <c r="TIA138" s="422"/>
      <c r="TIB138" s="422"/>
      <c r="TIC138" s="422"/>
      <c r="TID138" s="422"/>
      <c r="TIE138" s="422"/>
      <c r="TIF138" s="422"/>
      <c r="TIG138" s="422"/>
      <c r="TIH138" s="422"/>
      <c r="TII138" s="422"/>
      <c r="TIJ138" s="422"/>
      <c r="TIK138" s="422"/>
      <c r="TIL138" s="422"/>
      <c r="TIM138" s="422"/>
      <c r="TIN138" s="422"/>
      <c r="TIO138" s="422"/>
      <c r="TIP138" s="422"/>
      <c r="TIQ138" s="422"/>
      <c r="TIR138" s="422"/>
      <c r="TIS138" s="422"/>
      <c r="TIT138" s="422"/>
      <c r="TIU138" s="422"/>
      <c r="TIV138" s="422"/>
      <c r="TIW138" s="422"/>
      <c r="TIX138" s="422"/>
      <c r="TIY138" s="422"/>
      <c r="TIZ138" s="422"/>
      <c r="TJA138" s="422"/>
      <c r="TJB138" s="422"/>
      <c r="TJC138" s="422"/>
      <c r="TJD138" s="422"/>
      <c r="TJE138" s="422"/>
      <c r="TJF138" s="422"/>
      <c r="TJG138" s="422"/>
      <c r="TJH138" s="422"/>
      <c r="TJI138" s="422"/>
      <c r="TJJ138" s="422"/>
      <c r="TJK138" s="422"/>
      <c r="TJL138" s="422"/>
      <c r="TJM138" s="422"/>
      <c r="TJN138" s="422"/>
      <c r="TJO138" s="422"/>
      <c r="TJP138" s="422"/>
      <c r="TJQ138" s="422"/>
      <c r="TJR138" s="422"/>
      <c r="TJS138" s="422"/>
      <c r="TJT138" s="422"/>
      <c r="TJU138" s="422"/>
      <c r="TJV138" s="422"/>
      <c r="TJW138" s="422"/>
      <c r="TJX138" s="422"/>
      <c r="TJY138" s="422"/>
      <c r="TJZ138" s="422"/>
      <c r="TKA138" s="422"/>
      <c r="TKB138" s="422"/>
      <c r="TKC138" s="422"/>
      <c r="TKD138" s="422"/>
      <c r="TKE138" s="422"/>
      <c r="TKF138" s="422"/>
      <c r="TKG138" s="422"/>
      <c r="TKH138" s="422"/>
      <c r="TKI138" s="422"/>
      <c r="TKJ138" s="422"/>
      <c r="TKK138" s="422"/>
      <c r="TKL138" s="422"/>
      <c r="TKM138" s="422"/>
      <c r="TKN138" s="422"/>
      <c r="TKO138" s="422"/>
      <c r="TKP138" s="422"/>
      <c r="TKQ138" s="422"/>
      <c r="TKR138" s="422"/>
      <c r="TKS138" s="422"/>
      <c r="TKT138" s="422"/>
      <c r="TKU138" s="422"/>
      <c r="TKV138" s="422"/>
      <c r="TKW138" s="422"/>
      <c r="TKX138" s="422"/>
      <c r="TKY138" s="422"/>
      <c r="TKZ138" s="422"/>
      <c r="TLA138" s="422"/>
      <c r="TLB138" s="422"/>
      <c r="TLC138" s="422"/>
      <c r="TLD138" s="422"/>
      <c r="TLE138" s="422"/>
      <c r="TLF138" s="422"/>
      <c r="TLG138" s="422"/>
      <c r="TLH138" s="422"/>
      <c r="TLI138" s="422"/>
      <c r="TLJ138" s="422"/>
      <c r="TLK138" s="422"/>
      <c r="TLL138" s="422"/>
      <c r="TLM138" s="422"/>
      <c r="TLN138" s="422"/>
      <c r="TLO138" s="422"/>
      <c r="TLP138" s="422"/>
      <c r="TLQ138" s="422"/>
      <c r="TLR138" s="422"/>
      <c r="TLS138" s="422"/>
      <c r="TLT138" s="422"/>
      <c r="TLU138" s="422"/>
      <c r="TLV138" s="422"/>
      <c r="TLW138" s="422"/>
      <c r="TLX138" s="422"/>
      <c r="TLY138" s="422"/>
      <c r="TLZ138" s="422"/>
      <c r="TMA138" s="422"/>
      <c r="TMB138" s="422"/>
      <c r="TMC138" s="422"/>
      <c r="TMD138" s="422"/>
      <c r="TME138" s="422"/>
      <c r="TMF138" s="422"/>
      <c r="TMG138" s="422"/>
      <c r="TMH138" s="422"/>
      <c r="TMI138" s="422"/>
      <c r="TMJ138" s="422"/>
      <c r="TMK138" s="422"/>
      <c r="TML138" s="422"/>
      <c r="TMM138" s="422"/>
      <c r="TMN138" s="422"/>
      <c r="TMO138" s="422"/>
      <c r="TMP138" s="422"/>
      <c r="TMQ138" s="422"/>
      <c r="TMR138" s="422"/>
      <c r="TMS138" s="422"/>
      <c r="TMT138" s="422"/>
      <c r="TMU138" s="422"/>
      <c r="TMV138" s="422"/>
      <c r="TMW138" s="422"/>
      <c r="TMX138" s="422"/>
      <c r="TMY138" s="422"/>
      <c r="TMZ138" s="422"/>
      <c r="TNA138" s="422"/>
      <c r="TNB138" s="422"/>
      <c r="TNC138" s="422"/>
      <c r="TND138" s="422"/>
      <c r="TNE138" s="422"/>
      <c r="TNF138" s="422"/>
      <c r="TNG138" s="422"/>
      <c r="TNH138" s="422"/>
      <c r="TNI138" s="422"/>
      <c r="TNJ138" s="422"/>
      <c r="TNK138" s="422"/>
      <c r="TNL138" s="422"/>
      <c r="TNM138" s="422"/>
      <c r="TNN138" s="422"/>
      <c r="TNO138" s="422"/>
      <c r="TNP138" s="422"/>
      <c r="TNQ138" s="422"/>
      <c r="TNR138" s="422"/>
      <c r="TNS138" s="422"/>
      <c r="TNT138" s="422"/>
      <c r="TNU138" s="422"/>
      <c r="TNV138" s="422"/>
      <c r="TNW138" s="422"/>
      <c r="TNX138" s="422"/>
      <c r="TNY138" s="422"/>
      <c r="TNZ138" s="422"/>
      <c r="TOA138" s="422"/>
      <c r="TOB138" s="422"/>
      <c r="TOC138" s="422"/>
      <c r="TOD138" s="422"/>
      <c r="TOE138" s="422"/>
      <c r="TOF138" s="422"/>
      <c r="TOG138" s="422"/>
      <c r="TOH138" s="422"/>
      <c r="TOI138" s="422"/>
      <c r="TOJ138" s="422"/>
      <c r="TOK138" s="422"/>
      <c r="TOL138" s="422"/>
      <c r="TOM138" s="422"/>
      <c r="TON138" s="422"/>
      <c r="TOO138" s="422"/>
      <c r="TOP138" s="422"/>
      <c r="TOQ138" s="422"/>
      <c r="TOR138" s="422"/>
      <c r="TOS138" s="422"/>
      <c r="TOT138" s="422"/>
      <c r="TOU138" s="422"/>
      <c r="TOV138" s="422"/>
      <c r="TOW138" s="422"/>
      <c r="TOX138" s="422"/>
      <c r="TOY138" s="422"/>
      <c r="TOZ138" s="422"/>
      <c r="TPA138" s="422"/>
      <c r="TPB138" s="422"/>
      <c r="TPC138" s="422"/>
      <c r="TPD138" s="422"/>
      <c r="TPE138" s="422"/>
      <c r="TPF138" s="422"/>
      <c r="TPG138" s="422"/>
      <c r="TPH138" s="422"/>
      <c r="TPI138" s="422"/>
      <c r="TPJ138" s="422"/>
      <c r="TPK138" s="422"/>
      <c r="TPL138" s="422"/>
      <c r="TPM138" s="422"/>
      <c r="TPN138" s="422"/>
      <c r="TPO138" s="422"/>
      <c r="TPP138" s="422"/>
      <c r="TPQ138" s="422"/>
      <c r="TPR138" s="422"/>
      <c r="TPS138" s="422"/>
      <c r="TPT138" s="422"/>
      <c r="TPU138" s="422"/>
      <c r="TPV138" s="422"/>
      <c r="TPW138" s="422"/>
      <c r="TPX138" s="422"/>
      <c r="TPY138" s="422"/>
      <c r="TPZ138" s="422"/>
      <c r="TQA138" s="422"/>
      <c r="TQB138" s="422"/>
      <c r="TQC138" s="422"/>
      <c r="TQD138" s="422"/>
      <c r="TQE138" s="422"/>
      <c r="TQF138" s="422"/>
      <c r="TQG138" s="422"/>
      <c r="TQH138" s="422"/>
      <c r="TQI138" s="422"/>
      <c r="TQJ138" s="422"/>
      <c r="TQK138" s="422"/>
      <c r="TQL138" s="422"/>
      <c r="TQM138" s="422"/>
      <c r="TQN138" s="422"/>
      <c r="TQO138" s="422"/>
      <c r="TQP138" s="422"/>
      <c r="TQQ138" s="422"/>
      <c r="TQR138" s="422"/>
      <c r="TQS138" s="422"/>
      <c r="TQT138" s="422"/>
      <c r="TQU138" s="422"/>
      <c r="TQV138" s="422"/>
      <c r="TQW138" s="422"/>
      <c r="TQX138" s="422"/>
      <c r="TQY138" s="422"/>
      <c r="TQZ138" s="422"/>
      <c r="TRA138" s="422"/>
      <c r="TRB138" s="422"/>
      <c r="TRC138" s="422"/>
      <c r="TRD138" s="422"/>
      <c r="TRE138" s="422"/>
      <c r="TRF138" s="422"/>
      <c r="TRG138" s="422"/>
      <c r="TRH138" s="422"/>
      <c r="TRI138" s="422"/>
      <c r="TRJ138" s="422"/>
      <c r="TRK138" s="422"/>
      <c r="TRL138" s="422"/>
      <c r="TRM138" s="422"/>
      <c r="TRN138" s="422"/>
      <c r="TRO138" s="422"/>
      <c r="TRP138" s="422"/>
      <c r="TRQ138" s="422"/>
      <c r="TRR138" s="422"/>
      <c r="TRS138" s="422"/>
      <c r="TRT138" s="422"/>
      <c r="TRU138" s="422"/>
      <c r="TRV138" s="422"/>
      <c r="TRW138" s="422"/>
      <c r="TRX138" s="422"/>
      <c r="TRY138" s="422"/>
      <c r="TRZ138" s="422"/>
      <c r="TSA138" s="422"/>
      <c r="TSB138" s="422"/>
      <c r="TSC138" s="422"/>
      <c r="TSD138" s="422"/>
      <c r="TSE138" s="422"/>
      <c r="TSF138" s="422"/>
      <c r="TSG138" s="422"/>
      <c r="TSH138" s="422"/>
      <c r="TSI138" s="422"/>
      <c r="TSJ138" s="422"/>
      <c r="TSK138" s="422"/>
      <c r="TSL138" s="422"/>
      <c r="TSM138" s="422"/>
      <c r="TSN138" s="422"/>
      <c r="TSO138" s="422"/>
      <c r="TSP138" s="422"/>
      <c r="TSQ138" s="422"/>
      <c r="TSR138" s="422"/>
      <c r="TSS138" s="422"/>
      <c r="TST138" s="422"/>
      <c r="TSU138" s="422"/>
      <c r="TSV138" s="422"/>
      <c r="TSW138" s="422"/>
      <c r="TSX138" s="422"/>
      <c r="TSY138" s="422"/>
      <c r="TSZ138" s="422"/>
      <c r="TTA138" s="422"/>
      <c r="TTB138" s="422"/>
      <c r="TTC138" s="422"/>
      <c r="TTD138" s="422"/>
      <c r="TTE138" s="422"/>
      <c r="TTF138" s="422"/>
      <c r="TTG138" s="422"/>
      <c r="TTH138" s="422"/>
      <c r="TTI138" s="422"/>
      <c r="TTJ138" s="422"/>
      <c r="TTK138" s="422"/>
      <c r="TTL138" s="422"/>
      <c r="TTM138" s="422"/>
      <c r="TTN138" s="422"/>
      <c r="TTO138" s="422"/>
      <c r="TTP138" s="422"/>
      <c r="TTQ138" s="422"/>
      <c r="TTR138" s="422"/>
      <c r="TTS138" s="422"/>
      <c r="TTT138" s="422"/>
      <c r="TTU138" s="422"/>
      <c r="TTV138" s="422"/>
      <c r="TTW138" s="422"/>
      <c r="TTX138" s="422"/>
      <c r="TTY138" s="422"/>
      <c r="TTZ138" s="422"/>
      <c r="TUA138" s="422"/>
      <c r="TUB138" s="422"/>
      <c r="TUC138" s="422"/>
      <c r="TUD138" s="422"/>
      <c r="TUE138" s="422"/>
      <c r="TUF138" s="422"/>
      <c r="TUG138" s="422"/>
      <c r="TUH138" s="422"/>
      <c r="TUI138" s="422"/>
      <c r="TUJ138" s="422"/>
      <c r="TUK138" s="422"/>
      <c r="TUL138" s="422"/>
      <c r="TUM138" s="422"/>
      <c r="TUN138" s="422"/>
      <c r="TUO138" s="422"/>
      <c r="TUP138" s="422"/>
      <c r="TUQ138" s="422"/>
      <c r="TUR138" s="422"/>
      <c r="TUS138" s="422"/>
      <c r="TUT138" s="422"/>
      <c r="TUU138" s="422"/>
      <c r="TUV138" s="422"/>
      <c r="TUW138" s="422"/>
      <c r="TUX138" s="422"/>
      <c r="TUY138" s="422"/>
      <c r="TUZ138" s="422"/>
      <c r="TVA138" s="422"/>
      <c r="TVB138" s="422"/>
      <c r="TVC138" s="422"/>
      <c r="TVD138" s="422"/>
      <c r="TVE138" s="422"/>
      <c r="TVF138" s="422"/>
      <c r="TVG138" s="422"/>
      <c r="TVH138" s="422"/>
      <c r="TVI138" s="422"/>
      <c r="TVJ138" s="422"/>
      <c r="TVK138" s="422"/>
      <c r="TVL138" s="422"/>
      <c r="TVM138" s="422"/>
      <c r="TVN138" s="422"/>
      <c r="TVO138" s="422"/>
      <c r="TVP138" s="422"/>
      <c r="TVQ138" s="422"/>
      <c r="TVR138" s="422"/>
      <c r="TVS138" s="422"/>
      <c r="TVT138" s="422"/>
      <c r="TVU138" s="422"/>
      <c r="TVV138" s="422"/>
      <c r="TVW138" s="422"/>
      <c r="TVX138" s="422"/>
      <c r="TVY138" s="422"/>
      <c r="TVZ138" s="422"/>
      <c r="TWA138" s="422"/>
      <c r="TWB138" s="422"/>
      <c r="TWC138" s="422"/>
      <c r="TWD138" s="422"/>
      <c r="TWE138" s="422"/>
      <c r="TWF138" s="422"/>
      <c r="TWG138" s="422"/>
      <c r="TWH138" s="422"/>
      <c r="TWI138" s="422"/>
      <c r="TWJ138" s="422"/>
      <c r="TWK138" s="422"/>
      <c r="TWL138" s="422"/>
      <c r="TWM138" s="422"/>
      <c r="TWN138" s="422"/>
      <c r="TWO138" s="422"/>
      <c r="TWP138" s="422"/>
      <c r="TWQ138" s="422"/>
      <c r="TWR138" s="422"/>
      <c r="TWS138" s="422"/>
      <c r="TWT138" s="422"/>
      <c r="TWU138" s="422"/>
      <c r="TWV138" s="422"/>
      <c r="TWW138" s="422"/>
      <c r="TWX138" s="422"/>
      <c r="TWY138" s="422"/>
      <c r="TWZ138" s="422"/>
      <c r="TXA138" s="422"/>
      <c r="TXB138" s="422"/>
      <c r="TXC138" s="422"/>
      <c r="TXD138" s="422"/>
      <c r="TXE138" s="422"/>
      <c r="TXF138" s="422"/>
      <c r="TXG138" s="422"/>
      <c r="TXH138" s="422"/>
      <c r="TXI138" s="422"/>
      <c r="TXJ138" s="422"/>
      <c r="TXK138" s="422"/>
      <c r="TXL138" s="422"/>
      <c r="TXM138" s="422"/>
      <c r="TXN138" s="422"/>
      <c r="TXO138" s="422"/>
      <c r="TXP138" s="422"/>
      <c r="TXQ138" s="422"/>
      <c r="TXR138" s="422"/>
      <c r="TXS138" s="422"/>
      <c r="TXT138" s="422"/>
      <c r="TXU138" s="422"/>
      <c r="TXV138" s="422"/>
      <c r="TXW138" s="422"/>
      <c r="TXX138" s="422"/>
      <c r="TXY138" s="422"/>
      <c r="TXZ138" s="422"/>
      <c r="TYA138" s="422"/>
      <c r="TYB138" s="422"/>
      <c r="TYC138" s="422"/>
      <c r="TYD138" s="422"/>
      <c r="TYE138" s="422"/>
      <c r="TYF138" s="422"/>
      <c r="TYG138" s="422"/>
      <c r="TYH138" s="422"/>
      <c r="TYI138" s="422"/>
      <c r="TYJ138" s="422"/>
      <c r="TYK138" s="422"/>
      <c r="TYL138" s="422"/>
      <c r="TYM138" s="422"/>
      <c r="TYN138" s="422"/>
      <c r="TYO138" s="422"/>
      <c r="TYP138" s="422"/>
      <c r="TYQ138" s="422"/>
      <c r="TYR138" s="422"/>
      <c r="TYS138" s="422"/>
      <c r="TYT138" s="422"/>
      <c r="TYU138" s="422"/>
      <c r="TYV138" s="422"/>
      <c r="TYW138" s="422"/>
      <c r="TYX138" s="422"/>
      <c r="TYY138" s="422"/>
      <c r="TYZ138" s="422"/>
      <c r="TZA138" s="422"/>
      <c r="TZB138" s="422"/>
      <c r="TZC138" s="422"/>
      <c r="TZD138" s="422"/>
      <c r="TZE138" s="422"/>
      <c r="TZF138" s="422"/>
      <c r="TZG138" s="422"/>
      <c r="TZH138" s="422"/>
      <c r="TZI138" s="422"/>
      <c r="TZJ138" s="422"/>
      <c r="TZK138" s="422"/>
      <c r="TZL138" s="422"/>
      <c r="TZM138" s="422"/>
      <c r="TZN138" s="422"/>
      <c r="TZO138" s="422"/>
      <c r="TZP138" s="422"/>
      <c r="TZQ138" s="422"/>
      <c r="TZR138" s="422"/>
      <c r="TZS138" s="422"/>
      <c r="TZT138" s="422"/>
      <c r="TZU138" s="422"/>
      <c r="TZV138" s="422"/>
      <c r="TZW138" s="422"/>
      <c r="TZX138" s="422"/>
      <c r="TZY138" s="422"/>
      <c r="TZZ138" s="422"/>
      <c r="UAA138" s="422"/>
      <c r="UAB138" s="422"/>
      <c r="UAC138" s="422"/>
      <c r="UAD138" s="422"/>
      <c r="UAE138" s="422"/>
      <c r="UAF138" s="422"/>
      <c r="UAG138" s="422"/>
      <c r="UAH138" s="422"/>
      <c r="UAI138" s="422"/>
      <c r="UAJ138" s="422"/>
      <c r="UAK138" s="422"/>
      <c r="UAL138" s="422"/>
      <c r="UAM138" s="422"/>
      <c r="UAN138" s="422"/>
      <c r="UAO138" s="422"/>
      <c r="UAP138" s="422"/>
      <c r="UAQ138" s="422"/>
      <c r="UAR138" s="422"/>
      <c r="UAS138" s="422"/>
      <c r="UAT138" s="422"/>
      <c r="UAU138" s="422"/>
      <c r="UAV138" s="422"/>
      <c r="UAW138" s="422"/>
      <c r="UAX138" s="422"/>
      <c r="UAY138" s="422"/>
      <c r="UAZ138" s="422"/>
      <c r="UBA138" s="422"/>
      <c r="UBB138" s="422"/>
      <c r="UBC138" s="422"/>
      <c r="UBD138" s="422"/>
      <c r="UBE138" s="422"/>
      <c r="UBF138" s="422"/>
      <c r="UBG138" s="422"/>
      <c r="UBH138" s="422"/>
      <c r="UBI138" s="422"/>
      <c r="UBJ138" s="422"/>
      <c r="UBK138" s="422"/>
      <c r="UBL138" s="422"/>
      <c r="UBM138" s="422"/>
      <c r="UBN138" s="422"/>
      <c r="UBO138" s="422"/>
      <c r="UBP138" s="422"/>
      <c r="UBQ138" s="422"/>
      <c r="UBR138" s="422"/>
      <c r="UBS138" s="422"/>
      <c r="UBT138" s="422"/>
      <c r="UBU138" s="422"/>
      <c r="UBV138" s="422"/>
      <c r="UBW138" s="422"/>
      <c r="UBX138" s="422"/>
      <c r="UBY138" s="422"/>
      <c r="UBZ138" s="422"/>
      <c r="UCA138" s="422"/>
      <c r="UCB138" s="422"/>
      <c r="UCC138" s="422"/>
      <c r="UCD138" s="422"/>
      <c r="UCE138" s="422"/>
      <c r="UCF138" s="422"/>
      <c r="UCG138" s="422"/>
      <c r="UCH138" s="422"/>
      <c r="UCI138" s="422"/>
      <c r="UCJ138" s="422"/>
      <c r="UCK138" s="422"/>
      <c r="UCL138" s="422"/>
      <c r="UCM138" s="422"/>
      <c r="UCN138" s="422"/>
      <c r="UCO138" s="422"/>
      <c r="UCP138" s="422"/>
      <c r="UCQ138" s="422"/>
      <c r="UCR138" s="422"/>
      <c r="UCS138" s="422"/>
      <c r="UCT138" s="422"/>
      <c r="UCU138" s="422"/>
      <c r="UCV138" s="422"/>
      <c r="UCW138" s="422"/>
      <c r="UCX138" s="422"/>
      <c r="UCY138" s="422"/>
      <c r="UCZ138" s="422"/>
      <c r="UDA138" s="422"/>
      <c r="UDB138" s="422"/>
      <c r="UDC138" s="422"/>
      <c r="UDD138" s="422"/>
      <c r="UDE138" s="422"/>
      <c r="UDF138" s="422"/>
      <c r="UDG138" s="422"/>
      <c r="UDH138" s="422"/>
      <c r="UDI138" s="422"/>
      <c r="UDJ138" s="422"/>
      <c r="UDK138" s="422"/>
      <c r="UDL138" s="422"/>
      <c r="UDM138" s="422"/>
      <c r="UDN138" s="422"/>
      <c r="UDO138" s="422"/>
      <c r="UDP138" s="422"/>
      <c r="UDQ138" s="422"/>
      <c r="UDR138" s="422"/>
      <c r="UDS138" s="422"/>
      <c r="UDT138" s="422"/>
      <c r="UDU138" s="422"/>
      <c r="UDV138" s="422"/>
      <c r="UDW138" s="422"/>
      <c r="UDX138" s="422"/>
      <c r="UDY138" s="422"/>
      <c r="UDZ138" s="422"/>
      <c r="UEA138" s="422"/>
      <c r="UEB138" s="422"/>
      <c r="UEC138" s="422"/>
      <c r="UED138" s="422"/>
      <c r="UEE138" s="422"/>
      <c r="UEF138" s="422"/>
      <c r="UEG138" s="422"/>
      <c r="UEH138" s="422"/>
      <c r="UEI138" s="422"/>
      <c r="UEJ138" s="422"/>
      <c r="UEK138" s="422"/>
      <c r="UEL138" s="422"/>
      <c r="UEM138" s="422"/>
      <c r="UEN138" s="422"/>
      <c r="UEO138" s="422"/>
      <c r="UEP138" s="422"/>
      <c r="UEQ138" s="422"/>
      <c r="UER138" s="422"/>
      <c r="UES138" s="422"/>
      <c r="UET138" s="422"/>
      <c r="UEU138" s="422"/>
      <c r="UEV138" s="422"/>
      <c r="UEW138" s="422"/>
      <c r="UEX138" s="422"/>
      <c r="UEY138" s="422"/>
      <c r="UEZ138" s="422"/>
      <c r="UFA138" s="422"/>
      <c r="UFB138" s="422"/>
      <c r="UFC138" s="422"/>
      <c r="UFD138" s="422"/>
      <c r="UFE138" s="422"/>
      <c r="UFF138" s="422"/>
      <c r="UFG138" s="422"/>
      <c r="UFH138" s="422"/>
      <c r="UFI138" s="422"/>
      <c r="UFJ138" s="422"/>
      <c r="UFK138" s="422"/>
      <c r="UFL138" s="422"/>
      <c r="UFM138" s="422"/>
      <c r="UFN138" s="422"/>
      <c r="UFO138" s="422"/>
      <c r="UFP138" s="422"/>
      <c r="UFQ138" s="422"/>
      <c r="UFR138" s="422"/>
      <c r="UFS138" s="422"/>
      <c r="UFT138" s="422"/>
      <c r="UFU138" s="422"/>
      <c r="UFV138" s="422"/>
      <c r="UFW138" s="422"/>
      <c r="UFX138" s="422"/>
      <c r="UFY138" s="422"/>
      <c r="UFZ138" s="422"/>
      <c r="UGA138" s="422"/>
      <c r="UGB138" s="422"/>
      <c r="UGC138" s="422"/>
      <c r="UGD138" s="422"/>
      <c r="UGE138" s="422"/>
      <c r="UGF138" s="422"/>
      <c r="UGG138" s="422"/>
      <c r="UGH138" s="422"/>
      <c r="UGI138" s="422"/>
      <c r="UGJ138" s="422"/>
      <c r="UGK138" s="422"/>
      <c r="UGL138" s="422"/>
      <c r="UGM138" s="422"/>
      <c r="UGN138" s="422"/>
      <c r="UGO138" s="422"/>
      <c r="UGP138" s="422"/>
      <c r="UGQ138" s="422"/>
      <c r="UGR138" s="422"/>
      <c r="UGS138" s="422"/>
      <c r="UGT138" s="422"/>
      <c r="UGU138" s="422"/>
      <c r="UGV138" s="422"/>
      <c r="UGW138" s="422"/>
      <c r="UGX138" s="422"/>
      <c r="UGY138" s="422"/>
      <c r="UGZ138" s="422"/>
      <c r="UHA138" s="422"/>
      <c r="UHB138" s="422"/>
      <c r="UHC138" s="422"/>
      <c r="UHD138" s="422"/>
      <c r="UHE138" s="422"/>
      <c r="UHF138" s="422"/>
      <c r="UHG138" s="422"/>
      <c r="UHH138" s="422"/>
      <c r="UHI138" s="422"/>
      <c r="UHJ138" s="422"/>
      <c r="UHK138" s="422"/>
      <c r="UHL138" s="422"/>
      <c r="UHM138" s="422"/>
      <c r="UHN138" s="422"/>
      <c r="UHO138" s="422"/>
      <c r="UHP138" s="422"/>
      <c r="UHQ138" s="422"/>
      <c r="UHR138" s="422"/>
      <c r="UHS138" s="422"/>
      <c r="UHT138" s="422"/>
      <c r="UHU138" s="422"/>
      <c r="UHV138" s="422"/>
      <c r="UHW138" s="422"/>
      <c r="UHX138" s="422"/>
      <c r="UHY138" s="422"/>
      <c r="UHZ138" s="422"/>
      <c r="UIA138" s="422"/>
      <c r="UIB138" s="422"/>
      <c r="UIC138" s="422"/>
      <c r="UID138" s="422"/>
      <c r="UIE138" s="422"/>
      <c r="UIF138" s="422"/>
      <c r="UIG138" s="422"/>
      <c r="UIH138" s="422"/>
      <c r="UII138" s="422"/>
      <c r="UIJ138" s="422"/>
      <c r="UIK138" s="422"/>
      <c r="UIL138" s="422"/>
      <c r="UIM138" s="422"/>
      <c r="UIN138" s="422"/>
      <c r="UIO138" s="422"/>
      <c r="UIP138" s="422"/>
      <c r="UIQ138" s="422"/>
      <c r="UIR138" s="422"/>
      <c r="UIS138" s="422"/>
      <c r="UIT138" s="422"/>
      <c r="UIU138" s="422"/>
      <c r="UIV138" s="422"/>
      <c r="UIW138" s="422"/>
      <c r="UIX138" s="422"/>
      <c r="UIY138" s="422"/>
      <c r="UIZ138" s="422"/>
      <c r="UJA138" s="422"/>
      <c r="UJB138" s="422"/>
      <c r="UJC138" s="422"/>
      <c r="UJD138" s="422"/>
      <c r="UJE138" s="422"/>
      <c r="UJF138" s="422"/>
      <c r="UJG138" s="422"/>
      <c r="UJH138" s="422"/>
      <c r="UJI138" s="422"/>
      <c r="UJJ138" s="422"/>
      <c r="UJK138" s="422"/>
      <c r="UJL138" s="422"/>
      <c r="UJM138" s="422"/>
      <c r="UJN138" s="422"/>
      <c r="UJO138" s="422"/>
      <c r="UJP138" s="422"/>
      <c r="UJQ138" s="422"/>
      <c r="UJR138" s="422"/>
      <c r="UJS138" s="422"/>
      <c r="UJT138" s="422"/>
      <c r="UJU138" s="422"/>
      <c r="UJV138" s="422"/>
      <c r="UJW138" s="422"/>
      <c r="UJX138" s="422"/>
      <c r="UJY138" s="422"/>
      <c r="UJZ138" s="422"/>
      <c r="UKA138" s="422"/>
      <c r="UKB138" s="422"/>
      <c r="UKC138" s="422"/>
      <c r="UKD138" s="422"/>
      <c r="UKE138" s="422"/>
      <c r="UKF138" s="422"/>
      <c r="UKG138" s="422"/>
      <c r="UKH138" s="422"/>
      <c r="UKI138" s="422"/>
      <c r="UKJ138" s="422"/>
      <c r="UKK138" s="422"/>
      <c r="UKL138" s="422"/>
      <c r="UKM138" s="422"/>
      <c r="UKN138" s="422"/>
      <c r="UKO138" s="422"/>
      <c r="UKP138" s="422"/>
      <c r="UKQ138" s="422"/>
      <c r="UKR138" s="422"/>
      <c r="UKS138" s="422"/>
      <c r="UKT138" s="422"/>
      <c r="UKU138" s="422"/>
      <c r="UKV138" s="422"/>
      <c r="UKW138" s="422"/>
      <c r="UKX138" s="422"/>
      <c r="UKY138" s="422"/>
      <c r="UKZ138" s="422"/>
      <c r="ULA138" s="422"/>
      <c r="ULB138" s="422"/>
      <c r="ULC138" s="422"/>
      <c r="ULD138" s="422"/>
      <c r="ULE138" s="422"/>
      <c r="ULF138" s="422"/>
      <c r="ULG138" s="422"/>
      <c r="ULH138" s="422"/>
      <c r="ULI138" s="422"/>
      <c r="ULJ138" s="422"/>
      <c r="ULK138" s="422"/>
      <c r="ULL138" s="422"/>
      <c r="ULM138" s="422"/>
      <c r="ULN138" s="422"/>
      <c r="ULO138" s="422"/>
      <c r="ULP138" s="422"/>
      <c r="ULQ138" s="422"/>
      <c r="ULR138" s="422"/>
      <c r="ULS138" s="422"/>
      <c r="ULT138" s="422"/>
      <c r="ULU138" s="422"/>
      <c r="ULV138" s="422"/>
      <c r="ULW138" s="422"/>
      <c r="ULX138" s="422"/>
      <c r="ULY138" s="422"/>
      <c r="ULZ138" s="422"/>
      <c r="UMA138" s="422"/>
      <c r="UMB138" s="422"/>
      <c r="UMC138" s="422"/>
      <c r="UMD138" s="422"/>
      <c r="UME138" s="422"/>
      <c r="UMF138" s="422"/>
      <c r="UMG138" s="422"/>
      <c r="UMH138" s="422"/>
      <c r="UMI138" s="422"/>
      <c r="UMJ138" s="422"/>
      <c r="UMK138" s="422"/>
      <c r="UML138" s="422"/>
      <c r="UMM138" s="422"/>
      <c r="UMN138" s="422"/>
      <c r="UMO138" s="422"/>
      <c r="UMP138" s="422"/>
      <c r="UMQ138" s="422"/>
      <c r="UMR138" s="422"/>
      <c r="UMS138" s="422"/>
      <c r="UMT138" s="422"/>
      <c r="UMU138" s="422"/>
      <c r="UMV138" s="422"/>
      <c r="UMW138" s="422"/>
      <c r="UMX138" s="422"/>
      <c r="UMY138" s="422"/>
      <c r="UMZ138" s="422"/>
      <c r="UNA138" s="422"/>
      <c r="UNB138" s="422"/>
      <c r="UNC138" s="422"/>
      <c r="UND138" s="422"/>
      <c r="UNE138" s="422"/>
      <c r="UNF138" s="422"/>
      <c r="UNG138" s="422"/>
      <c r="UNH138" s="422"/>
      <c r="UNI138" s="422"/>
      <c r="UNJ138" s="422"/>
      <c r="UNK138" s="422"/>
      <c r="UNL138" s="422"/>
      <c r="UNM138" s="422"/>
      <c r="UNN138" s="422"/>
      <c r="UNO138" s="422"/>
      <c r="UNP138" s="422"/>
      <c r="UNQ138" s="422"/>
      <c r="UNR138" s="422"/>
      <c r="UNS138" s="422"/>
      <c r="UNT138" s="422"/>
      <c r="UNU138" s="422"/>
      <c r="UNV138" s="422"/>
      <c r="UNW138" s="422"/>
      <c r="UNX138" s="422"/>
      <c r="UNY138" s="422"/>
      <c r="UNZ138" s="422"/>
      <c r="UOA138" s="422"/>
      <c r="UOB138" s="422"/>
      <c r="UOC138" s="422"/>
      <c r="UOD138" s="422"/>
      <c r="UOE138" s="422"/>
      <c r="UOF138" s="422"/>
      <c r="UOG138" s="422"/>
      <c r="UOH138" s="422"/>
      <c r="UOI138" s="422"/>
      <c r="UOJ138" s="422"/>
      <c r="UOK138" s="422"/>
      <c r="UOL138" s="422"/>
      <c r="UOM138" s="422"/>
      <c r="UON138" s="422"/>
      <c r="UOO138" s="422"/>
      <c r="UOP138" s="422"/>
      <c r="UOQ138" s="422"/>
      <c r="UOR138" s="422"/>
      <c r="UOS138" s="422"/>
      <c r="UOT138" s="422"/>
      <c r="UOU138" s="422"/>
      <c r="UOV138" s="422"/>
      <c r="UOW138" s="422"/>
      <c r="UOX138" s="422"/>
      <c r="UOY138" s="422"/>
      <c r="UOZ138" s="422"/>
      <c r="UPA138" s="422"/>
      <c r="UPB138" s="422"/>
      <c r="UPC138" s="422"/>
      <c r="UPD138" s="422"/>
      <c r="UPE138" s="422"/>
      <c r="UPF138" s="422"/>
      <c r="UPG138" s="422"/>
      <c r="UPH138" s="422"/>
      <c r="UPI138" s="422"/>
      <c r="UPJ138" s="422"/>
      <c r="UPK138" s="422"/>
      <c r="UPL138" s="422"/>
      <c r="UPM138" s="422"/>
      <c r="UPN138" s="422"/>
      <c r="UPO138" s="422"/>
      <c r="UPP138" s="422"/>
      <c r="UPQ138" s="422"/>
      <c r="UPR138" s="422"/>
      <c r="UPS138" s="422"/>
      <c r="UPT138" s="422"/>
      <c r="UPU138" s="422"/>
      <c r="UPV138" s="422"/>
      <c r="UPW138" s="422"/>
      <c r="UPX138" s="422"/>
      <c r="UPY138" s="422"/>
      <c r="UPZ138" s="422"/>
      <c r="UQA138" s="422"/>
      <c r="UQB138" s="422"/>
      <c r="UQC138" s="422"/>
      <c r="UQD138" s="422"/>
      <c r="UQE138" s="422"/>
      <c r="UQF138" s="422"/>
      <c r="UQG138" s="422"/>
      <c r="UQH138" s="422"/>
      <c r="UQI138" s="422"/>
      <c r="UQJ138" s="422"/>
      <c r="UQK138" s="422"/>
      <c r="UQL138" s="422"/>
      <c r="UQM138" s="422"/>
      <c r="UQN138" s="422"/>
      <c r="UQO138" s="422"/>
      <c r="UQP138" s="422"/>
      <c r="UQQ138" s="422"/>
      <c r="UQR138" s="422"/>
      <c r="UQS138" s="422"/>
      <c r="UQT138" s="422"/>
      <c r="UQU138" s="422"/>
      <c r="UQV138" s="422"/>
      <c r="UQW138" s="422"/>
      <c r="UQX138" s="422"/>
      <c r="UQY138" s="422"/>
      <c r="UQZ138" s="422"/>
      <c r="URA138" s="422"/>
      <c r="URB138" s="422"/>
      <c r="URC138" s="422"/>
      <c r="URD138" s="422"/>
      <c r="URE138" s="422"/>
      <c r="URF138" s="422"/>
      <c r="URG138" s="422"/>
      <c r="URH138" s="422"/>
      <c r="URI138" s="422"/>
      <c r="URJ138" s="422"/>
      <c r="URK138" s="422"/>
      <c r="URL138" s="422"/>
      <c r="URM138" s="422"/>
      <c r="URN138" s="422"/>
      <c r="URO138" s="422"/>
      <c r="URP138" s="422"/>
      <c r="URQ138" s="422"/>
      <c r="URR138" s="422"/>
      <c r="URS138" s="422"/>
      <c r="URT138" s="422"/>
      <c r="URU138" s="422"/>
      <c r="URV138" s="422"/>
      <c r="URW138" s="422"/>
      <c r="URX138" s="422"/>
      <c r="URY138" s="422"/>
      <c r="URZ138" s="422"/>
      <c r="USA138" s="422"/>
      <c r="USB138" s="422"/>
      <c r="USC138" s="422"/>
      <c r="USD138" s="422"/>
      <c r="USE138" s="422"/>
      <c r="USF138" s="422"/>
      <c r="USG138" s="422"/>
      <c r="USH138" s="422"/>
      <c r="USI138" s="422"/>
      <c r="USJ138" s="422"/>
      <c r="USK138" s="422"/>
      <c r="USL138" s="422"/>
      <c r="USM138" s="422"/>
      <c r="USN138" s="422"/>
      <c r="USO138" s="422"/>
      <c r="USP138" s="422"/>
      <c r="USQ138" s="422"/>
      <c r="USR138" s="422"/>
      <c r="USS138" s="422"/>
      <c r="UST138" s="422"/>
      <c r="USU138" s="422"/>
      <c r="USV138" s="422"/>
      <c r="USW138" s="422"/>
      <c r="USX138" s="422"/>
      <c r="USY138" s="422"/>
      <c r="USZ138" s="422"/>
      <c r="UTA138" s="422"/>
      <c r="UTB138" s="422"/>
      <c r="UTC138" s="422"/>
      <c r="UTD138" s="422"/>
      <c r="UTE138" s="422"/>
      <c r="UTF138" s="422"/>
      <c r="UTG138" s="422"/>
      <c r="UTH138" s="422"/>
      <c r="UTI138" s="422"/>
      <c r="UTJ138" s="422"/>
      <c r="UTK138" s="422"/>
      <c r="UTL138" s="422"/>
      <c r="UTM138" s="422"/>
      <c r="UTN138" s="422"/>
      <c r="UTO138" s="422"/>
      <c r="UTP138" s="422"/>
      <c r="UTQ138" s="422"/>
      <c r="UTR138" s="422"/>
      <c r="UTS138" s="422"/>
      <c r="UTT138" s="422"/>
      <c r="UTU138" s="422"/>
      <c r="UTV138" s="422"/>
      <c r="UTW138" s="422"/>
      <c r="UTX138" s="422"/>
      <c r="UTY138" s="422"/>
      <c r="UTZ138" s="422"/>
      <c r="UUA138" s="422"/>
      <c r="UUB138" s="422"/>
      <c r="UUC138" s="422"/>
      <c r="UUD138" s="422"/>
      <c r="UUE138" s="422"/>
      <c r="UUF138" s="422"/>
      <c r="UUG138" s="422"/>
      <c r="UUH138" s="422"/>
      <c r="UUI138" s="422"/>
      <c r="UUJ138" s="422"/>
      <c r="UUK138" s="422"/>
      <c r="UUL138" s="422"/>
      <c r="UUM138" s="422"/>
      <c r="UUN138" s="422"/>
      <c r="UUO138" s="422"/>
      <c r="UUP138" s="422"/>
      <c r="UUQ138" s="422"/>
      <c r="UUR138" s="422"/>
      <c r="UUS138" s="422"/>
      <c r="UUT138" s="422"/>
      <c r="UUU138" s="422"/>
      <c r="UUV138" s="422"/>
      <c r="UUW138" s="422"/>
      <c r="UUX138" s="422"/>
      <c r="UUY138" s="422"/>
      <c r="UUZ138" s="422"/>
      <c r="UVA138" s="422"/>
      <c r="UVB138" s="422"/>
      <c r="UVC138" s="422"/>
      <c r="UVD138" s="422"/>
      <c r="UVE138" s="422"/>
      <c r="UVF138" s="422"/>
      <c r="UVG138" s="422"/>
      <c r="UVH138" s="422"/>
      <c r="UVI138" s="422"/>
      <c r="UVJ138" s="422"/>
      <c r="UVK138" s="422"/>
      <c r="UVL138" s="422"/>
      <c r="UVM138" s="422"/>
      <c r="UVN138" s="422"/>
      <c r="UVO138" s="422"/>
      <c r="UVP138" s="422"/>
      <c r="UVQ138" s="422"/>
      <c r="UVR138" s="422"/>
      <c r="UVS138" s="422"/>
      <c r="UVT138" s="422"/>
      <c r="UVU138" s="422"/>
      <c r="UVV138" s="422"/>
      <c r="UVW138" s="422"/>
      <c r="UVX138" s="422"/>
      <c r="UVY138" s="422"/>
      <c r="UVZ138" s="422"/>
      <c r="UWA138" s="422"/>
      <c r="UWB138" s="422"/>
      <c r="UWC138" s="422"/>
      <c r="UWD138" s="422"/>
      <c r="UWE138" s="422"/>
      <c r="UWF138" s="422"/>
      <c r="UWG138" s="422"/>
      <c r="UWH138" s="422"/>
      <c r="UWI138" s="422"/>
      <c r="UWJ138" s="422"/>
      <c r="UWK138" s="422"/>
      <c r="UWL138" s="422"/>
      <c r="UWM138" s="422"/>
      <c r="UWN138" s="422"/>
      <c r="UWO138" s="422"/>
      <c r="UWP138" s="422"/>
      <c r="UWQ138" s="422"/>
      <c r="UWR138" s="422"/>
      <c r="UWS138" s="422"/>
      <c r="UWT138" s="422"/>
      <c r="UWU138" s="422"/>
      <c r="UWV138" s="422"/>
      <c r="UWW138" s="422"/>
      <c r="UWX138" s="422"/>
      <c r="UWY138" s="422"/>
      <c r="UWZ138" s="422"/>
      <c r="UXA138" s="422"/>
      <c r="UXB138" s="422"/>
      <c r="UXC138" s="422"/>
      <c r="UXD138" s="422"/>
      <c r="UXE138" s="422"/>
      <c r="UXF138" s="422"/>
      <c r="UXG138" s="422"/>
      <c r="UXH138" s="422"/>
      <c r="UXI138" s="422"/>
      <c r="UXJ138" s="422"/>
      <c r="UXK138" s="422"/>
      <c r="UXL138" s="422"/>
      <c r="UXM138" s="422"/>
      <c r="UXN138" s="422"/>
      <c r="UXO138" s="422"/>
      <c r="UXP138" s="422"/>
      <c r="UXQ138" s="422"/>
      <c r="UXR138" s="422"/>
      <c r="UXS138" s="422"/>
      <c r="UXT138" s="422"/>
      <c r="UXU138" s="422"/>
      <c r="UXV138" s="422"/>
      <c r="UXW138" s="422"/>
      <c r="UXX138" s="422"/>
      <c r="UXY138" s="422"/>
      <c r="UXZ138" s="422"/>
      <c r="UYA138" s="422"/>
      <c r="UYB138" s="422"/>
      <c r="UYC138" s="422"/>
      <c r="UYD138" s="422"/>
      <c r="UYE138" s="422"/>
      <c r="UYF138" s="422"/>
      <c r="UYG138" s="422"/>
      <c r="UYH138" s="422"/>
      <c r="UYI138" s="422"/>
      <c r="UYJ138" s="422"/>
      <c r="UYK138" s="422"/>
      <c r="UYL138" s="422"/>
      <c r="UYM138" s="422"/>
      <c r="UYN138" s="422"/>
      <c r="UYO138" s="422"/>
      <c r="UYP138" s="422"/>
      <c r="UYQ138" s="422"/>
      <c r="UYR138" s="422"/>
      <c r="UYS138" s="422"/>
      <c r="UYT138" s="422"/>
      <c r="UYU138" s="422"/>
      <c r="UYV138" s="422"/>
      <c r="UYW138" s="422"/>
      <c r="UYX138" s="422"/>
      <c r="UYY138" s="422"/>
      <c r="UYZ138" s="422"/>
      <c r="UZA138" s="422"/>
      <c r="UZB138" s="422"/>
      <c r="UZC138" s="422"/>
      <c r="UZD138" s="422"/>
      <c r="UZE138" s="422"/>
      <c r="UZF138" s="422"/>
      <c r="UZG138" s="422"/>
      <c r="UZH138" s="422"/>
      <c r="UZI138" s="422"/>
      <c r="UZJ138" s="422"/>
      <c r="UZK138" s="422"/>
      <c r="UZL138" s="422"/>
      <c r="UZM138" s="422"/>
      <c r="UZN138" s="422"/>
      <c r="UZO138" s="422"/>
      <c r="UZP138" s="422"/>
      <c r="UZQ138" s="422"/>
      <c r="UZR138" s="422"/>
      <c r="UZS138" s="422"/>
      <c r="UZT138" s="422"/>
      <c r="UZU138" s="422"/>
      <c r="UZV138" s="422"/>
      <c r="UZW138" s="422"/>
      <c r="UZX138" s="422"/>
      <c r="UZY138" s="422"/>
      <c r="UZZ138" s="422"/>
      <c r="VAA138" s="422"/>
      <c r="VAB138" s="422"/>
      <c r="VAC138" s="422"/>
      <c r="VAD138" s="422"/>
      <c r="VAE138" s="422"/>
      <c r="VAF138" s="422"/>
      <c r="VAG138" s="422"/>
      <c r="VAH138" s="422"/>
      <c r="VAI138" s="422"/>
      <c r="VAJ138" s="422"/>
      <c r="VAK138" s="422"/>
      <c r="VAL138" s="422"/>
      <c r="VAM138" s="422"/>
      <c r="VAN138" s="422"/>
      <c r="VAO138" s="422"/>
      <c r="VAP138" s="422"/>
      <c r="VAQ138" s="422"/>
      <c r="VAR138" s="422"/>
      <c r="VAS138" s="422"/>
      <c r="VAT138" s="422"/>
      <c r="VAU138" s="422"/>
      <c r="VAV138" s="422"/>
      <c r="VAW138" s="422"/>
      <c r="VAX138" s="422"/>
      <c r="VAY138" s="422"/>
      <c r="VAZ138" s="422"/>
      <c r="VBA138" s="422"/>
      <c r="VBB138" s="422"/>
      <c r="VBC138" s="422"/>
      <c r="VBD138" s="422"/>
      <c r="VBE138" s="422"/>
      <c r="VBF138" s="422"/>
      <c r="VBG138" s="422"/>
      <c r="VBH138" s="422"/>
      <c r="VBI138" s="422"/>
      <c r="VBJ138" s="422"/>
      <c r="VBK138" s="422"/>
      <c r="VBL138" s="422"/>
      <c r="VBM138" s="422"/>
      <c r="VBN138" s="422"/>
      <c r="VBO138" s="422"/>
      <c r="VBP138" s="422"/>
      <c r="VBQ138" s="422"/>
      <c r="VBR138" s="422"/>
      <c r="VBS138" s="422"/>
      <c r="VBT138" s="422"/>
      <c r="VBU138" s="422"/>
      <c r="VBV138" s="422"/>
      <c r="VBW138" s="422"/>
      <c r="VBX138" s="422"/>
      <c r="VBY138" s="422"/>
      <c r="VBZ138" s="422"/>
      <c r="VCA138" s="422"/>
      <c r="VCB138" s="422"/>
      <c r="VCC138" s="422"/>
      <c r="VCD138" s="422"/>
      <c r="VCE138" s="422"/>
      <c r="VCF138" s="422"/>
      <c r="VCG138" s="422"/>
      <c r="VCH138" s="422"/>
      <c r="VCI138" s="422"/>
      <c r="VCJ138" s="422"/>
      <c r="VCK138" s="422"/>
      <c r="VCL138" s="422"/>
      <c r="VCM138" s="422"/>
      <c r="VCN138" s="422"/>
      <c r="VCO138" s="422"/>
      <c r="VCP138" s="422"/>
      <c r="VCQ138" s="422"/>
      <c r="VCR138" s="422"/>
      <c r="VCS138" s="422"/>
      <c r="VCT138" s="422"/>
      <c r="VCU138" s="422"/>
      <c r="VCV138" s="422"/>
      <c r="VCW138" s="422"/>
      <c r="VCX138" s="422"/>
      <c r="VCY138" s="422"/>
      <c r="VCZ138" s="422"/>
      <c r="VDA138" s="422"/>
      <c r="VDB138" s="422"/>
      <c r="VDC138" s="422"/>
      <c r="VDD138" s="422"/>
      <c r="VDE138" s="422"/>
      <c r="VDF138" s="422"/>
      <c r="VDG138" s="422"/>
      <c r="VDH138" s="422"/>
      <c r="VDI138" s="422"/>
      <c r="VDJ138" s="422"/>
      <c r="VDK138" s="422"/>
      <c r="VDL138" s="422"/>
      <c r="VDM138" s="422"/>
      <c r="VDN138" s="422"/>
      <c r="VDO138" s="422"/>
      <c r="VDP138" s="422"/>
      <c r="VDQ138" s="422"/>
      <c r="VDR138" s="422"/>
      <c r="VDS138" s="422"/>
      <c r="VDT138" s="422"/>
      <c r="VDU138" s="422"/>
      <c r="VDV138" s="422"/>
      <c r="VDW138" s="422"/>
      <c r="VDX138" s="422"/>
      <c r="VDY138" s="422"/>
      <c r="VDZ138" s="422"/>
      <c r="VEA138" s="422"/>
      <c r="VEB138" s="422"/>
      <c r="VEC138" s="422"/>
      <c r="VED138" s="422"/>
      <c r="VEE138" s="422"/>
      <c r="VEF138" s="422"/>
      <c r="VEG138" s="422"/>
      <c r="VEH138" s="422"/>
      <c r="VEI138" s="422"/>
      <c r="VEJ138" s="422"/>
      <c r="VEK138" s="422"/>
      <c r="VEL138" s="422"/>
      <c r="VEM138" s="422"/>
      <c r="VEN138" s="422"/>
      <c r="VEO138" s="422"/>
      <c r="VEP138" s="422"/>
      <c r="VEQ138" s="422"/>
      <c r="VER138" s="422"/>
      <c r="VES138" s="422"/>
      <c r="VET138" s="422"/>
      <c r="VEU138" s="422"/>
      <c r="VEV138" s="422"/>
      <c r="VEW138" s="422"/>
      <c r="VEX138" s="422"/>
      <c r="VEY138" s="422"/>
      <c r="VEZ138" s="422"/>
      <c r="VFA138" s="422"/>
      <c r="VFB138" s="422"/>
      <c r="VFC138" s="422"/>
      <c r="VFD138" s="422"/>
      <c r="VFE138" s="422"/>
      <c r="VFF138" s="422"/>
      <c r="VFG138" s="422"/>
      <c r="VFH138" s="422"/>
      <c r="VFI138" s="422"/>
      <c r="VFJ138" s="422"/>
      <c r="VFK138" s="422"/>
      <c r="VFL138" s="422"/>
      <c r="VFM138" s="422"/>
      <c r="VFN138" s="422"/>
      <c r="VFO138" s="422"/>
      <c r="VFP138" s="422"/>
      <c r="VFQ138" s="422"/>
      <c r="VFR138" s="422"/>
      <c r="VFS138" s="422"/>
      <c r="VFT138" s="422"/>
      <c r="VFU138" s="422"/>
      <c r="VFV138" s="422"/>
      <c r="VFW138" s="422"/>
      <c r="VFX138" s="422"/>
      <c r="VFY138" s="422"/>
      <c r="VFZ138" s="422"/>
      <c r="VGA138" s="422"/>
      <c r="VGB138" s="422"/>
      <c r="VGC138" s="422"/>
      <c r="VGD138" s="422"/>
      <c r="VGE138" s="422"/>
      <c r="VGF138" s="422"/>
      <c r="VGG138" s="422"/>
      <c r="VGH138" s="422"/>
      <c r="VGI138" s="422"/>
      <c r="VGJ138" s="422"/>
      <c r="VGK138" s="422"/>
      <c r="VGL138" s="422"/>
      <c r="VGM138" s="422"/>
      <c r="VGN138" s="422"/>
      <c r="VGO138" s="422"/>
      <c r="VGP138" s="422"/>
      <c r="VGQ138" s="422"/>
      <c r="VGR138" s="422"/>
      <c r="VGS138" s="422"/>
      <c r="VGT138" s="422"/>
      <c r="VGU138" s="422"/>
      <c r="VGV138" s="422"/>
      <c r="VGW138" s="422"/>
      <c r="VGX138" s="422"/>
      <c r="VGY138" s="422"/>
      <c r="VGZ138" s="422"/>
      <c r="VHA138" s="422"/>
      <c r="VHB138" s="422"/>
      <c r="VHC138" s="422"/>
      <c r="VHD138" s="422"/>
      <c r="VHE138" s="422"/>
      <c r="VHF138" s="422"/>
      <c r="VHG138" s="422"/>
      <c r="VHH138" s="422"/>
      <c r="VHI138" s="422"/>
      <c r="VHJ138" s="422"/>
      <c r="VHK138" s="422"/>
      <c r="VHL138" s="422"/>
      <c r="VHM138" s="422"/>
      <c r="VHN138" s="422"/>
      <c r="VHO138" s="422"/>
      <c r="VHP138" s="422"/>
      <c r="VHQ138" s="422"/>
      <c r="VHR138" s="422"/>
      <c r="VHS138" s="422"/>
      <c r="VHT138" s="422"/>
      <c r="VHU138" s="422"/>
      <c r="VHV138" s="422"/>
      <c r="VHW138" s="422"/>
      <c r="VHX138" s="422"/>
      <c r="VHY138" s="422"/>
      <c r="VHZ138" s="422"/>
      <c r="VIA138" s="422"/>
      <c r="VIB138" s="422"/>
      <c r="VIC138" s="422"/>
      <c r="VID138" s="422"/>
      <c r="VIE138" s="422"/>
      <c r="VIF138" s="422"/>
      <c r="VIG138" s="422"/>
      <c r="VIH138" s="422"/>
      <c r="VII138" s="422"/>
      <c r="VIJ138" s="422"/>
      <c r="VIK138" s="422"/>
      <c r="VIL138" s="422"/>
      <c r="VIM138" s="422"/>
      <c r="VIN138" s="422"/>
      <c r="VIO138" s="422"/>
      <c r="VIP138" s="422"/>
      <c r="VIQ138" s="422"/>
      <c r="VIR138" s="422"/>
      <c r="VIS138" s="422"/>
      <c r="VIT138" s="422"/>
      <c r="VIU138" s="422"/>
      <c r="VIV138" s="422"/>
      <c r="VIW138" s="422"/>
      <c r="VIX138" s="422"/>
      <c r="VIY138" s="422"/>
      <c r="VIZ138" s="422"/>
      <c r="VJA138" s="422"/>
      <c r="VJB138" s="422"/>
      <c r="VJC138" s="422"/>
      <c r="VJD138" s="422"/>
      <c r="VJE138" s="422"/>
      <c r="VJF138" s="422"/>
      <c r="VJG138" s="422"/>
      <c r="VJH138" s="422"/>
      <c r="VJI138" s="422"/>
      <c r="VJJ138" s="422"/>
      <c r="VJK138" s="422"/>
      <c r="VJL138" s="422"/>
      <c r="VJM138" s="422"/>
      <c r="VJN138" s="422"/>
      <c r="VJO138" s="422"/>
      <c r="VJP138" s="422"/>
      <c r="VJQ138" s="422"/>
      <c r="VJR138" s="422"/>
      <c r="VJS138" s="422"/>
      <c r="VJT138" s="422"/>
      <c r="VJU138" s="422"/>
      <c r="VJV138" s="422"/>
      <c r="VJW138" s="422"/>
      <c r="VJX138" s="422"/>
      <c r="VJY138" s="422"/>
      <c r="VJZ138" s="422"/>
      <c r="VKA138" s="422"/>
      <c r="VKB138" s="422"/>
      <c r="VKC138" s="422"/>
      <c r="VKD138" s="422"/>
      <c r="VKE138" s="422"/>
      <c r="VKF138" s="422"/>
      <c r="VKG138" s="422"/>
      <c r="VKH138" s="422"/>
      <c r="VKI138" s="422"/>
      <c r="VKJ138" s="422"/>
      <c r="VKK138" s="422"/>
      <c r="VKL138" s="422"/>
      <c r="VKM138" s="422"/>
      <c r="VKN138" s="422"/>
      <c r="VKO138" s="422"/>
      <c r="VKP138" s="422"/>
      <c r="VKQ138" s="422"/>
      <c r="VKR138" s="422"/>
      <c r="VKS138" s="422"/>
      <c r="VKT138" s="422"/>
      <c r="VKU138" s="422"/>
      <c r="VKV138" s="422"/>
      <c r="VKW138" s="422"/>
      <c r="VKX138" s="422"/>
      <c r="VKY138" s="422"/>
      <c r="VKZ138" s="422"/>
      <c r="VLA138" s="422"/>
      <c r="VLB138" s="422"/>
      <c r="VLC138" s="422"/>
      <c r="VLD138" s="422"/>
      <c r="VLE138" s="422"/>
      <c r="VLF138" s="422"/>
      <c r="VLG138" s="422"/>
      <c r="VLH138" s="422"/>
      <c r="VLI138" s="422"/>
      <c r="VLJ138" s="422"/>
      <c r="VLK138" s="422"/>
      <c r="VLL138" s="422"/>
      <c r="VLM138" s="422"/>
      <c r="VLN138" s="422"/>
      <c r="VLO138" s="422"/>
      <c r="VLP138" s="422"/>
      <c r="VLQ138" s="422"/>
      <c r="VLR138" s="422"/>
      <c r="VLS138" s="422"/>
      <c r="VLT138" s="422"/>
      <c r="VLU138" s="422"/>
      <c r="VLV138" s="422"/>
      <c r="VLW138" s="422"/>
      <c r="VLX138" s="422"/>
      <c r="VLY138" s="422"/>
      <c r="VLZ138" s="422"/>
      <c r="VMA138" s="422"/>
      <c r="VMB138" s="422"/>
      <c r="VMC138" s="422"/>
      <c r="VMD138" s="422"/>
      <c r="VME138" s="422"/>
      <c r="VMF138" s="422"/>
      <c r="VMG138" s="422"/>
      <c r="VMH138" s="422"/>
      <c r="VMI138" s="422"/>
      <c r="VMJ138" s="422"/>
      <c r="VMK138" s="422"/>
      <c r="VML138" s="422"/>
      <c r="VMM138" s="422"/>
      <c r="VMN138" s="422"/>
      <c r="VMO138" s="422"/>
      <c r="VMP138" s="422"/>
      <c r="VMQ138" s="422"/>
      <c r="VMR138" s="422"/>
      <c r="VMS138" s="422"/>
      <c r="VMT138" s="422"/>
      <c r="VMU138" s="422"/>
      <c r="VMV138" s="422"/>
      <c r="VMW138" s="422"/>
      <c r="VMX138" s="422"/>
      <c r="VMY138" s="422"/>
      <c r="VMZ138" s="422"/>
      <c r="VNA138" s="422"/>
      <c r="VNB138" s="422"/>
      <c r="VNC138" s="422"/>
      <c r="VND138" s="422"/>
      <c r="VNE138" s="422"/>
      <c r="VNF138" s="422"/>
      <c r="VNG138" s="422"/>
      <c r="VNH138" s="422"/>
      <c r="VNI138" s="422"/>
      <c r="VNJ138" s="422"/>
      <c r="VNK138" s="422"/>
      <c r="VNL138" s="422"/>
      <c r="VNM138" s="422"/>
      <c r="VNN138" s="422"/>
      <c r="VNO138" s="422"/>
      <c r="VNP138" s="422"/>
      <c r="VNQ138" s="422"/>
      <c r="VNR138" s="422"/>
      <c r="VNS138" s="422"/>
      <c r="VNT138" s="422"/>
      <c r="VNU138" s="422"/>
      <c r="VNV138" s="422"/>
      <c r="VNW138" s="422"/>
      <c r="VNX138" s="422"/>
      <c r="VNY138" s="422"/>
      <c r="VNZ138" s="422"/>
      <c r="VOA138" s="422"/>
      <c r="VOB138" s="422"/>
      <c r="VOC138" s="422"/>
      <c r="VOD138" s="422"/>
      <c r="VOE138" s="422"/>
      <c r="VOF138" s="422"/>
      <c r="VOG138" s="422"/>
      <c r="VOH138" s="422"/>
      <c r="VOI138" s="422"/>
      <c r="VOJ138" s="422"/>
      <c r="VOK138" s="422"/>
      <c r="VOL138" s="422"/>
      <c r="VOM138" s="422"/>
      <c r="VON138" s="422"/>
      <c r="VOO138" s="422"/>
      <c r="VOP138" s="422"/>
      <c r="VOQ138" s="422"/>
      <c r="VOR138" s="422"/>
      <c r="VOS138" s="422"/>
      <c r="VOT138" s="422"/>
      <c r="VOU138" s="422"/>
      <c r="VOV138" s="422"/>
      <c r="VOW138" s="422"/>
      <c r="VOX138" s="422"/>
      <c r="VOY138" s="422"/>
      <c r="VOZ138" s="422"/>
      <c r="VPA138" s="422"/>
      <c r="VPB138" s="422"/>
      <c r="VPC138" s="422"/>
      <c r="VPD138" s="422"/>
      <c r="VPE138" s="422"/>
      <c r="VPF138" s="422"/>
      <c r="VPG138" s="422"/>
      <c r="VPH138" s="422"/>
      <c r="VPI138" s="422"/>
      <c r="VPJ138" s="422"/>
      <c r="VPK138" s="422"/>
      <c r="VPL138" s="422"/>
      <c r="VPM138" s="422"/>
      <c r="VPN138" s="422"/>
      <c r="VPO138" s="422"/>
      <c r="VPP138" s="422"/>
      <c r="VPQ138" s="422"/>
      <c r="VPR138" s="422"/>
      <c r="VPS138" s="422"/>
      <c r="VPT138" s="422"/>
      <c r="VPU138" s="422"/>
      <c r="VPV138" s="422"/>
      <c r="VPW138" s="422"/>
      <c r="VPX138" s="422"/>
      <c r="VPY138" s="422"/>
      <c r="VPZ138" s="422"/>
      <c r="VQA138" s="422"/>
      <c r="VQB138" s="422"/>
      <c r="VQC138" s="422"/>
      <c r="VQD138" s="422"/>
      <c r="VQE138" s="422"/>
      <c r="VQF138" s="422"/>
      <c r="VQG138" s="422"/>
      <c r="VQH138" s="422"/>
      <c r="VQI138" s="422"/>
      <c r="VQJ138" s="422"/>
      <c r="VQK138" s="422"/>
      <c r="VQL138" s="422"/>
      <c r="VQM138" s="422"/>
      <c r="VQN138" s="422"/>
      <c r="VQO138" s="422"/>
      <c r="VQP138" s="422"/>
      <c r="VQQ138" s="422"/>
      <c r="VQR138" s="422"/>
      <c r="VQS138" s="422"/>
      <c r="VQT138" s="422"/>
      <c r="VQU138" s="422"/>
      <c r="VQV138" s="422"/>
      <c r="VQW138" s="422"/>
      <c r="VQX138" s="422"/>
      <c r="VQY138" s="422"/>
      <c r="VQZ138" s="422"/>
      <c r="VRA138" s="422"/>
      <c r="VRB138" s="422"/>
      <c r="VRC138" s="422"/>
      <c r="VRD138" s="422"/>
      <c r="VRE138" s="422"/>
      <c r="VRF138" s="422"/>
      <c r="VRG138" s="422"/>
      <c r="VRH138" s="422"/>
      <c r="VRI138" s="422"/>
      <c r="VRJ138" s="422"/>
      <c r="VRK138" s="422"/>
      <c r="VRL138" s="422"/>
      <c r="VRM138" s="422"/>
      <c r="VRN138" s="422"/>
      <c r="VRO138" s="422"/>
      <c r="VRP138" s="422"/>
      <c r="VRQ138" s="422"/>
      <c r="VRR138" s="422"/>
      <c r="VRS138" s="422"/>
      <c r="VRT138" s="422"/>
      <c r="VRU138" s="422"/>
      <c r="VRV138" s="422"/>
      <c r="VRW138" s="422"/>
      <c r="VRX138" s="422"/>
      <c r="VRY138" s="422"/>
      <c r="VRZ138" s="422"/>
      <c r="VSA138" s="422"/>
      <c r="VSB138" s="422"/>
      <c r="VSC138" s="422"/>
      <c r="VSD138" s="422"/>
      <c r="VSE138" s="422"/>
      <c r="VSF138" s="422"/>
      <c r="VSG138" s="422"/>
      <c r="VSH138" s="422"/>
      <c r="VSI138" s="422"/>
      <c r="VSJ138" s="422"/>
      <c r="VSK138" s="422"/>
      <c r="VSL138" s="422"/>
      <c r="VSM138" s="422"/>
      <c r="VSN138" s="422"/>
      <c r="VSO138" s="422"/>
      <c r="VSP138" s="422"/>
      <c r="VSQ138" s="422"/>
      <c r="VSR138" s="422"/>
      <c r="VSS138" s="422"/>
      <c r="VST138" s="422"/>
      <c r="VSU138" s="422"/>
      <c r="VSV138" s="422"/>
      <c r="VSW138" s="422"/>
      <c r="VSX138" s="422"/>
      <c r="VSY138" s="422"/>
      <c r="VSZ138" s="422"/>
      <c r="VTA138" s="422"/>
      <c r="VTB138" s="422"/>
      <c r="VTC138" s="422"/>
      <c r="VTD138" s="422"/>
      <c r="VTE138" s="422"/>
      <c r="VTF138" s="422"/>
      <c r="VTG138" s="422"/>
      <c r="VTH138" s="422"/>
      <c r="VTI138" s="422"/>
      <c r="VTJ138" s="422"/>
      <c r="VTK138" s="422"/>
      <c r="VTL138" s="422"/>
      <c r="VTM138" s="422"/>
      <c r="VTN138" s="422"/>
      <c r="VTO138" s="422"/>
      <c r="VTP138" s="422"/>
      <c r="VTQ138" s="422"/>
      <c r="VTR138" s="422"/>
      <c r="VTS138" s="422"/>
      <c r="VTT138" s="422"/>
      <c r="VTU138" s="422"/>
      <c r="VTV138" s="422"/>
      <c r="VTW138" s="422"/>
      <c r="VTX138" s="422"/>
      <c r="VTY138" s="422"/>
      <c r="VTZ138" s="422"/>
      <c r="VUA138" s="422"/>
      <c r="VUB138" s="422"/>
      <c r="VUC138" s="422"/>
      <c r="VUD138" s="422"/>
      <c r="VUE138" s="422"/>
      <c r="VUF138" s="422"/>
      <c r="VUG138" s="422"/>
      <c r="VUH138" s="422"/>
      <c r="VUI138" s="422"/>
      <c r="VUJ138" s="422"/>
      <c r="VUK138" s="422"/>
      <c r="VUL138" s="422"/>
      <c r="VUM138" s="422"/>
      <c r="VUN138" s="422"/>
      <c r="VUO138" s="422"/>
      <c r="VUP138" s="422"/>
      <c r="VUQ138" s="422"/>
      <c r="VUR138" s="422"/>
      <c r="VUS138" s="422"/>
      <c r="VUT138" s="422"/>
      <c r="VUU138" s="422"/>
      <c r="VUV138" s="422"/>
      <c r="VUW138" s="422"/>
      <c r="VUX138" s="422"/>
      <c r="VUY138" s="422"/>
      <c r="VUZ138" s="422"/>
      <c r="VVA138" s="422"/>
      <c r="VVB138" s="422"/>
      <c r="VVC138" s="422"/>
      <c r="VVD138" s="422"/>
      <c r="VVE138" s="422"/>
      <c r="VVF138" s="422"/>
      <c r="VVG138" s="422"/>
      <c r="VVH138" s="422"/>
      <c r="VVI138" s="422"/>
      <c r="VVJ138" s="422"/>
      <c r="VVK138" s="422"/>
      <c r="VVL138" s="422"/>
      <c r="VVM138" s="422"/>
      <c r="VVN138" s="422"/>
      <c r="VVO138" s="422"/>
      <c r="VVP138" s="422"/>
      <c r="VVQ138" s="422"/>
      <c r="VVR138" s="422"/>
      <c r="VVS138" s="422"/>
      <c r="VVT138" s="422"/>
      <c r="VVU138" s="422"/>
      <c r="VVV138" s="422"/>
      <c r="VVW138" s="422"/>
      <c r="VVX138" s="422"/>
      <c r="VVY138" s="422"/>
      <c r="VVZ138" s="422"/>
      <c r="VWA138" s="422"/>
      <c r="VWB138" s="422"/>
      <c r="VWC138" s="422"/>
      <c r="VWD138" s="422"/>
      <c r="VWE138" s="422"/>
      <c r="VWF138" s="422"/>
      <c r="VWG138" s="422"/>
      <c r="VWH138" s="422"/>
      <c r="VWI138" s="422"/>
      <c r="VWJ138" s="422"/>
      <c r="VWK138" s="422"/>
      <c r="VWL138" s="422"/>
      <c r="VWM138" s="422"/>
      <c r="VWN138" s="422"/>
      <c r="VWO138" s="422"/>
      <c r="VWP138" s="422"/>
      <c r="VWQ138" s="422"/>
      <c r="VWR138" s="422"/>
      <c r="VWS138" s="422"/>
      <c r="VWT138" s="422"/>
      <c r="VWU138" s="422"/>
      <c r="VWV138" s="422"/>
      <c r="VWW138" s="422"/>
      <c r="VWX138" s="422"/>
      <c r="VWY138" s="422"/>
      <c r="VWZ138" s="422"/>
      <c r="VXA138" s="422"/>
      <c r="VXB138" s="422"/>
      <c r="VXC138" s="422"/>
      <c r="VXD138" s="422"/>
      <c r="VXE138" s="422"/>
      <c r="VXF138" s="422"/>
      <c r="VXG138" s="422"/>
      <c r="VXH138" s="422"/>
      <c r="VXI138" s="422"/>
      <c r="VXJ138" s="422"/>
      <c r="VXK138" s="422"/>
      <c r="VXL138" s="422"/>
      <c r="VXM138" s="422"/>
      <c r="VXN138" s="422"/>
      <c r="VXO138" s="422"/>
      <c r="VXP138" s="422"/>
      <c r="VXQ138" s="422"/>
      <c r="VXR138" s="422"/>
      <c r="VXS138" s="422"/>
      <c r="VXT138" s="422"/>
      <c r="VXU138" s="422"/>
      <c r="VXV138" s="422"/>
      <c r="VXW138" s="422"/>
      <c r="VXX138" s="422"/>
      <c r="VXY138" s="422"/>
      <c r="VXZ138" s="422"/>
      <c r="VYA138" s="422"/>
      <c r="VYB138" s="422"/>
      <c r="VYC138" s="422"/>
      <c r="VYD138" s="422"/>
      <c r="VYE138" s="422"/>
      <c r="VYF138" s="422"/>
      <c r="VYG138" s="422"/>
      <c r="VYH138" s="422"/>
      <c r="VYI138" s="422"/>
      <c r="VYJ138" s="422"/>
      <c r="VYK138" s="422"/>
      <c r="VYL138" s="422"/>
      <c r="VYM138" s="422"/>
      <c r="VYN138" s="422"/>
      <c r="VYO138" s="422"/>
      <c r="VYP138" s="422"/>
      <c r="VYQ138" s="422"/>
      <c r="VYR138" s="422"/>
      <c r="VYS138" s="422"/>
      <c r="VYT138" s="422"/>
      <c r="VYU138" s="422"/>
      <c r="VYV138" s="422"/>
      <c r="VYW138" s="422"/>
      <c r="VYX138" s="422"/>
      <c r="VYY138" s="422"/>
      <c r="VYZ138" s="422"/>
      <c r="VZA138" s="422"/>
      <c r="VZB138" s="422"/>
      <c r="VZC138" s="422"/>
      <c r="VZD138" s="422"/>
      <c r="VZE138" s="422"/>
      <c r="VZF138" s="422"/>
      <c r="VZG138" s="422"/>
      <c r="VZH138" s="422"/>
      <c r="VZI138" s="422"/>
      <c r="VZJ138" s="422"/>
      <c r="VZK138" s="422"/>
      <c r="VZL138" s="422"/>
      <c r="VZM138" s="422"/>
      <c r="VZN138" s="422"/>
      <c r="VZO138" s="422"/>
      <c r="VZP138" s="422"/>
      <c r="VZQ138" s="422"/>
      <c r="VZR138" s="422"/>
      <c r="VZS138" s="422"/>
      <c r="VZT138" s="422"/>
      <c r="VZU138" s="422"/>
      <c r="VZV138" s="422"/>
      <c r="VZW138" s="422"/>
      <c r="VZX138" s="422"/>
      <c r="VZY138" s="422"/>
      <c r="VZZ138" s="422"/>
      <c r="WAA138" s="422"/>
      <c r="WAB138" s="422"/>
      <c r="WAC138" s="422"/>
      <c r="WAD138" s="422"/>
      <c r="WAE138" s="422"/>
      <c r="WAF138" s="422"/>
      <c r="WAG138" s="422"/>
      <c r="WAH138" s="422"/>
      <c r="WAI138" s="422"/>
      <c r="WAJ138" s="422"/>
      <c r="WAK138" s="422"/>
      <c r="WAL138" s="422"/>
      <c r="WAM138" s="422"/>
      <c r="WAN138" s="422"/>
      <c r="WAO138" s="422"/>
      <c r="WAP138" s="422"/>
      <c r="WAQ138" s="422"/>
      <c r="WAR138" s="422"/>
      <c r="WAS138" s="422"/>
      <c r="WAT138" s="422"/>
      <c r="WAU138" s="422"/>
      <c r="WAV138" s="422"/>
      <c r="WAW138" s="422"/>
      <c r="WAX138" s="422"/>
      <c r="WAY138" s="422"/>
      <c r="WAZ138" s="422"/>
      <c r="WBA138" s="422"/>
      <c r="WBB138" s="422"/>
      <c r="WBC138" s="422"/>
      <c r="WBD138" s="422"/>
      <c r="WBE138" s="422"/>
      <c r="WBF138" s="422"/>
      <c r="WBG138" s="422"/>
      <c r="WBH138" s="422"/>
      <c r="WBI138" s="422"/>
      <c r="WBJ138" s="422"/>
      <c r="WBK138" s="422"/>
      <c r="WBL138" s="422"/>
      <c r="WBM138" s="422"/>
      <c r="WBN138" s="422"/>
      <c r="WBO138" s="422"/>
      <c r="WBP138" s="422"/>
      <c r="WBQ138" s="422"/>
      <c r="WBR138" s="422"/>
      <c r="WBS138" s="422"/>
      <c r="WBT138" s="422"/>
      <c r="WBU138" s="422"/>
      <c r="WBV138" s="422"/>
      <c r="WBW138" s="422"/>
      <c r="WBX138" s="422"/>
      <c r="WBY138" s="422"/>
      <c r="WBZ138" s="422"/>
      <c r="WCA138" s="422"/>
      <c r="WCB138" s="422"/>
      <c r="WCC138" s="422"/>
      <c r="WCD138" s="422"/>
      <c r="WCE138" s="422"/>
      <c r="WCF138" s="422"/>
      <c r="WCG138" s="422"/>
      <c r="WCH138" s="422"/>
      <c r="WCI138" s="422"/>
      <c r="WCJ138" s="422"/>
      <c r="WCK138" s="422"/>
      <c r="WCL138" s="422"/>
      <c r="WCM138" s="422"/>
      <c r="WCN138" s="422"/>
      <c r="WCO138" s="422"/>
      <c r="WCP138" s="422"/>
      <c r="WCQ138" s="422"/>
      <c r="WCR138" s="422"/>
      <c r="WCS138" s="422"/>
      <c r="WCT138" s="422"/>
      <c r="WCU138" s="422"/>
      <c r="WCV138" s="422"/>
      <c r="WCW138" s="422"/>
      <c r="WCX138" s="422"/>
      <c r="WCY138" s="422"/>
      <c r="WCZ138" s="422"/>
      <c r="WDA138" s="422"/>
      <c r="WDB138" s="422"/>
      <c r="WDC138" s="422"/>
      <c r="WDD138" s="422"/>
      <c r="WDE138" s="422"/>
      <c r="WDF138" s="422"/>
      <c r="WDG138" s="422"/>
      <c r="WDH138" s="422"/>
      <c r="WDI138" s="422"/>
      <c r="WDJ138" s="422"/>
      <c r="WDK138" s="422"/>
      <c r="WDL138" s="422"/>
      <c r="WDM138" s="422"/>
      <c r="WDN138" s="422"/>
      <c r="WDO138" s="422"/>
      <c r="WDP138" s="422"/>
      <c r="WDQ138" s="422"/>
      <c r="WDR138" s="422"/>
      <c r="WDS138" s="422"/>
      <c r="WDT138" s="422"/>
      <c r="WDU138" s="422"/>
      <c r="WDV138" s="422"/>
      <c r="WDW138" s="422"/>
      <c r="WDX138" s="422"/>
      <c r="WDY138" s="422"/>
      <c r="WDZ138" s="422"/>
      <c r="WEA138" s="422"/>
      <c r="WEB138" s="422"/>
      <c r="WEC138" s="422"/>
      <c r="WED138" s="422"/>
      <c r="WEE138" s="422"/>
      <c r="WEF138" s="422"/>
      <c r="WEG138" s="422"/>
      <c r="WEH138" s="422"/>
      <c r="WEI138" s="422"/>
      <c r="WEJ138" s="422"/>
      <c r="WEK138" s="422"/>
      <c r="WEL138" s="422"/>
      <c r="WEM138" s="422"/>
      <c r="WEN138" s="422"/>
      <c r="WEO138" s="422"/>
      <c r="WEP138" s="422"/>
      <c r="WEQ138" s="422"/>
      <c r="WER138" s="422"/>
      <c r="WES138" s="422"/>
      <c r="WET138" s="422"/>
      <c r="WEU138" s="422"/>
      <c r="WEV138" s="422"/>
      <c r="WEW138" s="422"/>
      <c r="WEX138" s="422"/>
      <c r="WEY138" s="422"/>
      <c r="WEZ138" s="422"/>
      <c r="WFA138" s="422"/>
      <c r="WFB138" s="422"/>
      <c r="WFC138" s="422"/>
      <c r="WFD138" s="422"/>
      <c r="WFE138" s="422"/>
      <c r="WFF138" s="422"/>
      <c r="WFG138" s="422"/>
      <c r="WFH138" s="422"/>
      <c r="WFI138" s="422"/>
      <c r="WFJ138" s="422"/>
      <c r="WFK138" s="422"/>
      <c r="WFL138" s="422"/>
      <c r="WFM138" s="422"/>
      <c r="WFN138" s="422"/>
      <c r="WFO138" s="422"/>
      <c r="WFP138" s="422"/>
      <c r="WFQ138" s="422"/>
      <c r="WFR138" s="422"/>
      <c r="WFS138" s="422"/>
      <c r="WFT138" s="422"/>
      <c r="WFU138" s="422"/>
      <c r="WFV138" s="422"/>
      <c r="WFW138" s="422"/>
      <c r="WFX138" s="422"/>
      <c r="WFY138" s="422"/>
      <c r="WFZ138" s="422"/>
      <c r="WGA138" s="422"/>
      <c r="WGB138" s="422"/>
      <c r="WGC138" s="422"/>
      <c r="WGD138" s="422"/>
      <c r="WGE138" s="422"/>
      <c r="WGF138" s="422"/>
      <c r="WGG138" s="422"/>
      <c r="WGH138" s="422"/>
      <c r="WGI138" s="422"/>
      <c r="WGJ138" s="422"/>
      <c r="WGK138" s="422"/>
      <c r="WGL138" s="422"/>
      <c r="WGM138" s="422"/>
      <c r="WGN138" s="422"/>
      <c r="WGO138" s="422"/>
      <c r="WGP138" s="422"/>
      <c r="WGQ138" s="422"/>
      <c r="WGR138" s="422"/>
      <c r="WGS138" s="422"/>
      <c r="WGT138" s="422"/>
      <c r="WGU138" s="422"/>
      <c r="WGV138" s="422"/>
      <c r="WGW138" s="422"/>
      <c r="WGX138" s="422"/>
      <c r="WGY138" s="422"/>
      <c r="WGZ138" s="422"/>
      <c r="WHA138" s="422"/>
      <c r="WHB138" s="422"/>
      <c r="WHC138" s="422"/>
      <c r="WHD138" s="422"/>
      <c r="WHE138" s="422"/>
      <c r="WHF138" s="422"/>
      <c r="WHG138" s="422"/>
      <c r="WHH138" s="422"/>
      <c r="WHI138" s="422"/>
      <c r="WHJ138" s="422"/>
      <c r="WHK138" s="422"/>
      <c r="WHL138" s="422"/>
      <c r="WHM138" s="422"/>
      <c r="WHN138" s="422"/>
      <c r="WHO138" s="422"/>
      <c r="WHP138" s="422"/>
      <c r="WHQ138" s="422"/>
      <c r="WHR138" s="422"/>
      <c r="WHS138" s="422"/>
      <c r="WHT138" s="422"/>
      <c r="WHU138" s="422"/>
      <c r="WHV138" s="422"/>
      <c r="WHW138" s="422"/>
      <c r="WHX138" s="422"/>
      <c r="WHY138" s="422"/>
      <c r="WHZ138" s="422"/>
      <c r="WIA138" s="422"/>
      <c r="WIB138" s="422"/>
      <c r="WIC138" s="422"/>
      <c r="WID138" s="422"/>
      <c r="WIE138" s="422"/>
      <c r="WIF138" s="422"/>
      <c r="WIG138" s="422"/>
      <c r="WIH138" s="422"/>
      <c r="WII138" s="422"/>
      <c r="WIJ138" s="422"/>
      <c r="WIK138" s="422"/>
      <c r="WIL138" s="422"/>
      <c r="WIM138" s="422"/>
      <c r="WIN138" s="422"/>
      <c r="WIO138" s="422"/>
      <c r="WIP138" s="422"/>
      <c r="WIQ138" s="422"/>
      <c r="WIR138" s="422"/>
      <c r="WIS138" s="422"/>
      <c r="WIT138" s="422"/>
      <c r="WIU138" s="422"/>
      <c r="WIV138" s="422"/>
      <c r="WIW138" s="422"/>
      <c r="WIX138" s="422"/>
      <c r="WIY138" s="422"/>
      <c r="WIZ138" s="422"/>
      <c r="WJA138" s="422"/>
      <c r="WJB138" s="422"/>
      <c r="WJC138" s="422"/>
      <c r="WJD138" s="422"/>
      <c r="WJE138" s="422"/>
      <c r="WJF138" s="422"/>
      <c r="WJG138" s="422"/>
      <c r="WJH138" s="422"/>
      <c r="WJI138" s="422"/>
      <c r="WJJ138" s="422"/>
      <c r="WJK138" s="422"/>
      <c r="WJL138" s="422"/>
      <c r="WJM138" s="422"/>
      <c r="WJN138" s="422"/>
      <c r="WJO138" s="422"/>
      <c r="WJP138" s="422"/>
      <c r="WJQ138" s="422"/>
      <c r="WJR138" s="422"/>
      <c r="WJS138" s="422"/>
      <c r="WJT138" s="422"/>
      <c r="WJU138" s="422"/>
      <c r="WJV138" s="422"/>
      <c r="WJW138" s="422"/>
      <c r="WJX138" s="422"/>
      <c r="WJY138" s="422"/>
      <c r="WJZ138" s="422"/>
      <c r="WKA138" s="422"/>
      <c r="WKB138" s="422"/>
      <c r="WKC138" s="422"/>
      <c r="WKD138" s="422"/>
      <c r="WKE138" s="422"/>
      <c r="WKF138" s="422"/>
      <c r="WKG138" s="422"/>
      <c r="WKH138" s="422"/>
      <c r="WKI138" s="422"/>
      <c r="WKJ138" s="422"/>
      <c r="WKK138" s="422"/>
      <c r="WKL138" s="422"/>
      <c r="WKM138" s="422"/>
      <c r="WKN138" s="422"/>
      <c r="WKO138" s="422"/>
      <c r="WKP138" s="422"/>
      <c r="WKQ138" s="422"/>
      <c r="WKR138" s="422"/>
      <c r="WKS138" s="422"/>
      <c r="WKT138" s="422"/>
      <c r="WKU138" s="422"/>
      <c r="WKV138" s="422"/>
      <c r="WKW138" s="422"/>
      <c r="WKX138" s="422"/>
      <c r="WKY138" s="422"/>
      <c r="WKZ138" s="422"/>
      <c r="WLA138" s="422"/>
      <c r="WLB138" s="422"/>
      <c r="WLC138" s="422"/>
      <c r="WLD138" s="422"/>
      <c r="WLE138" s="422"/>
      <c r="WLF138" s="422"/>
      <c r="WLG138" s="422"/>
      <c r="WLH138" s="422"/>
      <c r="WLI138" s="422"/>
      <c r="WLJ138" s="422"/>
      <c r="WLK138" s="422"/>
      <c r="WLL138" s="422"/>
      <c r="WLM138" s="422"/>
      <c r="WLN138" s="422"/>
      <c r="WLO138" s="422"/>
      <c r="WLP138" s="422"/>
      <c r="WLQ138" s="422"/>
      <c r="WLR138" s="422"/>
      <c r="WLS138" s="422"/>
      <c r="WLT138" s="422"/>
      <c r="WLU138" s="422"/>
      <c r="WLV138" s="422"/>
      <c r="WLW138" s="422"/>
      <c r="WLX138" s="422"/>
      <c r="WLY138" s="422"/>
      <c r="WLZ138" s="422"/>
      <c r="WMA138" s="422"/>
      <c r="WMB138" s="422"/>
      <c r="WMC138" s="422"/>
      <c r="WMD138" s="422"/>
      <c r="WME138" s="422"/>
      <c r="WMF138" s="422"/>
      <c r="WMG138" s="422"/>
      <c r="WMH138" s="422"/>
      <c r="WMI138" s="422"/>
      <c r="WMJ138" s="422"/>
      <c r="WMK138" s="422"/>
      <c r="WML138" s="422"/>
      <c r="WMM138" s="422"/>
      <c r="WMN138" s="422"/>
      <c r="WMO138" s="422"/>
      <c r="WMP138" s="422"/>
      <c r="WMQ138" s="422"/>
      <c r="WMR138" s="422"/>
      <c r="WMS138" s="422"/>
      <c r="WMT138" s="422"/>
      <c r="WMU138" s="422"/>
      <c r="WMV138" s="422"/>
      <c r="WMW138" s="422"/>
      <c r="WMX138" s="422"/>
      <c r="WMY138" s="422"/>
      <c r="WMZ138" s="422"/>
      <c r="WNA138" s="422"/>
      <c r="WNB138" s="422"/>
      <c r="WNC138" s="422"/>
      <c r="WND138" s="422"/>
      <c r="WNE138" s="422"/>
      <c r="WNF138" s="422"/>
      <c r="WNG138" s="422"/>
      <c r="WNH138" s="422"/>
      <c r="WNI138" s="422"/>
      <c r="WNJ138" s="422"/>
      <c r="WNK138" s="422"/>
      <c r="WNL138" s="422"/>
      <c r="WNM138" s="422"/>
      <c r="WNN138" s="422"/>
      <c r="WNO138" s="422"/>
      <c r="WNP138" s="422"/>
      <c r="WNQ138" s="422"/>
      <c r="WNR138" s="422"/>
      <c r="WNS138" s="422"/>
      <c r="WNT138" s="422"/>
      <c r="WNU138" s="422"/>
      <c r="WNV138" s="422"/>
      <c r="WNW138" s="422"/>
      <c r="WNX138" s="422"/>
      <c r="WNY138" s="422"/>
      <c r="WNZ138" s="422"/>
      <c r="WOA138" s="422"/>
      <c r="WOB138" s="422"/>
      <c r="WOC138" s="422"/>
      <c r="WOD138" s="422"/>
      <c r="WOE138" s="422"/>
      <c r="WOF138" s="422"/>
      <c r="WOG138" s="422"/>
      <c r="WOH138" s="422"/>
      <c r="WOI138" s="422"/>
      <c r="WOJ138" s="422"/>
      <c r="WOK138" s="422"/>
      <c r="WOL138" s="422"/>
      <c r="WOM138" s="422"/>
      <c r="WON138" s="422"/>
      <c r="WOO138" s="422"/>
      <c r="WOP138" s="422"/>
      <c r="WOQ138" s="422"/>
      <c r="WOR138" s="422"/>
      <c r="WOS138" s="422"/>
      <c r="WOT138" s="422"/>
      <c r="WOU138" s="422"/>
      <c r="WOV138" s="422"/>
      <c r="WOW138" s="422"/>
      <c r="WOX138" s="422"/>
      <c r="WOY138" s="422"/>
      <c r="WOZ138" s="422"/>
      <c r="WPA138" s="422"/>
      <c r="WPB138" s="422"/>
      <c r="WPC138" s="422"/>
      <c r="WPD138" s="422"/>
      <c r="WPE138" s="422"/>
      <c r="WPF138" s="422"/>
      <c r="WPG138" s="422"/>
      <c r="WPH138" s="422"/>
      <c r="WPI138" s="422"/>
      <c r="WPJ138" s="422"/>
      <c r="WPK138" s="422"/>
      <c r="WPL138" s="422"/>
      <c r="WPM138" s="422"/>
      <c r="WPN138" s="422"/>
      <c r="WPO138" s="422"/>
      <c r="WPP138" s="422"/>
      <c r="WPQ138" s="422"/>
      <c r="WPR138" s="422"/>
      <c r="WPS138" s="422"/>
      <c r="WPT138" s="422"/>
      <c r="WPU138" s="422"/>
      <c r="WPV138" s="422"/>
      <c r="WPW138" s="422"/>
      <c r="WPX138" s="422"/>
      <c r="WPY138" s="422"/>
      <c r="WPZ138" s="422"/>
      <c r="WQA138" s="422"/>
      <c r="WQB138" s="422"/>
      <c r="WQC138" s="422"/>
      <c r="WQD138" s="422"/>
      <c r="WQE138" s="422"/>
      <c r="WQF138" s="422"/>
      <c r="WQG138" s="422"/>
      <c r="WQH138" s="422"/>
      <c r="WQI138" s="422"/>
      <c r="WQJ138" s="422"/>
      <c r="WQK138" s="422"/>
      <c r="WQL138" s="422"/>
      <c r="WQM138" s="422"/>
      <c r="WQN138" s="422"/>
      <c r="WQO138" s="422"/>
      <c r="WQP138" s="422"/>
      <c r="WQQ138" s="422"/>
      <c r="WQR138" s="422"/>
      <c r="WQS138" s="422"/>
      <c r="WQT138" s="422"/>
      <c r="WQU138" s="422"/>
      <c r="WQV138" s="422"/>
      <c r="WQW138" s="422"/>
      <c r="WQX138" s="422"/>
      <c r="WQY138" s="422"/>
      <c r="WQZ138" s="422"/>
      <c r="WRA138" s="422"/>
      <c r="WRB138" s="422"/>
      <c r="WRC138" s="422"/>
      <c r="WRD138" s="422"/>
      <c r="WRE138" s="422"/>
      <c r="WRF138" s="422"/>
      <c r="WRG138" s="422"/>
      <c r="WRH138" s="422"/>
      <c r="WRI138" s="422"/>
      <c r="WRJ138" s="422"/>
      <c r="WRK138" s="422"/>
      <c r="WRL138" s="422"/>
      <c r="WRM138" s="422"/>
      <c r="WRN138" s="422"/>
      <c r="WRO138" s="422"/>
      <c r="WRP138" s="422"/>
      <c r="WRQ138" s="422"/>
      <c r="WRR138" s="422"/>
      <c r="WRS138" s="422"/>
      <c r="WRT138" s="422"/>
      <c r="WRU138" s="422"/>
      <c r="WRV138" s="422"/>
      <c r="WRW138" s="422"/>
      <c r="WRX138" s="422"/>
      <c r="WRY138" s="422"/>
      <c r="WRZ138" s="422"/>
      <c r="WSA138" s="422"/>
      <c r="WSB138" s="422"/>
      <c r="WSC138" s="422"/>
      <c r="WSD138" s="422"/>
      <c r="WSE138" s="422"/>
      <c r="WSF138" s="422"/>
      <c r="WSG138" s="422"/>
      <c r="WSH138" s="422"/>
      <c r="WSI138" s="422"/>
      <c r="WSJ138" s="422"/>
      <c r="WSK138" s="422"/>
      <c r="WSL138" s="422"/>
      <c r="WSM138" s="422"/>
      <c r="WSN138" s="422"/>
      <c r="WSO138" s="422"/>
      <c r="WSP138" s="422"/>
      <c r="WSQ138" s="422"/>
      <c r="WSR138" s="422"/>
      <c r="WSS138" s="422"/>
      <c r="WST138" s="422"/>
      <c r="WSU138" s="422"/>
      <c r="WSV138" s="422"/>
      <c r="WSW138" s="422"/>
      <c r="WSX138" s="422"/>
      <c r="WSY138" s="422"/>
      <c r="WSZ138" s="422"/>
      <c r="WTA138" s="422"/>
      <c r="WTB138" s="422"/>
      <c r="WTC138" s="422"/>
      <c r="WTD138" s="422"/>
      <c r="WTE138" s="422"/>
      <c r="WTF138" s="422"/>
      <c r="WTG138" s="422"/>
      <c r="WTH138" s="422"/>
      <c r="WTI138" s="422"/>
      <c r="WTJ138" s="422"/>
      <c r="WTK138" s="422"/>
      <c r="WTL138" s="422"/>
      <c r="WTM138" s="422"/>
      <c r="WTN138" s="422"/>
      <c r="WTO138" s="422"/>
      <c r="WTP138" s="422"/>
      <c r="WTQ138" s="422"/>
      <c r="WTR138" s="422"/>
      <c r="WTS138" s="422"/>
      <c r="WTT138" s="422"/>
      <c r="WTU138" s="422"/>
      <c r="WTV138" s="422"/>
      <c r="WTW138" s="422"/>
      <c r="WTX138" s="422"/>
      <c r="WTY138" s="422"/>
      <c r="WTZ138" s="422"/>
      <c r="WUA138" s="422"/>
      <c r="WUB138" s="422"/>
      <c r="WUC138" s="422"/>
      <c r="WUD138" s="422"/>
      <c r="WUE138" s="422"/>
      <c r="WUF138" s="422"/>
      <c r="WUG138" s="422"/>
      <c r="WUH138" s="422"/>
      <c r="WUI138" s="422"/>
      <c r="WUJ138" s="422"/>
      <c r="WUK138" s="422"/>
      <c r="WUL138" s="422"/>
      <c r="WUM138" s="422"/>
      <c r="WUN138" s="422"/>
      <c r="WUO138" s="422"/>
      <c r="WUP138" s="422"/>
      <c r="WUQ138" s="422"/>
      <c r="WUR138" s="422"/>
      <c r="WUS138" s="422"/>
      <c r="WUT138" s="422"/>
      <c r="WUU138" s="422"/>
      <c r="WUV138" s="422"/>
      <c r="WUW138" s="422"/>
      <c r="WUX138" s="422"/>
      <c r="WUY138" s="422"/>
      <c r="WUZ138" s="422"/>
      <c r="WVA138" s="422"/>
      <c r="WVB138" s="422"/>
      <c r="WVC138" s="422"/>
      <c r="WVD138" s="422"/>
      <c r="WVE138" s="422"/>
      <c r="WVF138" s="422"/>
      <c r="WVG138" s="422"/>
      <c r="WVH138" s="422"/>
      <c r="WVI138" s="422"/>
      <c r="WVJ138" s="422"/>
      <c r="WVK138" s="422"/>
      <c r="WVL138" s="422"/>
      <c r="WVM138" s="422"/>
      <c r="WVN138" s="422"/>
      <c r="WVO138" s="422"/>
      <c r="WVP138" s="422"/>
      <c r="WVQ138" s="422"/>
      <c r="WVR138" s="422"/>
      <c r="WVS138" s="422"/>
      <c r="WVT138" s="422"/>
      <c r="WVU138" s="422"/>
      <c r="WVV138" s="422"/>
      <c r="WVW138" s="422"/>
      <c r="WVX138" s="422"/>
      <c r="WVY138" s="422"/>
      <c r="WVZ138" s="422"/>
      <c r="WWA138" s="422"/>
      <c r="WWB138" s="422"/>
      <c r="WWC138" s="422"/>
      <c r="WWD138" s="422"/>
      <c r="WWE138" s="422"/>
      <c r="WWF138" s="422"/>
      <c r="WWG138" s="422"/>
      <c r="WWH138" s="422"/>
      <c r="WWI138" s="422"/>
      <c r="WWJ138" s="422"/>
      <c r="WWK138" s="422"/>
      <c r="WWL138" s="422"/>
      <c r="WWM138" s="422"/>
      <c r="WWN138" s="422"/>
      <c r="WWO138" s="422"/>
      <c r="WWP138" s="422"/>
      <c r="WWQ138" s="422"/>
      <c r="WWR138" s="422"/>
      <c r="WWS138" s="422"/>
      <c r="WWT138" s="422"/>
      <c r="WWU138" s="422"/>
      <c r="WWV138" s="422"/>
      <c r="WWW138" s="422"/>
      <c r="WWX138" s="422"/>
      <c r="WWY138" s="422"/>
      <c r="WWZ138" s="422"/>
      <c r="WXA138" s="422"/>
      <c r="WXB138" s="422"/>
      <c r="WXC138" s="422"/>
      <c r="WXD138" s="422"/>
      <c r="WXE138" s="422"/>
      <c r="WXF138" s="422"/>
      <c r="WXG138" s="422"/>
      <c r="WXH138" s="422"/>
      <c r="WXI138" s="422"/>
      <c r="WXJ138" s="422"/>
      <c r="WXK138" s="422"/>
      <c r="WXL138" s="422"/>
      <c r="WXM138" s="422"/>
      <c r="WXN138" s="422"/>
      <c r="WXO138" s="422"/>
      <c r="WXP138" s="422"/>
      <c r="WXQ138" s="422"/>
      <c r="WXR138" s="422"/>
      <c r="WXS138" s="422"/>
      <c r="WXT138" s="422"/>
      <c r="WXU138" s="422"/>
      <c r="WXV138" s="422"/>
      <c r="WXW138" s="422"/>
      <c r="WXX138" s="422"/>
      <c r="WXY138" s="422"/>
      <c r="WXZ138" s="422"/>
      <c r="WYA138" s="422"/>
      <c r="WYB138" s="422"/>
      <c r="WYC138" s="422"/>
      <c r="WYD138" s="422"/>
      <c r="WYE138" s="422"/>
      <c r="WYF138" s="422"/>
      <c r="WYG138" s="422"/>
      <c r="WYH138" s="422"/>
      <c r="WYI138" s="422"/>
      <c r="WYJ138" s="422"/>
      <c r="WYK138" s="422"/>
      <c r="WYL138" s="422"/>
      <c r="WYM138" s="422"/>
      <c r="WYN138" s="422"/>
      <c r="WYO138" s="422"/>
      <c r="WYP138" s="422"/>
      <c r="WYQ138" s="422"/>
      <c r="WYR138" s="422"/>
      <c r="WYS138" s="422"/>
      <c r="WYT138" s="422"/>
      <c r="WYU138" s="422"/>
      <c r="WYV138" s="422"/>
      <c r="WYW138" s="422"/>
      <c r="WYX138" s="422"/>
      <c r="WYY138" s="422"/>
      <c r="WYZ138" s="422"/>
      <c r="WZA138" s="422"/>
      <c r="WZB138" s="422"/>
      <c r="WZC138" s="422"/>
      <c r="WZD138" s="422"/>
      <c r="WZE138" s="422"/>
      <c r="WZF138" s="422"/>
      <c r="WZG138" s="422"/>
      <c r="WZH138" s="422"/>
      <c r="WZI138" s="422"/>
      <c r="WZJ138" s="422"/>
      <c r="WZK138" s="422"/>
      <c r="WZL138" s="422"/>
      <c r="WZM138" s="422"/>
      <c r="WZN138" s="422"/>
      <c r="WZO138" s="422"/>
      <c r="WZP138" s="422"/>
      <c r="WZQ138" s="422"/>
      <c r="WZR138" s="422"/>
      <c r="WZS138" s="422"/>
      <c r="WZT138" s="422"/>
      <c r="WZU138" s="422"/>
      <c r="WZV138" s="422"/>
      <c r="WZW138" s="422"/>
      <c r="WZX138" s="422"/>
      <c r="WZY138" s="422"/>
      <c r="WZZ138" s="422"/>
      <c r="XAA138" s="422"/>
      <c r="XAB138" s="422"/>
      <c r="XAC138" s="422"/>
      <c r="XAD138" s="422"/>
      <c r="XAE138" s="422"/>
      <c r="XAF138" s="422"/>
      <c r="XAG138" s="422"/>
      <c r="XAH138" s="422"/>
      <c r="XAI138" s="422"/>
      <c r="XAJ138" s="422"/>
      <c r="XAK138" s="422"/>
      <c r="XAL138" s="422"/>
      <c r="XAM138" s="422"/>
      <c r="XAN138" s="422"/>
      <c r="XAO138" s="422"/>
      <c r="XAP138" s="422"/>
      <c r="XAQ138" s="422"/>
      <c r="XAR138" s="422"/>
      <c r="XAS138" s="422"/>
      <c r="XAT138" s="422"/>
      <c r="XAU138" s="422"/>
      <c r="XAV138" s="422"/>
      <c r="XAW138" s="422"/>
      <c r="XAX138" s="422"/>
      <c r="XAY138" s="422"/>
      <c r="XAZ138" s="422"/>
      <c r="XBA138" s="422"/>
      <c r="XBB138" s="422"/>
      <c r="XBC138" s="422"/>
      <c r="XBD138" s="422"/>
      <c r="XBE138" s="422"/>
      <c r="XBF138" s="422"/>
      <c r="XBG138" s="422"/>
      <c r="XBH138" s="422"/>
      <c r="XBI138" s="422"/>
      <c r="XBJ138" s="422"/>
      <c r="XBK138" s="422"/>
      <c r="XBL138" s="422"/>
      <c r="XBM138" s="422"/>
      <c r="XBN138" s="422"/>
      <c r="XBO138" s="422"/>
      <c r="XBP138" s="422"/>
      <c r="XBQ138" s="422"/>
      <c r="XBR138" s="422"/>
      <c r="XBS138" s="422"/>
      <c r="XBT138" s="422"/>
      <c r="XBU138" s="422"/>
      <c r="XBV138" s="422"/>
      <c r="XBW138" s="422"/>
      <c r="XBX138" s="422"/>
      <c r="XBY138" s="422"/>
      <c r="XBZ138" s="422"/>
      <c r="XCA138" s="422"/>
      <c r="XCB138" s="422"/>
      <c r="XCC138" s="422"/>
      <c r="XCD138" s="422"/>
      <c r="XCE138" s="422"/>
      <c r="XCF138" s="422"/>
      <c r="XCG138" s="422"/>
      <c r="XCH138" s="422"/>
      <c r="XCI138" s="422"/>
      <c r="XCJ138" s="422"/>
      <c r="XCK138" s="422"/>
      <c r="XCL138" s="422"/>
      <c r="XCM138" s="422"/>
      <c r="XCN138" s="422"/>
      <c r="XCO138" s="422"/>
      <c r="XCP138" s="422"/>
      <c r="XCQ138" s="422"/>
      <c r="XCR138" s="422"/>
      <c r="XCS138" s="422"/>
      <c r="XCT138" s="422"/>
      <c r="XCU138" s="422"/>
      <c r="XCV138" s="422"/>
      <c r="XCW138" s="422"/>
      <c r="XCX138" s="422"/>
      <c r="XCY138" s="422"/>
      <c r="XCZ138" s="422"/>
      <c r="XDA138" s="422"/>
      <c r="XDB138" s="422"/>
      <c r="XDC138" s="422"/>
      <c r="XDD138" s="422"/>
      <c r="XDE138" s="422"/>
      <c r="XDF138" s="422"/>
      <c r="XDG138" s="422"/>
      <c r="XDH138" s="422"/>
      <c r="XDI138" s="422"/>
      <c r="XDJ138" s="422"/>
      <c r="XDK138" s="422"/>
      <c r="XDL138" s="422"/>
      <c r="XDM138" s="422"/>
      <c r="XDN138" s="422"/>
      <c r="XDO138" s="422"/>
      <c r="XDP138" s="422"/>
      <c r="XDQ138" s="422"/>
      <c r="XDR138" s="422"/>
      <c r="XDS138" s="422"/>
      <c r="XDT138" s="422"/>
      <c r="XDU138" s="422"/>
      <c r="XDV138" s="422"/>
      <c r="XDW138" s="422"/>
      <c r="XDX138" s="422"/>
      <c r="XDY138" s="422"/>
      <c r="XDZ138" s="422"/>
      <c r="XEA138" s="422"/>
      <c r="XEB138" s="422"/>
      <c r="XEC138" s="422"/>
      <c r="XED138" s="422"/>
      <c r="XEE138" s="422"/>
      <c r="XEF138" s="422"/>
      <c r="XEG138" s="422"/>
      <c r="XEH138" s="422"/>
      <c r="XEI138" s="422"/>
      <c r="XEJ138" s="422"/>
      <c r="XEK138" s="422"/>
      <c r="XEL138" s="422"/>
      <c r="XEM138" s="422"/>
      <c r="XEN138" s="422"/>
      <c r="XEO138" s="422"/>
      <c r="XEP138" s="422"/>
      <c r="XEQ138" s="422"/>
      <c r="XER138" s="422"/>
      <c r="XES138" s="422"/>
      <c r="XET138" s="422"/>
      <c r="XEU138" s="422"/>
      <c r="XEV138" s="422"/>
      <c r="XEW138" s="422"/>
      <c r="XEX138" s="422"/>
      <c r="XEY138" s="422"/>
      <c r="XEZ138" s="422"/>
      <c r="XFA138" s="422"/>
      <c r="XFB138" s="422"/>
    </row>
    <row r="139" spans="1:16382" customFormat="1" ht="13.2">
      <c r="A139" s="437" t="s">
        <v>828</v>
      </c>
      <c r="B139" s="480">
        <v>241889</v>
      </c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  <c r="AA139" s="422"/>
      <c r="AB139" s="422"/>
      <c r="AC139" s="422"/>
      <c r="AD139" s="422"/>
      <c r="AE139" s="422"/>
      <c r="AF139" s="422"/>
      <c r="AG139" s="422"/>
      <c r="AH139" s="422"/>
      <c r="AI139" s="422"/>
      <c r="AJ139" s="422"/>
      <c r="AK139" s="422"/>
      <c r="AL139" s="422"/>
      <c r="AM139" s="422"/>
      <c r="AN139" s="422"/>
      <c r="AO139" s="422"/>
      <c r="AP139" s="422"/>
      <c r="AQ139" s="422"/>
      <c r="AR139" s="422"/>
      <c r="AS139" s="422"/>
      <c r="AT139" s="422"/>
      <c r="AU139" s="422"/>
      <c r="AV139" s="422"/>
      <c r="AW139" s="422"/>
      <c r="AX139" s="422"/>
      <c r="AY139" s="422"/>
      <c r="AZ139" s="422"/>
      <c r="BA139" s="422"/>
      <c r="BB139" s="422"/>
      <c r="BC139" s="422"/>
      <c r="BD139" s="422"/>
      <c r="BE139" s="422"/>
      <c r="BF139" s="422"/>
      <c r="BG139" s="422"/>
      <c r="BH139" s="422"/>
      <c r="BI139" s="422"/>
      <c r="BJ139" s="422"/>
      <c r="BK139" s="422"/>
      <c r="BL139" s="422"/>
      <c r="BM139" s="422"/>
      <c r="BN139" s="422"/>
      <c r="BO139" s="422"/>
      <c r="BP139" s="422"/>
      <c r="BQ139" s="422"/>
      <c r="BR139" s="422"/>
      <c r="BS139" s="422"/>
      <c r="BT139" s="422"/>
      <c r="BU139" s="422"/>
      <c r="BV139" s="422"/>
      <c r="BW139" s="422"/>
      <c r="BX139" s="422"/>
      <c r="BY139" s="422"/>
      <c r="BZ139" s="422"/>
      <c r="CA139" s="422"/>
      <c r="CB139" s="422"/>
      <c r="CC139" s="422"/>
      <c r="CD139" s="422"/>
      <c r="CE139" s="422"/>
      <c r="CF139" s="422"/>
      <c r="CG139" s="422"/>
      <c r="CH139" s="422"/>
      <c r="CI139" s="422"/>
      <c r="CJ139" s="422"/>
      <c r="CK139" s="422"/>
      <c r="CL139" s="422"/>
      <c r="CM139" s="422"/>
      <c r="CN139" s="422"/>
      <c r="CO139" s="422"/>
      <c r="CP139" s="422"/>
      <c r="CQ139" s="422"/>
      <c r="CR139" s="422"/>
      <c r="CS139" s="422"/>
      <c r="CT139" s="422"/>
      <c r="CU139" s="422"/>
      <c r="CV139" s="422"/>
      <c r="CW139" s="422"/>
      <c r="CX139" s="422"/>
      <c r="CY139" s="422"/>
      <c r="CZ139" s="422"/>
      <c r="DA139" s="422"/>
      <c r="DB139" s="422"/>
      <c r="DC139" s="422"/>
      <c r="DD139" s="422"/>
      <c r="DE139" s="422"/>
      <c r="DF139" s="422"/>
      <c r="DG139" s="422"/>
      <c r="DH139" s="422"/>
      <c r="DI139" s="422"/>
      <c r="DJ139" s="422"/>
      <c r="DK139" s="422"/>
      <c r="DL139" s="422"/>
      <c r="DM139" s="422"/>
      <c r="DN139" s="422"/>
      <c r="DO139" s="422"/>
      <c r="DP139" s="422"/>
      <c r="DQ139" s="422"/>
      <c r="DR139" s="422"/>
      <c r="DS139" s="422"/>
      <c r="DT139" s="422"/>
      <c r="DU139" s="422"/>
      <c r="DV139" s="422"/>
      <c r="DW139" s="422"/>
      <c r="DX139" s="422"/>
      <c r="DY139" s="422"/>
      <c r="DZ139" s="422"/>
      <c r="EA139" s="422"/>
      <c r="EB139" s="422"/>
      <c r="EC139" s="422"/>
      <c r="ED139" s="422"/>
      <c r="EE139" s="422"/>
      <c r="EF139" s="422"/>
      <c r="EG139" s="422"/>
      <c r="EH139" s="422"/>
      <c r="EI139" s="422"/>
      <c r="EJ139" s="422"/>
      <c r="EK139" s="422"/>
      <c r="EL139" s="422"/>
      <c r="EM139" s="422"/>
      <c r="EN139" s="422"/>
      <c r="EO139" s="422"/>
      <c r="EP139" s="422"/>
      <c r="EQ139" s="422"/>
      <c r="ER139" s="422"/>
      <c r="ES139" s="422"/>
      <c r="ET139" s="422"/>
      <c r="EU139" s="422"/>
      <c r="EV139" s="422"/>
      <c r="EW139" s="422"/>
      <c r="EX139" s="422"/>
      <c r="EY139" s="422"/>
      <c r="EZ139" s="422"/>
      <c r="FA139" s="422"/>
      <c r="FB139" s="422"/>
      <c r="FC139" s="422"/>
      <c r="FD139" s="422"/>
      <c r="FE139" s="422"/>
      <c r="FF139" s="422"/>
      <c r="FG139" s="422"/>
      <c r="FH139" s="422"/>
      <c r="FI139" s="422"/>
      <c r="FJ139" s="422"/>
      <c r="FK139" s="422"/>
      <c r="FL139" s="422"/>
      <c r="FM139" s="422"/>
      <c r="FN139" s="422"/>
      <c r="FO139" s="422"/>
      <c r="FP139" s="422"/>
      <c r="FQ139" s="422"/>
      <c r="FR139" s="422"/>
      <c r="FS139" s="422"/>
      <c r="FT139" s="422"/>
      <c r="FU139" s="422"/>
      <c r="FV139" s="422"/>
      <c r="FW139" s="422"/>
      <c r="FX139" s="422"/>
      <c r="FY139" s="422"/>
      <c r="FZ139" s="422"/>
      <c r="GA139" s="422"/>
      <c r="GB139" s="422"/>
      <c r="GC139" s="422"/>
      <c r="GD139" s="422"/>
      <c r="GE139" s="422"/>
      <c r="GF139" s="422"/>
      <c r="GG139" s="422"/>
      <c r="GH139" s="422"/>
      <c r="GI139" s="422"/>
      <c r="GJ139" s="422"/>
      <c r="GK139" s="422"/>
      <c r="GL139" s="422"/>
      <c r="GM139" s="422"/>
      <c r="GN139" s="422"/>
      <c r="GO139" s="422"/>
      <c r="GP139" s="422"/>
      <c r="GQ139" s="422"/>
      <c r="GR139" s="422"/>
      <c r="GS139" s="422"/>
      <c r="GT139" s="422"/>
      <c r="GU139" s="422"/>
      <c r="GV139" s="422"/>
      <c r="GW139" s="422"/>
      <c r="GX139" s="422"/>
      <c r="GY139" s="422"/>
      <c r="GZ139" s="422"/>
      <c r="HA139" s="422"/>
      <c r="HB139" s="422"/>
      <c r="HC139" s="422"/>
      <c r="HD139" s="422"/>
      <c r="HE139" s="422"/>
      <c r="HF139" s="422"/>
      <c r="HG139" s="422"/>
      <c r="HH139" s="422"/>
      <c r="HI139" s="422"/>
      <c r="HJ139" s="422"/>
      <c r="HK139" s="422"/>
      <c r="HL139" s="422"/>
      <c r="HM139" s="422"/>
      <c r="HN139" s="422"/>
      <c r="HO139" s="422"/>
      <c r="HP139" s="422"/>
      <c r="HQ139" s="422"/>
      <c r="HR139" s="422"/>
      <c r="HS139" s="422"/>
      <c r="HT139" s="422"/>
      <c r="HU139" s="422"/>
      <c r="HV139" s="422"/>
      <c r="HW139" s="422"/>
      <c r="HX139" s="422"/>
      <c r="HY139" s="422"/>
      <c r="HZ139" s="422"/>
      <c r="IA139" s="422"/>
      <c r="IB139" s="422"/>
      <c r="IC139" s="422"/>
      <c r="ID139" s="422"/>
      <c r="IE139" s="422"/>
      <c r="IF139" s="422"/>
      <c r="IG139" s="422"/>
      <c r="IH139" s="422"/>
      <c r="II139" s="422"/>
      <c r="IJ139" s="422"/>
      <c r="IK139" s="422"/>
      <c r="IL139" s="422"/>
      <c r="IM139" s="422"/>
      <c r="IN139" s="422"/>
      <c r="IO139" s="422"/>
      <c r="IP139" s="422"/>
      <c r="IQ139" s="422"/>
      <c r="IR139" s="422"/>
      <c r="IS139" s="422"/>
      <c r="IT139" s="422"/>
      <c r="IU139" s="422"/>
      <c r="IV139" s="422"/>
      <c r="IW139" s="422"/>
      <c r="IX139" s="422"/>
      <c r="IY139" s="422"/>
      <c r="IZ139" s="422"/>
      <c r="JA139" s="422"/>
      <c r="JB139" s="422"/>
      <c r="JC139" s="422"/>
      <c r="JD139" s="422"/>
      <c r="JE139" s="422"/>
      <c r="JF139" s="422"/>
      <c r="JG139" s="422"/>
      <c r="JH139" s="422"/>
      <c r="JI139" s="422"/>
      <c r="JJ139" s="422"/>
      <c r="JK139" s="422"/>
      <c r="JL139" s="422"/>
      <c r="JM139" s="422"/>
      <c r="JN139" s="422"/>
      <c r="JO139" s="422"/>
      <c r="JP139" s="422"/>
      <c r="JQ139" s="422"/>
      <c r="JR139" s="422"/>
      <c r="JS139" s="422"/>
      <c r="JT139" s="422"/>
      <c r="JU139" s="422"/>
      <c r="JV139" s="422"/>
      <c r="JW139" s="422"/>
      <c r="JX139" s="422"/>
      <c r="JY139" s="422"/>
      <c r="JZ139" s="422"/>
      <c r="KA139" s="422"/>
      <c r="KB139" s="422"/>
      <c r="KC139" s="422"/>
      <c r="KD139" s="422"/>
      <c r="KE139" s="422"/>
      <c r="KF139" s="422"/>
      <c r="KG139" s="422"/>
      <c r="KH139" s="422"/>
      <c r="KI139" s="422"/>
      <c r="KJ139" s="422"/>
      <c r="KK139" s="422"/>
      <c r="KL139" s="422"/>
      <c r="KM139" s="422"/>
      <c r="KN139" s="422"/>
      <c r="KO139" s="422"/>
      <c r="KP139" s="422"/>
      <c r="KQ139" s="422"/>
      <c r="KR139" s="422"/>
      <c r="KS139" s="422"/>
      <c r="KT139" s="422"/>
      <c r="KU139" s="422"/>
      <c r="KV139" s="422"/>
      <c r="KW139" s="422"/>
      <c r="KX139" s="422"/>
      <c r="KY139" s="422"/>
      <c r="KZ139" s="422"/>
      <c r="LA139" s="422"/>
      <c r="LB139" s="422"/>
      <c r="LC139" s="422"/>
      <c r="LD139" s="422"/>
      <c r="LE139" s="422"/>
      <c r="LF139" s="422"/>
      <c r="LG139" s="422"/>
      <c r="LH139" s="422"/>
      <c r="LI139" s="422"/>
      <c r="LJ139" s="422"/>
      <c r="LK139" s="422"/>
      <c r="LL139" s="422"/>
      <c r="LM139" s="422"/>
      <c r="LN139" s="422"/>
      <c r="LO139" s="422"/>
      <c r="LP139" s="422"/>
      <c r="LQ139" s="422"/>
      <c r="LR139" s="422"/>
      <c r="LS139" s="422"/>
      <c r="LT139" s="422"/>
      <c r="LU139" s="422"/>
      <c r="LV139" s="422"/>
      <c r="LW139" s="422"/>
      <c r="LX139" s="422"/>
      <c r="LY139" s="422"/>
      <c r="LZ139" s="422"/>
      <c r="MA139" s="422"/>
      <c r="MB139" s="422"/>
      <c r="MC139" s="422"/>
      <c r="MD139" s="422"/>
      <c r="ME139" s="422"/>
      <c r="MF139" s="422"/>
      <c r="MG139" s="422"/>
      <c r="MH139" s="422"/>
      <c r="MI139" s="422"/>
      <c r="MJ139" s="422"/>
      <c r="MK139" s="422"/>
      <c r="ML139" s="422"/>
      <c r="MM139" s="422"/>
      <c r="MN139" s="422"/>
      <c r="MO139" s="422"/>
      <c r="MP139" s="422"/>
      <c r="MQ139" s="422"/>
      <c r="MR139" s="422"/>
      <c r="MS139" s="422"/>
      <c r="MT139" s="422"/>
      <c r="MU139" s="422"/>
      <c r="MV139" s="422"/>
      <c r="MW139" s="422"/>
      <c r="MX139" s="422"/>
      <c r="MY139" s="422"/>
      <c r="MZ139" s="422"/>
      <c r="NA139" s="422"/>
      <c r="NB139" s="422"/>
      <c r="NC139" s="422"/>
      <c r="ND139" s="422"/>
      <c r="NE139" s="422"/>
      <c r="NF139" s="422"/>
      <c r="NG139" s="422"/>
      <c r="NH139" s="422"/>
      <c r="NI139" s="422"/>
      <c r="NJ139" s="422"/>
      <c r="NK139" s="422"/>
      <c r="NL139" s="422"/>
      <c r="NM139" s="422"/>
      <c r="NN139" s="422"/>
      <c r="NO139" s="422"/>
      <c r="NP139" s="422"/>
      <c r="NQ139" s="422"/>
      <c r="NR139" s="422"/>
      <c r="NS139" s="422"/>
      <c r="NT139" s="422"/>
      <c r="NU139" s="422"/>
      <c r="NV139" s="422"/>
      <c r="NW139" s="422"/>
      <c r="NX139" s="422"/>
      <c r="NY139" s="422"/>
      <c r="NZ139" s="422"/>
      <c r="OA139" s="422"/>
      <c r="OB139" s="422"/>
      <c r="OC139" s="422"/>
      <c r="OD139" s="422"/>
      <c r="OE139" s="422"/>
      <c r="OF139" s="422"/>
      <c r="OG139" s="422"/>
      <c r="OH139" s="422"/>
      <c r="OI139" s="422"/>
      <c r="OJ139" s="422"/>
      <c r="OK139" s="422"/>
      <c r="OL139" s="422"/>
      <c r="OM139" s="422"/>
      <c r="ON139" s="422"/>
      <c r="OO139" s="422"/>
      <c r="OP139" s="422"/>
      <c r="OQ139" s="422"/>
      <c r="OR139" s="422"/>
      <c r="OS139" s="422"/>
      <c r="OT139" s="422"/>
      <c r="OU139" s="422"/>
      <c r="OV139" s="422"/>
      <c r="OW139" s="422"/>
      <c r="OX139" s="422"/>
      <c r="OY139" s="422"/>
      <c r="OZ139" s="422"/>
      <c r="PA139" s="422"/>
      <c r="PB139" s="422"/>
      <c r="PC139" s="422"/>
      <c r="PD139" s="422"/>
      <c r="PE139" s="422"/>
      <c r="PF139" s="422"/>
      <c r="PG139" s="422"/>
      <c r="PH139" s="422"/>
      <c r="PI139" s="422"/>
      <c r="PJ139" s="422"/>
      <c r="PK139" s="422"/>
      <c r="PL139" s="422"/>
      <c r="PM139" s="422"/>
      <c r="PN139" s="422"/>
      <c r="PO139" s="422"/>
      <c r="PP139" s="422"/>
      <c r="PQ139" s="422"/>
      <c r="PR139" s="422"/>
      <c r="PS139" s="422"/>
      <c r="PT139" s="422"/>
      <c r="PU139" s="422"/>
      <c r="PV139" s="422"/>
      <c r="PW139" s="422"/>
      <c r="PX139" s="422"/>
      <c r="PY139" s="422"/>
      <c r="PZ139" s="422"/>
      <c r="QA139" s="422"/>
      <c r="QB139" s="422"/>
      <c r="QC139" s="422"/>
      <c r="QD139" s="422"/>
      <c r="QE139" s="422"/>
      <c r="QF139" s="422"/>
      <c r="QG139" s="422"/>
      <c r="QH139" s="422"/>
      <c r="QI139" s="422"/>
      <c r="QJ139" s="422"/>
      <c r="QK139" s="422"/>
      <c r="QL139" s="422"/>
      <c r="QM139" s="422"/>
      <c r="QN139" s="422"/>
      <c r="QO139" s="422"/>
      <c r="QP139" s="422"/>
      <c r="QQ139" s="422"/>
      <c r="QR139" s="422"/>
      <c r="QS139" s="422"/>
      <c r="QT139" s="422"/>
      <c r="QU139" s="422"/>
      <c r="QV139" s="422"/>
      <c r="QW139" s="422"/>
      <c r="QX139" s="422"/>
      <c r="QY139" s="422"/>
      <c r="QZ139" s="422"/>
      <c r="RA139" s="422"/>
      <c r="RB139" s="422"/>
      <c r="RC139" s="422"/>
      <c r="RD139" s="422"/>
      <c r="RE139" s="422"/>
      <c r="RF139" s="422"/>
      <c r="RG139" s="422"/>
      <c r="RH139" s="422"/>
      <c r="RI139" s="422"/>
      <c r="RJ139" s="422"/>
      <c r="RK139" s="422"/>
      <c r="RL139" s="422"/>
      <c r="RM139" s="422"/>
      <c r="RN139" s="422"/>
      <c r="RO139" s="422"/>
      <c r="RP139" s="422"/>
      <c r="RQ139" s="422"/>
      <c r="RR139" s="422"/>
      <c r="RS139" s="422"/>
      <c r="RT139" s="422"/>
      <c r="RU139" s="422"/>
      <c r="RV139" s="422"/>
      <c r="RW139" s="422"/>
      <c r="RX139" s="422"/>
      <c r="RY139" s="422"/>
      <c r="RZ139" s="422"/>
      <c r="SA139" s="422"/>
      <c r="SB139" s="422"/>
      <c r="SC139" s="422"/>
      <c r="SD139" s="422"/>
      <c r="SE139" s="422"/>
      <c r="SF139" s="422"/>
      <c r="SG139" s="422"/>
      <c r="SH139" s="422"/>
      <c r="SI139" s="422"/>
      <c r="SJ139" s="422"/>
      <c r="SK139" s="422"/>
      <c r="SL139" s="422"/>
      <c r="SM139" s="422"/>
      <c r="SN139" s="422"/>
      <c r="SO139" s="422"/>
      <c r="SP139" s="422"/>
      <c r="SQ139" s="422"/>
      <c r="SR139" s="422"/>
      <c r="SS139" s="422"/>
      <c r="ST139" s="422"/>
      <c r="SU139" s="422"/>
      <c r="SV139" s="422"/>
      <c r="SW139" s="422"/>
      <c r="SX139" s="422"/>
      <c r="SY139" s="422"/>
      <c r="SZ139" s="422"/>
      <c r="TA139" s="422"/>
      <c r="TB139" s="422"/>
      <c r="TC139" s="422"/>
      <c r="TD139" s="422"/>
      <c r="TE139" s="422"/>
      <c r="TF139" s="422"/>
      <c r="TG139" s="422"/>
      <c r="TH139" s="422"/>
      <c r="TI139" s="422"/>
      <c r="TJ139" s="422"/>
      <c r="TK139" s="422"/>
      <c r="TL139" s="422"/>
      <c r="TM139" s="422"/>
      <c r="TN139" s="422"/>
      <c r="TO139" s="422"/>
      <c r="TP139" s="422"/>
      <c r="TQ139" s="422"/>
      <c r="TR139" s="422"/>
      <c r="TS139" s="422"/>
      <c r="TT139" s="422"/>
      <c r="TU139" s="422"/>
      <c r="TV139" s="422"/>
      <c r="TW139" s="422"/>
      <c r="TX139" s="422"/>
      <c r="TY139" s="422"/>
      <c r="TZ139" s="422"/>
      <c r="UA139" s="422"/>
      <c r="UB139" s="422"/>
      <c r="UC139" s="422"/>
      <c r="UD139" s="422"/>
      <c r="UE139" s="422"/>
      <c r="UF139" s="422"/>
      <c r="UG139" s="422"/>
      <c r="UH139" s="422"/>
      <c r="UI139" s="422"/>
      <c r="UJ139" s="422"/>
      <c r="UK139" s="422"/>
      <c r="UL139" s="422"/>
      <c r="UM139" s="422"/>
      <c r="UN139" s="422"/>
      <c r="UO139" s="422"/>
      <c r="UP139" s="422"/>
      <c r="UQ139" s="422"/>
      <c r="UR139" s="422"/>
      <c r="US139" s="422"/>
      <c r="UT139" s="422"/>
      <c r="UU139" s="422"/>
      <c r="UV139" s="422"/>
      <c r="UW139" s="422"/>
      <c r="UX139" s="422"/>
      <c r="UY139" s="422"/>
      <c r="UZ139" s="422"/>
      <c r="VA139" s="422"/>
      <c r="VB139" s="422"/>
      <c r="VC139" s="422"/>
      <c r="VD139" s="422"/>
      <c r="VE139" s="422"/>
      <c r="VF139" s="422"/>
      <c r="VG139" s="422"/>
      <c r="VH139" s="422"/>
      <c r="VI139" s="422"/>
      <c r="VJ139" s="422"/>
      <c r="VK139" s="422"/>
      <c r="VL139" s="422"/>
      <c r="VM139" s="422"/>
      <c r="VN139" s="422"/>
      <c r="VO139" s="422"/>
      <c r="VP139" s="422"/>
      <c r="VQ139" s="422"/>
      <c r="VR139" s="422"/>
      <c r="VS139" s="422"/>
      <c r="VT139" s="422"/>
      <c r="VU139" s="422"/>
      <c r="VV139" s="422"/>
      <c r="VW139" s="422"/>
      <c r="VX139" s="422"/>
      <c r="VY139" s="422"/>
      <c r="VZ139" s="422"/>
      <c r="WA139" s="422"/>
      <c r="WB139" s="422"/>
      <c r="WC139" s="422"/>
      <c r="WD139" s="422"/>
      <c r="WE139" s="422"/>
      <c r="WF139" s="422"/>
      <c r="WG139" s="422"/>
      <c r="WH139" s="422"/>
      <c r="WI139" s="422"/>
      <c r="WJ139" s="422"/>
      <c r="WK139" s="422"/>
      <c r="WL139" s="422"/>
      <c r="WM139" s="422"/>
      <c r="WN139" s="422"/>
      <c r="WO139" s="422"/>
      <c r="WP139" s="422"/>
      <c r="WQ139" s="422"/>
      <c r="WR139" s="422"/>
      <c r="WS139" s="422"/>
      <c r="WT139" s="422"/>
      <c r="WU139" s="422"/>
      <c r="WV139" s="422"/>
      <c r="WW139" s="422"/>
      <c r="WX139" s="422"/>
      <c r="WY139" s="422"/>
      <c r="WZ139" s="422"/>
      <c r="XA139" s="422"/>
      <c r="XB139" s="422"/>
      <c r="XC139" s="422"/>
      <c r="XD139" s="422"/>
      <c r="XE139" s="422"/>
      <c r="XF139" s="422"/>
      <c r="XG139" s="422"/>
      <c r="XH139" s="422"/>
      <c r="XI139" s="422"/>
      <c r="XJ139" s="422"/>
      <c r="XK139" s="422"/>
      <c r="XL139" s="422"/>
      <c r="XM139" s="422"/>
      <c r="XN139" s="422"/>
      <c r="XO139" s="422"/>
      <c r="XP139" s="422"/>
      <c r="XQ139" s="422"/>
      <c r="XR139" s="422"/>
      <c r="XS139" s="422"/>
      <c r="XT139" s="422"/>
      <c r="XU139" s="422"/>
      <c r="XV139" s="422"/>
      <c r="XW139" s="422"/>
      <c r="XX139" s="422"/>
      <c r="XY139" s="422"/>
      <c r="XZ139" s="422"/>
      <c r="YA139" s="422"/>
      <c r="YB139" s="422"/>
      <c r="YC139" s="422"/>
      <c r="YD139" s="422"/>
      <c r="YE139" s="422"/>
      <c r="YF139" s="422"/>
      <c r="YG139" s="422"/>
      <c r="YH139" s="422"/>
      <c r="YI139" s="422"/>
      <c r="YJ139" s="422"/>
      <c r="YK139" s="422"/>
      <c r="YL139" s="422"/>
      <c r="YM139" s="422"/>
      <c r="YN139" s="422"/>
      <c r="YO139" s="422"/>
      <c r="YP139" s="422"/>
      <c r="YQ139" s="422"/>
      <c r="YR139" s="422"/>
      <c r="YS139" s="422"/>
      <c r="YT139" s="422"/>
      <c r="YU139" s="422"/>
      <c r="YV139" s="422"/>
      <c r="YW139" s="422"/>
      <c r="YX139" s="422"/>
      <c r="YY139" s="422"/>
      <c r="YZ139" s="422"/>
      <c r="ZA139" s="422"/>
      <c r="ZB139" s="422"/>
      <c r="ZC139" s="422"/>
      <c r="ZD139" s="422"/>
      <c r="ZE139" s="422"/>
      <c r="ZF139" s="422"/>
      <c r="ZG139" s="422"/>
      <c r="ZH139" s="422"/>
      <c r="ZI139" s="422"/>
      <c r="ZJ139" s="422"/>
      <c r="ZK139" s="422"/>
      <c r="ZL139" s="422"/>
      <c r="ZM139" s="422"/>
      <c r="ZN139" s="422"/>
      <c r="ZO139" s="422"/>
      <c r="ZP139" s="422"/>
      <c r="ZQ139" s="422"/>
      <c r="ZR139" s="422"/>
      <c r="ZS139" s="422"/>
      <c r="ZT139" s="422"/>
      <c r="ZU139" s="422"/>
      <c r="ZV139" s="422"/>
      <c r="ZW139" s="422"/>
      <c r="ZX139" s="422"/>
      <c r="ZY139" s="422"/>
      <c r="ZZ139" s="422"/>
      <c r="AAA139" s="422"/>
      <c r="AAB139" s="422"/>
      <c r="AAC139" s="422"/>
      <c r="AAD139" s="422"/>
      <c r="AAE139" s="422"/>
      <c r="AAF139" s="422"/>
      <c r="AAG139" s="422"/>
      <c r="AAH139" s="422"/>
      <c r="AAI139" s="422"/>
      <c r="AAJ139" s="422"/>
      <c r="AAK139" s="422"/>
      <c r="AAL139" s="422"/>
      <c r="AAM139" s="422"/>
      <c r="AAN139" s="422"/>
      <c r="AAO139" s="422"/>
      <c r="AAP139" s="422"/>
      <c r="AAQ139" s="422"/>
      <c r="AAR139" s="422"/>
      <c r="AAS139" s="422"/>
      <c r="AAT139" s="422"/>
      <c r="AAU139" s="422"/>
      <c r="AAV139" s="422"/>
      <c r="AAW139" s="422"/>
      <c r="AAX139" s="422"/>
      <c r="AAY139" s="422"/>
      <c r="AAZ139" s="422"/>
      <c r="ABA139" s="422"/>
      <c r="ABB139" s="422"/>
      <c r="ABC139" s="422"/>
      <c r="ABD139" s="422"/>
      <c r="ABE139" s="422"/>
      <c r="ABF139" s="422"/>
      <c r="ABG139" s="422"/>
      <c r="ABH139" s="422"/>
      <c r="ABI139" s="422"/>
      <c r="ABJ139" s="422"/>
      <c r="ABK139" s="422"/>
      <c r="ABL139" s="422"/>
      <c r="ABM139" s="422"/>
      <c r="ABN139" s="422"/>
      <c r="ABO139" s="422"/>
      <c r="ABP139" s="422"/>
      <c r="ABQ139" s="422"/>
      <c r="ABR139" s="422"/>
      <c r="ABS139" s="422"/>
      <c r="ABT139" s="422"/>
      <c r="ABU139" s="422"/>
      <c r="ABV139" s="422"/>
      <c r="ABW139" s="422"/>
      <c r="ABX139" s="422"/>
      <c r="ABY139" s="422"/>
      <c r="ABZ139" s="422"/>
      <c r="ACA139" s="422"/>
      <c r="ACB139" s="422"/>
      <c r="ACC139" s="422"/>
      <c r="ACD139" s="422"/>
      <c r="ACE139" s="422"/>
      <c r="ACF139" s="422"/>
      <c r="ACG139" s="422"/>
      <c r="ACH139" s="422"/>
      <c r="ACI139" s="422"/>
      <c r="ACJ139" s="422"/>
      <c r="ACK139" s="422"/>
      <c r="ACL139" s="422"/>
      <c r="ACM139" s="422"/>
      <c r="ACN139" s="422"/>
      <c r="ACO139" s="422"/>
      <c r="ACP139" s="422"/>
      <c r="ACQ139" s="422"/>
      <c r="ACR139" s="422"/>
      <c r="ACS139" s="422"/>
      <c r="ACT139" s="422"/>
      <c r="ACU139" s="422"/>
      <c r="ACV139" s="422"/>
      <c r="ACW139" s="422"/>
      <c r="ACX139" s="422"/>
      <c r="ACY139" s="422"/>
      <c r="ACZ139" s="422"/>
      <c r="ADA139" s="422"/>
      <c r="ADB139" s="422"/>
      <c r="ADC139" s="422"/>
      <c r="ADD139" s="422"/>
      <c r="ADE139" s="422"/>
      <c r="ADF139" s="422"/>
      <c r="ADG139" s="422"/>
      <c r="ADH139" s="422"/>
      <c r="ADI139" s="422"/>
      <c r="ADJ139" s="422"/>
      <c r="ADK139" s="422"/>
      <c r="ADL139" s="422"/>
      <c r="ADM139" s="422"/>
      <c r="ADN139" s="422"/>
      <c r="ADO139" s="422"/>
      <c r="ADP139" s="422"/>
      <c r="ADQ139" s="422"/>
      <c r="ADR139" s="422"/>
      <c r="ADS139" s="422"/>
      <c r="ADT139" s="422"/>
      <c r="ADU139" s="422"/>
      <c r="ADV139" s="422"/>
      <c r="ADW139" s="422"/>
      <c r="ADX139" s="422"/>
      <c r="ADY139" s="422"/>
      <c r="ADZ139" s="422"/>
      <c r="AEA139" s="422"/>
      <c r="AEB139" s="422"/>
      <c r="AEC139" s="422"/>
      <c r="AED139" s="422"/>
      <c r="AEE139" s="422"/>
      <c r="AEF139" s="422"/>
      <c r="AEG139" s="422"/>
      <c r="AEH139" s="422"/>
      <c r="AEI139" s="422"/>
      <c r="AEJ139" s="422"/>
      <c r="AEK139" s="422"/>
      <c r="AEL139" s="422"/>
      <c r="AEM139" s="422"/>
      <c r="AEN139" s="422"/>
      <c r="AEO139" s="422"/>
      <c r="AEP139" s="422"/>
      <c r="AEQ139" s="422"/>
      <c r="AER139" s="422"/>
      <c r="AES139" s="422"/>
      <c r="AET139" s="422"/>
      <c r="AEU139" s="422"/>
      <c r="AEV139" s="422"/>
      <c r="AEW139" s="422"/>
      <c r="AEX139" s="422"/>
      <c r="AEY139" s="422"/>
      <c r="AEZ139" s="422"/>
      <c r="AFA139" s="422"/>
      <c r="AFB139" s="422"/>
      <c r="AFC139" s="422"/>
      <c r="AFD139" s="422"/>
      <c r="AFE139" s="422"/>
      <c r="AFF139" s="422"/>
      <c r="AFG139" s="422"/>
      <c r="AFH139" s="422"/>
      <c r="AFI139" s="422"/>
      <c r="AFJ139" s="422"/>
      <c r="AFK139" s="422"/>
      <c r="AFL139" s="422"/>
      <c r="AFM139" s="422"/>
      <c r="AFN139" s="422"/>
      <c r="AFO139" s="422"/>
      <c r="AFP139" s="422"/>
      <c r="AFQ139" s="422"/>
      <c r="AFR139" s="422"/>
      <c r="AFS139" s="422"/>
      <c r="AFT139" s="422"/>
      <c r="AFU139" s="422"/>
      <c r="AFV139" s="422"/>
      <c r="AFW139" s="422"/>
      <c r="AFX139" s="422"/>
      <c r="AFY139" s="422"/>
      <c r="AFZ139" s="422"/>
      <c r="AGA139" s="422"/>
      <c r="AGB139" s="422"/>
      <c r="AGC139" s="422"/>
      <c r="AGD139" s="422"/>
      <c r="AGE139" s="422"/>
      <c r="AGF139" s="422"/>
      <c r="AGG139" s="422"/>
      <c r="AGH139" s="422"/>
      <c r="AGI139" s="422"/>
      <c r="AGJ139" s="422"/>
      <c r="AGK139" s="422"/>
      <c r="AGL139" s="422"/>
      <c r="AGM139" s="422"/>
      <c r="AGN139" s="422"/>
      <c r="AGO139" s="422"/>
      <c r="AGP139" s="422"/>
      <c r="AGQ139" s="422"/>
      <c r="AGR139" s="422"/>
      <c r="AGS139" s="422"/>
      <c r="AGT139" s="422"/>
      <c r="AGU139" s="422"/>
      <c r="AGV139" s="422"/>
      <c r="AGW139" s="422"/>
      <c r="AGX139" s="422"/>
      <c r="AGY139" s="422"/>
      <c r="AGZ139" s="422"/>
      <c r="AHA139" s="422"/>
      <c r="AHB139" s="422"/>
      <c r="AHC139" s="422"/>
      <c r="AHD139" s="422"/>
      <c r="AHE139" s="422"/>
      <c r="AHF139" s="422"/>
      <c r="AHG139" s="422"/>
      <c r="AHH139" s="422"/>
      <c r="AHI139" s="422"/>
      <c r="AHJ139" s="422"/>
      <c r="AHK139" s="422"/>
      <c r="AHL139" s="422"/>
      <c r="AHM139" s="422"/>
      <c r="AHN139" s="422"/>
      <c r="AHO139" s="422"/>
      <c r="AHP139" s="422"/>
      <c r="AHQ139" s="422"/>
      <c r="AHR139" s="422"/>
      <c r="AHS139" s="422"/>
      <c r="AHT139" s="422"/>
      <c r="AHU139" s="422"/>
      <c r="AHV139" s="422"/>
      <c r="AHW139" s="422"/>
      <c r="AHX139" s="422"/>
      <c r="AHY139" s="422"/>
      <c r="AHZ139" s="422"/>
      <c r="AIA139" s="422"/>
      <c r="AIB139" s="422"/>
      <c r="AIC139" s="422"/>
      <c r="AID139" s="422"/>
      <c r="AIE139" s="422"/>
      <c r="AIF139" s="422"/>
      <c r="AIG139" s="422"/>
      <c r="AIH139" s="422"/>
      <c r="AII139" s="422"/>
      <c r="AIJ139" s="422"/>
      <c r="AIK139" s="422"/>
      <c r="AIL139" s="422"/>
      <c r="AIM139" s="422"/>
      <c r="AIN139" s="422"/>
      <c r="AIO139" s="422"/>
      <c r="AIP139" s="422"/>
      <c r="AIQ139" s="422"/>
      <c r="AIR139" s="422"/>
      <c r="AIS139" s="422"/>
      <c r="AIT139" s="422"/>
      <c r="AIU139" s="422"/>
      <c r="AIV139" s="422"/>
      <c r="AIW139" s="422"/>
      <c r="AIX139" s="422"/>
      <c r="AIY139" s="422"/>
      <c r="AIZ139" s="422"/>
      <c r="AJA139" s="422"/>
      <c r="AJB139" s="422"/>
      <c r="AJC139" s="422"/>
      <c r="AJD139" s="422"/>
      <c r="AJE139" s="422"/>
      <c r="AJF139" s="422"/>
      <c r="AJG139" s="422"/>
      <c r="AJH139" s="422"/>
      <c r="AJI139" s="422"/>
      <c r="AJJ139" s="422"/>
      <c r="AJK139" s="422"/>
      <c r="AJL139" s="422"/>
      <c r="AJM139" s="422"/>
      <c r="AJN139" s="422"/>
      <c r="AJO139" s="422"/>
      <c r="AJP139" s="422"/>
      <c r="AJQ139" s="422"/>
      <c r="AJR139" s="422"/>
      <c r="AJS139" s="422"/>
      <c r="AJT139" s="422"/>
      <c r="AJU139" s="422"/>
      <c r="AJV139" s="422"/>
      <c r="AJW139" s="422"/>
      <c r="AJX139" s="422"/>
      <c r="AJY139" s="422"/>
      <c r="AJZ139" s="422"/>
      <c r="AKA139" s="422"/>
      <c r="AKB139" s="422"/>
      <c r="AKC139" s="422"/>
      <c r="AKD139" s="422"/>
      <c r="AKE139" s="422"/>
      <c r="AKF139" s="422"/>
      <c r="AKG139" s="422"/>
      <c r="AKH139" s="422"/>
      <c r="AKI139" s="422"/>
      <c r="AKJ139" s="422"/>
      <c r="AKK139" s="422"/>
      <c r="AKL139" s="422"/>
      <c r="AKM139" s="422"/>
      <c r="AKN139" s="422"/>
      <c r="AKO139" s="422"/>
      <c r="AKP139" s="422"/>
      <c r="AKQ139" s="422"/>
      <c r="AKR139" s="422"/>
      <c r="AKS139" s="422"/>
      <c r="AKT139" s="422"/>
      <c r="AKU139" s="422"/>
      <c r="AKV139" s="422"/>
      <c r="AKW139" s="422"/>
      <c r="AKX139" s="422"/>
      <c r="AKY139" s="422"/>
      <c r="AKZ139" s="422"/>
      <c r="ALA139" s="422"/>
      <c r="ALB139" s="422"/>
      <c r="ALC139" s="422"/>
      <c r="ALD139" s="422"/>
      <c r="ALE139" s="422"/>
      <c r="ALF139" s="422"/>
      <c r="ALG139" s="422"/>
      <c r="ALH139" s="422"/>
      <c r="ALI139" s="422"/>
      <c r="ALJ139" s="422"/>
      <c r="ALK139" s="422"/>
      <c r="ALL139" s="422"/>
      <c r="ALM139" s="422"/>
      <c r="ALN139" s="422"/>
      <c r="ALO139" s="422"/>
      <c r="ALP139" s="422"/>
      <c r="ALQ139" s="422"/>
      <c r="ALR139" s="422"/>
      <c r="ALS139" s="422"/>
      <c r="ALT139" s="422"/>
      <c r="ALU139" s="422"/>
      <c r="ALV139" s="422"/>
      <c r="ALW139" s="422"/>
      <c r="ALX139" s="422"/>
      <c r="ALY139" s="422"/>
      <c r="ALZ139" s="422"/>
      <c r="AMA139" s="422"/>
      <c r="AMB139" s="422"/>
      <c r="AMC139" s="422"/>
      <c r="AMD139" s="422"/>
      <c r="AME139" s="422"/>
      <c r="AMF139" s="422"/>
      <c r="AMG139" s="422"/>
      <c r="AMH139" s="422"/>
      <c r="AMI139" s="422"/>
      <c r="AMJ139" s="422"/>
      <c r="AMK139" s="422"/>
      <c r="AML139" s="422"/>
      <c r="AMM139" s="422"/>
      <c r="AMN139" s="422"/>
      <c r="AMO139" s="422"/>
      <c r="AMP139" s="422"/>
      <c r="AMQ139" s="422"/>
      <c r="AMR139" s="422"/>
      <c r="AMS139" s="422"/>
      <c r="AMT139" s="422"/>
      <c r="AMU139" s="422"/>
      <c r="AMV139" s="422"/>
      <c r="AMW139" s="422"/>
      <c r="AMX139" s="422"/>
      <c r="AMY139" s="422"/>
      <c r="AMZ139" s="422"/>
      <c r="ANA139" s="422"/>
      <c r="ANB139" s="422"/>
      <c r="ANC139" s="422"/>
      <c r="AND139" s="422"/>
      <c r="ANE139" s="422"/>
      <c r="ANF139" s="422"/>
      <c r="ANG139" s="422"/>
      <c r="ANH139" s="422"/>
      <c r="ANI139" s="422"/>
      <c r="ANJ139" s="422"/>
      <c r="ANK139" s="422"/>
      <c r="ANL139" s="422"/>
      <c r="ANM139" s="422"/>
      <c r="ANN139" s="422"/>
      <c r="ANO139" s="422"/>
      <c r="ANP139" s="422"/>
      <c r="ANQ139" s="422"/>
      <c r="ANR139" s="422"/>
      <c r="ANS139" s="422"/>
      <c r="ANT139" s="422"/>
      <c r="ANU139" s="422"/>
      <c r="ANV139" s="422"/>
      <c r="ANW139" s="422"/>
      <c r="ANX139" s="422"/>
      <c r="ANY139" s="422"/>
      <c r="ANZ139" s="422"/>
      <c r="AOA139" s="422"/>
      <c r="AOB139" s="422"/>
      <c r="AOC139" s="422"/>
      <c r="AOD139" s="422"/>
      <c r="AOE139" s="422"/>
      <c r="AOF139" s="422"/>
      <c r="AOG139" s="422"/>
      <c r="AOH139" s="422"/>
      <c r="AOI139" s="422"/>
      <c r="AOJ139" s="422"/>
      <c r="AOK139" s="422"/>
      <c r="AOL139" s="422"/>
      <c r="AOM139" s="422"/>
      <c r="AON139" s="422"/>
      <c r="AOO139" s="422"/>
      <c r="AOP139" s="422"/>
      <c r="AOQ139" s="422"/>
      <c r="AOR139" s="422"/>
      <c r="AOS139" s="422"/>
      <c r="AOT139" s="422"/>
      <c r="AOU139" s="422"/>
      <c r="AOV139" s="422"/>
      <c r="AOW139" s="422"/>
      <c r="AOX139" s="422"/>
      <c r="AOY139" s="422"/>
      <c r="AOZ139" s="422"/>
      <c r="APA139" s="422"/>
      <c r="APB139" s="422"/>
      <c r="APC139" s="422"/>
      <c r="APD139" s="422"/>
      <c r="APE139" s="422"/>
      <c r="APF139" s="422"/>
      <c r="APG139" s="422"/>
      <c r="APH139" s="422"/>
      <c r="API139" s="422"/>
      <c r="APJ139" s="422"/>
      <c r="APK139" s="422"/>
      <c r="APL139" s="422"/>
      <c r="APM139" s="422"/>
      <c r="APN139" s="422"/>
      <c r="APO139" s="422"/>
      <c r="APP139" s="422"/>
      <c r="APQ139" s="422"/>
      <c r="APR139" s="422"/>
      <c r="APS139" s="422"/>
      <c r="APT139" s="422"/>
      <c r="APU139" s="422"/>
      <c r="APV139" s="422"/>
      <c r="APW139" s="422"/>
      <c r="APX139" s="422"/>
      <c r="APY139" s="422"/>
      <c r="APZ139" s="422"/>
      <c r="AQA139" s="422"/>
      <c r="AQB139" s="422"/>
      <c r="AQC139" s="422"/>
      <c r="AQD139" s="422"/>
      <c r="AQE139" s="422"/>
      <c r="AQF139" s="422"/>
      <c r="AQG139" s="422"/>
      <c r="AQH139" s="422"/>
      <c r="AQI139" s="422"/>
      <c r="AQJ139" s="422"/>
      <c r="AQK139" s="422"/>
      <c r="AQL139" s="422"/>
      <c r="AQM139" s="422"/>
      <c r="AQN139" s="422"/>
      <c r="AQO139" s="422"/>
      <c r="AQP139" s="422"/>
      <c r="AQQ139" s="422"/>
      <c r="AQR139" s="422"/>
      <c r="AQS139" s="422"/>
      <c r="AQT139" s="422"/>
      <c r="AQU139" s="422"/>
      <c r="AQV139" s="422"/>
      <c r="AQW139" s="422"/>
      <c r="AQX139" s="422"/>
      <c r="AQY139" s="422"/>
      <c r="AQZ139" s="422"/>
      <c r="ARA139" s="422"/>
      <c r="ARB139" s="422"/>
      <c r="ARC139" s="422"/>
      <c r="ARD139" s="422"/>
      <c r="ARE139" s="422"/>
      <c r="ARF139" s="422"/>
      <c r="ARG139" s="422"/>
      <c r="ARH139" s="422"/>
      <c r="ARI139" s="422"/>
      <c r="ARJ139" s="422"/>
      <c r="ARK139" s="422"/>
      <c r="ARL139" s="422"/>
      <c r="ARM139" s="422"/>
      <c r="ARN139" s="422"/>
      <c r="ARO139" s="422"/>
      <c r="ARP139" s="422"/>
      <c r="ARQ139" s="422"/>
      <c r="ARR139" s="422"/>
      <c r="ARS139" s="422"/>
      <c r="ART139" s="422"/>
      <c r="ARU139" s="422"/>
      <c r="ARV139" s="422"/>
      <c r="ARW139" s="422"/>
      <c r="ARX139" s="422"/>
      <c r="ARY139" s="422"/>
      <c r="ARZ139" s="422"/>
      <c r="ASA139" s="422"/>
      <c r="ASB139" s="422"/>
      <c r="ASC139" s="422"/>
      <c r="ASD139" s="422"/>
      <c r="ASE139" s="422"/>
      <c r="ASF139" s="422"/>
      <c r="ASG139" s="422"/>
      <c r="ASH139" s="422"/>
      <c r="ASI139" s="422"/>
      <c r="ASJ139" s="422"/>
      <c r="ASK139" s="422"/>
      <c r="ASL139" s="422"/>
      <c r="ASM139" s="422"/>
      <c r="ASN139" s="422"/>
      <c r="ASO139" s="422"/>
      <c r="ASP139" s="422"/>
      <c r="ASQ139" s="422"/>
      <c r="ASR139" s="422"/>
      <c r="ASS139" s="422"/>
      <c r="AST139" s="422"/>
      <c r="ASU139" s="422"/>
      <c r="ASV139" s="422"/>
      <c r="ASW139" s="422"/>
      <c r="ASX139" s="422"/>
      <c r="ASY139" s="422"/>
      <c r="ASZ139" s="422"/>
      <c r="ATA139" s="422"/>
      <c r="ATB139" s="422"/>
      <c r="ATC139" s="422"/>
      <c r="ATD139" s="422"/>
      <c r="ATE139" s="422"/>
      <c r="ATF139" s="422"/>
      <c r="ATG139" s="422"/>
      <c r="ATH139" s="422"/>
      <c r="ATI139" s="422"/>
      <c r="ATJ139" s="422"/>
      <c r="ATK139" s="422"/>
      <c r="ATL139" s="422"/>
      <c r="ATM139" s="422"/>
      <c r="ATN139" s="422"/>
      <c r="ATO139" s="422"/>
      <c r="ATP139" s="422"/>
      <c r="ATQ139" s="422"/>
      <c r="ATR139" s="422"/>
      <c r="ATS139" s="422"/>
      <c r="ATT139" s="422"/>
      <c r="ATU139" s="422"/>
      <c r="ATV139" s="422"/>
      <c r="ATW139" s="422"/>
      <c r="ATX139" s="422"/>
      <c r="ATY139" s="422"/>
      <c r="ATZ139" s="422"/>
      <c r="AUA139" s="422"/>
      <c r="AUB139" s="422"/>
      <c r="AUC139" s="422"/>
      <c r="AUD139" s="422"/>
      <c r="AUE139" s="422"/>
      <c r="AUF139" s="422"/>
      <c r="AUG139" s="422"/>
      <c r="AUH139" s="422"/>
      <c r="AUI139" s="422"/>
      <c r="AUJ139" s="422"/>
      <c r="AUK139" s="422"/>
      <c r="AUL139" s="422"/>
      <c r="AUM139" s="422"/>
      <c r="AUN139" s="422"/>
      <c r="AUO139" s="422"/>
      <c r="AUP139" s="422"/>
      <c r="AUQ139" s="422"/>
      <c r="AUR139" s="422"/>
      <c r="AUS139" s="422"/>
      <c r="AUT139" s="422"/>
      <c r="AUU139" s="422"/>
      <c r="AUV139" s="422"/>
      <c r="AUW139" s="422"/>
      <c r="AUX139" s="422"/>
      <c r="AUY139" s="422"/>
      <c r="AUZ139" s="422"/>
      <c r="AVA139" s="422"/>
      <c r="AVB139" s="422"/>
      <c r="AVC139" s="422"/>
      <c r="AVD139" s="422"/>
      <c r="AVE139" s="422"/>
      <c r="AVF139" s="422"/>
      <c r="AVG139" s="422"/>
      <c r="AVH139" s="422"/>
      <c r="AVI139" s="422"/>
      <c r="AVJ139" s="422"/>
      <c r="AVK139" s="422"/>
      <c r="AVL139" s="422"/>
      <c r="AVM139" s="422"/>
      <c r="AVN139" s="422"/>
      <c r="AVO139" s="422"/>
      <c r="AVP139" s="422"/>
      <c r="AVQ139" s="422"/>
      <c r="AVR139" s="422"/>
      <c r="AVS139" s="422"/>
      <c r="AVT139" s="422"/>
      <c r="AVU139" s="422"/>
      <c r="AVV139" s="422"/>
      <c r="AVW139" s="422"/>
      <c r="AVX139" s="422"/>
      <c r="AVY139" s="422"/>
      <c r="AVZ139" s="422"/>
      <c r="AWA139" s="422"/>
      <c r="AWB139" s="422"/>
      <c r="AWC139" s="422"/>
      <c r="AWD139" s="422"/>
      <c r="AWE139" s="422"/>
      <c r="AWF139" s="422"/>
      <c r="AWG139" s="422"/>
      <c r="AWH139" s="422"/>
      <c r="AWI139" s="422"/>
      <c r="AWJ139" s="422"/>
      <c r="AWK139" s="422"/>
      <c r="AWL139" s="422"/>
      <c r="AWM139" s="422"/>
      <c r="AWN139" s="422"/>
      <c r="AWO139" s="422"/>
      <c r="AWP139" s="422"/>
      <c r="AWQ139" s="422"/>
      <c r="AWR139" s="422"/>
      <c r="AWS139" s="422"/>
      <c r="AWT139" s="422"/>
      <c r="AWU139" s="422"/>
      <c r="AWV139" s="422"/>
      <c r="AWW139" s="422"/>
      <c r="AWX139" s="422"/>
      <c r="AWY139" s="422"/>
      <c r="AWZ139" s="422"/>
      <c r="AXA139" s="422"/>
      <c r="AXB139" s="422"/>
      <c r="AXC139" s="422"/>
      <c r="AXD139" s="422"/>
      <c r="AXE139" s="422"/>
      <c r="AXF139" s="422"/>
      <c r="AXG139" s="422"/>
      <c r="AXH139" s="422"/>
      <c r="AXI139" s="422"/>
      <c r="AXJ139" s="422"/>
      <c r="AXK139" s="422"/>
      <c r="AXL139" s="422"/>
      <c r="AXM139" s="422"/>
      <c r="AXN139" s="422"/>
      <c r="AXO139" s="422"/>
      <c r="AXP139" s="422"/>
      <c r="AXQ139" s="422"/>
      <c r="AXR139" s="422"/>
      <c r="AXS139" s="422"/>
      <c r="AXT139" s="422"/>
      <c r="AXU139" s="422"/>
      <c r="AXV139" s="422"/>
      <c r="AXW139" s="422"/>
      <c r="AXX139" s="422"/>
      <c r="AXY139" s="422"/>
      <c r="AXZ139" s="422"/>
      <c r="AYA139" s="422"/>
      <c r="AYB139" s="422"/>
      <c r="AYC139" s="422"/>
      <c r="AYD139" s="422"/>
      <c r="AYE139" s="422"/>
      <c r="AYF139" s="422"/>
      <c r="AYG139" s="422"/>
      <c r="AYH139" s="422"/>
      <c r="AYI139" s="422"/>
      <c r="AYJ139" s="422"/>
      <c r="AYK139" s="422"/>
      <c r="AYL139" s="422"/>
      <c r="AYM139" s="422"/>
      <c r="AYN139" s="422"/>
      <c r="AYO139" s="422"/>
      <c r="AYP139" s="422"/>
      <c r="AYQ139" s="422"/>
      <c r="AYR139" s="422"/>
      <c r="AYS139" s="422"/>
      <c r="AYT139" s="422"/>
      <c r="AYU139" s="422"/>
      <c r="AYV139" s="422"/>
      <c r="AYW139" s="422"/>
      <c r="AYX139" s="422"/>
      <c r="AYY139" s="422"/>
      <c r="AYZ139" s="422"/>
      <c r="AZA139" s="422"/>
      <c r="AZB139" s="422"/>
      <c r="AZC139" s="422"/>
      <c r="AZD139" s="422"/>
      <c r="AZE139" s="422"/>
      <c r="AZF139" s="422"/>
      <c r="AZG139" s="422"/>
      <c r="AZH139" s="422"/>
      <c r="AZI139" s="422"/>
      <c r="AZJ139" s="422"/>
      <c r="AZK139" s="422"/>
      <c r="AZL139" s="422"/>
      <c r="AZM139" s="422"/>
      <c r="AZN139" s="422"/>
      <c r="AZO139" s="422"/>
      <c r="AZP139" s="422"/>
      <c r="AZQ139" s="422"/>
      <c r="AZR139" s="422"/>
      <c r="AZS139" s="422"/>
      <c r="AZT139" s="422"/>
      <c r="AZU139" s="422"/>
      <c r="AZV139" s="422"/>
      <c r="AZW139" s="422"/>
      <c r="AZX139" s="422"/>
      <c r="AZY139" s="422"/>
      <c r="AZZ139" s="422"/>
      <c r="BAA139" s="422"/>
      <c r="BAB139" s="422"/>
      <c r="BAC139" s="422"/>
      <c r="BAD139" s="422"/>
      <c r="BAE139" s="422"/>
      <c r="BAF139" s="422"/>
      <c r="BAG139" s="422"/>
      <c r="BAH139" s="422"/>
      <c r="BAI139" s="422"/>
      <c r="BAJ139" s="422"/>
      <c r="BAK139" s="422"/>
      <c r="BAL139" s="422"/>
      <c r="BAM139" s="422"/>
      <c r="BAN139" s="422"/>
      <c r="BAO139" s="422"/>
      <c r="BAP139" s="422"/>
      <c r="BAQ139" s="422"/>
      <c r="BAR139" s="422"/>
      <c r="BAS139" s="422"/>
      <c r="BAT139" s="422"/>
      <c r="BAU139" s="422"/>
      <c r="BAV139" s="422"/>
      <c r="BAW139" s="422"/>
      <c r="BAX139" s="422"/>
      <c r="BAY139" s="422"/>
      <c r="BAZ139" s="422"/>
      <c r="BBA139" s="422"/>
      <c r="BBB139" s="422"/>
      <c r="BBC139" s="422"/>
      <c r="BBD139" s="422"/>
      <c r="BBE139" s="422"/>
      <c r="BBF139" s="422"/>
      <c r="BBG139" s="422"/>
      <c r="BBH139" s="422"/>
      <c r="BBI139" s="422"/>
      <c r="BBJ139" s="422"/>
      <c r="BBK139" s="422"/>
      <c r="BBL139" s="422"/>
      <c r="BBM139" s="422"/>
      <c r="BBN139" s="422"/>
      <c r="BBO139" s="422"/>
      <c r="BBP139" s="422"/>
      <c r="BBQ139" s="422"/>
      <c r="BBR139" s="422"/>
      <c r="BBS139" s="422"/>
      <c r="BBT139" s="422"/>
      <c r="BBU139" s="422"/>
      <c r="BBV139" s="422"/>
      <c r="BBW139" s="422"/>
      <c r="BBX139" s="422"/>
      <c r="BBY139" s="422"/>
      <c r="BBZ139" s="422"/>
      <c r="BCA139" s="422"/>
      <c r="BCB139" s="422"/>
      <c r="BCC139" s="422"/>
      <c r="BCD139" s="422"/>
      <c r="BCE139" s="422"/>
      <c r="BCF139" s="422"/>
      <c r="BCG139" s="422"/>
      <c r="BCH139" s="422"/>
      <c r="BCI139" s="422"/>
      <c r="BCJ139" s="422"/>
      <c r="BCK139" s="422"/>
      <c r="BCL139" s="422"/>
      <c r="BCM139" s="422"/>
      <c r="BCN139" s="422"/>
      <c r="BCO139" s="422"/>
      <c r="BCP139" s="422"/>
      <c r="BCQ139" s="422"/>
      <c r="BCR139" s="422"/>
      <c r="BCS139" s="422"/>
      <c r="BCT139" s="422"/>
      <c r="BCU139" s="422"/>
      <c r="BCV139" s="422"/>
      <c r="BCW139" s="422"/>
      <c r="BCX139" s="422"/>
      <c r="BCY139" s="422"/>
      <c r="BCZ139" s="422"/>
      <c r="BDA139" s="422"/>
      <c r="BDB139" s="422"/>
      <c r="BDC139" s="422"/>
      <c r="BDD139" s="422"/>
      <c r="BDE139" s="422"/>
      <c r="BDF139" s="422"/>
      <c r="BDG139" s="422"/>
      <c r="BDH139" s="422"/>
      <c r="BDI139" s="422"/>
      <c r="BDJ139" s="422"/>
      <c r="BDK139" s="422"/>
      <c r="BDL139" s="422"/>
      <c r="BDM139" s="422"/>
      <c r="BDN139" s="422"/>
      <c r="BDO139" s="422"/>
      <c r="BDP139" s="422"/>
      <c r="BDQ139" s="422"/>
      <c r="BDR139" s="422"/>
      <c r="BDS139" s="422"/>
      <c r="BDT139" s="422"/>
      <c r="BDU139" s="422"/>
      <c r="BDV139" s="422"/>
      <c r="BDW139" s="422"/>
      <c r="BDX139" s="422"/>
      <c r="BDY139" s="422"/>
      <c r="BDZ139" s="422"/>
      <c r="BEA139" s="422"/>
      <c r="BEB139" s="422"/>
      <c r="BEC139" s="422"/>
      <c r="BED139" s="422"/>
      <c r="BEE139" s="422"/>
      <c r="BEF139" s="422"/>
      <c r="BEG139" s="422"/>
      <c r="BEH139" s="422"/>
      <c r="BEI139" s="422"/>
      <c r="BEJ139" s="422"/>
      <c r="BEK139" s="422"/>
      <c r="BEL139" s="422"/>
      <c r="BEM139" s="422"/>
      <c r="BEN139" s="422"/>
      <c r="BEO139" s="422"/>
      <c r="BEP139" s="422"/>
      <c r="BEQ139" s="422"/>
      <c r="BER139" s="422"/>
      <c r="BES139" s="422"/>
      <c r="BET139" s="422"/>
      <c r="BEU139" s="422"/>
      <c r="BEV139" s="422"/>
      <c r="BEW139" s="422"/>
      <c r="BEX139" s="422"/>
      <c r="BEY139" s="422"/>
      <c r="BEZ139" s="422"/>
      <c r="BFA139" s="422"/>
      <c r="BFB139" s="422"/>
      <c r="BFC139" s="422"/>
      <c r="BFD139" s="422"/>
      <c r="BFE139" s="422"/>
      <c r="BFF139" s="422"/>
      <c r="BFG139" s="422"/>
      <c r="BFH139" s="422"/>
      <c r="BFI139" s="422"/>
      <c r="BFJ139" s="422"/>
      <c r="BFK139" s="422"/>
      <c r="BFL139" s="422"/>
      <c r="BFM139" s="422"/>
      <c r="BFN139" s="422"/>
      <c r="BFO139" s="422"/>
      <c r="BFP139" s="422"/>
      <c r="BFQ139" s="422"/>
      <c r="BFR139" s="422"/>
      <c r="BFS139" s="422"/>
      <c r="BFT139" s="422"/>
      <c r="BFU139" s="422"/>
      <c r="BFV139" s="422"/>
      <c r="BFW139" s="422"/>
      <c r="BFX139" s="422"/>
      <c r="BFY139" s="422"/>
      <c r="BFZ139" s="422"/>
      <c r="BGA139" s="422"/>
      <c r="BGB139" s="422"/>
      <c r="BGC139" s="422"/>
      <c r="BGD139" s="422"/>
      <c r="BGE139" s="422"/>
      <c r="BGF139" s="422"/>
      <c r="BGG139" s="422"/>
      <c r="BGH139" s="422"/>
      <c r="BGI139" s="422"/>
      <c r="BGJ139" s="422"/>
      <c r="BGK139" s="422"/>
      <c r="BGL139" s="422"/>
      <c r="BGM139" s="422"/>
      <c r="BGN139" s="422"/>
      <c r="BGO139" s="422"/>
      <c r="BGP139" s="422"/>
      <c r="BGQ139" s="422"/>
      <c r="BGR139" s="422"/>
      <c r="BGS139" s="422"/>
      <c r="BGT139" s="422"/>
      <c r="BGU139" s="422"/>
      <c r="BGV139" s="422"/>
      <c r="BGW139" s="422"/>
      <c r="BGX139" s="422"/>
      <c r="BGY139" s="422"/>
      <c r="BGZ139" s="422"/>
      <c r="BHA139" s="422"/>
      <c r="BHB139" s="422"/>
      <c r="BHC139" s="422"/>
      <c r="BHD139" s="422"/>
      <c r="BHE139" s="422"/>
      <c r="BHF139" s="422"/>
      <c r="BHG139" s="422"/>
      <c r="BHH139" s="422"/>
      <c r="BHI139" s="422"/>
      <c r="BHJ139" s="422"/>
      <c r="BHK139" s="422"/>
      <c r="BHL139" s="422"/>
      <c r="BHM139" s="422"/>
      <c r="BHN139" s="422"/>
      <c r="BHO139" s="422"/>
      <c r="BHP139" s="422"/>
      <c r="BHQ139" s="422"/>
      <c r="BHR139" s="422"/>
      <c r="BHS139" s="422"/>
      <c r="BHT139" s="422"/>
      <c r="BHU139" s="422"/>
      <c r="BHV139" s="422"/>
      <c r="BHW139" s="422"/>
      <c r="BHX139" s="422"/>
      <c r="BHY139" s="422"/>
      <c r="BHZ139" s="422"/>
      <c r="BIA139" s="422"/>
      <c r="BIB139" s="422"/>
      <c r="BIC139" s="422"/>
      <c r="BID139" s="422"/>
      <c r="BIE139" s="422"/>
      <c r="BIF139" s="422"/>
      <c r="BIG139" s="422"/>
      <c r="BIH139" s="422"/>
      <c r="BII139" s="422"/>
      <c r="BIJ139" s="422"/>
      <c r="BIK139" s="422"/>
      <c r="BIL139" s="422"/>
      <c r="BIM139" s="422"/>
      <c r="BIN139" s="422"/>
      <c r="BIO139" s="422"/>
      <c r="BIP139" s="422"/>
      <c r="BIQ139" s="422"/>
      <c r="BIR139" s="422"/>
      <c r="BIS139" s="422"/>
      <c r="BIT139" s="422"/>
      <c r="BIU139" s="422"/>
      <c r="BIV139" s="422"/>
      <c r="BIW139" s="422"/>
      <c r="BIX139" s="422"/>
      <c r="BIY139" s="422"/>
      <c r="BIZ139" s="422"/>
      <c r="BJA139" s="422"/>
      <c r="BJB139" s="422"/>
      <c r="BJC139" s="422"/>
      <c r="BJD139" s="422"/>
      <c r="BJE139" s="422"/>
      <c r="BJF139" s="422"/>
      <c r="BJG139" s="422"/>
      <c r="BJH139" s="422"/>
      <c r="BJI139" s="422"/>
      <c r="BJJ139" s="422"/>
      <c r="BJK139" s="422"/>
      <c r="BJL139" s="422"/>
      <c r="BJM139" s="422"/>
      <c r="BJN139" s="422"/>
      <c r="BJO139" s="422"/>
      <c r="BJP139" s="422"/>
      <c r="BJQ139" s="422"/>
      <c r="BJR139" s="422"/>
      <c r="BJS139" s="422"/>
      <c r="BJT139" s="422"/>
      <c r="BJU139" s="422"/>
      <c r="BJV139" s="422"/>
      <c r="BJW139" s="422"/>
      <c r="BJX139" s="422"/>
      <c r="BJY139" s="422"/>
      <c r="BJZ139" s="422"/>
      <c r="BKA139" s="422"/>
      <c r="BKB139" s="422"/>
      <c r="BKC139" s="422"/>
      <c r="BKD139" s="422"/>
      <c r="BKE139" s="422"/>
      <c r="BKF139" s="422"/>
      <c r="BKG139" s="422"/>
      <c r="BKH139" s="422"/>
      <c r="BKI139" s="422"/>
      <c r="BKJ139" s="422"/>
      <c r="BKK139" s="422"/>
      <c r="BKL139" s="422"/>
      <c r="BKM139" s="422"/>
      <c r="BKN139" s="422"/>
      <c r="BKO139" s="422"/>
      <c r="BKP139" s="422"/>
      <c r="BKQ139" s="422"/>
      <c r="BKR139" s="422"/>
      <c r="BKS139" s="422"/>
      <c r="BKT139" s="422"/>
      <c r="BKU139" s="422"/>
      <c r="BKV139" s="422"/>
      <c r="BKW139" s="422"/>
      <c r="BKX139" s="422"/>
      <c r="BKY139" s="422"/>
      <c r="BKZ139" s="422"/>
      <c r="BLA139" s="422"/>
      <c r="BLB139" s="422"/>
      <c r="BLC139" s="422"/>
      <c r="BLD139" s="422"/>
      <c r="BLE139" s="422"/>
      <c r="BLF139" s="422"/>
      <c r="BLG139" s="422"/>
      <c r="BLH139" s="422"/>
      <c r="BLI139" s="422"/>
      <c r="BLJ139" s="422"/>
      <c r="BLK139" s="422"/>
      <c r="BLL139" s="422"/>
      <c r="BLM139" s="422"/>
      <c r="BLN139" s="422"/>
      <c r="BLO139" s="422"/>
      <c r="BLP139" s="422"/>
      <c r="BLQ139" s="422"/>
      <c r="BLR139" s="422"/>
      <c r="BLS139" s="422"/>
      <c r="BLT139" s="422"/>
      <c r="BLU139" s="422"/>
      <c r="BLV139" s="422"/>
      <c r="BLW139" s="422"/>
      <c r="BLX139" s="422"/>
      <c r="BLY139" s="422"/>
      <c r="BLZ139" s="422"/>
      <c r="BMA139" s="422"/>
      <c r="BMB139" s="422"/>
      <c r="BMC139" s="422"/>
      <c r="BMD139" s="422"/>
      <c r="BME139" s="422"/>
      <c r="BMF139" s="422"/>
      <c r="BMG139" s="422"/>
      <c r="BMH139" s="422"/>
      <c r="BMI139" s="422"/>
      <c r="BMJ139" s="422"/>
      <c r="BMK139" s="422"/>
      <c r="BML139" s="422"/>
      <c r="BMM139" s="422"/>
      <c r="BMN139" s="422"/>
      <c r="BMO139" s="422"/>
      <c r="BMP139" s="422"/>
      <c r="BMQ139" s="422"/>
      <c r="BMR139" s="422"/>
      <c r="BMS139" s="422"/>
      <c r="BMT139" s="422"/>
      <c r="BMU139" s="422"/>
      <c r="BMV139" s="422"/>
      <c r="BMW139" s="422"/>
      <c r="BMX139" s="422"/>
      <c r="BMY139" s="422"/>
      <c r="BMZ139" s="422"/>
      <c r="BNA139" s="422"/>
      <c r="BNB139" s="422"/>
      <c r="BNC139" s="422"/>
      <c r="BND139" s="422"/>
      <c r="BNE139" s="422"/>
      <c r="BNF139" s="422"/>
      <c r="BNG139" s="422"/>
      <c r="BNH139" s="422"/>
      <c r="BNI139" s="422"/>
      <c r="BNJ139" s="422"/>
      <c r="BNK139" s="422"/>
      <c r="BNL139" s="422"/>
      <c r="BNM139" s="422"/>
      <c r="BNN139" s="422"/>
      <c r="BNO139" s="422"/>
      <c r="BNP139" s="422"/>
      <c r="BNQ139" s="422"/>
      <c r="BNR139" s="422"/>
      <c r="BNS139" s="422"/>
      <c r="BNT139" s="422"/>
      <c r="BNU139" s="422"/>
      <c r="BNV139" s="422"/>
      <c r="BNW139" s="422"/>
      <c r="BNX139" s="422"/>
      <c r="BNY139" s="422"/>
      <c r="BNZ139" s="422"/>
      <c r="BOA139" s="422"/>
      <c r="BOB139" s="422"/>
      <c r="BOC139" s="422"/>
      <c r="BOD139" s="422"/>
      <c r="BOE139" s="422"/>
      <c r="BOF139" s="422"/>
      <c r="BOG139" s="422"/>
      <c r="BOH139" s="422"/>
      <c r="BOI139" s="422"/>
      <c r="BOJ139" s="422"/>
      <c r="BOK139" s="422"/>
      <c r="BOL139" s="422"/>
      <c r="BOM139" s="422"/>
      <c r="BON139" s="422"/>
      <c r="BOO139" s="422"/>
      <c r="BOP139" s="422"/>
      <c r="BOQ139" s="422"/>
      <c r="BOR139" s="422"/>
      <c r="BOS139" s="422"/>
      <c r="BOT139" s="422"/>
      <c r="BOU139" s="422"/>
      <c r="BOV139" s="422"/>
      <c r="BOW139" s="422"/>
      <c r="BOX139" s="422"/>
      <c r="BOY139" s="422"/>
      <c r="BOZ139" s="422"/>
      <c r="BPA139" s="422"/>
      <c r="BPB139" s="422"/>
      <c r="BPC139" s="422"/>
      <c r="BPD139" s="422"/>
      <c r="BPE139" s="422"/>
      <c r="BPF139" s="422"/>
      <c r="BPG139" s="422"/>
      <c r="BPH139" s="422"/>
      <c r="BPI139" s="422"/>
      <c r="BPJ139" s="422"/>
      <c r="BPK139" s="422"/>
      <c r="BPL139" s="422"/>
      <c r="BPM139" s="422"/>
      <c r="BPN139" s="422"/>
      <c r="BPO139" s="422"/>
      <c r="BPP139" s="422"/>
      <c r="BPQ139" s="422"/>
      <c r="BPR139" s="422"/>
      <c r="BPS139" s="422"/>
      <c r="BPT139" s="422"/>
      <c r="BPU139" s="422"/>
      <c r="BPV139" s="422"/>
      <c r="BPW139" s="422"/>
      <c r="BPX139" s="422"/>
      <c r="BPY139" s="422"/>
      <c r="BPZ139" s="422"/>
      <c r="BQA139" s="422"/>
      <c r="BQB139" s="422"/>
      <c r="BQC139" s="422"/>
      <c r="BQD139" s="422"/>
      <c r="BQE139" s="422"/>
      <c r="BQF139" s="422"/>
      <c r="BQG139" s="422"/>
      <c r="BQH139" s="422"/>
      <c r="BQI139" s="422"/>
      <c r="BQJ139" s="422"/>
      <c r="BQK139" s="422"/>
      <c r="BQL139" s="422"/>
      <c r="BQM139" s="422"/>
      <c r="BQN139" s="422"/>
      <c r="BQO139" s="422"/>
      <c r="BQP139" s="422"/>
      <c r="BQQ139" s="422"/>
      <c r="BQR139" s="422"/>
      <c r="BQS139" s="422"/>
      <c r="BQT139" s="422"/>
      <c r="BQU139" s="422"/>
      <c r="BQV139" s="422"/>
      <c r="BQW139" s="422"/>
      <c r="BQX139" s="422"/>
      <c r="BQY139" s="422"/>
      <c r="BQZ139" s="422"/>
      <c r="BRA139" s="422"/>
      <c r="BRB139" s="422"/>
      <c r="BRC139" s="422"/>
      <c r="BRD139" s="422"/>
      <c r="BRE139" s="422"/>
      <c r="BRF139" s="422"/>
      <c r="BRG139" s="422"/>
      <c r="BRH139" s="422"/>
      <c r="BRI139" s="422"/>
      <c r="BRJ139" s="422"/>
      <c r="BRK139" s="422"/>
      <c r="BRL139" s="422"/>
      <c r="BRM139" s="422"/>
      <c r="BRN139" s="422"/>
      <c r="BRO139" s="422"/>
      <c r="BRP139" s="422"/>
      <c r="BRQ139" s="422"/>
      <c r="BRR139" s="422"/>
      <c r="BRS139" s="422"/>
      <c r="BRT139" s="422"/>
      <c r="BRU139" s="422"/>
      <c r="BRV139" s="422"/>
      <c r="BRW139" s="422"/>
      <c r="BRX139" s="422"/>
      <c r="BRY139" s="422"/>
      <c r="BRZ139" s="422"/>
      <c r="BSA139" s="422"/>
      <c r="BSB139" s="422"/>
      <c r="BSC139" s="422"/>
      <c r="BSD139" s="422"/>
      <c r="BSE139" s="422"/>
      <c r="BSF139" s="422"/>
      <c r="BSG139" s="422"/>
      <c r="BSH139" s="422"/>
      <c r="BSI139" s="422"/>
      <c r="BSJ139" s="422"/>
      <c r="BSK139" s="422"/>
      <c r="BSL139" s="422"/>
      <c r="BSM139" s="422"/>
      <c r="BSN139" s="422"/>
      <c r="BSO139" s="422"/>
      <c r="BSP139" s="422"/>
      <c r="BSQ139" s="422"/>
      <c r="BSR139" s="422"/>
      <c r="BSS139" s="422"/>
      <c r="BST139" s="422"/>
      <c r="BSU139" s="422"/>
      <c r="BSV139" s="422"/>
      <c r="BSW139" s="422"/>
      <c r="BSX139" s="422"/>
      <c r="BSY139" s="422"/>
      <c r="BSZ139" s="422"/>
      <c r="BTA139" s="422"/>
      <c r="BTB139" s="422"/>
      <c r="BTC139" s="422"/>
      <c r="BTD139" s="422"/>
      <c r="BTE139" s="422"/>
      <c r="BTF139" s="422"/>
      <c r="BTG139" s="422"/>
      <c r="BTH139" s="422"/>
      <c r="BTI139" s="422"/>
      <c r="BTJ139" s="422"/>
      <c r="BTK139" s="422"/>
      <c r="BTL139" s="422"/>
      <c r="BTM139" s="422"/>
      <c r="BTN139" s="422"/>
      <c r="BTO139" s="422"/>
      <c r="BTP139" s="422"/>
      <c r="BTQ139" s="422"/>
      <c r="BTR139" s="422"/>
      <c r="BTS139" s="422"/>
      <c r="BTT139" s="422"/>
      <c r="BTU139" s="422"/>
      <c r="BTV139" s="422"/>
      <c r="BTW139" s="422"/>
      <c r="BTX139" s="422"/>
      <c r="BTY139" s="422"/>
      <c r="BTZ139" s="422"/>
      <c r="BUA139" s="422"/>
      <c r="BUB139" s="422"/>
      <c r="BUC139" s="422"/>
      <c r="BUD139" s="422"/>
      <c r="BUE139" s="422"/>
      <c r="BUF139" s="422"/>
      <c r="BUG139" s="422"/>
      <c r="BUH139" s="422"/>
      <c r="BUI139" s="422"/>
      <c r="BUJ139" s="422"/>
      <c r="BUK139" s="422"/>
      <c r="BUL139" s="422"/>
      <c r="BUM139" s="422"/>
      <c r="BUN139" s="422"/>
      <c r="BUO139" s="422"/>
      <c r="BUP139" s="422"/>
      <c r="BUQ139" s="422"/>
      <c r="BUR139" s="422"/>
      <c r="BUS139" s="422"/>
      <c r="BUT139" s="422"/>
      <c r="BUU139" s="422"/>
      <c r="BUV139" s="422"/>
      <c r="BUW139" s="422"/>
      <c r="BUX139" s="422"/>
      <c r="BUY139" s="422"/>
      <c r="BUZ139" s="422"/>
      <c r="BVA139" s="422"/>
      <c r="BVB139" s="422"/>
      <c r="BVC139" s="422"/>
      <c r="BVD139" s="422"/>
      <c r="BVE139" s="422"/>
      <c r="BVF139" s="422"/>
      <c r="BVG139" s="422"/>
      <c r="BVH139" s="422"/>
      <c r="BVI139" s="422"/>
      <c r="BVJ139" s="422"/>
      <c r="BVK139" s="422"/>
      <c r="BVL139" s="422"/>
      <c r="BVM139" s="422"/>
      <c r="BVN139" s="422"/>
      <c r="BVO139" s="422"/>
      <c r="BVP139" s="422"/>
      <c r="BVQ139" s="422"/>
      <c r="BVR139" s="422"/>
      <c r="BVS139" s="422"/>
      <c r="BVT139" s="422"/>
      <c r="BVU139" s="422"/>
      <c r="BVV139" s="422"/>
      <c r="BVW139" s="422"/>
      <c r="BVX139" s="422"/>
      <c r="BVY139" s="422"/>
      <c r="BVZ139" s="422"/>
      <c r="BWA139" s="422"/>
      <c r="BWB139" s="422"/>
      <c r="BWC139" s="422"/>
      <c r="BWD139" s="422"/>
      <c r="BWE139" s="422"/>
      <c r="BWF139" s="422"/>
      <c r="BWG139" s="422"/>
      <c r="BWH139" s="422"/>
      <c r="BWI139" s="422"/>
      <c r="BWJ139" s="422"/>
      <c r="BWK139" s="422"/>
      <c r="BWL139" s="422"/>
      <c r="BWM139" s="422"/>
      <c r="BWN139" s="422"/>
      <c r="BWO139" s="422"/>
      <c r="BWP139" s="422"/>
      <c r="BWQ139" s="422"/>
      <c r="BWR139" s="422"/>
      <c r="BWS139" s="422"/>
      <c r="BWT139" s="422"/>
      <c r="BWU139" s="422"/>
      <c r="BWV139" s="422"/>
      <c r="BWW139" s="422"/>
      <c r="BWX139" s="422"/>
      <c r="BWY139" s="422"/>
      <c r="BWZ139" s="422"/>
      <c r="BXA139" s="422"/>
      <c r="BXB139" s="422"/>
      <c r="BXC139" s="422"/>
      <c r="BXD139" s="422"/>
      <c r="BXE139" s="422"/>
      <c r="BXF139" s="422"/>
      <c r="BXG139" s="422"/>
      <c r="BXH139" s="422"/>
      <c r="BXI139" s="422"/>
      <c r="BXJ139" s="422"/>
      <c r="BXK139" s="422"/>
      <c r="BXL139" s="422"/>
      <c r="BXM139" s="422"/>
      <c r="BXN139" s="422"/>
      <c r="BXO139" s="422"/>
      <c r="BXP139" s="422"/>
      <c r="BXQ139" s="422"/>
      <c r="BXR139" s="422"/>
      <c r="BXS139" s="422"/>
      <c r="BXT139" s="422"/>
      <c r="BXU139" s="422"/>
      <c r="BXV139" s="422"/>
      <c r="BXW139" s="422"/>
      <c r="BXX139" s="422"/>
      <c r="BXY139" s="422"/>
      <c r="BXZ139" s="422"/>
      <c r="BYA139" s="422"/>
      <c r="BYB139" s="422"/>
      <c r="BYC139" s="422"/>
      <c r="BYD139" s="422"/>
      <c r="BYE139" s="422"/>
      <c r="BYF139" s="422"/>
      <c r="BYG139" s="422"/>
      <c r="BYH139" s="422"/>
      <c r="BYI139" s="422"/>
      <c r="BYJ139" s="422"/>
      <c r="BYK139" s="422"/>
      <c r="BYL139" s="422"/>
      <c r="BYM139" s="422"/>
      <c r="BYN139" s="422"/>
      <c r="BYO139" s="422"/>
      <c r="BYP139" s="422"/>
      <c r="BYQ139" s="422"/>
      <c r="BYR139" s="422"/>
      <c r="BYS139" s="422"/>
      <c r="BYT139" s="422"/>
      <c r="BYU139" s="422"/>
      <c r="BYV139" s="422"/>
      <c r="BYW139" s="422"/>
      <c r="BYX139" s="422"/>
      <c r="BYY139" s="422"/>
      <c r="BYZ139" s="422"/>
      <c r="BZA139" s="422"/>
      <c r="BZB139" s="422"/>
      <c r="BZC139" s="422"/>
      <c r="BZD139" s="422"/>
      <c r="BZE139" s="422"/>
      <c r="BZF139" s="422"/>
      <c r="BZG139" s="422"/>
      <c r="BZH139" s="422"/>
      <c r="BZI139" s="422"/>
      <c r="BZJ139" s="422"/>
      <c r="BZK139" s="422"/>
      <c r="BZL139" s="422"/>
      <c r="BZM139" s="422"/>
      <c r="BZN139" s="422"/>
      <c r="BZO139" s="422"/>
      <c r="BZP139" s="422"/>
      <c r="BZQ139" s="422"/>
      <c r="BZR139" s="422"/>
      <c r="BZS139" s="422"/>
      <c r="BZT139" s="422"/>
      <c r="BZU139" s="422"/>
      <c r="BZV139" s="422"/>
      <c r="BZW139" s="422"/>
      <c r="BZX139" s="422"/>
      <c r="BZY139" s="422"/>
      <c r="BZZ139" s="422"/>
      <c r="CAA139" s="422"/>
      <c r="CAB139" s="422"/>
      <c r="CAC139" s="422"/>
      <c r="CAD139" s="422"/>
      <c r="CAE139" s="422"/>
      <c r="CAF139" s="422"/>
      <c r="CAG139" s="422"/>
      <c r="CAH139" s="422"/>
      <c r="CAI139" s="422"/>
      <c r="CAJ139" s="422"/>
      <c r="CAK139" s="422"/>
      <c r="CAL139" s="422"/>
      <c r="CAM139" s="422"/>
      <c r="CAN139" s="422"/>
      <c r="CAO139" s="422"/>
      <c r="CAP139" s="422"/>
      <c r="CAQ139" s="422"/>
      <c r="CAR139" s="422"/>
      <c r="CAS139" s="422"/>
      <c r="CAT139" s="422"/>
      <c r="CAU139" s="422"/>
      <c r="CAV139" s="422"/>
      <c r="CAW139" s="422"/>
      <c r="CAX139" s="422"/>
      <c r="CAY139" s="422"/>
      <c r="CAZ139" s="422"/>
      <c r="CBA139" s="422"/>
      <c r="CBB139" s="422"/>
      <c r="CBC139" s="422"/>
      <c r="CBD139" s="422"/>
      <c r="CBE139" s="422"/>
      <c r="CBF139" s="422"/>
      <c r="CBG139" s="422"/>
      <c r="CBH139" s="422"/>
      <c r="CBI139" s="422"/>
      <c r="CBJ139" s="422"/>
      <c r="CBK139" s="422"/>
      <c r="CBL139" s="422"/>
      <c r="CBM139" s="422"/>
      <c r="CBN139" s="422"/>
      <c r="CBO139" s="422"/>
      <c r="CBP139" s="422"/>
      <c r="CBQ139" s="422"/>
      <c r="CBR139" s="422"/>
      <c r="CBS139" s="422"/>
      <c r="CBT139" s="422"/>
      <c r="CBU139" s="422"/>
      <c r="CBV139" s="422"/>
      <c r="CBW139" s="422"/>
      <c r="CBX139" s="422"/>
      <c r="CBY139" s="422"/>
      <c r="CBZ139" s="422"/>
      <c r="CCA139" s="422"/>
      <c r="CCB139" s="422"/>
      <c r="CCC139" s="422"/>
      <c r="CCD139" s="422"/>
      <c r="CCE139" s="422"/>
      <c r="CCF139" s="422"/>
      <c r="CCG139" s="422"/>
      <c r="CCH139" s="422"/>
      <c r="CCI139" s="422"/>
      <c r="CCJ139" s="422"/>
      <c r="CCK139" s="422"/>
      <c r="CCL139" s="422"/>
      <c r="CCM139" s="422"/>
      <c r="CCN139" s="422"/>
      <c r="CCO139" s="422"/>
      <c r="CCP139" s="422"/>
      <c r="CCQ139" s="422"/>
      <c r="CCR139" s="422"/>
      <c r="CCS139" s="422"/>
      <c r="CCT139" s="422"/>
      <c r="CCU139" s="422"/>
      <c r="CCV139" s="422"/>
      <c r="CCW139" s="422"/>
      <c r="CCX139" s="422"/>
      <c r="CCY139" s="422"/>
      <c r="CCZ139" s="422"/>
      <c r="CDA139" s="422"/>
      <c r="CDB139" s="422"/>
      <c r="CDC139" s="422"/>
      <c r="CDD139" s="422"/>
      <c r="CDE139" s="422"/>
      <c r="CDF139" s="422"/>
      <c r="CDG139" s="422"/>
      <c r="CDH139" s="422"/>
      <c r="CDI139" s="422"/>
      <c r="CDJ139" s="422"/>
      <c r="CDK139" s="422"/>
      <c r="CDL139" s="422"/>
      <c r="CDM139" s="422"/>
      <c r="CDN139" s="422"/>
      <c r="CDO139" s="422"/>
      <c r="CDP139" s="422"/>
      <c r="CDQ139" s="422"/>
      <c r="CDR139" s="422"/>
      <c r="CDS139" s="422"/>
      <c r="CDT139" s="422"/>
      <c r="CDU139" s="422"/>
      <c r="CDV139" s="422"/>
      <c r="CDW139" s="422"/>
      <c r="CDX139" s="422"/>
      <c r="CDY139" s="422"/>
      <c r="CDZ139" s="422"/>
      <c r="CEA139" s="422"/>
      <c r="CEB139" s="422"/>
      <c r="CEC139" s="422"/>
      <c r="CED139" s="422"/>
      <c r="CEE139" s="422"/>
      <c r="CEF139" s="422"/>
      <c r="CEG139" s="422"/>
      <c r="CEH139" s="422"/>
      <c r="CEI139" s="422"/>
      <c r="CEJ139" s="422"/>
      <c r="CEK139" s="422"/>
      <c r="CEL139" s="422"/>
      <c r="CEM139" s="422"/>
      <c r="CEN139" s="422"/>
      <c r="CEO139" s="422"/>
      <c r="CEP139" s="422"/>
      <c r="CEQ139" s="422"/>
      <c r="CER139" s="422"/>
      <c r="CES139" s="422"/>
      <c r="CET139" s="422"/>
      <c r="CEU139" s="422"/>
      <c r="CEV139" s="422"/>
      <c r="CEW139" s="422"/>
      <c r="CEX139" s="422"/>
      <c r="CEY139" s="422"/>
      <c r="CEZ139" s="422"/>
      <c r="CFA139" s="422"/>
      <c r="CFB139" s="422"/>
      <c r="CFC139" s="422"/>
      <c r="CFD139" s="422"/>
      <c r="CFE139" s="422"/>
      <c r="CFF139" s="422"/>
      <c r="CFG139" s="422"/>
      <c r="CFH139" s="422"/>
      <c r="CFI139" s="422"/>
      <c r="CFJ139" s="422"/>
      <c r="CFK139" s="422"/>
      <c r="CFL139" s="422"/>
      <c r="CFM139" s="422"/>
      <c r="CFN139" s="422"/>
      <c r="CFO139" s="422"/>
      <c r="CFP139" s="422"/>
      <c r="CFQ139" s="422"/>
      <c r="CFR139" s="422"/>
      <c r="CFS139" s="422"/>
      <c r="CFT139" s="422"/>
      <c r="CFU139" s="422"/>
      <c r="CFV139" s="422"/>
      <c r="CFW139" s="422"/>
      <c r="CFX139" s="422"/>
      <c r="CFY139" s="422"/>
      <c r="CFZ139" s="422"/>
      <c r="CGA139" s="422"/>
      <c r="CGB139" s="422"/>
      <c r="CGC139" s="422"/>
      <c r="CGD139" s="422"/>
      <c r="CGE139" s="422"/>
      <c r="CGF139" s="422"/>
      <c r="CGG139" s="422"/>
      <c r="CGH139" s="422"/>
      <c r="CGI139" s="422"/>
      <c r="CGJ139" s="422"/>
      <c r="CGK139" s="422"/>
      <c r="CGL139" s="422"/>
      <c r="CGM139" s="422"/>
      <c r="CGN139" s="422"/>
      <c r="CGO139" s="422"/>
      <c r="CGP139" s="422"/>
      <c r="CGQ139" s="422"/>
      <c r="CGR139" s="422"/>
      <c r="CGS139" s="422"/>
      <c r="CGT139" s="422"/>
      <c r="CGU139" s="422"/>
      <c r="CGV139" s="422"/>
      <c r="CGW139" s="422"/>
      <c r="CGX139" s="422"/>
      <c r="CGY139" s="422"/>
      <c r="CGZ139" s="422"/>
      <c r="CHA139" s="422"/>
      <c r="CHB139" s="422"/>
      <c r="CHC139" s="422"/>
      <c r="CHD139" s="422"/>
      <c r="CHE139" s="422"/>
      <c r="CHF139" s="422"/>
      <c r="CHG139" s="422"/>
      <c r="CHH139" s="422"/>
      <c r="CHI139" s="422"/>
      <c r="CHJ139" s="422"/>
      <c r="CHK139" s="422"/>
      <c r="CHL139" s="422"/>
      <c r="CHM139" s="422"/>
      <c r="CHN139" s="422"/>
      <c r="CHO139" s="422"/>
      <c r="CHP139" s="422"/>
      <c r="CHQ139" s="422"/>
      <c r="CHR139" s="422"/>
      <c r="CHS139" s="422"/>
      <c r="CHT139" s="422"/>
      <c r="CHU139" s="422"/>
      <c r="CHV139" s="422"/>
      <c r="CHW139" s="422"/>
      <c r="CHX139" s="422"/>
      <c r="CHY139" s="422"/>
      <c r="CHZ139" s="422"/>
      <c r="CIA139" s="422"/>
      <c r="CIB139" s="422"/>
      <c r="CIC139" s="422"/>
      <c r="CID139" s="422"/>
      <c r="CIE139" s="422"/>
      <c r="CIF139" s="422"/>
      <c r="CIG139" s="422"/>
      <c r="CIH139" s="422"/>
      <c r="CII139" s="422"/>
      <c r="CIJ139" s="422"/>
      <c r="CIK139" s="422"/>
      <c r="CIL139" s="422"/>
      <c r="CIM139" s="422"/>
      <c r="CIN139" s="422"/>
      <c r="CIO139" s="422"/>
      <c r="CIP139" s="422"/>
      <c r="CIQ139" s="422"/>
      <c r="CIR139" s="422"/>
      <c r="CIS139" s="422"/>
      <c r="CIT139" s="422"/>
      <c r="CIU139" s="422"/>
      <c r="CIV139" s="422"/>
      <c r="CIW139" s="422"/>
      <c r="CIX139" s="422"/>
      <c r="CIY139" s="422"/>
      <c r="CIZ139" s="422"/>
      <c r="CJA139" s="422"/>
      <c r="CJB139" s="422"/>
      <c r="CJC139" s="422"/>
      <c r="CJD139" s="422"/>
      <c r="CJE139" s="422"/>
      <c r="CJF139" s="422"/>
      <c r="CJG139" s="422"/>
      <c r="CJH139" s="422"/>
      <c r="CJI139" s="422"/>
      <c r="CJJ139" s="422"/>
      <c r="CJK139" s="422"/>
      <c r="CJL139" s="422"/>
      <c r="CJM139" s="422"/>
      <c r="CJN139" s="422"/>
      <c r="CJO139" s="422"/>
      <c r="CJP139" s="422"/>
      <c r="CJQ139" s="422"/>
      <c r="CJR139" s="422"/>
      <c r="CJS139" s="422"/>
      <c r="CJT139" s="422"/>
      <c r="CJU139" s="422"/>
      <c r="CJV139" s="422"/>
      <c r="CJW139" s="422"/>
      <c r="CJX139" s="422"/>
      <c r="CJY139" s="422"/>
      <c r="CJZ139" s="422"/>
      <c r="CKA139" s="422"/>
      <c r="CKB139" s="422"/>
      <c r="CKC139" s="422"/>
      <c r="CKD139" s="422"/>
      <c r="CKE139" s="422"/>
      <c r="CKF139" s="422"/>
      <c r="CKG139" s="422"/>
      <c r="CKH139" s="422"/>
      <c r="CKI139" s="422"/>
      <c r="CKJ139" s="422"/>
      <c r="CKK139" s="422"/>
      <c r="CKL139" s="422"/>
      <c r="CKM139" s="422"/>
      <c r="CKN139" s="422"/>
      <c r="CKO139" s="422"/>
      <c r="CKP139" s="422"/>
      <c r="CKQ139" s="422"/>
      <c r="CKR139" s="422"/>
      <c r="CKS139" s="422"/>
      <c r="CKT139" s="422"/>
      <c r="CKU139" s="422"/>
      <c r="CKV139" s="422"/>
      <c r="CKW139" s="422"/>
      <c r="CKX139" s="422"/>
      <c r="CKY139" s="422"/>
      <c r="CKZ139" s="422"/>
      <c r="CLA139" s="422"/>
      <c r="CLB139" s="422"/>
      <c r="CLC139" s="422"/>
      <c r="CLD139" s="422"/>
      <c r="CLE139" s="422"/>
      <c r="CLF139" s="422"/>
      <c r="CLG139" s="422"/>
      <c r="CLH139" s="422"/>
      <c r="CLI139" s="422"/>
      <c r="CLJ139" s="422"/>
      <c r="CLK139" s="422"/>
      <c r="CLL139" s="422"/>
      <c r="CLM139" s="422"/>
      <c r="CLN139" s="422"/>
      <c r="CLO139" s="422"/>
      <c r="CLP139" s="422"/>
      <c r="CLQ139" s="422"/>
      <c r="CLR139" s="422"/>
      <c r="CLS139" s="422"/>
      <c r="CLT139" s="422"/>
      <c r="CLU139" s="422"/>
      <c r="CLV139" s="422"/>
      <c r="CLW139" s="422"/>
      <c r="CLX139" s="422"/>
      <c r="CLY139" s="422"/>
      <c r="CLZ139" s="422"/>
      <c r="CMA139" s="422"/>
      <c r="CMB139" s="422"/>
      <c r="CMC139" s="422"/>
      <c r="CMD139" s="422"/>
      <c r="CME139" s="422"/>
      <c r="CMF139" s="422"/>
      <c r="CMG139" s="422"/>
      <c r="CMH139" s="422"/>
      <c r="CMI139" s="422"/>
      <c r="CMJ139" s="422"/>
      <c r="CMK139" s="422"/>
      <c r="CML139" s="422"/>
      <c r="CMM139" s="422"/>
      <c r="CMN139" s="422"/>
      <c r="CMO139" s="422"/>
      <c r="CMP139" s="422"/>
      <c r="CMQ139" s="422"/>
      <c r="CMR139" s="422"/>
      <c r="CMS139" s="422"/>
      <c r="CMT139" s="422"/>
      <c r="CMU139" s="422"/>
      <c r="CMV139" s="422"/>
      <c r="CMW139" s="422"/>
      <c r="CMX139" s="422"/>
      <c r="CMY139" s="422"/>
      <c r="CMZ139" s="422"/>
      <c r="CNA139" s="422"/>
      <c r="CNB139" s="422"/>
      <c r="CNC139" s="422"/>
      <c r="CND139" s="422"/>
      <c r="CNE139" s="422"/>
      <c r="CNF139" s="422"/>
      <c r="CNG139" s="422"/>
      <c r="CNH139" s="422"/>
      <c r="CNI139" s="422"/>
      <c r="CNJ139" s="422"/>
      <c r="CNK139" s="422"/>
      <c r="CNL139" s="422"/>
      <c r="CNM139" s="422"/>
      <c r="CNN139" s="422"/>
      <c r="CNO139" s="422"/>
      <c r="CNP139" s="422"/>
      <c r="CNQ139" s="422"/>
      <c r="CNR139" s="422"/>
      <c r="CNS139" s="422"/>
      <c r="CNT139" s="422"/>
      <c r="CNU139" s="422"/>
      <c r="CNV139" s="422"/>
      <c r="CNW139" s="422"/>
      <c r="CNX139" s="422"/>
      <c r="CNY139" s="422"/>
      <c r="CNZ139" s="422"/>
      <c r="COA139" s="422"/>
      <c r="COB139" s="422"/>
      <c r="COC139" s="422"/>
      <c r="COD139" s="422"/>
      <c r="COE139" s="422"/>
      <c r="COF139" s="422"/>
      <c r="COG139" s="422"/>
      <c r="COH139" s="422"/>
      <c r="COI139" s="422"/>
      <c r="COJ139" s="422"/>
      <c r="COK139" s="422"/>
      <c r="COL139" s="422"/>
      <c r="COM139" s="422"/>
      <c r="CON139" s="422"/>
      <c r="COO139" s="422"/>
      <c r="COP139" s="422"/>
      <c r="COQ139" s="422"/>
      <c r="COR139" s="422"/>
      <c r="COS139" s="422"/>
      <c r="COT139" s="422"/>
      <c r="COU139" s="422"/>
      <c r="COV139" s="422"/>
      <c r="COW139" s="422"/>
      <c r="COX139" s="422"/>
      <c r="COY139" s="422"/>
      <c r="COZ139" s="422"/>
      <c r="CPA139" s="422"/>
      <c r="CPB139" s="422"/>
      <c r="CPC139" s="422"/>
      <c r="CPD139" s="422"/>
      <c r="CPE139" s="422"/>
      <c r="CPF139" s="422"/>
      <c r="CPG139" s="422"/>
      <c r="CPH139" s="422"/>
      <c r="CPI139" s="422"/>
      <c r="CPJ139" s="422"/>
      <c r="CPK139" s="422"/>
      <c r="CPL139" s="422"/>
      <c r="CPM139" s="422"/>
      <c r="CPN139" s="422"/>
      <c r="CPO139" s="422"/>
      <c r="CPP139" s="422"/>
      <c r="CPQ139" s="422"/>
      <c r="CPR139" s="422"/>
      <c r="CPS139" s="422"/>
      <c r="CPT139" s="422"/>
      <c r="CPU139" s="422"/>
      <c r="CPV139" s="422"/>
      <c r="CPW139" s="422"/>
      <c r="CPX139" s="422"/>
      <c r="CPY139" s="422"/>
      <c r="CPZ139" s="422"/>
      <c r="CQA139" s="422"/>
      <c r="CQB139" s="422"/>
      <c r="CQC139" s="422"/>
      <c r="CQD139" s="422"/>
      <c r="CQE139" s="422"/>
      <c r="CQF139" s="422"/>
      <c r="CQG139" s="422"/>
      <c r="CQH139" s="422"/>
      <c r="CQI139" s="422"/>
      <c r="CQJ139" s="422"/>
      <c r="CQK139" s="422"/>
      <c r="CQL139" s="422"/>
      <c r="CQM139" s="422"/>
      <c r="CQN139" s="422"/>
      <c r="CQO139" s="422"/>
      <c r="CQP139" s="422"/>
      <c r="CQQ139" s="422"/>
      <c r="CQR139" s="422"/>
      <c r="CQS139" s="422"/>
      <c r="CQT139" s="422"/>
      <c r="CQU139" s="422"/>
      <c r="CQV139" s="422"/>
      <c r="CQW139" s="422"/>
      <c r="CQX139" s="422"/>
      <c r="CQY139" s="422"/>
      <c r="CQZ139" s="422"/>
      <c r="CRA139" s="422"/>
      <c r="CRB139" s="422"/>
      <c r="CRC139" s="422"/>
      <c r="CRD139" s="422"/>
      <c r="CRE139" s="422"/>
      <c r="CRF139" s="422"/>
      <c r="CRG139" s="422"/>
      <c r="CRH139" s="422"/>
      <c r="CRI139" s="422"/>
      <c r="CRJ139" s="422"/>
      <c r="CRK139" s="422"/>
      <c r="CRL139" s="422"/>
      <c r="CRM139" s="422"/>
      <c r="CRN139" s="422"/>
      <c r="CRO139" s="422"/>
      <c r="CRP139" s="422"/>
      <c r="CRQ139" s="422"/>
      <c r="CRR139" s="422"/>
      <c r="CRS139" s="422"/>
      <c r="CRT139" s="422"/>
      <c r="CRU139" s="422"/>
      <c r="CRV139" s="422"/>
      <c r="CRW139" s="422"/>
      <c r="CRX139" s="422"/>
      <c r="CRY139" s="422"/>
      <c r="CRZ139" s="422"/>
      <c r="CSA139" s="422"/>
      <c r="CSB139" s="422"/>
      <c r="CSC139" s="422"/>
      <c r="CSD139" s="422"/>
      <c r="CSE139" s="422"/>
      <c r="CSF139" s="422"/>
      <c r="CSG139" s="422"/>
      <c r="CSH139" s="422"/>
      <c r="CSI139" s="422"/>
      <c r="CSJ139" s="422"/>
      <c r="CSK139" s="422"/>
      <c r="CSL139" s="422"/>
      <c r="CSM139" s="422"/>
      <c r="CSN139" s="422"/>
      <c r="CSO139" s="422"/>
      <c r="CSP139" s="422"/>
      <c r="CSQ139" s="422"/>
      <c r="CSR139" s="422"/>
      <c r="CSS139" s="422"/>
      <c r="CST139" s="422"/>
      <c r="CSU139" s="422"/>
      <c r="CSV139" s="422"/>
      <c r="CSW139" s="422"/>
      <c r="CSX139" s="422"/>
      <c r="CSY139" s="422"/>
      <c r="CSZ139" s="422"/>
      <c r="CTA139" s="422"/>
      <c r="CTB139" s="422"/>
      <c r="CTC139" s="422"/>
      <c r="CTD139" s="422"/>
      <c r="CTE139" s="422"/>
      <c r="CTF139" s="422"/>
      <c r="CTG139" s="422"/>
      <c r="CTH139" s="422"/>
      <c r="CTI139" s="422"/>
      <c r="CTJ139" s="422"/>
      <c r="CTK139" s="422"/>
      <c r="CTL139" s="422"/>
      <c r="CTM139" s="422"/>
      <c r="CTN139" s="422"/>
      <c r="CTO139" s="422"/>
      <c r="CTP139" s="422"/>
      <c r="CTQ139" s="422"/>
      <c r="CTR139" s="422"/>
      <c r="CTS139" s="422"/>
      <c r="CTT139" s="422"/>
      <c r="CTU139" s="422"/>
      <c r="CTV139" s="422"/>
      <c r="CTW139" s="422"/>
      <c r="CTX139" s="422"/>
      <c r="CTY139" s="422"/>
      <c r="CTZ139" s="422"/>
      <c r="CUA139" s="422"/>
      <c r="CUB139" s="422"/>
      <c r="CUC139" s="422"/>
      <c r="CUD139" s="422"/>
      <c r="CUE139" s="422"/>
      <c r="CUF139" s="422"/>
      <c r="CUG139" s="422"/>
      <c r="CUH139" s="422"/>
      <c r="CUI139" s="422"/>
      <c r="CUJ139" s="422"/>
      <c r="CUK139" s="422"/>
      <c r="CUL139" s="422"/>
      <c r="CUM139" s="422"/>
      <c r="CUN139" s="422"/>
      <c r="CUO139" s="422"/>
      <c r="CUP139" s="422"/>
      <c r="CUQ139" s="422"/>
      <c r="CUR139" s="422"/>
      <c r="CUS139" s="422"/>
      <c r="CUT139" s="422"/>
      <c r="CUU139" s="422"/>
      <c r="CUV139" s="422"/>
      <c r="CUW139" s="422"/>
      <c r="CUX139" s="422"/>
      <c r="CUY139" s="422"/>
      <c r="CUZ139" s="422"/>
      <c r="CVA139" s="422"/>
      <c r="CVB139" s="422"/>
      <c r="CVC139" s="422"/>
      <c r="CVD139" s="422"/>
      <c r="CVE139" s="422"/>
      <c r="CVF139" s="422"/>
      <c r="CVG139" s="422"/>
      <c r="CVH139" s="422"/>
      <c r="CVI139" s="422"/>
      <c r="CVJ139" s="422"/>
      <c r="CVK139" s="422"/>
      <c r="CVL139" s="422"/>
      <c r="CVM139" s="422"/>
      <c r="CVN139" s="422"/>
      <c r="CVO139" s="422"/>
      <c r="CVP139" s="422"/>
      <c r="CVQ139" s="422"/>
      <c r="CVR139" s="422"/>
      <c r="CVS139" s="422"/>
      <c r="CVT139" s="422"/>
      <c r="CVU139" s="422"/>
      <c r="CVV139" s="422"/>
      <c r="CVW139" s="422"/>
      <c r="CVX139" s="422"/>
      <c r="CVY139" s="422"/>
      <c r="CVZ139" s="422"/>
      <c r="CWA139" s="422"/>
      <c r="CWB139" s="422"/>
      <c r="CWC139" s="422"/>
      <c r="CWD139" s="422"/>
      <c r="CWE139" s="422"/>
      <c r="CWF139" s="422"/>
      <c r="CWG139" s="422"/>
      <c r="CWH139" s="422"/>
      <c r="CWI139" s="422"/>
      <c r="CWJ139" s="422"/>
      <c r="CWK139" s="422"/>
      <c r="CWL139" s="422"/>
      <c r="CWM139" s="422"/>
      <c r="CWN139" s="422"/>
      <c r="CWO139" s="422"/>
      <c r="CWP139" s="422"/>
      <c r="CWQ139" s="422"/>
      <c r="CWR139" s="422"/>
      <c r="CWS139" s="422"/>
      <c r="CWT139" s="422"/>
      <c r="CWU139" s="422"/>
      <c r="CWV139" s="422"/>
      <c r="CWW139" s="422"/>
      <c r="CWX139" s="422"/>
      <c r="CWY139" s="422"/>
      <c r="CWZ139" s="422"/>
      <c r="CXA139" s="422"/>
      <c r="CXB139" s="422"/>
      <c r="CXC139" s="422"/>
      <c r="CXD139" s="422"/>
      <c r="CXE139" s="422"/>
      <c r="CXF139" s="422"/>
      <c r="CXG139" s="422"/>
      <c r="CXH139" s="422"/>
      <c r="CXI139" s="422"/>
      <c r="CXJ139" s="422"/>
      <c r="CXK139" s="422"/>
      <c r="CXL139" s="422"/>
      <c r="CXM139" s="422"/>
      <c r="CXN139" s="422"/>
      <c r="CXO139" s="422"/>
      <c r="CXP139" s="422"/>
      <c r="CXQ139" s="422"/>
      <c r="CXR139" s="422"/>
      <c r="CXS139" s="422"/>
      <c r="CXT139" s="422"/>
      <c r="CXU139" s="422"/>
      <c r="CXV139" s="422"/>
      <c r="CXW139" s="422"/>
      <c r="CXX139" s="422"/>
      <c r="CXY139" s="422"/>
      <c r="CXZ139" s="422"/>
      <c r="CYA139" s="422"/>
      <c r="CYB139" s="422"/>
      <c r="CYC139" s="422"/>
      <c r="CYD139" s="422"/>
      <c r="CYE139" s="422"/>
      <c r="CYF139" s="422"/>
      <c r="CYG139" s="422"/>
      <c r="CYH139" s="422"/>
      <c r="CYI139" s="422"/>
      <c r="CYJ139" s="422"/>
      <c r="CYK139" s="422"/>
      <c r="CYL139" s="422"/>
      <c r="CYM139" s="422"/>
      <c r="CYN139" s="422"/>
      <c r="CYO139" s="422"/>
      <c r="CYP139" s="422"/>
      <c r="CYQ139" s="422"/>
      <c r="CYR139" s="422"/>
      <c r="CYS139" s="422"/>
      <c r="CYT139" s="422"/>
      <c r="CYU139" s="422"/>
      <c r="CYV139" s="422"/>
      <c r="CYW139" s="422"/>
      <c r="CYX139" s="422"/>
      <c r="CYY139" s="422"/>
      <c r="CYZ139" s="422"/>
      <c r="CZA139" s="422"/>
      <c r="CZB139" s="422"/>
      <c r="CZC139" s="422"/>
      <c r="CZD139" s="422"/>
      <c r="CZE139" s="422"/>
      <c r="CZF139" s="422"/>
      <c r="CZG139" s="422"/>
      <c r="CZH139" s="422"/>
      <c r="CZI139" s="422"/>
      <c r="CZJ139" s="422"/>
      <c r="CZK139" s="422"/>
      <c r="CZL139" s="422"/>
      <c r="CZM139" s="422"/>
      <c r="CZN139" s="422"/>
      <c r="CZO139" s="422"/>
      <c r="CZP139" s="422"/>
      <c r="CZQ139" s="422"/>
      <c r="CZR139" s="422"/>
      <c r="CZS139" s="422"/>
      <c r="CZT139" s="422"/>
      <c r="CZU139" s="422"/>
      <c r="CZV139" s="422"/>
      <c r="CZW139" s="422"/>
      <c r="CZX139" s="422"/>
      <c r="CZY139" s="422"/>
      <c r="CZZ139" s="422"/>
      <c r="DAA139" s="422"/>
      <c r="DAB139" s="422"/>
      <c r="DAC139" s="422"/>
      <c r="DAD139" s="422"/>
      <c r="DAE139" s="422"/>
      <c r="DAF139" s="422"/>
      <c r="DAG139" s="422"/>
      <c r="DAH139" s="422"/>
      <c r="DAI139" s="422"/>
      <c r="DAJ139" s="422"/>
      <c r="DAK139" s="422"/>
      <c r="DAL139" s="422"/>
      <c r="DAM139" s="422"/>
      <c r="DAN139" s="422"/>
      <c r="DAO139" s="422"/>
      <c r="DAP139" s="422"/>
      <c r="DAQ139" s="422"/>
      <c r="DAR139" s="422"/>
      <c r="DAS139" s="422"/>
      <c r="DAT139" s="422"/>
      <c r="DAU139" s="422"/>
      <c r="DAV139" s="422"/>
      <c r="DAW139" s="422"/>
      <c r="DAX139" s="422"/>
      <c r="DAY139" s="422"/>
      <c r="DAZ139" s="422"/>
      <c r="DBA139" s="422"/>
      <c r="DBB139" s="422"/>
      <c r="DBC139" s="422"/>
      <c r="DBD139" s="422"/>
      <c r="DBE139" s="422"/>
      <c r="DBF139" s="422"/>
      <c r="DBG139" s="422"/>
      <c r="DBH139" s="422"/>
      <c r="DBI139" s="422"/>
      <c r="DBJ139" s="422"/>
      <c r="DBK139" s="422"/>
      <c r="DBL139" s="422"/>
      <c r="DBM139" s="422"/>
      <c r="DBN139" s="422"/>
      <c r="DBO139" s="422"/>
      <c r="DBP139" s="422"/>
      <c r="DBQ139" s="422"/>
      <c r="DBR139" s="422"/>
      <c r="DBS139" s="422"/>
      <c r="DBT139" s="422"/>
      <c r="DBU139" s="422"/>
      <c r="DBV139" s="422"/>
      <c r="DBW139" s="422"/>
      <c r="DBX139" s="422"/>
      <c r="DBY139" s="422"/>
      <c r="DBZ139" s="422"/>
      <c r="DCA139" s="422"/>
      <c r="DCB139" s="422"/>
      <c r="DCC139" s="422"/>
      <c r="DCD139" s="422"/>
      <c r="DCE139" s="422"/>
      <c r="DCF139" s="422"/>
      <c r="DCG139" s="422"/>
      <c r="DCH139" s="422"/>
      <c r="DCI139" s="422"/>
      <c r="DCJ139" s="422"/>
      <c r="DCK139" s="422"/>
      <c r="DCL139" s="422"/>
      <c r="DCM139" s="422"/>
      <c r="DCN139" s="422"/>
      <c r="DCO139" s="422"/>
      <c r="DCP139" s="422"/>
      <c r="DCQ139" s="422"/>
      <c r="DCR139" s="422"/>
      <c r="DCS139" s="422"/>
      <c r="DCT139" s="422"/>
      <c r="DCU139" s="422"/>
      <c r="DCV139" s="422"/>
      <c r="DCW139" s="422"/>
      <c r="DCX139" s="422"/>
      <c r="DCY139" s="422"/>
      <c r="DCZ139" s="422"/>
      <c r="DDA139" s="422"/>
      <c r="DDB139" s="422"/>
      <c r="DDC139" s="422"/>
      <c r="DDD139" s="422"/>
      <c r="DDE139" s="422"/>
      <c r="DDF139" s="422"/>
      <c r="DDG139" s="422"/>
      <c r="DDH139" s="422"/>
      <c r="DDI139" s="422"/>
      <c r="DDJ139" s="422"/>
      <c r="DDK139" s="422"/>
      <c r="DDL139" s="422"/>
      <c r="DDM139" s="422"/>
      <c r="DDN139" s="422"/>
      <c r="DDO139" s="422"/>
      <c r="DDP139" s="422"/>
      <c r="DDQ139" s="422"/>
      <c r="DDR139" s="422"/>
      <c r="DDS139" s="422"/>
      <c r="DDT139" s="422"/>
      <c r="DDU139" s="422"/>
      <c r="DDV139" s="422"/>
      <c r="DDW139" s="422"/>
      <c r="DDX139" s="422"/>
      <c r="DDY139" s="422"/>
      <c r="DDZ139" s="422"/>
      <c r="DEA139" s="422"/>
      <c r="DEB139" s="422"/>
      <c r="DEC139" s="422"/>
      <c r="DED139" s="422"/>
      <c r="DEE139" s="422"/>
      <c r="DEF139" s="422"/>
      <c r="DEG139" s="422"/>
      <c r="DEH139" s="422"/>
      <c r="DEI139" s="422"/>
      <c r="DEJ139" s="422"/>
      <c r="DEK139" s="422"/>
      <c r="DEL139" s="422"/>
      <c r="DEM139" s="422"/>
      <c r="DEN139" s="422"/>
      <c r="DEO139" s="422"/>
      <c r="DEP139" s="422"/>
      <c r="DEQ139" s="422"/>
      <c r="DER139" s="422"/>
      <c r="DES139" s="422"/>
      <c r="DET139" s="422"/>
      <c r="DEU139" s="422"/>
      <c r="DEV139" s="422"/>
      <c r="DEW139" s="422"/>
      <c r="DEX139" s="422"/>
      <c r="DEY139" s="422"/>
      <c r="DEZ139" s="422"/>
      <c r="DFA139" s="422"/>
      <c r="DFB139" s="422"/>
      <c r="DFC139" s="422"/>
      <c r="DFD139" s="422"/>
      <c r="DFE139" s="422"/>
      <c r="DFF139" s="422"/>
      <c r="DFG139" s="422"/>
      <c r="DFH139" s="422"/>
      <c r="DFI139" s="422"/>
      <c r="DFJ139" s="422"/>
      <c r="DFK139" s="422"/>
      <c r="DFL139" s="422"/>
      <c r="DFM139" s="422"/>
      <c r="DFN139" s="422"/>
      <c r="DFO139" s="422"/>
      <c r="DFP139" s="422"/>
      <c r="DFQ139" s="422"/>
      <c r="DFR139" s="422"/>
      <c r="DFS139" s="422"/>
      <c r="DFT139" s="422"/>
      <c r="DFU139" s="422"/>
      <c r="DFV139" s="422"/>
      <c r="DFW139" s="422"/>
      <c r="DFX139" s="422"/>
      <c r="DFY139" s="422"/>
      <c r="DFZ139" s="422"/>
      <c r="DGA139" s="422"/>
      <c r="DGB139" s="422"/>
      <c r="DGC139" s="422"/>
      <c r="DGD139" s="422"/>
      <c r="DGE139" s="422"/>
      <c r="DGF139" s="422"/>
      <c r="DGG139" s="422"/>
      <c r="DGH139" s="422"/>
      <c r="DGI139" s="422"/>
      <c r="DGJ139" s="422"/>
      <c r="DGK139" s="422"/>
      <c r="DGL139" s="422"/>
      <c r="DGM139" s="422"/>
      <c r="DGN139" s="422"/>
      <c r="DGO139" s="422"/>
      <c r="DGP139" s="422"/>
      <c r="DGQ139" s="422"/>
      <c r="DGR139" s="422"/>
      <c r="DGS139" s="422"/>
      <c r="DGT139" s="422"/>
      <c r="DGU139" s="422"/>
      <c r="DGV139" s="422"/>
      <c r="DGW139" s="422"/>
      <c r="DGX139" s="422"/>
      <c r="DGY139" s="422"/>
      <c r="DGZ139" s="422"/>
      <c r="DHA139" s="422"/>
      <c r="DHB139" s="422"/>
      <c r="DHC139" s="422"/>
      <c r="DHD139" s="422"/>
      <c r="DHE139" s="422"/>
      <c r="DHF139" s="422"/>
      <c r="DHG139" s="422"/>
      <c r="DHH139" s="422"/>
      <c r="DHI139" s="422"/>
      <c r="DHJ139" s="422"/>
      <c r="DHK139" s="422"/>
      <c r="DHL139" s="422"/>
      <c r="DHM139" s="422"/>
      <c r="DHN139" s="422"/>
      <c r="DHO139" s="422"/>
      <c r="DHP139" s="422"/>
      <c r="DHQ139" s="422"/>
      <c r="DHR139" s="422"/>
      <c r="DHS139" s="422"/>
      <c r="DHT139" s="422"/>
      <c r="DHU139" s="422"/>
      <c r="DHV139" s="422"/>
      <c r="DHW139" s="422"/>
      <c r="DHX139" s="422"/>
      <c r="DHY139" s="422"/>
      <c r="DHZ139" s="422"/>
      <c r="DIA139" s="422"/>
      <c r="DIB139" s="422"/>
      <c r="DIC139" s="422"/>
      <c r="DID139" s="422"/>
      <c r="DIE139" s="422"/>
      <c r="DIF139" s="422"/>
      <c r="DIG139" s="422"/>
      <c r="DIH139" s="422"/>
      <c r="DII139" s="422"/>
      <c r="DIJ139" s="422"/>
      <c r="DIK139" s="422"/>
      <c r="DIL139" s="422"/>
      <c r="DIM139" s="422"/>
      <c r="DIN139" s="422"/>
      <c r="DIO139" s="422"/>
      <c r="DIP139" s="422"/>
      <c r="DIQ139" s="422"/>
      <c r="DIR139" s="422"/>
      <c r="DIS139" s="422"/>
      <c r="DIT139" s="422"/>
      <c r="DIU139" s="422"/>
      <c r="DIV139" s="422"/>
      <c r="DIW139" s="422"/>
      <c r="DIX139" s="422"/>
      <c r="DIY139" s="422"/>
      <c r="DIZ139" s="422"/>
      <c r="DJA139" s="422"/>
      <c r="DJB139" s="422"/>
      <c r="DJC139" s="422"/>
      <c r="DJD139" s="422"/>
      <c r="DJE139" s="422"/>
      <c r="DJF139" s="422"/>
      <c r="DJG139" s="422"/>
      <c r="DJH139" s="422"/>
      <c r="DJI139" s="422"/>
      <c r="DJJ139" s="422"/>
      <c r="DJK139" s="422"/>
      <c r="DJL139" s="422"/>
      <c r="DJM139" s="422"/>
      <c r="DJN139" s="422"/>
      <c r="DJO139" s="422"/>
      <c r="DJP139" s="422"/>
      <c r="DJQ139" s="422"/>
      <c r="DJR139" s="422"/>
      <c r="DJS139" s="422"/>
      <c r="DJT139" s="422"/>
      <c r="DJU139" s="422"/>
      <c r="DJV139" s="422"/>
      <c r="DJW139" s="422"/>
      <c r="DJX139" s="422"/>
      <c r="DJY139" s="422"/>
      <c r="DJZ139" s="422"/>
      <c r="DKA139" s="422"/>
      <c r="DKB139" s="422"/>
      <c r="DKC139" s="422"/>
      <c r="DKD139" s="422"/>
      <c r="DKE139" s="422"/>
      <c r="DKF139" s="422"/>
      <c r="DKG139" s="422"/>
      <c r="DKH139" s="422"/>
      <c r="DKI139" s="422"/>
      <c r="DKJ139" s="422"/>
      <c r="DKK139" s="422"/>
      <c r="DKL139" s="422"/>
      <c r="DKM139" s="422"/>
      <c r="DKN139" s="422"/>
      <c r="DKO139" s="422"/>
      <c r="DKP139" s="422"/>
      <c r="DKQ139" s="422"/>
      <c r="DKR139" s="422"/>
      <c r="DKS139" s="422"/>
      <c r="DKT139" s="422"/>
      <c r="DKU139" s="422"/>
      <c r="DKV139" s="422"/>
      <c r="DKW139" s="422"/>
      <c r="DKX139" s="422"/>
      <c r="DKY139" s="422"/>
      <c r="DKZ139" s="422"/>
      <c r="DLA139" s="422"/>
      <c r="DLB139" s="422"/>
      <c r="DLC139" s="422"/>
      <c r="DLD139" s="422"/>
      <c r="DLE139" s="422"/>
      <c r="DLF139" s="422"/>
      <c r="DLG139" s="422"/>
      <c r="DLH139" s="422"/>
      <c r="DLI139" s="422"/>
      <c r="DLJ139" s="422"/>
      <c r="DLK139" s="422"/>
      <c r="DLL139" s="422"/>
      <c r="DLM139" s="422"/>
      <c r="DLN139" s="422"/>
      <c r="DLO139" s="422"/>
      <c r="DLP139" s="422"/>
      <c r="DLQ139" s="422"/>
      <c r="DLR139" s="422"/>
      <c r="DLS139" s="422"/>
      <c r="DLT139" s="422"/>
      <c r="DLU139" s="422"/>
      <c r="DLV139" s="422"/>
      <c r="DLW139" s="422"/>
      <c r="DLX139" s="422"/>
      <c r="DLY139" s="422"/>
      <c r="DLZ139" s="422"/>
      <c r="DMA139" s="422"/>
      <c r="DMB139" s="422"/>
      <c r="DMC139" s="422"/>
      <c r="DMD139" s="422"/>
      <c r="DME139" s="422"/>
      <c r="DMF139" s="422"/>
      <c r="DMG139" s="422"/>
      <c r="DMH139" s="422"/>
      <c r="DMI139" s="422"/>
      <c r="DMJ139" s="422"/>
      <c r="DMK139" s="422"/>
      <c r="DML139" s="422"/>
      <c r="DMM139" s="422"/>
      <c r="DMN139" s="422"/>
      <c r="DMO139" s="422"/>
      <c r="DMP139" s="422"/>
      <c r="DMQ139" s="422"/>
      <c r="DMR139" s="422"/>
      <c r="DMS139" s="422"/>
      <c r="DMT139" s="422"/>
      <c r="DMU139" s="422"/>
      <c r="DMV139" s="422"/>
      <c r="DMW139" s="422"/>
      <c r="DMX139" s="422"/>
      <c r="DMY139" s="422"/>
      <c r="DMZ139" s="422"/>
      <c r="DNA139" s="422"/>
      <c r="DNB139" s="422"/>
      <c r="DNC139" s="422"/>
      <c r="DND139" s="422"/>
      <c r="DNE139" s="422"/>
      <c r="DNF139" s="422"/>
      <c r="DNG139" s="422"/>
      <c r="DNH139" s="422"/>
      <c r="DNI139" s="422"/>
      <c r="DNJ139" s="422"/>
      <c r="DNK139" s="422"/>
      <c r="DNL139" s="422"/>
      <c r="DNM139" s="422"/>
      <c r="DNN139" s="422"/>
      <c r="DNO139" s="422"/>
      <c r="DNP139" s="422"/>
      <c r="DNQ139" s="422"/>
      <c r="DNR139" s="422"/>
      <c r="DNS139" s="422"/>
      <c r="DNT139" s="422"/>
      <c r="DNU139" s="422"/>
      <c r="DNV139" s="422"/>
      <c r="DNW139" s="422"/>
      <c r="DNX139" s="422"/>
      <c r="DNY139" s="422"/>
      <c r="DNZ139" s="422"/>
      <c r="DOA139" s="422"/>
      <c r="DOB139" s="422"/>
      <c r="DOC139" s="422"/>
      <c r="DOD139" s="422"/>
      <c r="DOE139" s="422"/>
      <c r="DOF139" s="422"/>
      <c r="DOG139" s="422"/>
      <c r="DOH139" s="422"/>
      <c r="DOI139" s="422"/>
      <c r="DOJ139" s="422"/>
      <c r="DOK139" s="422"/>
      <c r="DOL139" s="422"/>
      <c r="DOM139" s="422"/>
      <c r="DON139" s="422"/>
      <c r="DOO139" s="422"/>
      <c r="DOP139" s="422"/>
      <c r="DOQ139" s="422"/>
      <c r="DOR139" s="422"/>
      <c r="DOS139" s="422"/>
      <c r="DOT139" s="422"/>
      <c r="DOU139" s="422"/>
      <c r="DOV139" s="422"/>
      <c r="DOW139" s="422"/>
      <c r="DOX139" s="422"/>
      <c r="DOY139" s="422"/>
      <c r="DOZ139" s="422"/>
      <c r="DPA139" s="422"/>
      <c r="DPB139" s="422"/>
      <c r="DPC139" s="422"/>
      <c r="DPD139" s="422"/>
      <c r="DPE139" s="422"/>
      <c r="DPF139" s="422"/>
      <c r="DPG139" s="422"/>
      <c r="DPH139" s="422"/>
      <c r="DPI139" s="422"/>
      <c r="DPJ139" s="422"/>
      <c r="DPK139" s="422"/>
      <c r="DPL139" s="422"/>
      <c r="DPM139" s="422"/>
      <c r="DPN139" s="422"/>
      <c r="DPO139" s="422"/>
      <c r="DPP139" s="422"/>
      <c r="DPQ139" s="422"/>
      <c r="DPR139" s="422"/>
      <c r="DPS139" s="422"/>
      <c r="DPT139" s="422"/>
      <c r="DPU139" s="422"/>
      <c r="DPV139" s="422"/>
      <c r="DPW139" s="422"/>
      <c r="DPX139" s="422"/>
      <c r="DPY139" s="422"/>
      <c r="DPZ139" s="422"/>
      <c r="DQA139" s="422"/>
      <c r="DQB139" s="422"/>
      <c r="DQC139" s="422"/>
      <c r="DQD139" s="422"/>
      <c r="DQE139" s="422"/>
      <c r="DQF139" s="422"/>
      <c r="DQG139" s="422"/>
      <c r="DQH139" s="422"/>
      <c r="DQI139" s="422"/>
      <c r="DQJ139" s="422"/>
      <c r="DQK139" s="422"/>
      <c r="DQL139" s="422"/>
      <c r="DQM139" s="422"/>
      <c r="DQN139" s="422"/>
      <c r="DQO139" s="422"/>
      <c r="DQP139" s="422"/>
      <c r="DQQ139" s="422"/>
      <c r="DQR139" s="422"/>
      <c r="DQS139" s="422"/>
      <c r="DQT139" s="422"/>
      <c r="DQU139" s="422"/>
      <c r="DQV139" s="422"/>
      <c r="DQW139" s="422"/>
      <c r="DQX139" s="422"/>
      <c r="DQY139" s="422"/>
      <c r="DQZ139" s="422"/>
      <c r="DRA139" s="422"/>
      <c r="DRB139" s="422"/>
      <c r="DRC139" s="422"/>
      <c r="DRD139" s="422"/>
      <c r="DRE139" s="422"/>
      <c r="DRF139" s="422"/>
      <c r="DRG139" s="422"/>
      <c r="DRH139" s="422"/>
      <c r="DRI139" s="422"/>
      <c r="DRJ139" s="422"/>
      <c r="DRK139" s="422"/>
      <c r="DRL139" s="422"/>
      <c r="DRM139" s="422"/>
      <c r="DRN139" s="422"/>
      <c r="DRO139" s="422"/>
      <c r="DRP139" s="422"/>
      <c r="DRQ139" s="422"/>
      <c r="DRR139" s="422"/>
      <c r="DRS139" s="422"/>
      <c r="DRT139" s="422"/>
      <c r="DRU139" s="422"/>
      <c r="DRV139" s="422"/>
      <c r="DRW139" s="422"/>
      <c r="DRX139" s="422"/>
      <c r="DRY139" s="422"/>
      <c r="DRZ139" s="422"/>
      <c r="DSA139" s="422"/>
      <c r="DSB139" s="422"/>
      <c r="DSC139" s="422"/>
      <c r="DSD139" s="422"/>
      <c r="DSE139" s="422"/>
      <c r="DSF139" s="422"/>
      <c r="DSG139" s="422"/>
      <c r="DSH139" s="422"/>
      <c r="DSI139" s="422"/>
      <c r="DSJ139" s="422"/>
      <c r="DSK139" s="422"/>
      <c r="DSL139" s="422"/>
      <c r="DSM139" s="422"/>
      <c r="DSN139" s="422"/>
      <c r="DSO139" s="422"/>
      <c r="DSP139" s="422"/>
      <c r="DSQ139" s="422"/>
      <c r="DSR139" s="422"/>
      <c r="DSS139" s="422"/>
      <c r="DST139" s="422"/>
      <c r="DSU139" s="422"/>
      <c r="DSV139" s="422"/>
      <c r="DSW139" s="422"/>
      <c r="DSX139" s="422"/>
      <c r="DSY139" s="422"/>
      <c r="DSZ139" s="422"/>
      <c r="DTA139" s="422"/>
      <c r="DTB139" s="422"/>
      <c r="DTC139" s="422"/>
      <c r="DTD139" s="422"/>
      <c r="DTE139" s="422"/>
      <c r="DTF139" s="422"/>
      <c r="DTG139" s="422"/>
      <c r="DTH139" s="422"/>
      <c r="DTI139" s="422"/>
      <c r="DTJ139" s="422"/>
      <c r="DTK139" s="422"/>
      <c r="DTL139" s="422"/>
      <c r="DTM139" s="422"/>
      <c r="DTN139" s="422"/>
      <c r="DTO139" s="422"/>
      <c r="DTP139" s="422"/>
      <c r="DTQ139" s="422"/>
      <c r="DTR139" s="422"/>
      <c r="DTS139" s="422"/>
      <c r="DTT139" s="422"/>
      <c r="DTU139" s="422"/>
      <c r="DTV139" s="422"/>
      <c r="DTW139" s="422"/>
      <c r="DTX139" s="422"/>
      <c r="DTY139" s="422"/>
      <c r="DTZ139" s="422"/>
      <c r="DUA139" s="422"/>
      <c r="DUB139" s="422"/>
      <c r="DUC139" s="422"/>
      <c r="DUD139" s="422"/>
      <c r="DUE139" s="422"/>
      <c r="DUF139" s="422"/>
      <c r="DUG139" s="422"/>
      <c r="DUH139" s="422"/>
      <c r="DUI139" s="422"/>
      <c r="DUJ139" s="422"/>
      <c r="DUK139" s="422"/>
      <c r="DUL139" s="422"/>
      <c r="DUM139" s="422"/>
      <c r="DUN139" s="422"/>
      <c r="DUO139" s="422"/>
      <c r="DUP139" s="422"/>
      <c r="DUQ139" s="422"/>
      <c r="DUR139" s="422"/>
      <c r="DUS139" s="422"/>
      <c r="DUT139" s="422"/>
      <c r="DUU139" s="422"/>
      <c r="DUV139" s="422"/>
      <c r="DUW139" s="422"/>
      <c r="DUX139" s="422"/>
      <c r="DUY139" s="422"/>
      <c r="DUZ139" s="422"/>
      <c r="DVA139" s="422"/>
      <c r="DVB139" s="422"/>
      <c r="DVC139" s="422"/>
      <c r="DVD139" s="422"/>
      <c r="DVE139" s="422"/>
      <c r="DVF139" s="422"/>
      <c r="DVG139" s="422"/>
      <c r="DVH139" s="422"/>
      <c r="DVI139" s="422"/>
      <c r="DVJ139" s="422"/>
      <c r="DVK139" s="422"/>
      <c r="DVL139" s="422"/>
      <c r="DVM139" s="422"/>
      <c r="DVN139" s="422"/>
      <c r="DVO139" s="422"/>
      <c r="DVP139" s="422"/>
      <c r="DVQ139" s="422"/>
      <c r="DVR139" s="422"/>
      <c r="DVS139" s="422"/>
      <c r="DVT139" s="422"/>
      <c r="DVU139" s="422"/>
      <c r="DVV139" s="422"/>
      <c r="DVW139" s="422"/>
      <c r="DVX139" s="422"/>
      <c r="DVY139" s="422"/>
      <c r="DVZ139" s="422"/>
      <c r="DWA139" s="422"/>
      <c r="DWB139" s="422"/>
      <c r="DWC139" s="422"/>
      <c r="DWD139" s="422"/>
      <c r="DWE139" s="422"/>
      <c r="DWF139" s="422"/>
      <c r="DWG139" s="422"/>
      <c r="DWH139" s="422"/>
      <c r="DWI139" s="422"/>
      <c r="DWJ139" s="422"/>
      <c r="DWK139" s="422"/>
      <c r="DWL139" s="422"/>
      <c r="DWM139" s="422"/>
      <c r="DWN139" s="422"/>
      <c r="DWO139" s="422"/>
      <c r="DWP139" s="422"/>
      <c r="DWQ139" s="422"/>
      <c r="DWR139" s="422"/>
      <c r="DWS139" s="422"/>
      <c r="DWT139" s="422"/>
      <c r="DWU139" s="422"/>
      <c r="DWV139" s="422"/>
      <c r="DWW139" s="422"/>
      <c r="DWX139" s="422"/>
      <c r="DWY139" s="422"/>
      <c r="DWZ139" s="422"/>
      <c r="DXA139" s="422"/>
      <c r="DXB139" s="422"/>
      <c r="DXC139" s="422"/>
      <c r="DXD139" s="422"/>
      <c r="DXE139" s="422"/>
      <c r="DXF139" s="422"/>
      <c r="DXG139" s="422"/>
      <c r="DXH139" s="422"/>
      <c r="DXI139" s="422"/>
      <c r="DXJ139" s="422"/>
      <c r="DXK139" s="422"/>
      <c r="DXL139" s="422"/>
      <c r="DXM139" s="422"/>
      <c r="DXN139" s="422"/>
      <c r="DXO139" s="422"/>
      <c r="DXP139" s="422"/>
      <c r="DXQ139" s="422"/>
      <c r="DXR139" s="422"/>
      <c r="DXS139" s="422"/>
      <c r="DXT139" s="422"/>
      <c r="DXU139" s="422"/>
      <c r="DXV139" s="422"/>
      <c r="DXW139" s="422"/>
      <c r="DXX139" s="422"/>
      <c r="DXY139" s="422"/>
      <c r="DXZ139" s="422"/>
      <c r="DYA139" s="422"/>
      <c r="DYB139" s="422"/>
      <c r="DYC139" s="422"/>
      <c r="DYD139" s="422"/>
      <c r="DYE139" s="422"/>
      <c r="DYF139" s="422"/>
      <c r="DYG139" s="422"/>
      <c r="DYH139" s="422"/>
      <c r="DYI139" s="422"/>
      <c r="DYJ139" s="422"/>
      <c r="DYK139" s="422"/>
      <c r="DYL139" s="422"/>
      <c r="DYM139" s="422"/>
      <c r="DYN139" s="422"/>
      <c r="DYO139" s="422"/>
      <c r="DYP139" s="422"/>
      <c r="DYQ139" s="422"/>
      <c r="DYR139" s="422"/>
      <c r="DYS139" s="422"/>
      <c r="DYT139" s="422"/>
      <c r="DYU139" s="422"/>
      <c r="DYV139" s="422"/>
      <c r="DYW139" s="422"/>
      <c r="DYX139" s="422"/>
      <c r="DYY139" s="422"/>
      <c r="DYZ139" s="422"/>
      <c r="DZA139" s="422"/>
      <c r="DZB139" s="422"/>
      <c r="DZC139" s="422"/>
      <c r="DZD139" s="422"/>
      <c r="DZE139" s="422"/>
      <c r="DZF139" s="422"/>
      <c r="DZG139" s="422"/>
      <c r="DZH139" s="422"/>
      <c r="DZI139" s="422"/>
      <c r="DZJ139" s="422"/>
      <c r="DZK139" s="422"/>
      <c r="DZL139" s="422"/>
      <c r="DZM139" s="422"/>
      <c r="DZN139" s="422"/>
      <c r="DZO139" s="422"/>
      <c r="DZP139" s="422"/>
      <c r="DZQ139" s="422"/>
      <c r="DZR139" s="422"/>
      <c r="DZS139" s="422"/>
      <c r="DZT139" s="422"/>
      <c r="DZU139" s="422"/>
      <c r="DZV139" s="422"/>
      <c r="DZW139" s="422"/>
      <c r="DZX139" s="422"/>
      <c r="DZY139" s="422"/>
      <c r="DZZ139" s="422"/>
      <c r="EAA139" s="422"/>
      <c r="EAB139" s="422"/>
      <c r="EAC139" s="422"/>
      <c r="EAD139" s="422"/>
      <c r="EAE139" s="422"/>
      <c r="EAF139" s="422"/>
      <c r="EAG139" s="422"/>
      <c r="EAH139" s="422"/>
      <c r="EAI139" s="422"/>
      <c r="EAJ139" s="422"/>
      <c r="EAK139" s="422"/>
      <c r="EAL139" s="422"/>
      <c r="EAM139" s="422"/>
      <c r="EAN139" s="422"/>
      <c r="EAO139" s="422"/>
      <c r="EAP139" s="422"/>
      <c r="EAQ139" s="422"/>
      <c r="EAR139" s="422"/>
      <c r="EAS139" s="422"/>
      <c r="EAT139" s="422"/>
      <c r="EAU139" s="422"/>
      <c r="EAV139" s="422"/>
      <c r="EAW139" s="422"/>
      <c r="EAX139" s="422"/>
      <c r="EAY139" s="422"/>
      <c r="EAZ139" s="422"/>
      <c r="EBA139" s="422"/>
      <c r="EBB139" s="422"/>
      <c r="EBC139" s="422"/>
      <c r="EBD139" s="422"/>
      <c r="EBE139" s="422"/>
      <c r="EBF139" s="422"/>
      <c r="EBG139" s="422"/>
      <c r="EBH139" s="422"/>
      <c r="EBI139" s="422"/>
      <c r="EBJ139" s="422"/>
      <c r="EBK139" s="422"/>
      <c r="EBL139" s="422"/>
      <c r="EBM139" s="422"/>
      <c r="EBN139" s="422"/>
      <c r="EBO139" s="422"/>
      <c r="EBP139" s="422"/>
      <c r="EBQ139" s="422"/>
      <c r="EBR139" s="422"/>
      <c r="EBS139" s="422"/>
      <c r="EBT139" s="422"/>
      <c r="EBU139" s="422"/>
      <c r="EBV139" s="422"/>
      <c r="EBW139" s="422"/>
      <c r="EBX139" s="422"/>
      <c r="EBY139" s="422"/>
      <c r="EBZ139" s="422"/>
      <c r="ECA139" s="422"/>
      <c r="ECB139" s="422"/>
      <c r="ECC139" s="422"/>
      <c r="ECD139" s="422"/>
      <c r="ECE139" s="422"/>
      <c r="ECF139" s="422"/>
      <c r="ECG139" s="422"/>
      <c r="ECH139" s="422"/>
      <c r="ECI139" s="422"/>
      <c r="ECJ139" s="422"/>
      <c r="ECK139" s="422"/>
      <c r="ECL139" s="422"/>
      <c r="ECM139" s="422"/>
      <c r="ECN139" s="422"/>
      <c r="ECO139" s="422"/>
      <c r="ECP139" s="422"/>
      <c r="ECQ139" s="422"/>
      <c r="ECR139" s="422"/>
      <c r="ECS139" s="422"/>
      <c r="ECT139" s="422"/>
      <c r="ECU139" s="422"/>
      <c r="ECV139" s="422"/>
      <c r="ECW139" s="422"/>
      <c r="ECX139" s="422"/>
      <c r="ECY139" s="422"/>
      <c r="ECZ139" s="422"/>
      <c r="EDA139" s="422"/>
      <c r="EDB139" s="422"/>
      <c r="EDC139" s="422"/>
      <c r="EDD139" s="422"/>
      <c r="EDE139" s="422"/>
      <c r="EDF139" s="422"/>
      <c r="EDG139" s="422"/>
      <c r="EDH139" s="422"/>
      <c r="EDI139" s="422"/>
      <c r="EDJ139" s="422"/>
      <c r="EDK139" s="422"/>
      <c r="EDL139" s="422"/>
      <c r="EDM139" s="422"/>
      <c r="EDN139" s="422"/>
      <c r="EDO139" s="422"/>
      <c r="EDP139" s="422"/>
      <c r="EDQ139" s="422"/>
      <c r="EDR139" s="422"/>
      <c r="EDS139" s="422"/>
      <c r="EDT139" s="422"/>
      <c r="EDU139" s="422"/>
      <c r="EDV139" s="422"/>
      <c r="EDW139" s="422"/>
      <c r="EDX139" s="422"/>
      <c r="EDY139" s="422"/>
      <c r="EDZ139" s="422"/>
      <c r="EEA139" s="422"/>
      <c r="EEB139" s="422"/>
      <c r="EEC139" s="422"/>
      <c r="EED139" s="422"/>
      <c r="EEE139" s="422"/>
      <c r="EEF139" s="422"/>
      <c r="EEG139" s="422"/>
      <c r="EEH139" s="422"/>
      <c r="EEI139" s="422"/>
      <c r="EEJ139" s="422"/>
      <c r="EEK139" s="422"/>
      <c r="EEL139" s="422"/>
      <c r="EEM139" s="422"/>
      <c r="EEN139" s="422"/>
      <c r="EEO139" s="422"/>
      <c r="EEP139" s="422"/>
      <c r="EEQ139" s="422"/>
      <c r="EER139" s="422"/>
      <c r="EES139" s="422"/>
      <c r="EET139" s="422"/>
      <c r="EEU139" s="422"/>
      <c r="EEV139" s="422"/>
      <c r="EEW139" s="422"/>
      <c r="EEX139" s="422"/>
      <c r="EEY139" s="422"/>
      <c r="EEZ139" s="422"/>
      <c r="EFA139" s="422"/>
      <c r="EFB139" s="422"/>
      <c r="EFC139" s="422"/>
      <c r="EFD139" s="422"/>
      <c r="EFE139" s="422"/>
      <c r="EFF139" s="422"/>
      <c r="EFG139" s="422"/>
      <c r="EFH139" s="422"/>
      <c r="EFI139" s="422"/>
      <c r="EFJ139" s="422"/>
      <c r="EFK139" s="422"/>
      <c r="EFL139" s="422"/>
      <c r="EFM139" s="422"/>
      <c r="EFN139" s="422"/>
      <c r="EFO139" s="422"/>
      <c r="EFP139" s="422"/>
      <c r="EFQ139" s="422"/>
      <c r="EFR139" s="422"/>
      <c r="EFS139" s="422"/>
      <c r="EFT139" s="422"/>
      <c r="EFU139" s="422"/>
      <c r="EFV139" s="422"/>
      <c r="EFW139" s="422"/>
      <c r="EFX139" s="422"/>
      <c r="EFY139" s="422"/>
      <c r="EFZ139" s="422"/>
      <c r="EGA139" s="422"/>
      <c r="EGB139" s="422"/>
      <c r="EGC139" s="422"/>
      <c r="EGD139" s="422"/>
      <c r="EGE139" s="422"/>
      <c r="EGF139" s="422"/>
      <c r="EGG139" s="422"/>
      <c r="EGH139" s="422"/>
      <c r="EGI139" s="422"/>
      <c r="EGJ139" s="422"/>
      <c r="EGK139" s="422"/>
      <c r="EGL139" s="422"/>
      <c r="EGM139" s="422"/>
      <c r="EGN139" s="422"/>
      <c r="EGO139" s="422"/>
      <c r="EGP139" s="422"/>
      <c r="EGQ139" s="422"/>
      <c r="EGR139" s="422"/>
      <c r="EGS139" s="422"/>
      <c r="EGT139" s="422"/>
      <c r="EGU139" s="422"/>
      <c r="EGV139" s="422"/>
      <c r="EGW139" s="422"/>
      <c r="EGX139" s="422"/>
      <c r="EGY139" s="422"/>
      <c r="EGZ139" s="422"/>
      <c r="EHA139" s="422"/>
      <c r="EHB139" s="422"/>
      <c r="EHC139" s="422"/>
      <c r="EHD139" s="422"/>
      <c r="EHE139" s="422"/>
      <c r="EHF139" s="422"/>
      <c r="EHG139" s="422"/>
      <c r="EHH139" s="422"/>
      <c r="EHI139" s="422"/>
      <c r="EHJ139" s="422"/>
      <c r="EHK139" s="422"/>
      <c r="EHL139" s="422"/>
      <c r="EHM139" s="422"/>
      <c r="EHN139" s="422"/>
      <c r="EHO139" s="422"/>
      <c r="EHP139" s="422"/>
      <c r="EHQ139" s="422"/>
      <c r="EHR139" s="422"/>
      <c r="EHS139" s="422"/>
      <c r="EHT139" s="422"/>
      <c r="EHU139" s="422"/>
      <c r="EHV139" s="422"/>
      <c r="EHW139" s="422"/>
      <c r="EHX139" s="422"/>
      <c r="EHY139" s="422"/>
      <c r="EHZ139" s="422"/>
      <c r="EIA139" s="422"/>
      <c r="EIB139" s="422"/>
      <c r="EIC139" s="422"/>
      <c r="EID139" s="422"/>
      <c r="EIE139" s="422"/>
      <c r="EIF139" s="422"/>
      <c r="EIG139" s="422"/>
      <c r="EIH139" s="422"/>
      <c r="EII139" s="422"/>
      <c r="EIJ139" s="422"/>
      <c r="EIK139" s="422"/>
      <c r="EIL139" s="422"/>
      <c r="EIM139" s="422"/>
      <c r="EIN139" s="422"/>
      <c r="EIO139" s="422"/>
      <c r="EIP139" s="422"/>
      <c r="EIQ139" s="422"/>
      <c r="EIR139" s="422"/>
      <c r="EIS139" s="422"/>
      <c r="EIT139" s="422"/>
      <c r="EIU139" s="422"/>
      <c r="EIV139" s="422"/>
      <c r="EIW139" s="422"/>
      <c r="EIX139" s="422"/>
      <c r="EIY139" s="422"/>
      <c r="EIZ139" s="422"/>
      <c r="EJA139" s="422"/>
      <c r="EJB139" s="422"/>
      <c r="EJC139" s="422"/>
      <c r="EJD139" s="422"/>
      <c r="EJE139" s="422"/>
      <c r="EJF139" s="422"/>
      <c r="EJG139" s="422"/>
      <c r="EJH139" s="422"/>
      <c r="EJI139" s="422"/>
      <c r="EJJ139" s="422"/>
      <c r="EJK139" s="422"/>
      <c r="EJL139" s="422"/>
      <c r="EJM139" s="422"/>
      <c r="EJN139" s="422"/>
      <c r="EJO139" s="422"/>
      <c r="EJP139" s="422"/>
      <c r="EJQ139" s="422"/>
      <c r="EJR139" s="422"/>
      <c r="EJS139" s="422"/>
      <c r="EJT139" s="422"/>
      <c r="EJU139" s="422"/>
      <c r="EJV139" s="422"/>
      <c r="EJW139" s="422"/>
      <c r="EJX139" s="422"/>
      <c r="EJY139" s="422"/>
      <c r="EJZ139" s="422"/>
      <c r="EKA139" s="422"/>
      <c r="EKB139" s="422"/>
      <c r="EKC139" s="422"/>
      <c r="EKD139" s="422"/>
      <c r="EKE139" s="422"/>
      <c r="EKF139" s="422"/>
      <c r="EKG139" s="422"/>
      <c r="EKH139" s="422"/>
      <c r="EKI139" s="422"/>
      <c r="EKJ139" s="422"/>
      <c r="EKK139" s="422"/>
      <c r="EKL139" s="422"/>
      <c r="EKM139" s="422"/>
      <c r="EKN139" s="422"/>
      <c r="EKO139" s="422"/>
      <c r="EKP139" s="422"/>
      <c r="EKQ139" s="422"/>
      <c r="EKR139" s="422"/>
      <c r="EKS139" s="422"/>
      <c r="EKT139" s="422"/>
      <c r="EKU139" s="422"/>
      <c r="EKV139" s="422"/>
      <c r="EKW139" s="422"/>
      <c r="EKX139" s="422"/>
      <c r="EKY139" s="422"/>
      <c r="EKZ139" s="422"/>
      <c r="ELA139" s="422"/>
      <c r="ELB139" s="422"/>
      <c r="ELC139" s="422"/>
      <c r="ELD139" s="422"/>
      <c r="ELE139" s="422"/>
      <c r="ELF139" s="422"/>
      <c r="ELG139" s="422"/>
      <c r="ELH139" s="422"/>
      <c r="ELI139" s="422"/>
      <c r="ELJ139" s="422"/>
      <c r="ELK139" s="422"/>
      <c r="ELL139" s="422"/>
      <c r="ELM139" s="422"/>
      <c r="ELN139" s="422"/>
      <c r="ELO139" s="422"/>
      <c r="ELP139" s="422"/>
      <c r="ELQ139" s="422"/>
      <c r="ELR139" s="422"/>
      <c r="ELS139" s="422"/>
      <c r="ELT139" s="422"/>
      <c r="ELU139" s="422"/>
      <c r="ELV139" s="422"/>
      <c r="ELW139" s="422"/>
      <c r="ELX139" s="422"/>
      <c r="ELY139" s="422"/>
      <c r="ELZ139" s="422"/>
      <c r="EMA139" s="422"/>
      <c r="EMB139" s="422"/>
      <c r="EMC139" s="422"/>
      <c r="EMD139" s="422"/>
      <c r="EME139" s="422"/>
      <c r="EMF139" s="422"/>
      <c r="EMG139" s="422"/>
      <c r="EMH139" s="422"/>
      <c r="EMI139" s="422"/>
      <c r="EMJ139" s="422"/>
      <c r="EMK139" s="422"/>
      <c r="EML139" s="422"/>
      <c r="EMM139" s="422"/>
      <c r="EMN139" s="422"/>
      <c r="EMO139" s="422"/>
      <c r="EMP139" s="422"/>
      <c r="EMQ139" s="422"/>
      <c r="EMR139" s="422"/>
      <c r="EMS139" s="422"/>
      <c r="EMT139" s="422"/>
      <c r="EMU139" s="422"/>
      <c r="EMV139" s="422"/>
      <c r="EMW139" s="422"/>
      <c r="EMX139" s="422"/>
      <c r="EMY139" s="422"/>
      <c r="EMZ139" s="422"/>
      <c r="ENA139" s="422"/>
      <c r="ENB139" s="422"/>
      <c r="ENC139" s="422"/>
      <c r="END139" s="422"/>
      <c r="ENE139" s="422"/>
      <c r="ENF139" s="422"/>
      <c r="ENG139" s="422"/>
      <c r="ENH139" s="422"/>
      <c r="ENI139" s="422"/>
      <c r="ENJ139" s="422"/>
      <c r="ENK139" s="422"/>
      <c r="ENL139" s="422"/>
      <c r="ENM139" s="422"/>
      <c r="ENN139" s="422"/>
      <c r="ENO139" s="422"/>
      <c r="ENP139" s="422"/>
      <c r="ENQ139" s="422"/>
      <c r="ENR139" s="422"/>
      <c r="ENS139" s="422"/>
      <c r="ENT139" s="422"/>
      <c r="ENU139" s="422"/>
      <c r="ENV139" s="422"/>
      <c r="ENW139" s="422"/>
      <c r="ENX139" s="422"/>
      <c r="ENY139" s="422"/>
      <c r="ENZ139" s="422"/>
      <c r="EOA139" s="422"/>
      <c r="EOB139" s="422"/>
      <c r="EOC139" s="422"/>
      <c r="EOD139" s="422"/>
      <c r="EOE139" s="422"/>
      <c r="EOF139" s="422"/>
      <c r="EOG139" s="422"/>
      <c r="EOH139" s="422"/>
      <c r="EOI139" s="422"/>
      <c r="EOJ139" s="422"/>
      <c r="EOK139" s="422"/>
      <c r="EOL139" s="422"/>
      <c r="EOM139" s="422"/>
      <c r="EON139" s="422"/>
      <c r="EOO139" s="422"/>
      <c r="EOP139" s="422"/>
      <c r="EOQ139" s="422"/>
      <c r="EOR139" s="422"/>
      <c r="EOS139" s="422"/>
      <c r="EOT139" s="422"/>
      <c r="EOU139" s="422"/>
      <c r="EOV139" s="422"/>
      <c r="EOW139" s="422"/>
      <c r="EOX139" s="422"/>
      <c r="EOY139" s="422"/>
      <c r="EOZ139" s="422"/>
      <c r="EPA139" s="422"/>
      <c r="EPB139" s="422"/>
      <c r="EPC139" s="422"/>
      <c r="EPD139" s="422"/>
      <c r="EPE139" s="422"/>
      <c r="EPF139" s="422"/>
      <c r="EPG139" s="422"/>
      <c r="EPH139" s="422"/>
      <c r="EPI139" s="422"/>
      <c r="EPJ139" s="422"/>
      <c r="EPK139" s="422"/>
      <c r="EPL139" s="422"/>
      <c r="EPM139" s="422"/>
      <c r="EPN139" s="422"/>
      <c r="EPO139" s="422"/>
      <c r="EPP139" s="422"/>
      <c r="EPQ139" s="422"/>
      <c r="EPR139" s="422"/>
      <c r="EPS139" s="422"/>
      <c r="EPT139" s="422"/>
      <c r="EPU139" s="422"/>
      <c r="EPV139" s="422"/>
      <c r="EPW139" s="422"/>
      <c r="EPX139" s="422"/>
      <c r="EPY139" s="422"/>
      <c r="EPZ139" s="422"/>
      <c r="EQA139" s="422"/>
      <c r="EQB139" s="422"/>
      <c r="EQC139" s="422"/>
      <c r="EQD139" s="422"/>
      <c r="EQE139" s="422"/>
      <c r="EQF139" s="422"/>
      <c r="EQG139" s="422"/>
      <c r="EQH139" s="422"/>
      <c r="EQI139" s="422"/>
      <c r="EQJ139" s="422"/>
      <c r="EQK139" s="422"/>
      <c r="EQL139" s="422"/>
      <c r="EQM139" s="422"/>
      <c r="EQN139" s="422"/>
      <c r="EQO139" s="422"/>
      <c r="EQP139" s="422"/>
      <c r="EQQ139" s="422"/>
      <c r="EQR139" s="422"/>
      <c r="EQS139" s="422"/>
      <c r="EQT139" s="422"/>
      <c r="EQU139" s="422"/>
      <c r="EQV139" s="422"/>
      <c r="EQW139" s="422"/>
      <c r="EQX139" s="422"/>
      <c r="EQY139" s="422"/>
      <c r="EQZ139" s="422"/>
      <c r="ERA139" s="422"/>
      <c r="ERB139" s="422"/>
      <c r="ERC139" s="422"/>
      <c r="ERD139" s="422"/>
      <c r="ERE139" s="422"/>
      <c r="ERF139" s="422"/>
      <c r="ERG139" s="422"/>
      <c r="ERH139" s="422"/>
      <c r="ERI139" s="422"/>
      <c r="ERJ139" s="422"/>
      <c r="ERK139" s="422"/>
      <c r="ERL139" s="422"/>
      <c r="ERM139" s="422"/>
      <c r="ERN139" s="422"/>
      <c r="ERO139" s="422"/>
      <c r="ERP139" s="422"/>
      <c r="ERQ139" s="422"/>
      <c r="ERR139" s="422"/>
      <c r="ERS139" s="422"/>
      <c r="ERT139" s="422"/>
      <c r="ERU139" s="422"/>
      <c r="ERV139" s="422"/>
      <c r="ERW139" s="422"/>
      <c r="ERX139" s="422"/>
      <c r="ERY139" s="422"/>
      <c r="ERZ139" s="422"/>
      <c r="ESA139" s="422"/>
      <c r="ESB139" s="422"/>
      <c r="ESC139" s="422"/>
      <c r="ESD139" s="422"/>
      <c r="ESE139" s="422"/>
      <c r="ESF139" s="422"/>
      <c r="ESG139" s="422"/>
      <c r="ESH139" s="422"/>
      <c r="ESI139" s="422"/>
      <c r="ESJ139" s="422"/>
      <c r="ESK139" s="422"/>
      <c r="ESL139" s="422"/>
      <c r="ESM139" s="422"/>
      <c r="ESN139" s="422"/>
      <c r="ESO139" s="422"/>
      <c r="ESP139" s="422"/>
      <c r="ESQ139" s="422"/>
      <c r="ESR139" s="422"/>
      <c r="ESS139" s="422"/>
      <c r="EST139" s="422"/>
      <c r="ESU139" s="422"/>
      <c r="ESV139" s="422"/>
      <c r="ESW139" s="422"/>
      <c r="ESX139" s="422"/>
      <c r="ESY139" s="422"/>
      <c r="ESZ139" s="422"/>
      <c r="ETA139" s="422"/>
      <c r="ETB139" s="422"/>
      <c r="ETC139" s="422"/>
      <c r="ETD139" s="422"/>
      <c r="ETE139" s="422"/>
      <c r="ETF139" s="422"/>
      <c r="ETG139" s="422"/>
      <c r="ETH139" s="422"/>
      <c r="ETI139" s="422"/>
      <c r="ETJ139" s="422"/>
      <c r="ETK139" s="422"/>
      <c r="ETL139" s="422"/>
      <c r="ETM139" s="422"/>
      <c r="ETN139" s="422"/>
      <c r="ETO139" s="422"/>
      <c r="ETP139" s="422"/>
      <c r="ETQ139" s="422"/>
      <c r="ETR139" s="422"/>
      <c r="ETS139" s="422"/>
      <c r="ETT139" s="422"/>
      <c r="ETU139" s="422"/>
      <c r="ETV139" s="422"/>
      <c r="ETW139" s="422"/>
      <c r="ETX139" s="422"/>
      <c r="ETY139" s="422"/>
      <c r="ETZ139" s="422"/>
      <c r="EUA139" s="422"/>
      <c r="EUB139" s="422"/>
      <c r="EUC139" s="422"/>
      <c r="EUD139" s="422"/>
      <c r="EUE139" s="422"/>
      <c r="EUF139" s="422"/>
      <c r="EUG139" s="422"/>
      <c r="EUH139" s="422"/>
      <c r="EUI139" s="422"/>
      <c r="EUJ139" s="422"/>
      <c r="EUK139" s="422"/>
      <c r="EUL139" s="422"/>
      <c r="EUM139" s="422"/>
      <c r="EUN139" s="422"/>
      <c r="EUO139" s="422"/>
      <c r="EUP139" s="422"/>
      <c r="EUQ139" s="422"/>
      <c r="EUR139" s="422"/>
      <c r="EUS139" s="422"/>
      <c r="EUT139" s="422"/>
      <c r="EUU139" s="422"/>
      <c r="EUV139" s="422"/>
      <c r="EUW139" s="422"/>
      <c r="EUX139" s="422"/>
      <c r="EUY139" s="422"/>
      <c r="EUZ139" s="422"/>
      <c r="EVA139" s="422"/>
      <c r="EVB139" s="422"/>
      <c r="EVC139" s="422"/>
      <c r="EVD139" s="422"/>
      <c r="EVE139" s="422"/>
      <c r="EVF139" s="422"/>
      <c r="EVG139" s="422"/>
      <c r="EVH139" s="422"/>
      <c r="EVI139" s="422"/>
      <c r="EVJ139" s="422"/>
      <c r="EVK139" s="422"/>
      <c r="EVL139" s="422"/>
      <c r="EVM139" s="422"/>
      <c r="EVN139" s="422"/>
      <c r="EVO139" s="422"/>
      <c r="EVP139" s="422"/>
      <c r="EVQ139" s="422"/>
      <c r="EVR139" s="422"/>
      <c r="EVS139" s="422"/>
      <c r="EVT139" s="422"/>
      <c r="EVU139" s="422"/>
      <c r="EVV139" s="422"/>
      <c r="EVW139" s="422"/>
      <c r="EVX139" s="422"/>
      <c r="EVY139" s="422"/>
      <c r="EVZ139" s="422"/>
      <c r="EWA139" s="422"/>
      <c r="EWB139" s="422"/>
      <c r="EWC139" s="422"/>
      <c r="EWD139" s="422"/>
      <c r="EWE139" s="422"/>
      <c r="EWF139" s="422"/>
      <c r="EWG139" s="422"/>
      <c r="EWH139" s="422"/>
      <c r="EWI139" s="422"/>
      <c r="EWJ139" s="422"/>
      <c r="EWK139" s="422"/>
      <c r="EWL139" s="422"/>
      <c r="EWM139" s="422"/>
      <c r="EWN139" s="422"/>
      <c r="EWO139" s="422"/>
      <c r="EWP139" s="422"/>
      <c r="EWQ139" s="422"/>
      <c r="EWR139" s="422"/>
      <c r="EWS139" s="422"/>
      <c r="EWT139" s="422"/>
      <c r="EWU139" s="422"/>
      <c r="EWV139" s="422"/>
      <c r="EWW139" s="422"/>
      <c r="EWX139" s="422"/>
      <c r="EWY139" s="422"/>
      <c r="EWZ139" s="422"/>
      <c r="EXA139" s="422"/>
      <c r="EXB139" s="422"/>
      <c r="EXC139" s="422"/>
      <c r="EXD139" s="422"/>
      <c r="EXE139" s="422"/>
      <c r="EXF139" s="422"/>
      <c r="EXG139" s="422"/>
      <c r="EXH139" s="422"/>
      <c r="EXI139" s="422"/>
      <c r="EXJ139" s="422"/>
      <c r="EXK139" s="422"/>
      <c r="EXL139" s="422"/>
      <c r="EXM139" s="422"/>
      <c r="EXN139" s="422"/>
      <c r="EXO139" s="422"/>
      <c r="EXP139" s="422"/>
      <c r="EXQ139" s="422"/>
      <c r="EXR139" s="422"/>
      <c r="EXS139" s="422"/>
      <c r="EXT139" s="422"/>
      <c r="EXU139" s="422"/>
      <c r="EXV139" s="422"/>
      <c r="EXW139" s="422"/>
      <c r="EXX139" s="422"/>
      <c r="EXY139" s="422"/>
      <c r="EXZ139" s="422"/>
      <c r="EYA139" s="422"/>
      <c r="EYB139" s="422"/>
      <c r="EYC139" s="422"/>
      <c r="EYD139" s="422"/>
      <c r="EYE139" s="422"/>
      <c r="EYF139" s="422"/>
      <c r="EYG139" s="422"/>
      <c r="EYH139" s="422"/>
      <c r="EYI139" s="422"/>
      <c r="EYJ139" s="422"/>
      <c r="EYK139" s="422"/>
      <c r="EYL139" s="422"/>
      <c r="EYM139" s="422"/>
      <c r="EYN139" s="422"/>
      <c r="EYO139" s="422"/>
      <c r="EYP139" s="422"/>
      <c r="EYQ139" s="422"/>
      <c r="EYR139" s="422"/>
      <c r="EYS139" s="422"/>
      <c r="EYT139" s="422"/>
      <c r="EYU139" s="422"/>
      <c r="EYV139" s="422"/>
      <c r="EYW139" s="422"/>
      <c r="EYX139" s="422"/>
      <c r="EYY139" s="422"/>
      <c r="EYZ139" s="422"/>
      <c r="EZA139" s="422"/>
      <c r="EZB139" s="422"/>
      <c r="EZC139" s="422"/>
      <c r="EZD139" s="422"/>
      <c r="EZE139" s="422"/>
      <c r="EZF139" s="422"/>
      <c r="EZG139" s="422"/>
      <c r="EZH139" s="422"/>
      <c r="EZI139" s="422"/>
      <c r="EZJ139" s="422"/>
      <c r="EZK139" s="422"/>
      <c r="EZL139" s="422"/>
      <c r="EZM139" s="422"/>
      <c r="EZN139" s="422"/>
      <c r="EZO139" s="422"/>
      <c r="EZP139" s="422"/>
      <c r="EZQ139" s="422"/>
      <c r="EZR139" s="422"/>
      <c r="EZS139" s="422"/>
      <c r="EZT139" s="422"/>
      <c r="EZU139" s="422"/>
      <c r="EZV139" s="422"/>
      <c r="EZW139" s="422"/>
      <c r="EZX139" s="422"/>
      <c r="EZY139" s="422"/>
      <c r="EZZ139" s="422"/>
      <c r="FAA139" s="422"/>
      <c r="FAB139" s="422"/>
      <c r="FAC139" s="422"/>
      <c r="FAD139" s="422"/>
      <c r="FAE139" s="422"/>
      <c r="FAF139" s="422"/>
      <c r="FAG139" s="422"/>
      <c r="FAH139" s="422"/>
      <c r="FAI139" s="422"/>
      <c r="FAJ139" s="422"/>
      <c r="FAK139" s="422"/>
      <c r="FAL139" s="422"/>
      <c r="FAM139" s="422"/>
      <c r="FAN139" s="422"/>
      <c r="FAO139" s="422"/>
      <c r="FAP139" s="422"/>
      <c r="FAQ139" s="422"/>
      <c r="FAR139" s="422"/>
      <c r="FAS139" s="422"/>
      <c r="FAT139" s="422"/>
      <c r="FAU139" s="422"/>
      <c r="FAV139" s="422"/>
      <c r="FAW139" s="422"/>
      <c r="FAX139" s="422"/>
      <c r="FAY139" s="422"/>
      <c r="FAZ139" s="422"/>
      <c r="FBA139" s="422"/>
      <c r="FBB139" s="422"/>
      <c r="FBC139" s="422"/>
      <c r="FBD139" s="422"/>
      <c r="FBE139" s="422"/>
      <c r="FBF139" s="422"/>
      <c r="FBG139" s="422"/>
      <c r="FBH139" s="422"/>
      <c r="FBI139" s="422"/>
      <c r="FBJ139" s="422"/>
      <c r="FBK139" s="422"/>
      <c r="FBL139" s="422"/>
      <c r="FBM139" s="422"/>
      <c r="FBN139" s="422"/>
      <c r="FBO139" s="422"/>
      <c r="FBP139" s="422"/>
      <c r="FBQ139" s="422"/>
      <c r="FBR139" s="422"/>
      <c r="FBS139" s="422"/>
      <c r="FBT139" s="422"/>
      <c r="FBU139" s="422"/>
      <c r="FBV139" s="422"/>
      <c r="FBW139" s="422"/>
      <c r="FBX139" s="422"/>
      <c r="FBY139" s="422"/>
      <c r="FBZ139" s="422"/>
      <c r="FCA139" s="422"/>
      <c r="FCB139" s="422"/>
      <c r="FCC139" s="422"/>
      <c r="FCD139" s="422"/>
      <c r="FCE139" s="422"/>
      <c r="FCF139" s="422"/>
      <c r="FCG139" s="422"/>
      <c r="FCH139" s="422"/>
      <c r="FCI139" s="422"/>
      <c r="FCJ139" s="422"/>
      <c r="FCK139" s="422"/>
      <c r="FCL139" s="422"/>
      <c r="FCM139" s="422"/>
      <c r="FCN139" s="422"/>
      <c r="FCO139" s="422"/>
      <c r="FCP139" s="422"/>
      <c r="FCQ139" s="422"/>
      <c r="FCR139" s="422"/>
      <c r="FCS139" s="422"/>
      <c r="FCT139" s="422"/>
      <c r="FCU139" s="422"/>
      <c r="FCV139" s="422"/>
      <c r="FCW139" s="422"/>
      <c r="FCX139" s="422"/>
      <c r="FCY139" s="422"/>
      <c r="FCZ139" s="422"/>
      <c r="FDA139" s="422"/>
      <c r="FDB139" s="422"/>
      <c r="FDC139" s="422"/>
      <c r="FDD139" s="422"/>
      <c r="FDE139" s="422"/>
      <c r="FDF139" s="422"/>
      <c r="FDG139" s="422"/>
      <c r="FDH139" s="422"/>
      <c r="FDI139" s="422"/>
      <c r="FDJ139" s="422"/>
      <c r="FDK139" s="422"/>
      <c r="FDL139" s="422"/>
      <c r="FDM139" s="422"/>
      <c r="FDN139" s="422"/>
      <c r="FDO139" s="422"/>
      <c r="FDP139" s="422"/>
      <c r="FDQ139" s="422"/>
      <c r="FDR139" s="422"/>
      <c r="FDS139" s="422"/>
      <c r="FDT139" s="422"/>
      <c r="FDU139" s="422"/>
      <c r="FDV139" s="422"/>
      <c r="FDW139" s="422"/>
      <c r="FDX139" s="422"/>
      <c r="FDY139" s="422"/>
      <c r="FDZ139" s="422"/>
      <c r="FEA139" s="422"/>
      <c r="FEB139" s="422"/>
      <c r="FEC139" s="422"/>
      <c r="FED139" s="422"/>
      <c r="FEE139" s="422"/>
      <c r="FEF139" s="422"/>
      <c r="FEG139" s="422"/>
      <c r="FEH139" s="422"/>
      <c r="FEI139" s="422"/>
      <c r="FEJ139" s="422"/>
      <c r="FEK139" s="422"/>
      <c r="FEL139" s="422"/>
      <c r="FEM139" s="422"/>
      <c r="FEN139" s="422"/>
      <c r="FEO139" s="422"/>
      <c r="FEP139" s="422"/>
      <c r="FEQ139" s="422"/>
      <c r="FER139" s="422"/>
      <c r="FES139" s="422"/>
      <c r="FET139" s="422"/>
      <c r="FEU139" s="422"/>
      <c r="FEV139" s="422"/>
      <c r="FEW139" s="422"/>
      <c r="FEX139" s="422"/>
      <c r="FEY139" s="422"/>
      <c r="FEZ139" s="422"/>
      <c r="FFA139" s="422"/>
      <c r="FFB139" s="422"/>
      <c r="FFC139" s="422"/>
      <c r="FFD139" s="422"/>
      <c r="FFE139" s="422"/>
      <c r="FFF139" s="422"/>
      <c r="FFG139" s="422"/>
      <c r="FFH139" s="422"/>
      <c r="FFI139" s="422"/>
      <c r="FFJ139" s="422"/>
      <c r="FFK139" s="422"/>
      <c r="FFL139" s="422"/>
      <c r="FFM139" s="422"/>
      <c r="FFN139" s="422"/>
      <c r="FFO139" s="422"/>
      <c r="FFP139" s="422"/>
      <c r="FFQ139" s="422"/>
      <c r="FFR139" s="422"/>
      <c r="FFS139" s="422"/>
      <c r="FFT139" s="422"/>
      <c r="FFU139" s="422"/>
      <c r="FFV139" s="422"/>
      <c r="FFW139" s="422"/>
      <c r="FFX139" s="422"/>
      <c r="FFY139" s="422"/>
      <c r="FFZ139" s="422"/>
      <c r="FGA139" s="422"/>
      <c r="FGB139" s="422"/>
      <c r="FGC139" s="422"/>
      <c r="FGD139" s="422"/>
      <c r="FGE139" s="422"/>
      <c r="FGF139" s="422"/>
      <c r="FGG139" s="422"/>
      <c r="FGH139" s="422"/>
      <c r="FGI139" s="422"/>
      <c r="FGJ139" s="422"/>
      <c r="FGK139" s="422"/>
      <c r="FGL139" s="422"/>
      <c r="FGM139" s="422"/>
      <c r="FGN139" s="422"/>
      <c r="FGO139" s="422"/>
      <c r="FGP139" s="422"/>
      <c r="FGQ139" s="422"/>
      <c r="FGR139" s="422"/>
      <c r="FGS139" s="422"/>
      <c r="FGT139" s="422"/>
      <c r="FGU139" s="422"/>
      <c r="FGV139" s="422"/>
      <c r="FGW139" s="422"/>
      <c r="FGX139" s="422"/>
      <c r="FGY139" s="422"/>
      <c r="FGZ139" s="422"/>
      <c r="FHA139" s="422"/>
      <c r="FHB139" s="422"/>
      <c r="FHC139" s="422"/>
      <c r="FHD139" s="422"/>
      <c r="FHE139" s="422"/>
      <c r="FHF139" s="422"/>
      <c r="FHG139" s="422"/>
      <c r="FHH139" s="422"/>
      <c r="FHI139" s="422"/>
      <c r="FHJ139" s="422"/>
      <c r="FHK139" s="422"/>
      <c r="FHL139" s="422"/>
      <c r="FHM139" s="422"/>
      <c r="FHN139" s="422"/>
      <c r="FHO139" s="422"/>
      <c r="FHP139" s="422"/>
      <c r="FHQ139" s="422"/>
      <c r="FHR139" s="422"/>
      <c r="FHS139" s="422"/>
      <c r="FHT139" s="422"/>
      <c r="FHU139" s="422"/>
      <c r="FHV139" s="422"/>
      <c r="FHW139" s="422"/>
      <c r="FHX139" s="422"/>
      <c r="FHY139" s="422"/>
      <c r="FHZ139" s="422"/>
      <c r="FIA139" s="422"/>
      <c r="FIB139" s="422"/>
      <c r="FIC139" s="422"/>
      <c r="FID139" s="422"/>
      <c r="FIE139" s="422"/>
      <c r="FIF139" s="422"/>
      <c r="FIG139" s="422"/>
      <c r="FIH139" s="422"/>
      <c r="FII139" s="422"/>
      <c r="FIJ139" s="422"/>
      <c r="FIK139" s="422"/>
      <c r="FIL139" s="422"/>
      <c r="FIM139" s="422"/>
      <c r="FIN139" s="422"/>
      <c r="FIO139" s="422"/>
      <c r="FIP139" s="422"/>
      <c r="FIQ139" s="422"/>
      <c r="FIR139" s="422"/>
      <c r="FIS139" s="422"/>
      <c r="FIT139" s="422"/>
      <c r="FIU139" s="422"/>
      <c r="FIV139" s="422"/>
      <c r="FIW139" s="422"/>
      <c r="FIX139" s="422"/>
      <c r="FIY139" s="422"/>
      <c r="FIZ139" s="422"/>
      <c r="FJA139" s="422"/>
      <c r="FJB139" s="422"/>
      <c r="FJC139" s="422"/>
      <c r="FJD139" s="422"/>
      <c r="FJE139" s="422"/>
      <c r="FJF139" s="422"/>
      <c r="FJG139" s="422"/>
      <c r="FJH139" s="422"/>
      <c r="FJI139" s="422"/>
      <c r="FJJ139" s="422"/>
      <c r="FJK139" s="422"/>
      <c r="FJL139" s="422"/>
      <c r="FJM139" s="422"/>
      <c r="FJN139" s="422"/>
      <c r="FJO139" s="422"/>
      <c r="FJP139" s="422"/>
      <c r="FJQ139" s="422"/>
      <c r="FJR139" s="422"/>
      <c r="FJS139" s="422"/>
      <c r="FJT139" s="422"/>
      <c r="FJU139" s="422"/>
      <c r="FJV139" s="422"/>
      <c r="FJW139" s="422"/>
      <c r="FJX139" s="422"/>
      <c r="FJY139" s="422"/>
      <c r="FJZ139" s="422"/>
      <c r="FKA139" s="422"/>
      <c r="FKB139" s="422"/>
      <c r="FKC139" s="422"/>
      <c r="FKD139" s="422"/>
      <c r="FKE139" s="422"/>
      <c r="FKF139" s="422"/>
      <c r="FKG139" s="422"/>
      <c r="FKH139" s="422"/>
      <c r="FKI139" s="422"/>
      <c r="FKJ139" s="422"/>
      <c r="FKK139" s="422"/>
      <c r="FKL139" s="422"/>
      <c r="FKM139" s="422"/>
      <c r="FKN139" s="422"/>
      <c r="FKO139" s="422"/>
      <c r="FKP139" s="422"/>
      <c r="FKQ139" s="422"/>
      <c r="FKR139" s="422"/>
      <c r="FKS139" s="422"/>
      <c r="FKT139" s="422"/>
      <c r="FKU139" s="422"/>
      <c r="FKV139" s="422"/>
      <c r="FKW139" s="422"/>
      <c r="FKX139" s="422"/>
      <c r="FKY139" s="422"/>
      <c r="FKZ139" s="422"/>
      <c r="FLA139" s="422"/>
      <c r="FLB139" s="422"/>
      <c r="FLC139" s="422"/>
      <c r="FLD139" s="422"/>
      <c r="FLE139" s="422"/>
      <c r="FLF139" s="422"/>
      <c r="FLG139" s="422"/>
      <c r="FLH139" s="422"/>
      <c r="FLI139" s="422"/>
      <c r="FLJ139" s="422"/>
      <c r="FLK139" s="422"/>
      <c r="FLL139" s="422"/>
      <c r="FLM139" s="422"/>
      <c r="FLN139" s="422"/>
      <c r="FLO139" s="422"/>
      <c r="FLP139" s="422"/>
      <c r="FLQ139" s="422"/>
      <c r="FLR139" s="422"/>
      <c r="FLS139" s="422"/>
      <c r="FLT139" s="422"/>
      <c r="FLU139" s="422"/>
      <c r="FLV139" s="422"/>
      <c r="FLW139" s="422"/>
      <c r="FLX139" s="422"/>
      <c r="FLY139" s="422"/>
      <c r="FLZ139" s="422"/>
      <c r="FMA139" s="422"/>
      <c r="FMB139" s="422"/>
      <c r="FMC139" s="422"/>
      <c r="FMD139" s="422"/>
      <c r="FME139" s="422"/>
      <c r="FMF139" s="422"/>
      <c r="FMG139" s="422"/>
      <c r="FMH139" s="422"/>
      <c r="FMI139" s="422"/>
      <c r="FMJ139" s="422"/>
      <c r="FMK139" s="422"/>
      <c r="FML139" s="422"/>
      <c r="FMM139" s="422"/>
      <c r="FMN139" s="422"/>
      <c r="FMO139" s="422"/>
      <c r="FMP139" s="422"/>
      <c r="FMQ139" s="422"/>
      <c r="FMR139" s="422"/>
      <c r="FMS139" s="422"/>
      <c r="FMT139" s="422"/>
      <c r="FMU139" s="422"/>
      <c r="FMV139" s="422"/>
      <c r="FMW139" s="422"/>
      <c r="FMX139" s="422"/>
      <c r="FMY139" s="422"/>
      <c r="FMZ139" s="422"/>
      <c r="FNA139" s="422"/>
      <c r="FNB139" s="422"/>
      <c r="FNC139" s="422"/>
      <c r="FND139" s="422"/>
      <c r="FNE139" s="422"/>
      <c r="FNF139" s="422"/>
      <c r="FNG139" s="422"/>
      <c r="FNH139" s="422"/>
      <c r="FNI139" s="422"/>
      <c r="FNJ139" s="422"/>
      <c r="FNK139" s="422"/>
      <c r="FNL139" s="422"/>
      <c r="FNM139" s="422"/>
      <c r="FNN139" s="422"/>
      <c r="FNO139" s="422"/>
      <c r="FNP139" s="422"/>
      <c r="FNQ139" s="422"/>
      <c r="FNR139" s="422"/>
      <c r="FNS139" s="422"/>
      <c r="FNT139" s="422"/>
      <c r="FNU139" s="422"/>
      <c r="FNV139" s="422"/>
      <c r="FNW139" s="422"/>
      <c r="FNX139" s="422"/>
      <c r="FNY139" s="422"/>
      <c r="FNZ139" s="422"/>
      <c r="FOA139" s="422"/>
      <c r="FOB139" s="422"/>
      <c r="FOC139" s="422"/>
      <c r="FOD139" s="422"/>
      <c r="FOE139" s="422"/>
      <c r="FOF139" s="422"/>
      <c r="FOG139" s="422"/>
      <c r="FOH139" s="422"/>
      <c r="FOI139" s="422"/>
      <c r="FOJ139" s="422"/>
      <c r="FOK139" s="422"/>
      <c r="FOL139" s="422"/>
      <c r="FOM139" s="422"/>
      <c r="FON139" s="422"/>
      <c r="FOO139" s="422"/>
      <c r="FOP139" s="422"/>
      <c r="FOQ139" s="422"/>
      <c r="FOR139" s="422"/>
      <c r="FOS139" s="422"/>
      <c r="FOT139" s="422"/>
      <c r="FOU139" s="422"/>
      <c r="FOV139" s="422"/>
      <c r="FOW139" s="422"/>
      <c r="FOX139" s="422"/>
      <c r="FOY139" s="422"/>
      <c r="FOZ139" s="422"/>
      <c r="FPA139" s="422"/>
      <c r="FPB139" s="422"/>
      <c r="FPC139" s="422"/>
      <c r="FPD139" s="422"/>
      <c r="FPE139" s="422"/>
      <c r="FPF139" s="422"/>
      <c r="FPG139" s="422"/>
      <c r="FPH139" s="422"/>
      <c r="FPI139" s="422"/>
      <c r="FPJ139" s="422"/>
      <c r="FPK139" s="422"/>
      <c r="FPL139" s="422"/>
      <c r="FPM139" s="422"/>
      <c r="FPN139" s="422"/>
      <c r="FPO139" s="422"/>
      <c r="FPP139" s="422"/>
      <c r="FPQ139" s="422"/>
      <c r="FPR139" s="422"/>
      <c r="FPS139" s="422"/>
      <c r="FPT139" s="422"/>
      <c r="FPU139" s="422"/>
      <c r="FPV139" s="422"/>
      <c r="FPW139" s="422"/>
      <c r="FPX139" s="422"/>
      <c r="FPY139" s="422"/>
      <c r="FPZ139" s="422"/>
      <c r="FQA139" s="422"/>
      <c r="FQB139" s="422"/>
      <c r="FQC139" s="422"/>
      <c r="FQD139" s="422"/>
      <c r="FQE139" s="422"/>
      <c r="FQF139" s="422"/>
      <c r="FQG139" s="422"/>
      <c r="FQH139" s="422"/>
      <c r="FQI139" s="422"/>
      <c r="FQJ139" s="422"/>
      <c r="FQK139" s="422"/>
      <c r="FQL139" s="422"/>
      <c r="FQM139" s="422"/>
      <c r="FQN139" s="422"/>
      <c r="FQO139" s="422"/>
      <c r="FQP139" s="422"/>
      <c r="FQQ139" s="422"/>
      <c r="FQR139" s="422"/>
      <c r="FQS139" s="422"/>
      <c r="FQT139" s="422"/>
      <c r="FQU139" s="422"/>
      <c r="FQV139" s="422"/>
      <c r="FQW139" s="422"/>
      <c r="FQX139" s="422"/>
      <c r="FQY139" s="422"/>
      <c r="FQZ139" s="422"/>
      <c r="FRA139" s="422"/>
      <c r="FRB139" s="422"/>
      <c r="FRC139" s="422"/>
      <c r="FRD139" s="422"/>
      <c r="FRE139" s="422"/>
      <c r="FRF139" s="422"/>
      <c r="FRG139" s="422"/>
      <c r="FRH139" s="422"/>
      <c r="FRI139" s="422"/>
      <c r="FRJ139" s="422"/>
      <c r="FRK139" s="422"/>
      <c r="FRL139" s="422"/>
      <c r="FRM139" s="422"/>
      <c r="FRN139" s="422"/>
      <c r="FRO139" s="422"/>
      <c r="FRP139" s="422"/>
      <c r="FRQ139" s="422"/>
      <c r="FRR139" s="422"/>
      <c r="FRS139" s="422"/>
      <c r="FRT139" s="422"/>
      <c r="FRU139" s="422"/>
      <c r="FRV139" s="422"/>
      <c r="FRW139" s="422"/>
      <c r="FRX139" s="422"/>
      <c r="FRY139" s="422"/>
      <c r="FRZ139" s="422"/>
      <c r="FSA139" s="422"/>
      <c r="FSB139" s="422"/>
      <c r="FSC139" s="422"/>
      <c r="FSD139" s="422"/>
      <c r="FSE139" s="422"/>
      <c r="FSF139" s="422"/>
      <c r="FSG139" s="422"/>
      <c r="FSH139" s="422"/>
      <c r="FSI139" s="422"/>
      <c r="FSJ139" s="422"/>
      <c r="FSK139" s="422"/>
      <c r="FSL139" s="422"/>
      <c r="FSM139" s="422"/>
      <c r="FSN139" s="422"/>
      <c r="FSO139" s="422"/>
      <c r="FSP139" s="422"/>
      <c r="FSQ139" s="422"/>
      <c r="FSR139" s="422"/>
      <c r="FSS139" s="422"/>
      <c r="FST139" s="422"/>
      <c r="FSU139" s="422"/>
      <c r="FSV139" s="422"/>
      <c r="FSW139" s="422"/>
      <c r="FSX139" s="422"/>
      <c r="FSY139" s="422"/>
      <c r="FSZ139" s="422"/>
      <c r="FTA139" s="422"/>
      <c r="FTB139" s="422"/>
      <c r="FTC139" s="422"/>
      <c r="FTD139" s="422"/>
      <c r="FTE139" s="422"/>
      <c r="FTF139" s="422"/>
      <c r="FTG139" s="422"/>
      <c r="FTH139" s="422"/>
      <c r="FTI139" s="422"/>
      <c r="FTJ139" s="422"/>
      <c r="FTK139" s="422"/>
      <c r="FTL139" s="422"/>
      <c r="FTM139" s="422"/>
      <c r="FTN139" s="422"/>
      <c r="FTO139" s="422"/>
      <c r="FTP139" s="422"/>
      <c r="FTQ139" s="422"/>
      <c r="FTR139" s="422"/>
      <c r="FTS139" s="422"/>
      <c r="FTT139" s="422"/>
      <c r="FTU139" s="422"/>
      <c r="FTV139" s="422"/>
      <c r="FTW139" s="422"/>
      <c r="FTX139" s="422"/>
      <c r="FTY139" s="422"/>
      <c r="FTZ139" s="422"/>
      <c r="FUA139" s="422"/>
      <c r="FUB139" s="422"/>
      <c r="FUC139" s="422"/>
      <c r="FUD139" s="422"/>
      <c r="FUE139" s="422"/>
      <c r="FUF139" s="422"/>
      <c r="FUG139" s="422"/>
      <c r="FUH139" s="422"/>
      <c r="FUI139" s="422"/>
      <c r="FUJ139" s="422"/>
      <c r="FUK139" s="422"/>
      <c r="FUL139" s="422"/>
      <c r="FUM139" s="422"/>
      <c r="FUN139" s="422"/>
      <c r="FUO139" s="422"/>
      <c r="FUP139" s="422"/>
      <c r="FUQ139" s="422"/>
      <c r="FUR139" s="422"/>
      <c r="FUS139" s="422"/>
      <c r="FUT139" s="422"/>
      <c r="FUU139" s="422"/>
      <c r="FUV139" s="422"/>
      <c r="FUW139" s="422"/>
      <c r="FUX139" s="422"/>
      <c r="FUY139" s="422"/>
      <c r="FUZ139" s="422"/>
      <c r="FVA139" s="422"/>
      <c r="FVB139" s="422"/>
      <c r="FVC139" s="422"/>
      <c r="FVD139" s="422"/>
      <c r="FVE139" s="422"/>
      <c r="FVF139" s="422"/>
      <c r="FVG139" s="422"/>
      <c r="FVH139" s="422"/>
      <c r="FVI139" s="422"/>
      <c r="FVJ139" s="422"/>
      <c r="FVK139" s="422"/>
      <c r="FVL139" s="422"/>
      <c r="FVM139" s="422"/>
      <c r="FVN139" s="422"/>
      <c r="FVO139" s="422"/>
      <c r="FVP139" s="422"/>
      <c r="FVQ139" s="422"/>
      <c r="FVR139" s="422"/>
      <c r="FVS139" s="422"/>
      <c r="FVT139" s="422"/>
      <c r="FVU139" s="422"/>
      <c r="FVV139" s="422"/>
      <c r="FVW139" s="422"/>
      <c r="FVX139" s="422"/>
      <c r="FVY139" s="422"/>
      <c r="FVZ139" s="422"/>
      <c r="FWA139" s="422"/>
      <c r="FWB139" s="422"/>
      <c r="FWC139" s="422"/>
      <c r="FWD139" s="422"/>
      <c r="FWE139" s="422"/>
      <c r="FWF139" s="422"/>
      <c r="FWG139" s="422"/>
      <c r="FWH139" s="422"/>
      <c r="FWI139" s="422"/>
      <c r="FWJ139" s="422"/>
      <c r="FWK139" s="422"/>
      <c r="FWL139" s="422"/>
      <c r="FWM139" s="422"/>
      <c r="FWN139" s="422"/>
      <c r="FWO139" s="422"/>
      <c r="FWP139" s="422"/>
      <c r="FWQ139" s="422"/>
      <c r="FWR139" s="422"/>
      <c r="FWS139" s="422"/>
      <c r="FWT139" s="422"/>
      <c r="FWU139" s="422"/>
      <c r="FWV139" s="422"/>
      <c r="FWW139" s="422"/>
      <c r="FWX139" s="422"/>
      <c r="FWY139" s="422"/>
      <c r="FWZ139" s="422"/>
      <c r="FXA139" s="422"/>
      <c r="FXB139" s="422"/>
      <c r="FXC139" s="422"/>
      <c r="FXD139" s="422"/>
      <c r="FXE139" s="422"/>
      <c r="FXF139" s="422"/>
      <c r="FXG139" s="422"/>
      <c r="FXH139" s="422"/>
      <c r="FXI139" s="422"/>
      <c r="FXJ139" s="422"/>
      <c r="FXK139" s="422"/>
      <c r="FXL139" s="422"/>
      <c r="FXM139" s="422"/>
      <c r="FXN139" s="422"/>
      <c r="FXO139" s="422"/>
      <c r="FXP139" s="422"/>
      <c r="FXQ139" s="422"/>
      <c r="FXR139" s="422"/>
      <c r="FXS139" s="422"/>
      <c r="FXT139" s="422"/>
      <c r="FXU139" s="422"/>
      <c r="FXV139" s="422"/>
      <c r="FXW139" s="422"/>
      <c r="FXX139" s="422"/>
      <c r="FXY139" s="422"/>
      <c r="FXZ139" s="422"/>
      <c r="FYA139" s="422"/>
      <c r="FYB139" s="422"/>
      <c r="FYC139" s="422"/>
      <c r="FYD139" s="422"/>
      <c r="FYE139" s="422"/>
      <c r="FYF139" s="422"/>
      <c r="FYG139" s="422"/>
      <c r="FYH139" s="422"/>
      <c r="FYI139" s="422"/>
      <c r="FYJ139" s="422"/>
      <c r="FYK139" s="422"/>
      <c r="FYL139" s="422"/>
      <c r="FYM139" s="422"/>
      <c r="FYN139" s="422"/>
      <c r="FYO139" s="422"/>
      <c r="FYP139" s="422"/>
      <c r="FYQ139" s="422"/>
      <c r="FYR139" s="422"/>
      <c r="FYS139" s="422"/>
      <c r="FYT139" s="422"/>
      <c r="FYU139" s="422"/>
      <c r="FYV139" s="422"/>
      <c r="FYW139" s="422"/>
      <c r="FYX139" s="422"/>
      <c r="FYY139" s="422"/>
      <c r="FYZ139" s="422"/>
      <c r="FZA139" s="422"/>
      <c r="FZB139" s="422"/>
      <c r="FZC139" s="422"/>
      <c r="FZD139" s="422"/>
      <c r="FZE139" s="422"/>
      <c r="FZF139" s="422"/>
      <c r="FZG139" s="422"/>
      <c r="FZH139" s="422"/>
      <c r="FZI139" s="422"/>
      <c r="FZJ139" s="422"/>
      <c r="FZK139" s="422"/>
      <c r="FZL139" s="422"/>
      <c r="FZM139" s="422"/>
      <c r="FZN139" s="422"/>
      <c r="FZO139" s="422"/>
      <c r="FZP139" s="422"/>
      <c r="FZQ139" s="422"/>
      <c r="FZR139" s="422"/>
      <c r="FZS139" s="422"/>
      <c r="FZT139" s="422"/>
      <c r="FZU139" s="422"/>
      <c r="FZV139" s="422"/>
      <c r="FZW139" s="422"/>
      <c r="FZX139" s="422"/>
      <c r="FZY139" s="422"/>
      <c r="FZZ139" s="422"/>
      <c r="GAA139" s="422"/>
      <c r="GAB139" s="422"/>
      <c r="GAC139" s="422"/>
      <c r="GAD139" s="422"/>
      <c r="GAE139" s="422"/>
      <c r="GAF139" s="422"/>
      <c r="GAG139" s="422"/>
      <c r="GAH139" s="422"/>
      <c r="GAI139" s="422"/>
      <c r="GAJ139" s="422"/>
      <c r="GAK139" s="422"/>
      <c r="GAL139" s="422"/>
      <c r="GAM139" s="422"/>
      <c r="GAN139" s="422"/>
      <c r="GAO139" s="422"/>
      <c r="GAP139" s="422"/>
      <c r="GAQ139" s="422"/>
      <c r="GAR139" s="422"/>
      <c r="GAS139" s="422"/>
      <c r="GAT139" s="422"/>
      <c r="GAU139" s="422"/>
      <c r="GAV139" s="422"/>
      <c r="GAW139" s="422"/>
      <c r="GAX139" s="422"/>
      <c r="GAY139" s="422"/>
      <c r="GAZ139" s="422"/>
      <c r="GBA139" s="422"/>
      <c r="GBB139" s="422"/>
      <c r="GBC139" s="422"/>
      <c r="GBD139" s="422"/>
      <c r="GBE139" s="422"/>
      <c r="GBF139" s="422"/>
      <c r="GBG139" s="422"/>
      <c r="GBH139" s="422"/>
      <c r="GBI139" s="422"/>
      <c r="GBJ139" s="422"/>
      <c r="GBK139" s="422"/>
      <c r="GBL139" s="422"/>
      <c r="GBM139" s="422"/>
      <c r="GBN139" s="422"/>
      <c r="GBO139" s="422"/>
      <c r="GBP139" s="422"/>
      <c r="GBQ139" s="422"/>
      <c r="GBR139" s="422"/>
      <c r="GBS139" s="422"/>
      <c r="GBT139" s="422"/>
      <c r="GBU139" s="422"/>
      <c r="GBV139" s="422"/>
      <c r="GBW139" s="422"/>
      <c r="GBX139" s="422"/>
      <c r="GBY139" s="422"/>
      <c r="GBZ139" s="422"/>
      <c r="GCA139" s="422"/>
      <c r="GCB139" s="422"/>
      <c r="GCC139" s="422"/>
      <c r="GCD139" s="422"/>
      <c r="GCE139" s="422"/>
      <c r="GCF139" s="422"/>
      <c r="GCG139" s="422"/>
      <c r="GCH139" s="422"/>
      <c r="GCI139" s="422"/>
      <c r="GCJ139" s="422"/>
      <c r="GCK139" s="422"/>
      <c r="GCL139" s="422"/>
      <c r="GCM139" s="422"/>
      <c r="GCN139" s="422"/>
      <c r="GCO139" s="422"/>
      <c r="GCP139" s="422"/>
      <c r="GCQ139" s="422"/>
      <c r="GCR139" s="422"/>
      <c r="GCS139" s="422"/>
      <c r="GCT139" s="422"/>
      <c r="GCU139" s="422"/>
      <c r="GCV139" s="422"/>
      <c r="GCW139" s="422"/>
      <c r="GCX139" s="422"/>
      <c r="GCY139" s="422"/>
      <c r="GCZ139" s="422"/>
      <c r="GDA139" s="422"/>
      <c r="GDB139" s="422"/>
      <c r="GDC139" s="422"/>
      <c r="GDD139" s="422"/>
      <c r="GDE139" s="422"/>
      <c r="GDF139" s="422"/>
      <c r="GDG139" s="422"/>
      <c r="GDH139" s="422"/>
      <c r="GDI139" s="422"/>
      <c r="GDJ139" s="422"/>
      <c r="GDK139" s="422"/>
      <c r="GDL139" s="422"/>
      <c r="GDM139" s="422"/>
      <c r="GDN139" s="422"/>
      <c r="GDO139" s="422"/>
      <c r="GDP139" s="422"/>
      <c r="GDQ139" s="422"/>
      <c r="GDR139" s="422"/>
      <c r="GDS139" s="422"/>
      <c r="GDT139" s="422"/>
      <c r="GDU139" s="422"/>
      <c r="GDV139" s="422"/>
      <c r="GDW139" s="422"/>
      <c r="GDX139" s="422"/>
      <c r="GDY139" s="422"/>
      <c r="GDZ139" s="422"/>
      <c r="GEA139" s="422"/>
      <c r="GEB139" s="422"/>
      <c r="GEC139" s="422"/>
      <c r="GED139" s="422"/>
      <c r="GEE139" s="422"/>
      <c r="GEF139" s="422"/>
      <c r="GEG139" s="422"/>
      <c r="GEH139" s="422"/>
      <c r="GEI139" s="422"/>
      <c r="GEJ139" s="422"/>
      <c r="GEK139" s="422"/>
      <c r="GEL139" s="422"/>
      <c r="GEM139" s="422"/>
      <c r="GEN139" s="422"/>
      <c r="GEO139" s="422"/>
      <c r="GEP139" s="422"/>
      <c r="GEQ139" s="422"/>
      <c r="GER139" s="422"/>
      <c r="GES139" s="422"/>
      <c r="GET139" s="422"/>
      <c r="GEU139" s="422"/>
      <c r="GEV139" s="422"/>
      <c r="GEW139" s="422"/>
      <c r="GEX139" s="422"/>
      <c r="GEY139" s="422"/>
      <c r="GEZ139" s="422"/>
      <c r="GFA139" s="422"/>
      <c r="GFB139" s="422"/>
      <c r="GFC139" s="422"/>
      <c r="GFD139" s="422"/>
      <c r="GFE139" s="422"/>
      <c r="GFF139" s="422"/>
      <c r="GFG139" s="422"/>
      <c r="GFH139" s="422"/>
      <c r="GFI139" s="422"/>
      <c r="GFJ139" s="422"/>
      <c r="GFK139" s="422"/>
      <c r="GFL139" s="422"/>
      <c r="GFM139" s="422"/>
      <c r="GFN139" s="422"/>
      <c r="GFO139" s="422"/>
      <c r="GFP139" s="422"/>
      <c r="GFQ139" s="422"/>
      <c r="GFR139" s="422"/>
      <c r="GFS139" s="422"/>
      <c r="GFT139" s="422"/>
      <c r="GFU139" s="422"/>
      <c r="GFV139" s="422"/>
      <c r="GFW139" s="422"/>
      <c r="GFX139" s="422"/>
      <c r="GFY139" s="422"/>
      <c r="GFZ139" s="422"/>
      <c r="GGA139" s="422"/>
      <c r="GGB139" s="422"/>
      <c r="GGC139" s="422"/>
      <c r="GGD139" s="422"/>
      <c r="GGE139" s="422"/>
      <c r="GGF139" s="422"/>
      <c r="GGG139" s="422"/>
      <c r="GGH139" s="422"/>
      <c r="GGI139" s="422"/>
      <c r="GGJ139" s="422"/>
      <c r="GGK139" s="422"/>
      <c r="GGL139" s="422"/>
      <c r="GGM139" s="422"/>
      <c r="GGN139" s="422"/>
      <c r="GGO139" s="422"/>
      <c r="GGP139" s="422"/>
      <c r="GGQ139" s="422"/>
      <c r="GGR139" s="422"/>
      <c r="GGS139" s="422"/>
      <c r="GGT139" s="422"/>
      <c r="GGU139" s="422"/>
      <c r="GGV139" s="422"/>
      <c r="GGW139" s="422"/>
      <c r="GGX139" s="422"/>
      <c r="GGY139" s="422"/>
      <c r="GGZ139" s="422"/>
      <c r="GHA139" s="422"/>
      <c r="GHB139" s="422"/>
      <c r="GHC139" s="422"/>
      <c r="GHD139" s="422"/>
      <c r="GHE139" s="422"/>
      <c r="GHF139" s="422"/>
      <c r="GHG139" s="422"/>
      <c r="GHH139" s="422"/>
      <c r="GHI139" s="422"/>
      <c r="GHJ139" s="422"/>
      <c r="GHK139" s="422"/>
      <c r="GHL139" s="422"/>
      <c r="GHM139" s="422"/>
      <c r="GHN139" s="422"/>
      <c r="GHO139" s="422"/>
      <c r="GHP139" s="422"/>
      <c r="GHQ139" s="422"/>
      <c r="GHR139" s="422"/>
      <c r="GHS139" s="422"/>
      <c r="GHT139" s="422"/>
      <c r="GHU139" s="422"/>
      <c r="GHV139" s="422"/>
      <c r="GHW139" s="422"/>
      <c r="GHX139" s="422"/>
      <c r="GHY139" s="422"/>
      <c r="GHZ139" s="422"/>
      <c r="GIA139" s="422"/>
      <c r="GIB139" s="422"/>
      <c r="GIC139" s="422"/>
      <c r="GID139" s="422"/>
      <c r="GIE139" s="422"/>
      <c r="GIF139" s="422"/>
      <c r="GIG139" s="422"/>
      <c r="GIH139" s="422"/>
      <c r="GII139" s="422"/>
      <c r="GIJ139" s="422"/>
      <c r="GIK139" s="422"/>
      <c r="GIL139" s="422"/>
      <c r="GIM139" s="422"/>
      <c r="GIN139" s="422"/>
      <c r="GIO139" s="422"/>
      <c r="GIP139" s="422"/>
      <c r="GIQ139" s="422"/>
      <c r="GIR139" s="422"/>
      <c r="GIS139" s="422"/>
      <c r="GIT139" s="422"/>
      <c r="GIU139" s="422"/>
      <c r="GIV139" s="422"/>
      <c r="GIW139" s="422"/>
      <c r="GIX139" s="422"/>
      <c r="GIY139" s="422"/>
      <c r="GIZ139" s="422"/>
      <c r="GJA139" s="422"/>
      <c r="GJB139" s="422"/>
      <c r="GJC139" s="422"/>
      <c r="GJD139" s="422"/>
      <c r="GJE139" s="422"/>
      <c r="GJF139" s="422"/>
      <c r="GJG139" s="422"/>
      <c r="GJH139" s="422"/>
      <c r="GJI139" s="422"/>
      <c r="GJJ139" s="422"/>
      <c r="GJK139" s="422"/>
      <c r="GJL139" s="422"/>
      <c r="GJM139" s="422"/>
      <c r="GJN139" s="422"/>
      <c r="GJO139" s="422"/>
      <c r="GJP139" s="422"/>
      <c r="GJQ139" s="422"/>
      <c r="GJR139" s="422"/>
      <c r="GJS139" s="422"/>
      <c r="GJT139" s="422"/>
      <c r="GJU139" s="422"/>
      <c r="GJV139" s="422"/>
      <c r="GJW139" s="422"/>
      <c r="GJX139" s="422"/>
      <c r="GJY139" s="422"/>
      <c r="GJZ139" s="422"/>
      <c r="GKA139" s="422"/>
      <c r="GKB139" s="422"/>
      <c r="GKC139" s="422"/>
      <c r="GKD139" s="422"/>
      <c r="GKE139" s="422"/>
      <c r="GKF139" s="422"/>
      <c r="GKG139" s="422"/>
      <c r="GKH139" s="422"/>
      <c r="GKI139" s="422"/>
      <c r="GKJ139" s="422"/>
      <c r="GKK139" s="422"/>
      <c r="GKL139" s="422"/>
      <c r="GKM139" s="422"/>
      <c r="GKN139" s="422"/>
      <c r="GKO139" s="422"/>
      <c r="GKP139" s="422"/>
      <c r="GKQ139" s="422"/>
      <c r="GKR139" s="422"/>
      <c r="GKS139" s="422"/>
      <c r="GKT139" s="422"/>
      <c r="GKU139" s="422"/>
      <c r="GKV139" s="422"/>
      <c r="GKW139" s="422"/>
      <c r="GKX139" s="422"/>
      <c r="GKY139" s="422"/>
      <c r="GKZ139" s="422"/>
      <c r="GLA139" s="422"/>
      <c r="GLB139" s="422"/>
      <c r="GLC139" s="422"/>
      <c r="GLD139" s="422"/>
      <c r="GLE139" s="422"/>
      <c r="GLF139" s="422"/>
      <c r="GLG139" s="422"/>
      <c r="GLH139" s="422"/>
      <c r="GLI139" s="422"/>
      <c r="GLJ139" s="422"/>
      <c r="GLK139" s="422"/>
      <c r="GLL139" s="422"/>
      <c r="GLM139" s="422"/>
      <c r="GLN139" s="422"/>
      <c r="GLO139" s="422"/>
      <c r="GLP139" s="422"/>
      <c r="GLQ139" s="422"/>
      <c r="GLR139" s="422"/>
      <c r="GLS139" s="422"/>
      <c r="GLT139" s="422"/>
      <c r="GLU139" s="422"/>
      <c r="GLV139" s="422"/>
      <c r="GLW139" s="422"/>
      <c r="GLX139" s="422"/>
      <c r="GLY139" s="422"/>
      <c r="GLZ139" s="422"/>
      <c r="GMA139" s="422"/>
      <c r="GMB139" s="422"/>
      <c r="GMC139" s="422"/>
      <c r="GMD139" s="422"/>
      <c r="GME139" s="422"/>
      <c r="GMF139" s="422"/>
      <c r="GMG139" s="422"/>
      <c r="GMH139" s="422"/>
      <c r="GMI139" s="422"/>
      <c r="GMJ139" s="422"/>
      <c r="GMK139" s="422"/>
      <c r="GML139" s="422"/>
      <c r="GMM139" s="422"/>
      <c r="GMN139" s="422"/>
      <c r="GMO139" s="422"/>
      <c r="GMP139" s="422"/>
      <c r="GMQ139" s="422"/>
      <c r="GMR139" s="422"/>
      <c r="GMS139" s="422"/>
      <c r="GMT139" s="422"/>
      <c r="GMU139" s="422"/>
      <c r="GMV139" s="422"/>
      <c r="GMW139" s="422"/>
      <c r="GMX139" s="422"/>
      <c r="GMY139" s="422"/>
      <c r="GMZ139" s="422"/>
      <c r="GNA139" s="422"/>
      <c r="GNB139" s="422"/>
      <c r="GNC139" s="422"/>
      <c r="GND139" s="422"/>
      <c r="GNE139" s="422"/>
      <c r="GNF139" s="422"/>
      <c r="GNG139" s="422"/>
      <c r="GNH139" s="422"/>
      <c r="GNI139" s="422"/>
      <c r="GNJ139" s="422"/>
      <c r="GNK139" s="422"/>
      <c r="GNL139" s="422"/>
      <c r="GNM139" s="422"/>
      <c r="GNN139" s="422"/>
      <c r="GNO139" s="422"/>
      <c r="GNP139" s="422"/>
      <c r="GNQ139" s="422"/>
      <c r="GNR139" s="422"/>
      <c r="GNS139" s="422"/>
      <c r="GNT139" s="422"/>
      <c r="GNU139" s="422"/>
      <c r="GNV139" s="422"/>
      <c r="GNW139" s="422"/>
      <c r="GNX139" s="422"/>
      <c r="GNY139" s="422"/>
      <c r="GNZ139" s="422"/>
      <c r="GOA139" s="422"/>
      <c r="GOB139" s="422"/>
      <c r="GOC139" s="422"/>
      <c r="GOD139" s="422"/>
      <c r="GOE139" s="422"/>
      <c r="GOF139" s="422"/>
      <c r="GOG139" s="422"/>
      <c r="GOH139" s="422"/>
      <c r="GOI139" s="422"/>
      <c r="GOJ139" s="422"/>
      <c r="GOK139" s="422"/>
      <c r="GOL139" s="422"/>
      <c r="GOM139" s="422"/>
      <c r="GON139" s="422"/>
      <c r="GOO139" s="422"/>
      <c r="GOP139" s="422"/>
      <c r="GOQ139" s="422"/>
      <c r="GOR139" s="422"/>
      <c r="GOS139" s="422"/>
      <c r="GOT139" s="422"/>
      <c r="GOU139" s="422"/>
      <c r="GOV139" s="422"/>
      <c r="GOW139" s="422"/>
      <c r="GOX139" s="422"/>
      <c r="GOY139" s="422"/>
      <c r="GOZ139" s="422"/>
      <c r="GPA139" s="422"/>
      <c r="GPB139" s="422"/>
      <c r="GPC139" s="422"/>
      <c r="GPD139" s="422"/>
      <c r="GPE139" s="422"/>
      <c r="GPF139" s="422"/>
      <c r="GPG139" s="422"/>
      <c r="GPH139" s="422"/>
      <c r="GPI139" s="422"/>
      <c r="GPJ139" s="422"/>
      <c r="GPK139" s="422"/>
      <c r="GPL139" s="422"/>
      <c r="GPM139" s="422"/>
      <c r="GPN139" s="422"/>
      <c r="GPO139" s="422"/>
      <c r="GPP139" s="422"/>
      <c r="GPQ139" s="422"/>
      <c r="GPR139" s="422"/>
      <c r="GPS139" s="422"/>
      <c r="GPT139" s="422"/>
      <c r="GPU139" s="422"/>
      <c r="GPV139" s="422"/>
      <c r="GPW139" s="422"/>
      <c r="GPX139" s="422"/>
      <c r="GPY139" s="422"/>
      <c r="GPZ139" s="422"/>
      <c r="GQA139" s="422"/>
      <c r="GQB139" s="422"/>
      <c r="GQC139" s="422"/>
      <c r="GQD139" s="422"/>
      <c r="GQE139" s="422"/>
      <c r="GQF139" s="422"/>
      <c r="GQG139" s="422"/>
      <c r="GQH139" s="422"/>
      <c r="GQI139" s="422"/>
      <c r="GQJ139" s="422"/>
      <c r="GQK139" s="422"/>
      <c r="GQL139" s="422"/>
      <c r="GQM139" s="422"/>
      <c r="GQN139" s="422"/>
      <c r="GQO139" s="422"/>
      <c r="GQP139" s="422"/>
      <c r="GQQ139" s="422"/>
      <c r="GQR139" s="422"/>
      <c r="GQS139" s="422"/>
      <c r="GQT139" s="422"/>
      <c r="GQU139" s="422"/>
      <c r="GQV139" s="422"/>
      <c r="GQW139" s="422"/>
      <c r="GQX139" s="422"/>
      <c r="GQY139" s="422"/>
      <c r="GQZ139" s="422"/>
      <c r="GRA139" s="422"/>
      <c r="GRB139" s="422"/>
      <c r="GRC139" s="422"/>
      <c r="GRD139" s="422"/>
      <c r="GRE139" s="422"/>
      <c r="GRF139" s="422"/>
      <c r="GRG139" s="422"/>
      <c r="GRH139" s="422"/>
      <c r="GRI139" s="422"/>
      <c r="GRJ139" s="422"/>
      <c r="GRK139" s="422"/>
      <c r="GRL139" s="422"/>
      <c r="GRM139" s="422"/>
      <c r="GRN139" s="422"/>
      <c r="GRO139" s="422"/>
      <c r="GRP139" s="422"/>
      <c r="GRQ139" s="422"/>
      <c r="GRR139" s="422"/>
      <c r="GRS139" s="422"/>
      <c r="GRT139" s="422"/>
      <c r="GRU139" s="422"/>
      <c r="GRV139" s="422"/>
      <c r="GRW139" s="422"/>
      <c r="GRX139" s="422"/>
      <c r="GRY139" s="422"/>
      <c r="GRZ139" s="422"/>
      <c r="GSA139" s="422"/>
      <c r="GSB139" s="422"/>
      <c r="GSC139" s="422"/>
      <c r="GSD139" s="422"/>
      <c r="GSE139" s="422"/>
      <c r="GSF139" s="422"/>
      <c r="GSG139" s="422"/>
      <c r="GSH139" s="422"/>
      <c r="GSI139" s="422"/>
      <c r="GSJ139" s="422"/>
      <c r="GSK139" s="422"/>
      <c r="GSL139" s="422"/>
      <c r="GSM139" s="422"/>
      <c r="GSN139" s="422"/>
      <c r="GSO139" s="422"/>
      <c r="GSP139" s="422"/>
      <c r="GSQ139" s="422"/>
      <c r="GSR139" s="422"/>
      <c r="GSS139" s="422"/>
      <c r="GST139" s="422"/>
      <c r="GSU139" s="422"/>
      <c r="GSV139" s="422"/>
      <c r="GSW139" s="422"/>
      <c r="GSX139" s="422"/>
      <c r="GSY139" s="422"/>
      <c r="GSZ139" s="422"/>
      <c r="GTA139" s="422"/>
      <c r="GTB139" s="422"/>
      <c r="GTC139" s="422"/>
      <c r="GTD139" s="422"/>
      <c r="GTE139" s="422"/>
      <c r="GTF139" s="422"/>
      <c r="GTG139" s="422"/>
      <c r="GTH139" s="422"/>
      <c r="GTI139" s="422"/>
      <c r="GTJ139" s="422"/>
      <c r="GTK139" s="422"/>
      <c r="GTL139" s="422"/>
      <c r="GTM139" s="422"/>
      <c r="GTN139" s="422"/>
      <c r="GTO139" s="422"/>
      <c r="GTP139" s="422"/>
      <c r="GTQ139" s="422"/>
      <c r="GTR139" s="422"/>
      <c r="GTS139" s="422"/>
      <c r="GTT139" s="422"/>
      <c r="GTU139" s="422"/>
      <c r="GTV139" s="422"/>
      <c r="GTW139" s="422"/>
      <c r="GTX139" s="422"/>
      <c r="GTY139" s="422"/>
      <c r="GTZ139" s="422"/>
      <c r="GUA139" s="422"/>
      <c r="GUB139" s="422"/>
      <c r="GUC139" s="422"/>
      <c r="GUD139" s="422"/>
      <c r="GUE139" s="422"/>
      <c r="GUF139" s="422"/>
      <c r="GUG139" s="422"/>
      <c r="GUH139" s="422"/>
      <c r="GUI139" s="422"/>
      <c r="GUJ139" s="422"/>
      <c r="GUK139" s="422"/>
      <c r="GUL139" s="422"/>
      <c r="GUM139" s="422"/>
      <c r="GUN139" s="422"/>
      <c r="GUO139" s="422"/>
      <c r="GUP139" s="422"/>
      <c r="GUQ139" s="422"/>
      <c r="GUR139" s="422"/>
      <c r="GUS139" s="422"/>
      <c r="GUT139" s="422"/>
      <c r="GUU139" s="422"/>
      <c r="GUV139" s="422"/>
      <c r="GUW139" s="422"/>
      <c r="GUX139" s="422"/>
      <c r="GUY139" s="422"/>
      <c r="GUZ139" s="422"/>
      <c r="GVA139" s="422"/>
      <c r="GVB139" s="422"/>
      <c r="GVC139" s="422"/>
      <c r="GVD139" s="422"/>
      <c r="GVE139" s="422"/>
      <c r="GVF139" s="422"/>
      <c r="GVG139" s="422"/>
      <c r="GVH139" s="422"/>
      <c r="GVI139" s="422"/>
      <c r="GVJ139" s="422"/>
      <c r="GVK139" s="422"/>
      <c r="GVL139" s="422"/>
      <c r="GVM139" s="422"/>
      <c r="GVN139" s="422"/>
      <c r="GVO139" s="422"/>
      <c r="GVP139" s="422"/>
      <c r="GVQ139" s="422"/>
      <c r="GVR139" s="422"/>
      <c r="GVS139" s="422"/>
      <c r="GVT139" s="422"/>
      <c r="GVU139" s="422"/>
      <c r="GVV139" s="422"/>
      <c r="GVW139" s="422"/>
      <c r="GVX139" s="422"/>
      <c r="GVY139" s="422"/>
      <c r="GVZ139" s="422"/>
      <c r="GWA139" s="422"/>
      <c r="GWB139" s="422"/>
      <c r="GWC139" s="422"/>
      <c r="GWD139" s="422"/>
      <c r="GWE139" s="422"/>
      <c r="GWF139" s="422"/>
      <c r="GWG139" s="422"/>
      <c r="GWH139" s="422"/>
      <c r="GWI139" s="422"/>
      <c r="GWJ139" s="422"/>
      <c r="GWK139" s="422"/>
      <c r="GWL139" s="422"/>
      <c r="GWM139" s="422"/>
      <c r="GWN139" s="422"/>
      <c r="GWO139" s="422"/>
      <c r="GWP139" s="422"/>
      <c r="GWQ139" s="422"/>
      <c r="GWR139" s="422"/>
      <c r="GWS139" s="422"/>
      <c r="GWT139" s="422"/>
      <c r="GWU139" s="422"/>
      <c r="GWV139" s="422"/>
      <c r="GWW139" s="422"/>
      <c r="GWX139" s="422"/>
      <c r="GWY139" s="422"/>
      <c r="GWZ139" s="422"/>
      <c r="GXA139" s="422"/>
      <c r="GXB139" s="422"/>
      <c r="GXC139" s="422"/>
      <c r="GXD139" s="422"/>
      <c r="GXE139" s="422"/>
      <c r="GXF139" s="422"/>
      <c r="GXG139" s="422"/>
      <c r="GXH139" s="422"/>
      <c r="GXI139" s="422"/>
      <c r="GXJ139" s="422"/>
      <c r="GXK139" s="422"/>
      <c r="GXL139" s="422"/>
      <c r="GXM139" s="422"/>
      <c r="GXN139" s="422"/>
      <c r="GXO139" s="422"/>
      <c r="GXP139" s="422"/>
      <c r="GXQ139" s="422"/>
      <c r="GXR139" s="422"/>
      <c r="GXS139" s="422"/>
      <c r="GXT139" s="422"/>
      <c r="GXU139" s="422"/>
      <c r="GXV139" s="422"/>
      <c r="GXW139" s="422"/>
      <c r="GXX139" s="422"/>
      <c r="GXY139" s="422"/>
      <c r="GXZ139" s="422"/>
      <c r="GYA139" s="422"/>
      <c r="GYB139" s="422"/>
      <c r="GYC139" s="422"/>
      <c r="GYD139" s="422"/>
      <c r="GYE139" s="422"/>
      <c r="GYF139" s="422"/>
      <c r="GYG139" s="422"/>
      <c r="GYH139" s="422"/>
      <c r="GYI139" s="422"/>
      <c r="GYJ139" s="422"/>
      <c r="GYK139" s="422"/>
      <c r="GYL139" s="422"/>
      <c r="GYM139" s="422"/>
      <c r="GYN139" s="422"/>
      <c r="GYO139" s="422"/>
      <c r="GYP139" s="422"/>
      <c r="GYQ139" s="422"/>
      <c r="GYR139" s="422"/>
      <c r="GYS139" s="422"/>
      <c r="GYT139" s="422"/>
      <c r="GYU139" s="422"/>
      <c r="GYV139" s="422"/>
      <c r="GYW139" s="422"/>
      <c r="GYX139" s="422"/>
      <c r="GYY139" s="422"/>
      <c r="GYZ139" s="422"/>
      <c r="GZA139" s="422"/>
      <c r="GZB139" s="422"/>
      <c r="GZC139" s="422"/>
      <c r="GZD139" s="422"/>
      <c r="GZE139" s="422"/>
      <c r="GZF139" s="422"/>
      <c r="GZG139" s="422"/>
      <c r="GZH139" s="422"/>
      <c r="GZI139" s="422"/>
      <c r="GZJ139" s="422"/>
      <c r="GZK139" s="422"/>
      <c r="GZL139" s="422"/>
      <c r="GZM139" s="422"/>
      <c r="GZN139" s="422"/>
      <c r="GZO139" s="422"/>
      <c r="GZP139" s="422"/>
      <c r="GZQ139" s="422"/>
      <c r="GZR139" s="422"/>
      <c r="GZS139" s="422"/>
      <c r="GZT139" s="422"/>
      <c r="GZU139" s="422"/>
      <c r="GZV139" s="422"/>
      <c r="GZW139" s="422"/>
      <c r="GZX139" s="422"/>
      <c r="GZY139" s="422"/>
      <c r="GZZ139" s="422"/>
      <c r="HAA139" s="422"/>
      <c r="HAB139" s="422"/>
      <c r="HAC139" s="422"/>
      <c r="HAD139" s="422"/>
      <c r="HAE139" s="422"/>
      <c r="HAF139" s="422"/>
      <c r="HAG139" s="422"/>
      <c r="HAH139" s="422"/>
      <c r="HAI139" s="422"/>
      <c r="HAJ139" s="422"/>
      <c r="HAK139" s="422"/>
      <c r="HAL139" s="422"/>
      <c r="HAM139" s="422"/>
      <c r="HAN139" s="422"/>
      <c r="HAO139" s="422"/>
      <c r="HAP139" s="422"/>
      <c r="HAQ139" s="422"/>
      <c r="HAR139" s="422"/>
      <c r="HAS139" s="422"/>
      <c r="HAT139" s="422"/>
      <c r="HAU139" s="422"/>
      <c r="HAV139" s="422"/>
      <c r="HAW139" s="422"/>
      <c r="HAX139" s="422"/>
      <c r="HAY139" s="422"/>
      <c r="HAZ139" s="422"/>
      <c r="HBA139" s="422"/>
      <c r="HBB139" s="422"/>
      <c r="HBC139" s="422"/>
      <c r="HBD139" s="422"/>
      <c r="HBE139" s="422"/>
      <c r="HBF139" s="422"/>
      <c r="HBG139" s="422"/>
      <c r="HBH139" s="422"/>
      <c r="HBI139" s="422"/>
      <c r="HBJ139" s="422"/>
      <c r="HBK139" s="422"/>
      <c r="HBL139" s="422"/>
      <c r="HBM139" s="422"/>
      <c r="HBN139" s="422"/>
      <c r="HBO139" s="422"/>
      <c r="HBP139" s="422"/>
      <c r="HBQ139" s="422"/>
      <c r="HBR139" s="422"/>
      <c r="HBS139" s="422"/>
      <c r="HBT139" s="422"/>
      <c r="HBU139" s="422"/>
      <c r="HBV139" s="422"/>
      <c r="HBW139" s="422"/>
      <c r="HBX139" s="422"/>
      <c r="HBY139" s="422"/>
      <c r="HBZ139" s="422"/>
      <c r="HCA139" s="422"/>
      <c r="HCB139" s="422"/>
      <c r="HCC139" s="422"/>
      <c r="HCD139" s="422"/>
      <c r="HCE139" s="422"/>
      <c r="HCF139" s="422"/>
      <c r="HCG139" s="422"/>
      <c r="HCH139" s="422"/>
      <c r="HCI139" s="422"/>
      <c r="HCJ139" s="422"/>
      <c r="HCK139" s="422"/>
      <c r="HCL139" s="422"/>
      <c r="HCM139" s="422"/>
      <c r="HCN139" s="422"/>
      <c r="HCO139" s="422"/>
      <c r="HCP139" s="422"/>
      <c r="HCQ139" s="422"/>
      <c r="HCR139" s="422"/>
      <c r="HCS139" s="422"/>
      <c r="HCT139" s="422"/>
      <c r="HCU139" s="422"/>
      <c r="HCV139" s="422"/>
      <c r="HCW139" s="422"/>
      <c r="HCX139" s="422"/>
      <c r="HCY139" s="422"/>
      <c r="HCZ139" s="422"/>
      <c r="HDA139" s="422"/>
      <c r="HDB139" s="422"/>
      <c r="HDC139" s="422"/>
      <c r="HDD139" s="422"/>
      <c r="HDE139" s="422"/>
      <c r="HDF139" s="422"/>
      <c r="HDG139" s="422"/>
      <c r="HDH139" s="422"/>
      <c r="HDI139" s="422"/>
      <c r="HDJ139" s="422"/>
      <c r="HDK139" s="422"/>
      <c r="HDL139" s="422"/>
      <c r="HDM139" s="422"/>
      <c r="HDN139" s="422"/>
      <c r="HDO139" s="422"/>
      <c r="HDP139" s="422"/>
      <c r="HDQ139" s="422"/>
      <c r="HDR139" s="422"/>
      <c r="HDS139" s="422"/>
      <c r="HDT139" s="422"/>
      <c r="HDU139" s="422"/>
      <c r="HDV139" s="422"/>
      <c r="HDW139" s="422"/>
      <c r="HDX139" s="422"/>
      <c r="HDY139" s="422"/>
      <c r="HDZ139" s="422"/>
      <c r="HEA139" s="422"/>
      <c r="HEB139" s="422"/>
      <c r="HEC139" s="422"/>
      <c r="HED139" s="422"/>
      <c r="HEE139" s="422"/>
      <c r="HEF139" s="422"/>
      <c r="HEG139" s="422"/>
      <c r="HEH139" s="422"/>
      <c r="HEI139" s="422"/>
      <c r="HEJ139" s="422"/>
      <c r="HEK139" s="422"/>
      <c r="HEL139" s="422"/>
      <c r="HEM139" s="422"/>
      <c r="HEN139" s="422"/>
      <c r="HEO139" s="422"/>
      <c r="HEP139" s="422"/>
      <c r="HEQ139" s="422"/>
      <c r="HER139" s="422"/>
      <c r="HES139" s="422"/>
      <c r="HET139" s="422"/>
      <c r="HEU139" s="422"/>
      <c r="HEV139" s="422"/>
      <c r="HEW139" s="422"/>
      <c r="HEX139" s="422"/>
      <c r="HEY139" s="422"/>
      <c r="HEZ139" s="422"/>
      <c r="HFA139" s="422"/>
      <c r="HFB139" s="422"/>
      <c r="HFC139" s="422"/>
      <c r="HFD139" s="422"/>
      <c r="HFE139" s="422"/>
      <c r="HFF139" s="422"/>
      <c r="HFG139" s="422"/>
      <c r="HFH139" s="422"/>
      <c r="HFI139" s="422"/>
      <c r="HFJ139" s="422"/>
      <c r="HFK139" s="422"/>
      <c r="HFL139" s="422"/>
      <c r="HFM139" s="422"/>
      <c r="HFN139" s="422"/>
      <c r="HFO139" s="422"/>
      <c r="HFP139" s="422"/>
      <c r="HFQ139" s="422"/>
      <c r="HFR139" s="422"/>
      <c r="HFS139" s="422"/>
      <c r="HFT139" s="422"/>
      <c r="HFU139" s="422"/>
      <c r="HFV139" s="422"/>
      <c r="HFW139" s="422"/>
      <c r="HFX139" s="422"/>
      <c r="HFY139" s="422"/>
      <c r="HFZ139" s="422"/>
      <c r="HGA139" s="422"/>
      <c r="HGB139" s="422"/>
      <c r="HGC139" s="422"/>
      <c r="HGD139" s="422"/>
      <c r="HGE139" s="422"/>
      <c r="HGF139" s="422"/>
      <c r="HGG139" s="422"/>
      <c r="HGH139" s="422"/>
      <c r="HGI139" s="422"/>
      <c r="HGJ139" s="422"/>
      <c r="HGK139" s="422"/>
      <c r="HGL139" s="422"/>
      <c r="HGM139" s="422"/>
      <c r="HGN139" s="422"/>
      <c r="HGO139" s="422"/>
      <c r="HGP139" s="422"/>
      <c r="HGQ139" s="422"/>
      <c r="HGR139" s="422"/>
      <c r="HGS139" s="422"/>
      <c r="HGT139" s="422"/>
      <c r="HGU139" s="422"/>
      <c r="HGV139" s="422"/>
      <c r="HGW139" s="422"/>
      <c r="HGX139" s="422"/>
      <c r="HGY139" s="422"/>
      <c r="HGZ139" s="422"/>
      <c r="HHA139" s="422"/>
      <c r="HHB139" s="422"/>
      <c r="HHC139" s="422"/>
      <c r="HHD139" s="422"/>
      <c r="HHE139" s="422"/>
      <c r="HHF139" s="422"/>
      <c r="HHG139" s="422"/>
      <c r="HHH139" s="422"/>
      <c r="HHI139" s="422"/>
      <c r="HHJ139" s="422"/>
      <c r="HHK139" s="422"/>
      <c r="HHL139" s="422"/>
      <c r="HHM139" s="422"/>
      <c r="HHN139" s="422"/>
      <c r="HHO139" s="422"/>
      <c r="HHP139" s="422"/>
      <c r="HHQ139" s="422"/>
      <c r="HHR139" s="422"/>
      <c r="HHS139" s="422"/>
      <c r="HHT139" s="422"/>
      <c r="HHU139" s="422"/>
      <c r="HHV139" s="422"/>
      <c r="HHW139" s="422"/>
      <c r="HHX139" s="422"/>
      <c r="HHY139" s="422"/>
      <c r="HHZ139" s="422"/>
      <c r="HIA139" s="422"/>
      <c r="HIB139" s="422"/>
      <c r="HIC139" s="422"/>
      <c r="HID139" s="422"/>
      <c r="HIE139" s="422"/>
      <c r="HIF139" s="422"/>
      <c r="HIG139" s="422"/>
      <c r="HIH139" s="422"/>
      <c r="HII139" s="422"/>
      <c r="HIJ139" s="422"/>
      <c r="HIK139" s="422"/>
      <c r="HIL139" s="422"/>
      <c r="HIM139" s="422"/>
      <c r="HIN139" s="422"/>
      <c r="HIO139" s="422"/>
      <c r="HIP139" s="422"/>
      <c r="HIQ139" s="422"/>
      <c r="HIR139" s="422"/>
      <c r="HIS139" s="422"/>
      <c r="HIT139" s="422"/>
      <c r="HIU139" s="422"/>
      <c r="HIV139" s="422"/>
      <c r="HIW139" s="422"/>
      <c r="HIX139" s="422"/>
      <c r="HIY139" s="422"/>
      <c r="HIZ139" s="422"/>
      <c r="HJA139" s="422"/>
      <c r="HJB139" s="422"/>
      <c r="HJC139" s="422"/>
      <c r="HJD139" s="422"/>
      <c r="HJE139" s="422"/>
      <c r="HJF139" s="422"/>
      <c r="HJG139" s="422"/>
      <c r="HJH139" s="422"/>
      <c r="HJI139" s="422"/>
      <c r="HJJ139" s="422"/>
      <c r="HJK139" s="422"/>
      <c r="HJL139" s="422"/>
      <c r="HJM139" s="422"/>
      <c r="HJN139" s="422"/>
      <c r="HJO139" s="422"/>
      <c r="HJP139" s="422"/>
      <c r="HJQ139" s="422"/>
      <c r="HJR139" s="422"/>
      <c r="HJS139" s="422"/>
      <c r="HJT139" s="422"/>
      <c r="HJU139" s="422"/>
      <c r="HJV139" s="422"/>
      <c r="HJW139" s="422"/>
      <c r="HJX139" s="422"/>
      <c r="HJY139" s="422"/>
      <c r="HJZ139" s="422"/>
      <c r="HKA139" s="422"/>
      <c r="HKB139" s="422"/>
      <c r="HKC139" s="422"/>
      <c r="HKD139" s="422"/>
      <c r="HKE139" s="422"/>
      <c r="HKF139" s="422"/>
      <c r="HKG139" s="422"/>
      <c r="HKH139" s="422"/>
      <c r="HKI139" s="422"/>
      <c r="HKJ139" s="422"/>
      <c r="HKK139" s="422"/>
      <c r="HKL139" s="422"/>
      <c r="HKM139" s="422"/>
      <c r="HKN139" s="422"/>
      <c r="HKO139" s="422"/>
      <c r="HKP139" s="422"/>
      <c r="HKQ139" s="422"/>
      <c r="HKR139" s="422"/>
      <c r="HKS139" s="422"/>
      <c r="HKT139" s="422"/>
      <c r="HKU139" s="422"/>
      <c r="HKV139" s="422"/>
      <c r="HKW139" s="422"/>
      <c r="HKX139" s="422"/>
      <c r="HKY139" s="422"/>
      <c r="HKZ139" s="422"/>
      <c r="HLA139" s="422"/>
      <c r="HLB139" s="422"/>
      <c r="HLC139" s="422"/>
      <c r="HLD139" s="422"/>
      <c r="HLE139" s="422"/>
      <c r="HLF139" s="422"/>
      <c r="HLG139" s="422"/>
      <c r="HLH139" s="422"/>
      <c r="HLI139" s="422"/>
      <c r="HLJ139" s="422"/>
      <c r="HLK139" s="422"/>
      <c r="HLL139" s="422"/>
      <c r="HLM139" s="422"/>
      <c r="HLN139" s="422"/>
      <c r="HLO139" s="422"/>
      <c r="HLP139" s="422"/>
      <c r="HLQ139" s="422"/>
      <c r="HLR139" s="422"/>
      <c r="HLS139" s="422"/>
      <c r="HLT139" s="422"/>
      <c r="HLU139" s="422"/>
      <c r="HLV139" s="422"/>
      <c r="HLW139" s="422"/>
      <c r="HLX139" s="422"/>
      <c r="HLY139" s="422"/>
      <c r="HLZ139" s="422"/>
      <c r="HMA139" s="422"/>
      <c r="HMB139" s="422"/>
      <c r="HMC139" s="422"/>
      <c r="HMD139" s="422"/>
      <c r="HME139" s="422"/>
      <c r="HMF139" s="422"/>
      <c r="HMG139" s="422"/>
      <c r="HMH139" s="422"/>
      <c r="HMI139" s="422"/>
      <c r="HMJ139" s="422"/>
      <c r="HMK139" s="422"/>
      <c r="HML139" s="422"/>
      <c r="HMM139" s="422"/>
      <c r="HMN139" s="422"/>
      <c r="HMO139" s="422"/>
      <c r="HMP139" s="422"/>
      <c r="HMQ139" s="422"/>
      <c r="HMR139" s="422"/>
      <c r="HMS139" s="422"/>
      <c r="HMT139" s="422"/>
      <c r="HMU139" s="422"/>
      <c r="HMV139" s="422"/>
      <c r="HMW139" s="422"/>
      <c r="HMX139" s="422"/>
      <c r="HMY139" s="422"/>
      <c r="HMZ139" s="422"/>
      <c r="HNA139" s="422"/>
      <c r="HNB139" s="422"/>
      <c r="HNC139" s="422"/>
      <c r="HND139" s="422"/>
      <c r="HNE139" s="422"/>
      <c r="HNF139" s="422"/>
      <c r="HNG139" s="422"/>
      <c r="HNH139" s="422"/>
      <c r="HNI139" s="422"/>
      <c r="HNJ139" s="422"/>
      <c r="HNK139" s="422"/>
      <c r="HNL139" s="422"/>
      <c r="HNM139" s="422"/>
      <c r="HNN139" s="422"/>
      <c r="HNO139" s="422"/>
      <c r="HNP139" s="422"/>
      <c r="HNQ139" s="422"/>
      <c r="HNR139" s="422"/>
      <c r="HNS139" s="422"/>
      <c r="HNT139" s="422"/>
      <c r="HNU139" s="422"/>
      <c r="HNV139" s="422"/>
      <c r="HNW139" s="422"/>
      <c r="HNX139" s="422"/>
      <c r="HNY139" s="422"/>
      <c r="HNZ139" s="422"/>
      <c r="HOA139" s="422"/>
      <c r="HOB139" s="422"/>
      <c r="HOC139" s="422"/>
      <c r="HOD139" s="422"/>
      <c r="HOE139" s="422"/>
      <c r="HOF139" s="422"/>
      <c r="HOG139" s="422"/>
      <c r="HOH139" s="422"/>
      <c r="HOI139" s="422"/>
      <c r="HOJ139" s="422"/>
      <c r="HOK139" s="422"/>
      <c r="HOL139" s="422"/>
      <c r="HOM139" s="422"/>
      <c r="HON139" s="422"/>
      <c r="HOO139" s="422"/>
      <c r="HOP139" s="422"/>
      <c r="HOQ139" s="422"/>
      <c r="HOR139" s="422"/>
      <c r="HOS139" s="422"/>
      <c r="HOT139" s="422"/>
      <c r="HOU139" s="422"/>
      <c r="HOV139" s="422"/>
      <c r="HOW139" s="422"/>
      <c r="HOX139" s="422"/>
      <c r="HOY139" s="422"/>
      <c r="HOZ139" s="422"/>
      <c r="HPA139" s="422"/>
      <c r="HPB139" s="422"/>
      <c r="HPC139" s="422"/>
      <c r="HPD139" s="422"/>
      <c r="HPE139" s="422"/>
      <c r="HPF139" s="422"/>
      <c r="HPG139" s="422"/>
      <c r="HPH139" s="422"/>
      <c r="HPI139" s="422"/>
      <c r="HPJ139" s="422"/>
      <c r="HPK139" s="422"/>
      <c r="HPL139" s="422"/>
      <c r="HPM139" s="422"/>
      <c r="HPN139" s="422"/>
      <c r="HPO139" s="422"/>
      <c r="HPP139" s="422"/>
      <c r="HPQ139" s="422"/>
      <c r="HPR139" s="422"/>
      <c r="HPS139" s="422"/>
      <c r="HPT139" s="422"/>
      <c r="HPU139" s="422"/>
      <c r="HPV139" s="422"/>
      <c r="HPW139" s="422"/>
      <c r="HPX139" s="422"/>
      <c r="HPY139" s="422"/>
      <c r="HPZ139" s="422"/>
      <c r="HQA139" s="422"/>
      <c r="HQB139" s="422"/>
      <c r="HQC139" s="422"/>
      <c r="HQD139" s="422"/>
      <c r="HQE139" s="422"/>
      <c r="HQF139" s="422"/>
      <c r="HQG139" s="422"/>
      <c r="HQH139" s="422"/>
      <c r="HQI139" s="422"/>
      <c r="HQJ139" s="422"/>
      <c r="HQK139" s="422"/>
      <c r="HQL139" s="422"/>
      <c r="HQM139" s="422"/>
      <c r="HQN139" s="422"/>
      <c r="HQO139" s="422"/>
      <c r="HQP139" s="422"/>
      <c r="HQQ139" s="422"/>
      <c r="HQR139" s="422"/>
      <c r="HQS139" s="422"/>
      <c r="HQT139" s="422"/>
      <c r="HQU139" s="422"/>
      <c r="HQV139" s="422"/>
      <c r="HQW139" s="422"/>
      <c r="HQX139" s="422"/>
      <c r="HQY139" s="422"/>
      <c r="HQZ139" s="422"/>
      <c r="HRA139" s="422"/>
      <c r="HRB139" s="422"/>
      <c r="HRC139" s="422"/>
      <c r="HRD139" s="422"/>
      <c r="HRE139" s="422"/>
      <c r="HRF139" s="422"/>
      <c r="HRG139" s="422"/>
      <c r="HRH139" s="422"/>
      <c r="HRI139" s="422"/>
      <c r="HRJ139" s="422"/>
      <c r="HRK139" s="422"/>
      <c r="HRL139" s="422"/>
      <c r="HRM139" s="422"/>
      <c r="HRN139" s="422"/>
      <c r="HRO139" s="422"/>
      <c r="HRP139" s="422"/>
      <c r="HRQ139" s="422"/>
      <c r="HRR139" s="422"/>
      <c r="HRS139" s="422"/>
      <c r="HRT139" s="422"/>
      <c r="HRU139" s="422"/>
      <c r="HRV139" s="422"/>
      <c r="HRW139" s="422"/>
      <c r="HRX139" s="422"/>
      <c r="HRY139" s="422"/>
      <c r="HRZ139" s="422"/>
      <c r="HSA139" s="422"/>
      <c r="HSB139" s="422"/>
      <c r="HSC139" s="422"/>
      <c r="HSD139" s="422"/>
      <c r="HSE139" s="422"/>
      <c r="HSF139" s="422"/>
      <c r="HSG139" s="422"/>
      <c r="HSH139" s="422"/>
      <c r="HSI139" s="422"/>
      <c r="HSJ139" s="422"/>
      <c r="HSK139" s="422"/>
      <c r="HSL139" s="422"/>
      <c r="HSM139" s="422"/>
      <c r="HSN139" s="422"/>
      <c r="HSO139" s="422"/>
      <c r="HSP139" s="422"/>
      <c r="HSQ139" s="422"/>
      <c r="HSR139" s="422"/>
      <c r="HSS139" s="422"/>
      <c r="HST139" s="422"/>
      <c r="HSU139" s="422"/>
      <c r="HSV139" s="422"/>
      <c r="HSW139" s="422"/>
      <c r="HSX139" s="422"/>
      <c r="HSY139" s="422"/>
      <c r="HSZ139" s="422"/>
      <c r="HTA139" s="422"/>
      <c r="HTB139" s="422"/>
      <c r="HTC139" s="422"/>
      <c r="HTD139" s="422"/>
      <c r="HTE139" s="422"/>
      <c r="HTF139" s="422"/>
      <c r="HTG139" s="422"/>
      <c r="HTH139" s="422"/>
      <c r="HTI139" s="422"/>
      <c r="HTJ139" s="422"/>
      <c r="HTK139" s="422"/>
      <c r="HTL139" s="422"/>
      <c r="HTM139" s="422"/>
      <c r="HTN139" s="422"/>
      <c r="HTO139" s="422"/>
      <c r="HTP139" s="422"/>
      <c r="HTQ139" s="422"/>
      <c r="HTR139" s="422"/>
      <c r="HTS139" s="422"/>
      <c r="HTT139" s="422"/>
      <c r="HTU139" s="422"/>
      <c r="HTV139" s="422"/>
      <c r="HTW139" s="422"/>
      <c r="HTX139" s="422"/>
      <c r="HTY139" s="422"/>
      <c r="HTZ139" s="422"/>
      <c r="HUA139" s="422"/>
      <c r="HUB139" s="422"/>
      <c r="HUC139" s="422"/>
      <c r="HUD139" s="422"/>
      <c r="HUE139" s="422"/>
      <c r="HUF139" s="422"/>
      <c r="HUG139" s="422"/>
      <c r="HUH139" s="422"/>
      <c r="HUI139" s="422"/>
      <c r="HUJ139" s="422"/>
      <c r="HUK139" s="422"/>
      <c r="HUL139" s="422"/>
      <c r="HUM139" s="422"/>
      <c r="HUN139" s="422"/>
      <c r="HUO139" s="422"/>
      <c r="HUP139" s="422"/>
      <c r="HUQ139" s="422"/>
      <c r="HUR139" s="422"/>
      <c r="HUS139" s="422"/>
      <c r="HUT139" s="422"/>
      <c r="HUU139" s="422"/>
      <c r="HUV139" s="422"/>
      <c r="HUW139" s="422"/>
      <c r="HUX139" s="422"/>
      <c r="HUY139" s="422"/>
      <c r="HUZ139" s="422"/>
      <c r="HVA139" s="422"/>
      <c r="HVB139" s="422"/>
      <c r="HVC139" s="422"/>
      <c r="HVD139" s="422"/>
      <c r="HVE139" s="422"/>
      <c r="HVF139" s="422"/>
      <c r="HVG139" s="422"/>
      <c r="HVH139" s="422"/>
      <c r="HVI139" s="422"/>
      <c r="HVJ139" s="422"/>
      <c r="HVK139" s="422"/>
      <c r="HVL139" s="422"/>
      <c r="HVM139" s="422"/>
      <c r="HVN139" s="422"/>
      <c r="HVO139" s="422"/>
      <c r="HVP139" s="422"/>
      <c r="HVQ139" s="422"/>
      <c r="HVR139" s="422"/>
      <c r="HVS139" s="422"/>
      <c r="HVT139" s="422"/>
      <c r="HVU139" s="422"/>
      <c r="HVV139" s="422"/>
      <c r="HVW139" s="422"/>
      <c r="HVX139" s="422"/>
      <c r="HVY139" s="422"/>
      <c r="HVZ139" s="422"/>
      <c r="HWA139" s="422"/>
      <c r="HWB139" s="422"/>
      <c r="HWC139" s="422"/>
      <c r="HWD139" s="422"/>
      <c r="HWE139" s="422"/>
      <c r="HWF139" s="422"/>
      <c r="HWG139" s="422"/>
      <c r="HWH139" s="422"/>
      <c r="HWI139" s="422"/>
      <c r="HWJ139" s="422"/>
      <c r="HWK139" s="422"/>
      <c r="HWL139" s="422"/>
      <c r="HWM139" s="422"/>
      <c r="HWN139" s="422"/>
      <c r="HWO139" s="422"/>
      <c r="HWP139" s="422"/>
      <c r="HWQ139" s="422"/>
      <c r="HWR139" s="422"/>
      <c r="HWS139" s="422"/>
      <c r="HWT139" s="422"/>
      <c r="HWU139" s="422"/>
      <c r="HWV139" s="422"/>
      <c r="HWW139" s="422"/>
      <c r="HWX139" s="422"/>
      <c r="HWY139" s="422"/>
      <c r="HWZ139" s="422"/>
      <c r="HXA139" s="422"/>
      <c r="HXB139" s="422"/>
      <c r="HXC139" s="422"/>
      <c r="HXD139" s="422"/>
      <c r="HXE139" s="422"/>
      <c r="HXF139" s="422"/>
      <c r="HXG139" s="422"/>
      <c r="HXH139" s="422"/>
      <c r="HXI139" s="422"/>
      <c r="HXJ139" s="422"/>
      <c r="HXK139" s="422"/>
      <c r="HXL139" s="422"/>
      <c r="HXM139" s="422"/>
      <c r="HXN139" s="422"/>
      <c r="HXO139" s="422"/>
      <c r="HXP139" s="422"/>
      <c r="HXQ139" s="422"/>
      <c r="HXR139" s="422"/>
      <c r="HXS139" s="422"/>
      <c r="HXT139" s="422"/>
      <c r="HXU139" s="422"/>
      <c r="HXV139" s="422"/>
      <c r="HXW139" s="422"/>
      <c r="HXX139" s="422"/>
      <c r="HXY139" s="422"/>
      <c r="HXZ139" s="422"/>
      <c r="HYA139" s="422"/>
      <c r="HYB139" s="422"/>
      <c r="HYC139" s="422"/>
      <c r="HYD139" s="422"/>
      <c r="HYE139" s="422"/>
      <c r="HYF139" s="422"/>
      <c r="HYG139" s="422"/>
      <c r="HYH139" s="422"/>
      <c r="HYI139" s="422"/>
      <c r="HYJ139" s="422"/>
      <c r="HYK139" s="422"/>
      <c r="HYL139" s="422"/>
      <c r="HYM139" s="422"/>
      <c r="HYN139" s="422"/>
      <c r="HYO139" s="422"/>
      <c r="HYP139" s="422"/>
      <c r="HYQ139" s="422"/>
      <c r="HYR139" s="422"/>
      <c r="HYS139" s="422"/>
      <c r="HYT139" s="422"/>
      <c r="HYU139" s="422"/>
      <c r="HYV139" s="422"/>
      <c r="HYW139" s="422"/>
      <c r="HYX139" s="422"/>
      <c r="HYY139" s="422"/>
      <c r="HYZ139" s="422"/>
      <c r="HZA139" s="422"/>
      <c r="HZB139" s="422"/>
      <c r="HZC139" s="422"/>
      <c r="HZD139" s="422"/>
      <c r="HZE139" s="422"/>
      <c r="HZF139" s="422"/>
      <c r="HZG139" s="422"/>
      <c r="HZH139" s="422"/>
      <c r="HZI139" s="422"/>
      <c r="HZJ139" s="422"/>
      <c r="HZK139" s="422"/>
      <c r="HZL139" s="422"/>
      <c r="HZM139" s="422"/>
      <c r="HZN139" s="422"/>
      <c r="HZO139" s="422"/>
      <c r="HZP139" s="422"/>
      <c r="HZQ139" s="422"/>
      <c r="HZR139" s="422"/>
      <c r="HZS139" s="422"/>
      <c r="HZT139" s="422"/>
      <c r="HZU139" s="422"/>
      <c r="HZV139" s="422"/>
      <c r="HZW139" s="422"/>
      <c r="HZX139" s="422"/>
      <c r="HZY139" s="422"/>
      <c r="HZZ139" s="422"/>
      <c r="IAA139" s="422"/>
      <c r="IAB139" s="422"/>
      <c r="IAC139" s="422"/>
      <c r="IAD139" s="422"/>
      <c r="IAE139" s="422"/>
      <c r="IAF139" s="422"/>
      <c r="IAG139" s="422"/>
      <c r="IAH139" s="422"/>
      <c r="IAI139" s="422"/>
      <c r="IAJ139" s="422"/>
      <c r="IAK139" s="422"/>
      <c r="IAL139" s="422"/>
      <c r="IAM139" s="422"/>
      <c r="IAN139" s="422"/>
      <c r="IAO139" s="422"/>
      <c r="IAP139" s="422"/>
      <c r="IAQ139" s="422"/>
      <c r="IAR139" s="422"/>
      <c r="IAS139" s="422"/>
      <c r="IAT139" s="422"/>
      <c r="IAU139" s="422"/>
      <c r="IAV139" s="422"/>
      <c r="IAW139" s="422"/>
      <c r="IAX139" s="422"/>
      <c r="IAY139" s="422"/>
      <c r="IAZ139" s="422"/>
      <c r="IBA139" s="422"/>
      <c r="IBB139" s="422"/>
      <c r="IBC139" s="422"/>
      <c r="IBD139" s="422"/>
      <c r="IBE139" s="422"/>
      <c r="IBF139" s="422"/>
      <c r="IBG139" s="422"/>
      <c r="IBH139" s="422"/>
      <c r="IBI139" s="422"/>
      <c r="IBJ139" s="422"/>
      <c r="IBK139" s="422"/>
      <c r="IBL139" s="422"/>
      <c r="IBM139" s="422"/>
      <c r="IBN139" s="422"/>
      <c r="IBO139" s="422"/>
      <c r="IBP139" s="422"/>
      <c r="IBQ139" s="422"/>
      <c r="IBR139" s="422"/>
      <c r="IBS139" s="422"/>
      <c r="IBT139" s="422"/>
      <c r="IBU139" s="422"/>
      <c r="IBV139" s="422"/>
      <c r="IBW139" s="422"/>
      <c r="IBX139" s="422"/>
      <c r="IBY139" s="422"/>
      <c r="IBZ139" s="422"/>
      <c r="ICA139" s="422"/>
      <c r="ICB139" s="422"/>
      <c r="ICC139" s="422"/>
      <c r="ICD139" s="422"/>
      <c r="ICE139" s="422"/>
      <c r="ICF139" s="422"/>
      <c r="ICG139" s="422"/>
      <c r="ICH139" s="422"/>
      <c r="ICI139" s="422"/>
      <c r="ICJ139" s="422"/>
      <c r="ICK139" s="422"/>
      <c r="ICL139" s="422"/>
      <c r="ICM139" s="422"/>
      <c r="ICN139" s="422"/>
      <c r="ICO139" s="422"/>
      <c r="ICP139" s="422"/>
      <c r="ICQ139" s="422"/>
      <c r="ICR139" s="422"/>
      <c r="ICS139" s="422"/>
      <c r="ICT139" s="422"/>
      <c r="ICU139" s="422"/>
      <c r="ICV139" s="422"/>
      <c r="ICW139" s="422"/>
      <c r="ICX139" s="422"/>
      <c r="ICY139" s="422"/>
      <c r="ICZ139" s="422"/>
      <c r="IDA139" s="422"/>
      <c r="IDB139" s="422"/>
      <c r="IDC139" s="422"/>
      <c r="IDD139" s="422"/>
      <c r="IDE139" s="422"/>
      <c r="IDF139" s="422"/>
      <c r="IDG139" s="422"/>
      <c r="IDH139" s="422"/>
      <c r="IDI139" s="422"/>
      <c r="IDJ139" s="422"/>
      <c r="IDK139" s="422"/>
      <c r="IDL139" s="422"/>
      <c r="IDM139" s="422"/>
      <c r="IDN139" s="422"/>
      <c r="IDO139" s="422"/>
      <c r="IDP139" s="422"/>
      <c r="IDQ139" s="422"/>
      <c r="IDR139" s="422"/>
      <c r="IDS139" s="422"/>
      <c r="IDT139" s="422"/>
      <c r="IDU139" s="422"/>
      <c r="IDV139" s="422"/>
      <c r="IDW139" s="422"/>
      <c r="IDX139" s="422"/>
      <c r="IDY139" s="422"/>
      <c r="IDZ139" s="422"/>
      <c r="IEA139" s="422"/>
      <c r="IEB139" s="422"/>
      <c r="IEC139" s="422"/>
      <c r="IED139" s="422"/>
      <c r="IEE139" s="422"/>
      <c r="IEF139" s="422"/>
      <c r="IEG139" s="422"/>
      <c r="IEH139" s="422"/>
      <c r="IEI139" s="422"/>
      <c r="IEJ139" s="422"/>
      <c r="IEK139" s="422"/>
      <c r="IEL139" s="422"/>
      <c r="IEM139" s="422"/>
      <c r="IEN139" s="422"/>
      <c r="IEO139" s="422"/>
      <c r="IEP139" s="422"/>
      <c r="IEQ139" s="422"/>
      <c r="IER139" s="422"/>
      <c r="IES139" s="422"/>
      <c r="IET139" s="422"/>
      <c r="IEU139" s="422"/>
      <c r="IEV139" s="422"/>
      <c r="IEW139" s="422"/>
      <c r="IEX139" s="422"/>
      <c r="IEY139" s="422"/>
      <c r="IEZ139" s="422"/>
      <c r="IFA139" s="422"/>
      <c r="IFB139" s="422"/>
      <c r="IFC139" s="422"/>
      <c r="IFD139" s="422"/>
      <c r="IFE139" s="422"/>
      <c r="IFF139" s="422"/>
      <c r="IFG139" s="422"/>
      <c r="IFH139" s="422"/>
      <c r="IFI139" s="422"/>
      <c r="IFJ139" s="422"/>
      <c r="IFK139" s="422"/>
      <c r="IFL139" s="422"/>
      <c r="IFM139" s="422"/>
      <c r="IFN139" s="422"/>
      <c r="IFO139" s="422"/>
      <c r="IFP139" s="422"/>
      <c r="IFQ139" s="422"/>
      <c r="IFR139" s="422"/>
      <c r="IFS139" s="422"/>
      <c r="IFT139" s="422"/>
      <c r="IFU139" s="422"/>
      <c r="IFV139" s="422"/>
      <c r="IFW139" s="422"/>
      <c r="IFX139" s="422"/>
      <c r="IFY139" s="422"/>
      <c r="IFZ139" s="422"/>
      <c r="IGA139" s="422"/>
      <c r="IGB139" s="422"/>
      <c r="IGC139" s="422"/>
      <c r="IGD139" s="422"/>
      <c r="IGE139" s="422"/>
      <c r="IGF139" s="422"/>
      <c r="IGG139" s="422"/>
      <c r="IGH139" s="422"/>
      <c r="IGI139" s="422"/>
      <c r="IGJ139" s="422"/>
      <c r="IGK139" s="422"/>
      <c r="IGL139" s="422"/>
      <c r="IGM139" s="422"/>
      <c r="IGN139" s="422"/>
      <c r="IGO139" s="422"/>
      <c r="IGP139" s="422"/>
      <c r="IGQ139" s="422"/>
      <c r="IGR139" s="422"/>
      <c r="IGS139" s="422"/>
      <c r="IGT139" s="422"/>
      <c r="IGU139" s="422"/>
      <c r="IGV139" s="422"/>
      <c r="IGW139" s="422"/>
      <c r="IGX139" s="422"/>
      <c r="IGY139" s="422"/>
      <c r="IGZ139" s="422"/>
      <c r="IHA139" s="422"/>
      <c r="IHB139" s="422"/>
      <c r="IHC139" s="422"/>
      <c r="IHD139" s="422"/>
      <c r="IHE139" s="422"/>
      <c r="IHF139" s="422"/>
      <c r="IHG139" s="422"/>
      <c r="IHH139" s="422"/>
      <c r="IHI139" s="422"/>
      <c r="IHJ139" s="422"/>
      <c r="IHK139" s="422"/>
      <c r="IHL139" s="422"/>
      <c r="IHM139" s="422"/>
      <c r="IHN139" s="422"/>
      <c r="IHO139" s="422"/>
      <c r="IHP139" s="422"/>
      <c r="IHQ139" s="422"/>
      <c r="IHR139" s="422"/>
      <c r="IHS139" s="422"/>
      <c r="IHT139" s="422"/>
      <c r="IHU139" s="422"/>
      <c r="IHV139" s="422"/>
      <c r="IHW139" s="422"/>
      <c r="IHX139" s="422"/>
      <c r="IHY139" s="422"/>
      <c r="IHZ139" s="422"/>
      <c r="IIA139" s="422"/>
      <c r="IIB139" s="422"/>
      <c r="IIC139" s="422"/>
      <c r="IID139" s="422"/>
      <c r="IIE139" s="422"/>
      <c r="IIF139" s="422"/>
      <c r="IIG139" s="422"/>
      <c r="IIH139" s="422"/>
      <c r="III139" s="422"/>
      <c r="IIJ139" s="422"/>
      <c r="IIK139" s="422"/>
      <c r="IIL139" s="422"/>
      <c r="IIM139" s="422"/>
      <c r="IIN139" s="422"/>
      <c r="IIO139" s="422"/>
      <c r="IIP139" s="422"/>
      <c r="IIQ139" s="422"/>
      <c r="IIR139" s="422"/>
      <c r="IIS139" s="422"/>
      <c r="IIT139" s="422"/>
      <c r="IIU139" s="422"/>
      <c r="IIV139" s="422"/>
      <c r="IIW139" s="422"/>
      <c r="IIX139" s="422"/>
      <c r="IIY139" s="422"/>
      <c r="IIZ139" s="422"/>
      <c r="IJA139" s="422"/>
      <c r="IJB139" s="422"/>
      <c r="IJC139" s="422"/>
      <c r="IJD139" s="422"/>
      <c r="IJE139" s="422"/>
      <c r="IJF139" s="422"/>
      <c r="IJG139" s="422"/>
      <c r="IJH139" s="422"/>
      <c r="IJI139" s="422"/>
      <c r="IJJ139" s="422"/>
      <c r="IJK139" s="422"/>
      <c r="IJL139" s="422"/>
      <c r="IJM139" s="422"/>
      <c r="IJN139" s="422"/>
      <c r="IJO139" s="422"/>
      <c r="IJP139" s="422"/>
      <c r="IJQ139" s="422"/>
      <c r="IJR139" s="422"/>
      <c r="IJS139" s="422"/>
      <c r="IJT139" s="422"/>
      <c r="IJU139" s="422"/>
      <c r="IJV139" s="422"/>
      <c r="IJW139" s="422"/>
      <c r="IJX139" s="422"/>
      <c r="IJY139" s="422"/>
      <c r="IJZ139" s="422"/>
      <c r="IKA139" s="422"/>
      <c r="IKB139" s="422"/>
      <c r="IKC139" s="422"/>
      <c r="IKD139" s="422"/>
      <c r="IKE139" s="422"/>
      <c r="IKF139" s="422"/>
      <c r="IKG139" s="422"/>
      <c r="IKH139" s="422"/>
      <c r="IKI139" s="422"/>
      <c r="IKJ139" s="422"/>
      <c r="IKK139" s="422"/>
      <c r="IKL139" s="422"/>
      <c r="IKM139" s="422"/>
      <c r="IKN139" s="422"/>
      <c r="IKO139" s="422"/>
      <c r="IKP139" s="422"/>
      <c r="IKQ139" s="422"/>
      <c r="IKR139" s="422"/>
      <c r="IKS139" s="422"/>
      <c r="IKT139" s="422"/>
      <c r="IKU139" s="422"/>
      <c r="IKV139" s="422"/>
      <c r="IKW139" s="422"/>
      <c r="IKX139" s="422"/>
      <c r="IKY139" s="422"/>
      <c r="IKZ139" s="422"/>
      <c r="ILA139" s="422"/>
      <c r="ILB139" s="422"/>
      <c r="ILC139" s="422"/>
      <c r="ILD139" s="422"/>
      <c r="ILE139" s="422"/>
      <c r="ILF139" s="422"/>
      <c r="ILG139" s="422"/>
      <c r="ILH139" s="422"/>
      <c r="ILI139" s="422"/>
      <c r="ILJ139" s="422"/>
      <c r="ILK139" s="422"/>
      <c r="ILL139" s="422"/>
      <c r="ILM139" s="422"/>
      <c r="ILN139" s="422"/>
      <c r="ILO139" s="422"/>
      <c r="ILP139" s="422"/>
      <c r="ILQ139" s="422"/>
      <c r="ILR139" s="422"/>
      <c r="ILS139" s="422"/>
      <c r="ILT139" s="422"/>
      <c r="ILU139" s="422"/>
      <c r="ILV139" s="422"/>
      <c r="ILW139" s="422"/>
      <c r="ILX139" s="422"/>
      <c r="ILY139" s="422"/>
      <c r="ILZ139" s="422"/>
      <c r="IMA139" s="422"/>
      <c r="IMB139" s="422"/>
      <c r="IMC139" s="422"/>
      <c r="IMD139" s="422"/>
      <c r="IME139" s="422"/>
      <c r="IMF139" s="422"/>
      <c r="IMG139" s="422"/>
      <c r="IMH139" s="422"/>
      <c r="IMI139" s="422"/>
      <c r="IMJ139" s="422"/>
      <c r="IMK139" s="422"/>
      <c r="IML139" s="422"/>
      <c r="IMM139" s="422"/>
      <c r="IMN139" s="422"/>
      <c r="IMO139" s="422"/>
      <c r="IMP139" s="422"/>
      <c r="IMQ139" s="422"/>
      <c r="IMR139" s="422"/>
      <c r="IMS139" s="422"/>
      <c r="IMT139" s="422"/>
      <c r="IMU139" s="422"/>
      <c r="IMV139" s="422"/>
      <c r="IMW139" s="422"/>
      <c r="IMX139" s="422"/>
      <c r="IMY139" s="422"/>
      <c r="IMZ139" s="422"/>
      <c r="INA139" s="422"/>
      <c r="INB139" s="422"/>
      <c r="INC139" s="422"/>
      <c r="IND139" s="422"/>
      <c r="INE139" s="422"/>
      <c r="INF139" s="422"/>
      <c r="ING139" s="422"/>
      <c r="INH139" s="422"/>
      <c r="INI139" s="422"/>
      <c r="INJ139" s="422"/>
      <c r="INK139" s="422"/>
      <c r="INL139" s="422"/>
      <c r="INM139" s="422"/>
      <c r="INN139" s="422"/>
      <c r="INO139" s="422"/>
      <c r="INP139" s="422"/>
      <c r="INQ139" s="422"/>
      <c r="INR139" s="422"/>
      <c r="INS139" s="422"/>
      <c r="INT139" s="422"/>
      <c r="INU139" s="422"/>
      <c r="INV139" s="422"/>
      <c r="INW139" s="422"/>
      <c r="INX139" s="422"/>
      <c r="INY139" s="422"/>
      <c r="INZ139" s="422"/>
      <c r="IOA139" s="422"/>
      <c r="IOB139" s="422"/>
      <c r="IOC139" s="422"/>
      <c r="IOD139" s="422"/>
      <c r="IOE139" s="422"/>
      <c r="IOF139" s="422"/>
      <c r="IOG139" s="422"/>
      <c r="IOH139" s="422"/>
      <c r="IOI139" s="422"/>
      <c r="IOJ139" s="422"/>
      <c r="IOK139" s="422"/>
      <c r="IOL139" s="422"/>
      <c r="IOM139" s="422"/>
      <c r="ION139" s="422"/>
      <c r="IOO139" s="422"/>
      <c r="IOP139" s="422"/>
      <c r="IOQ139" s="422"/>
      <c r="IOR139" s="422"/>
      <c r="IOS139" s="422"/>
      <c r="IOT139" s="422"/>
      <c r="IOU139" s="422"/>
      <c r="IOV139" s="422"/>
      <c r="IOW139" s="422"/>
      <c r="IOX139" s="422"/>
      <c r="IOY139" s="422"/>
      <c r="IOZ139" s="422"/>
      <c r="IPA139" s="422"/>
      <c r="IPB139" s="422"/>
      <c r="IPC139" s="422"/>
      <c r="IPD139" s="422"/>
      <c r="IPE139" s="422"/>
      <c r="IPF139" s="422"/>
      <c r="IPG139" s="422"/>
      <c r="IPH139" s="422"/>
      <c r="IPI139" s="422"/>
      <c r="IPJ139" s="422"/>
      <c r="IPK139" s="422"/>
      <c r="IPL139" s="422"/>
      <c r="IPM139" s="422"/>
      <c r="IPN139" s="422"/>
      <c r="IPO139" s="422"/>
      <c r="IPP139" s="422"/>
      <c r="IPQ139" s="422"/>
      <c r="IPR139" s="422"/>
      <c r="IPS139" s="422"/>
      <c r="IPT139" s="422"/>
      <c r="IPU139" s="422"/>
      <c r="IPV139" s="422"/>
      <c r="IPW139" s="422"/>
      <c r="IPX139" s="422"/>
      <c r="IPY139" s="422"/>
      <c r="IPZ139" s="422"/>
      <c r="IQA139" s="422"/>
      <c r="IQB139" s="422"/>
      <c r="IQC139" s="422"/>
      <c r="IQD139" s="422"/>
      <c r="IQE139" s="422"/>
      <c r="IQF139" s="422"/>
      <c r="IQG139" s="422"/>
      <c r="IQH139" s="422"/>
      <c r="IQI139" s="422"/>
      <c r="IQJ139" s="422"/>
      <c r="IQK139" s="422"/>
      <c r="IQL139" s="422"/>
      <c r="IQM139" s="422"/>
      <c r="IQN139" s="422"/>
      <c r="IQO139" s="422"/>
      <c r="IQP139" s="422"/>
      <c r="IQQ139" s="422"/>
      <c r="IQR139" s="422"/>
      <c r="IQS139" s="422"/>
      <c r="IQT139" s="422"/>
      <c r="IQU139" s="422"/>
      <c r="IQV139" s="422"/>
      <c r="IQW139" s="422"/>
      <c r="IQX139" s="422"/>
      <c r="IQY139" s="422"/>
      <c r="IQZ139" s="422"/>
      <c r="IRA139" s="422"/>
      <c r="IRB139" s="422"/>
      <c r="IRC139" s="422"/>
      <c r="IRD139" s="422"/>
      <c r="IRE139" s="422"/>
      <c r="IRF139" s="422"/>
      <c r="IRG139" s="422"/>
      <c r="IRH139" s="422"/>
      <c r="IRI139" s="422"/>
      <c r="IRJ139" s="422"/>
      <c r="IRK139" s="422"/>
      <c r="IRL139" s="422"/>
      <c r="IRM139" s="422"/>
      <c r="IRN139" s="422"/>
      <c r="IRO139" s="422"/>
      <c r="IRP139" s="422"/>
      <c r="IRQ139" s="422"/>
      <c r="IRR139" s="422"/>
      <c r="IRS139" s="422"/>
      <c r="IRT139" s="422"/>
      <c r="IRU139" s="422"/>
      <c r="IRV139" s="422"/>
      <c r="IRW139" s="422"/>
      <c r="IRX139" s="422"/>
      <c r="IRY139" s="422"/>
      <c r="IRZ139" s="422"/>
      <c r="ISA139" s="422"/>
      <c r="ISB139" s="422"/>
      <c r="ISC139" s="422"/>
      <c r="ISD139" s="422"/>
      <c r="ISE139" s="422"/>
      <c r="ISF139" s="422"/>
      <c r="ISG139" s="422"/>
      <c r="ISH139" s="422"/>
      <c r="ISI139" s="422"/>
      <c r="ISJ139" s="422"/>
      <c r="ISK139" s="422"/>
      <c r="ISL139" s="422"/>
      <c r="ISM139" s="422"/>
      <c r="ISN139" s="422"/>
      <c r="ISO139" s="422"/>
      <c r="ISP139" s="422"/>
      <c r="ISQ139" s="422"/>
      <c r="ISR139" s="422"/>
      <c r="ISS139" s="422"/>
      <c r="IST139" s="422"/>
      <c r="ISU139" s="422"/>
      <c r="ISV139" s="422"/>
      <c r="ISW139" s="422"/>
      <c r="ISX139" s="422"/>
      <c r="ISY139" s="422"/>
      <c r="ISZ139" s="422"/>
      <c r="ITA139" s="422"/>
      <c r="ITB139" s="422"/>
      <c r="ITC139" s="422"/>
      <c r="ITD139" s="422"/>
      <c r="ITE139" s="422"/>
      <c r="ITF139" s="422"/>
      <c r="ITG139" s="422"/>
      <c r="ITH139" s="422"/>
      <c r="ITI139" s="422"/>
      <c r="ITJ139" s="422"/>
      <c r="ITK139" s="422"/>
      <c r="ITL139" s="422"/>
      <c r="ITM139" s="422"/>
      <c r="ITN139" s="422"/>
      <c r="ITO139" s="422"/>
      <c r="ITP139" s="422"/>
      <c r="ITQ139" s="422"/>
      <c r="ITR139" s="422"/>
      <c r="ITS139" s="422"/>
      <c r="ITT139" s="422"/>
      <c r="ITU139" s="422"/>
      <c r="ITV139" s="422"/>
      <c r="ITW139" s="422"/>
      <c r="ITX139" s="422"/>
      <c r="ITY139" s="422"/>
      <c r="ITZ139" s="422"/>
      <c r="IUA139" s="422"/>
      <c r="IUB139" s="422"/>
      <c r="IUC139" s="422"/>
      <c r="IUD139" s="422"/>
      <c r="IUE139" s="422"/>
      <c r="IUF139" s="422"/>
      <c r="IUG139" s="422"/>
      <c r="IUH139" s="422"/>
      <c r="IUI139" s="422"/>
      <c r="IUJ139" s="422"/>
      <c r="IUK139" s="422"/>
      <c r="IUL139" s="422"/>
      <c r="IUM139" s="422"/>
      <c r="IUN139" s="422"/>
      <c r="IUO139" s="422"/>
      <c r="IUP139" s="422"/>
      <c r="IUQ139" s="422"/>
      <c r="IUR139" s="422"/>
      <c r="IUS139" s="422"/>
      <c r="IUT139" s="422"/>
      <c r="IUU139" s="422"/>
      <c r="IUV139" s="422"/>
      <c r="IUW139" s="422"/>
      <c r="IUX139" s="422"/>
      <c r="IUY139" s="422"/>
      <c r="IUZ139" s="422"/>
      <c r="IVA139" s="422"/>
      <c r="IVB139" s="422"/>
      <c r="IVC139" s="422"/>
      <c r="IVD139" s="422"/>
      <c r="IVE139" s="422"/>
      <c r="IVF139" s="422"/>
      <c r="IVG139" s="422"/>
      <c r="IVH139" s="422"/>
      <c r="IVI139" s="422"/>
      <c r="IVJ139" s="422"/>
      <c r="IVK139" s="422"/>
      <c r="IVL139" s="422"/>
      <c r="IVM139" s="422"/>
      <c r="IVN139" s="422"/>
      <c r="IVO139" s="422"/>
      <c r="IVP139" s="422"/>
      <c r="IVQ139" s="422"/>
      <c r="IVR139" s="422"/>
      <c r="IVS139" s="422"/>
      <c r="IVT139" s="422"/>
      <c r="IVU139" s="422"/>
      <c r="IVV139" s="422"/>
      <c r="IVW139" s="422"/>
      <c r="IVX139" s="422"/>
      <c r="IVY139" s="422"/>
      <c r="IVZ139" s="422"/>
      <c r="IWA139" s="422"/>
      <c r="IWB139" s="422"/>
      <c r="IWC139" s="422"/>
      <c r="IWD139" s="422"/>
      <c r="IWE139" s="422"/>
      <c r="IWF139" s="422"/>
      <c r="IWG139" s="422"/>
      <c r="IWH139" s="422"/>
      <c r="IWI139" s="422"/>
      <c r="IWJ139" s="422"/>
      <c r="IWK139" s="422"/>
      <c r="IWL139" s="422"/>
      <c r="IWM139" s="422"/>
      <c r="IWN139" s="422"/>
      <c r="IWO139" s="422"/>
      <c r="IWP139" s="422"/>
      <c r="IWQ139" s="422"/>
      <c r="IWR139" s="422"/>
      <c r="IWS139" s="422"/>
      <c r="IWT139" s="422"/>
      <c r="IWU139" s="422"/>
      <c r="IWV139" s="422"/>
      <c r="IWW139" s="422"/>
      <c r="IWX139" s="422"/>
      <c r="IWY139" s="422"/>
      <c r="IWZ139" s="422"/>
      <c r="IXA139" s="422"/>
      <c r="IXB139" s="422"/>
      <c r="IXC139" s="422"/>
      <c r="IXD139" s="422"/>
      <c r="IXE139" s="422"/>
      <c r="IXF139" s="422"/>
      <c r="IXG139" s="422"/>
      <c r="IXH139" s="422"/>
      <c r="IXI139" s="422"/>
      <c r="IXJ139" s="422"/>
      <c r="IXK139" s="422"/>
      <c r="IXL139" s="422"/>
      <c r="IXM139" s="422"/>
      <c r="IXN139" s="422"/>
      <c r="IXO139" s="422"/>
      <c r="IXP139" s="422"/>
      <c r="IXQ139" s="422"/>
      <c r="IXR139" s="422"/>
      <c r="IXS139" s="422"/>
      <c r="IXT139" s="422"/>
      <c r="IXU139" s="422"/>
      <c r="IXV139" s="422"/>
      <c r="IXW139" s="422"/>
      <c r="IXX139" s="422"/>
      <c r="IXY139" s="422"/>
      <c r="IXZ139" s="422"/>
      <c r="IYA139" s="422"/>
      <c r="IYB139" s="422"/>
      <c r="IYC139" s="422"/>
      <c r="IYD139" s="422"/>
      <c r="IYE139" s="422"/>
      <c r="IYF139" s="422"/>
      <c r="IYG139" s="422"/>
      <c r="IYH139" s="422"/>
      <c r="IYI139" s="422"/>
      <c r="IYJ139" s="422"/>
      <c r="IYK139" s="422"/>
      <c r="IYL139" s="422"/>
      <c r="IYM139" s="422"/>
      <c r="IYN139" s="422"/>
      <c r="IYO139" s="422"/>
      <c r="IYP139" s="422"/>
      <c r="IYQ139" s="422"/>
      <c r="IYR139" s="422"/>
      <c r="IYS139" s="422"/>
      <c r="IYT139" s="422"/>
      <c r="IYU139" s="422"/>
      <c r="IYV139" s="422"/>
      <c r="IYW139" s="422"/>
      <c r="IYX139" s="422"/>
      <c r="IYY139" s="422"/>
      <c r="IYZ139" s="422"/>
      <c r="IZA139" s="422"/>
      <c r="IZB139" s="422"/>
      <c r="IZC139" s="422"/>
      <c r="IZD139" s="422"/>
      <c r="IZE139" s="422"/>
      <c r="IZF139" s="422"/>
      <c r="IZG139" s="422"/>
      <c r="IZH139" s="422"/>
      <c r="IZI139" s="422"/>
      <c r="IZJ139" s="422"/>
      <c r="IZK139" s="422"/>
      <c r="IZL139" s="422"/>
      <c r="IZM139" s="422"/>
      <c r="IZN139" s="422"/>
      <c r="IZO139" s="422"/>
      <c r="IZP139" s="422"/>
      <c r="IZQ139" s="422"/>
      <c r="IZR139" s="422"/>
      <c r="IZS139" s="422"/>
      <c r="IZT139" s="422"/>
      <c r="IZU139" s="422"/>
      <c r="IZV139" s="422"/>
      <c r="IZW139" s="422"/>
      <c r="IZX139" s="422"/>
      <c r="IZY139" s="422"/>
      <c r="IZZ139" s="422"/>
      <c r="JAA139" s="422"/>
      <c r="JAB139" s="422"/>
      <c r="JAC139" s="422"/>
      <c r="JAD139" s="422"/>
      <c r="JAE139" s="422"/>
      <c r="JAF139" s="422"/>
      <c r="JAG139" s="422"/>
      <c r="JAH139" s="422"/>
      <c r="JAI139" s="422"/>
      <c r="JAJ139" s="422"/>
      <c r="JAK139" s="422"/>
      <c r="JAL139" s="422"/>
      <c r="JAM139" s="422"/>
      <c r="JAN139" s="422"/>
      <c r="JAO139" s="422"/>
      <c r="JAP139" s="422"/>
      <c r="JAQ139" s="422"/>
      <c r="JAR139" s="422"/>
      <c r="JAS139" s="422"/>
      <c r="JAT139" s="422"/>
      <c r="JAU139" s="422"/>
      <c r="JAV139" s="422"/>
      <c r="JAW139" s="422"/>
      <c r="JAX139" s="422"/>
      <c r="JAY139" s="422"/>
      <c r="JAZ139" s="422"/>
      <c r="JBA139" s="422"/>
      <c r="JBB139" s="422"/>
      <c r="JBC139" s="422"/>
      <c r="JBD139" s="422"/>
      <c r="JBE139" s="422"/>
      <c r="JBF139" s="422"/>
      <c r="JBG139" s="422"/>
      <c r="JBH139" s="422"/>
      <c r="JBI139" s="422"/>
      <c r="JBJ139" s="422"/>
      <c r="JBK139" s="422"/>
      <c r="JBL139" s="422"/>
      <c r="JBM139" s="422"/>
      <c r="JBN139" s="422"/>
      <c r="JBO139" s="422"/>
      <c r="JBP139" s="422"/>
      <c r="JBQ139" s="422"/>
      <c r="JBR139" s="422"/>
      <c r="JBS139" s="422"/>
      <c r="JBT139" s="422"/>
      <c r="JBU139" s="422"/>
      <c r="JBV139" s="422"/>
      <c r="JBW139" s="422"/>
      <c r="JBX139" s="422"/>
      <c r="JBY139" s="422"/>
      <c r="JBZ139" s="422"/>
      <c r="JCA139" s="422"/>
      <c r="JCB139" s="422"/>
      <c r="JCC139" s="422"/>
      <c r="JCD139" s="422"/>
      <c r="JCE139" s="422"/>
      <c r="JCF139" s="422"/>
      <c r="JCG139" s="422"/>
      <c r="JCH139" s="422"/>
      <c r="JCI139" s="422"/>
      <c r="JCJ139" s="422"/>
      <c r="JCK139" s="422"/>
      <c r="JCL139" s="422"/>
      <c r="JCM139" s="422"/>
      <c r="JCN139" s="422"/>
      <c r="JCO139" s="422"/>
      <c r="JCP139" s="422"/>
      <c r="JCQ139" s="422"/>
      <c r="JCR139" s="422"/>
      <c r="JCS139" s="422"/>
      <c r="JCT139" s="422"/>
      <c r="JCU139" s="422"/>
      <c r="JCV139" s="422"/>
      <c r="JCW139" s="422"/>
      <c r="JCX139" s="422"/>
      <c r="JCY139" s="422"/>
      <c r="JCZ139" s="422"/>
      <c r="JDA139" s="422"/>
      <c r="JDB139" s="422"/>
      <c r="JDC139" s="422"/>
      <c r="JDD139" s="422"/>
      <c r="JDE139" s="422"/>
      <c r="JDF139" s="422"/>
      <c r="JDG139" s="422"/>
      <c r="JDH139" s="422"/>
      <c r="JDI139" s="422"/>
      <c r="JDJ139" s="422"/>
      <c r="JDK139" s="422"/>
      <c r="JDL139" s="422"/>
      <c r="JDM139" s="422"/>
      <c r="JDN139" s="422"/>
      <c r="JDO139" s="422"/>
      <c r="JDP139" s="422"/>
      <c r="JDQ139" s="422"/>
      <c r="JDR139" s="422"/>
      <c r="JDS139" s="422"/>
      <c r="JDT139" s="422"/>
      <c r="JDU139" s="422"/>
      <c r="JDV139" s="422"/>
      <c r="JDW139" s="422"/>
      <c r="JDX139" s="422"/>
      <c r="JDY139" s="422"/>
      <c r="JDZ139" s="422"/>
      <c r="JEA139" s="422"/>
      <c r="JEB139" s="422"/>
      <c r="JEC139" s="422"/>
      <c r="JED139" s="422"/>
      <c r="JEE139" s="422"/>
      <c r="JEF139" s="422"/>
      <c r="JEG139" s="422"/>
      <c r="JEH139" s="422"/>
      <c r="JEI139" s="422"/>
      <c r="JEJ139" s="422"/>
      <c r="JEK139" s="422"/>
      <c r="JEL139" s="422"/>
      <c r="JEM139" s="422"/>
      <c r="JEN139" s="422"/>
      <c r="JEO139" s="422"/>
      <c r="JEP139" s="422"/>
      <c r="JEQ139" s="422"/>
      <c r="JER139" s="422"/>
      <c r="JES139" s="422"/>
      <c r="JET139" s="422"/>
      <c r="JEU139" s="422"/>
      <c r="JEV139" s="422"/>
      <c r="JEW139" s="422"/>
      <c r="JEX139" s="422"/>
      <c r="JEY139" s="422"/>
      <c r="JEZ139" s="422"/>
      <c r="JFA139" s="422"/>
      <c r="JFB139" s="422"/>
      <c r="JFC139" s="422"/>
      <c r="JFD139" s="422"/>
      <c r="JFE139" s="422"/>
      <c r="JFF139" s="422"/>
      <c r="JFG139" s="422"/>
      <c r="JFH139" s="422"/>
      <c r="JFI139" s="422"/>
      <c r="JFJ139" s="422"/>
      <c r="JFK139" s="422"/>
      <c r="JFL139" s="422"/>
      <c r="JFM139" s="422"/>
      <c r="JFN139" s="422"/>
      <c r="JFO139" s="422"/>
      <c r="JFP139" s="422"/>
      <c r="JFQ139" s="422"/>
      <c r="JFR139" s="422"/>
      <c r="JFS139" s="422"/>
      <c r="JFT139" s="422"/>
      <c r="JFU139" s="422"/>
      <c r="JFV139" s="422"/>
      <c r="JFW139" s="422"/>
      <c r="JFX139" s="422"/>
      <c r="JFY139" s="422"/>
      <c r="JFZ139" s="422"/>
      <c r="JGA139" s="422"/>
      <c r="JGB139" s="422"/>
      <c r="JGC139" s="422"/>
      <c r="JGD139" s="422"/>
      <c r="JGE139" s="422"/>
      <c r="JGF139" s="422"/>
      <c r="JGG139" s="422"/>
      <c r="JGH139" s="422"/>
      <c r="JGI139" s="422"/>
      <c r="JGJ139" s="422"/>
      <c r="JGK139" s="422"/>
      <c r="JGL139" s="422"/>
      <c r="JGM139" s="422"/>
      <c r="JGN139" s="422"/>
      <c r="JGO139" s="422"/>
      <c r="JGP139" s="422"/>
      <c r="JGQ139" s="422"/>
      <c r="JGR139" s="422"/>
      <c r="JGS139" s="422"/>
      <c r="JGT139" s="422"/>
      <c r="JGU139" s="422"/>
      <c r="JGV139" s="422"/>
      <c r="JGW139" s="422"/>
      <c r="JGX139" s="422"/>
      <c r="JGY139" s="422"/>
      <c r="JGZ139" s="422"/>
      <c r="JHA139" s="422"/>
      <c r="JHB139" s="422"/>
      <c r="JHC139" s="422"/>
      <c r="JHD139" s="422"/>
      <c r="JHE139" s="422"/>
      <c r="JHF139" s="422"/>
      <c r="JHG139" s="422"/>
      <c r="JHH139" s="422"/>
      <c r="JHI139" s="422"/>
      <c r="JHJ139" s="422"/>
      <c r="JHK139" s="422"/>
      <c r="JHL139" s="422"/>
      <c r="JHM139" s="422"/>
      <c r="JHN139" s="422"/>
      <c r="JHO139" s="422"/>
      <c r="JHP139" s="422"/>
      <c r="JHQ139" s="422"/>
      <c r="JHR139" s="422"/>
      <c r="JHS139" s="422"/>
      <c r="JHT139" s="422"/>
      <c r="JHU139" s="422"/>
      <c r="JHV139" s="422"/>
      <c r="JHW139" s="422"/>
      <c r="JHX139" s="422"/>
      <c r="JHY139" s="422"/>
      <c r="JHZ139" s="422"/>
      <c r="JIA139" s="422"/>
      <c r="JIB139" s="422"/>
      <c r="JIC139" s="422"/>
      <c r="JID139" s="422"/>
      <c r="JIE139" s="422"/>
      <c r="JIF139" s="422"/>
      <c r="JIG139" s="422"/>
      <c r="JIH139" s="422"/>
      <c r="JII139" s="422"/>
      <c r="JIJ139" s="422"/>
      <c r="JIK139" s="422"/>
      <c r="JIL139" s="422"/>
      <c r="JIM139" s="422"/>
      <c r="JIN139" s="422"/>
      <c r="JIO139" s="422"/>
      <c r="JIP139" s="422"/>
      <c r="JIQ139" s="422"/>
      <c r="JIR139" s="422"/>
      <c r="JIS139" s="422"/>
      <c r="JIT139" s="422"/>
      <c r="JIU139" s="422"/>
      <c r="JIV139" s="422"/>
      <c r="JIW139" s="422"/>
      <c r="JIX139" s="422"/>
      <c r="JIY139" s="422"/>
      <c r="JIZ139" s="422"/>
      <c r="JJA139" s="422"/>
      <c r="JJB139" s="422"/>
      <c r="JJC139" s="422"/>
      <c r="JJD139" s="422"/>
      <c r="JJE139" s="422"/>
      <c r="JJF139" s="422"/>
      <c r="JJG139" s="422"/>
      <c r="JJH139" s="422"/>
      <c r="JJI139" s="422"/>
      <c r="JJJ139" s="422"/>
      <c r="JJK139" s="422"/>
      <c r="JJL139" s="422"/>
      <c r="JJM139" s="422"/>
      <c r="JJN139" s="422"/>
      <c r="JJO139" s="422"/>
      <c r="JJP139" s="422"/>
      <c r="JJQ139" s="422"/>
      <c r="JJR139" s="422"/>
      <c r="JJS139" s="422"/>
      <c r="JJT139" s="422"/>
      <c r="JJU139" s="422"/>
      <c r="JJV139" s="422"/>
      <c r="JJW139" s="422"/>
      <c r="JJX139" s="422"/>
      <c r="JJY139" s="422"/>
      <c r="JJZ139" s="422"/>
      <c r="JKA139" s="422"/>
      <c r="JKB139" s="422"/>
      <c r="JKC139" s="422"/>
      <c r="JKD139" s="422"/>
      <c r="JKE139" s="422"/>
      <c r="JKF139" s="422"/>
      <c r="JKG139" s="422"/>
      <c r="JKH139" s="422"/>
      <c r="JKI139" s="422"/>
      <c r="JKJ139" s="422"/>
      <c r="JKK139" s="422"/>
      <c r="JKL139" s="422"/>
      <c r="JKM139" s="422"/>
      <c r="JKN139" s="422"/>
      <c r="JKO139" s="422"/>
      <c r="JKP139" s="422"/>
      <c r="JKQ139" s="422"/>
      <c r="JKR139" s="422"/>
      <c r="JKS139" s="422"/>
      <c r="JKT139" s="422"/>
      <c r="JKU139" s="422"/>
      <c r="JKV139" s="422"/>
      <c r="JKW139" s="422"/>
      <c r="JKX139" s="422"/>
      <c r="JKY139" s="422"/>
      <c r="JKZ139" s="422"/>
      <c r="JLA139" s="422"/>
      <c r="JLB139" s="422"/>
      <c r="JLC139" s="422"/>
      <c r="JLD139" s="422"/>
      <c r="JLE139" s="422"/>
      <c r="JLF139" s="422"/>
      <c r="JLG139" s="422"/>
      <c r="JLH139" s="422"/>
      <c r="JLI139" s="422"/>
      <c r="JLJ139" s="422"/>
      <c r="JLK139" s="422"/>
      <c r="JLL139" s="422"/>
      <c r="JLM139" s="422"/>
      <c r="JLN139" s="422"/>
      <c r="JLO139" s="422"/>
      <c r="JLP139" s="422"/>
      <c r="JLQ139" s="422"/>
      <c r="JLR139" s="422"/>
      <c r="JLS139" s="422"/>
      <c r="JLT139" s="422"/>
      <c r="JLU139" s="422"/>
      <c r="JLV139" s="422"/>
      <c r="JLW139" s="422"/>
      <c r="JLX139" s="422"/>
      <c r="JLY139" s="422"/>
      <c r="JLZ139" s="422"/>
      <c r="JMA139" s="422"/>
      <c r="JMB139" s="422"/>
      <c r="JMC139" s="422"/>
      <c r="JMD139" s="422"/>
      <c r="JME139" s="422"/>
      <c r="JMF139" s="422"/>
      <c r="JMG139" s="422"/>
      <c r="JMH139" s="422"/>
      <c r="JMI139" s="422"/>
      <c r="JMJ139" s="422"/>
      <c r="JMK139" s="422"/>
      <c r="JML139" s="422"/>
      <c r="JMM139" s="422"/>
      <c r="JMN139" s="422"/>
      <c r="JMO139" s="422"/>
      <c r="JMP139" s="422"/>
      <c r="JMQ139" s="422"/>
      <c r="JMR139" s="422"/>
      <c r="JMS139" s="422"/>
      <c r="JMT139" s="422"/>
      <c r="JMU139" s="422"/>
      <c r="JMV139" s="422"/>
      <c r="JMW139" s="422"/>
      <c r="JMX139" s="422"/>
      <c r="JMY139" s="422"/>
      <c r="JMZ139" s="422"/>
      <c r="JNA139" s="422"/>
      <c r="JNB139" s="422"/>
      <c r="JNC139" s="422"/>
      <c r="JND139" s="422"/>
      <c r="JNE139" s="422"/>
      <c r="JNF139" s="422"/>
      <c r="JNG139" s="422"/>
      <c r="JNH139" s="422"/>
      <c r="JNI139" s="422"/>
      <c r="JNJ139" s="422"/>
      <c r="JNK139" s="422"/>
      <c r="JNL139" s="422"/>
      <c r="JNM139" s="422"/>
      <c r="JNN139" s="422"/>
      <c r="JNO139" s="422"/>
      <c r="JNP139" s="422"/>
      <c r="JNQ139" s="422"/>
      <c r="JNR139" s="422"/>
      <c r="JNS139" s="422"/>
      <c r="JNT139" s="422"/>
      <c r="JNU139" s="422"/>
      <c r="JNV139" s="422"/>
      <c r="JNW139" s="422"/>
      <c r="JNX139" s="422"/>
      <c r="JNY139" s="422"/>
      <c r="JNZ139" s="422"/>
      <c r="JOA139" s="422"/>
      <c r="JOB139" s="422"/>
      <c r="JOC139" s="422"/>
      <c r="JOD139" s="422"/>
      <c r="JOE139" s="422"/>
      <c r="JOF139" s="422"/>
      <c r="JOG139" s="422"/>
      <c r="JOH139" s="422"/>
      <c r="JOI139" s="422"/>
      <c r="JOJ139" s="422"/>
      <c r="JOK139" s="422"/>
      <c r="JOL139" s="422"/>
      <c r="JOM139" s="422"/>
      <c r="JON139" s="422"/>
      <c r="JOO139" s="422"/>
      <c r="JOP139" s="422"/>
      <c r="JOQ139" s="422"/>
      <c r="JOR139" s="422"/>
      <c r="JOS139" s="422"/>
      <c r="JOT139" s="422"/>
      <c r="JOU139" s="422"/>
      <c r="JOV139" s="422"/>
      <c r="JOW139" s="422"/>
      <c r="JOX139" s="422"/>
      <c r="JOY139" s="422"/>
      <c r="JOZ139" s="422"/>
      <c r="JPA139" s="422"/>
      <c r="JPB139" s="422"/>
      <c r="JPC139" s="422"/>
      <c r="JPD139" s="422"/>
      <c r="JPE139" s="422"/>
      <c r="JPF139" s="422"/>
      <c r="JPG139" s="422"/>
      <c r="JPH139" s="422"/>
      <c r="JPI139" s="422"/>
      <c r="JPJ139" s="422"/>
      <c r="JPK139" s="422"/>
      <c r="JPL139" s="422"/>
      <c r="JPM139" s="422"/>
      <c r="JPN139" s="422"/>
      <c r="JPO139" s="422"/>
      <c r="JPP139" s="422"/>
      <c r="JPQ139" s="422"/>
      <c r="JPR139" s="422"/>
      <c r="JPS139" s="422"/>
      <c r="JPT139" s="422"/>
      <c r="JPU139" s="422"/>
      <c r="JPV139" s="422"/>
      <c r="JPW139" s="422"/>
      <c r="JPX139" s="422"/>
      <c r="JPY139" s="422"/>
      <c r="JPZ139" s="422"/>
      <c r="JQA139" s="422"/>
      <c r="JQB139" s="422"/>
      <c r="JQC139" s="422"/>
      <c r="JQD139" s="422"/>
      <c r="JQE139" s="422"/>
      <c r="JQF139" s="422"/>
      <c r="JQG139" s="422"/>
      <c r="JQH139" s="422"/>
      <c r="JQI139" s="422"/>
      <c r="JQJ139" s="422"/>
      <c r="JQK139" s="422"/>
      <c r="JQL139" s="422"/>
      <c r="JQM139" s="422"/>
      <c r="JQN139" s="422"/>
      <c r="JQO139" s="422"/>
      <c r="JQP139" s="422"/>
      <c r="JQQ139" s="422"/>
      <c r="JQR139" s="422"/>
      <c r="JQS139" s="422"/>
      <c r="JQT139" s="422"/>
      <c r="JQU139" s="422"/>
      <c r="JQV139" s="422"/>
      <c r="JQW139" s="422"/>
      <c r="JQX139" s="422"/>
      <c r="JQY139" s="422"/>
      <c r="JQZ139" s="422"/>
      <c r="JRA139" s="422"/>
      <c r="JRB139" s="422"/>
      <c r="JRC139" s="422"/>
      <c r="JRD139" s="422"/>
      <c r="JRE139" s="422"/>
      <c r="JRF139" s="422"/>
      <c r="JRG139" s="422"/>
      <c r="JRH139" s="422"/>
      <c r="JRI139" s="422"/>
      <c r="JRJ139" s="422"/>
      <c r="JRK139" s="422"/>
      <c r="JRL139" s="422"/>
      <c r="JRM139" s="422"/>
      <c r="JRN139" s="422"/>
      <c r="JRO139" s="422"/>
      <c r="JRP139" s="422"/>
      <c r="JRQ139" s="422"/>
      <c r="JRR139" s="422"/>
      <c r="JRS139" s="422"/>
      <c r="JRT139" s="422"/>
      <c r="JRU139" s="422"/>
      <c r="JRV139" s="422"/>
      <c r="JRW139" s="422"/>
      <c r="JRX139" s="422"/>
      <c r="JRY139" s="422"/>
      <c r="JRZ139" s="422"/>
      <c r="JSA139" s="422"/>
      <c r="JSB139" s="422"/>
      <c r="JSC139" s="422"/>
      <c r="JSD139" s="422"/>
      <c r="JSE139" s="422"/>
      <c r="JSF139" s="422"/>
      <c r="JSG139" s="422"/>
      <c r="JSH139" s="422"/>
      <c r="JSI139" s="422"/>
      <c r="JSJ139" s="422"/>
      <c r="JSK139" s="422"/>
      <c r="JSL139" s="422"/>
      <c r="JSM139" s="422"/>
      <c r="JSN139" s="422"/>
      <c r="JSO139" s="422"/>
      <c r="JSP139" s="422"/>
      <c r="JSQ139" s="422"/>
      <c r="JSR139" s="422"/>
      <c r="JSS139" s="422"/>
      <c r="JST139" s="422"/>
      <c r="JSU139" s="422"/>
      <c r="JSV139" s="422"/>
      <c r="JSW139" s="422"/>
      <c r="JSX139" s="422"/>
      <c r="JSY139" s="422"/>
      <c r="JSZ139" s="422"/>
      <c r="JTA139" s="422"/>
      <c r="JTB139" s="422"/>
      <c r="JTC139" s="422"/>
      <c r="JTD139" s="422"/>
      <c r="JTE139" s="422"/>
      <c r="JTF139" s="422"/>
      <c r="JTG139" s="422"/>
      <c r="JTH139" s="422"/>
      <c r="JTI139" s="422"/>
      <c r="JTJ139" s="422"/>
      <c r="JTK139" s="422"/>
      <c r="JTL139" s="422"/>
      <c r="JTM139" s="422"/>
      <c r="JTN139" s="422"/>
      <c r="JTO139" s="422"/>
      <c r="JTP139" s="422"/>
      <c r="JTQ139" s="422"/>
      <c r="JTR139" s="422"/>
      <c r="JTS139" s="422"/>
      <c r="JTT139" s="422"/>
      <c r="JTU139" s="422"/>
      <c r="JTV139" s="422"/>
      <c r="JTW139" s="422"/>
      <c r="JTX139" s="422"/>
      <c r="JTY139" s="422"/>
      <c r="JTZ139" s="422"/>
      <c r="JUA139" s="422"/>
      <c r="JUB139" s="422"/>
      <c r="JUC139" s="422"/>
      <c r="JUD139" s="422"/>
      <c r="JUE139" s="422"/>
      <c r="JUF139" s="422"/>
      <c r="JUG139" s="422"/>
      <c r="JUH139" s="422"/>
      <c r="JUI139" s="422"/>
      <c r="JUJ139" s="422"/>
      <c r="JUK139" s="422"/>
      <c r="JUL139" s="422"/>
      <c r="JUM139" s="422"/>
      <c r="JUN139" s="422"/>
      <c r="JUO139" s="422"/>
      <c r="JUP139" s="422"/>
      <c r="JUQ139" s="422"/>
      <c r="JUR139" s="422"/>
      <c r="JUS139" s="422"/>
      <c r="JUT139" s="422"/>
      <c r="JUU139" s="422"/>
      <c r="JUV139" s="422"/>
      <c r="JUW139" s="422"/>
      <c r="JUX139" s="422"/>
      <c r="JUY139" s="422"/>
      <c r="JUZ139" s="422"/>
      <c r="JVA139" s="422"/>
      <c r="JVB139" s="422"/>
      <c r="JVC139" s="422"/>
      <c r="JVD139" s="422"/>
      <c r="JVE139" s="422"/>
      <c r="JVF139" s="422"/>
      <c r="JVG139" s="422"/>
      <c r="JVH139" s="422"/>
      <c r="JVI139" s="422"/>
      <c r="JVJ139" s="422"/>
      <c r="JVK139" s="422"/>
      <c r="JVL139" s="422"/>
      <c r="JVM139" s="422"/>
      <c r="JVN139" s="422"/>
      <c r="JVO139" s="422"/>
      <c r="JVP139" s="422"/>
      <c r="JVQ139" s="422"/>
      <c r="JVR139" s="422"/>
      <c r="JVS139" s="422"/>
      <c r="JVT139" s="422"/>
      <c r="JVU139" s="422"/>
      <c r="JVV139" s="422"/>
      <c r="JVW139" s="422"/>
      <c r="JVX139" s="422"/>
      <c r="JVY139" s="422"/>
      <c r="JVZ139" s="422"/>
      <c r="JWA139" s="422"/>
      <c r="JWB139" s="422"/>
      <c r="JWC139" s="422"/>
      <c r="JWD139" s="422"/>
      <c r="JWE139" s="422"/>
      <c r="JWF139" s="422"/>
      <c r="JWG139" s="422"/>
      <c r="JWH139" s="422"/>
      <c r="JWI139" s="422"/>
      <c r="JWJ139" s="422"/>
      <c r="JWK139" s="422"/>
      <c r="JWL139" s="422"/>
      <c r="JWM139" s="422"/>
      <c r="JWN139" s="422"/>
      <c r="JWO139" s="422"/>
      <c r="JWP139" s="422"/>
      <c r="JWQ139" s="422"/>
      <c r="JWR139" s="422"/>
      <c r="JWS139" s="422"/>
      <c r="JWT139" s="422"/>
      <c r="JWU139" s="422"/>
      <c r="JWV139" s="422"/>
      <c r="JWW139" s="422"/>
      <c r="JWX139" s="422"/>
      <c r="JWY139" s="422"/>
      <c r="JWZ139" s="422"/>
      <c r="JXA139" s="422"/>
      <c r="JXB139" s="422"/>
      <c r="JXC139" s="422"/>
      <c r="JXD139" s="422"/>
      <c r="JXE139" s="422"/>
      <c r="JXF139" s="422"/>
      <c r="JXG139" s="422"/>
      <c r="JXH139" s="422"/>
      <c r="JXI139" s="422"/>
      <c r="JXJ139" s="422"/>
      <c r="JXK139" s="422"/>
      <c r="JXL139" s="422"/>
      <c r="JXM139" s="422"/>
      <c r="JXN139" s="422"/>
      <c r="JXO139" s="422"/>
      <c r="JXP139" s="422"/>
      <c r="JXQ139" s="422"/>
      <c r="JXR139" s="422"/>
      <c r="JXS139" s="422"/>
      <c r="JXT139" s="422"/>
      <c r="JXU139" s="422"/>
      <c r="JXV139" s="422"/>
      <c r="JXW139" s="422"/>
      <c r="JXX139" s="422"/>
      <c r="JXY139" s="422"/>
      <c r="JXZ139" s="422"/>
      <c r="JYA139" s="422"/>
      <c r="JYB139" s="422"/>
      <c r="JYC139" s="422"/>
      <c r="JYD139" s="422"/>
      <c r="JYE139" s="422"/>
      <c r="JYF139" s="422"/>
      <c r="JYG139" s="422"/>
      <c r="JYH139" s="422"/>
      <c r="JYI139" s="422"/>
      <c r="JYJ139" s="422"/>
      <c r="JYK139" s="422"/>
      <c r="JYL139" s="422"/>
      <c r="JYM139" s="422"/>
      <c r="JYN139" s="422"/>
      <c r="JYO139" s="422"/>
      <c r="JYP139" s="422"/>
      <c r="JYQ139" s="422"/>
      <c r="JYR139" s="422"/>
      <c r="JYS139" s="422"/>
      <c r="JYT139" s="422"/>
      <c r="JYU139" s="422"/>
      <c r="JYV139" s="422"/>
      <c r="JYW139" s="422"/>
      <c r="JYX139" s="422"/>
      <c r="JYY139" s="422"/>
      <c r="JYZ139" s="422"/>
      <c r="JZA139" s="422"/>
      <c r="JZB139" s="422"/>
      <c r="JZC139" s="422"/>
      <c r="JZD139" s="422"/>
      <c r="JZE139" s="422"/>
      <c r="JZF139" s="422"/>
      <c r="JZG139" s="422"/>
      <c r="JZH139" s="422"/>
      <c r="JZI139" s="422"/>
      <c r="JZJ139" s="422"/>
      <c r="JZK139" s="422"/>
      <c r="JZL139" s="422"/>
      <c r="JZM139" s="422"/>
      <c r="JZN139" s="422"/>
      <c r="JZO139" s="422"/>
      <c r="JZP139" s="422"/>
      <c r="JZQ139" s="422"/>
      <c r="JZR139" s="422"/>
      <c r="JZS139" s="422"/>
      <c r="JZT139" s="422"/>
      <c r="JZU139" s="422"/>
      <c r="JZV139" s="422"/>
      <c r="JZW139" s="422"/>
      <c r="JZX139" s="422"/>
      <c r="JZY139" s="422"/>
      <c r="JZZ139" s="422"/>
      <c r="KAA139" s="422"/>
      <c r="KAB139" s="422"/>
      <c r="KAC139" s="422"/>
      <c r="KAD139" s="422"/>
      <c r="KAE139" s="422"/>
      <c r="KAF139" s="422"/>
      <c r="KAG139" s="422"/>
      <c r="KAH139" s="422"/>
      <c r="KAI139" s="422"/>
      <c r="KAJ139" s="422"/>
      <c r="KAK139" s="422"/>
      <c r="KAL139" s="422"/>
      <c r="KAM139" s="422"/>
      <c r="KAN139" s="422"/>
      <c r="KAO139" s="422"/>
      <c r="KAP139" s="422"/>
      <c r="KAQ139" s="422"/>
      <c r="KAR139" s="422"/>
      <c r="KAS139" s="422"/>
      <c r="KAT139" s="422"/>
      <c r="KAU139" s="422"/>
      <c r="KAV139" s="422"/>
      <c r="KAW139" s="422"/>
      <c r="KAX139" s="422"/>
      <c r="KAY139" s="422"/>
      <c r="KAZ139" s="422"/>
      <c r="KBA139" s="422"/>
      <c r="KBB139" s="422"/>
      <c r="KBC139" s="422"/>
      <c r="KBD139" s="422"/>
      <c r="KBE139" s="422"/>
      <c r="KBF139" s="422"/>
      <c r="KBG139" s="422"/>
      <c r="KBH139" s="422"/>
      <c r="KBI139" s="422"/>
      <c r="KBJ139" s="422"/>
      <c r="KBK139" s="422"/>
      <c r="KBL139" s="422"/>
      <c r="KBM139" s="422"/>
      <c r="KBN139" s="422"/>
      <c r="KBO139" s="422"/>
      <c r="KBP139" s="422"/>
      <c r="KBQ139" s="422"/>
      <c r="KBR139" s="422"/>
      <c r="KBS139" s="422"/>
      <c r="KBT139" s="422"/>
      <c r="KBU139" s="422"/>
      <c r="KBV139" s="422"/>
      <c r="KBW139" s="422"/>
      <c r="KBX139" s="422"/>
      <c r="KBY139" s="422"/>
      <c r="KBZ139" s="422"/>
      <c r="KCA139" s="422"/>
      <c r="KCB139" s="422"/>
      <c r="KCC139" s="422"/>
      <c r="KCD139" s="422"/>
      <c r="KCE139" s="422"/>
      <c r="KCF139" s="422"/>
      <c r="KCG139" s="422"/>
      <c r="KCH139" s="422"/>
      <c r="KCI139" s="422"/>
      <c r="KCJ139" s="422"/>
      <c r="KCK139" s="422"/>
      <c r="KCL139" s="422"/>
      <c r="KCM139" s="422"/>
      <c r="KCN139" s="422"/>
      <c r="KCO139" s="422"/>
      <c r="KCP139" s="422"/>
      <c r="KCQ139" s="422"/>
      <c r="KCR139" s="422"/>
      <c r="KCS139" s="422"/>
      <c r="KCT139" s="422"/>
      <c r="KCU139" s="422"/>
      <c r="KCV139" s="422"/>
      <c r="KCW139" s="422"/>
      <c r="KCX139" s="422"/>
      <c r="KCY139" s="422"/>
      <c r="KCZ139" s="422"/>
      <c r="KDA139" s="422"/>
      <c r="KDB139" s="422"/>
      <c r="KDC139" s="422"/>
      <c r="KDD139" s="422"/>
      <c r="KDE139" s="422"/>
      <c r="KDF139" s="422"/>
      <c r="KDG139" s="422"/>
      <c r="KDH139" s="422"/>
      <c r="KDI139" s="422"/>
      <c r="KDJ139" s="422"/>
      <c r="KDK139" s="422"/>
      <c r="KDL139" s="422"/>
      <c r="KDM139" s="422"/>
      <c r="KDN139" s="422"/>
      <c r="KDO139" s="422"/>
      <c r="KDP139" s="422"/>
      <c r="KDQ139" s="422"/>
      <c r="KDR139" s="422"/>
      <c r="KDS139" s="422"/>
      <c r="KDT139" s="422"/>
      <c r="KDU139" s="422"/>
      <c r="KDV139" s="422"/>
      <c r="KDW139" s="422"/>
      <c r="KDX139" s="422"/>
      <c r="KDY139" s="422"/>
      <c r="KDZ139" s="422"/>
      <c r="KEA139" s="422"/>
      <c r="KEB139" s="422"/>
      <c r="KEC139" s="422"/>
      <c r="KED139" s="422"/>
      <c r="KEE139" s="422"/>
      <c r="KEF139" s="422"/>
      <c r="KEG139" s="422"/>
      <c r="KEH139" s="422"/>
      <c r="KEI139" s="422"/>
      <c r="KEJ139" s="422"/>
      <c r="KEK139" s="422"/>
      <c r="KEL139" s="422"/>
      <c r="KEM139" s="422"/>
      <c r="KEN139" s="422"/>
      <c r="KEO139" s="422"/>
      <c r="KEP139" s="422"/>
      <c r="KEQ139" s="422"/>
      <c r="KER139" s="422"/>
      <c r="KES139" s="422"/>
      <c r="KET139" s="422"/>
      <c r="KEU139" s="422"/>
      <c r="KEV139" s="422"/>
      <c r="KEW139" s="422"/>
      <c r="KEX139" s="422"/>
      <c r="KEY139" s="422"/>
      <c r="KEZ139" s="422"/>
      <c r="KFA139" s="422"/>
      <c r="KFB139" s="422"/>
      <c r="KFC139" s="422"/>
      <c r="KFD139" s="422"/>
      <c r="KFE139" s="422"/>
      <c r="KFF139" s="422"/>
      <c r="KFG139" s="422"/>
      <c r="KFH139" s="422"/>
      <c r="KFI139" s="422"/>
      <c r="KFJ139" s="422"/>
      <c r="KFK139" s="422"/>
      <c r="KFL139" s="422"/>
      <c r="KFM139" s="422"/>
      <c r="KFN139" s="422"/>
      <c r="KFO139" s="422"/>
      <c r="KFP139" s="422"/>
      <c r="KFQ139" s="422"/>
      <c r="KFR139" s="422"/>
      <c r="KFS139" s="422"/>
      <c r="KFT139" s="422"/>
      <c r="KFU139" s="422"/>
      <c r="KFV139" s="422"/>
      <c r="KFW139" s="422"/>
      <c r="KFX139" s="422"/>
      <c r="KFY139" s="422"/>
      <c r="KFZ139" s="422"/>
      <c r="KGA139" s="422"/>
      <c r="KGB139" s="422"/>
      <c r="KGC139" s="422"/>
      <c r="KGD139" s="422"/>
      <c r="KGE139" s="422"/>
      <c r="KGF139" s="422"/>
      <c r="KGG139" s="422"/>
      <c r="KGH139" s="422"/>
      <c r="KGI139" s="422"/>
      <c r="KGJ139" s="422"/>
      <c r="KGK139" s="422"/>
      <c r="KGL139" s="422"/>
      <c r="KGM139" s="422"/>
      <c r="KGN139" s="422"/>
      <c r="KGO139" s="422"/>
      <c r="KGP139" s="422"/>
      <c r="KGQ139" s="422"/>
      <c r="KGR139" s="422"/>
      <c r="KGS139" s="422"/>
      <c r="KGT139" s="422"/>
      <c r="KGU139" s="422"/>
      <c r="KGV139" s="422"/>
      <c r="KGW139" s="422"/>
      <c r="KGX139" s="422"/>
      <c r="KGY139" s="422"/>
      <c r="KGZ139" s="422"/>
      <c r="KHA139" s="422"/>
      <c r="KHB139" s="422"/>
      <c r="KHC139" s="422"/>
      <c r="KHD139" s="422"/>
      <c r="KHE139" s="422"/>
      <c r="KHF139" s="422"/>
      <c r="KHG139" s="422"/>
      <c r="KHH139" s="422"/>
      <c r="KHI139" s="422"/>
      <c r="KHJ139" s="422"/>
      <c r="KHK139" s="422"/>
      <c r="KHL139" s="422"/>
      <c r="KHM139" s="422"/>
      <c r="KHN139" s="422"/>
      <c r="KHO139" s="422"/>
      <c r="KHP139" s="422"/>
      <c r="KHQ139" s="422"/>
      <c r="KHR139" s="422"/>
      <c r="KHS139" s="422"/>
      <c r="KHT139" s="422"/>
      <c r="KHU139" s="422"/>
      <c r="KHV139" s="422"/>
      <c r="KHW139" s="422"/>
      <c r="KHX139" s="422"/>
      <c r="KHY139" s="422"/>
      <c r="KHZ139" s="422"/>
      <c r="KIA139" s="422"/>
      <c r="KIB139" s="422"/>
      <c r="KIC139" s="422"/>
      <c r="KID139" s="422"/>
      <c r="KIE139" s="422"/>
      <c r="KIF139" s="422"/>
      <c r="KIG139" s="422"/>
      <c r="KIH139" s="422"/>
      <c r="KII139" s="422"/>
      <c r="KIJ139" s="422"/>
      <c r="KIK139" s="422"/>
      <c r="KIL139" s="422"/>
      <c r="KIM139" s="422"/>
      <c r="KIN139" s="422"/>
      <c r="KIO139" s="422"/>
      <c r="KIP139" s="422"/>
      <c r="KIQ139" s="422"/>
      <c r="KIR139" s="422"/>
      <c r="KIS139" s="422"/>
      <c r="KIT139" s="422"/>
      <c r="KIU139" s="422"/>
      <c r="KIV139" s="422"/>
      <c r="KIW139" s="422"/>
      <c r="KIX139" s="422"/>
      <c r="KIY139" s="422"/>
      <c r="KIZ139" s="422"/>
      <c r="KJA139" s="422"/>
      <c r="KJB139" s="422"/>
      <c r="KJC139" s="422"/>
      <c r="KJD139" s="422"/>
      <c r="KJE139" s="422"/>
      <c r="KJF139" s="422"/>
      <c r="KJG139" s="422"/>
      <c r="KJH139" s="422"/>
      <c r="KJI139" s="422"/>
      <c r="KJJ139" s="422"/>
      <c r="KJK139" s="422"/>
      <c r="KJL139" s="422"/>
      <c r="KJM139" s="422"/>
      <c r="KJN139" s="422"/>
      <c r="KJO139" s="422"/>
      <c r="KJP139" s="422"/>
      <c r="KJQ139" s="422"/>
      <c r="KJR139" s="422"/>
      <c r="KJS139" s="422"/>
      <c r="KJT139" s="422"/>
      <c r="KJU139" s="422"/>
      <c r="KJV139" s="422"/>
      <c r="KJW139" s="422"/>
      <c r="KJX139" s="422"/>
      <c r="KJY139" s="422"/>
      <c r="KJZ139" s="422"/>
      <c r="KKA139" s="422"/>
      <c r="KKB139" s="422"/>
      <c r="KKC139" s="422"/>
      <c r="KKD139" s="422"/>
      <c r="KKE139" s="422"/>
      <c r="KKF139" s="422"/>
      <c r="KKG139" s="422"/>
      <c r="KKH139" s="422"/>
      <c r="KKI139" s="422"/>
      <c r="KKJ139" s="422"/>
      <c r="KKK139" s="422"/>
      <c r="KKL139" s="422"/>
      <c r="KKM139" s="422"/>
      <c r="KKN139" s="422"/>
      <c r="KKO139" s="422"/>
      <c r="KKP139" s="422"/>
      <c r="KKQ139" s="422"/>
      <c r="KKR139" s="422"/>
      <c r="KKS139" s="422"/>
      <c r="KKT139" s="422"/>
      <c r="KKU139" s="422"/>
      <c r="KKV139" s="422"/>
      <c r="KKW139" s="422"/>
      <c r="KKX139" s="422"/>
      <c r="KKY139" s="422"/>
      <c r="KKZ139" s="422"/>
      <c r="KLA139" s="422"/>
      <c r="KLB139" s="422"/>
      <c r="KLC139" s="422"/>
      <c r="KLD139" s="422"/>
      <c r="KLE139" s="422"/>
      <c r="KLF139" s="422"/>
      <c r="KLG139" s="422"/>
      <c r="KLH139" s="422"/>
      <c r="KLI139" s="422"/>
      <c r="KLJ139" s="422"/>
      <c r="KLK139" s="422"/>
      <c r="KLL139" s="422"/>
      <c r="KLM139" s="422"/>
      <c r="KLN139" s="422"/>
      <c r="KLO139" s="422"/>
      <c r="KLP139" s="422"/>
      <c r="KLQ139" s="422"/>
      <c r="KLR139" s="422"/>
      <c r="KLS139" s="422"/>
      <c r="KLT139" s="422"/>
      <c r="KLU139" s="422"/>
      <c r="KLV139" s="422"/>
      <c r="KLW139" s="422"/>
      <c r="KLX139" s="422"/>
      <c r="KLY139" s="422"/>
      <c r="KLZ139" s="422"/>
      <c r="KMA139" s="422"/>
      <c r="KMB139" s="422"/>
      <c r="KMC139" s="422"/>
      <c r="KMD139" s="422"/>
      <c r="KME139" s="422"/>
      <c r="KMF139" s="422"/>
      <c r="KMG139" s="422"/>
      <c r="KMH139" s="422"/>
      <c r="KMI139" s="422"/>
      <c r="KMJ139" s="422"/>
      <c r="KMK139" s="422"/>
      <c r="KML139" s="422"/>
      <c r="KMM139" s="422"/>
      <c r="KMN139" s="422"/>
      <c r="KMO139" s="422"/>
      <c r="KMP139" s="422"/>
      <c r="KMQ139" s="422"/>
      <c r="KMR139" s="422"/>
      <c r="KMS139" s="422"/>
      <c r="KMT139" s="422"/>
      <c r="KMU139" s="422"/>
      <c r="KMV139" s="422"/>
      <c r="KMW139" s="422"/>
      <c r="KMX139" s="422"/>
      <c r="KMY139" s="422"/>
      <c r="KMZ139" s="422"/>
      <c r="KNA139" s="422"/>
      <c r="KNB139" s="422"/>
      <c r="KNC139" s="422"/>
      <c r="KND139" s="422"/>
      <c r="KNE139" s="422"/>
      <c r="KNF139" s="422"/>
      <c r="KNG139" s="422"/>
      <c r="KNH139" s="422"/>
      <c r="KNI139" s="422"/>
      <c r="KNJ139" s="422"/>
      <c r="KNK139" s="422"/>
      <c r="KNL139" s="422"/>
      <c r="KNM139" s="422"/>
      <c r="KNN139" s="422"/>
      <c r="KNO139" s="422"/>
      <c r="KNP139" s="422"/>
      <c r="KNQ139" s="422"/>
      <c r="KNR139" s="422"/>
      <c r="KNS139" s="422"/>
      <c r="KNT139" s="422"/>
      <c r="KNU139" s="422"/>
      <c r="KNV139" s="422"/>
      <c r="KNW139" s="422"/>
      <c r="KNX139" s="422"/>
      <c r="KNY139" s="422"/>
      <c r="KNZ139" s="422"/>
      <c r="KOA139" s="422"/>
      <c r="KOB139" s="422"/>
      <c r="KOC139" s="422"/>
      <c r="KOD139" s="422"/>
      <c r="KOE139" s="422"/>
      <c r="KOF139" s="422"/>
      <c r="KOG139" s="422"/>
      <c r="KOH139" s="422"/>
      <c r="KOI139" s="422"/>
      <c r="KOJ139" s="422"/>
      <c r="KOK139" s="422"/>
      <c r="KOL139" s="422"/>
      <c r="KOM139" s="422"/>
      <c r="KON139" s="422"/>
      <c r="KOO139" s="422"/>
      <c r="KOP139" s="422"/>
      <c r="KOQ139" s="422"/>
      <c r="KOR139" s="422"/>
      <c r="KOS139" s="422"/>
      <c r="KOT139" s="422"/>
      <c r="KOU139" s="422"/>
      <c r="KOV139" s="422"/>
      <c r="KOW139" s="422"/>
      <c r="KOX139" s="422"/>
      <c r="KOY139" s="422"/>
      <c r="KOZ139" s="422"/>
      <c r="KPA139" s="422"/>
      <c r="KPB139" s="422"/>
      <c r="KPC139" s="422"/>
      <c r="KPD139" s="422"/>
      <c r="KPE139" s="422"/>
      <c r="KPF139" s="422"/>
      <c r="KPG139" s="422"/>
      <c r="KPH139" s="422"/>
      <c r="KPI139" s="422"/>
      <c r="KPJ139" s="422"/>
      <c r="KPK139" s="422"/>
      <c r="KPL139" s="422"/>
      <c r="KPM139" s="422"/>
      <c r="KPN139" s="422"/>
      <c r="KPO139" s="422"/>
      <c r="KPP139" s="422"/>
      <c r="KPQ139" s="422"/>
      <c r="KPR139" s="422"/>
      <c r="KPS139" s="422"/>
      <c r="KPT139" s="422"/>
      <c r="KPU139" s="422"/>
      <c r="KPV139" s="422"/>
      <c r="KPW139" s="422"/>
      <c r="KPX139" s="422"/>
      <c r="KPY139" s="422"/>
      <c r="KPZ139" s="422"/>
      <c r="KQA139" s="422"/>
      <c r="KQB139" s="422"/>
      <c r="KQC139" s="422"/>
      <c r="KQD139" s="422"/>
      <c r="KQE139" s="422"/>
      <c r="KQF139" s="422"/>
      <c r="KQG139" s="422"/>
      <c r="KQH139" s="422"/>
      <c r="KQI139" s="422"/>
      <c r="KQJ139" s="422"/>
      <c r="KQK139" s="422"/>
      <c r="KQL139" s="422"/>
      <c r="KQM139" s="422"/>
      <c r="KQN139" s="422"/>
      <c r="KQO139" s="422"/>
      <c r="KQP139" s="422"/>
      <c r="KQQ139" s="422"/>
      <c r="KQR139" s="422"/>
      <c r="KQS139" s="422"/>
      <c r="KQT139" s="422"/>
      <c r="KQU139" s="422"/>
      <c r="KQV139" s="422"/>
      <c r="KQW139" s="422"/>
      <c r="KQX139" s="422"/>
      <c r="KQY139" s="422"/>
      <c r="KQZ139" s="422"/>
      <c r="KRA139" s="422"/>
      <c r="KRB139" s="422"/>
      <c r="KRC139" s="422"/>
      <c r="KRD139" s="422"/>
      <c r="KRE139" s="422"/>
      <c r="KRF139" s="422"/>
      <c r="KRG139" s="422"/>
      <c r="KRH139" s="422"/>
      <c r="KRI139" s="422"/>
      <c r="KRJ139" s="422"/>
      <c r="KRK139" s="422"/>
      <c r="KRL139" s="422"/>
      <c r="KRM139" s="422"/>
      <c r="KRN139" s="422"/>
      <c r="KRO139" s="422"/>
      <c r="KRP139" s="422"/>
      <c r="KRQ139" s="422"/>
      <c r="KRR139" s="422"/>
      <c r="KRS139" s="422"/>
      <c r="KRT139" s="422"/>
      <c r="KRU139" s="422"/>
      <c r="KRV139" s="422"/>
      <c r="KRW139" s="422"/>
      <c r="KRX139" s="422"/>
      <c r="KRY139" s="422"/>
      <c r="KRZ139" s="422"/>
      <c r="KSA139" s="422"/>
      <c r="KSB139" s="422"/>
      <c r="KSC139" s="422"/>
      <c r="KSD139" s="422"/>
      <c r="KSE139" s="422"/>
      <c r="KSF139" s="422"/>
      <c r="KSG139" s="422"/>
      <c r="KSH139" s="422"/>
      <c r="KSI139" s="422"/>
      <c r="KSJ139" s="422"/>
      <c r="KSK139" s="422"/>
      <c r="KSL139" s="422"/>
      <c r="KSM139" s="422"/>
      <c r="KSN139" s="422"/>
      <c r="KSO139" s="422"/>
      <c r="KSP139" s="422"/>
      <c r="KSQ139" s="422"/>
      <c r="KSR139" s="422"/>
      <c r="KSS139" s="422"/>
      <c r="KST139" s="422"/>
      <c r="KSU139" s="422"/>
      <c r="KSV139" s="422"/>
      <c r="KSW139" s="422"/>
      <c r="KSX139" s="422"/>
      <c r="KSY139" s="422"/>
      <c r="KSZ139" s="422"/>
      <c r="KTA139" s="422"/>
      <c r="KTB139" s="422"/>
      <c r="KTC139" s="422"/>
      <c r="KTD139" s="422"/>
      <c r="KTE139" s="422"/>
      <c r="KTF139" s="422"/>
      <c r="KTG139" s="422"/>
      <c r="KTH139" s="422"/>
      <c r="KTI139" s="422"/>
      <c r="KTJ139" s="422"/>
      <c r="KTK139" s="422"/>
      <c r="KTL139" s="422"/>
      <c r="KTM139" s="422"/>
      <c r="KTN139" s="422"/>
      <c r="KTO139" s="422"/>
      <c r="KTP139" s="422"/>
      <c r="KTQ139" s="422"/>
      <c r="KTR139" s="422"/>
      <c r="KTS139" s="422"/>
      <c r="KTT139" s="422"/>
      <c r="KTU139" s="422"/>
      <c r="KTV139" s="422"/>
      <c r="KTW139" s="422"/>
      <c r="KTX139" s="422"/>
      <c r="KTY139" s="422"/>
      <c r="KTZ139" s="422"/>
      <c r="KUA139" s="422"/>
      <c r="KUB139" s="422"/>
      <c r="KUC139" s="422"/>
      <c r="KUD139" s="422"/>
      <c r="KUE139" s="422"/>
      <c r="KUF139" s="422"/>
      <c r="KUG139" s="422"/>
      <c r="KUH139" s="422"/>
      <c r="KUI139" s="422"/>
      <c r="KUJ139" s="422"/>
      <c r="KUK139" s="422"/>
      <c r="KUL139" s="422"/>
      <c r="KUM139" s="422"/>
      <c r="KUN139" s="422"/>
      <c r="KUO139" s="422"/>
      <c r="KUP139" s="422"/>
      <c r="KUQ139" s="422"/>
      <c r="KUR139" s="422"/>
      <c r="KUS139" s="422"/>
      <c r="KUT139" s="422"/>
      <c r="KUU139" s="422"/>
      <c r="KUV139" s="422"/>
      <c r="KUW139" s="422"/>
      <c r="KUX139" s="422"/>
      <c r="KUY139" s="422"/>
      <c r="KUZ139" s="422"/>
      <c r="KVA139" s="422"/>
      <c r="KVB139" s="422"/>
      <c r="KVC139" s="422"/>
      <c r="KVD139" s="422"/>
      <c r="KVE139" s="422"/>
      <c r="KVF139" s="422"/>
      <c r="KVG139" s="422"/>
      <c r="KVH139" s="422"/>
      <c r="KVI139" s="422"/>
      <c r="KVJ139" s="422"/>
      <c r="KVK139" s="422"/>
      <c r="KVL139" s="422"/>
      <c r="KVM139" s="422"/>
      <c r="KVN139" s="422"/>
      <c r="KVO139" s="422"/>
      <c r="KVP139" s="422"/>
      <c r="KVQ139" s="422"/>
      <c r="KVR139" s="422"/>
      <c r="KVS139" s="422"/>
      <c r="KVT139" s="422"/>
      <c r="KVU139" s="422"/>
      <c r="KVV139" s="422"/>
      <c r="KVW139" s="422"/>
      <c r="KVX139" s="422"/>
      <c r="KVY139" s="422"/>
      <c r="KVZ139" s="422"/>
      <c r="KWA139" s="422"/>
      <c r="KWB139" s="422"/>
      <c r="KWC139" s="422"/>
      <c r="KWD139" s="422"/>
      <c r="KWE139" s="422"/>
      <c r="KWF139" s="422"/>
      <c r="KWG139" s="422"/>
      <c r="KWH139" s="422"/>
      <c r="KWI139" s="422"/>
      <c r="KWJ139" s="422"/>
      <c r="KWK139" s="422"/>
      <c r="KWL139" s="422"/>
      <c r="KWM139" s="422"/>
      <c r="KWN139" s="422"/>
      <c r="KWO139" s="422"/>
      <c r="KWP139" s="422"/>
      <c r="KWQ139" s="422"/>
      <c r="KWR139" s="422"/>
      <c r="KWS139" s="422"/>
      <c r="KWT139" s="422"/>
      <c r="KWU139" s="422"/>
      <c r="KWV139" s="422"/>
      <c r="KWW139" s="422"/>
      <c r="KWX139" s="422"/>
      <c r="KWY139" s="422"/>
      <c r="KWZ139" s="422"/>
      <c r="KXA139" s="422"/>
      <c r="KXB139" s="422"/>
      <c r="KXC139" s="422"/>
      <c r="KXD139" s="422"/>
      <c r="KXE139" s="422"/>
      <c r="KXF139" s="422"/>
      <c r="KXG139" s="422"/>
      <c r="KXH139" s="422"/>
      <c r="KXI139" s="422"/>
      <c r="KXJ139" s="422"/>
      <c r="KXK139" s="422"/>
      <c r="KXL139" s="422"/>
      <c r="KXM139" s="422"/>
      <c r="KXN139" s="422"/>
      <c r="KXO139" s="422"/>
      <c r="KXP139" s="422"/>
      <c r="KXQ139" s="422"/>
      <c r="KXR139" s="422"/>
      <c r="KXS139" s="422"/>
      <c r="KXT139" s="422"/>
      <c r="KXU139" s="422"/>
      <c r="KXV139" s="422"/>
      <c r="KXW139" s="422"/>
      <c r="KXX139" s="422"/>
      <c r="KXY139" s="422"/>
      <c r="KXZ139" s="422"/>
      <c r="KYA139" s="422"/>
      <c r="KYB139" s="422"/>
      <c r="KYC139" s="422"/>
      <c r="KYD139" s="422"/>
      <c r="KYE139" s="422"/>
      <c r="KYF139" s="422"/>
      <c r="KYG139" s="422"/>
      <c r="KYH139" s="422"/>
      <c r="KYI139" s="422"/>
      <c r="KYJ139" s="422"/>
      <c r="KYK139" s="422"/>
      <c r="KYL139" s="422"/>
      <c r="KYM139" s="422"/>
      <c r="KYN139" s="422"/>
      <c r="KYO139" s="422"/>
      <c r="KYP139" s="422"/>
      <c r="KYQ139" s="422"/>
      <c r="KYR139" s="422"/>
      <c r="KYS139" s="422"/>
      <c r="KYT139" s="422"/>
      <c r="KYU139" s="422"/>
      <c r="KYV139" s="422"/>
      <c r="KYW139" s="422"/>
      <c r="KYX139" s="422"/>
      <c r="KYY139" s="422"/>
      <c r="KYZ139" s="422"/>
      <c r="KZA139" s="422"/>
      <c r="KZB139" s="422"/>
      <c r="KZC139" s="422"/>
      <c r="KZD139" s="422"/>
      <c r="KZE139" s="422"/>
      <c r="KZF139" s="422"/>
      <c r="KZG139" s="422"/>
      <c r="KZH139" s="422"/>
      <c r="KZI139" s="422"/>
      <c r="KZJ139" s="422"/>
      <c r="KZK139" s="422"/>
      <c r="KZL139" s="422"/>
      <c r="KZM139" s="422"/>
      <c r="KZN139" s="422"/>
      <c r="KZO139" s="422"/>
      <c r="KZP139" s="422"/>
      <c r="KZQ139" s="422"/>
      <c r="KZR139" s="422"/>
      <c r="KZS139" s="422"/>
      <c r="KZT139" s="422"/>
      <c r="KZU139" s="422"/>
      <c r="KZV139" s="422"/>
      <c r="KZW139" s="422"/>
      <c r="KZX139" s="422"/>
      <c r="KZY139" s="422"/>
      <c r="KZZ139" s="422"/>
      <c r="LAA139" s="422"/>
      <c r="LAB139" s="422"/>
      <c r="LAC139" s="422"/>
      <c r="LAD139" s="422"/>
      <c r="LAE139" s="422"/>
      <c r="LAF139" s="422"/>
      <c r="LAG139" s="422"/>
      <c r="LAH139" s="422"/>
      <c r="LAI139" s="422"/>
      <c r="LAJ139" s="422"/>
      <c r="LAK139" s="422"/>
      <c r="LAL139" s="422"/>
      <c r="LAM139" s="422"/>
      <c r="LAN139" s="422"/>
      <c r="LAO139" s="422"/>
      <c r="LAP139" s="422"/>
      <c r="LAQ139" s="422"/>
      <c r="LAR139" s="422"/>
      <c r="LAS139" s="422"/>
      <c r="LAT139" s="422"/>
      <c r="LAU139" s="422"/>
      <c r="LAV139" s="422"/>
      <c r="LAW139" s="422"/>
      <c r="LAX139" s="422"/>
      <c r="LAY139" s="422"/>
      <c r="LAZ139" s="422"/>
      <c r="LBA139" s="422"/>
      <c r="LBB139" s="422"/>
      <c r="LBC139" s="422"/>
      <c r="LBD139" s="422"/>
      <c r="LBE139" s="422"/>
      <c r="LBF139" s="422"/>
      <c r="LBG139" s="422"/>
      <c r="LBH139" s="422"/>
      <c r="LBI139" s="422"/>
      <c r="LBJ139" s="422"/>
      <c r="LBK139" s="422"/>
      <c r="LBL139" s="422"/>
      <c r="LBM139" s="422"/>
      <c r="LBN139" s="422"/>
      <c r="LBO139" s="422"/>
      <c r="LBP139" s="422"/>
      <c r="LBQ139" s="422"/>
      <c r="LBR139" s="422"/>
      <c r="LBS139" s="422"/>
      <c r="LBT139" s="422"/>
      <c r="LBU139" s="422"/>
      <c r="LBV139" s="422"/>
      <c r="LBW139" s="422"/>
      <c r="LBX139" s="422"/>
      <c r="LBY139" s="422"/>
      <c r="LBZ139" s="422"/>
      <c r="LCA139" s="422"/>
      <c r="LCB139" s="422"/>
      <c r="LCC139" s="422"/>
      <c r="LCD139" s="422"/>
      <c r="LCE139" s="422"/>
      <c r="LCF139" s="422"/>
      <c r="LCG139" s="422"/>
      <c r="LCH139" s="422"/>
      <c r="LCI139" s="422"/>
      <c r="LCJ139" s="422"/>
      <c r="LCK139" s="422"/>
      <c r="LCL139" s="422"/>
      <c r="LCM139" s="422"/>
      <c r="LCN139" s="422"/>
      <c r="LCO139" s="422"/>
      <c r="LCP139" s="422"/>
      <c r="LCQ139" s="422"/>
      <c r="LCR139" s="422"/>
      <c r="LCS139" s="422"/>
      <c r="LCT139" s="422"/>
      <c r="LCU139" s="422"/>
      <c r="LCV139" s="422"/>
      <c r="LCW139" s="422"/>
      <c r="LCX139" s="422"/>
      <c r="LCY139" s="422"/>
      <c r="LCZ139" s="422"/>
      <c r="LDA139" s="422"/>
      <c r="LDB139" s="422"/>
      <c r="LDC139" s="422"/>
      <c r="LDD139" s="422"/>
      <c r="LDE139" s="422"/>
      <c r="LDF139" s="422"/>
      <c r="LDG139" s="422"/>
      <c r="LDH139" s="422"/>
      <c r="LDI139" s="422"/>
      <c r="LDJ139" s="422"/>
      <c r="LDK139" s="422"/>
      <c r="LDL139" s="422"/>
      <c r="LDM139" s="422"/>
      <c r="LDN139" s="422"/>
      <c r="LDO139" s="422"/>
      <c r="LDP139" s="422"/>
      <c r="LDQ139" s="422"/>
      <c r="LDR139" s="422"/>
      <c r="LDS139" s="422"/>
      <c r="LDT139" s="422"/>
      <c r="LDU139" s="422"/>
      <c r="LDV139" s="422"/>
      <c r="LDW139" s="422"/>
      <c r="LDX139" s="422"/>
      <c r="LDY139" s="422"/>
      <c r="LDZ139" s="422"/>
      <c r="LEA139" s="422"/>
      <c r="LEB139" s="422"/>
      <c r="LEC139" s="422"/>
      <c r="LED139" s="422"/>
      <c r="LEE139" s="422"/>
      <c r="LEF139" s="422"/>
      <c r="LEG139" s="422"/>
      <c r="LEH139" s="422"/>
      <c r="LEI139" s="422"/>
      <c r="LEJ139" s="422"/>
      <c r="LEK139" s="422"/>
      <c r="LEL139" s="422"/>
      <c r="LEM139" s="422"/>
      <c r="LEN139" s="422"/>
      <c r="LEO139" s="422"/>
      <c r="LEP139" s="422"/>
      <c r="LEQ139" s="422"/>
      <c r="LER139" s="422"/>
      <c r="LES139" s="422"/>
      <c r="LET139" s="422"/>
      <c r="LEU139" s="422"/>
      <c r="LEV139" s="422"/>
      <c r="LEW139" s="422"/>
      <c r="LEX139" s="422"/>
      <c r="LEY139" s="422"/>
      <c r="LEZ139" s="422"/>
      <c r="LFA139" s="422"/>
      <c r="LFB139" s="422"/>
      <c r="LFC139" s="422"/>
      <c r="LFD139" s="422"/>
      <c r="LFE139" s="422"/>
      <c r="LFF139" s="422"/>
      <c r="LFG139" s="422"/>
      <c r="LFH139" s="422"/>
      <c r="LFI139" s="422"/>
      <c r="LFJ139" s="422"/>
      <c r="LFK139" s="422"/>
      <c r="LFL139" s="422"/>
      <c r="LFM139" s="422"/>
      <c r="LFN139" s="422"/>
      <c r="LFO139" s="422"/>
      <c r="LFP139" s="422"/>
      <c r="LFQ139" s="422"/>
      <c r="LFR139" s="422"/>
      <c r="LFS139" s="422"/>
      <c r="LFT139" s="422"/>
      <c r="LFU139" s="422"/>
      <c r="LFV139" s="422"/>
      <c r="LFW139" s="422"/>
      <c r="LFX139" s="422"/>
      <c r="LFY139" s="422"/>
      <c r="LFZ139" s="422"/>
      <c r="LGA139" s="422"/>
      <c r="LGB139" s="422"/>
      <c r="LGC139" s="422"/>
      <c r="LGD139" s="422"/>
      <c r="LGE139" s="422"/>
      <c r="LGF139" s="422"/>
      <c r="LGG139" s="422"/>
      <c r="LGH139" s="422"/>
      <c r="LGI139" s="422"/>
      <c r="LGJ139" s="422"/>
      <c r="LGK139" s="422"/>
      <c r="LGL139" s="422"/>
      <c r="LGM139" s="422"/>
      <c r="LGN139" s="422"/>
      <c r="LGO139" s="422"/>
      <c r="LGP139" s="422"/>
      <c r="LGQ139" s="422"/>
      <c r="LGR139" s="422"/>
      <c r="LGS139" s="422"/>
      <c r="LGT139" s="422"/>
      <c r="LGU139" s="422"/>
      <c r="LGV139" s="422"/>
      <c r="LGW139" s="422"/>
      <c r="LGX139" s="422"/>
      <c r="LGY139" s="422"/>
      <c r="LGZ139" s="422"/>
      <c r="LHA139" s="422"/>
      <c r="LHB139" s="422"/>
      <c r="LHC139" s="422"/>
      <c r="LHD139" s="422"/>
      <c r="LHE139" s="422"/>
      <c r="LHF139" s="422"/>
      <c r="LHG139" s="422"/>
      <c r="LHH139" s="422"/>
      <c r="LHI139" s="422"/>
      <c r="LHJ139" s="422"/>
      <c r="LHK139" s="422"/>
      <c r="LHL139" s="422"/>
      <c r="LHM139" s="422"/>
      <c r="LHN139" s="422"/>
      <c r="LHO139" s="422"/>
      <c r="LHP139" s="422"/>
      <c r="LHQ139" s="422"/>
      <c r="LHR139" s="422"/>
      <c r="LHS139" s="422"/>
      <c r="LHT139" s="422"/>
      <c r="LHU139" s="422"/>
      <c r="LHV139" s="422"/>
      <c r="LHW139" s="422"/>
      <c r="LHX139" s="422"/>
      <c r="LHY139" s="422"/>
      <c r="LHZ139" s="422"/>
      <c r="LIA139" s="422"/>
      <c r="LIB139" s="422"/>
      <c r="LIC139" s="422"/>
      <c r="LID139" s="422"/>
      <c r="LIE139" s="422"/>
      <c r="LIF139" s="422"/>
      <c r="LIG139" s="422"/>
      <c r="LIH139" s="422"/>
      <c r="LII139" s="422"/>
      <c r="LIJ139" s="422"/>
      <c r="LIK139" s="422"/>
      <c r="LIL139" s="422"/>
      <c r="LIM139" s="422"/>
      <c r="LIN139" s="422"/>
      <c r="LIO139" s="422"/>
      <c r="LIP139" s="422"/>
      <c r="LIQ139" s="422"/>
      <c r="LIR139" s="422"/>
      <c r="LIS139" s="422"/>
      <c r="LIT139" s="422"/>
      <c r="LIU139" s="422"/>
      <c r="LIV139" s="422"/>
      <c r="LIW139" s="422"/>
      <c r="LIX139" s="422"/>
      <c r="LIY139" s="422"/>
      <c r="LIZ139" s="422"/>
      <c r="LJA139" s="422"/>
      <c r="LJB139" s="422"/>
      <c r="LJC139" s="422"/>
      <c r="LJD139" s="422"/>
      <c r="LJE139" s="422"/>
      <c r="LJF139" s="422"/>
      <c r="LJG139" s="422"/>
      <c r="LJH139" s="422"/>
      <c r="LJI139" s="422"/>
      <c r="LJJ139" s="422"/>
      <c r="LJK139" s="422"/>
      <c r="LJL139" s="422"/>
      <c r="LJM139" s="422"/>
      <c r="LJN139" s="422"/>
      <c r="LJO139" s="422"/>
      <c r="LJP139" s="422"/>
      <c r="LJQ139" s="422"/>
      <c r="LJR139" s="422"/>
      <c r="LJS139" s="422"/>
      <c r="LJT139" s="422"/>
      <c r="LJU139" s="422"/>
      <c r="LJV139" s="422"/>
      <c r="LJW139" s="422"/>
      <c r="LJX139" s="422"/>
      <c r="LJY139" s="422"/>
      <c r="LJZ139" s="422"/>
      <c r="LKA139" s="422"/>
      <c r="LKB139" s="422"/>
      <c r="LKC139" s="422"/>
      <c r="LKD139" s="422"/>
      <c r="LKE139" s="422"/>
      <c r="LKF139" s="422"/>
      <c r="LKG139" s="422"/>
      <c r="LKH139" s="422"/>
      <c r="LKI139" s="422"/>
      <c r="LKJ139" s="422"/>
      <c r="LKK139" s="422"/>
      <c r="LKL139" s="422"/>
      <c r="LKM139" s="422"/>
      <c r="LKN139" s="422"/>
      <c r="LKO139" s="422"/>
      <c r="LKP139" s="422"/>
      <c r="LKQ139" s="422"/>
      <c r="LKR139" s="422"/>
      <c r="LKS139" s="422"/>
      <c r="LKT139" s="422"/>
      <c r="LKU139" s="422"/>
      <c r="LKV139" s="422"/>
      <c r="LKW139" s="422"/>
      <c r="LKX139" s="422"/>
      <c r="LKY139" s="422"/>
      <c r="LKZ139" s="422"/>
      <c r="LLA139" s="422"/>
      <c r="LLB139" s="422"/>
      <c r="LLC139" s="422"/>
      <c r="LLD139" s="422"/>
      <c r="LLE139" s="422"/>
      <c r="LLF139" s="422"/>
      <c r="LLG139" s="422"/>
      <c r="LLH139" s="422"/>
      <c r="LLI139" s="422"/>
      <c r="LLJ139" s="422"/>
      <c r="LLK139" s="422"/>
      <c r="LLL139" s="422"/>
      <c r="LLM139" s="422"/>
      <c r="LLN139" s="422"/>
      <c r="LLO139" s="422"/>
      <c r="LLP139" s="422"/>
      <c r="LLQ139" s="422"/>
      <c r="LLR139" s="422"/>
      <c r="LLS139" s="422"/>
      <c r="LLT139" s="422"/>
      <c r="LLU139" s="422"/>
      <c r="LLV139" s="422"/>
      <c r="LLW139" s="422"/>
      <c r="LLX139" s="422"/>
      <c r="LLY139" s="422"/>
      <c r="LLZ139" s="422"/>
      <c r="LMA139" s="422"/>
      <c r="LMB139" s="422"/>
      <c r="LMC139" s="422"/>
      <c r="LMD139" s="422"/>
      <c r="LME139" s="422"/>
      <c r="LMF139" s="422"/>
      <c r="LMG139" s="422"/>
      <c r="LMH139" s="422"/>
      <c r="LMI139" s="422"/>
      <c r="LMJ139" s="422"/>
      <c r="LMK139" s="422"/>
      <c r="LML139" s="422"/>
      <c r="LMM139" s="422"/>
      <c r="LMN139" s="422"/>
      <c r="LMO139" s="422"/>
      <c r="LMP139" s="422"/>
      <c r="LMQ139" s="422"/>
      <c r="LMR139" s="422"/>
      <c r="LMS139" s="422"/>
      <c r="LMT139" s="422"/>
      <c r="LMU139" s="422"/>
      <c r="LMV139" s="422"/>
      <c r="LMW139" s="422"/>
      <c r="LMX139" s="422"/>
      <c r="LMY139" s="422"/>
      <c r="LMZ139" s="422"/>
      <c r="LNA139" s="422"/>
      <c r="LNB139" s="422"/>
      <c r="LNC139" s="422"/>
      <c r="LND139" s="422"/>
      <c r="LNE139" s="422"/>
      <c r="LNF139" s="422"/>
      <c r="LNG139" s="422"/>
      <c r="LNH139" s="422"/>
      <c r="LNI139" s="422"/>
      <c r="LNJ139" s="422"/>
      <c r="LNK139" s="422"/>
      <c r="LNL139" s="422"/>
      <c r="LNM139" s="422"/>
      <c r="LNN139" s="422"/>
      <c r="LNO139" s="422"/>
      <c r="LNP139" s="422"/>
      <c r="LNQ139" s="422"/>
      <c r="LNR139" s="422"/>
      <c r="LNS139" s="422"/>
      <c r="LNT139" s="422"/>
      <c r="LNU139" s="422"/>
      <c r="LNV139" s="422"/>
      <c r="LNW139" s="422"/>
      <c r="LNX139" s="422"/>
      <c r="LNY139" s="422"/>
      <c r="LNZ139" s="422"/>
      <c r="LOA139" s="422"/>
      <c r="LOB139" s="422"/>
      <c r="LOC139" s="422"/>
      <c r="LOD139" s="422"/>
      <c r="LOE139" s="422"/>
      <c r="LOF139" s="422"/>
      <c r="LOG139" s="422"/>
      <c r="LOH139" s="422"/>
      <c r="LOI139" s="422"/>
      <c r="LOJ139" s="422"/>
      <c r="LOK139" s="422"/>
      <c r="LOL139" s="422"/>
      <c r="LOM139" s="422"/>
      <c r="LON139" s="422"/>
      <c r="LOO139" s="422"/>
      <c r="LOP139" s="422"/>
      <c r="LOQ139" s="422"/>
      <c r="LOR139" s="422"/>
      <c r="LOS139" s="422"/>
      <c r="LOT139" s="422"/>
      <c r="LOU139" s="422"/>
      <c r="LOV139" s="422"/>
      <c r="LOW139" s="422"/>
      <c r="LOX139" s="422"/>
      <c r="LOY139" s="422"/>
      <c r="LOZ139" s="422"/>
      <c r="LPA139" s="422"/>
      <c r="LPB139" s="422"/>
      <c r="LPC139" s="422"/>
      <c r="LPD139" s="422"/>
      <c r="LPE139" s="422"/>
      <c r="LPF139" s="422"/>
      <c r="LPG139" s="422"/>
      <c r="LPH139" s="422"/>
      <c r="LPI139" s="422"/>
      <c r="LPJ139" s="422"/>
      <c r="LPK139" s="422"/>
      <c r="LPL139" s="422"/>
      <c r="LPM139" s="422"/>
      <c r="LPN139" s="422"/>
      <c r="LPO139" s="422"/>
      <c r="LPP139" s="422"/>
      <c r="LPQ139" s="422"/>
      <c r="LPR139" s="422"/>
      <c r="LPS139" s="422"/>
      <c r="LPT139" s="422"/>
      <c r="LPU139" s="422"/>
      <c r="LPV139" s="422"/>
      <c r="LPW139" s="422"/>
      <c r="LPX139" s="422"/>
      <c r="LPY139" s="422"/>
      <c r="LPZ139" s="422"/>
      <c r="LQA139" s="422"/>
      <c r="LQB139" s="422"/>
      <c r="LQC139" s="422"/>
      <c r="LQD139" s="422"/>
      <c r="LQE139" s="422"/>
      <c r="LQF139" s="422"/>
      <c r="LQG139" s="422"/>
      <c r="LQH139" s="422"/>
      <c r="LQI139" s="422"/>
      <c r="LQJ139" s="422"/>
      <c r="LQK139" s="422"/>
      <c r="LQL139" s="422"/>
      <c r="LQM139" s="422"/>
      <c r="LQN139" s="422"/>
      <c r="LQO139" s="422"/>
      <c r="LQP139" s="422"/>
      <c r="LQQ139" s="422"/>
      <c r="LQR139" s="422"/>
      <c r="LQS139" s="422"/>
      <c r="LQT139" s="422"/>
      <c r="LQU139" s="422"/>
      <c r="LQV139" s="422"/>
      <c r="LQW139" s="422"/>
      <c r="LQX139" s="422"/>
      <c r="LQY139" s="422"/>
      <c r="LQZ139" s="422"/>
      <c r="LRA139" s="422"/>
      <c r="LRB139" s="422"/>
      <c r="LRC139" s="422"/>
      <c r="LRD139" s="422"/>
      <c r="LRE139" s="422"/>
      <c r="LRF139" s="422"/>
      <c r="LRG139" s="422"/>
      <c r="LRH139" s="422"/>
      <c r="LRI139" s="422"/>
      <c r="LRJ139" s="422"/>
      <c r="LRK139" s="422"/>
      <c r="LRL139" s="422"/>
      <c r="LRM139" s="422"/>
      <c r="LRN139" s="422"/>
      <c r="LRO139" s="422"/>
      <c r="LRP139" s="422"/>
      <c r="LRQ139" s="422"/>
      <c r="LRR139" s="422"/>
      <c r="LRS139" s="422"/>
      <c r="LRT139" s="422"/>
      <c r="LRU139" s="422"/>
      <c r="LRV139" s="422"/>
      <c r="LRW139" s="422"/>
      <c r="LRX139" s="422"/>
      <c r="LRY139" s="422"/>
      <c r="LRZ139" s="422"/>
      <c r="LSA139" s="422"/>
      <c r="LSB139" s="422"/>
      <c r="LSC139" s="422"/>
      <c r="LSD139" s="422"/>
      <c r="LSE139" s="422"/>
      <c r="LSF139" s="422"/>
      <c r="LSG139" s="422"/>
      <c r="LSH139" s="422"/>
      <c r="LSI139" s="422"/>
      <c r="LSJ139" s="422"/>
      <c r="LSK139" s="422"/>
      <c r="LSL139" s="422"/>
      <c r="LSM139" s="422"/>
      <c r="LSN139" s="422"/>
      <c r="LSO139" s="422"/>
      <c r="LSP139" s="422"/>
      <c r="LSQ139" s="422"/>
      <c r="LSR139" s="422"/>
      <c r="LSS139" s="422"/>
      <c r="LST139" s="422"/>
      <c r="LSU139" s="422"/>
      <c r="LSV139" s="422"/>
      <c r="LSW139" s="422"/>
      <c r="LSX139" s="422"/>
      <c r="LSY139" s="422"/>
      <c r="LSZ139" s="422"/>
      <c r="LTA139" s="422"/>
      <c r="LTB139" s="422"/>
      <c r="LTC139" s="422"/>
      <c r="LTD139" s="422"/>
      <c r="LTE139" s="422"/>
      <c r="LTF139" s="422"/>
      <c r="LTG139" s="422"/>
      <c r="LTH139" s="422"/>
      <c r="LTI139" s="422"/>
      <c r="LTJ139" s="422"/>
      <c r="LTK139" s="422"/>
      <c r="LTL139" s="422"/>
      <c r="LTM139" s="422"/>
      <c r="LTN139" s="422"/>
      <c r="LTO139" s="422"/>
      <c r="LTP139" s="422"/>
      <c r="LTQ139" s="422"/>
      <c r="LTR139" s="422"/>
      <c r="LTS139" s="422"/>
      <c r="LTT139" s="422"/>
      <c r="LTU139" s="422"/>
      <c r="LTV139" s="422"/>
      <c r="LTW139" s="422"/>
      <c r="LTX139" s="422"/>
      <c r="LTY139" s="422"/>
      <c r="LTZ139" s="422"/>
      <c r="LUA139" s="422"/>
      <c r="LUB139" s="422"/>
      <c r="LUC139" s="422"/>
      <c r="LUD139" s="422"/>
      <c r="LUE139" s="422"/>
      <c r="LUF139" s="422"/>
      <c r="LUG139" s="422"/>
      <c r="LUH139" s="422"/>
      <c r="LUI139" s="422"/>
      <c r="LUJ139" s="422"/>
      <c r="LUK139" s="422"/>
      <c r="LUL139" s="422"/>
      <c r="LUM139" s="422"/>
      <c r="LUN139" s="422"/>
      <c r="LUO139" s="422"/>
      <c r="LUP139" s="422"/>
      <c r="LUQ139" s="422"/>
      <c r="LUR139" s="422"/>
      <c r="LUS139" s="422"/>
      <c r="LUT139" s="422"/>
      <c r="LUU139" s="422"/>
      <c r="LUV139" s="422"/>
      <c r="LUW139" s="422"/>
      <c r="LUX139" s="422"/>
      <c r="LUY139" s="422"/>
      <c r="LUZ139" s="422"/>
      <c r="LVA139" s="422"/>
      <c r="LVB139" s="422"/>
      <c r="LVC139" s="422"/>
      <c r="LVD139" s="422"/>
      <c r="LVE139" s="422"/>
      <c r="LVF139" s="422"/>
      <c r="LVG139" s="422"/>
      <c r="LVH139" s="422"/>
      <c r="LVI139" s="422"/>
      <c r="LVJ139" s="422"/>
      <c r="LVK139" s="422"/>
      <c r="LVL139" s="422"/>
      <c r="LVM139" s="422"/>
      <c r="LVN139" s="422"/>
      <c r="LVO139" s="422"/>
      <c r="LVP139" s="422"/>
      <c r="LVQ139" s="422"/>
      <c r="LVR139" s="422"/>
      <c r="LVS139" s="422"/>
      <c r="LVT139" s="422"/>
      <c r="LVU139" s="422"/>
      <c r="LVV139" s="422"/>
      <c r="LVW139" s="422"/>
      <c r="LVX139" s="422"/>
      <c r="LVY139" s="422"/>
      <c r="LVZ139" s="422"/>
      <c r="LWA139" s="422"/>
      <c r="LWB139" s="422"/>
      <c r="LWC139" s="422"/>
      <c r="LWD139" s="422"/>
      <c r="LWE139" s="422"/>
      <c r="LWF139" s="422"/>
      <c r="LWG139" s="422"/>
      <c r="LWH139" s="422"/>
      <c r="LWI139" s="422"/>
      <c r="LWJ139" s="422"/>
      <c r="LWK139" s="422"/>
      <c r="LWL139" s="422"/>
      <c r="LWM139" s="422"/>
      <c r="LWN139" s="422"/>
      <c r="LWO139" s="422"/>
      <c r="LWP139" s="422"/>
      <c r="LWQ139" s="422"/>
      <c r="LWR139" s="422"/>
      <c r="LWS139" s="422"/>
      <c r="LWT139" s="422"/>
      <c r="LWU139" s="422"/>
      <c r="LWV139" s="422"/>
      <c r="LWW139" s="422"/>
      <c r="LWX139" s="422"/>
      <c r="LWY139" s="422"/>
      <c r="LWZ139" s="422"/>
      <c r="LXA139" s="422"/>
      <c r="LXB139" s="422"/>
      <c r="LXC139" s="422"/>
      <c r="LXD139" s="422"/>
      <c r="LXE139" s="422"/>
      <c r="LXF139" s="422"/>
      <c r="LXG139" s="422"/>
      <c r="LXH139" s="422"/>
      <c r="LXI139" s="422"/>
      <c r="LXJ139" s="422"/>
      <c r="LXK139" s="422"/>
      <c r="LXL139" s="422"/>
      <c r="LXM139" s="422"/>
      <c r="LXN139" s="422"/>
      <c r="LXO139" s="422"/>
      <c r="LXP139" s="422"/>
      <c r="LXQ139" s="422"/>
      <c r="LXR139" s="422"/>
      <c r="LXS139" s="422"/>
      <c r="LXT139" s="422"/>
      <c r="LXU139" s="422"/>
      <c r="LXV139" s="422"/>
      <c r="LXW139" s="422"/>
      <c r="LXX139" s="422"/>
      <c r="LXY139" s="422"/>
      <c r="LXZ139" s="422"/>
      <c r="LYA139" s="422"/>
      <c r="LYB139" s="422"/>
      <c r="LYC139" s="422"/>
      <c r="LYD139" s="422"/>
      <c r="LYE139" s="422"/>
      <c r="LYF139" s="422"/>
      <c r="LYG139" s="422"/>
      <c r="LYH139" s="422"/>
      <c r="LYI139" s="422"/>
      <c r="LYJ139" s="422"/>
      <c r="LYK139" s="422"/>
      <c r="LYL139" s="422"/>
      <c r="LYM139" s="422"/>
      <c r="LYN139" s="422"/>
      <c r="LYO139" s="422"/>
      <c r="LYP139" s="422"/>
      <c r="LYQ139" s="422"/>
      <c r="LYR139" s="422"/>
      <c r="LYS139" s="422"/>
      <c r="LYT139" s="422"/>
      <c r="LYU139" s="422"/>
      <c r="LYV139" s="422"/>
      <c r="LYW139" s="422"/>
      <c r="LYX139" s="422"/>
      <c r="LYY139" s="422"/>
      <c r="LYZ139" s="422"/>
      <c r="LZA139" s="422"/>
      <c r="LZB139" s="422"/>
      <c r="LZC139" s="422"/>
      <c r="LZD139" s="422"/>
      <c r="LZE139" s="422"/>
      <c r="LZF139" s="422"/>
      <c r="LZG139" s="422"/>
      <c r="LZH139" s="422"/>
      <c r="LZI139" s="422"/>
      <c r="LZJ139" s="422"/>
      <c r="LZK139" s="422"/>
      <c r="LZL139" s="422"/>
      <c r="LZM139" s="422"/>
      <c r="LZN139" s="422"/>
      <c r="LZO139" s="422"/>
      <c r="LZP139" s="422"/>
      <c r="LZQ139" s="422"/>
      <c r="LZR139" s="422"/>
      <c r="LZS139" s="422"/>
      <c r="LZT139" s="422"/>
      <c r="LZU139" s="422"/>
      <c r="LZV139" s="422"/>
      <c r="LZW139" s="422"/>
      <c r="LZX139" s="422"/>
      <c r="LZY139" s="422"/>
      <c r="LZZ139" s="422"/>
      <c r="MAA139" s="422"/>
      <c r="MAB139" s="422"/>
      <c r="MAC139" s="422"/>
      <c r="MAD139" s="422"/>
      <c r="MAE139" s="422"/>
      <c r="MAF139" s="422"/>
      <c r="MAG139" s="422"/>
      <c r="MAH139" s="422"/>
      <c r="MAI139" s="422"/>
      <c r="MAJ139" s="422"/>
      <c r="MAK139" s="422"/>
      <c r="MAL139" s="422"/>
      <c r="MAM139" s="422"/>
      <c r="MAN139" s="422"/>
      <c r="MAO139" s="422"/>
      <c r="MAP139" s="422"/>
      <c r="MAQ139" s="422"/>
      <c r="MAR139" s="422"/>
      <c r="MAS139" s="422"/>
      <c r="MAT139" s="422"/>
      <c r="MAU139" s="422"/>
      <c r="MAV139" s="422"/>
      <c r="MAW139" s="422"/>
      <c r="MAX139" s="422"/>
      <c r="MAY139" s="422"/>
      <c r="MAZ139" s="422"/>
      <c r="MBA139" s="422"/>
      <c r="MBB139" s="422"/>
      <c r="MBC139" s="422"/>
      <c r="MBD139" s="422"/>
      <c r="MBE139" s="422"/>
      <c r="MBF139" s="422"/>
      <c r="MBG139" s="422"/>
      <c r="MBH139" s="422"/>
      <c r="MBI139" s="422"/>
      <c r="MBJ139" s="422"/>
      <c r="MBK139" s="422"/>
      <c r="MBL139" s="422"/>
      <c r="MBM139" s="422"/>
      <c r="MBN139" s="422"/>
      <c r="MBO139" s="422"/>
      <c r="MBP139" s="422"/>
      <c r="MBQ139" s="422"/>
      <c r="MBR139" s="422"/>
      <c r="MBS139" s="422"/>
      <c r="MBT139" s="422"/>
      <c r="MBU139" s="422"/>
      <c r="MBV139" s="422"/>
      <c r="MBW139" s="422"/>
      <c r="MBX139" s="422"/>
      <c r="MBY139" s="422"/>
      <c r="MBZ139" s="422"/>
      <c r="MCA139" s="422"/>
      <c r="MCB139" s="422"/>
      <c r="MCC139" s="422"/>
      <c r="MCD139" s="422"/>
      <c r="MCE139" s="422"/>
      <c r="MCF139" s="422"/>
      <c r="MCG139" s="422"/>
      <c r="MCH139" s="422"/>
      <c r="MCI139" s="422"/>
      <c r="MCJ139" s="422"/>
      <c r="MCK139" s="422"/>
      <c r="MCL139" s="422"/>
      <c r="MCM139" s="422"/>
      <c r="MCN139" s="422"/>
      <c r="MCO139" s="422"/>
      <c r="MCP139" s="422"/>
      <c r="MCQ139" s="422"/>
      <c r="MCR139" s="422"/>
      <c r="MCS139" s="422"/>
      <c r="MCT139" s="422"/>
      <c r="MCU139" s="422"/>
      <c r="MCV139" s="422"/>
      <c r="MCW139" s="422"/>
      <c r="MCX139" s="422"/>
      <c r="MCY139" s="422"/>
      <c r="MCZ139" s="422"/>
      <c r="MDA139" s="422"/>
      <c r="MDB139" s="422"/>
      <c r="MDC139" s="422"/>
      <c r="MDD139" s="422"/>
      <c r="MDE139" s="422"/>
      <c r="MDF139" s="422"/>
      <c r="MDG139" s="422"/>
      <c r="MDH139" s="422"/>
      <c r="MDI139" s="422"/>
      <c r="MDJ139" s="422"/>
      <c r="MDK139" s="422"/>
      <c r="MDL139" s="422"/>
      <c r="MDM139" s="422"/>
      <c r="MDN139" s="422"/>
      <c r="MDO139" s="422"/>
      <c r="MDP139" s="422"/>
      <c r="MDQ139" s="422"/>
      <c r="MDR139" s="422"/>
      <c r="MDS139" s="422"/>
      <c r="MDT139" s="422"/>
      <c r="MDU139" s="422"/>
      <c r="MDV139" s="422"/>
      <c r="MDW139" s="422"/>
      <c r="MDX139" s="422"/>
      <c r="MDY139" s="422"/>
      <c r="MDZ139" s="422"/>
      <c r="MEA139" s="422"/>
      <c r="MEB139" s="422"/>
      <c r="MEC139" s="422"/>
      <c r="MED139" s="422"/>
      <c r="MEE139" s="422"/>
      <c r="MEF139" s="422"/>
      <c r="MEG139" s="422"/>
      <c r="MEH139" s="422"/>
      <c r="MEI139" s="422"/>
      <c r="MEJ139" s="422"/>
      <c r="MEK139" s="422"/>
      <c r="MEL139" s="422"/>
      <c r="MEM139" s="422"/>
      <c r="MEN139" s="422"/>
      <c r="MEO139" s="422"/>
      <c r="MEP139" s="422"/>
      <c r="MEQ139" s="422"/>
      <c r="MER139" s="422"/>
      <c r="MES139" s="422"/>
      <c r="MET139" s="422"/>
      <c r="MEU139" s="422"/>
      <c r="MEV139" s="422"/>
      <c r="MEW139" s="422"/>
      <c r="MEX139" s="422"/>
      <c r="MEY139" s="422"/>
      <c r="MEZ139" s="422"/>
      <c r="MFA139" s="422"/>
      <c r="MFB139" s="422"/>
      <c r="MFC139" s="422"/>
      <c r="MFD139" s="422"/>
      <c r="MFE139" s="422"/>
      <c r="MFF139" s="422"/>
      <c r="MFG139" s="422"/>
      <c r="MFH139" s="422"/>
      <c r="MFI139" s="422"/>
      <c r="MFJ139" s="422"/>
      <c r="MFK139" s="422"/>
      <c r="MFL139" s="422"/>
      <c r="MFM139" s="422"/>
      <c r="MFN139" s="422"/>
      <c r="MFO139" s="422"/>
      <c r="MFP139" s="422"/>
      <c r="MFQ139" s="422"/>
      <c r="MFR139" s="422"/>
      <c r="MFS139" s="422"/>
      <c r="MFT139" s="422"/>
      <c r="MFU139" s="422"/>
      <c r="MFV139" s="422"/>
      <c r="MFW139" s="422"/>
      <c r="MFX139" s="422"/>
      <c r="MFY139" s="422"/>
      <c r="MFZ139" s="422"/>
      <c r="MGA139" s="422"/>
      <c r="MGB139" s="422"/>
      <c r="MGC139" s="422"/>
      <c r="MGD139" s="422"/>
      <c r="MGE139" s="422"/>
      <c r="MGF139" s="422"/>
      <c r="MGG139" s="422"/>
      <c r="MGH139" s="422"/>
      <c r="MGI139" s="422"/>
      <c r="MGJ139" s="422"/>
      <c r="MGK139" s="422"/>
      <c r="MGL139" s="422"/>
      <c r="MGM139" s="422"/>
      <c r="MGN139" s="422"/>
      <c r="MGO139" s="422"/>
      <c r="MGP139" s="422"/>
      <c r="MGQ139" s="422"/>
      <c r="MGR139" s="422"/>
      <c r="MGS139" s="422"/>
      <c r="MGT139" s="422"/>
      <c r="MGU139" s="422"/>
      <c r="MGV139" s="422"/>
      <c r="MGW139" s="422"/>
      <c r="MGX139" s="422"/>
      <c r="MGY139" s="422"/>
      <c r="MGZ139" s="422"/>
      <c r="MHA139" s="422"/>
      <c r="MHB139" s="422"/>
      <c r="MHC139" s="422"/>
      <c r="MHD139" s="422"/>
      <c r="MHE139" s="422"/>
      <c r="MHF139" s="422"/>
      <c r="MHG139" s="422"/>
      <c r="MHH139" s="422"/>
      <c r="MHI139" s="422"/>
      <c r="MHJ139" s="422"/>
      <c r="MHK139" s="422"/>
      <c r="MHL139" s="422"/>
      <c r="MHM139" s="422"/>
      <c r="MHN139" s="422"/>
      <c r="MHO139" s="422"/>
      <c r="MHP139" s="422"/>
      <c r="MHQ139" s="422"/>
      <c r="MHR139" s="422"/>
      <c r="MHS139" s="422"/>
      <c r="MHT139" s="422"/>
      <c r="MHU139" s="422"/>
      <c r="MHV139" s="422"/>
      <c r="MHW139" s="422"/>
      <c r="MHX139" s="422"/>
      <c r="MHY139" s="422"/>
      <c r="MHZ139" s="422"/>
      <c r="MIA139" s="422"/>
      <c r="MIB139" s="422"/>
      <c r="MIC139" s="422"/>
      <c r="MID139" s="422"/>
      <c r="MIE139" s="422"/>
      <c r="MIF139" s="422"/>
      <c r="MIG139" s="422"/>
      <c r="MIH139" s="422"/>
      <c r="MII139" s="422"/>
      <c r="MIJ139" s="422"/>
      <c r="MIK139" s="422"/>
      <c r="MIL139" s="422"/>
      <c r="MIM139" s="422"/>
      <c r="MIN139" s="422"/>
      <c r="MIO139" s="422"/>
      <c r="MIP139" s="422"/>
      <c r="MIQ139" s="422"/>
      <c r="MIR139" s="422"/>
      <c r="MIS139" s="422"/>
      <c r="MIT139" s="422"/>
      <c r="MIU139" s="422"/>
      <c r="MIV139" s="422"/>
      <c r="MIW139" s="422"/>
      <c r="MIX139" s="422"/>
      <c r="MIY139" s="422"/>
      <c r="MIZ139" s="422"/>
      <c r="MJA139" s="422"/>
      <c r="MJB139" s="422"/>
      <c r="MJC139" s="422"/>
      <c r="MJD139" s="422"/>
      <c r="MJE139" s="422"/>
      <c r="MJF139" s="422"/>
      <c r="MJG139" s="422"/>
      <c r="MJH139" s="422"/>
      <c r="MJI139" s="422"/>
      <c r="MJJ139" s="422"/>
      <c r="MJK139" s="422"/>
      <c r="MJL139" s="422"/>
      <c r="MJM139" s="422"/>
      <c r="MJN139" s="422"/>
      <c r="MJO139" s="422"/>
      <c r="MJP139" s="422"/>
      <c r="MJQ139" s="422"/>
      <c r="MJR139" s="422"/>
      <c r="MJS139" s="422"/>
      <c r="MJT139" s="422"/>
      <c r="MJU139" s="422"/>
      <c r="MJV139" s="422"/>
      <c r="MJW139" s="422"/>
      <c r="MJX139" s="422"/>
      <c r="MJY139" s="422"/>
      <c r="MJZ139" s="422"/>
      <c r="MKA139" s="422"/>
      <c r="MKB139" s="422"/>
      <c r="MKC139" s="422"/>
      <c r="MKD139" s="422"/>
      <c r="MKE139" s="422"/>
      <c r="MKF139" s="422"/>
      <c r="MKG139" s="422"/>
      <c r="MKH139" s="422"/>
      <c r="MKI139" s="422"/>
      <c r="MKJ139" s="422"/>
      <c r="MKK139" s="422"/>
      <c r="MKL139" s="422"/>
      <c r="MKM139" s="422"/>
      <c r="MKN139" s="422"/>
      <c r="MKO139" s="422"/>
      <c r="MKP139" s="422"/>
      <c r="MKQ139" s="422"/>
      <c r="MKR139" s="422"/>
      <c r="MKS139" s="422"/>
      <c r="MKT139" s="422"/>
      <c r="MKU139" s="422"/>
      <c r="MKV139" s="422"/>
      <c r="MKW139" s="422"/>
      <c r="MKX139" s="422"/>
      <c r="MKY139" s="422"/>
      <c r="MKZ139" s="422"/>
      <c r="MLA139" s="422"/>
      <c r="MLB139" s="422"/>
      <c r="MLC139" s="422"/>
      <c r="MLD139" s="422"/>
      <c r="MLE139" s="422"/>
      <c r="MLF139" s="422"/>
      <c r="MLG139" s="422"/>
      <c r="MLH139" s="422"/>
      <c r="MLI139" s="422"/>
      <c r="MLJ139" s="422"/>
      <c r="MLK139" s="422"/>
      <c r="MLL139" s="422"/>
      <c r="MLM139" s="422"/>
      <c r="MLN139" s="422"/>
      <c r="MLO139" s="422"/>
      <c r="MLP139" s="422"/>
      <c r="MLQ139" s="422"/>
      <c r="MLR139" s="422"/>
      <c r="MLS139" s="422"/>
      <c r="MLT139" s="422"/>
      <c r="MLU139" s="422"/>
      <c r="MLV139" s="422"/>
      <c r="MLW139" s="422"/>
      <c r="MLX139" s="422"/>
      <c r="MLY139" s="422"/>
      <c r="MLZ139" s="422"/>
      <c r="MMA139" s="422"/>
      <c r="MMB139" s="422"/>
      <c r="MMC139" s="422"/>
      <c r="MMD139" s="422"/>
      <c r="MME139" s="422"/>
      <c r="MMF139" s="422"/>
      <c r="MMG139" s="422"/>
      <c r="MMH139" s="422"/>
      <c r="MMI139" s="422"/>
      <c r="MMJ139" s="422"/>
      <c r="MMK139" s="422"/>
      <c r="MML139" s="422"/>
      <c r="MMM139" s="422"/>
      <c r="MMN139" s="422"/>
      <c r="MMO139" s="422"/>
      <c r="MMP139" s="422"/>
      <c r="MMQ139" s="422"/>
      <c r="MMR139" s="422"/>
      <c r="MMS139" s="422"/>
      <c r="MMT139" s="422"/>
      <c r="MMU139" s="422"/>
      <c r="MMV139" s="422"/>
      <c r="MMW139" s="422"/>
      <c r="MMX139" s="422"/>
      <c r="MMY139" s="422"/>
      <c r="MMZ139" s="422"/>
      <c r="MNA139" s="422"/>
      <c r="MNB139" s="422"/>
      <c r="MNC139" s="422"/>
      <c r="MND139" s="422"/>
      <c r="MNE139" s="422"/>
      <c r="MNF139" s="422"/>
      <c r="MNG139" s="422"/>
      <c r="MNH139" s="422"/>
      <c r="MNI139" s="422"/>
      <c r="MNJ139" s="422"/>
      <c r="MNK139" s="422"/>
      <c r="MNL139" s="422"/>
      <c r="MNM139" s="422"/>
      <c r="MNN139" s="422"/>
      <c r="MNO139" s="422"/>
      <c r="MNP139" s="422"/>
      <c r="MNQ139" s="422"/>
      <c r="MNR139" s="422"/>
      <c r="MNS139" s="422"/>
      <c r="MNT139" s="422"/>
      <c r="MNU139" s="422"/>
      <c r="MNV139" s="422"/>
      <c r="MNW139" s="422"/>
      <c r="MNX139" s="422"/>
      <c r="MNY139" s="422"/>
      <c r="MNZ139" s="422"/>
      <c r="MOA139" s="422"/>
      <c r="MOB139" s="422"/>
      <c r="MOC139" s="422"/>
      <c r="MOD139" s="422"/>
      <c r="MOE139" s="422"/>
      <c r="MOF139" s="422"/>
      <c r="MOG139" s="422"/>
      <c r="MOH139" s="422"/>
      <c r="MOI139" s="422"/>
      <c r="MOJ139" s="422"/>
      <c r="MOK139" s="422"/>
      <c r="MOL139" s="422"/>
      <c r="MOM139" s="422"/>
      <c r="MON139" s="422"/>
      <c r="MOO139" s="422"/>
      <c r="MOP139" s="422"/>
      <c r="MOQ139" s="422"/>
      <c r="MOR139" s="422"/>
      <c r="MOS139" s="422"/>
      <c r="MOT139" s="422"/>
      <c r="MOU139" s="422"/>
      <c r="MOV139" s="422"/>
      <c r="MOW139" s="422"/>
      <c r="MOX139" s="422"/>
      <c r="MOY139" s="422"/>
      <c r="MOZ139" s="422"/>
      <c r="MPA139" s="422"/>
      <c r="MPB139" s="422"/>
      <c r="MPC139" s="422"/>
      <c r="MPD139" s="422"/>
      <c r="MPE139" s="422"/>
      <c r="MPF139" s="422"/>
      <c r="MPG139" s="422"/>
      <c r="MPH139" s="422"/>
      <c r="MPI139" s="422"/>
      <c r="MPJ139" s="422"/>
      <c r="MPK139" s="422"/>
      <c r="MPL139" s="422"/>
      <c r="MPM139" s="422"/>
      <c r="MPN139" s="422"/>
      <c r="MPO139" s="422"/>
      <c r="MPP139" s="422"/>
      <c r="MPQ139" s="422"/>
      <c r="MPR139" s="422"/>
      <c r="MPS139" s="422"/>
      <c r="MPT139" s="422"/>
      <c r="MPU139" s="422"/>
      <c r="MPV139" s="422"/>
      <c r="MPW139" s="422"/>
      <c r="MPX139" s="422"/>
      <c r="MPY139" s="422"/>
      <c r="MPZ139" s="422"/>
      <c r="MQA139" s="422"/>
      <c r="MQB139" s="422"/>
      <c r="MQC139" s="422"/>
      <c r="MQD139" s="422"/>
      <c r="MQE139" s="422"/>
      <c r="MQF139" s="422"/>
      <c r="MQG139" s="422"/>
      <c r="MQH139" s="422"/>
      <c r="MQI139" s="422"/>
      <c r="MQJ139" s="422"/>
      <c r="MQK139" s="422"/>
      <c r="MQL139" s="422"/>
      <c r="MQM139" s="422"/>
      <c r="MQN139" s="422"/>
      <c r="MQO139" s="422"/>
      <c r="MQP139" s="422"/>
      <c r="MQQ139" s="422"/>
      <c r="MQR139" s="422"/>
      <c r="MQS139" s="422"/>
      <c r="MQT139" s="422"/>
      <c r="MQU139" s="422"/>
      <c r="MQV139" s="422"/>
      <c r="MQW139" s="422"/>
      <c r="MQX139" s="422"/>
      <c r="MQY139" s="422"/>
      <c r="MQZ139" s="422"/>
      <c r="MRA139" s="422"/>
      <c r="MRB139" s="422"/>
      <c r="MRC139" s="422"/>
      <c r="MRD139" s="422"/>
      <c r="MRE139" s="422"/>
      <c r="MRF139" s="422"/>
      <c r="MRG139" s="422"/>
      <c r="MRH139" s="422"/>
      <c r="MRI139" s="422"/>
      <c r="MRJ139" s="422"/>
      <c r="MRK139" s="422"/>
      <c r="MRL139" s="422"/>
      <c r="MRM139" s="422"/>
      <c r="MRN139" s="422"/>
      <c r="MRO139" s="422"/>
      <c r="MRP139" s="422"/>
      <c r="MRQ139" s="422"/>
      <c r="MRR139" s="422"/>
      <c r="MRS139" s="422"/>
      <c r="MRT139" s="422"/>
      <c r="MRU139" s="422"/>
      <c r="MRV139" s="422"/>
      <c r="MRW139" s="422"/>
      <c r="MRX139" s="422"/>
      <c r="MRY139" s="422"/>
      <c r="MRZ139" s="422"/>
      <c r="MSA139" s="422"/>
      <c r="MSB139" s="422"/>
      <c r="MSC139" s="422"/>
      <c r="MSD139" s="422"/>
      <c r="MSE139" s="422"/>
      <c r="MSF139" s="422"/>
      <c r="MSG139" s="422"/>
      <c r="MSH139" s="422"/>
      <c r="MSI139" s="422"/>
      <c r="MSJ139" s="422"/>
      <c r="MSK139" s="422"/>
      <c r="MSL139" s="422"/>
      <c r="MSM139" s="422"/>
      <c r="MSN139" s="422"/>
      <c r="MSO139" s="422"/>
      <c r="MSP139" s="422"/>
      <c r="MSQ139" s="422"/>
      <c r="MSR139" s="422"/>
      <c r="MSS139" s="422"/>
      <c r="MST139" s="422"/>
      <c r="MSU139" s="422"/>
      <c r="MSV139" s="422"/>
      <c r="MSW139" s="422"/>
      <c r="MSX139" s="422"/>
      <c r="MSY139" s="422"/>
      <c r="MSZ139" s="422"/>
      <c r="MTA139" s="422"/>
      <c r="MTB139" s="422"/>
      <c r="MTC139" s="422"/>
      <c r="MTD139" s="422"/>
      <c r="MTE139" s="422"/>
      <c r="MTF139" s="422"/>
      <c r="MTG139" s="422"/>
      <c r="MTH139" s="422"/>
      <c r="MTI139" s="422"/>
      <c r="MTJ139" s="422"/>
      <c r="MTK139" s="422"/>
      <c r="MTL139" s="422"/>
      <c r="MTM139" s="422"/>
      <c r="MTN139" s="422"/>
      <c r="MTO139" s="422"/>
      <c r="MTP139" s="422"/>
      <c r="MTQ139" s="422"/>
      <c r="MTR139" s="422"/>
      <c r="MTS139" s="422"/>
      <c r="MTT139" s="422"/>
      <c r="MTU139" s="422"/>
      <c r="MTV139" s="422"/>
      <c r="MTW139" s="422"/>
      <c r="MTX139" s="422"/>
      <c r="MTY139" s="422"/>
      <c r="MTZ139" s="422"/>
      <c r="MUA139" s="422"/>
      <c r="MUB139" s="422"/>
      <c r="MUC139" s="422"/>
      <c r="MUD139" s="422"/>
      <c r="MUE139" s="422"/>
      <c r="MUF139" s="422"/>
      <c r="MUG139" s="422"/>
      <c r="MUH139" s="422"/>
      <c r="MUI139" s="422"/>
      <c r="MUJ139" s="422"/>
      <c r="MUK139" s="422"/>
      <c r="MUL139" s="422"/>
      <c r="MUM139" s="422"/>
      <c r="MUN139" s="422"/>
      <c r="MUO139" s="422"/>
      <c r="MUP139" s="422"/>
      <c r="MUQ139" s="422"/>
      <c r="MUR139" s="422"/>
      <c r="MUS139" s="422"/>
      <c r="MUT139" s="422"/>
      <c r="MUU139" s="422"/>
      <c r="MUV139" s="422"/>
      <c r="MUW139" s="422"/>
      <c r="MUX139" s="422"/>
      <c r="MUY139" s="422"/>
      <c r="MUZ139" s="422"/>
      <c r="MVA139" s="422"/>
      <c r="MVB139" s="422"/>
      <c r="MVC139" s="422"/>
      <c r="MVD139" s="422"/>
      <c r="MVE139" s="422"/>
      <c r="MVF139" s="422"/>
      <c r="MVG139" s="422"/>
      <c r="MVH139" s="422"/>
      <c r="MVI139" s="422"/>
      <c r="MVJ139" s="422"/>
      <c r="MVK139" s="422"/>
      <c r="MVL139" s="422"/>
      <c r="MVM139" s="422"/>
      <c r="MVN139" s="422"/>
      <c r="MVO139" s="422"/>
      <c r="MVP139" s="422"/>
      <c r="MVQ139" s="422"/>
      <c r="MVR139" s="422"/>
      <c r="MVS139" s="422"/>
      <c r="MVT139" s="422"/>
      <c r="MVU139" s="422"/>
      <c r="MVV139" s="422"/>
      <c r="MVW139" s="422"/>
      <c r="MVX139" s="422"/>
      <c r="MVY139" s="422"/>
      <c r="MVZ139" s="422"/>
      <c r="MWA139" s="422"/>
      <c r="MWB139" s="422"/>
      <c r="MWC139" s="422"/>
      <c r="MWD139" s="422"/>
      <c r="MWE139" s="422"/>
      <c r="MWF139" s="422"/>
      <c r="MWG139" s="422"/>
      <c r="MWH139" s="422"/>
      <c r="MWI139" s="422"/>
      <c r="MWJ139" s="422"/>
      <c r="MWK139" s="422"/>
      <c r="MWL139" s="422"/>
      <c r="MWM139" s="422"/>
      <c r="MWN139" s="422"/>
      <c r="MWO139" s="422"/>
      <c r="MWP139" s="422"/>
      <c r="MWQ139" s="422"/>
      <c r="MWR139" s="422"/>
      <c r="MWS139" s="422"/>
      <c r="MWT139" s="422"/>
      <c r="MWU139" s="422"/>
      <c r="MWV139" s="422"/>
      <c r="MWW139" s="422"/>
      <c r="MWX139" s="422"/>
      <c r="MWY139" s="422"/>
      <c r="MWZ139" s="422"/>
      <c r="MXA139" s="422"/>
      <c r="MXB139" s="422"/>
      <c r="MXC139" s="422"/>
      <c r="MXD139" s="422"/>
      <c r="MXE139" s="422"/>
      <c r="MXF139" s="422"/>
      <c r="MXG139" s="422"/>
      <c r="MXH139" s="422"/>
      <c r="MXI139" s="422"/>
      <c r="MXJ139" s="422"/>
      <c r="MXK139" s="422"/>
      <c r="MXL139" s="422"/>
      <c r="MXM139" s="422"/>
      <c r="MXN139" s="422"/>
      <c r="MXO139" s="422"/>
      <c r="MXP139" s="422"/>
      <c r="MXQ139" s="422"/>
      <c r="MXR139" s="422"/>
      <c r="MXS139" s="422"/>
      <c r="MXT139" s="422"/>
      <c r="MXU139" s="422"/>
      <c r="MXV139" s="422"/>
      <c r="MXW139" s="422"/>
      <c r="MXX139" s="422"/>
      <c r="MXY139" s="422"/>
      <c r="MXZ139" s="422"/>
      <c r="MYA139" s="422"/>
      <c r="MYB139" s="422"/>
      <c r="MYC139" s="422"/>
      <c r="MYD139" s="422"/>
      <c r="MYE139" s="422"/>
      <c r="MYF139" s="422"/>
      <c r="MYG139" s="422"/>
      <c r="MYH139" s="422"/>
      <c r="MYI139" s="422"/>
      <c r="MYJ139" s="422"/>
      <c r="MYK139" s="422"/>
      <c r="MYL139" s="422"/>
      <c r="MYM139" s="422"/>
      <c r="MYN139" s="422"/>
      <c r="MYO139" s="422"/>
      <c r="MYP139" s="422"/>
      <c r="MYQ139" s="422"/>
      <c r="MYR139" s="422"/>
      <c r="MYS139" s="422"/>
      <c r="MYT139" s="422"/>
      <c r="MYU139" s="422"/>
      <c r="MYV139" s="422"/>
      <c r="MYW139" s="422"/>
      <c r="MYX139" s="422"/>
      <c r="MYY139" s="422"/>
      <c r="MYZ139" s="422"/>
      <c r="MZA139" s="422"/>
      <c r="MZB139" s="422"/>
      <c r="MZC139" s="422"/>
      <c r="MZD139" s="422"/>
      <c r="MZE139" s="422"/>
      <c r="MZF139" s="422"/>
      <c r="MZG139" s="422"/>
      <c r="MZH139" s="422"/>
      <c r="MZI139" s="422"/>
      <c r="MZJ139" s="422"/>
      <c r="MZK139" s="422"/>
      <c r="MZL139" s="422"/>
      <c r="MZM139" s="422"/>
      <c r="MZN139" s="422"/>
      <c r="MZO139" s="422"/>
      <c r="MZP139" s="422"/>
      <c r="MZQ139" s="422"/>
      <c r="MZR139" s="422"/>
      <c r="MZS139" s="422"/>
      <c r="MZT139" s="422"/>
      <c r="MZU139" s="422"/>
      <c r="MZV139" s="422"/>
      <c r="MZW139" s="422"/>
      <c r="MZX139" s="422"/>
      <c r="MZY139" s="422"/>
      <c r="MZZ139" s="422"/>
      <c r="NAA139" s="422"/>
      <c r="NAB139" s="422"/>
      <c r="NAC139" s="422"/>
      <c r="NAD139" s="422"/>
      <c r="NAE139" s="422"/>
      <c r="NAF139" s="422"/>
      <c r="NAG139" s="422"/>
      <c r="NAH139" s="422"/>
      <c r="NAI139" s="422"/>
      <c r="NAJ139" s="422"/>
      <c r="NAK139" s="422"/>
      <c r="NAL139" s="422"/>
      <c r="NAM139" s="422"/>
      <c r="NAN139" s="422"/>
      <c r="NAO139" s="422"/>
      <c r="NAP139" s="422"/>
      <c r="NAQ139" s="422"/>
      <c r="NAR139" s="422"/>
      <c r="NAS139" s="422"/>
      <c r="NAT139" s="422"/>
      <c r="NAU139" s="422"/>
      <c r="NAV139" s="422"/>
      <c r="NAW139" s="422"/>
      <c r="NAX139" s="422"/>
      <c r="NAY139" s="422"/>
      <c r="NAZ139" s="422"/>
      <c r="NBA139" s="422"/>
      <c r="NBB139" s="422"/>
      <c r="NBC139" s="422"/>
      <c r="NBD139" s="422"/>
      <c r="NBE139" s="422"/>
      <c r="NBF139" s="422"/>
      <c r="NBG139" s="422"/>
      <c r="NBH139" s="422"/>
      <c r="NBI139" s="422"/>
      <c r="NBJ139" s="422"/>
      <c r="NBK139" s="422"/>
      <c r="NBL139" s="422"/>
      <c r="NBM139" s="422"/>
      <c r="NBN139" s="422"/>
      <c r="NBO139" s="422"/>
      <c r="NBP139" s="422"/>
      <c r="NBQ139" s="422"/>
      <c r="NBR139" s="422"/>
      <c r="NBS139" s="422"/>
      <c r="NBT139" s="422"/>
      <c r="NBU139" s="422"/>
      <c r="NBV139" s="422"/>
      <c r="NBW139" s="422"/>
      <c r="NBX139" s="422"/>
      <c r="NBY139" s="422"/>
      <c r="NBZ139" s="422"/>
      <c r="NCA139" s="422"/>
      <c r="NCB139" s="422"/>
      <c r="NCC139" s="422"/>
      <c r="NCD139" s="422"/>
      <c r="NCE139" s="422"/>
      <c r="NCF139" s="422"/>
      <c r="NCG139" s="422"/>
      <c r="NCH139" s="422"/>
      <c r="NCI139" s="422"/>
      <c r="NCJ139" s="422"/>
      <c r="NCK139" s="422"/>
      <c r="NCL139" s="422"/>
      <c r="NCM139" s="422"/>
      <c r="NCN139" s="422"/>
      <c r="NCO139" s="422"/>
      <c r="NCP139" s="422"/>
      <c r="NCQ139" s="422"/>
      <c r="NCR139" s="422"/>
      <c r="NCS139" s="422"/>
      <c r="NCT139" s="422"/>
      <c r="NCU139" s="422"/>
      <c r="NCV139" s="422"/>
      <c r="NCW139" s="422"/>
      <c r="NCX139" s="422"/>
      <c r="NCY139" s="422"/>
      <c r="NCZ139" s="422"/>
      <c r="NDA139" s="422"/>
      <c r="NDB139" s="422"/>
      <c r="NDC139" s="422"/>
      <c r="NDD139" s="422"/>
      <c r="NDE139" s="422"/>
      <c r="NDF139" s="422"/>
      <c r="NDG139" s="422"/>
      <c r="NDH139" s="422"/>
      <c r="NDI139" s="422"/>
      <c r="NDJ139" s="422"/>
      <c r="NDK139" s="422"/>
      <c r="NDL139" s="422"/>
      <c r="NDM139" s="422"/>
      <c r="NDN139" s="422"/>
      <c r="NDO139" s="422"/>
      <c r="NDP139" s="422"/>
      <c r="NDQ139" s="422"/>
      <c r="NDR139" s="422"/>
      <c r="NDS139" s="422"/>
      <c r="NDT139" s="422"/>
      <c r="NDU139" s="422"/>
      <c r="NDV139" s="422"/>
      <c r="NDW139" s="422"/>
      <c r="NDX139" s="422"/>
      <c r="NDY139" s="422"/>
      <c r="NDZ139" s="422"/>
      <c r="NEA139" s="422"/>
      <c r="NEB139" s="422"/>
      <c r="NEC139" s="422"/>
      <c r="NED139" s="422"/>
      <c r="NEE139" s="422"/>
      <c r="NEF139" s="422"/>
      <c r="NEG139" s="422"/>
      <c r="NEH139" s="422"/>
      <c r="NEI139" s="422"/>
      <c r="NEJ139" s="422"/>
      <c r="NEK139" s="422"/>
      <c r="NEL139" s="422"/>
      <c r="NEM139" s="422"/>
      <c r="NEN139" s="422"/>
      <c r="NEO139" s="422"/>
      <c r="NEP139" s="422"/>
      <c r="NEQ139" s="422"/>
      <c r="NER139" s="422"/>
      <c r="NES139" s="422"/>
      <c r="NET139" s="422"/>
      <c r="NEU139" s="422"/>
      <c r="NEV139" s="422"/>
      <c r="NEW139" s="422"/>
      <c r="NEX139" s="422"/>
      <c r="NEY139" s="422"/>
      <c r="NEZ139" s="422"/>
      <c r="NFA139" s="422"/>
      <c r="NFB139" s="422"/>
      <c r="NFC139" s="422"/>
      <c r="NFD139" s="422"/>
      <c r="NFE139" s="422"/>
      <c r="NFF139" s="422"/>
      <c r="NFG139" s="422"/>
      <c r="NFH139" s="422"/>
      <c r="NFI139" s="422"/>
      <c r="NFJ139" s="422"/>
      <c r="NFK139" s="422"/>
      <c r="NFL139" s="422"/>
      <c r="NFM139" s="422"/>
      <c r="NFN139" s="422"/>
      <c r="NFO139" s="422"/>
      <c r="NFP139" s="422"/>
      <c r="NFQ139" s="422"/>
      <c r="NFR139" s="422"/>
      <c r="NFS139" s="422"/>
      <c r="NFT139" s="422"/>
      <c r="NFU139" s="422"/>
      <c r="NFV139" s="422"/>
      <c r="NFW139" s="422"/>
      <c r="NFX139" s="422"/>
      <c r="NFY139" s="422"/>
      <c r="NFZ139" s="422"/>
      <c r="NGA139" s="422"/>
      <c r="NGB139" s="422"/>
      <c r="NGC139" s="422"/>
      <c r="NGD139" s="422"/>
      <c r="NGE139" s="422"/>
      <c r="NGF139" s="422"/>
      <c r="NGG139" s="422"/>
      <c r="NGH139" s="422"/>
      <c r="NGI139" s="422"/>
      <c r="NGJ139" s="422"/>
      <c r="NGK139" s="422"/>
      <c r="NGL139" s="422"/>
      <c r="NGM139" s="422"/>
      <c r="NGN139" s="422"/>
      <c r="NGO139" s="422"/>
      <c r="NGP139" s="422"/>
      <c r="NGQ139" s="422"/>
      <c r="NGR139" s="422"/>
      <c r="NGS139" s="422"/>
      <c r="NGT139" s="422"/>
      <c r="NGU139" s="422"/>
      <c r="NGV139" s="422"/>
      <c r="NGW139" s="422"/>
      <c r="NGX139" s="422"/>
      <c r="NGY139" s="422"/>
      <c r="NGZ139" s="422"/>
      <c r="NHA139" s="422"/>
      <c r="NHB139" s="422"/>
      <c r="NHC139" s="422"/>
      <c r="NHD139" s="422"/>
      <c r="NHE139" s="422"/>
      <c r="NHF139" s="422"/>
      <c r="NHG139" s="422"/>
      <c r="NHH139" s="422"/>
      <c r="NHI139" s="422"/>
      <c r="NHJ139" s="422"/>
      <c r="NHK139" s="422"/>
      <c r="NHL139" s="422"/>
      <c r="NHM139" s="422"/>
      <c r="NHN139" s="422"/>
      <c r="NHO139" s="422"/>
      <c r="NHP139" s="422"/>
      <c r="NHQ139" s="422"/>
      <c r="NHR139" s="422"/>
      <c r="NHS139" s="422"/>
      <c r="NHT139" s="422"/>
      <c r="NHU139" s="422"/>
      <c r="NHV139" s="422"/>
      <c r="NHW139" s="422"/>
      <c r="NHX139" s="422"/>
      <c r="NHY139" s="422"/>
      <c r="NHZ139" s="422"/>
      <c r="NIA139" s="422"/>
      <c r="NIB139" s="422"/>
      <c r="NIC139" s="422"/>
      <c r="NID139" s="422"/>
      <c r="NIE139" s="422"/>
      <c r="NIF139" s="422"/>
      <c r="NIG139" s="422"/>
      <c r="NIH139" s="422"/>
      <c r="NII139" s="422"/>
      <c r="NIJ139" s="422"/>
      <c r="NIK139" s="422"/>
      <c r="NIL139" s="422"/>
      <c r="NIM139" s="422"/>
      <c r="NIN139" s="422"/>
      <c r="NIO139" s="422"/>
      <c r="NIP139" s="422"/>
      <c r="NIQ139" s="422"/>
      <c r="NIR139" s="422"/>
      <c r="NIS139" s="422"/>
      <c r="NIT139" s="422"/>
      <c r="NIU139" s="422"/>
      <c r="NIV139" s="422"/>
      <c r="NIW139" s="422"/>
      <c r="NIX139" s="422"/>
      <c r="NIY139" s="422"/>
      <c r="NIZ139" s="422"/>
      <c r="NJA139" s="422"/>
      <c r="NJB139" s="422"/>
      <c r="NJC139" s="422"/>
      <c r="NJD139" s="422"/>
      <c r="NJE139" s="422"/>
      <c r="NJF139" s="422"/>
      <c r="NJG139" s="422"/>
      <c r="NJH139" s="422"/>
      <c r="NJI139" s="422"/>
      <c r="NJJ139" s="422"/>
      <c r="NJK139" s="422"/>
      <c r="NJL139" s="422"/>
      <c r="NJM139" s="422"/>
      <c r="NJN139" s="422"/>
      <c r="NJO139" s="422"/>
      <c r="NJP139" s="422"/>
      <c r="NJQ139" s="422"/>
      <c r="NJR139" s="422"/>
      <c r="NJS139" s="422"/>
      <c r="NJT139" s="422"/>
      <c r="NJU139" s="422"/>
      <c r="NJV139" s="422"/>
      <c r="NJW139" s="422"/>
      <c r="NJX139" s="422"/>
      <c r="NJY139" s="422"/>
      <c r="NJZ139" s="422"/>
      <c r="NKA139" s="422"/>
      <c r="NKB139" s="422"/>
      <c r="NKC139" s="422"/>
      <c r="NKD139" s="422"/>
      <c r="NKE139" s="422"/>
      <c r="NKF139" s="422"/>
      <c r="NKG139" s="422"/>
      <c r="NKH139" s="422"/>
      <c r="NKI139" s="422"/>
      <c r="NKJ139" s="422"/>
      <c r="NKK139" s="422"/>
      <c r="NKL139" s="422"/>
      <c r="NKM139" s="422"/>
      <c r="NKN139" s="422"/>
      <c r="NKO139" s="422"/>
      <c r="NKP139" s="422"/>
      <c r="NKQ139" s="422"/>
      <c r="NKR139" s="422"/>
      <c r="NKS139" s="422"/>
      <c r="NKT139" s="422"/>
      <c r="NKU139" s="422"/>
      <c r="NKV139" s="422"/>
      <c r="NKW139" s="422"/>
      <c r="NKX139" s="422"/>
      <c r="NKY139" s="422"/>
      <c r="NKZ139" s="422"/>
      <c r="NLA139" s="422"/>
      <c r="NLB139" s="422"/>
      <c r="NLC139" s="422"/>
      <c r="NLD139" s="422"/>
      <c r="NLE139" s="422"/>
      <c r="NLF139" s="422"/>
      <c r="NLG139" s="422"/>
      <c r="NLH139" s="422"/>
      <c r="NLI139" s="422"/>
      <c r="NLJ139" s="422"/>
      <c r="NLK139" s="422"/>
      <c r="NLL139" s="422"/>
      <c r="NLM139" s="422"/>
      <c r="NLN139" s="422"/>
      <c r="NLO139" s="422"/>
      <c r="NLP139" s="422"/>
      <c r="NLQ139" s="422"/>
      <c r="NLR139" s="422"/>
      <c r="NLS139" s="422"/>
      <c r="NLT139" s="422"/>
      <c r="NLU139" s="422"/>
      <c r="NLV139" s="422"/>
      <c r="NLW139" s="422"/>
      <c r="NLX139" s="422"/>
      <c r="NLY139" s="422"/>
      <c r="NLZ139" s="422"/>
      <c r="NMA139" s="422"/>
      <c r="NMB139" s="422"/>
      <c r="NMC139" s="422"/>
      <c r="NMD139" s="422"/>
      <c r="NME139" s="422"/>
      <c r="NMF139" s="422"/>
      <c r="NMG139" s="422"/>
      <c r="NMH139" s="422"/>
      <c r="NMI139" s="422"/>
      <c r="NMJ139" s="422"/>
      <c r="NMK139" s="422"/>
      <c r="NML139" s="422"/>
      <c r="NMM139" s="422"/>
      <c r="NMN139" s="422"/>
      <c r="NMO139" s="422"/>
      <c r="NMP139" s="422"/>
      <c r="NMQ139" s="422"/>
      <c r="NMR139" s="422"/>
      <c r="NMS139" s="422"/>
      <c r="NMT139" s="422"/>
      <c r="NMU139" s="422"/>
      <c r="NMV139" s="422"/>
      <c r="NMW139" s="422"/>
      <c r="NMX139" s="422"/>
      <c r="NMY139" s="422"/>
      <c r="NMZ139" s="422"/>
      <c r="NNA139" s="422"/>
      <c r="NNB139" s="422"/>
      <c r="NNC139" s="422"/>
      <c r="NND139" s="422"/>
      <c r="NNE139" s="422"/>
      <c r="NNF139" s="422"/>
      <c r="NNG139" s="422"/>
      <c r="NNH139" s="422"/>
      <c r="NNI139" s="422"/>
      <c r="NNJ139" s="422"/>
      <c r="NNK139" s="422"/>
      <c r="NNL139" s="422"/>
      <c r="NNM139" s="422"/>
      <c r="NNN139" s="422"/>
      <c r="NNO139" s="422"/>
      <c r="NNP139" s="422"/>
      <c r="NNQ139" s="422"/>
      <c r="NNR139" s="422"/>
      <c r="NNS139" s="422"/>
      <c r="NNT139" s="422"/>
      <c r="NNU139" s="422"/>
      <c r="NNV139" s="422"/>
      <c r="NNW139" s="422"/>
      <c r="NNX139" s="422"/>
      <c r="NNY139" s="422"/>
      <c r="NNZ139" s="422"/>
      <c r="NOA139" s="422"/>
      <c r="NOB139" s="422"/>
      <c r="NOC139" s="422"/>
      <c r="NOD139" s="422"/>
      <c r="NOE139" s="422"/>
      <c r="NOF139" s="422"/>
      <c r="NOG139" s="422"/>
      <c r="NOH139" s="422"/>
      <c r="NOI139" s="422"/>
      <c r="NOJ139" s="422"/>
      <c r="NOK139" s="422"/>
      <c r="NOL139" s="422"/>
      <c r="NOM139" s="422"/>
      <c r="NON139" s="422"/>
      <c r="NOO139" s="422"/>
      <c r="NOP139" s="422"/>
      <c r="NOQ139" s="422"/>
      <c r="NOR139" s="422"/>
      <c r="NOS139" s="422"/>
      <c r="NOT139" s="422"/>
      <c r="NOU139" s="422"/>
      <c r="NOV139" s="422"/>
      <c r="NOW139" s="422"/>
      <c r="NOX139" s="422"/>
      <c r="NOY139" s="422"/>
      <c r="NOZ139" s="422"/>
      <c r="NPA139" s="422"/>
      <c r="NPB139" s="422"/>
      <c r="NPC139" s="422"/>
      <c r="NPD139" s="422"/>
      <c r="NPE139" s="422"/>
      <c r="NPF139" s="422"/>
      <c r="NPG139" s="422"/>
      <c r="NPH139" s="422"/>
      <c r="NPI139" s="422"/>
      <c r="NPJ139" s="422"/>
      <c r="NPK139" s="422"/>
      <c r="NPL139" s="422"/>
      <c r="NPM139" s="422"/>
      <c r="NPN139" s="422"/>
      <c r="NPO139" s="422"/>
      <c r="NPP139" s="422"/>
      <c r="NPQ139" s="422"/>
      <c r="NPR139" s="422"/>
      <c r="NPS139" s="422"/>
      <c r="NPT139" s="422"/>
      <c r="NPU139" s="422"/>
      <c r="NPV139" s="422"/>
      <c r="NPW139" s="422"/>
      <c r="NPX139" s="422"/>
      <c r="NPY139" s="422"/>
      <c r="NPZ139" s="422"/>
      <c r="NQA139" s="422"/>
      <c r="NQB139" s="422"/>
      <c r="NQC139" s="422"/>
      <c r="NQD139" s="422"/>
      <c r="NQE139" s="422"/>
      <c r="NQF139" s="422"/>
      <c r="NQG139" s="422"/>
      <c r="NQH139" s="422"/>
      <c r="NQI139" s="422"/>
      <c r="NQJ139" s="422"/>
      <c r="NQK139" s="422"/>
      <c r="NQL139" s="422"/>
      <c r="NQM139" s="422"/>
      <c r="NQN139" s="422"/>
      <c r="NQO139" s="422"/>
      <c r="NQP139" s="422"/>
      <c r="NQQ139" s="422"/>
      <c r="NQR139" s="422"/>
      <c r="NQS139" s="422"/>
      <c r="NQT139" s="422"/>
      <c r="NQU139" s="422"/>
      <c r="NQV139" s="422"/>
      <c r="NQW139" s="422"/>
      <c r="NQX139" s="422"/>
      <c r="NQY139" s="422"/>
      <c r="NQZ139" s="422"/>
      <c r="NRA139" s="422"/>
      <c r="NRB139" s="422"/>
      <c r="NRC139" s="422"/>
      <c r="NRD139" s="422"/>
      <c r="NRE139" s="422"/>
      <c r="NRF139" s="422"/>
      <c r="NRG139" s="422"/>
      <c r="NRH139" s="422"/>
      <c r="NRI139" s="422"/>
      <c r="NRJ139" s="422"/>
      <c r="NRK139" s="422"/>
      <c r="NRL139" s="422"/>
      <c r="NRM139" s="422"/>
      <c r="NRN139" s="422"/>
      <c r="NRO139" s="422"/>
      <c r="NRP139" s="422"/>
      <c r="NRQ139" s="422"/>
      <c r="NRR139" s="422"/>
      <c r="NRS139" s="422"/>
      <c r="NRT139" s="422"/>
      <c r="NRU139" s="422"/>
      <c r="NRV139" s="422"/>
      <c r="NRW139" s="422"/>
      <c r="NRX139" s="422"/>
      <c r="NRY139" s="422"/>
      <c r="NRZ139" s="422"/>
      <c r="NSA139" s="422"/>
      <c r="NSB139" s="422"/>
      <c r="NSC139" s="422"/>
      <c r="NSD139" s="422"/>
      <c r="NSE139" s="422"/>
      <c r="NSF139" s="422"/>
      <c r="NSG139" s="422"/>
      <c r="NSH139" s="422"/>
      <c r="NSI139" s="422"/>
      <c r="NSJ139" s="422"/>
      <c r="NSK139" s="422"/>
      <c r="NSL139" s="422"/>
      <c r="NSM139" s="422"/>
      <c r="NSN139" s="422"/>
      <c r="NSO139" s="422"/>
      <c r="NSP139" s="422"/>
      <c r="NSQ139" s="422"/>
      <c r="NSR139" s="422"/>
      <c r="NSS139" s="422"/>
      <c r="NST139" s="422"/>
      <c r="NSU139" s="422"/>
      <c r="NSV139" s="422"/>
      <c r="NSW139" s="422"/>
      <c r="NSX139" s="422"/>
      <c r="NSY139" s="422"/>
      <c r="NSZ139" s="422"/>
      <c r="NTA139" s="422"/>
      <c r="NTB139" s="422"/>
      <c r="NTC139" s="422"/>
      <c r="NTD139" s="422"/>
      <c r="NTE139" s="422"/>
      <c r="NTF139" s="422"/>
      <c r="NTG139" s="422"/>
      <c r="NTH139" s="422"/>
      <c r="NTI139" s="422"/>
      <c r="NTJ139" s="422"/>
      <c r="NTK139" s="422"/>
      <c r="NTL139" s="422"/>
      <c r="NTM139" s="422"/>
      <c r="NTN139" s="422"/>
      <c r="NTO139" s="422"/>
      <c r="NTP139" s="422"/>
      <c r="NTQ139" s="422"/>
      <c r="NTR139" s="422"/>
      <c r="NTS139" s="422"/>
      <c r="NTT139" s="422"/>
      <c r="NTU139" s="422"/>
      <c r="NTV139" s="422"/>
      <c r="NTW139" s="422"/>
      <c r="NTX139" s="422"/>
      <c r="NTY139" s="422"/>
      <c r="NTZ139" s="422"/>
      <c r="NUA139" s="422"/>
      <c r="NUB139" s="422"/>
      <c r="NUC139" s="422"/>
      <c r="NUD139" s="422"/>
      <c r="NUE139" s="422"/>
      <c r="NUF139" s="422"/>
      <c r="NUG139" s="422"/>
      <c r="NUH139" s="422"/>
      <c r="NUI139" s="422"/>
      <c r="NUJ139" s="422"/>
      <c r="NUK139" s="422"/>
      <c r="NUL139" s="422"/>
      <c r="NUM139" s="422"/>
      <c r="NUN139" s="422"/>
      <c r="NUO139" s="422"/>
      <c r="NUP139" s="422"/>
      <c r="NUQ139" s="422"/>
      <c r="NUR139" s="422"/>
      <c r="NUS139" s="422"/>
      <c r="NUT139" s="422"/>
      <c r="NUU139" s="422"/>
      <c r="NUV139" s="422"/>
      <c r="NUW139" s="422"/>
      <c r="NUX139" s="422"/>
      <c r="NUY139" s="422"/>
      <c r="NUZ139" s="422"/>
      <c r="NVA139" s="422"/>
      <c r="NVB139" s="422"/>
      <c r="NVC139" s="422"/>
      <c r="NVD139" s="422"/>
      <c r="NVE139" s="422"/>
      <c r="NVF139" s="422"/>
      <c r="NVG139" s="422"/>
      <c r="NVH139" s="422"/>
      <c r="NVI139" s="422"/>
      <c r="NVJ139" s="422"/>
      <c r="NVK139" s="422"/>
      <c r="NVL139" s="422"/>
      <c r="NVM139" s="422"/>
      <c r="NVN139" s="422"/>
      <c r="NVO139" s="422"/>
      <c r="NVP139" s="422"/>
      <c r="NVQ139" s="422"/>
      <c r="NVR139" s="422"/>
      <c r="NVS139" s="422"/>
      <c r="NVT139" s="422"/>
      <c r="NVU139" s="422"/>
      <c r="NVV139" s="422"/>
      <c r="NVW139" s="422"/>
      <c r="NVX139" s="422"/>
      <c r="NVY139" s="422"/>
      <c r="NVZ139" s="422"/>
      <c r="NWA139" s="422"/>
      <c r="NWB139" s="422"/>
      <c r="NWC139" s="422"/>
      <c r="NWD139" s="422"/>
      <c r="NWE139" s="422"/>
      <c r="NWF139" s="422"/>
      <c r="NWG139" s="422"/>
      <c r="NWH139" s="422"/>
      <c r="NWI139" s="422"/>
      <c r="NWJ139" s="422"/>
      <c r="NWK139" s="422"/>
      <c r="NWL139" s="422"/>
      <c r="NWM139" s="422"/>
      <c r="NWN139" s="422"/>
      <c r="NWO139" s="422"/>
      <c r="NWP139" s="422"/>
      <c r="NWQ139" s="422"/>
      <c r="NWR139" s="422"/>
      <c r="NWS139" s="422"/>
      <c r="NWT139" s="422"/>
      <c r="NWU139" s="422"/>
      <c r="NWV139" s="422"/>
      <c r="NWW139" s="422"/>
      <c r="NWX139" s="422"/>
      <c r="NWY139" s="422"/>
      <c r="NWZ139" s="422"/>
      <c r="NXA139" s="422"/>
      <c r="NXB139" s="422"/>
      <c r="NXC139" s="422"/>
      <c r="NXD139" s="422"/>
      <c r="NXE139" s="422"/>
      <c r="NXF139" s="422"/>
      <c r="NXG139" s="422"/>
      <c r="NXH139" s="422"/>
      <c r="NXI139" s="422"/>
      <c r="NXJ139" s="422"/>
      <c r="NXK139" s="422"/>
      <c r="NXL139" s="422"/>
      <c r="NXM139" s="422"/>
      <c r="NXN139" s="422"/>
      <c r="NXO139" s="422"/>
      <c r="NXP139" s="422"/>
      <c r="NXQ139" s="422"/>
      <c r="NXR139" s="422"/>
      <c r="NXS139" s="422"/>
      <c r="NXT139" s="422"/>
      <c r="NXU139" s="422"/>
      <c r="NXV139" s="422"/>
      <c r="NXW139" s="422"/>
      <c r="NXX139" s="422"/>
      <c r="NXY139" s="422"/>
      <c r="NXZ139" s="422"/>
      <c r="NYA139" s="422"/>
      <c r="NYB139" s="422"/>
      <c r="NYC139" s="422"/>
      <c r="NYD139" s="422"/>
      <c r="NYE139" s="422"/>
      <c r="NYF139" s="422"/>
      <c r="NYG139" s="422"/>
      <c r="NYH139" s="422"/>
      <c r="NYI139" s="422"/>
      <c r="NYJ139" s="422"/>
      <c r="NYK139" s="422"/>
      <c r="NYL139" s="422"/>
      <c r="NYM139" s="422"/>
      <c r="NYN139" s="422"/>
      <c r="NYO139" s="422"/>
      <c r="NYP139" s="422"/>
      <c r="NYQ139" s="422"/>
      <c r="NYR139" s="422"/>
      <c r="NYS139" s="422"/>
      <c r="NYT139" s="422"/>
      <c r="NYU139" s="422"/>
      <c r="NYV139" s="422"/>
      <c r="NYW139" s="422"/>
      <c r="NYX139" s="422"/>
      <c r="NYY139" s="422"/>
      <c r="NYZ139" s="422"/>
      <c r="NZA139" s="422"/>
      <c r="NZB139" s="422"/>
      <c r="NZC139" s="422"/>
      <c r="NZD139" s="422"/>
      <c r="NZE139" s="422"/>
      <c r="NZF139" s="422"/>
      <c r="NZG139" s="422"/>
      <c r="NZH139" s="422"/>
      <c r="NZI139" s="422"/>
      <c r="NZJ139" s="422"/>
      <c r="NZK139" s="422"/>
      <c r="NZL139" s="422"/>
      <c r="NZM139" s="422"/>
      <c r="NZN139" s="422"/>
      <c r="NZO139" s="422"/>
      <c r="NZP139" s="422"/>
      <c r="NZQ139" s="422"/>
      <c r="NZR139" s="422"/>
      <c r="NZS139" s="422"/>
      <c r="NZT139" s="422"/>
      <c r="NZU139" s="422"/>
      <c r="NZV139" s="422"/>
      <c r="NZW139" s="422"/>
      <c r="NZX139" s="422"/>
      <c r="NZY139" s="422"/>
      <c r="NZZ139" s="422"/>
      <c r="OAA139" s="422"/>
      <c r="OAB139" s="422"/>
      <c r="OAC139" s="422"/>
      <c r="OAD139" s="422"/>
      <c r="OAE139" s="422"/>
      <c r="OAF139" s="422"/>
      <c r="OAG139" s="422"/>
      <c r="OAH139" s="422"/>
      <c r="OAI139" s="422"/>
      <c r="OAJ139" s="422"/>
      <c r="OAK139" s="422"/>
      <c r="OAL139" s="422"/>
      <c r="OAM139" s="422"/>
      <c r="OAN139" s="422"/>
      <c r="OAO139" s="422"/>
      <c r="OAP139" s="422"/>
      <c r="OAQ139" s="422"/>
      <c r="OAR139" s="422"/>
      <c r="OAS139" s="422"/>
      <c r="OAT139" s="422"/>
      <c r="OAU139" s="422"/>
      <c r="OAV139" s="422"/>
      <c r="OAW139" s="422"/>
      <c r="OAX139" s="422"/>
      <c r="OAY139" s="422"/>
      <c r="OAZ139" s="422"/>
      <c r="OBA139" s="422"/>
      <c r="OBB139" s="422"/>
      <c r="OBC139" s="422"/>
      <c r="OBD139" s="422"/>
      <c r="OBE139" s="422"/>
      <c r="OBF139" s="422"/>
      <c r="OBG139" s="422"/>
      <c r="OBH139" s="422"/>
      <c r="OBI139" s="422"/>
      <c r="OBJ139" s="422"/>
      <c r="OBK139" s="422"/>
      <c r="OBL139" s="422"/>
      <c r="OBM139" s="422"/>
      <c r="OBN139" s="422"/>
      <c r="OBO139" s="422"/>
      <c r="OBP139" s="422"/>
      <c r="OBQ139" s="422"/>
      <c r="OBR139" s="422"/>
      <c r="OBS139" s="422"/>
      <c r="OBT139" s="422"/>
      <c r="OBU139" s="422"/>
      <c r="OBV139" s="422"/>
      <c r="OBW139" s="422"/>
      <c r="OBX139" s="422"/>
      <c r="OBY139" s="422"/>
      <c r="OBZ139" s="422"/>
      <c r="OCA139" s="422"/>
      <c r="OCB139" s="422"/>
      <c r="OCC139" s="422"/>
      <c r="OCD139" s="422"/>
      <c r="OCE139" s="422"/>
      <c r="OCF139" s="422"/>
      <c r="OCG139" s="422"/>
      <c r="OCH139" s="422"/>
      <c r="OCI139" s="422"/>
      <c r="OCJ139" s="422"/>
      <c r="OCK139" s="422"/>
      <c r="OCL139" s="422"/>
      <c r="OCM139" s="422"/>
      <c r="OCN139" s="422"/>
      <c r="OCO139" s="422"/>
      <c r="OCP139" s="422"/>
      <c r="OCQ139" s="422"/>
      <c r="OCR139" s="422"/>
      <c r="OCS139" s="422"/>
      <c r="OCT139" s="422"/>
      <c r="OCU139" s="422"/>
      <c r="OCV139" s="422"/>
      <c r="OCW139" s="422"/>
      <c r="OCX139" s="422"/>
      <c r="OCY139" s="422"/>
      <c r="OCZ139" s="422"/>
      <c r="ODA139" s="422"/>
      <c r="ODB139" s="422"/>
      <c r="ODC139" s="422"/>
      <c r="ODD139" s="422"/>
      <c r="ODE139" s="422"/>
      <c r="ODF139" s="422"/>
      <c r="ODG139" s="422"/>
      <c r="ODH139" s="422"/>
      <c r="ODI139" s="422"/>
      <c r="ODJ139" s="422"/>
      <c r="ODK139" s="422"/>
      <c r="ODL139" s="422"/>
      <c r="ODM139" s="422"/>
      <c r="ODN139" s="422"/>
      <c r="ODO139" s="422"/>
      <c r="ODP139" s="422"/>
      <c r="ODQ139" s="422"/>
      <c r="ODR139" s="422"/>
      <c r="ODS139" s="422"/>
      <c r="ODT139" s="422"/>
      <c r="ODU139" s="422"/>
      <c r="ODV139" s="422"/>
      <c r="ODW139" s="422"/>
      <c r="ODX139" s="422"/>
      <c r="ODY139" s="422"/>
      <c r="ODZ139" s="422"/>
      <c r="OEA139" s="422"/>
      <c r="OEB139" s="422"/>
      <c r="OEC139" s="422"/>
      <c r="OED139" s="422"/>
      <c r="OEE139" s="422"/>
      <c r="OEF139" s="422"/>
      <c r="OEG139" s="422"/>
      <c r="OEH139" s="422"/>
      <c r="OEI139" s="422"/>
      <c r="OEJ139" s="422"/>
      <c r="OEK139" s="422"/>
      <c r="OEL139" s="422"/>
      <c r="OEM139" s="422"/>
      <c r="OEN139" s="422"/>
      <c r="OEO139" s="422"/>
      <c r="OEP139" s="422"/>
      <c r="OEQ139" s="422"/>
      <c r="OER139" s="422"/>
      <c r="OES139" s="422"/>
      <c r="OET139" s="422"/>
      <c r="OEU139" s="422"/>
      <c r="OEV139" s="422"/>
      <c r="OEW139" s="422"/>
      <c r="OEX139" s="422"/>
      <c r="OEY139" s="422"/>
      <c r="OEZ139" s="422"/>
      <c r="OFA139" s="422"/>
      <c r="OFB139" s="422"/>
      <c r="OFC139" s="422"/>
      <c r="OFD139" s="422"/>
      <c r="OFE139" s="422"/>
      <c r="OFF139" s="422"/>
      <c r="OFG139" s="422"/>
      <c r="OFH139" s="422"/>
      <c r="OFI139" s="422"/>
      <c r="OFJ139" s="422"/>
      <c r="OFK139" s="422"/>
      <c r="OFL139" s="422"/>
      <c r="OFM139" s="422"/>
      <c r="OFN139" s="422"/>
      <c r="OFO139" s="422"/>
      <c r="OFP139" s="422"/>
      <c r="OFQ139" s="422"/>
      <c r="OFR139" s="422"/>
      <c r="OFS139" s="422"/>
      <c r="OFT139" s="422"/>
      <c r="OFU139" s="422"/>
      <c r="OFV139" s="422"/>
      <c r="OFW139" s="422"/>
      <c r="OFX139" s="422"/>
      <c r="OFY139" s="422"/>
      <c r="OFZ139" s="422"/>
      <c r="OGA139" s="422"/>
      <c r="OGB139" s="422"/>
      <c r="OGC139" s="422"/>
      <c r="OGD139" s="422"/>
      <c r="OGE139" s="422"/>
      <c r="OGF139" s="422"/>
      <c r="OGG139" s="422"/>
      <c r="OGH139" s="422"/>
      <c r="OGI139" s="422"/>
      <c r="OGJ139" s="422"/>
      <c r="OGK139" s="422"/>
      <c r="OGL139" s="422"/>
      <c r="OGM139" s="422"/>
      <c r="OGN139" s="422"/>
      <c r="OGO139" s="422"/>
      <c r="OGP139" s="422"/>
      <c r="OGQ139" s="422"/>
      <c r="OGR139" s="422"/>
      <c r="OGS139" s="422"/>
      <c r="OGT139" s="422"/>
      <c r="OGU139" s="422"/>
      <c r="OGV139" s="422"/>
      <c r="OGW139" s="422"/>
      <c r="OGX139" s="422"/>
      <c r="OGY139" s="422"/>
      <c r="OGZ139" s="422"/>
      <c r="OHA139" s="422"/>
      <c r="OHB139" s="422"/>
      <c r="OHC139" s="422"/>
      <c r="OHD139" s="422"/>
      <c r="OHE139" s="422"/>
      <c r="OHF139" s="422"/>
      <c r="OHG139" s="422"/>
      <c r="OHH139" s="422"/>
      <c r="OHI139" s="422"/>
      <c r="OHJ139" s="422"/>
      <c r="OHK139" s="422"/>
      <c r="OHL139" s="422"/>
      <c r="OHM139" s="422"/>
      <c r="OHN139" s="422"/>
      <c r="OHO139" s="422"/>
      <c r="OHP139" s="422"/>
      <c r="OHQ139" s="422"/>
      <c r="OHR139" s="422"/>
      <c r="OHS139" s="422"/>
      <c r="OHT139" s="422"/>
      <c r="OHU139" s="422"/>
      <c r="OHV139" s="422"/>
      <c r="OHW139" s="422"/>
      <c r="OHX139" s="422"/>
      <c r="OHY139" s="422"/>
      <c r="OHZ139" s="422"/>
      <c r="OIA139" s="422"/>
      <c r="OIB139" s="422"/>
      <c r="OIC139" s="422"/>
      <c r="OID139" s="422"/>
      <c r="OIE139" s="422"/>
      <c r="OIF139" s="422"/>
      <c r="OIG139" s="422"/>
      <c r="OIH139" s="422"/>
      <c r="OII139" s="422"/>
      <c r="OIJ139" s="422"/>
      <c r="OIK139" s="422"/>
      <c r="OIL139" s="422"/>
      <c r="OIM139" s="422"/>
      <c r="OIN139" s="422"/>
      <c r="OIO139" s="422"/>
      <c r="OIP139" s="422"/>
      <c r="OIQ139" s="422"/>
      <c r="OIR139" s="422"/>
      <c r="OIS139" s="422"/>
      <c r="OIT139" s="422"/>
      <c r="OIU139" s="422"/>
      <c r="OIV139" s="422"/>
      <c r="OIW139" s="422"/>
      <c r="OIX139" s="422"/>
      <c r="OIY139" s="422"/>
      <c r="OIZ139" s="422"/>
      <c r="OJA139" s="422"/>
      <c r="OJB139" s="422"/>
      <c r="OJC139" s="422"/>
      <c r="OJD139" s="422"/>
      <c r="OJE139" s="422"/>
      <c r="OJF139" s="422"/>
      <c r="OJG139" s="422"/>
      <c r="OJH139" s="422"/>
      <c r="OJI139" s="422"/>
      <c r="OJJ139" s="422"/>
      <c r="OJK139" s="422"/>
      <c r="OJL139" s="422"/>
      <c r="OJM139" s="422"/>
      <c r="OJN139" s="422"/>
      <c r="OJO139" s="422"/>
      <c r="OJP139" s="422"/>
      <c r="OJQ139" s="422"/>
      <c r="OJR139" s="422"/>
      <c r="OJS139" s="422"/>
      <c r="OJT139" s="422"/>
      <c r="OJU139" s="422"/>
      <c r="OJV139" s="422"/>
      <c r="OJW139" s="422"/>
      <c r="OJX139" s="422"/>
      <c r="OJY139" s="422"/>
      <c r="OJZ139" s="422"/>
      <c r="OKA139" s="422"/>
      <c r="OKB139" s="422"/>
      <c r="OKC139" s="422"/>
      <c r="OKD139" s="422"/>
      <c r="OKE139" s="422"/>
      <c r="OKF139" s="422"/>
      <c r="OKG139" s="422"/>
      <c r="OKH139" s="422"/>
      <c r="OKI139" s="422"/>
      <c r="OKJ139" s="422"/>
      <c r="OKK139" s="422"/>
      <c r="OKL139" s="422"/>
      <c r="OKM139" s="422"/>
      <c r="OKN139" s="422"/>
      <c r="OKO139" s="422"/>
      <c r="OKP139" s="422"/>
      <c r="OKQ139" s="422"/>
      <c r="OKR139" s="422"/>
      <c r="OKS139" s="422"/>
      <c r="OKT139" s="422"/>
      <c r="OKU139" s="422"/>
      <c r="OKV139" s="422"/>
      <c r="OKW139" s="422"/>
      <c r="OKX139" s="422"/>
      <c r="OKY139" s="422"/>
      <c r="OKZ139" s="422"/>
      <c r="OLA139" s="422"/>
      <c r="OLB139" s="422"/>
      <c r="OLC139" s="422"/>
      <c r="OLD139" s="422"/>
      <c r="OLE139" s="422"/>
      <c r="OLF139" s="422"/>
      <c r="OLG139" s="422"/>
      <c r="OLH139" s="422"/>
      <c r="OLI139" s="422"/>
      <c r="OLJ139" s="422"/>
      <c r="OLK139" s="422"/>
      <c r="OLL139" s="422"/>
      <c r="OLM139" s="422"/>
      <c r="OLN139" s="422"/>
      <c r="OLO139" s="422"/>
      <c r="OLP139" s="422"/>
      <c r="OLQ139" s="422"/>
      <c r="OLR139" s="422"/>
      <c r="OLS139" s="422"/>
      <c r="OLT139" s="422"/>
      <c r="OLU139" s="422"/>
      <c r="OLV139" s="422"/>
      <c r="OLW139" s="422"/>
      <c r="OLX139" s="422"/>
      <c r="OLY139" s="422"/>
      <c r="OLZ139" s="422"/>
      <c r="OMA139" s="422"/>
      <c r="OMB139" s="422"/>
      <c r="OMC139" s="422"/>
      <c r="OMD139" s="422"/>
      <c r="OME139" s="422"/>
      <c r="OMF139" s="422"/>
      <c r="OMG139" s="422"/>
      <c r="OMH139" s="422"/>
      <c r="OMI139" s="422"/>
      <c r="OMJ139" s="422"/>
      <c r="OMK139" s="422"/>
      <c r="OML139" s="422"/>
      <c r="OMM139" s="422"/>
      <c r="OMN139" s="422"/>
      <c r="OMO139" s="422"/>
      <c r="OMP139" s="422"/>
      <c r="OMQ139" s="422"/>
      <c r="OMR139" s="422"/>
      <c r="OMS139" s="422"/>
      <c r="OMT139" s="422"/>
      <c r="OMU139" s="422"/>
      <c r="OMV139" s="422"/>
      <c r="OMW139" s="422"/>
      <c r="OMX139" s="422"/>
      <c r="OMY139" s="422"/>
      <c r="OMZ139" s="422"/>
      <c r="ONA139" s="422"/>
      <c r="ONB139" s="422"/>
      <c r="ONC139" s="422"/>
      <c r="OND139" s="422"/>
      <c r="ONE139" s="422"/>
      <c r="ONF139" s="422"/>
      <c r="ONG139" s="422"/>
      <c r="ONH139" s="422"/>
      <c r="ONI139" s="422"/>
      <c r="ONJ139" s="422"/>
      <c r="ONK139" s="422"/>
      <c r="ONL139" s="422"/>
      <c r="ONM139" s="422"/>
      <c r="ONN139" s="422"/>
      <c r="ONO139" s="422"/>
      <c r="ONP139" s="422"/>
      <c r="ONQ139" s="422"/>
      <c r="ONR139" s="422"/>
      <c r="ONS139" s="422"/>
      <c r="ONT139" s="422"/>
      <c r="ONU139" s="422"/>
      <c r="ONV139" s="422"/>
      <c r="ONW139" s="422"/>
      <c r="ONX139" s="422"/>
      <c r="ONY139" s="422"/>
      <c r="ONZ139" s="422"/>
      <c r="OOA139" s="422"/>
      <c r="OOB139" s="422"/>
      <c r="OOC139" s="422"/>
      <c r="OOD139" s="422"/>
      <c r="OOE139" s="422"/>
      <c r="OOF139" s="422"/>
      <c r="OOG139" s="422"/>
      <c r="OOH139" s="422"/>
      <c r="OOI139" s="422"/>
      <c r="OOJ139" s="422"/>
      <c r="OOK139" s="422"/>
      <c r="OOL139" s="422"/>
      <c r="OOM139" s="422"/>
      <c r="OON139" s="422"/>
      <c r="OOO139" s="422"/>
      <c r="OOP139" s="422"/>
      <c r="OOQ139" s="422"/>
      <c r="OOR139" s="422"/>
      <c r="OOS139" s="422"/>
      <c r="OOT139" s="422"/>
      <c r="OOU139" s="422"/>
      <c r="OOV139" s="422"/>
      <c r="OOW139" s="422"/>
      <c r="OOX139" s="422"/>
      <c r="OOY139" s="422"/>
      <c r="OOZ139" s="422"/>
      <c r="OPA139" s="422"/>
      <c r="OPB139" s="422"/>
      <c r="OPC139" s="422"/>
      <c r="OPD139" s="422"/>
      <c r="OPE139" s="422"/>
      <c r="OPF139" s="422"/>
      <c r="OPG139" s="422"/>
      <c r="OPH139" s="422"/>
      <c r="OPI139" s="422"/>
      <c r="OPJ139" s="422"/>
      <c r="OPK139" s="422"/>
      <c r="OPL139" s="422"/>
      <c r="OPM139" s="422"/>
      <c r="OPN139" s="422"/>
      <c r="OPO139" s="422"/>
      <c r="OPP139" s="422"/>
      <c r="OPQ139" s="422"/>
      <c r="OPR139" s="422"/>
      <c r="OPS139" s="422"/>
      <c r="OPT139" s="422"/>
      <c r="OPU139" s="422"/>
      <c r="OPV139" s="422"/>
      <c r="OPW139" s="422"/>
      <c r="OPX139" s="422"/>
      <c r="OPY139" s="422"/>
      <c r="OPZ139" s="422"/>
      <c r="OQA139" s="422"/>
      <c r="OQB139" s="422"/>
      <c r="OQC139" s="422"/>
      <c r="OQD139" s="422"/>
      <c r="OQE139" s="422"/>
      <c r="OQF139" s="422"/>
      <c r="OQG139" s="422"/>
      <c r="OQH139" s="422"/>
      <c r="OQI139" s="422"/>
      <c r="OQJ139" s="422"/>
      <c r="OQK139" s="422"/>
      <c r="OQL139" s="422"/>
      <c r="OQM139" s="422"/>
      <c r="OQN139" s="422"/>
      <c r="OQO139" s="422"/>
      <c r="OQP139" s="422"/>
      <c r="OQQ139" s="422"/>
      <c r="OQR139" s="422"/>
      <c r="OQS139" s="422"/>
      <c r="OQT139" s="422"/>
      <c r="OQU139" s="422"/>
      <c r="OQV139" s="422"/>
      <c r="OQW139" s="422"/>
      <c r="OQX139" s="422"/>
      <c r="OQY139" s="422"/>
      <c r="OQZ139" s="422"/>
      <c r="ORA139" s="422"/>
      <c r="ORB139" s="422"/>
      <c r="ORC139" s="422"/>
      <c r="ORD139" s="422"/>
      <c r="ORE139" s="422"/>
      <c r="ORF139" s="422"/>
      <c r="ORG139" s="422"/>
      <c r="ORH139" s="422"/>
      <c r="ORI139" s="422"/>
      <c r="ORJ139" s="422"/>
      <c r="ORK139" s="422"/>
      <c r="ORL139" s="422"/>
      <c r="ORM139" s="422"/>
      <c r="ORN139" s="422"/>
      <c r="ORO139" s="422"/>
      <c r="ORP139" s="422"/>
      <c r="ORQ139" s="422"/>
      <c r="ORR139" s="422"/>
      <c r="ORS139" s="422"/>
      <c r="ORT139" s="422"/>
      <c r="ORU139" s="422"/>
      <c r="ORV139" s="422"/>
      <c r="ORW139" s="422"/>
      <c r="ORX139" s="422"/>
      <c r="ORY139" s="422"/>
      <c r="ORZ139" s="422"/>
      <c r="OSA139" s="422"/>
      <c r="OSB139" s="422"/>
      <c r="OSC139" s="422"/>
      <c r="OSD139" s="422"/>
      <c r="OSE139" s="422"/>
      <c r="OSF139" s="422"/>
      <c r="OSG139" s="422"/>
      <c r="OSH139" s="422"/>
      <c r="OSI139" s="422"/>
      <c r="OSJ139" s="422"/>
      <c r="OSK139" s="422"/>
      <c r="OSL139" s="422"/>
      <c r="OSM139" s="422"/>
      <c r="OSN139" s="422"/>
      <c r="OSO139" s="422"/>
      <c r="OSP139" s="422"/>
      <c r="OSQ139" s="422"/>
      <c r="OSR139" s="422"/>
      <c r="OSS139" s="422"/>
      <c r="OST139" s="422"/>
      <c r="OSU139" s="422"/>
      <c r="OSV139" s="422"/>
      <c r="OSW139" s="422"/>
      <c r="OSX139" s="422"/>
      <c r="OSY139" s="422"/>
      <c r="OSZ139" s="422"/>
      <c r="OTA139" s="422"/>
      <c r="OTB139" s="422"/>
      <c r="OTC139" s="422"/>
      <c r="OTD139" s="422"/>
      <c r="OTE139" s="422"/>
      <c r="OTF139" s="422"/>
      <c r="OTG139" s="422"/>
      <c r="OTH139" s="422"/>
      <c r="OTI139" s="422"/>
      <c r="OTJ139" s="422"/>
      <c r="OTK139" s="422"/>
      <c r="OTL139" s="422"/>
      <c r="OTM139" s="422"/>
      <c r="OTN139" s="422"/>
      <c r="OTO139" s="422"/>
      <c r="OTP139" s="422"/>
      <c r="OTQ139" s="422"/>
      <c r="OTR139" s="422"/>
      <c r="OTS139" s="422"/>
      <c r="OTT139" s="422"/>
      <c r="OTU139" s="422"/>
      <c r="OTV139" s="422"/>
      <c r="OTW139" s="422"/>
      <c r="OTX139" s="422"/>
      <c r="OTY139" s="422"/>
      <c r="OTZ139" s="422"/>
      <c r="OUA139" s="422"/>
      <c r="OUB139" s="422"/>
      <c r="OUC139" s="422"/>
      <c r="OUD139" s="422"/>
      <c r="OUE139" s="422"/>
      <c r="OUF139" s="422"/>
      <c r="OUG139" s="422"/>
      <c r="OUH139" s="422"/>
      <c r="OUI139" s="422"/>
      <c r="OUJ139" s="422"/>
      <c r="OUK139" s="422"/>
      <c r="OUL139" s="422"/>
      <c r="OUM139" s="422"/>
      <c r="OUN139" s="422"/>
      <c r="OUO139" s="422"/>
      <c r="OUP139" s="422"/>
      <c r="OUQ139" s="422"/>
      <c r="OUR139" s="422"/>
      <c r="OUS139" s="422"/>
      <c r="OUT139" s="422"/>
      <c r="OUU139" s="422"/>
      <c r="OUV139" s="422"/>
      <c r="OUW139" s="422"/>
      <c r="OUX139" s="422"/>
      <c r="OUY139" s="422"/>
      <c r="OUZ139" s="422"/>
      <c r="OVA139" s="422"/>
      <c r="OVB139" s="422"/>
      <c r="OVC139" s="422"/>
      <c r="OVD139" s="422"/>
      <c r="OVE139" s="422"/>
      <c r="OVF139" s="422"/>
      <c r="OVG139" s="422"/>
      <c r="OVH139" s="422"/>
      <c r="OVI139" s="422"/>
      <c r="OVJ139" s="422"/>
      <c r="OVK139" s="422"/>
      <c r="OVL139" s="422"/>
      <c r="OVM139" s="422"/>
      <c r="OVN139" s="422"/>
      <c r="OVO139" s="422"/>
      <c r="OVP139" s="422"/>
      <c r="OVQ139" s="422"/>
      <c r="OVR139" s="422"/>
      <c r="OVS139" s="422"/>
      <c r="OVT139" s="422"/>
      <c r="OVU139" s="422"/>
      <c r="OVV139" s="422"/>
      <c r="OVW139" s="422"/>
      <c r="OVX139" s="422"/>
      <c r="OVY139" s="422"/>
      <c r="OVZ139" s="422"/>
      <c r="OWA139" s="422"/>
      <c r="OWB139" s="422"/>
      <c r="OWC139" s="422"/>
      <c r="OWD139" s="422"/>
      <c r="OWE139" s="422"/>
      <c r="OWF139" s="422"/>
      <c r="OWG139" s="422"/>
      <c r="OWH139" s="422"/>
      <c r="OWI139" s="422"/>
      <c r="OWJ139" s="422"/>
      <c r="OWK139" s="422"/>
      <c r="OWL139" s="422"/>
      <c r="OWM139" s="422"/>
      <c r="OWN139" s="422"/>
      <c r="OWO139" s="422"/>
      <c r="OWP139" s="422"/>
      <c r="OWQ139" s="422"/>
      <c r="OWR139" s="422"/>
      <c r="OWS139" s="422"/>
      <c r="OWT139" s="422"/>
      <c r="OWU139" s="422"/>
      <c r="OWV139" s="422"/>
      <c r="OWW139" s="422"/>
      <c r="OWX139" s="422"/>
      <c r="OWY139" s="422"/>
      <c r="OWZ139" s="422"/>
      <c r="OXA139" s="422"/>
      <c r="OXB139" s="422"/>
      <c r="OXC139" s="422"/>
      <c r="OXD139" s="422"/>
      <c r="OXE139" s="422"/>
      <c r="OXF139" s="422"/>
      <c r="OXG139" s="422"/>
      <c r="OXH139" s="422"/>
      <c r="OXI139" s="422"/>
      <c r="OXJ139" s="422"/>
      <c r="OXK139" s="422"/>
      <c r="OXL139" s="422"/>
      <c r="OXM139" s="422"/>
      <c r="OXN139" s="422"/>
      <c r="OXO139" s="422"/>
      <c r="OXP139" s="422"/>
      <c r="OXQ139" s="422"/>
      <c r="OXR139" s="422"/>
      <c r="OXS139" s="422"/>
      <c r="OXT139" s="422"/>
      <c r="OXU139" s="422"/>
      <c r="OXV139" s="422"/>
      <c r="OXW139" s="422"/>
      <c r="OXX139" s="422"/>
      <c r="OXY139" s="422"/>
      <c r="OXZ139" s="422"/>
      <c r="OYA139" s="422"/>
      <c r="OYB139" s="422"/>
      <c r="OYC139" s="422"/>
      <c r="OYD139" s="422"/>
      <c r="OYE139" s="422"/>
      <c r="OYF139" s="422"/>
      <c r="OYG139" s="422"/>
      <c r="OYH139" s="422"/>
      <c r="OYI139" s="422"/>
      <c r="OYJ139" s="422"/>
      <c r="OYK139" s="422"/>
      <c r="OYL139" s="422"/>
      <c r="OYM139" s="422"/>
      <c r="OYN139" s="422"/>
      <c r="OYO139" s="422"/>
      <c r="OYP139" s="422"/>
      <c r="OYQ139" s="422"/>
      <c r="OYR139" s="422"/>
      <c r="OYS139" s="422"/>
      <c r="OYT139" s="422"/>
      <c r="OYU139" s="422"/>
      <c r="OYV139" s="422"/>
      <c r="OYW139" s="422"/>
      <c r="OYX139" s="422"/>
      <c r="OYY139" s="422"/>
      <c r="OYZ139" s="422"/>
      <c r="OZA139" s="422"/>
      <c r="OZB139" s="422"/>
      <c r="OZC139" s="422"/>
      <c r="OZD139" s="422"/>
      <c r="OZE139" s="422"/>
      <c r="OZF139" s="422"/>
      <c r="OZG139" s="422"/>
      <c r="OZH139" s="422"/>
      <c r="OZI139" s="422"/>
      <c r="OZJ139" s="422"/>
      <c r="OZK139" s="422"/>
      <c r="OZL139" s="422"/>
      <c r="OZM139" s="422"/>
      <c r="OZN139" s="422"/>
      <c r="OZO139" s="422"/>
      <c r="OZP139" s="422"/>
      <c r="OZQ139" s="422"/>
      <c r="OZR139" s="422"/>
      <c r="OZS139" s="422"/>
      <c r="OZT139" s="422"/>
      <c r="OZU139" s="422"/>
      <c r="OZV139" s="422"/>
      <c r="OZW139" s="422"/>
      <c r="OZX139" s="422"/>
      <c r="OZY139" s="422"/>
      <c r="OZZ139" s="422"/>
      <c r="PAA139" s="422"/>
      <c r="PAB139" s="422"/>
      <c r="PAC139" s="422"/>
      <c r="PAD139" s="422"/>
      <c r="PAE139" s="422"/>
      <c r="PAF139" s="422"/>
      <c r="PAG139" s="422"/>
      <c r="PAH139" s="422"/>
      <c r="PAI139" s="422"/>
      <c r="PAJ139" s="422"/>
      <c r="PAK139" s="422"/>
      <c r="PAL139" s="422"/>
      <c r="PAM139" s="422"/>
      <c r="PAN139" s="422"/>
      <c r="PAO139" s="422"/>
      <c r="PAP139" s="422"/>
      <c r="PAQ139" s="422"/>
      <c r="PAR139" s="422"/>
      <c r="PAS139" s="422"/>
      <c r="PAT139" s="422"/>
      <c r="PAU139" s="422"/>
      <c r="PAV139" s="422"/>
      <c r="PAW139" s="422"/>
      <c r="PAX139" s="422"/>
      <c r="PAY139" s="422"/>
      <c r="PAZ139" s="422"/>
      <c r="PBA139" s="422"/>
      <c r="PBB139" s="422"/>
      <c r="PBC139" s="422"/>
      <c r="PBD139" s="422"/>
      <c r="PBE139" s="422"/>
      <c r="PBF139" s="422"/>
      <c r="PBG139" s="422"/>
      <c r="PBH139" s="422"/>
      <c r="PBI139" s="422"/>
      <c r="PBJ139" s="422"/>
      <c r="PBK139" s="422"/>
      <c r="PBL139" s="422"/>
      <c r="PBM139" s="422"/>
      <c r="PBN139" s="422"/>
      <c r="PBO139" s="422"/>
      <c r="PBP139" s="422"/>
      <c r="PBQ139" s="422"/>
      <c r="PBR139" s="422"/>
      <c r="PBS139" s="422"/>
      <c r="PBT139" s="422"/>
      <c r="PBU139" s="422"/>
      <c r="PBV139" s="422"/>
      <c r="PBW139" s="422"/>
      <c r="PBX139" s="422"/>
      <c r="PBY139" s="422"/>
      <c r="PBZ139" s="422"/>
      <c r="PCA139" s="422"/>
      <c r="PCB139" s="422"/>
      <c r="PCC139" s="422"/>
      <c r="PCD139" s="422"/>
      <c r="PCE139" s="422"/>
      <c r="PCF139" s="422"/>
      <c r="PCG139" s="422"/>
      <c r="PCH139" s="422"/>
      <c r="PCI139" s="422"/>
      <c r="PCJ139" s="422"/>
      <c r="PCK139" s="422"/>
      <c r="PCL139" s="422"/>
      <c r="PCM139" s="422"/>
      <c r="PCN139" s="422"/>
      <c r="PCO139" s="422"/>
      <c r="PCP139" s="422"/>
      <c r="PCQ139" s="422"/>
      <c r="PCR139" s="422"/>
      <c r="PCS139" s="422"/>
      <c r="PCT139" s="422"/>
      <c r="PCU139" s="422"/>
      <c r="PCV139" s="422"/>
      <c r="PCW139" s="422"/>
      <c r="PCX139" s="422"/>
      <c r="PCY139" s="422"/>
      <c r="PCZ139" s="422"/>
      <c r="PDA139" s="422"/>
      <c r="PDB139" s="422"/>
      <c r="PDC139" s="422"/>
      <c r="PDD139" s="422"/>
      <c r="PDE139" s="422"/>
      <c r="PDF139" s="422"/>
      <c r="PDG139" s="422"/>
      <c r="PDH139" s="422"/>
      <c r="PDI139" s="422"/>
      <c r="PDJ139" s="422"/>
      <c r="PDK139" s="422"/>
      <c r="PDL139" s="422"/>
      <c r="PDM139" s="422"/>
      <c r="PDN139" s="422"/>
      <c r="PDO139" s="422"/>
      <c r="PDP139" s="422"/>
      <c r="PDQ139" s="422"/>
      <c r="PDR139" s="422"/>
      <c r="PDS139" s="422"/>
      <c r="PDT139" s="422"/>
      <c r="PDU139" s="422"/>
      <c r="PDV139" s="422"/>
      <c r="PDW139" s="422"/>
      <c r="PDX139" s="422"/>
      <c r="PDY139" s="422"/>
      <c r="PDZ139" s="422"/>
      <c r="PEA139" s="422"/>
      <c r="PEB139" s="422"/>
      <c r="PEC139" s="422"/>
      <c r="PED139" s="422"/>
      <c r="PEE139" s="422"/>
      <c r="PEF139" s="422"/>
      <c r="PEG139" s="422"/>
      <c r="PEH139" s="422"/>
      <c r="PEI139" s="422"/>
      <c r="PEJ139" s="422"/>
      <c r="PEK139" s="422"/>
      <c r="PEL139" s="422"/>
      <c r="PEM139" s="422"/>
      <c r="PEN139" s="422"/>
      <c r="PEO139" s="422"/>
      <c r="PEP139" s="422"/>
      <c r="PEQ139" s="422"/>
      <c r="PER139" s="422"/>
      <c r="PES139" s="422"/>
      <c r="PET139" s="422"/>
      <c r="PEU139" s="422"/>
      <c r="PEV139" s="422"/>
      <c r="PEW139" s="422"/>
      <c r="PEX139" s="422"/>
      <c r="PEY139" s="422"/>
      <c r="PEZ139" s="422"/>
      <c r="PFA139" s="422"/>
      <c r="PFB139" s="422"/>
      <c r="PFC139" s="422"/>
      <c r="PFD139" s="422"/>
      <c r="PFE139" s="422"/>
      <c r="PFF139" s="422"/>
      <c r="PFG139" s="422"/>
      <c r="PFH139" s="422"/>
      <c r="PFI139" s="422"/>
      <c r="PFJ139" s="422"/>
      <c r="PFK139" s="422"/>
      <c r="PFL139" s="422"/>
      <c r="PFM139" s="422"/>
      <c r="PFN139" s="422"/>
      <c r="PFO139" s="422"/>
      <c r="PFP139" s="422"/>
      <c r="PFQ139" s="422"/>
      <c r="PFR139" s="422"/>
      <c r="PFS139" s="422"/>
      <c r="PFT139" s="422"/>
      <c r="PFU139" s="422"/>
      <c r="PFV139" s="422"/>
      <c r="PFW139" s="422"/>
      <c r="PFX139" s="422"/>
      <c r="PFY139" s="422"/>
      <c r="PFZ139" s="422"/>
      <c r="PGA139" s="422"/>
      <c r="PGB139" s="422"/>
      <c r="PGC139" s="422"/>
      <c r="PGD139" s="422"/>
      <c r="PGE139" s="422"/>
      <c r="PGF139" s="422"/>
      <c r="PGG139" s="422"/>
      <c r="PGH139" s="422"/>
      <c r="PGI139" s="422"/>
      <c r="PGJ139" s="422"/>
      <c r="PGK139" s="422"/>
      <c r="PGL139" s="422"/>
      <c r="PGM139" s="422"/>
      <c r="PGN139" s="422"/>
      <c r="PGO139" s="422"/>
      <c r="PGP139" s="422"/>
      <c r="PGQ139" s="422"/>
      <c r="PGR139" s="422"/>
      <c r="PGS139" s="422"/>
      <c r="PGT139" s="422"/>
      <c r="PGU139" s="422"/>
      <c r="PGV139" s="422"/>
      <c r="PGW139" s="422"/>
      <c r="PGX139" s="422"/>
      <c r="PGY139" s="422"/>
      <c r="PGZ139" s="422"/>
      <c r="PHA139" s="422"/>
      <c r="PHB139" s="422"/>
      <c r="PHC139" s="422"/>
      <c r="PHD139" s="422"/>
      <c r="PHE139" s="422"/>
      <c r="PHF139" s="422"/>
      <c r="PHG139" s="422"/>
      <c r="PHH139" s="422"/>
      <c r="PHI139" s="422"/>
      <c r="PHJ139" s="422"/>
      <c r="PHK139" s="422"/>
      <c r="PHL139" s="422"/>
      <c r="PHM139" s="422"/>
      <c r="PHN139" s="422"/>
      <c r="PHO139" s="422"/>
      <c r="PHP139" s="422"/>
      <c r="PHQ139" s="422"/>
      <c r="PHR139" s="422"/>
      <c r="PHS139" s="422"/>
      <c r="PHT139" s="422"/>
      <c r="PHU139" s="422"/>
      <c r="PHV139" s="422"/>
      <c r="PHW139" s="422"/>
      <c r="PHX139" s="422"/>
      <c r="PHY139" s="422"/>
      <c r="PHZ139" s="422"/>
      <c r="PIA139" s="422"/>
      <c r="PIB139" s="422"/>
      <c r="PIC139" s="422"/>
      <c r="PID139" s="422"/>
      <c r="PIE139" s="422"/>
      <c r="PIF139" s="422"/>
      <c r="PIG139" s="422"/>
      <c r="PIH139" s="422"/>
      <c r="PII139" s="422"/>
      <c r="PIJ139" s="422"/>
      <c r="PIK139" s="422"/>
      <c r="PIL139" s="422"/>
      <c r="PIM139" s="422"/>
      <c r="PIN139" s="422"/>
      <c r="PIO139" s="422"/>
      <c r="PIP139" s="422"/>
      <c r="PIQ139" s="422"/>
      <c r="PIR139" s="422"/>
      <c r="PIS139" s="422"/>
      <c r="PIT139" s="422"/>
      <c r="PIU139" s="422"/>
      <c r="PIV139" s="422"/>
      <c r="PIW139" s="422"/>
      <c r="PIX139" s="422"/>
      <c r="PIY139" s="422"/>
      <c r="PIZ139" s="422"/>
      <c r="PJA139" s="422"/>
      <c r="PJB139" s="422"/>
      <c r="PJC139" s="422"/>
      <c r="PJD139" s="422"/>
      <c r="PJE139" s="422"/>
      <c r="PJF139" s="422"/>
      <c r="PJG139" s="422"/>
      <c r="PJH139" s="422"/>
      <c r="PJI139" s="422"/>
      <c r="PJJ139" s="422"/>
      <c r="PJK139" s="422"/>
      <c r="PJL139" s="422"/>
      <c r="PJM139" s="422"/>
      <c r="PJN139" s="422"/>
      <c r="PJO139" s="422"/>
      <c r="PJP139" s="422"/>
      <c r="PJQ139" s="422"/>
      <c r="PJR139" s="422"/>
      <c r="PJS139" s="422"/>
      <c r="PJT139" s="422"/>
      <c r="PJU139" s="422"/>
      <c r="PJV139" s="422"/>
      <c r="PJW139" s="422"/>
      <c r="PJX139" s="422"/>
      <c r="PJY139" s="422"/>
      <c r="PJZ139" s="422"/>
      <c r="PKA139" s="422"/>
      <c r="PKB139" s="422"/>
      <c r="PKC139" s="422"/>
      <c r="PKD139" s="422"/>
      <c r="PKE139" s="422"/>
      <c r="PKF139" s="422"/>
      <c r="PKG139" s="422"/>
      <c r="PKH139" s="422"/>
      <c r="PKI139" s="422"/>
      <c r="PKJ139" s="422"/>
      <c r="PKK139" s="422"/>
      <c r="PKL139" s="422"/>
      <c r="PKM139" s="422"/>
      <c r="PKN139" s="422"/>
      <c r="PKO139" s="422"/>
      <c r="PKP139" s="422"/>
      <c r="PKQ139" s="422"/>
      <c r="PKR139" s="422"/>
      <c r="PKS139" s="422"/>
      <c r="PKT139" s="422"/>
      <c r="PKU139" s="422"/>
      <c r="PKV139" s="422"/>
      <c r="PKW139" s="422"/>
      <c r="PKX139" s="422"/>
      <c r="PKY139" s="422"/>
      <c r="PKZ139" s="422"/>
      <c r="PLA139" s="422"/>
      <c r="PLB139" s="422"/>
      <c r="PLC139" s="422"/>
      <c r="PLD139" s="422"/>
      <c r="PLE139" s="422"/>
      <c r="PLF139" s="422"/>
      <c r="PLG139" s="422"/>
      <c r="PLH139" s="422"/>
      <c r="PLI139" s="422"/>
      <c r="PLJ139" s="422"/>
      <c r="PLK139" s="422"/>
      <c r="PLL139" s="422"/>
      <c r="PLM139" s="422"/>
      <c r="PLN139" s="422"/>
      <c r="PLO139" s="422"/>
      <c r="PLP139" s="422"/>
      <c r="PLQ139" s="422"/>
      <c r="PLR139" s="422"/>
      <c r="PLS139" s="422"/>
      <c r="PLT139" s="422"/>
      <c r="PLU139" s="422"/>
      <c r="PLV139" s="422"/>
      <c r="PLW139" s="422"/>
      <c r="PLX139" s="422"/>
      <c r="PLY139" s="422"/>
      <c r="PLZ139" s="422"/>
      <c r="PMA139" s="422"/>
      <c r="PMB139" s="422"/>
      <c r="PMC139" s="422"/>
      <c r="PMD139" s="422"/>
      <c r="PME139" s="422"/>
      <c r="PMF139" s="422"/>
      <c r="PMG139" s="422"/>
      <c r="PMH139" s="422"/>
      <c r="PMI139" s="422"/>
      <c r="PMJ139" s="422"/>
      <c r="PMK139" s="422"/>
      <c r="PML139" s="422"/>
      <c r="PMM139" s="422"/>
      <c r="PMN139" s="422"/>
      <c r="PMO139" s="422"/>
      <c r="PMP139" s="422"/>
      <c r="PMQ139" s="422"/>
      <c r="PMR139" s="422"/>
      <c r="PMS139" s="422"/>
      <c r="PMT139" s="422"/>
      <c r="PMU139" s="422"/>
      <c r="PMV139" s="422"/>
      <c r="PMW139" s="422"/>
      <c r="PMX139" s="422"/>
      <c r="PMY139" s="422"/>
      <c r="PMZ139" s="422"/>
      <c r="PNA139" s="422"/>
      <c r="PNB139" s="422"/>
      <c r="PNC139" s="422"/>
      <c r="PND139" s="422"/>
      <c r="PNE139" s="422"/>
      <c r="PNF139" s="422"/>
      <c r="PNG139" s="422"/>
      <c r="PNH139" s="422"/>
      <c r="PNI139" s="422"/>
      <c r="PNJ139" s="422"/>
      <c r="PNK139" s="422"/>
      <c r="PNL139" s="422"/>
      <c r="PNM139" s="422"/>
      <c r="PNN139" s="422"/>
      <c r="PNO139" s="422"/>
      <c r="PNP139" s="422"/>
      <c r="PNQ139" s="422"/>
      <c r="PNR139" s="422"/>
      <c r="PNS139" s="422"/>
      <c r="PNT139" s="422"/>
      <c r="PNU139" s="422"/>
      <c r="PNV139" s="422"/>
      <c r="PNW139" s="422"/>
      <c r="PNX139" s="422"/>
      <c r="PNY139" s="422"/>
      <c r="PNZ139" s="422"/>
      <c r="POA139" s="422"/>
      <c r="POB139" s="422"/>
      <c r="POC139" s="422"/>
      <c r="POD139" s="422"/>
      <c r="POE139" s="422"/>
      <c r="POF139" s="422"/>
      <c r="POG139" s="422"/>
      <c r="POH139" s="422"/>
      <c r="POI139" s="422"/>
      <c r="POJ139" s="422"/>
      <c r="POK139" s="422"/>
      <c r="POL139" s="422"/>
      <c r="POM139" s="422"/>
      <c r="PON139" s="422"/>
      <c r="POO139" s="422"/>
      <c r="POP139" s="422"/>
      <c r="POQ139" s="422"/>
      <c r="POR139" s="422"/>
      <c r="POS139" s="422"/>
      <c r="POT139" s="422"/>
      <c r="POU139" s="422"/>
      <c r="POV139" s="422"/>
      <c r="POW139" s="422"/>
      <c r="POX139" s="422"/>
      <c r="POY139" s="422"/>
      <c r="POZ139" s="422"/>
      <c r="PPA139" s="422"/>
      <c r="PPB139" s="422"/>
      <c r="PPC139" s="422"/>
      <c r="PPD139" s="422"/>
      <c r="PPE139" s="422"/>
      <c r="PPF139" s="422"/>
      <c r="PPG139" s="422"/>
      <c r="PPH139" s="422"/>
      <c r="PPI139" s="422"/>
      <c r="PPJ139" s="422"/>
      <c r="PPK139" s="422"/>
      <c r="PPL139" s="422"/>
      <c r="PPM139" s="422"/>
      <c r="PPN139" s="422"/>
      <c r="PPO139" s="422"/>
      <c r="PPP139" s="422"/>
      <c r="PPQ139" s="422"/>
      <c r="PPR139" s="422"/>
      <c r="PPS139" s="422"/>
      <c r="PPT139" s="422"/>
      <c r="PPU139" s="422"/>
      <c r="PPV139" s="422"/>
      <c r="PPW139" s="422"/>
      <c r="PPX139" s="422"/>
      <c r="PPY139" s="422"/>
      <c r="PPZ139" s="422"/>
      <c r="PQA139" s="422"/>
      <c r="PQB139" s="422"/>
      <c r="PQC139" s="422"/>
      <c r="PQD139" s="422"/>
      <c r="PQE139" s="422"/>
      <c r="PQF139" s="422"/>
      <c r="PQG139" s="422"/>
      <c r="PQH139" s="422"/>
      <c r="PQI139" s="422"/>
      <c r="PQJ139" s="422"/>
      <c r="PQK139" s="422"/>
      <c r="PQL139" s="422"/>
      <c r="PQM139" s="422"/>
      <c r="PQN139" s="422"/>
      <c r="PQO139" s="422"/>
      <c r="PQP139" s="422"/>
      <c r="PQQ139" s="422"/>
      <c r="PQR139" s="422"/>
      <c r="PQS139" s="422"/>
      <c r="PQT139" s="422"/>
      <c r="PQU139" s="422"/>
      <c r="PQV139" s="422"/>
      <c r="PQW139" s="422"/>
      <c r="PQX139" s="422"/>
      <c r="PQY139" s="422"/>
      <c r="PQZ139" s="422"/>
      <c r="PRA139" s="422"/>
      <c r="PRB139" s="422"/>
      <c r="PRC139" s="422"/>
      <c r="PRD139" s="422"/>
      <c r="PRE139" s="422"/>
      <c r="PRF139" s="422"/>
      <c r="PRG139" s="422"/>
      <c r="PRH139" s="422"/>
      <c r="PRI139" s="422"/>
      <c r="PRJ139" s="422"/>
      <c r="PRK139" s="422"/>
      <c r="PRL139" s="422"/>
      <c r="PRM139" s="422"/>
      <c r="PRN139" s="422"/>
      <c r="PRO139" s="422"/>
      <c r="PRP139" s="422"/>
      <c r="PRQ139" s="422"/>
      <c r="PRR139" s="422"/>
      <c r="PRS139" s="422"/>
      <c r="PRT139" s="422"/>
      <c r="PRU139" s="422"/>
      <c r="PRV139" s="422"/>
      <c r="PRW139" s="422"/>
      <c r="PRX139" s="422"/>
      <c r="PRY139" s="422"/>
      <c r="PRZ139" s="422"/>
      <c r="PSA139" s="422"/>
      <c r="PSB139" s="422"/>
      <c r="PSC139" s="422"/>
      <c r="PSD139" s="422"/>
      <c r="PSE139" s="422"/>
      <c r="PSF139" s="422"/>
      <c r="PSG139" s="422"/>
      <c r="PSH139" s="422"/>
      <c r="PSI139" s="422"/>
      <c r="PSJ139" s="422"/>
      <c r="PSK139" s="422"/>
      <c r="PSL139" s="422"/>
      <c r="PSM139" s="422"/>
      <c r="PSN139" s="422"/>
      <c r="PSO139" s="422"/>
      <c r="PSP139" s="422"/>
      <c r="PSQ139" s="422"/>
      <c r="PSR139" s="422"/>
      <c r="PSS139" s="422"/>
      <c r="PST139" s="422"/>
      <c r="PSU139" s="422"/>
      <c r="PSV139" s="422"/>
      <c r="PSW139" s="422"/>
      <c r="PSX139" s="422"/>
      <c r="PSY139" s="422"/>
      <c r="PSZ139" s="422"/>
      <c r="PTA139" s="422"/>
      <c r="PTB139" s="422"/>
      <c r="PTC139" s="422"/>
      <c r="PTD139" s="422"/>
      <c r="PTE139" s="422"/>
      <c r="PTF139" s="422"/>
      <c r="PTG139" s="422"/>
      <c r="PTH139" s="422"/>
      <c r="PTI139" s="422"/>
      <c r="PTJ139" s="422"/>
      <c r="PTK139" s="422"/>
      <c r="PTL139" s="422"/>
      <c r="PTM139" s="422"/>
      <c r="PTN139" s="422"/>
      <c r="PTO139" s="422"/>
      <c r="PTP139" s="422"/>
      <c r="PTQ139" s="422"/>
      <c r="PTR139" s="422"/>
      <c r="PTS139" s="422"/>
      <c r="PTT139" s="422"/>
      <c r="PTU139" s="422"/>
      <c r="PTV139" s="422"/>
      <c r="PTW139" s="422"/>
      <c r="PTX139" s="422"/>
      <c r="PTY139" s="422"/>
      <c r="PTZ139" s="422"/>
      <c r="PUA139" s="422"/>
      <c r="PUB139" s="422"/>
      <c r="PUC139" s="422"/>
      <c r="PUD139" s="422"/>
      <c r="PUE139" s="422"/>
      <c r="PUF139" s="422"/>
      <c r="PUG139" s="422"/>
      <c r="PUH139" s="422"/>
      <c r="PUI139" s="422"/>
      <c r="PUJ139" s="422"/>
      <c r="PUK139" s="422"/>
      <c r="PUL139" s="422"/>
      <c r="PUM139" s="422"/>
      <c r="PUN139" s="422"/>
      <c r="PUO139" s="422"/>
      <c r="PUP139" s="422"/>
      <c r="PUQ139" s="422"/>
      <c r="PUR139" s="422"/>
      <c r="PUS139" s="422"/>
      <c r="PUT139" s="422"/>
      <c r="PUU139" s="422"/>
      <c r="PUV139" s="422"/>
      <c r="PUW139" s="422"/>
      <c r="PUX139" s="422"/>
      <c r="PUY139" s="422"/>
      <c r="PUZ139" s="422"/>
      <c r="PVA139" s="422"/>
      <c r="PVB139" s="422"/>
      <c r="PVC139" s="422"/>
      <c r="PVD139" s="422"/>
      <c r="PVE139" s="422"/>
      <c r="PVF139" s="422"/>
      <c r="PVG139" s="422"/>
      <c r="PVH139" s="422"/>
      <c r="PVI139" s="422"/>
      <c r="PVJ139" s="422"/>
      <c r="PVK139" s="422"/>
      <c r="PVL139" s="422"/>
      <c r="PVM139" s="422"/>
      <c r="PVN139" s="422"/>
      <c r="PVO139" s="422"/>
      <c r="PVP139" s="422"/>
      <c r="PVQ139" s="422"/>
      <c r="PVR139" s="422"/>
      <c r="PVS139" s="422"/>
      <c r="PVT139" s="422"/>
      <c r="PVU139" s="422"/>
      <c r="PVV139" s="422"/>
      <c r="PVW139" s="422"/>
      <c r="PVX139" s="422"/>
      <c r="PVY139" s="422"/>
      <c r="PVZ139" s="422"/>
      <c r="PWA139" s="422"/>
      <c r="PWB139" s="422"/>
      <c r="PWC139" s="422"/>
      <c r="PWD139" s="422"/>
      <c r="PWE139" s="422"/>
      <c r="PWF139" s="422"/>
      <c r="PWG139" s="422"/>
      <c r="PWH139" s="422"/>
      <c r="PWI139" s="422"/>
      <c r="PWJ139" s="422"/>
      <c r="PWK139" s="422"/>
      <c r="PWL139" s="422"/>
      <c r="PWM139" s="422"/>
      <c r="PWN139" s="422"/>
      <c r="PWO139" s="422"/>
      <c r="PWP139" s="422"/>
      <c r="PWQ139" s="422"/>
      <c r="PWR139" s="422"/>
      <c r="PWS139" s="422"/>
      <c r="PWT139" s="422"/>
      <c r="PWU139" s="422"/>
      <c r="PWV139" s="422"/>
      <c r="PWW139" s="422"/>
      <c r="PWX139" s="422"/>
      <c r="PWY139" s="422"/>
      <c r="PWZ139" s="422"/>
      <c r="PXA139" s="422"/>
      <c r="PXB139" s="422"/>
      <c r="PXC139" s="422"/>
      <c r="PXD139" s="422"/>
      <c r="PXE139" s="422"/>
      <c r="PXF139" s="422"/>
      <c r="PXG139" s="422"/>
      <c r="PXH139" s="422"/>
      <c r="PXI139" s="422"/>
      <c r="PXJ139" s="422"/>
      <c r="PXK139" s="422"/>
      <c r="PXL139" s="422"/>
      <c r="PXM139" s="422"/>
      <c r="PXN139" s="422"/>
      <c r="PXO139" s="422"/>
      <c r="PXP139" s="422"/>
      <c r="PXQ139" s="422"/>
      <c r="PXR139" s="422"/>
      <c r="PXS139" s="422"/>
      <c r="PXT139" s="422"/>
      <c r="PXU139" s="422"/>
      <c r="PXV139" s="422"/>
      <c r="PXW139" s="422"/>
      <c r="PXX139" s="422"/>
      <c r="PXY139" s="422"/>
      <c r="PXZ139" s="422"/>
      <c r="PYA139" s="422"/>
      <c r="PYB139" s="422"/>
      <c r="PYC139" s="422"/>
      <c r="PYD139" s="422"/>
      <c r="PYE139" s="422"/>
      <c r="PYF139" s="422"/>
      <c r="PYG139" s="422"/>
      <c r="PYH139" s="422"/>
      <c r="PYI139" s="422"/>
      <c r="PYJ139" s="422"/>
      <c r="PYK139" s="422"/>
      <c r="PYL139" s="422"/>
      <c r="PYM139" s="422"/>
      <c r="PYN139" s="422"/>
      <c r="PYO139" s="422"/>
      <c r="PYP139" s="422"/>
      <c r="PYQ139" s="422"/>
      <c r="PYR139" s="422"/>
      <c r="PYS139" s="422"/>
      <c r="PYT139" s="422"/>
      <c r="PYU139" s="422"/>
      <c r="PYV139" s="422"/>
      <c r="PYW139" s="422"/>
      <c r="PYX139" s="422"/>
      <c r="PYY139" s="422"/>
      <c r="PYZ139" s="422"/>
      <c r="PZA139" s="422"/>
      <c r="PZB139" s="422"/>
      <c r="PZC139" s="422"/>
      <c r="PZD139" s="422"/>
      <c r="PZE139" s="422"/>
      <c r="PZF139" s="422"/>
      <c r="PZG139" s="422"/>
      <c r="PZH139" s="422"/>
      <c r="PZI139" s="422"/>
      <c r="PZJ139" s="422"/>
      <c r="PZK139" s="422"/>
      <c r="PZL139" s="422"/>
      <c r="PZM139" s="422"/>
      <c r="PZN139" s="422"/>
      <c r="PZO139" s="422"/>
      <c r="PZP139" s="422"/>
      <c r="PZQ139" s="422"/>
      <c r="PZR139" s="422"/>
      <c r="PZS139" s="422"/>
      <c r="PZT139" s="422"/>
      <c r="PZU139" s="422"/>
      <c r="PZV139" s="422"/>
      <c r="PZW139" s="422"/>
      <c r="PZX139" s="422"/>
      <c r="PZY139" s="422"/>
      <c r="PZZ139" s="422"/>
      <c r="QAA139" s="422"/>
      <c r="QAB139" s="422"/>
      <c r="QAC139" s="422"/>
      <c r="QAD139" s="422"/>
      <c r="QAE139" s="422"/>
      <c r="QAF139" s="422"/>
      <c r="QAG139" s="422"/>
      <c r="QAH139" s="422"/>
      <c r="QAI139" s="422"/>
      <c r="QAJ139" s="422"/>
      <c r="QAK139" s="422"/>
      <c r="QAL139" s="422"/>
      <c r="QAM139" s="422"/>
      <c r="QAN139" s="422"/>
      <c r="QAO139" s="422"/>
      <c r="QAP139" s="422"/>
      <c r="QAQ139" s="422"/>
      <c r="QAR139" s="422"/>
      <c r="QAS139" s="422"/>
      <c r="QAT139" s="422"/>
      <c r="QAU139" s="422"/>
      <c r="QAV139" s="422"/>
      <c r="QAW139" s="422"/>
      <c r="QAX139" s="422"/>
      <c r="QAY139" s="422"/>
      <c r="QAZ139" s="422"/>
      <c r="QBA139" s="422"/>
      <c r="QBB139" s="422"/>
      <c r="QBC139" s="422"/>
      <c r="QBD139" s="422"/>
      <c r="QBE139" s="422"/>
      <c r="QBF139" s="422"/>
      <c r="QBG139" s="422"/>
      <c r="QBH139" s="422"/>
      <c r="QBI139" s="422"/>
      <c r="QBJ139" s="422"/>
      <c r="QBK139" s="422"/>
      <c r="QBL139" s="422"/>
      <c r="QBM139" s="422"/>
      <c r="QBN139" s="422"/>
      <c r="QBO139" s="422"/>
      <c r="QBP139" s="422"/>
      <c r="QBQ139" s="422"/>
      <c r="QBR139" s="422"/>
      <c r="QBS139" s="422"/>
      <c r="QBT139" s="422"/>
      <c r="QBU139" s="422"/>
      <c r="QBV139" s="422"/>
      <c r="QBW139" s="422"/>
      <c r="QBX139" s="422"/>
      <c r="QBY139" s="422"/>
      <c r="QBZ139" s="422"/>
      <c r="QCA139" s="422"/>
      <c r="QCB139" s="422"/>
      <c r="QCC139" s="422"/>
      <c r="QCD139" s="422"/>
      <c r="QCE139" s="422"/>
      <c r="QCF139" s="422"/>
      <c r="QCG139" s="422"/>
      <c r="QCH139" s="422"/>
      <c r="QCI139" s="422"/>
      <c r="QCJ139" s="422"/>
      <c r="QCK139" s="422"/>
      <c r="QCL139" s="422"/>
      <c r="QCM139" s="422"/>
      <c r="QCN139" s="422"/>
      <c r="QCO139" s="422"/>
      <c r="QCP139" s="422"/>
      <c r="QCQ139" s="422"/>
      <c r="QCR139" s="422"/>
      <c r="QCS139" s="422"/>
      <c r="QCT139" s="422"/>
      <c r="QCU139" s="422"/>
      <c r="QCV139" s="422"/>
      <c r="QCW139" s="422"/>
      <c r="QCX139" s="422"/>
      <c r="QCY139" s="422"/>
      <c r="QCZ139" s="422"/>
      <c r="QDA139" s="422"/>
      <c r="QDB139" s="422"/>
      <c r="QDC139" s="422"/>
      <c r="QDD139" s="422"/>
      <c r="QDE139" s="422"/>
      <c r="QDF139" s="422"/>
      <c r="QDG139" s="422"/>
      <c r="QDH139" s="422"/>
      <c r="QDI139" s="422"/>
      <c r="QDJ139" s="422"/>
      <c r="QDK139" s="422"/>
      <c r="QDL139" s="422"/>
      <c r="QDM139" s="422"/>
      <c r="QDN139" s="422"/>
      <c r="QDO139" s="422"/>
      <c r="QDP139" s="422"/>
      <c r="QDQ139" s="422"/>
      <c r="QDR139" s="422"/>
      <c r="QDS139" s="422"/>
      <c r="QDT139" s="422"/>
      <c r="QDU139" s="422"/>
      <c r="QDV139" s="422"/>
      <c r="QDW139" s="422"/>
      <c r="QDX139" s="422"/>
      <c r="QDY139" s="422"/>
      <c r="QDZ139" s="422"/>
      <c r="QEA139" s="422"/>
      <c r="QEB139" s="422"/>
      <c r="QEC139" s="422"/>
      <c r="QED139" s="422"/>
      <c r="QEE139" s="422"/>
      <c r="QEF139" s="422"/>
      <c r="QEG139" s="422"/>
      <c r="QEH139" s="422"/>
      <c r="QEI139" s="422"/>
      <c r="QEJ139" s="422"/>
      <c r="QEK139" s="422"/>
      <c r="QEL139" s="422"/>
      <c r="QEM139" s="422"/>
      <c r="QEN139" s="422"/>
      <c r="QEO139" s="422"/>
      <c r="QEP139" s="422"/>
      <c r="QEQ139" s="422"/>
      <c r="QER139" s="422"/>
      <c r="QES139" s="422"/>
      <c r="QET139" s="422"/>
      <c r="QEU139" s="422"/>
      <c r="QEV139" s="422"/>
      <c r="QEW139" s="422"/>
      <c r="QEX139" s="422"/>
      <c r="QEY139" s="422"/>
      <c r="QEZ139" s="422"/>
      <c r="QFA139" s="422"/>
      <c r="QFB139" s="422"/>
      <c r="QFC139" s="422"/>
      <c r="QFD139" s="422"/>
      <c r="QFE139" s="422"/>
      <c r="QFF139" s="422"/>
      <c r="QFG139" s="422"/>
      <c r="QFH139" s="422"/>
      <c r="QFI139" s="422"/>
      <c r="QFJ139" s="422"/>
      <c r="QFK139" s="422"/>
      <c r="QFL139" s="422"/>
      <c r="QFM139" s="422"/>
      <c r="QFN139" s="422"/>
      <c r="QFO139" s="422"/>
      <c r="QFP139" s="422"/>
      <c r="QFQ139" s="422"/>
      <c r="QFR139" s="422"/>
      <c r="QFS139" s="422"/>
      <c r="QFT139" s="422"/>
      <c r="QFU139" s="422"/>
      <c r="QFV139" s="422"/>
      <c r="QFW139" s="422"/>
      <c r="QFX139" s="422"/>
      <c r="QFY139" s="422"/>
      <c r="QFZ139" s="422"/>
      <c r="QGA139" s="422"/>
      <c r="QGB139" s="422"/>
      <c r="QGC139" s="422"/>
      <c r="QGD139" s="422"/>
      <c r="QGE139" s="422"/>
      <c r="QGF139" s="422"/>
      <c r="QGG139" s="422"/>
      <c r="QGH139" s="422"/>
      <c r="QGI139" s="422"/>
      <c r="QGJ139" s="422"/>
      <c r="QGK139" s="422"/>
      <c r="QGL139" s="422"/>
      <c r="QGM139" s="422"/>
      <c r="QGN139" s="422"/>
      <c r="QGO139" s="422"/>
      <c r="QGP139" s="422"/>
      <c r="QGQ139" s="422"/>
      <c r="QGR139" s="422"/>
      <c r="QGS139" s="422"/>
      <c r="QGT139" s="422"/>
      <c r="QGU139" s="422"/>
      <c r="QGV139" s="422"/>
      <c r="QGW139" s="422"/>
      <c r="QGX139" s="422"/>
      <c r="QGY139" s="422"/>
      <c r="QGZ139" s="422"/>
      <c r="QHA139" s="422"/>
      <c r="QHB139" s="422"/>
      <c r="QHC139" s="422"/>
      <c r="QHD139" s="422"/>
      <c r="QHE139" s="422"/>
      <c r="QHF139" s="422"/>
      <c r="QHG139" s="422"/>
      <c r="QHH139" s="422"/>
      <c r="QHI139" s="422"/>
      <c r="QHJ139" s="422"/>
      <c r="QHK139" s="422"/>
      <c r="QHL139" s="422"/>
      <c r="QHM139" s="422"/>
      <c r="QHN139" s="422"/>
      <c r="QHO139" s="422"/>
      <c r="QHP139" s="422"/>
      <c r="QHQ139" s="422"/>
      <c r="QHR139" s="422"/>
      <c r="QHS139" s="422"/>
      <c r="QHT139" s="422"/>
      <c r="QHU139" s="422"/>
      <c r="QHV139" s="422"/>
      <c r="QHW139" s="422"/>
      <c r="QHX139" s="422"/>
      <c r="QHY139" s="422"/>
      <c r="QHZ139" s="422"/>
      <c r="QIA139" s="422"/>
      <c r="QIB139" s="422"/>
      <c r="QIC139" s="422"/>
      <c r="QID139" s="422"/>
      <c r="QIE139" s="422"/>
      <c r="QIF139" s="422"/>
      <c r="QIG139" s="422"/>
      <c r="QIH139" s="422"/>
      <c r="QII139" s="422"/>
      <c r="QIJ139" s="422"/>
      <c r="QIK139" s="422"/>
      <c r="QIL139" s="422"/>
      <c r="QIM139" s="422"/>
      <c r="QIN139" s="422"/>
      <c r="QIO139" s="422"/>
      <c r="QIP139" s="422"/>
      <c r="QIQ139" s="422"/>
      <c r="QIR139" s="422"/>
      <c r="QIS139" s="422"/>
      <c r="QIT139" s="422"/>
      <c r="QIU139" s="422"/>
      <c r="QIV139" s="422"/>
      <c r="QIW139" s="422"/>
      <c r="QIX139" s="422"/>
      <c r="QIY139" s="422"/>
      <c r="QIZ139" s="422"/>
      <c r="QJA139" s="422"/>
      <c r="QJB139" s="422"/>
      <c r="QJC139" s="422"/>
      <c r="QJD139" s="422"/>
      <c r="QJE139" s="422"/>
      <c r="QJF139" s="422"/>
      <c r="QJG139" s="422"/>
      <c r="QJH139" s="422"/>
      <c r="QJI139" s="422"/>
      <c r="QJJ139" s="422"/>
      <c r="QJK139" s="422"/>
      <c r="QJL139" s="422"/>
      <c r="QJM139" s="422"/>
      <c r="QJN139" s="422"/>
      <c r="QJO139" s="422"/>
      <c r="QJP139" s="422"/>
      <c r="QJQ139" s="422"/>
      <c r="QJR139" s="422"/>
      <c r="QJS139" s="422"/>
      <c r="QJT139" s="422"/>
      <c r="QJU139" s="422"/>
      <c r="QJV139" s="422"/>
      <c r="QJW139" s="422"/>
      <c r="QJX139" s="422"/>
      <c r="QJY139" s="422"/>
      <c r="QJZ139" s="422"/>
      <c r="QKA139" s="422"/>
      <c r="QKB139" s="422"/>
      <c r="QKC139" s="422"/>
      <c r="QKD139" s="422"/>
      <c r="QKE139" s="422"/>
      <c r="QKF139" s="422"/>
      <c r="QKG139" s="422"/>
      <c r="QKH139" s="422"/>
      <c r="QKI139" s="422"/>
      <c r="QKJ139" s="422"/>
      <c r="QKK139" s="422"/>
      <c r="QKL139" s="422"/>
      <c r="QKM139" s="422"/>
      <c r="QKN139" s="422"/>
      <c r="QKO139" s="422"/>
      <c r="QKP139" s="422"/>
      <c r="QKQ139" s="422"/>
      <c r="QKR139" s="422"/>
      <c r="QKS139" s="422"/>
      <c r="QKT139" s="422"/>
      <c r="QKU139" s="422"/>
      <c r="QKV139" s="422"/>
      <c r="QKW139" s="422"/>
      <c r="QKX139" s="422"/>
      <c r="QKY139" s="422"/>
      <c r="QKZ139" s="422"/>
      <c r="QLA139" s="422"/>
      <c r="QLB139" s="422"/>
      <c r="QLC139" s="422"/>
      <c r="QLD139" s="422"/>
      <c r="QLE139" s="422"/>
      <c r="QLF139" s="422"/>
      <c r="QLG139" s="422"/>
      <c r="QLH139" s="422"/>
      <c r="QLI139" s="422"/>
      <c r="QLJ139" s="422"/>
      <c r="QLK139" s="422"/>
      <c r="QLL139" s="422"/>
      <c r="QLM139" s="422"/>
      <c r="QLN139" s="422"/>
      <c r="QLO139" s="422"/>
      <c r="QLP139" s="422"/>
      <c r="QLQ139" s="422"/>
      <c r="QLR139" s="422"/>
      <c r="QLS139" s="422"/>
      <c r="QLT139" s="422"/>
      <c r="QLU139" s="422"/>
      <c r="QLV139" s="422"/>
      <c r="QLW139" s="422"/>
      <c r="QLX139" s="422"/>
      <c r="QLY139" s="422"/>
      <c r="QLZ139" s="422"/>
      <c r="QMA139" s="422"/>
      <c r="QMB139" s="422"/>
      <c r="QMC139" s="422"/>
      <c r="QMD139" s="422"/>
      <c r="QME139" s="422"/>
      <c r="QMF139" s="422"/>
      <c r="QMG139" s="422"/>
      <c r="QMH139" s="422"/>
      <c r="QMI139" s="422"/>
      <c r="QMJ139" s="422"/>
      <c r="QMK139" s="422"/>
      <c r="QML139" s="422"/>
      <c r="QMM139" s="422"/>
      <c r="QMN139" s="422"/>
      <c r="QMO139" s="422"/>
      <c r="QMP139" s="422"/>
      <c r="QMQ139" s="422"/>
      <c r="QMR139" s="422"/>
      <c r="QMS139" s="422"/>
      <c r="QMT139" s="422"/>
      <c r="QMU139" s="422"/>
      <c r="QMV139" s="422"/>
      <c r="QMW139" s="422"/>
      <c r="QMX139" s="422"/>
      <c r="QMY139" s="422"/>
      <c r="QMZ139" s="422"/>
      <c r="QNA139" s="422"/>
      <c r="QNB139" s="422"/>
      <c r="QNC139" s="422"/>
      <c r="QND139" s="422"/>
      <c r="QNE139" s="422"/>
      <c r="QNF139" s="422"/>
      <c r="QNG139" s="422"/>
      <c r="QNH139" s="422"/>
      <c r="QNI139" s="422"/>
      <c r="QNJ139" s="422"/>
      <c r="QNK139" s="422"/>
      <c r="QNL139" s="422"/>
      <c r="QNM139" s="422"/>
      <c r="QNN139" s="422"/>
      <c r="QNO139" s="422"/>
      <c r="QNP139" s="422"/>
      <c r="QNQ139" s="422"/>
      <c r="QNR139" s="422"/>
      <c r="QNS139" s="422"/>
      <c r="QNT139" s="422"/>
      <c r="QNU139" s="422"/>
      <c r="QNV139" s="422"/>
      <c r="QNW139" s="422"/>
      <c r="QNX139" s="422"/>
      <c r="QNY139" s="422"/>
      <c r="QNZ139" s="422"/>
      <c r="QOA139" s="422"/>
      <c r="QOB139" s="422"/>
      <c r="QOC139" s="422"/>
      <c r="QOD139" s="422"/>
      <c r="QOE139" s="422"/>
      <c r="QOF139" s="422"/>
      <c r="QOG139" s="422"/>
      <c r="QOH139" s="422"/>
      <c r="QOI139" s="422"/>
      <c r="QOJ139" s="422"/>
      <c r="QOK139" s="422"/>
      <c r="QOL139" s="422"/>
      <c r="QOM139" s="422"/>
      <c r="QON139" s="422"/>
      <c r="QOO139" s="422"/>
      <c r="QOP139" s="422"/>
      <c r="QOQ139" s="422"/>
      <c r="QOR139" s="422"/>
      <c r="QOS139" s="422"/>
      <c r="QOT139" s="422"/>
      <c r="QOU139" s="422"/>
      <c r="QOV139" s="422"/>
      <c r="QOW139" s="422"/>
      <c r="QOX139" s="422"/>
      <c r="QOY139" s="422"/>
      <c r="QOZ139" s="422"/>
      <c r="QPA139" s="422"/>
      <c r="QPB139" s="422"/>
      <c r="QPC139" s="422"/>
      <c r="QPD139" s="422"/>
      <c r="QPE139" s="422"/>
      <c r="QPF139" s="422"/>
      <c r="QPG139" s="422"/>
      <c r="QPH139" s="422"/>
      <c r="QPI139" s="422"/>
      <c r="QPJ139" s="422"/>
      <c r="QPK139" s="422"/>
      <c r="QPL139" s="422"/>
      <c r="QPM139" s="422"/>
      <c r="QPN139" s="422"/>
      <c r="QPO139" s="422"/>
      <c r="QPP139" s="422"/>
      <c r="QPQ139" s="422"/>
      <c r="QPR139" s="422"/>
      <c r="QPS139" s="422"/>
      <c r="QPT139" s="422"/>
      <c r="QPU139" s="422"/>
      <c r="QPV139" s="422"/>
      <c r="QPW139" s="422"/>
      <c r="QPX139" s="422"/>
      <c r="QPY139" s="422"/>
      <c r="QPZ139" s="422"/>
      <c r="QQA139" s="422"/>
      <c r="QQB139" s="422"/>
      <c r="QQC139" s="422"/>
      <c r="QQD139" s="422"/>
      <c r="QQE139" s="422"/>
      <c r="QQF139" s="422"/>
      <c r="QQG139" s="422"/>
      <c r="QQH139" s="422"/>
      <c r="QQI139" s="422"/>
      <c r="QQJ139" s="422"/>
      <c r="QQK139" s="422"/>
      <c r="QQL139" s="422"/>
      <c r="QQM139" s="422"/>
      <c r="QQN139" s="422"/>
      <c r="QQO139" s="422"/>
      <c r="QQP139" s="422"/>
      <c r="QQQ139" s="422"/>
      <c r="QQR139" s="422"/>
      <c r="QQS139" s="422"/>
      <c r="QQT139" s="422"/>
      <c r="QQU139" s="422"/>
      <c r="QQV139" s="422"/>
      <c r="QQW139" s="422"/>
      <c r="QQX139" s="422"/>
      <c r="QQY139" s="422"/>
      <c r="QQZ139" s="422"/>
      <c r="QRA139" s="422"/>
      <c r="QRB139" s="422"/>
      <c r="QRC139" s="422"/>
      <c r="QRD139" s="422"/>
      <c r="QRE139" s="422"/>
      <c r="QRF139" s="422"/>
      <c r="QRG139" s="422"/>
      <c r="QRH139" s="422"/>
      <c r="QRI139" s="422"/>
      <c r="QRJ139" s="422"/>
      <c r="QRK139" s="422"/>
      <c r="QRL139" s="422"/>
      <c r="QRM139" s="422"/>
      <c r="QRN139" s="422"/>
      <c r="QRO139" s="422"/>
      <c r="QRP139" s="422"/>
      <c r="QRQ139" s="422"/>
      <c r="QRR139" s="422"/>
      <c r="QRS139" s="422"/>
      <c r="QRT139" s="422"/>
      <c r="QRU139" s="422"/>
      <c r="QRV139" s="422"/>
      <c r="QRW139" s="422"/>
      <c r="QRX139" s="422"/>
      <c r="QRY139" s="422"/>
      <c r="QRZ139" s="422"/>
      <c r="QSA139" s="422"/>
      <c r="QSB139" s="422"/>
      <c r="QSC139" s="422"/>
      <c r="QSD139" s="422"/>
      <c r="QSE139" s="422"/>
      <c r="QSF139" s="422"/>
      <c r="QSG139" s="422"/>
      <c r="QSH139" s="422"/>
      <c r="QSI139" s="422"/>
      <c r="QSJ139" s="422"/>
      <c r="QSK139" s="422"/>
      <c r="QSL139" s="422"/>
      <c r="QSM139" s="422"/>
      <c r="QSN139" s="422"/>
      <c r="QSO139" s="422"/>
      <c r="QSP139" s="422"/>
      <c r="QSQ139" s="422"/>
      <c r="QSR139" s="422"/>
      <c r="QSS139" s="422"/>
      <c r="QST139" s="422"/>
      <c r="QSU139" s="422"/>
      <c r="QSV139" s="422"/>
      <c r="QSW139" s="422"/>
      <c r="QSX139" s="422"/>
      <c r="QSY139" s="422"/>
      <c r="QSZ139" s="422"/>
      <c r="QTA139" s="422"/>
      <c r="QTB139" s="422"/>
      <c r="QTC139" s="422"/>
      <c r="QTD139" s="422"/>
      <c r="QTE139" s="422"/>
      <c r="QTF139" s="422"/>
      <c r="QTG139" s="422"/>
      <c r="QTH139" s="422"/>
      <c r="QTI139" s="422"/>
      <c r="QTJ139" s="422"/>
      <c r="QTK139" s="422"/>
      <c r="QTL139" s="422"/>
      <c r="QTM139" s="422"/>
      <c r="QTN139" s="422"/>
      <c r="QTO139" s="422"/>
      <c r="QTP139" s="422"/>
      <c r="QTQ139" s="422"/>
      <c r="QTR139" s="422"/>
      <c r="QTS139" s="422"/>
      <c r="QTT139" s="422"/>
      <c r="QTU139" s="422"/>
      <c r="QTV139" s="422"/>
      <c r="QTW139" s="422"/>
      <c r="QTX139" s="422"/>
      <c r="QTY139" s="422"/>
      <c r="QTZ139" s="422"/>
      <c r="QUA139" s="422"/>
      <c r="QUB139" s="422"/>
      <c r="QUC139" s="422"/>
      <c r="QUD139" s="422"/>
      <c r="QUE139" s="422"/>
      <c r="QUF139" s="422"/>
      <c r="QUG139" s="422"/>
      <c r="QUH139" s="422"/>
      <c r="QUI139" s="422"/>
      <c r="QUJ139" s="422"/>
      <c r="QUK139" s="422"/>
      <c r="QUL139" s="422"/>
      <c r="QUM139" s="422"/>
      <c r="QUN139" s="422"/>
      <c r="QUO139" s="422"/>
      <c r="QUP139" s="422"/>
      <c r="QUQ139" s="422"/>
      <c r="QUR139" s="422"/>
      <c r="QUS139" s="422"/>
      <c r="QUT139" s="422"/>
      <c r="QUU139" s="422"/>
      <c r="QUV139" s="422"/>
      <c r="QUW139" s="422"/>
      <c r="QUX139" s="422"/>
      <c r="QUY139" s="422"/>
      <c r="QUZ139" s="422"/>
      <c r="QVA139" s="422"/>
      <c r="QVB139" s="422"/>
      <c r="QVC139" s="422"/>
      <c r="QVD139" s="422"/>
      <c r="QVE139" s="422"/>
      <c r="QVF139" s="422"/>
      <c r="QVG139" s="422"/>
      <c r="QVH139" s="422"/>
      <c r="QVI139" s="422"/>
      <c r="QVJ139" s="422"/>
      <c r="QVK139" s="422"/>
      <c r="QVL139" s="422"/>
      <c r="QVM139" s="422"/>
      <c r="QVN139" s="422"/>
      <c r="QVO139" s="422"/>
      <c r="QVP139" s="422"/>
      <c r="QVQ139" s="422"/>
      <c r="QVR139" s="422"/>
      <c r="QVS139" s="422"/>
      <c r="QVT139" s="422"/>
      <c r="QVU139" s="422"/>
      <c r="QVV139" s="422"/>
      <c r="QVW139" s="422"/>
      <c r="QVX139" s="422"/>
      <c r="QVY139" s="422"/>
      <c r="QVZ139" s="422"/>
      <c r="QWA139" s="422"/>
      <c r="QWB139" s="422"/>
      <c r="QWC139" s="422"/>
      <c r="QWD139" s="422"/>
      <c r="QWE139" s="422"/>
      <c r="QWF139" s="422"/>
      <c r="QWG139" s="422"/>
      <c r="QWH139" s="422"/>
      <c r="QWI139" s="422"/>
      <c r="QWJ139" s="422"/>
      <c r="QWK139" s="422"/>
      <c r="QWL139" s="422"/>
      <c r="QWM139" s="422"/>
      <c r="QWN139" s="422"/>
      <c r="QWO139" s="422"/>
      <c r="QWP139" s="422"/>
      <c r="QWQ139" s="422"/>
      <c r="QWR139" s="422"/>
      <c r="QWS139" s="422"/>
      <c r="QWT139" s="422"/>
      <c r="QWU139" s="422"/>
      <c r="QWV139" s="422"/>
      <c r="QWW139" s="422"/>
      <c r="QWX139" s="422"/>
      <c r="QWY139" s="422"/>
      <c r="QWZ139" s="422"/>
      <c r="QXA139" s="422"/>
      <c r="QXB139" s="422"/>
      <c r="QXC139" s="422"/>
      <c r="QXD139" s="422"/>
      <c r="QXE139" s="422"/>
      <c r="QXF139" s="422"/>
      <c r="QXG139" s="422"/>
      <c r="QXH139" s="422"/>
      <c r="QXI139" s="422"/>
      <c r="QXJ139" s="422"/>
      <c r="QXK139" s="422"/>
      <c r="QXL139" s="422"/>
      <c r="QXM139" s="422"/>
      <c r="QXN139" s="422"/>
      <c r="QXO139" s="422"/>
      <c r="QXP139" s="422"/>
      <c r="QXQ139" s="422"/>
      <c r="QXR139" s="422"/>
      <c r="QXS139" s="422"/>
      <c r="QXT139" s="422"/>
      <c r="QXU139" s="422"/>
      <c r="QXV139" s="422"/>
      <c r="QXW139" s="422"/>
      <c r="QXX139" s="422"/>
      <c r="QXY139" s="422"/>
      <c r="QXZ139" s="422"/>
      <c r="QYA139" s="422"/>
      <c r="QYB139" s="422"/>
      <c r="QYC139" s="422"/>
      <c r="QYD139" s="422"/>
      <c r="QYE139" s="422"/>
      <c r="QYF139" s="422"/>
      <c r="QYG139" s="422"/>
      <c r="QYH139" s="422"/>
      <c r="QYI139" s="422"/>
      <c r="QYJ139" s="422"/>
      <c r="QYK139" s="422"/>
      <c r="QYL139" s="422"/>
      <c r="QYM139" s="422"/>
      <c r="QYN139" s="422"/>
      <c r="QYO139" s="422"/>
      <c r="QYP139" s="422"/>
      <c r="QYQ139" s="422"/>
      <c r="QYR139" s="422"/>
      <c r="QYS139" s="422"/>
      <c r="QYT139" s="422"/>
      <c r="QYU139" s="422"/>
      <c r="QYV139" s="422"/>
      <c r="QYW139" s="422"/>
      <c r="QYX139" s="422"/>
      <c r="QYY139" s="422"/>
      <c r="QYZ139" s="422"/>
      <c r="QZA139" s="422"/>
      <c r="QZB139" s="422"/>
      <c r="QZC139" s="422"/>
      <c r="QZD139" s="422"/>
      <c r="QZE139" s="422"/>
      <c r="QZF139" s="422"/>
      <c r="QZG139" s="422"/>
      <c r="QZH139" s="422"/>
      <c r="QZI139" s="422"/>
      <c r="QZJ139" s="422"/>
      <c r="QZK139" s="422"/>
      <c r="QZL139" s="422"/>
      <c r="QZM139" s="422"/>
      <c r="QZN139" s="422"/>
      <c r="QZO139" s="422"/>
      <c r="QZP139" s="422"/>
      <c r="QZQ139" s="422"/>
      <c r="QZR139" s="422"/>
      <c r="QZS139" s="422"/>
      <c r="QZT139" s="422"/>
      <c r="QZU139" s="422"/>
      <c r="QZV139" s="422"/>
      <c r="QZW139" s="422"/>
      <c r="QZX139" s="422"/>
      <c r="QZY139" s="422"/>
      <c r="QZZ139" s="422"/>
      <c r="RAA139" s="422"/>
      <c r="RAB139" s="422"/>
      <c r="RAC139" s="422"/>
      <c r="RAD139" s="422"/>
      <c r="RAE139" s="422"/>
      <c r="RAF139" s="422"/>
      <c r="RAG139" s="422"/>
      <c r="RAH139" s="422"/>
      <c r="RAI139" s="422"/>
      <c r="RAJ139" s="422"/>
      <c r="RAK139" s="422"/>
      <c r="RAL139" s="422"/>
      <c r="RAM139" s="422"/>
      <c r="RAN139" s="422"/>
      <c r="RAO139" s="422"/>
      <c r="RAP139" s="422"/>
      <c r="RAQ139" s="422"/>
      <c r="RAR139" s="422"/>
      <c r="RAS139" s="422"/>
      <c r="RAT139" s="422"/>
      <c r="RAU139" s="422"/>
      <c r="RAV139" s="422"/>
      <c r="RAW139" s="422"/>
      <c r="RAX139" s="422"/>
      <c r="RAY139" s="422"/>
      <c r="RAZ139" s="422"/>
      <c r="RBA139" s="422"/>
      <c r="RBB139" s="422"/>
      <c r="RBC139" s="422"/>
      <c r="RBD139" s="422"/>
      <c r="RBE139" s="422"/>
      <c r="RBF139" s="422"/>
      <c r="RBG139" s="422"/>
      <c r="RBH139" s="422"/>
      <c r="RBI139" s="422"/>
      <c r="RBJ139" s="422"/>
      <c r="RBK139" s="422"/>
      <c r="RBL139" s="422"/>
      <c r="RBM139" s="422"/>
      <c r="RBN139" s="422"/>
      <c r="RBO139" s="422"/>
      <c r="RBP139" s="422"/>
      <c r="RBQ139" s="422"/>
      <c r="RBR139" s="422"/>
      <c r="RBS139" s="422"/>
      <c r="RBT139" s="422"/>
      <c r="RBU139" s="422"/>
      <c r="RBV139" s="422"/>
      <c r="RBW139" s="422"/>
      <c r="RBX139" s="422"/>
      <c r="RBY139" s="422"/>
      <c r="RBZ139" s="422"/>
      <c r="RCA139" s="422"/>
      <c r="RCB139" s="422"/>
      <c r="RCC139" s="422"/>
      <c r="RCD139" s="422"/>
      <c r="RCE139" s="422"/>
      <c r="RCF139" s="422"/>
      <c r="RCG139" s="422"/>
      <c r="RCH139" s="422"/>
      <c r="RCI139" s="422"/>
      <c r="RCJ139" s="422"/>
      <c r="RCK139" s="422"/>
      <c r="RCL139" s="422"/>
      <c r="RCM139" s="422"/>
      <c r="RCN139" s="422"/>
      <c r="RCO139" s="422"/>
      <c r="RCP139" s="422"/>
      <c r="RCQ139" s="422"/>
      <c r="RCR139" s="422"/>
      <c r="RCS139" s="422"/>
      <c r="RCT139" s="422"/>
      <c r="RCU139" s="422"/>
      <c r="RCV139" s="422"/>
      <c r="RCW139" s="422"/>
      <c r="RCX139" s="422"/>
      <c r="RCY139" s="422"/>
      <c r="RCZ139" s="422"/>
      <c r="RDA139" s="422"/>
      <c r="RDB139" s="422"/>
      <c r="RDC139" s="422"/>
      <c r="RDD139" s="422"/>
      <c r="RDE139" s="422"/>
      <c r="RDF139" s="422"/>
      <c r="RDG139" s="422"/>
      <c r="RDH139" s="422"/>
      <c r="RDI139" s="422"/>
      <c r="RDJ139" s="422"/>
      <c r="RDK139" s="422"/>
      <c r="RDL139" s="422"/>
      <c r="RDM139" s="422"/>
      <c r="RDN139" s="422"/>
      <c r="RDO139" s="422"/>
      <c r="RDP139" s="422"/>
      <c r="RDQ139" s="422"/>
      <c r="RDR139" s="422"/>
      <c r="RDS139" s="422"/>
      <c r="RDT139" s="422"/>
      <c r="RDU139" s="422"/>
      <c r="RDV139" s="422"/>
      <c r="RDW139" s="422"/>
      <c r="RDX139" s="422"/>
      <c r="RDY139" s="422"/>
      <c r="RDZ139" s="422"/>
      <c r="REA139" s="422"/>
      <c r="REB139" s="422"/>
      <c r="REC139" s="422"/>
      <c r="RED139" s="422"/>
      <c r="REE139" s="422"/>
      <c r="REF139" s="422"/>
      <c r="REG139" s="422"/>
      <c r="REH139" s="422"/>
      <c r="REI139" s="422"/>
      <c r="REJ139" s="422"/>
      <c r="REK139" s="422"/>
      <c r="REL139" s="422"/>
      <c r="REM139" s="422"/>
      <c r="REN139" s="422"/>
      <c r="REO139" s="422"/>
      <c r="REP139" s="422"/>
      <c r="REQ139" s="422"/>
      <c r="RER139" s="422"/>
      <c r="RES139" s="422"/>
      <c r="RET139" s="422"/>
      <c r="REU139" s="422"/>
      <c r="REV139" s="422"/>
      <c r="REW139" s="422"/>
      <c r="REX139" s="422"/>
      <c r="REY139" s="422"/>
      <c r="REZ139" s="422"/>
      <c r="RFA139" s="422"/>
      <c r="RFB139" s="422"/>
      <c r="RFC139" s="422"/>
      <c r="RFD139" s="422"/>
      <c r="RFE139" s="422"/>
      <c r="RFF139" s="422"/>
      <c r="RFG139" s="422"/>
      <c r="RFH139" s="422"/>
      <c r="RFI139" s="422"/>
      <c r="RFJ139" s="422"/>
      <c r="RFK139" s="422"/>
      <c r="RFL139" s="422"/>
      <c r="RFM139" s="422"/>
      <c r="RFN139" s="422"/>
      <c r="RFO139" s="422"/>
      <c r="RFP139" s="422"/>
      <c r="RFQ139" s="422"/>
      <c r="RFR139" s="422"/>
      <c r="RFS139" s="422"/>
      <c r="RFT139" s="422"/>
      <c r="RFU139" s="422"/>
      <c r="RFV139" s="422"/>
      <c r="RFW139" s="422"/>
      <c r="RFX139" s="422"/>
      <c r="RFY139" s="422"/>
      <c r="RFZ139" s="422"/>
      <c r="RGA139" s="422"/>
      <c r="RGB139" s="422"/>
      <c r="RGC139" s="422"/>
      <c r="RGD139" s="422"/>
      <c r="RGE139" s="422"/>
      <c r="RGF139" s="422"/>
      <c r="RGG139" s="422"/>
      <c r="RGH139" s="422"/>
      <c r="RGI139" s="422"/>
      <c r="RGJ139" s="422"/>
      <c r="RGK139" s="422"/>
      <c r="RGL139" s="422"/>
      <c r="RGM139" s="422"/>
      <c r="RGN139" s="422"/>
      <c r="RGO139" s="422"/>
      <c r="RGP139" s="422"/>
      <c r="RGQ139" s="422"/>
      <c r="RGR139" s="422"/>
      <c r="RGS139" s="422"/>
      <c r="RGT139" s="422"/>
      <c r="RGU139" s="422"/>
      <c r="RGV139" s="422"/>
      <c r="RGW139" s="422"/>
      <c r="RGX139" s="422"/>
      <c r="RGY139" s="422"/>
      <c r="RGZ139" s="422"/>
      <c r="RHA139" s="422"/>
      <c r="RHB139" s="422"/>
      <c r="RHC139" s="422"/>
      <c r="RHD139" s="422"/>
      <c r="RHE139" s="422"/>
      <c r="RHF139" s="422"/>
      <c r="RHG139" s="422"/>
      <c r="RHH139" s="422"/>
      <c r="RHI139" s="422"/>
      <c r="RHJ139" s="422"/>
      <c r="RHK139" s="422"/>
      <c r="RHL139" s="422"/>
      <c r="RHM139" s="422"/>
      <c r="RHN139" s="422"/>
      <c r="RHO139" s="422"/>
      <c r="RHP139" s="422"/>
      <c r="RHQ139" s="422"/>
      <c r="RHR139" s="422"/>
      <c r="RHS139" s="422"/>
      <c r="RHT139" s="422"/>
      <c r="RHU139" s="422"/>
      <c r="RHV139" s="422"/>
      <c r="RHW139" s="422"/>
      <c r="RHX139" s="422"/>
      <c r="RHY139" s="422"/>
      <c r="RHZ139" s="422"/>
      <c r="RIA139" s="422"/>
      <c r="RIB139" s="422"/>
      <c r="RIC139" s="422"/>
      <c r="RID139" s="422"/>
      <c r="RIE139" s="422"/>
      <c r="RIF139" s="422"/>
      <c r="RIG139" s="422"/>
      <c r="RIH139" s="422"/>
      <c r="RII139" s="422"/>
      <c r="RIJ139" s="422"/>
      <c r="RIK139" s="422"/>
      <c r="RIL139" s="422"/>
      <c r="RIM139" s="422"/>
      <c r="RIN139" s="422"/>
      <c r="RIO139" s="422"/>
      <c r="RIP139" s="422"/>
      <c r="RIQ139" s="422"/>
      <c r="RIR139" s="422"/>
      <c r="RIS139" s="422"/>
      <c r="RIT139" s="422"/>
      <c r="RIU139" s="422"/>
      <c r="RIV139" s="422"/>
      <c r="RIW139" s="422"/>
      <c r="RIX139" s="422"/>
      <c r="RIY139" s="422"/>
      <c r="RIZ139" s="422"/>
      <c r="RJA139" s="422"/>
      <c r="RJB139" s="422"/>
      <c r="RJC139" s="422"/>
      <c r="RJD139" s="422"/>
      <c r="RJE139" s="422"/>
      <c r="RJF139" s="422"/>
      <c r="RJG139" s="422"/>
      <c r="RJH139" s="422"/>
      <c r="RJI139" s="422"/>
      <c r="RJJ139" s="422"/>
      <c r="RJK139" s="422"/>
      <c r="RJL139" s="422"/>
      <c r="RJM139" s="422"/>
      <c r="RJN139" s="422"/>
      <c r="RJO139" s="422"/>
      <c r="RJP139" s="422"/>
      <c r="RJQ139" s="422"/>
      <c r="RJR139" s="422"/>
      <c r="RJS139" s="422"/>
      <c r="RJT139" s="422"/>
      <c r="RJU139" s="422"/>
      <c r="RJV139" s="422"/>
      <c r="RJW139" s="422"/>
      <c r="RJX139" s="422"/>
      <c r="RJY139" s="422"/>
      <c r="RJZ139" s="422"/>
      <c r="RKA139" s="422"/>
      <c r="RKB139" s="422"/>
      <c r="RKC139" s="422"/>
      <c r="RKD139" s="422"/>
      <c r="RKE139" s="422"/>
      <c r="RKF139" s="422"/>
      <c r="RKG139" s="422"/>
      <c r="RKH139" s="422"/>
      <c r="RKI139" s="422"/>
      <c r="RKJ139" s="422"/>
      <c r="RKK139" s="422"/>
      <c r="RKL139" s="422"/>
      <c r="RKM139" s="422"/>
      <c r="RKN139" s="422"/>
      <c r="RKO139" s="422"/>
      <c r="RKP139" s="422"/>
      <c r="RKQ139" s="422"/>
      <c r="RKR139" s="422"/>
      <c r="RKS139" s="422"/>
      <c r="RKT139" s="422"/>
      <c r="RKU139" s="422"/>
      <c r="RKV139" s="422"/>
      <c r="RKW139" s="422"/>
      <c r="RKX139" s="422"/>
      <c r="RKY139" s="422"/>
      <c r="RKZ139" s="422"/>
      <c r="RLA139" s="422"/>
      <c r="RLB139" s="422"/>
      <c r="RLC139" s="422"/>
      <c r="RLD139" s="422"/>
      <c r="RLE139" s="422"/>
      <c r="RLF139" s="422"/>
      <c r="RLG139" s="422"/>
      <c r="RLH139" s="422"/>
      <c r="RLI139" s="422"/>
      <c r="RLJ139" s="422"/>
      <c r="RLK139" s="422"/>
      <c r="RLL139" s="422"/>
      <c r="RLM139" s="422"/>
      <c r="RLN139" s="422"/>
      <c r="RLO139" s="422"/>
      <c r="RLP139" s="422"/>
      <c r="RLQ139" s="422"/>
      <c r="RLR139" s="422"/>
      <c r="RLS139" s="422"/>
      <c r="RLT139" s="422"/>
      <c r="RLU139" s="422"/>
      <c r="RLV139" s="422"/>
      <c r="RLW139" s="422"/>
      <c r="RLX139" s="422"/>
      <c r="RLY139" s="422"/>
      <c r="RLZ139" s="422"/>
      <c r="RMA139" s="422"/>
      <c r="RMB139" s="422"/>
      <c r="RMC139" s="422"/>
      <c r="RMD139" s="422"/>
      <c r="RME139" s="422"/>
      <c r="RMF139" s="422"/>
      <c r="RMG139" s="422"/>
      <c r="RMH139" s="422"/>
      <c r="RMI139" s="422"/>
      <c r="RMJ139" s="422"/>
      <c r="RMK139" s="422"/>
      <c r="RML139" s="422"/>
      <c r="RMM139" s="422"/>
      <c r="RMN139" s="422"/>
      <c r="RMO139" s="422"/>
      <c r="RMP139" s="422"/>
      <c r="RMQ139" s="422"/>
      <c r="RMR139" s="422"/>
      <c r="RMS139" s="422"/>
      <c r="RMT139" s="422"/>
      <c r="RMU139" s="422"/>
      <c r="RMV139" s="422"/>
      <c r="RMW139" s="422"/>
      <c r="RMX139" s="422"/>
      <c r="RMY139" s="422"/>
      <c r="RMZ139" s="422"/>
      <c r="RNA139" s="422"/>
      <c r="RNB139" s="422"/>
      <c r="RNC139" s="422"/>
      <c r="RND139" s="422"/>
      <c r="RNE139" s="422"/>
      <c r="RNF139" s="422"/>
      <c r="RNG139" s="422"/>
      <c r="RNH139" s="422"/>
      <c r="RNI139" s="422"/>
      <c r="RNJ139" s="422"/>
      <c r="RNK139" s="422"/>
      <c r="RNL139" s="422"/>
      <c r="RNM139" s="422"/>
      <c r="RNN139" s="422"/>
      <c r="RNO139" s="422"/>
      <c r="RNP139" s="422"/>
      <c r="RNQ139" s="422"/>
      <c r="RNR139" s="422"/>
      <c r="RNS139" s="422"/>
      <c r="RNT139" s="422"/>
      <c r="RNU139" s="422"/>
      <c r="RNV139" s="422"/>
      <c r="RNW139" s="422"/>
      <c r="RNX139" s="422"/>
      <c r="RNY139" s="422"/>
      <c r="RNZ139" s="422"/>
      <c r="ROA139" s="422"/>
      <c r="ROB139" s="422"/>
      <c r="ROC139" s="422"/>
      <c r="ROD139" s="422"/>
      <c r="ROE139" s="422"/>
      <c r="ROF139" s="422"/>
      <c r="ROG139" s="422"/>
      <c r="ROH139" s="422"/>
      <c r="ROI139" s="422"/>
      <c r="ROJ139" s="422"/>
      <c r="ROK139" s="422"/>
      <c r="ROL139" s="422"/>
      <c r="ROM139" s="422"/>
      <c r="RON139" s="422"/>
      <c r="ROO139" s="422"/>
      <c r="ROP139" s="422"/>
      <c r="ROQ139" s="422"/>
      <c r="ROR139" s="422"/>
      <c r="ROS139" s="422"/>
      <c r="ROT139" s="422"/>
      <c r="ROU139" s="422"/>
      <c r="ROV139" s="422"/>
      <c r="ROW139" s="422"/>
      <c r="ROX139" s="422"/>
      <c r="ROY139" s="422"/>
      <c r="ROZ139" s="422"/>
      <c r="RPA139" s="422"/>
      <c r="RPB139" s="422"/>
      <c r="RPC139" s="422"/>
      <c r="RPD139" s="422"/>
      <c r="RPE139" s="422"/>
      <c r="RPF139" s="422"/>
      <c r="RPG139" s="422"/>
      <c r="RPH139" s="422"/>
      <c r="RPI139" s="422"/>
      <c r="RPJ139" s="422"/>
      <c r="RPK139" s="422"/>
      <c r="RPL139" s="422"/>
      <c r="RPM139" s="422"/>
      <c r="RPN139" s="422"/>
      <c r="RPO139" s="422"/>
      <c r="RPP139" s="422"/>
      <c r="RPQ139" s="422"/>
      <c r="RPR139" s="422"/>
      <c r="RPS139" s="422"/>
      <c r="RPT139" s="422"/>
      <c r="RPU139" s="422"/>
      <c r="RPV139" s="422"/>
      <c r="RPW139" s="422"/>
      <c r="RPX139" s="422"/>
      <c r="RPY139" s="422"/>
      <c r="RPZ139" s="422"/>
      <c r="RQA139" s="422"/>
      <c r="RQB139" s="422"/>
      <c r="RQC139" s="422"/>
      <c r="RQD139" s="422"/>
      <c r="RQE139" s="422"/>
      <c r="RQF139" s="422"/>
      <c r="RQG139" s="422"/>
      <c r="RQH139" s="422"/>
      <c r="RQI139" s="422"/>
      <c r="RQJ139" s="422"/>
      <c r="RQK139" s="422"/>
      <c r="RQL139" s="422"/>
      <c r="RQM139" s="422"/>
      <c r="RQN139" s="422"/>
      <c r="RQO139" s="422"/>
      <c r="RQP139" s="422"/>
      <c r="RQQ139" s="422"/>
      <c r="RQR139" s="422"/>
      <c r="RQS139" s="422"/>
      <c r="RQT139" s="422"/>
      <c r="RQU139" s="422"/>
      <c r="RQV139" s="422"/>
      <c r="RQW139" s="422"/>
      <c r="RQX139" s="422"/>
      <c r="RQY139" s="422"/>
      <c r="RQZ139" s="422"/>
      <c r="RRA139" s="422"/>
      <c r="RRB139" s="422"/>
      <c r="RRC139" s="422"/>
      <c r="RRD139" s="422"/>
      <c r="RRE139" s="422"/>
      <c r="RRF139" s="422"/>
      <c r="RRG139" s="422"/>
      <c r="RRH139" s="422"/>
      <c r="RRI139" s="422"/>
      <c r="RRJ139" s="422"/>
      <c r="RRK139" s="422"/>
      <c r="RRL139" s="422"/>
      <c r="RRM139" s="422"/>
      <c r="RRN139" s="422"/>
      <c r="RRO139" s="422"/>
      <c r="RRP139" s="422"/>
      <c r="RRQ139" s="422"/>
      <c r="RRR139" s="422"/>
      <c r="RRS139" s="422"/>
      <c r="RRT139" s="422"/>
      <c r="RRU139" s="422"/>
      <c r="RRV139" s="422"/>
      <c r="RRW139" s="422"/>
      <c r="RRX139" s="422"/>
      <c r="RRY139" s="422"/>
      <c r="RRZ139" s="422"/>
      <c r="RSA139" s="422"/>
      <c r="RSB139" s="422"/>
      <c r="RSC139" s="422"/>
      <c r="RSD139" s="422"/>
      <c r="RSE139" s="422"/>
      <c r="RSF139" s="422"/>
      <c r="RSG139" s="422"/>
      <c r="RSH139" s="422"/>
      <c r="RSI139" s="422"/>
      <c r="RSJ139" s="422"/>
      <c r="RSK139" s="422"/>
      <c r="RSL139" s="422"/>
      <c r="RSM139" s="422"/>
      <c r="RSN139" s="422"/>
      <c r="RSO139" s="422"/>
      <c r="RSP139" s="422"/>
      <c r="RSQ139" s="422"/>
      <c r="RSR139" s="422"/>
      <c r="RSS139" s="422"/>
      <c r="RST139" s="422"/>
      <c r="RSU139" s="422"/>
      <c r="RSV139" s="422"/>
      <c r="RSW139" s="422"/>
      <c r="RSX139" s="422"/>
      <c r="RSY139" s="422"/>
      <c r="RSZ139" s="422"/>
      <c r="RTA139" s="422"/>
      <c r="RTB139" s="422"/>
      <c r="RTC139" s="422"/>
      <c r="RTD139" s="422"/>
      <c r="RTE139" s="422"/>
      <c r="RTF139" s="422"/>
      <c r="RTG139" s="422"/>
      <c r="RTH139" s="422"/>
      <c r="RTI139" s="422"/>
      <c r="RTJ139" s="422"/>
      <c r="RTK139" s="422"/>
      <c r="RTL139" s="422"/>
      <c r="RTM139" s="422"/>
      <c r="RTN139" s="422"/>
      <c r="RTO139" s="422"/>
      <c r="RTP139" s="422"/>
      <c r="RTQ139" s="422"/>
      <c r="RTR139" s="422"/>
      <c r="RTS139" s="422"/>
      <c r="RTT139" s="422"/>
      <c r="RTU139" s="422"/>
      <c r="RTV139" s="422"/>
      <c r="RTW139" s="422"/>
      <c r="RTX139" s="422"/>
      <c r="RTY139" s="422"/>
      <c r="RTZ139" s="422"/>
      <c r="RUA139" s="422"/>
      <c r="RUB139" s="422"/>
      <c r="RUC139" s="422"/>
      <c r="RUD139" s="422"/>
      <c r="RUE139" s="422"/>
      <c r="RUF139" s="422"/>
      <c r="RUG139" s="422"/>
      <c r="RUH139" s="422"/>
      <c r="RUI139" s="422"/>
      <c r="RUJ139" s="422"/>
      <c r="RUK139" s="422"/>
      <c r="RUL139" s="422"/>
      <c r="RUM139" s="422"/>
      <c r="RUN139" s="422"/>
      <c r="RUO139" s="422"/>
      <c r="RUP139" s="422"/>
      <c r="RUQ139" s="422"/>
      <c r="RUR139" s="422"/>
      <c r="RUS139" s="422"/>
      <c r="RUT139" s="422"/>
      <c r="RUU139" s="422"/>
      <c r="RUV139" s="422"/>
      <c r="RUW139" s="422"/>
      <c r="RUX139" s="422"/>
      <c r="RUY139" s="422"/>
      <c r="RUZ139" s="422"/>
      <c r="RVA139" s="422"/>
      <c r="RVB139" s="422"/>
      <c r="RVC139" s="422"/>
      <c r="RVD139" s="422"/>
      <c r="RVE139" s="422"/>
      <c r="RVF139" s="422"/>
      <c r="RVG139" s="422"/>
      <c r="RVH139" s="422"/>
      <c r="RVI139" s="422"/>
      <c r="RVJ139" s="422"/>
      <c r="RVK139" s="422"/>
      <c r="RVL139" s="422"/>
      <c r="RVM139" s="422"/>
      <c r="RVN139" s="422"/>
      <c r="RVO139" s="422"/>
      <c r="RVP139" s="422"/>
      <c r="RVQ139" s="422"/>
      <c r="RVR139" s="422"/>
      <c r="RVS139" s="422"/>
      <c r="RVT139" s="422"/>
      <c r="RVU139" s="422"/>
      <c r="RVV139" s="422"/>
      <c r="RVW139" s="422"/>
      <c r="RVX139" s="422"/>
      <c r="RVY139" s="422"/>
      <c r="RVZ139" s="422"/>
      <c r="RWA139" s="422"/>
      <c r="RWB139" s="422"/>
      <c r="RWC139" s="422"/>
      <c r="RWD139" s="422"/>
      <c r="RWE139" s="422"/>
      <c r="RWF139" s="422"/>
      <c r="RWG139" s="422"/>
      <c r="RWH139" s="422"/>
      <c r="RWI139" s="422"/>
      <c r="RWJ139" s="422"/>
      <c r="RWK139" s="422"/>
      <c r="RWL139" s="422"/>
      <c r="RWM139" s="422"/>
      <c r="RWN139" s="422"/>
      <c r="RWO139" s="422"/>
      <c r="RWP139" s="422"/>
      <c r="RWQ139" s="422"/>
      <c r="RWR139" s="422"/>
      <c r="RWS139" s="422"/>
      <c r="RWT139" s="422"/>
      <c r="RWU139" s="422"/>
      <c r="RWV139" s="422"/>
      <c r="RWW139" s="422"/>
      <c r="RWX139" s="422"/>
      <c r="RWY139" s="422"/>
      <c r="RWZ139" s="422"/>
      <c r="RXA139" s="422"/>
      <c r="RXB139" s="422"/>
      <c r="RXC139" s="422"/>
      <c r="RXD139" s="422"/>
      <c r="RXE139" s="422"/>
      <c r="RXF139" s="422"/>
      <c r="RXG139" s="422"/>
      <c r="RXH139" s="422"/>
      <c r="RXI139" s="422"/>
      <c r="RXJ139" s="422"/>
      <c r="RXK139" s="422"/>
      <c r="RXL139" s="422"/>
      <c r="RXM139" s="422"/>
      <c r="RXN139" s="422"/>
      <c r="RXO139" s="422"/>
      <c r="RXP139" s="422"/>
      <c r="RXQ139" s="422"/>
      <c r="RXR139" s="422"/>
      <c r="RXS139" s="422"/>
      <c r="RXT139" s="422"/>
      <c r="RXU139" s="422"/>
      <c r="RXV139" s="422"/>
      <c r="RXW139" s="422"/>
      <c r="RXX139" s="422"/>
      <c r="RXY139" s="422"/>
      <c r="RXZ139" s="422"/>
      <c r="RYA139" s="422"/>
      <c r="RYB139" s="422"/>
      <c r="RYC139" s="422"/>
      <c r="RYD139" s="422"/>
      <c r="RYE139" s="422"/>
      <c r="RYF139" s="422"/>
      <c r="RYG139" s="422"/>
      <c r="RYH139" s="422"/>
      <c r="RYI139" s="422"/>
      <c r="RYJ139" s="422"/>
      <c r="RYK139" s="422"/>
      <c r="RYL139" s="422"/>
      <c r="RYM139" s="422"/>
      <c r="RYN139" s="422"/>
      <c r="RYO139" s="422"/>
      <c r="RYP139" s="422"/>
      <c r="RYQ139" s="422"/>
      <c r="RYR139" s="422"/>
      <c r="RYS139" s="422"/>
      <c r="RYT139" s="422"/>
      <c r="RYU139" s="422"/>
      <c r="RYV139" s="422"/>
      <c r="RYW139" s="422"/>
      <c r="RYX139" s="422"/>
      <c r="RYY139" s="422"/>
      <c r="RYZ139" s="422"/>
      <c r="RZA139" s="422"/>
      <c r="RZB139" s="422"/>
      <c r="RZC139" s="422"/>
      <c r="RZD139" s="422"/>
      <c r="RZE139" s="422"/>
      <c r="RZF139" s="422"/>
      <c r="RZG139" s="422"/>
      <c r="RZH139" s="422"/>
      <c r="RZI139" s="422"/>
      <c r="RZJ139" s="422"/>
      <c r="RZK139" s="422"/>
      <c r="RZL139" s="422"/>
      <c r="RZM139" s="422"/>
      <c r="RZN139" s="422"/>
      <c r="RZO139" s="422"/>
      <c r="RZP139" s="422"/>
      <c r="RZQ139" s="422"/>
      <c r="RZR139" s="422"/>
      <c r="RZS139" s="422"/>
      <c r="RZT139" s="422"/>
      <c r="RZU139" s="422"/>
      <c r="RZV139" s="422"/>
      <c r="RZW139" s="422"/>
      <c r="RZX139" s="422"/>
      <c r="RZY139" s="422"/>
      <c r="RZZ139" s="422"/>
      <c r="SAA139" s="422"/>
      <c r="SAB139" s="422"/>
      <c r="SAC139" s="422"/>
      <c r="SAD139" s="422"/>
      <c r="SAE139" s="422"/>
      <c r="SAF139" s="422"/>
      <c r="SAG139" s="422"/>
      <c r="SAH139" s="422"/>
      <c r="SAI139" s="422"/>
      <c r="SAJ139" s="422"/>
      <c r="SAK139" s="422"/>
      <c r="SAL139" s="422"/>
      <c r="SAM139" s="422"/>
      <c r="SAN139" s="422"/>
      <c r="SAO139" s="422"/>
      <c r="SAP139" s="422"/>
      <c r="SAQ139" s="422"/>
      <c r="SAR139" s="422"/>
      <c r="SAS139" s="422"/>
      <c r="SAT139" s="422"/>
      <c r="SAU139" s="422"/>
      <c r="SAV139" s="422"/>
      <c r="SAW139" s="422"/>
      <c r="SAX139" s="422"/>
      <c r="SAY139" s="422"/>
      <c r="SAZ139" s="422"/>
      <c r="SBA139" s="422"/>
      <c r="SBB139" s="422"/>
      <c r="SBC139" s="422"/>
      <c r="SBD139" s="422"/>
      <c r="SBE139" s="422"/>
      <c r="SBF139" s="422"/>
      <c r="SBG139" s="422"/>
      <c r="SBH139" s="422"/>
      <c r="SBI139" s="422"/>
      <c r="SBJ139" s="422"/>
      <c r="SBK139" s="422"/>
      <c r="SBL139" s="422"/>
      <c r="SBM139" s="422"/>
      <c r="SBN139" s="422"/>
      <c r="SBO139" s="422"/>
      <c r="SBP139" s="422"/>
      <c r="SBQ139" s="422"/>
      <c r="SBR139" s="422"/>
      <c r="SBS139" s="422"/>
      <c r="SBT139" s="422"/>
      <c r="SBU139" s="422"/>
      <c r="SBV139" s="422"/>
      <c r="SBW139" s="422"/>
      <c r="SBX139" s="422"/>
      <c r="SBY139" s="422"/>
      <c r="SBZ139" s="422"/>
      <c r="SCA139" s="422"/>
      <c r="SCB139" s="422"/>
      <c r="SCC139" s="422"/>
      <c r="SCD139" s="422"/>
      <c r="SCE139" s="422"/>
      <c r="SCF139" s="422"/>
      <c r="SCG139" s="422"/>
      <c r="SCH139" s="422"/>
      <c r="SCI139" s="422"/>
      <c r="SCJ139" s="422"/>
      <c r="SCK139" s="422"/>
      <c r="SCL139" s="422"/>
      <c r="SCM139" s="422"/>
      <c r="SCN139" s="422"/>
      <c r="SCO139" s="422"/>
      <c r="SCP139" s="422"/>
      <c r="SCQ139" s="422"/>
      <c r="SCR139" s="422"/>
      <c r="SCS139" s="422"/>
      <c r="SCT139" s="422"/>
      <c r="SCU139" s="422"/>
      <c r="SCV139" s="422"/>
      <c r="SCW139" s="422"/>
      <c r="SCX139" s="422"/>
      <c r="SCY139" s="422"/>
      <c r="SCZ139" s="422"/>
      <c r="SDA139" s="422"/>
      <c r="SDB139" s="422"/>
      <c r="SDC139" s="422"/>
      <c r="SDD139" s="422"/>
      <c r="SDE139" s="422"/>
      <c r="SDF139" s="422"/>
      <c r="SDG139" s="422"/>
      <c r="SDH139" s="422"/>
      <c r="SDI139" s="422"/>
      <c r="SDJ139" s="422"/>
      <c r="SDK139" s="422"/>
      <c r="SDL139" s="422"/>
      <c r="SDM139" s="422"/>
      <c r="SDN139" s="422"/>
      <c r="SDO139" s="422"/>
      <c r="SDP139" s="422"/>
      <c r="SDQ139" s="422"/>
      <c r="SDR139" s="422"/>
      <c r="SDS139" s="422"/>
      <c r="SDT139" s="422"/>
      <c r="SDU139" s="422"/>
      <c r="SDV139" s="422"/>
      <c r="SDW139" s="422"/>
      <c r="SDX139" s="422"/>
      <c r="SDY139" s="422"/>
      <c r="SDZ139" s="422"/>
      <c r="SEA139" s="422"/>
      <c r="SEB139" s="422"/>
      <c r="SEC139" s="422"/>
      <c r="SED139" s="422"/>
      <c r="SEE139" s="422"/>
      <c r="SEF139" s="422"/>
      <c r="SEG139" s="422"/>
      <c r="SEH139" s="422"/>
      <c r="SEI139" s="422"/>
      <c r="SEJ139" s="422"/>
      <c r="SEK139" s="422"/>
      <c r="SEL139" s="422"/>
      <c r="SEM139" s="422"/>
      <c r="SEN139" s="422"/>
      <c r="SEO139" s="422"/>
      <c r="SEP139" s="422"/>
      <c r="SEQ139" s="422"/>
      <c r="SER139" s="422"/>
      <c r="SES139" s="422"/>
      <c r="SET139" s="422"/>
      <c r="SEU139" s="422"/>
      <c r="SEV139" s="422"/>
      <c r="SEW139" s="422"/>
      <c r="SEX139" s="422"/>
      <c r="SEY139" s="422"/>
      <c r="SEZ139" s="422"/>
      <c r="SFA139" s="422"/>
      <c r="SFB139" s="422"/>
      <c r="SFC139" s="422"/>
      <c r="SFD139" s="422"/>
      <c r="SFE139" s="422"/>
      <c r="SFF139" s="422"/>
      <c r="SFG139" s="422"/>
      <c r="SFH139" s="422"/>
      <c r="SFI139" s="422"/>
      <c r="SFJ139" s="422"/>
      <c r="SFK139" s="422"/>
      <c r="SFL139" s="422"/>
      <c r="SFM139" s="422"/>
      <c r="SFN139" s="422"/>
      <c r="SFO139" s="422"/>
      <c r="SFP139" s="422"/>
      <c r="SFQ139" s="422"/>
      <c r="SFR139" s="422"/>
      <c r="SFS139" s="422"/>
      <c r="SFT139" s="422"/>
      <c r="SFU139" s="422"/>
      <c r="SFV139" s="422"/>
      <c r="SFW139" s="422"/>
      <c r="SFX139" s="422"/>
      <c r="SFY139" s="422"/>
      <c r="SFZ139" s="422"/>
      <c r="SGA139" s="422"/>
      <c r="SGB139" s="422"/>
      <c r="SGC139" s="422"/>
      <c r="SGD139" s="422"/>
      <c r="SGE139" s="422"/>
      <c r="SGF139" s="422"/>
      <c r="SGG139" s="422"/>
      <c r="SGH139" s="422"/>
      <c r="SGI139" s="422"/>
      <c r="SGJ139" s="422"/>
      <c r="SGK139" s="422"/>
      <c r="SGL139" s="422"/>
      <c r="SGM139" s="422"/>
      <c r="SGN139" s="422"/>
      <c r="SGO139" s="422"/>
      <c r="SGP139" s="422"/>
      <c r="SGQ139" s="422"/>
      <c r="SGR139" s="422"/>
      <c r="SGS139" s="422"/>
      <c r="SGT139" s="422"/>
      <c r="SGU139" s="422"/>
      <c r="SGV139" s="422"/>
      <c r="SGW139" s="422"/>
      <c r="SGX139" s="422"/>
      <c r="SGY139" s="422"/>
      <c r="SGZ139" s="422"/>
      <c r="SHA139" s="422"/>
      <c r="SHB139" s="422"/>
      <c r="SHC139" s="422"/>
      <c r="SHD139" s="422"/>
      <c r="SHE139" s="422"/>
      <c r="SHF139" s="422"/>
      <c r="SHG139" s="422"/>
      <c r="SHH139" s="422"/>
      <c r="SHI139" s="422"/>
      <c r="SHJ139" s="422"/>
      <c r="SHK139" s="422"/>
      <c r="SHL139" s="422"/>
      <c r="SHM139" s="422"/>
      <c r="SHN139" s="422"/>
      <c r="SHO139" s="422"/>
      <c r="SHP139" s="422"/>
      <c r="SHQ139" s="422"/>
      <c r="SHR139" s="422"/>
      <c r="SHS139" s="422"/>
      <c r="SHT139" s="422"/>
      <c r="SHU139" s="422"/>
      <c r="SHV139" s="422"/>
      <c r="SHW139" s="422"/>
      <c r="SHX139" s="422"/>
      <c r="SHY139" s="422"/>
      <c r="SHZ139" s="422"/>
      <c r="SIA139" s="422"/>
      <c r="SIB139" s="422"/>
      <c r="SIC139" s="422"/>
      <c r="SID139" s="422"/>
      <c r="SIE139" s="422"/>
      <c r="SIF139" s="422"/>
      <c r="SIG139" s="422"/>
      <c r="SIH139" s="422"/>
      <c r="SII139" s="422"/>
      <c r="SIJ139" s="422"/>
      <c r="SIK139" s="422"/>
      <c r="SIL139" s="422"/>
      <c r="SIM139" s="422"/>
      <c r="SIN139" s="422"/>
      <c r="SIO139" s="422"/>
      <c r="SIP139" s="422"/>
      <c r="SIQ139" s="422"/>
      <c r="SIR139" s="422"/>
      <c r="SIS139" s="422"/>
      <c r="SIT139" s="422"/>
      <c r="SIU139" s="422"/>
      <c r="SIV139" s="422"/>
      <c r="SIW139" s="422"/>
      <c r="SIX139" s="422"/>
      <c r="SIY139" s="422"/>
      <c r="SIZ139" s="422"/>
      <c r="SJA139" s="422"/>
      <c r="SJB139" s="422"/>
      <c r="SJC139" s="422"/>
      <c r="SJD139" s="422"/>
      <c r="SJE139" s="422"/>
      <c r="SJF139" s="422"/>
      <c r="SJG139" s="422"/>
      <c r="SJH139" s="422"/>
      <c r="SJI139" s="422"/>
      <c r="SJJ139" s="422"/>
      <c r="SJK139" s="422"/>
      <c r="SJL139" s="422"/>
      <c r="SJM139" s="422"/>
      <c r="SJN139" s="422"/>
      <c r="SJO139" s="422"/>
      <c r="SJP139" s="422"/>
      <c r="SJQ139" s="422"/>
      <c r="SJR139" s="422"/>
      <c r="SJS139" s="422"/>
      <c r="SJT139" s="422"/>
      <c r="SJU139" s="422"/>
      <c r="SJV139" s="422"/>
      <c r="SJW139" s="422"/>
      <c r="SJX139" s="422"/>
      <c r="SJY139" s="422"/>
      <c r="SJZ139" s="422"/>
      <c r="SKA139" s="422"/>
      <c r="SKB139" s="422"/>
      <c r="SKC139" s="422"/>
      <c r="SKD139" s="422"/>
      <c r="SKE139" s="422"/>
      <c r="SKF139" s="422"/>
      <c r="SKG139" s="422"/>
      <c r="SKH139" s="422"/>
      <c r="SKI139" s="422"/>
      <c r="SKJ139" s="422"/>
      <c r="SKK139" s="422"/>
      <c r="SKL139" s="422"/>
      <c r="SKM139" s="422"/>
      <c r="SKN139" s="422"/>
      <c r="SKO139" s="422"/>
      <c r="SKP139" s="422"/>
      <c r="SKQ139" s="422"/>
      <c r="SKR139" s="422"/>
      <c r="SKS139" s="422"/>
      <c r="SKT139" s="422"/>
      <c r="SKU139" s="422"/>
      <c r="SKV139" s="422"/>
      <c r="SKW139" s="422"/>
      <c r="SKX139" s="422"/>
      <c r="SKY139" s="422"/>
      <c r="SKZ139" s="422"/>
      <c r="SLA139" s="422"/>
      <c r="SLB139" s="422"/>
      <c r="SLC139" s="422"/>
      <c r="SLD139" s="422"/>
      <c r="SLE139" s="422"/>
      <c r="SLF139" s="422"/>
      <c r="SLG139" s="422"/>
      <c r="SLH139" s="422"/>
      <c r="SLI139" s="422"/>
      <c r="SLJ139" s="422"/>
      <c r="SLK139" s="422"/>
      <c r="SLL139" s="422"/>
      <c r="SLM139" s="422"/>
      <c r="SLN139" s="422"/>
      <c r="SLO139" s="422"/>
      <c r="SLP139" s="422"/>
      <c r="SLQ139" s="422"/>
      <c r="SLR139" s="422"/>
      <c r="SLS139" s="422"/>
      <c r="SLT139" s="422"/>
      <c r="SLU139" s="422"/>
      <c r="SLV139" s="422"/>
      <c r="SLW139" s="422"/>
      <c r="SLX139" s="422"/>
      <c r="SLY139" s="422"/>
      <c r="SLZ139" s="422"/>
      <c r="SMA139" s="422"/>
      <c r="SMB139" s="422"/>
      <c r="SMC139" s="422"/>
      <c r="SMD139" s="422"/>
      <c r="SME139" s="422"/>
      <c r="SMF139" s="422"/>
      <c r="SMG139" s="422"/>
      <c r="SMH139" s="422"/>
      <c r="SMI139" s="422"/>
      <c r="SMJ139" s="422"/>
      <c r="SMK139" s="422"/>
      <c r="SML139" s="422"/>
      <c r="SMM139" s="422"/>
      <c r="SMN139" s="422"/>
      <c r="SMO139" s="422"/>
      <c r="SMP139" s="422"/>
      <c r="SMQ139" s="422"/>
      <c r="SMR139" s="422"/>
      <c r="SMS139" s="422"/>
      <c r="SMT139" s="422"/>
      <c r="SMU139" s="422"/>
      <c r="SMV139" s="422"/>
      <c r="SMW139" s="422"/>
      <c r="SMX139" s="422"/>
      <c r="SMY139" s="422"/>
      <c r="SMZ139" s="422"/>
      <c r="SNA139" s="422"/>
      <c r="SNB139" s="422"/>
      <c r="SNC139" s="422"/>
      <c r="SND139" s="422"/>
      <c r="SNE139" s="422"/>
      <c r="SNF139" s="422"/>
      <c r="SNG139" s="422"/>
      <c r="SNH139" s="422"/>
      <c r="SNI139" s="422"/>
      <c r="SNJ139" s="422"/>
      <c r="SNK139" s="422"/>
      <c r="SNL139" s="422"/>
      <c r="SNM139" s="422"/>
      <c r="SNN139" s="422"/>
      <c r="SNO139" s="422"/>
      <c r="SNP139" s="422"/>
      <c r="SNQ139" s="422"/>
      <c r="SNR139" s="422"/>
      <c r="SNS139" s="422"/>
      <c r="SNT139" s="422"/>
      <c r="SNU139" s="422"/>
      <c r="SNV139" s="422"/>
      <c r="SNW139" s="422"/>
      <c r="SNX139" s="422"/>
      <c r="SNY139" s="422"/>
      <c r="SNZ139" s="422"/>
      <c r="SOA139" s="422"/>
      <c r="SOB139" s="422"/>
      <c r="SOC139" s="422"/>
      <c r="SOD139" s="422"/>
      <c r="SOE139" s="422"/>
      <c r="SOF139" s="422"/>
      <c r="SOG139" s="422"/>
      <c r="SOH139" s="422"/>
      <c r="SOI139" s="422"/>
      <c r="SOJ139" s="422"/>
      <c r="SOK139" s="422"/>
      <c r="SOL139" s="422"/>
      <c r="SOM139" s="422"/>
      <c r="SON139" s="422"/>
      <c r="SOO139" s="422"/>
      <c r="SOP139" s="422"/>
      <c r="SOQ139" s="422"/>
      <c r="SOR139" s="422"/>
      <c r="SOS139" s="422"/>
      <c r="SOT139" s="422"/>
      <c r="SOU139" s="422"/>
      <c r="SOV139" s="422"/>
      <c r="SOW139" s="422"/>
      <c r="SOX139" s="422"/>
      <c r="SOY139" s="422"/>
      <c r="SOZ139" s="422"/>
      <c r="SPA139" s="422"/>
      <c r="SPB139" s="422"/>
      <c r="SPC139" s="422"/>
      <c r="SPD139" s="422"/>
      <c r="SPE139" s="422"/>
      <c r="SPF139" s="422"/>
      <c r="SPG139" s="422"/>
      <c r="SPH139" s="422"/>
      <c r="SPI139" s="422"/>
      <c r="SPJ139" s="422"/>
      <c r="SPK139" s="422"/>
      <c r="SPL139" s="422"/>
      <c r="SPM139" s="422"/>
      <c r="SPN139" s="422"/>
      <c r="SPO139" s="422"/>
      <c r="SPP139" s="422"/>
      <c r="SPQ139" s="422"/>
      <c r="SPR139" s="422"/>
      <c r="SPS139" s="422"/>
      <c r="SPT139" s="422"/>
      <c r="SPU139" s="422"/>
      <c r="SPV139" s="422"/>
      <c r="SPW139" s="422"/>
      <c r="SPX139" s="422"/>
      <c r="SPY139" s="422"/>
      <c r="SPZ139" s="422"/>
      <c r="SQA139" s="422"/>
      <c r="SQB139" s="422"/>
      <c r="SQC139" s="422"/>
      <c r="SQD139" s="422"/>
      <c r="SQE139" s="422"/>
      <c r="SQF139" s="422"/>
      <c r="SQG139" s="422"/>
      <c r="SQH139" s="422"/>
      <c r="SQI139" s="422"/>
      <c r="SQJ139" s="422"/>
      <c r="SQK139" s="422"/>
      <c r="SQL139" s="422"/>
      <c r="SQM139" s="422"/>
      <c r="SQN139" s="422"/>
      <c r="SQO139" s="422"/>
      <c r="SQP139" s="422"/>
      <c r="SQQ139" s="422"/>
      <c r="SQR139" s="422"/>
      <c r="SQS139" s="422"/>
      <c r="SQT139" s="422"/>
      <c r="SQU139" s="422"/>
      <c r="SQV139" s="422"/>
      <c r="SQW139" s="422"/>
      <c r="SQX139" s="422"/>
      <c r="SQY139" s="422"/>
      <c r="SQZ139" s="422"/>
      <c r="SRA139" s="422"/>
      <c r="SRB139" s="422"/>
      <c r="SRC139" s="422"/>
      <c r="SRD139" s="422"/>
      <c r="SRE139" s="422"/>
      <c r="SRF139" s="422"/>
      <c r="SRG139" s="422"/>
      <c r="SRH139" s="422"/>
      <c r="SRI139" s="422"/>
      <c r="SRJ139" s="422"/>
      <c r="SRK139" s="422"/>
      <c r="SRL139" s="422"/>
      <c r="SRM139" s="422"/>
      <c r="SRN139" s="422"/>
      <c r="SRO139" s="422"/>
      <c r="SRP139" s="422"/>
      <c r="SRQ139" s="422"/>
      <c r="SRR139" s="422"/>
      <c r="SRS139" s="422"/>
      <c r="SRT139" s="422"/>
      <c r="SRU139" s="422"/>
      <c r="SRV139" s="422"/>
      <c r="SRW139" s="422"/>
      <c r="SRX139" s="422"/>
      <c r="SRY139" s="422"/>
      <c r="SRZ139" s="422"/>
      <c r="SSA139" s="422"/>
      <c r="SSB139" s="422"/>
      <c r="SSC139" s="422"/>
      <c r="SSD139" s="422"/>
      <c r="SSE139" s="422"/>
      <c r="SSF139" s="422"/>
      <c r="SSG139" s="422"/>
      <c r="SSH139" s="422"/>
      <c r="SSI139" s="422"/>
      <c r="SSJ139" s="422"/>
      <c r="SSK139" s="422"/>
      <c r="SSL139" s="422"/>
      <c r="SSM139" s="422"/>
      <c r="SSN139" s="422"/>
      <c r="SSO139" s="422"/>
      <c r="SSP139" s="422"/>
      <c r="SSQ139" s="422"/>
      <c r="SSR139" s="422"/>
      <c r="SSS139" s="422"/>
      <c r="SST139" s="422"/>
      <c r="SSU139" s="422"/>
      <c r="SSV139" s="422"/>
      <c r="SSW139" s="422"/>
      <c r="SSX139" s="422"/>
      <c r="SSY139" s="422"/>
      <c r="SSZ139" s="422"/>
      <c r="STA139" s="422"/>
      <c r="STB139" s="422"/>
      <c r="STC139" s="422"/>
      <c r="STD139" s="422"/>
      <c r="STE139" s="422"/>
      <c r="STF139" s="422"/>
      <c r="STG139" s="422"/>
      <c r="STH139" s="422"/>
      <c r="STI139" s="422"/>
      <c r="STJ139" s="422"/>
      <c r="STK139" s="422"/>
      <c r="STL139" s="422"/>
      <c r="STM139" s="422"/>
      <c r="STN139" s="422"/>
      <c r="STO139" s="422"/>
      <c r="STP139" s="422"/>
      <c r="STQ139" s="422"/>
      <c r="STR139" s="422"/>
      <c r="STS139" s="422"/>
      <c r="STT139" s="422"/>
      <c r="STU139" s="422"/>
      <c r="STV139" s="422"/>
      <c r="STW139" s="422"/>
      <c r="STX139" s="422"/>
      <c r="STY139" s="422"/>
      <c r="STZ139" s="422"/>
      <c r="SUA139" s="422"/>
      <c r="SUB139" s="422"/>
      <c r="SUC139" s="422"/>
      <c r="SUD139" s="422"/>
      <c r="SUE139" s="422"/>
      <c r="SUF139" s="422"/>
      <c r="SUG139" s="422"/>
      <c r="SUH139" s="422"/>
      <c r="SUI139" s="422"/>
      <c r="SUJ139" s="422"/>
      <c r="SUK139" s="422"/>
      <c r="SUL139" s="422"/>
      <c r="SUM139" s="422"/>
      <c r="SUN139" s="422"/>
      <c r="SUO139" s="422"/>
      <c r="SUP139" s="422"/>
      <c r="SUQ139" s="422"/>
      <c r="SUR139" s="422"/>
      <c r="SUS139" s="422"/>
      <c r="SUT139" s="422"/>
      <c r="SUU139" s="422"/>
      <c r="SUV139" s="422"/>
      <c r="SUW139" s="422"/>
      <c r="SUX139" s="422"/>
      <c r="SUY139" s="422"/>
      <c r="SUZ139" s="422"/>
      <c r="SVA139" s="422"/>
      <c r="SVB139" s="422"/>
      <c r="SVC139" s="422"/>
      <c r="SVD139" s="422"/>
      <c r="SVE139" s="422"/>
      <c r="SVF139" s="422"/>
      <c r="SVG139" s="422"/>
      <c r="SVH139" s="422"/>
      <c r="SVI139" s="422"/>
      <c r="SVJ139" s="422"/>
      <c r="SVK139" s="422"/>
      <c r="SVL139" s="422"/>
      <c r="SVM139" s="422"/>
      <c r="SVN139" s="422"/>
      <c r="SVO139" s="422"/>
      <c r="SVP139" s="422"/>
      <c r="SVQ139" s="422"/>
      <c r="SVR139" s="422"/>
      <c r="SVS139" s="422"/>
      <c r="SVT139" s="422"/>
      <c r="SVU139" s="422"/>
      <c r="SVV139" s="422"/>
      <c r="SVW139" s="422"/>
      <c r="SVX139" s="422"/>
      <c r="SVY139" s="422"/>
      <c r="SVZ139" s="422"/>
      <c r="SWA139" s="422"/>
      <c r="SWB139" s="422"/>
      <c r="SWC139" s="422"/>
      <c r="SWD139" s="422"/>
      <c r="SWE139" s="422"/>
      <c r="SWF139" s="422"/>
      <c r="SWG139" s="422"/>
      <c r="SWH139" s="422"/>
      <c r="SWI139" s="422"/>
      <c r="SWJ139" s="422"/>
      <c r="SWK139" s="422"/>
      <c r="SWL139" s="422"/>
      <c r="SWM139" s="422"/>
      <c r="SWN139" s="422"/>
      <c r="SWO139" s="422"/>
      <c r="SWP139" s="422"/>
      <c r="SWQ139" s="422"/>
      <c r="SWR139" s="422"/>
      <c r="SWS139" s="422"/>
      <c r="SWT139" s="422"/>
      <c r="SWU139" s="422"/>
      <c r="SWV139" s="422"/>
      <c r="SWW139" s="422"/>
      <c r="SWX139" s="422"/>
      <c r="SWY139" s="422"/>
      <c r="SWZ139" s="422"/>
      <c r="SXA139" s="422"/>
      <c r="SXB139" s="422"/>
      <c r="SXC139" s="422"/>
      <c r="SXD139" s="422"/>
      <c r="SXE139" s="422"/>
      <c r="SXF139" s="422"/>
      <c r="SXG139" s="422"/>
      <c r="SXH139" s="422"/>
      <c r="SXI139" s="422"/>
      <c r="SXJ139" s="422"/>
      <c r="SXK139" s="422"/>
      <c r="SXL139" s="422"/>
      <c r="SXM139" s="422"/>
      <c r="SXN139" s="422"/>
      <c r="SXO139" s="422"/>
      <c r="SXP139" s="422"/>
      <c r="SXQ139" s="422"/>
      <c r="SXR139" s="422"/>
      <c r="SXS139" s="422"/>
      <c r="SXT139" s="422"/>
      <c r="SXU139" s="422"/>
      <c r="SXV139" s="422"/>
      <c r="SXW139" s="422"/>
      <c r="SXX139" s="422"/>
      <c r="SXY139" s="422"/>
      <c r="SXZ139" s="422"/>
      <c r="SYA139" s="422"/>
      <c r="SYB139" s="422"/>
      <c r="SYC139" s="422"/>
      <c r="SYD139" s="422"/>
      <c r="SYE139" s="422"/>
      <c r="SYF139" s="422"/>
      <c r="SYG139" s="422"/>
      <c r="SYH139" s="422"/>
      <c r="SYI139" s="422"/>
      <c r="SYJ139" s="422"/>
      <c r="SYK139" s="422"/>
      <c r="SYL139" s="422"/>
      <c r="SYM139" s="422"/>
      <c r="SYN139" s="422"/>
      <c r="SYO139" s="422"/>
      <c r="SYP139" s="422"/>
      <c r="SYQ139" s="422"/>
      <c r="SYR139" s="422"/>
      <c r="SYS139" s="422"/>
      <c r="SYT139" s="422"/>
      <c r="SYU139" s="422"/>
      <c r="SYV139" s="422"/>
      <c r="SYW139" s="422"/>
      <c r="SYX139" s="422"/>
      <c r="SYY139" s="422"/>
      <c r="SYZ139" s="422"/>
      <c r="SZA139" s="422"/>
      <c r="SZB139" s="422"/>
      <c r="SZC139" s="422"/>
      <c r="SZD139" s="422"/>
      <c r="SZE139" s="422"/>
      <c r="SZF139" s="422"/>
      <c r="SZG139" s="422"/>
      <c r="SZH139" s="422"/>
      <c r="SZI139" s="422"/>
      <c r="SZJ139" s="422"/>
      <c r="SZK139" s="422"/>
      <c r="SZL139" s="422"/>
      <c r="SZM139" s="422"/>
      <c r="SZN139" s="422"/>
      <c r="SZO139" s="422"/>
      <c r="SZP139" s="422"/>
      <c r="SZQ139" s="422"/>
      <c r="SZR139" s="422"/>
      <c r="SZS139" s="422"/>
      <c r="SZT139" s="422"/>
      <c r="SZU139" s="422"/>
      <c r="SZV139" s="422"/>
      <c r="SZW139" s="422"/>
      <c r="SZX139" s="422"/>
      <c r="SZY139" s="422"/>
      <c r="SZZ139" s="422"/>
      <c r="TAA139" s="422"/>
      <c r="TAB139" s="422"/>
      <c r="TAC139" s="422"/>
      <c r="TAD139" s="422"/>
      <c r="TAE139" s="422"/>
      <c r="TAF139" s="422"/>
      <c r="TAG139" s="422"/>
      <c r="TAH139" s="422"/>
      <c r="TAI139" s="422"/>
      <c r="TAJ139" s="422"/>
      <c r="TAK139" s="422"/>
      <c r="TAL139" s="422"/>
      <c r="TAM139" s="422"/>
      <c r="TAN139" s="422"/>
      <c r="TAO139" s="422"/>
      <c r="TAP139" s="422"/>
      <c r="TAQ139" s="422"/>
      <c r="TAR139" s="422"/>
      <c r="TAS139" s="422"/>
      <c r="TAT139" s="422"/>
      <c r="TAU139" s="422"/>
      <c r="TAV139" s="422"/>
      <c r="TAW139" s="422"/>
      <c r="TAX139" s="422"/>
      <c r="TAY139" s="422"/>
      <c r="TAZ139" s="422"/>
      <c r="TBA139" s="422"/>
      <c r="TBB139" s="422"/>
      <c r="TBC139" s="422"/>
      <c r="TBD139" s="422"/>
      <c r="TBE139" s="422"/>
      <c r="TBF139" s="422"/>
      <c r="TBG139" s="422"/>
      <c r="TBH139" s="422"/>
      <c r="TBI139" s="422"/>
      <c r="TBJ139" s="422"/>
      <c r="TBK139" s="422"/>
      <c r="TBL139" s="422"/>
      <c r="TBM139" s="422"/>
      <c r="TBN139" s="422"/>
      <c r="TBO139" s="422"/>
      <c r="TBP139" s="422"/>
      <c r="TBQ139" s="422"/>
      <c r="TBR139" s="422"/>
      <c r="TBS139" s="422"/>
      <c r="TBT139" s="422"/>
      <c r="TBU139" s="422"/>
      <c r="TBV139" s="422"/>
      <c r="TBW139" s="422"/>
      <c r="TBX139" s="422"/>
      <c r="TBY139" s="422"/>
      <c r="TBZ139" s="422"/>
      <c r="TCA139" s="422"/>
      <c r="TCB139" s="422"/>
      <c r="TCC139" s="422"/>
      <c r="TCD139" s="422"/>
      <c r="TCE139" s="422"/>
      <c r="TCF139" s="422"/>
      <c r="TCG139" s="422"/>
      <c r="TCH139" s="422"/>
      <c r="TCI139" s="422"/>
      <c r="TCJ139" s="422"/>
      <c r="TCK139" s="422"/>
      <c r="TCL139" s="422"/>
      <c r="TCM139" s="422"/>
      <c r="TCN139" s="422"/>
      <c r="TCO139" s="422"/>
      <c r="TCP139" s="422"/>
      <c r="TCQ139" s="422"/>
      <c r="TCR139" s="422"/>
      <c r="TCS139" s="422"/>
      <c r="TCT139" s="422"/>
      <c r="TCU139" s="422"/>
      <c r="TCV139" s="422"/>
      <c r="TCW139" s="422"/>
      <c r="TCX139" s="422"/>
      <c r="TCY139" s="422"/>
      <c r="TCZ139" s="422"/>
      <c r="TDA139" s="422"/>
      <c r="TDB139" s="422"/>
      <c r="TDC139" s="422"/>
      <c r="TDD139" s="422"/>
      <c r="TDE139" s="422"/>
      <c r="TDF139" s="422"/>
      <c r="TDG139" s="422"/>
      <c r="TDH139" s="422"/>
      <c r="TDI139" s="422"/>
      <c r="TDJ139" s="422"/>
      <c r="TDK139" s="422"/>
      <c r="TDL139" s="422"/>
      <c r="TDM139" s="422"/>
      <c r="TDN139" s="422"/>
      <c r="TDO139" s="422"/>
      <c r="TDP139" s="422"/>
      <c r="TDQ139" s="422"/>
      <c r="TDR139" s="422"/>
      <c r="TDS139" s="422"/>
      <c r="TDT139" s="422"/>
      <c r="TDU139" s="422"/>
      <c r="TDV139" s="422"/>
      <c r="TDW139" s="422"/>
      <c r="TDX139" s="422"/>
      <c r="TDY139" s="422"/>
      <c r="TDZ139" s="422"/>
      <c r="TEA139" s="422"/>
      <c r="TEB139" s="422"/>
      <c r="TEC139" s="422"/>
      <c r="TED139" s="422"/>
      <c r="TEE139" s="422"/>
      <c r="TEF139" s="422"/>
      <c r="TEG139" s="422"/>
      <c r="TEH139" s="422"/>
      <c r="TEI139" s="422"/>
      <c r="TEJ139" s="422"/>
      <c r="TEK139" s="422"/>
      <c r="TEL139" s="422"/>
      <c r="TEM139" s="422"/>
      <c r="TEN139" s="422"/>
      <c r="TEO139" s="422"/>
      <c r="TEP139" s="422"/>
      <c r="TEQ139" s="422"/>
      <c r="TER139" s="422"/>
      <c r="TES139" s="422"/>
      <c r="TET139" s="422"/>
      <c r="TEU139" s="422"/>
      <c r="TEV139" s="422"/>
      <c r="TEW139" s="422"/>
      <c r="TEX139" s="422"/>
      <c r="TEY139" s="422"/>
      <c r="TEZ139" s="422"/>
      <c r="TFA139" s="422"/>
      <c r="TFB139" s="422"/>
      <c r="TFC139" s="422"/>
      <c r="TFD139" s="422"/>
      <c r="TFE139" s="422"/>
      <c r="TFF139" s="422"/>
      <c r="TFG139" s="422"/>
      <c r="TFH139" s="422"/>
      <c r="TFI139" s="422"/>
      <c r="TFJ139" s="422"/>
      <c r="TFK139" s="422"/>
      <c r="TFL139" s="422"/>
      <c r="TFM139" s="422"/>
      <c r="TFN139" s="422"/>
      <c r="TFO139" s="422"/>
      <c r="TFP139" s="422"/>
      <c r="TFQ139" s="422"/>
      <c r="TFR139" s="422"/>
      <c r="TFS139" s="422"/>
      <c r="TFT139" s="422"/>
      <c r="TFU139" s="422"/>
      <c r="TFV139" s="422"/>
      <c r="TFW139" s="422"/>
      <c r="TFX139" s="422"/>
      <c r="TFY139" s="422"/>
      <c r="TFZ139" s="422"/>
      <c r="TGA139" s="422"/>
      <c r="TGB139" s="422"/>
      <c r="TGC139" s="422"/>
      <c r="TGD139" s="422"/>
      <c r="TGE139" s="422"/>
      <c r="TGF139" s="422"/>
      <c r="TGG139" s="422"/>
      <c r="TGH139" s="422"/>
      <c r="TGI139" s="422"/>
      <c r="TGJ139" s="422"/>
      <c r="TGK139" s="422"/>
      <c r="TGL139" s="422"/>
      <c r="TGM139" s="422"/>
      <c r="TGN139" s="422"/>
      <c r="TGO139" s="422"/>
      <c r="TGP139" s="422"/>
      <c r="TGQ139" s="422"/>
      <c r="TGR139" s="422"/>
      <c r="TGS139" s="422"/>
      <c r="TGT139" s="422"/>
      <c r="TGU139" s="422"/>
      <c r="TGV139" s="422"/>
      <c r="TGW139" s="422"/>
      <c r="TGX139" s="422"/>
      <c r="TGY139" s="422"/>
      <c r="TGZ139" s="422"/>
      <c r="THA139" s="422"/>
      <c r="THB139" s="422"/>
      <c r="THC139" s="422"/>
      <c r="THD139" s="422"/>
      <c r="THE139" s="422"/>
      <c r="THF139" s="422"/>
      <c r="THG139" s="422"/>
      <c r="THH139" s="422"/>
      <c r="THI139" s="422"/>
      <c r="THJ139" s="422"/>
      <c r="THK139" s="422"/>
      <c r="THL139" s="422"/>
      <c r="THM139" s="422"/>
      <c r="THN139" s="422"/>
      <c r="THO139" s="422"/>
      <c r="THP139" s="422"/>
      <c r="THQ139" s="422"/>
      <c r="THR139" s="422"/>
      <c r="THS139" s="422"/>
      <c r="THT139" s="422"/>
      <c r="THU139" s="422"/>
      <c r="THV139" s="422"/>
      <c r="THW139" s="422"/>
      <c r="THX139" s="422"/>
      <c r="THY139" s="422"/>
      <c r="THZ139" s="422"/>
      <c r="TIA139" s="422"/>
      <c r="TIB139" s="422"/>
      <c r="TIC139" s="422"/>
      <c r="TID139" s="422"/>
      <c r="TIE139" s="422"/>
      <c r="TIF139" s="422"/>
      <c r="TIG139" s="422"/>
      <c r="TIH139" s="422"/>
      <c r="TII139" s="422"/>
      <c r="TIJ139" s="422"/>
      <c r="TIK139" s="422"/>
      <c r="TIL139" s="422"/>
      <c r="TIM139" s="422"/>
      <c r="TIN139" s="422"/>
      <c r="TIO139" s="422"/>
      <c r="TIP139" s="422"/>
      <c r="TIQ139" s="422"/>
      <c r="TIR139" s="422"/>
      <c r="TIS139" s="422"/>
      <c r="TIT139" s="422"/>
      <c r="TIU139" s="422"/>
      <c r="TIV139" s="422"/>
      <c r="TIW139" s="422"/>
      <c r="TIX139" s="422"/>
      <c r="TIY139" s="422"/>
      <c r="TIZ139" s="422"/>
      <c r="TJA139" s="422"/>
      <c r="TJB139" s="422"/>
      <c r="TJC139" s="422"/>
      <c r="TJD139" s="422"/>
      <c r="TJE139" s="422"/>
      <c r="TJF139" s="422"/>
      <c r="TJG139" s="422"/>
      <c r="TJH139" s="422"/>
      <c r="TJI139" s="422"/>
      <c r="TJJ139" s="422"/>
      <c r="TJK139" s="422"/>
      <c r="TJL139" s="422"/>
      <c r="TJM139" s="422"/>
      <c r="TJN139" s="422"/>
      <c r="TJO139" s="422"/>
      <c r="TJP139" s="422"/>
      <c r="TJQ139" s="422"/>
      <c r="TJR139" s="422"/>
      <c r="TJS139" s="422"/>
      <c r="TJT139" s="422"/>
      <c r="TJU139" s="422"/>
      <c r="TJV139" s="422"/>
      <c r="TJW139" s="422"/>
      <c r="TJX139" s="422"/>
      <c r="TJY139" s="422"/>
      <c r="TJZ139" s="422"/>
      <c r="TKA139" s="422"/>
      <c r="TKB139" s="422"/>
      <c r="TKC139" s="422"/>
      <c r="TKD139" s="422"/>
      <c r="TKE139" s="422"/>
      <c r="TKF139" s="422"/>
      <c r="TKG139" s="422"/>
      <c r="TKH139" s="422"/>
      <c r="TKI139" s="422"/>
      <c r="TKJ139" s="422"/>
      <c r="TKK139" s="422"/>
      <c r="TKL139" s="422"/>
      <c r="TKM139" s="422"/>
      <c r="TKN139" s="422"/>
      <c r="TKO139" s="422"/>
      <c r="TKP139" s="422"/>
      <c r="TKQ139" s="422"/>
      <c r="TKR139" s="422"/>
      <c r="TKS139" s="422"/>
      <c r="TKT139" s="422"/>
      <c r="TKU139" s="422"/>
      <c r="TKV139" s="422"/>
      <c r="TKW139" s="422"/>
      <c r="TKX139" s="422"/>
      <c r="TKY139" s="422"/>
      <c r="TKZ139" s="422"/>
      <c r="TLA139" s="422"/>
      <c r="TLB139" s="422"/>
      <c r="TLC139" s="422"/>
      <c r="TLD139" s="422"/>
      <c r="TLE139" s="422"/>
      <c r="TLF139" s="422"/>
      <c r="TLG139" s="422"/>
      <c r="TLH139" s="422"/>
      <c r="TLI139" s="422"/>
      <c r="TLJ139" s="422"/>
      <c r="TLK139" s="422"/>
      <c r="TLL139" s="422"/>
      <c r="TLM139" s="422"/>
      <c r="TLN139" s="422"/>
      <c r="TLO139" s="422"/>
      <c r="TLP139" s="422"/>
      <c r="TLQ139" s="422"/>
      <c r="TLR139" s="422"/>
      <c r="TLS139" s="422"/>
      <c r="TLT139" s="422"/>
      <c r="TLU139" s="422"/>
      <c r="TLV139" s="422"/>
      <c r="TLW139" s="422"/>
      <c r="TLX139" s="422"/>
      <c r="TLY139" s="422"/>
      <c r="TLZ139" s="422"/>
      <c r="TMA139" s="422"/>
      <c r="TMB139" s="422"/>
      <c r="TMC139" s="422"/>
      <c r="TMD139" s="422"/>
      <c r="TME139" s="422"/>
      <c r="TMF139" s="422"/>
      <c r="TMG139" s="422"/>
      <c r="TMH139" s="422"/>
      <c r="TMI139" s="422"/>
      <c r="TMJ139" s="422"/>
      <c r="TMK139" s="422"/>
      <c r="TML139" s="422"/>
      <c r="TMM139" s="422"/>
      <c r="TMN139" s="422"/>
      <c r="TMO139" s="422"/>
      <c r="TMP139" s="422"/>
      <c r="TMQ139" s="422"/>
      <c r="TMR139" s="422"/>
      <c r="TMS139" s="422"/>
      <c r="TMT139" s="422"/>
      <c r="TMU139" s="422"/>
      <c r="TMV139" s="422"/>
      <c r="TMW139" s="422"/>
      <c r="TMX139" s="422"/>
      <c r="TMY139" s="422"/>
      <c r="TMZ139" s="422"/>
      <c r="TNA139" s="422"/>
      <c r="TNB139" s="422"/>
      <c r="TNC139" s="422"/>
      <c r="TND139" s="422"/>
      <c r="TNE139" s="422"/>
      <c r="TNF139" s="422"/>
      <c r="TNG139" s="422"/>
      <c r="TNH139" s="422"/>
      <c r="TNI139" s="422"/>
      <c r="TNJ139" s="422"/>
      <c r="TNK139" s="422"/>
      <c r="TNL139" s="422"/>
      <c r="TNM139" s="422"/>
      <c r="TNN139" s="422"/>
      <c r="TNO139" s="422"/>
      <c r="TNP139" s="422"/>
      <c r="TNQ139" s="422"/>
      <c r="TNR139" s="422"/>
      <c r="TNS139" s="422"/>
      <c r="TNT139" s="422"/>
      <c r="TNU139" s="422"/>
      <c r="TNV139" s="422"/>
      <c r="TNW139" s="422"/>
      <c r="TNX139" s="422"/>
      <c r="TNY139" s="422"/>
      <c r="TNZ139" s="422"/>
      <c r="TOA139" s="422"/>
      <c r="TOB139" s="422"/>
      <c r="TOC139" s="422"/>
      <c r="TOD139" s="422"/>
      <c r="TOE139" s="422"/>
      <c r="TOF139" s="422"/>
      <c r="TOG139" s="422"/>
      <c r="TOH139" s="422"/>
      <c r="TOI139" s="422"/>
      <c r="TOJ139" s="422"/>
      <c r="TOK139" s="422"/>
      <c r="TOL139" s="422"/>
      <c r="TOM139" s="422"/>
      <c r="TON139" s="422"/>
      <c r="TOO139" s="422"/>
      <c r="TOP139" s="422"/>
      <c r="TOQ139" s="422"/>
      <c r="TOR139" s="422"/>
      <c r="TOS139" s="422"/>
      <c r="TOT139" s="422"/>
      <c r="TOU139" s="422"/>
      <c r="TOV139" s="422"/>
      <c r="TOW139" s="422"/>
      <c r="TOX139" s="422"/>
      <c r="TOY139" s="422"/>
      <c r="TOZ139" s="422"/>
      <c r="TPA139" s="422"/>
      <c r="TPB139" s="422"/>
      <c r="TPC139" s="422"/>
      <c r="TPD139" s="422"/>
      <c r="TPE139" s="422"/>
      <c r="TPF139" s="422"/>
      <c r="TPG139" s="422"/>
      <c r="TPH139" s="422"/>
      <c r="TPI139" s="422"/>
      <c r="TPJ139" s="422"/>
      <c r="TPK139" s="422"/>
      <c r="TPL139" s="422"/>
      <c r="TPM139" s="422"/>
      <c r="TPN139" s="422"/>
      <c r="TPO139" s="422"/>
      <c r="TPP139" s="422"/>
      <c r="TPQ139" s="422"/>
      <c r="TPR139" s="422"/>
      <c r="TPS139" s="422"/>
      <c r="TPT139" s="422"/>
      <c r="TPU139" s="422"/>
      <c r="TPV139" s="422"/>
      <c r="TPW139" s="422"/>
      <c r="TPX139" s="422"/>
      <c r="TPY139" s="422"/>
      <c r="TPZ139" s="422"/>
      <c r="TQA139" s="422"/>
      <c r="TQB139" s="422"/>
      <c r="TQC139" s="422"/>
      <c r="TQD139" s="422"/>
      <c r="TQE139" s="422"/>
      <c r="TQF139" s="422"/>
      <c r="TQG139" s="422"/>
      <c r="TQH139" s="422"/>
      <c r="TQI139" s="422"/>
      <c r="TQJ139" s="422"/>
      <c r="TQK139" s="422"/>
      <c r="TQL139" s="422"/>
      <c r="TQM139" s="422"/>
      <c r="TQN139" s="422"/>
      <c r="TQO139" s="422"/>
      <c r="TQP139" s="422"/>
      <c r="TQQ139" s="422"/>
      <c r="TQR139" s="422"/>
      <c r="TQS139" s="422"/>
      <c r="TQT139" s="422"/>
      <c r="TQU139" s="422"/>
      <c r="TQV139" s="422"/>
      <c r="TQW139" s="422"/>
      <c r="TQX139" s="422"/>
      <c r="TQY139" s="422"/>
      <c r="TQZ139" s="422"/>
      <c r="TRA139" s="422"/>
      <c r="TRB139" s="422"/>
      <c r="TRC139" s="422"/>
      <c r="TRD139" s="422"/>
      <c r="TRE139" s="422"/>
      <c r="TRF139" s="422"/>
      <c r="TRG139" s="422"/>
      <c r="TRH139" s="422"/>
      <c r="TRI139" s="422"/>
      <c r="TRJ139" s="422"/>
      <c r="TRK139" s="422"/>
      <c r="TRL139" s="422"/>
      <c r="TRM139" s="422"/>
      <c r="TRN139" s="422"/>
      <c r="TRO139" s="422"/>
      <c r="TRP139" s="422"/>
      <c r="TRQ139" s="422"/>
      <c r="TRR139" s="422"/>
      <c r="TRS139" s="422"/>
      <c r="TRT139" s="422"/>
      <c r="TRU139" s="422"/>
      <c r="TRV139" s="422"/>
      <c r="TRW139" s="422"/>
      <c r="TRX139" s="422"/>
      <c r="TRY139" s="422"/>
      <c r="TRZ139" s="422"/>
      <c r="TSA139" s="422"/>
      <c r="TSB139" s="422"/>
      <c r="TSC139" s="422"/>
      <c r="TSD139" s="422"/>
      <c r="TSE139" s="422"/>
      <c r="TSF139" s="422"/>
      <c r="TSG139" s="422"/>
      <c r="TSH139" s="422"/>
      <c r="TSI139" s="422"/>
      <c r="TSJ139" s="422"/>
      <c r="TSK139" s="422"/>
      <c r="TSL139" s="422"/>
      <c r="TSM139" s="422"/>
      <c r="TSN139" s="422"/>
      <c r="TSO139" s="422"/>
      <c r="TSP139" s="422"/>
      <c r="TSQ139" s="422"/>
      <c r="TSR139" s="422"/>
      <c r="TSS139" s="422"/>
      <c r="TST139" s="422"/>
      <c r="TSU139" s="422"/>
      <c r="TSV139" s="422"/>
      <c r="TSW139" s="422"/>
      <c r="TSX139" s="422"/>
      <c r="TSY139" s="422"/>
      <c r="TSZ139" s="422"/>
      <c r="TTA139" s="422"/>
      <c r="TTB139" s="422"/>
      <c r="TTC139" s="422"/>
      <c r="TTD139" s="422"/>
      <c r="TTE139" s="422"/>
      <c r="TTF139" s="422"/>
      <c r="TTG139" s="422"/>
      <c r="TTH139" s="422"/>
      <c r="TTI139" s="422"/>
      <c r="TTJ139" s="422"/>
      <c r="TTK139" s="422"/>
      <c r="TTL139" s="422"/>
      <c r="TTM139" s="422"/>
      <c r="TTN139" s="422"/>
      <c r="TTO139" s="422"/>
      <c r="TTP139" s="422"/>
      <c r="TTQ139" s="422"/>
      <c r="TTR139" s="422"/>
      <c r="TTS139" s="422"/>
      <c r="TTT139" s="422"/>
      <c r="TTU139" s="422"/>
      <c r="TTV139" s="422"/>
      <c r="TTW139" s="422"/>
      <c r="TTX139" s="422"/>
      <c r="TTY139" s="422"/>
      <c r="TTZ139" s="422"/>
      <c r="TUA139" s="422"/>
      <c r="TUB139" s="422"/>
      <c r="TUC139" s="422"/>
      <c r="TUD139" s="422"/>
      <c r="TUE139" s="422"/>
      <c r="TUF139" s="422"/>
      <c r="TUG139" s="422"/>
      <c r="TUH139" s="422"/>
      <c r="TUI139" s="422"/>
      <c r="TUJ139" s="422"/>
      <c r="TUK139" s="422"/>
      <c r="TUL139" s="422"/>
      <c r="TUM139" s="422"/>
      <c r="TUN139" s="422"/>
      <c r="TUO139" s="422"/>
      <c r="TUP139" s="422"/>
      <c r="TUQ139" s="422"/>
      <c r="TUR139" s="422"/>
      <c r="TUS139" s="422"/>
      <c r="TUT139" s="422"/>
      <c r="TUU139" s="422"/>
      <c r="TUV139" s="422"/>
      <c r="TUW139" s="422"/>
      <c r="TUX139" s="422"/>
      <c r="TUY139" s="422"/>
      <c r="TUZ139" s="422"/>
      <c r="TVA139" s="422"/>
      <c r="TVB139" s="422"/>
      <c r="TVC139" s="422"/>
      <c r="TVD139" s="422"/>
      <c r="TVE139" s="422"/>
      <c r="TVF139" s="422"/>
      <c r="TVG139" s="422"/>
      <c r="TVH139" s="422"/>
      <c r="TVI139" s="422"/>
      <c r="TVJ139" s="422"/>
      <c r="TVK139" s="422"/>
      <c r="TVL139" s="422"/>
      <c r="TVM139" s="422"/>
      <c r="TVN139" s="422"/>
      <c r="TVO139" s="422"/>
      <c r="TVP139" s="422"/>
      <c r="TVQ139" s="422"/>
      <c r="TVR139" s="422"/>
      <c r="TVS139" s="422"/>
      <c r="TVT139" s="422"/>
      <c r="TVU139" s="422"/>
      <c r="TVV139" s="422"/>
      <c r="TVW139" s="422"/>
      <c r="TVX139" s="422"/>
      <c r="TVY139" s="422"/>
      <c r="TVZ139" s="422"/>
      <c r="TWA139" s="422"/>
      <c r="TWB139" s="422"/>
      <c r="TWC139" s="422"/>
      <c r="TWD139" s="422"/>
      <c r="TWE139" s="422"/>
      <c r="TWF139" s="422"/>
      <c r="TWG139" s="422"/>
      <c r="TWH139" s="422"/>
      <c r="TWI139" s="422"/>
      <c r="TWJ139" s="422"/>
      <c r="TWK139" s="422"/>
      <c r="TWL139" s="422"/>
      <c r="TWM139" s="422"/>
      <c r="TWN139" s="422"/>
      <c r="TWO139" s="422"/>
      <c r="TWP139" s="422"/>
      <c r="TWQ139" s="422"/>
      <c r="TWR139" s="422"/>
      <c r="TWS139" s="422"/>
      <c r="TWT139" s="422"/>
      <c r="TWU139" s="422"/>
      <c r="TWV139" s="422"/>
      <c r="TWW139" s="422"/>
      <c r="TWX139" s="422"/>
      <c r="TWY139" s="422"/>
      <c r="TWZ139" s="422"/>
      <c r="TXA139" s="422"/>
      <c r="TXB139" s="422"/>
      <c r="TXC139" s="422"/>
      <c r="TXD139" s="422"/>
      <c r="TXE139" s="422"/>
      <c r="TXF139" s="422"/>
      <c r="TXG139" s="422"/>
      <c r="TXH139" s="422"/>
      <c r="TXI139" s="422"/>
      <c r="TXJ139" s="422"/>
      <c r="TXK139" s="422"/>
      <c r="TXL139" s="422"/>
      <c r="TXM139" s="422"/>
      <c r="TXN139" s="422"/>
      <c r="TXO139" s="422"/>
      <c r="TXP139" s="422"/>
      <c r="TXQ139" s="422"/>
      <c r="TXR139" s="422"/>
      <c r="TXS139" s="422"/>
      <c r="TXT139" s="422"/>
      <c r="TXU139" s="422"/>
      <c r="TXV139" s="422"/>
      <c r="TXW139" s="422"/>
      <c r="TXX139" s="422"/>
      <c r="TXY139" s="422"/>
      <c r="TXZ139" s="422"/>
      <c r="TYA139" s="422"/>
      <c r="TYB139" s="422"/>
      <c r="TYC139" s="422"/>
      <c r="TYD139" s="422"/>
      <c r="TYE139" s="422"/>
      <c r="TYF139" s="422"/>
      <c r="TYG139" s="422"/>
      <c r="TYH139" s="422"/>
      <c r="TYI139" s="422"/>
      <c r="TYJ139" s="422"/>
      <c r="TYK139" s="422"/>
      <c r="TYL139" s="422"/>
      <c r="TYM139" s="422"/>
      <c r="TYN139" s="422"/>
      <c r="TYO139" s="422"/>
      <c r="TYP139" s="422"/>
      <c r="TYQ139" s="422"/>
      <c r="TYR139" s="422"/>
      <c r="TYS139" s="422"/>
      <c r="TYT139" s="422"/>
      <c r="TYU139" s="422"/>
      <c r="TYV139" s="422"/>
      <c r="TYW139" s="422"/>
      <c r="TYX139" s="422"/>
      <c r="TYY139" s="422"/>
      <c r="TYZ139" s="422"/>
      <c r="TZA139" s="422"/>
      <c r="TZB139" s="422"/>
      <c r="TZC139" s="422"/>
      <c r="TZD139" s="422"/>
      <c r="TZE139" s="422"/>
      <c r="TZF139" s="422"/>
      <c r="TZG139" s="422"/>
      <c r="TZH139" s="422"/>
      <c r="TZI139" s="422"/>
      <c r="TZJ139" s="422"/>
      <c r="TZK139" s="422"/>
      <c r="TZL139" s="422"/>
      <c r="TZM139" s="422"/>
      <c r="TZN139" s="422"/>
      <c r="TZO139" s="422"/>
      <c r="TZP139" s="422"/>
      <c r="TZQ139" s="422"/>
      <c r="TZR139" s="422"/>
      <c r="TZS139" s="422"/>
      <c r="TZT139" s="422"/>
      <c r="TZU139" s="422"/>
      <c r="TZV139" s="422"/>
      <c r="TZW139" s="422"/>
      <c r="TZX139" s="422"/>
      <c r="TZY139" s="422"/>
      <c r="TZZ139" s="422"/>
      <c r="UAA139" s="422"/>
      <c r="UAB139" s="422"/>
      <c r="UAC139" s="422"/>
      <c r="UAD139" s="422"/>
      <c r="UAE139" s="422"/>
      <c r="UAF139" s="422"/>
      <c r="UAG139" s="422"/>
      <c r="UAH139" s="422"/>
      <c r="UAI139" s="422"/>
      <c r="UAJ139" s="422"/>
      <c r="UAK139" s="422"/>
      <c r="UAL139" s="422"/>
      <c r="UAM139" s="422"/>
      <c r="UAN139" s="422"/>
      <c r="UAO139" s="422"/>
      <c r="UAP139" s="422"/>
      <c r="UAQ139" s="422"/>
      <c r="UAR139" s="422"/>
      <c r="UAS139" s="422"/>
      <c r="UAT139" s="422"/>
      <c r="UAU139" s="422"/>
      <c r="UAV139" s="422"/>
      <c r="UAW139" s="422"/>
      <c r="UAX139" s="422"/>
      <c r="UAY139" s="422"/>
      <c r="UAZ139" s="422"/>
      <c r="UBA139" s="422"/>
      <c r="UBB139" s="422"/>
      <c r="UBC139" s="422"/>
      <c r="UBD139" s="422"/>
      <c r="UBE139" s="422"/>
      <c r="UBF139" s="422"/>
      <c r="UBG139" s="422"/>
      <c r="UBH139" s="422"/>
      <c r="UBI139" s="422"/>
      <c r="UBJ139" s="422"/>
      <c r="UBK139" s="422"/>
      <c r="UBL139" s="422"/>
      <c r="UBM139" s="422"/>
      <c r="UBN139" s="422"/>
      <c r="UBO139" s="422"/>
      <c r="UBP139" s="422"/>
      <c r="UBQ139" s="422"/>
      <c r="UBR139" s="422"/>
      <c r="UBS139" s="422"/>
      <c r="UBT139" s="422"/>
      <c r="UBU139" s="422"/>
      <c r="UBV139" s="422"/>
      <c r="UBW139" s="422"/>
      <c r="UBX139" s="422"/>
      <c r="UBY139" s="422"/>
      <c r="UBZ139" s="422"/>
      <c r="UCA139" s="422"/>
      <c r="UCB139" s="422"/>
      <c r="UCC139" s="422"/>
      <c r="UCD139" s="422"/>
      <c r="UCE139" s="422"/>
      <c r="UCF139" s="422"/>
      <c r="UCG139" s="422"/>
      <c r="UCH139" s="422"/>
      <c r="UCI139" s="422"/>
      <c r="UCJ139" s="422"/>
      <c r="UCK139" s="422"/>
      <c r="UCL139" s="422"/>
      <c r="UCM139" s="422"/>
      <c r="UCN139" s="422"/>
      <c r="UCO139" s="422"/>
      <c r="UCP139" s="422"/>
      <c r="UCQ139" s="422"/>
      <c r="UCR139" s="422"/>
      <c r="UCS139" s="422"/>
      <c r="UCT139" s="422"/>
      <c r="UCU139" s="422"/>
      <c r="UCV139" s="422"/>
      <c r="UCW139" s="422"/>
      <c r="UCX139" s="422"/>
      <c r="UCY139" s="422"/>
      <c r="UCZ139" s="422"/>
      <c r="UDA139" s="422"/>
      <c r="UDB139" s="422"/>
      <c r="UDC139" s="422"/>
      <c r="UDD139" s="422"/>
      <c r="UDE139" s="422"/>
      <c r="UDF139" s="422"/>
      <c r="UDG139" s="422"/>
      <c r="UDH139" s="422"/>
      <c r="UDI139" s="422"/>
      <c r="UDJ139" s="422"/>
      <c r="UDK139" s="422"/>
      <c r="UDL139" s="422"/>
      <c r="UDM139" s="422"/>
      <c r="UDN139" s="422"/>
      <c r="UDO139" s="422"/>
      <c r="UDP139" s="422"/>
      <c r="UDQ139" s="422"/>
      <c r="UDR139" s="422"/>
      <c r="UDS139" s="422"/>
      <c r="UDT139" s="422"/>
      <c r="UDU139" s="422"/>
      <c r="UDV139" s="422"/>
      <c r="UDW139" s="422"/>
      <c r="UDX139" s="422"/>
      <c r="UDY139" s="422"/>
      <c r="UDZ139" s="422"/>
      <c r="UEA139" s="422"/>
      <c r="UEB139" s="422"/>
      <c r="UEC139" s="422"/>
      <c r="UED139" s="422"/>
      <c r="UEE139" s="422"/>
      <c r="UEF139" s="422"/>
      <c r="UEG139" s="422"/>
      <c r="UEH139" s="422"/>
      <c r="UEI139" s="422"/>
      <c r="UEJ139" s="422"/>
      <c r="UEK139" s="422"/>
      <c r="UEL139" s="422"/>
      <c r="UEM139" s="422"/>
      <c r="UEN139" s="422"/>
      <c r="UEO139" s="422"/>
      <c r="UEP139" s="422"/>
      <c r="UEQ139" s="422"/>
      <c r="UER139" s="422"/>
      <c r="UES139" s="422"/>
      <c r="UET139" s="422"/>
      <c r="UEU139" s="422"/>
      <c r="UEV139" s="422"/>
      <c r="UEW139" s="422"/>
      <c r="UEX139" s="422"/>
      <c r="UEY139" s="422"/>
      <c r="UEZ139" s="422"/>
      <c r="UFA139" s="422"/>
      <c r="UFB139" s="422"/>
      <c r="UFC139" s="422"/>
      <c r="UFD139" s="422"/>
      <c r="UFE139" s="422"/>
      <c r="UFF139" s="422"/>
      <c r="UFG139" s="422"/>
      <c r="UFH139" s="422"/>
      <c r="UFI139" s="422"/>
      <c r="UFJ139" s="422"/>
      <c r="UFK139" s="422"/>
      <c r="UFL139" s="422"/>
      <c r="UFM139" s="422"/>
      <c r="UFN139" s="422"/>
      <c r="UFO139" s="422"/>
      <c r="UFP139" s="422"/>
      <c r="UFQ139" s="422"/>
      <c r="UFR139" s="422"/>
      <c r="UFS139" s="422"/>
      <c r="UFT139" s="422"/>
      <c r="UFU139" s="422"/>
      <c r="UFV139" s="422"/>
      <c r="UFW139" s="422"/>
      <c r="UFX139" s="422"/>
      <c r="UFY139" s="422"/>
      <c r="UFZ139" s="422"/>
      <c r="UGA139" s="422"/>
      <c r="UGB139" s="422"/>
      <c r="UGC139" s="422"/>
      <c r="UGD139" s="422"/>
      <c r="UGE139" s="422"/>
      <c r="UGF139" s="422"/>
      <c r="UGG139" s="422"/>
      <c r="UGH139" s="422"/>
      <c r="UGI139" s="422"/>
      <c r="UGJ139" s="422"/>
      <c r="UGK139" s="422"/>
      <c r="UGL139" s="422"/>
      <c r="UGM139" s="422"/>
      <c r="UGN139" s="422"/>
      <c r="UGO139" s="422"/>
      <c r="UGP139" s="422"/>
      <c r="UGQ139" s="422"/>
      <c r="UGR139" s="422"/>
      <c r="UGS139" s="422"/>
      <c r="UGT139" s="422"/>
      <c r="UGU139" s="422"/>
      <c r="UGV139" s="422"/>
      <c r="UGW139" s="422"/>
      <c r="UGX139" s="422"/>
      <c r="UGY139" s="422"/>
      <c r="UGZ139" s="422"/>
      <c r="UHA139" s="422"/>
      <c r="UHB139" s="422"/>
      <c r="UHC139" s="422"/>
      <c r="UHD139" s="422"/>
      <c r="UHE139" s="422"/>
      <c r="UHF139" s="422"/>
      <c r="UHG139" s="422"/>
      <c r="UHH139" s="422"/>
      <c r="UHI139" s="422"/>
      <c r="UHJ139" s="422"/>
      <c r="UHK139" s="422"/>
      <c r="UHL139" s="422"/>
      <c r="UHM139" s="422"/>
      <c r="UHN139" s="422"/>
      <c r="UHO139" s="422"/>
      <c r="UHP139" s="422"/>
      <c r="UHQ139" s="422"/>
      <c r="UHR139" s="422"/>
      <c r="UHS139" s="422"/>
      <c r="UHT139" s="422"/>
      <c r="UHU139" s="422"/>
      <c r="UHV139" s="422"/>
      <c r="UHW139" s="422"/>
      <c r="UHX139" s="422"/>
      <c r="UHY139" s="422"/>
      <c r="UHZ139" s="422"/>
      <c r="UIA139" s="422"/>
      <c r="UIB139" s="422"/>
      <c r="UIC139" s="422"/>
      <c r="UID139" s="422"/>
      <c r="UIE139" s="422"/>
      <c r="UIF139" s="422"/>
      <c r="UIG139" s="422"/>
      <c r="UIH139" s="422"/>
      <c r="UII139" s="422"/>
      <c r="UIJ139" s="422"/>
      <c r="UIK139" s="422"/>
      <c r="UIL139" s="422"/>
      <c r="UIM139" s="422"/>
      <c r="UIN139" s="422"/>
      <c r="UIO139" s="422"/>
      <c r="UIP139" s="422"/>
      <c r="UIQ139" s="422"/>
      <c r="UIR139" s="422"/>
      <c r="UIS139" s="422"/>
      <c r="UIT139" s="422"/>
      <c r="UIU139" s="422"/>
      <c r="UIV139" s="422"/>
      <c r="UIW139" s="422"/>
      <c r="UIX139" s="422"/>
      <c r="UIY139" s="422"/>
      <c r="UIZ139" s="422"/>
      <c r="UJA139" s="422"/>
      <c r="UJB139" s="422"/>
      <c r="UJC139" s="422"/>
      <c r="UJD139" s="422"/>
      <c r="UJE139" s="422"/>
      <c r="UJF139" s="422"/>
      <c r="UJG139" s="422"/>
      <c r="UJH139" s="422"/>
      <c r="UJI139" s="422"/>
      <c r="UJJ139" s="422"/>
      <c r="UJK139" s="422"/>
      <c r="UJL139" s="422"/>
      <c r="UJM139" s="422"/>
      <c r="UJN139" s="422"/>
      <c r="UJO139" s="422"/>
      <c r="UJP139" s="422"/>
      <c r="UJQ139" s="422"/>
      <c r="UJR139" s="422"/>
      <c r="UJS139" s="422"/>
      <c r="UJT139" s="422"/>
      <c r="UJU139" s="422"/>
      <c r="UJV139" s="422"/>
      <c r="UJW139" s="422"/>
      <c r="UJX139" s="422"/>
      <c r="UJY139" s="422"/>
      <c r="UJZ139" s="422"/>
      <c r="UKA139" s="422"/>
      <c r="UKB139" s="422"/>
      <c r="UKC139" s="422"/>
      <c r="UKD139" s="422"/>
      <c r="UKE139" s="422"/>
      <c r="UKF139" s="422"/>
      <c r="UKG139" s="422"/>
      <c r="UKH139" s="422"/>
      <c r="UKI139" s="422"/>
      <c r="UKJ139" s="422"/>
      <c r="UKK139" s="422"/>
      <c r="UKL139" s="422"/>
      <c r="UKM139" s="422"/>
      <c r="UKN139" s="422"/>
      <c r="UKO139" s="422"/>
      <c r="UKP139" s="422"/>
      <c r="UKQ139" s="422"/>
      <c r="UKR139" s="422"/>
      <c r="UKS139" s="422"/>
      <c r="UKT139" s="422"/>
      <c r="UKU139" s="422"/>
      <c r="UKV139" s="422"/>
      <c r="UKW139" s="422"/>
      <c r="UKX139" s="422"/>
      <c r="UKY139" s="422"/>
      <c r="UKZ139" s="422"/>
      <c r="ULA139" s="422"/>
      <c r="ULB139" s="422"/>
      <c r="ULC139" s="422"/>
      <c r="ULD139" s="422"/>
      <c r="ULE139" s="422"/>
      <c r="ULF139" s="422"/>
      <c r="ULG139" s="422"/>
      <c r="ULH139" s="422"/>
      <c r="ULI139" s="422"/>
      <c r="ULJ139" s="422"/>
      <c r="ULK139" s="422"/>
      <c r="ULL139" s="422"/>
      <c r="ULM139" s="422"/>
      <c r="ULN139" s="422"/>
      <c r="ULO139" s="422"/>
      <c r="ULP139" s="422"/>
      <c r="ULQ139" s="422"/>
      <c r="ULR139" s="422"/>
      <c r="ULS139" s="422"/>
      <c r="ULT139" s="422"/>
      <c r="ULU139" s="422"/>
      <c r="ULV139" s="422"/>
      <c r="ULW139" s="422"/>
      <c r="ULX139" s="422"/>
      <c r="ULY139" s="422"/>
      <c r="ULZ139" s="422"/>
      <c r="UMA139" s="422"/>
      <c r="UMB139" s="422"/>
      <c r="UMC139" s="422"/>
      <c r="UMD139" s="422"/>
      <c r="UME139" s="422"/>
      <c r="UMF139" s="422"/>
      <c r="UMG139" s="422"/>
      <c r="UMH139" s="422"/>
      <c r="UMI139" s="422"/>
      <c r="UMJ139" s="422"/>
      <c r="UMK139" s="422"/>
      <c r="UML139" s="422"/>
      <c r="UMM139" s="422"/>
      <c r="UMN139" s="422"/>
      <c r="UMO139" s="422"/>
      <c r="UMP139" s="422"/>
      <c r="UMQ139" s="422"/>
      <c r="UMR139" s="422"/>
      <c r="UMS139" s="422"/>
      <c r="UMT139" s="422"/>
      <c r="UMU139" s="422"/>
      <c r="UMV139" s="422"/>
      <c r="UMW139" s="422"/>
      <c r="UMX139" s="422"/>
      <c r="UMY139" s="422"/>
      <c r="UMZ139" s="422"/>
      <c r="UNA139" s="422"/>
      <c r="UNB139" s="422"/>
      <c r="UNC139" s="422"/>
      <c r="UND139" s="422"/>
      <c r="UNE139" s="422"/>
      <c r="UNF139" s="422"/>
      <c r="UNG139" s="422"/>
      <c r="UNH139" s="422"/>
      <c r="UNI139" s="422"/>
      <c r="UNJ139" s="422"/>
      <c r="UNK139" s="422"/>
      <c r="UNL139" s="422"/>
      <c r="UNM139" s="422"/>
      <c r="UNN139" s="422"/>
      <c r="UNO139" s="422"/>
      <c r="UNP139" s="422"/>
      <c r="UNQ139" s="422"/>
      <c r="UNR139" s="422"/>
      <c r="UNS139" s="422"/>
      <c r="UNT139" s="422"/>
      <c r="UNU139" s="422"/>
      <c r="UNV139" s="422"/>
      <c r="UNW139" s="422"/>
      <c r="UNX139" s="422"/>
      <c r="UNY139" s="422"/>
      <c r="UNZ139" s="422"/>
      <c r="UOA139" s="422"/>
      <c r="UOB139" s="422"/>
      <c r="UOC139" s="422"/>
      <c r="UOD139" s="422"/>
      <c r="UOE139" s="422"/>
      <c r="UOF139" s="422"/>
      <c r="UOG139" s="422"/>
      <c r="UOH139" s="422"/>
      <c r="UOI139" s="422"/>
      <c r="UOJ139" s="422"/>
      <c r="UOK139" s="422"/>
      <c r="UOL139" s="422"/>
      <c r="UOM139" s="422"/>
      <c r="UON139" s="422"/>
      <c r="UOO139" s="422"/>
      <c r="UOP139" s="422"/>
      <c r="UOQ139" s="422"/>
      <c r="UOR139" s="422"/>
      <c r="UOS139" s="422"/>
      <c r="UOT139" s="422"/>
      <c r="UOU139" s="422"/>
      <c r="UOV139" s="422"/>
      <c r="UOW139" s="422"/>
      <c r="UOX139" s="422"/>
      <c r="UOY139" s="422"/>
      <c r="UOZ139" s="422"/>
      <c r="UPA139" s="422"/>
      <c r="UPB139" s="422"/>
      <c r="UPC139" s="422"/>
      <c r="UPD139" s="422"/>
      <c r="UPE139" s="422"/>
      <c r="UPF139" s="422"/>
      <c r="UPG139" s="422"/>
      <c r="UPH139" s="422"/>
      <c r="UPI139" s="422"/>
      <c r="UPJ139" s="422"/>
      <c r="UPK139" s="422"/>
      <c r="UPL139" s="422"/>
      <c r="UPM139" s="422"/>
      <c r="UPN139" s="422"/>
      <c r="UPO139" s="422"/>
      <c r="UPP139" s="422"/>
      <c r="UPQ139" s="422"/>
      <c r="UPR139" s="422"/>
      <c r="UPS139" s="422"/>
      <c r="UPT139" s="422"/>
      <c r="UPU139" s="422"/>
      <c r="UPV139" s="422"/>
      <c r="UPW139" s="422"/>
      <c r="UPX139" s="422"/>
      <c r="UPY139" s="422"/>
      <c r="UPZ139" s="422"/>
      <c r="UQA139" s="422"/>
      <c r="UQB139" s="422"/>
      <c r="UQC139" s="422"/>
      <c r="UQD139" s="422"/>
      <c r="UQE139" s="422"/>
      <c r="UQF139" s="422"/>
      <c r="UQG139" s="422"/>
      <c r="UQH139" s="422"/>
      <c r="UQI139" s="422"/>
      <c r="UQJ139" s="422"/>
      <c r="UQK139" s="422"/>
      <c r="UQL139" s="422"/>
      <c r="UQM139" s="422"/>
      <c r="UQN139" s="422"/>
      <c r="UQO139" s="422"/>
      <c r="UQP139" s="422"/>
      <c r="UQQ139" s="422"/>
      <c r="UQR139" s="422"/>
      <c r="UQS139" s="422"/>
      <c r="UQT139" s="422"/>
      <c r="UQU139" s="422"/>
      <c r="UQV139" s="422"/>
      <c r="UQW139" s="422"/>
      <c r="UQX139" s="422"/>
      <c r="UQY139" s="422"/>
      <c r="UQZ139" s="422"/>
      <c r="URA139" s="422"/>
      <c r="URB139" s="422"/>
      <c r="URC139" s="422"/>
      <c r="URD139" s="422"/>
      <c r="URE139" s="422"/>
      <c r="URF139" s="422"/>
      <c r="URG139" s="422"/>
      <c r="URH139" s="422"/>
      <c r="URI139" s="422"/>
      <c r="URJ139" s="422"/>
      <c r="URK139" s="422"/>
      <c r="URL139" s="422"/>
      <c r="URM139" s="422"/>
      <c r="URN139" s="422"/>
      <c r="URO139" s="422"/>
      <c r="URP139" s="422"/>
      <c r="URQ139" s="422"/>
      <c r="URR139" s="422"/>
      <c r="URS139" s="422"/>
      <c r="URT139" s="422"/>
      <c r="URU139" s="422"/>
      <c r="URV139" s="422"/>
      <c r="URW139" s="422"/>
      <c r="URX139" s="422"/>
      <c r="URY139" s="422"/>
      <c r="URZ139" s="422"/>
      <c r="USA139" s="422"/>
      <c r="USB139" s="422"/>
      <c r="USC139" s="422"/>
      <c r="USD139" s="422"/>
      <c r="USE139" s="422"/>
      <c r="USF139" s="422"/>
      <c r="USG139" s="422"/>
      <c r="USH139" s="422"/>
      <c r="USI139" s="422"/>
      <c r="USJ139" s="422"/>
      <c r="USK139" s="422"/>
      <c r="USL139" s="422"/>
      <c r="USM139" s="422"/>
      <c r="USN139" s="422"/>
      <c r="USO139" s="422"/>
      <c r="USP139" s="422"/>
      <c r="USQ139" s="422"/>
      <c r="USR139" s="422"/>
      <c r="USS139" s="422"/>
      <c r="UST139" s="422"/>
      <c r="USU139" s="422"/>
      <c r="USV139" s="422"/>
      <c r="USW139" s="422"/>
      <c r="USX139" s="422"/>
      <c r="USY139" s="422"/>
      <c r="USZ139" s="422"/>
      <c r="UTA139" s="422"/>
      <c r="UTB139" s="422"/>
      <c r="UTC139" s="422"/>
      <c r="UTD139" s="422"/>
      <c r="UTE139" s="422"/>
      <c r="UTF139" s="422"/>
      <c r="UTG139" s="422"/>
      <c r="UTH139" s="422"/>
      <c r="UTI139" s="422"/>
      <c r="UTJ139" s="422"/>
      <c r="UTK139" s="422"/>
      <c r="UTL139" s="422"/>
      <c r="UTM139" s="422"/>
      <c r="UTN139" s="422"/>
      <c r="UTO139" s="422"/>
      <c r="UTP139" s="422"/>
      <c r="UTQ139" s="422"/>
      <c r="UTR139" s="422"/>
      <c r="UTS139" s="422"/>
      <c r="UTT139" s="422"/>
      <c r="UTU139" s="422"/>
      <c r="UTV139" s="422"/>
      <c r="UTW139" s="422"/>
      <c r="UTX139" s="422"/>
      <c r="UTY139" s="422"/>
      <c r="UTZ139" s="422"/>
      <c r="UUA139" s="422"/>
      <c r="UUB139" s="422"/>
      <c r="UUC139" s="422"/>
      <c r="UUD139" s="422"/>
      <c r="UUE139" s="422"/>
      <c r="UUF139" s="422"/>
      <c r="UUG139" s="422"/>
      <c r="UUH139" s="422"/>
      <c r="UUI139" s="422"/>
      <c r="UUJ139" s="422"/>
      <c r="UUK139" s="422"/>
      <c r="UUL139" s="422"/>
      <c r="UUM139" s="422"/>
      <c r="UUN139" s="422"/>
      <c r="UUO139" s="422"/>
      <c r="UUP139" s="422"/>
      <c r="UUQ139" s="422"/>
      <c r="UUR139" s="422"/>
      <c r="UUS139" s="422"/>
      <c r="UUT139" s="422"/>
      <c r="UUU139" s="422"/>
      <c r="UUV139" s="422"/>
      <c r="UUW139" s="422"/>
      <c r="UUX139" s="422"/>
      <c r="UUY139" s="422"/>
      <c r="UUZ139" s="422"/>
      <c r="UVA139" s="422"/>
      <c r="UVB139" s="422"/>
      <c r="UVC139" s="422"/>
      <c r="UVD139" s="422"/>
      <c r="UVE139" s="422"/>
      <c r="UVF139" s="422"/>
      <c r="UVG139" s="422"/>
      <c r="UVH139" s="422"/>
      <c r="UVI139" s="422"/>
      <c r="UVJ139" s="422"/>
      <c r="UVK139" s="422"/>
      <c r="UVL139" s="422"/>
      <c r="UVM139" s="422"/>
      <c r="UVN139" s="422"/>
      <c r="UVO139" s="422"/>
      <c r="UVP139" s="422"/>
      <c r="UVQ139" s="422"/>
      <c r="UVR139" s="422"/>
      <c r="UVS139" s="422"/>
      <c r="UVT139" s="422"/>
      <c r="UVU139" s="422"/>
      <c r="UVV139" s="422"/>
      <c r="UVW139" s="422"/>
      <c r="UVX139" s="422"/>
      <c r="UVY139" s="422"/>
      <c r="UVZ139" s="422"/>
      <c r="UWA139" s="422"/>
      <c r="UWB139" s="422"/>
      <c r="UWC139" s="422"/>
      <c r="UWD139" s="422"/>
      <c r="UWE139" s="422"/>
      <c r="UWF139" s="422"/>
      <c r="UWG139" s="422"/>
      <c r="UWH139" s="422"/>
      <c r="UWI139" s="422"/>
      <c r="UWJ139" s="422"/>
      <c r="UWK139" s="422"/>
      <c r="UWL139" s="422"/>
      <c r="UWM139" s="422"/>
      <c r="UWN139" s="422"/>
      <c r="UWO139" s="422"/>
      <c r="UWP139" s="422"/>
      <c r="UWQ139" s="422"/>
      <c r="UWR139" s="422"/>
      <c r="UWS139" s="422"/>
      <c r="UWT139" s="422"/>
      <c r="UWU139" s="422"/>
      <c r="UWV139" s="422"/>
      <c r="UWW139" s="422"/>
      <c r="UWX139" s="422"/>
      <c r="UWY139" s="422"/>
      <c r="UWZ139" s="422"/>
      <c r="UXA139" s="422"/>
      <c r="UXB139" s="422"/>
      <c r="UXC139" s="422"/>
      <c r="UXD139" s="422"/>
      <c r="UXE139" s="422"/>
      <c r="UXF139" s="422"/>
      <c r="UXG139" s="422"/>
      <c r="UXH139" s="422"/>
      <c r="UXI139" s="422"/>
      <c r="UXJ139" s="422"/>
      <c r="UXK139" s="422"/>
      <c r="UXL139" s="422"/>
      <c r="UXM139" s="422"/>
      <c r="UXN139" s="422"/>
      <c r="UXO139" s="422"/>
      <c r="UXP139" s="422"/>
      <c r="UXQ139" s="422"/>
      <c r="UXR139" s="422"/>
      <c r="UXS139" s="422"/>
      <c r="UXT139" s="422"/>
      <c r="UXU139" s="422"/>
      <c r="UXV139" s="422"/>
      <c r="UXW139" s="422"/>
      <c r="UXX139" s="422"/>
      <c r="UXY139" s="422"/>
      <c r="UXZ139" s="422"/>
      <c r="UYA139" s="422"/>
      <c r="UYB139" s="422"/>
      <c r="UYC139" s="422"/>
      <c r="UYD139" s="422"/>
      <c r="UYE139" s="422"/>
      <c r="UYF139" s="422"/>
      <c r="UYG139" s="422"/>
      <c r="UYH139" s="422"/>
      <c r="UYI139" s="422"/>
      <c r="UYJ139" s="422"/>
      <c r="UYK139" s="422"/>
      <c r="UYL139" s="422"/>
      <c r="UYM139" s="422"/>
      <c r="UYN139" s="422"/>
      <c r="UYO139" s="422"/>
      <c r="UYP139" s="422"/>
      <c r="UYQ139" s="422"/>
      <c r="UYR139" s="422"/>
      <c r="UYS139" s="422"/>
      <c r="UYT139" s="422"/>
      <c r="UYU139" s="422"/>
      <c r="UYV139" s="422"/>
      <c r="UYW139" s="422"/>
      <c r="UYX139" s="422"/>
      <c r="UYY139" s="422"/>
      <c r="UYZ139" s="422"/>
      <c r="UZA139" s="422"/>
      <c r="UZB139" s="422"/>
      <c r="UZC139" s="422"/>
      <c r="UZD139" s="422"/>
      <c r="UZE139" s="422"/>
      <c r="UZF139" s="422"/>
      <c r="UZG139" s="422"/>
      <c r="UZH139" s="422"/>
      <c r="UZI139" s="422"/>
      <c r="UZJ139" s="422"/>
      <c r="UZK139" s="422"/>
      <c r="UZL139" s="422"/>
      <c r="UZM139" s="422"/>
      <c r="UZN139" s="422"/>
      <c r="UZO139" s="422"/>
      <c r="UZP139" s="422"/>
      <c r="UZQ139" s="422"/>
      <c r="UZR139" s="422"/>
      <c r="UZS139" s="422"/>
      <c r="UZT139" s="422"/>
      <c r="UZU139" s="422"/>
      <c r="UZV139" s="422"/>
      <c r="UZW139" s="422"/>
      <c r="UZX139" s="422"/>
      <c r="UZY139" s="422"/>
      <c r="UZZ139" s="422"/>
      <c r="VAA139" s="422"/>
      <c r="VAB139" s="422"/>
      <c r="VAC139" s="422"/>
      <c r="VAD139" s="422"/>
      <c r="VAE139" s="422"/>
      <c r="VAF139" s="422"/>
      <c r="VAG139" s="422"/>
      <c r="VAH139" s="422"/>
      <c r="VAI139" s="422"/>
      <c r="VAJ139" s="422"/>
      <c r="VAK139" s="422"/>
      <c r="VAL139" s="422"/>
      <c r="VAM139" s="422"/>
      <c r="VAN139" s="422"/>
      <c r="VAO139" s="422"/>
      <c r="VAP139" s="422"/>
      <c r="VAQ139" s="422"/>
      <c r="VAR139" s="422"/>
      <c r="VAS139" s="422"/>
      <c r="VAT139" s="422"/>
      <c r="VAU139" s="422"/>
      <c r="VAV139" s="422"/>
      <c r="VAW139" s="422"/>
      <c r="VAX139" s="422"/>
      <c r="VAY139" s="422"/>
      <c r="VAZ139" s="422"/>
      <c r="VBA139" s="422"/>
      <c r="VBB139" s="422"/>
      <c r="VBC139" s="422"/>
      <c r="VBD139" s="422"/>
      <c r="VBE139" s="422"/>
      <c r="VBF139" s="422"/>
      <c r="VBG139" s="422"/>
      <c r="VBH139" s="422"/>
      <c r="VBI139" s="422"/>
      <c r="VBJ139" s="422"/>
      <c r="VBK139" s="422"/>
      <c r="VBL139" s="422"/>
      <c r="VBM139" s="422"/>
      <c r="VBN139" s="422"/>
      <c r="VBO139" s="422"/>
      <c r="VBP139" s="422"/>
      <c r="VBQ139" s="422"/>
      <c r="VBR139" s="422"/>
      <c r="VBS139" s="422"/>
      <c r="VBT139" s="422"/>
      <c r="VBU139" s="422"/>
      <c r="VBV139" s="422"/>
      <c r="VBW139" s="422"/>
      <c r="VBX139" s="422"/>
      <c r="VBY139" s="422"/>
      <c r="VBZ139" s="422"/>
      <c r="VCA139" s="422"/>
      <c r="VCB139" s="422"/>
      <c r="VCC139" s="422"/>
      <c r="VCD139" s="422"/>
      <c r="VCE139" s="422"/>
      <c r="VCF139" s="422"/>
      <c r="VCG139" s="422"/>
      <c r="VCH139" s="422"/>
      <c r="VCI139" s="422"/>
      <c r="VCJ139" s="422"/>
      <c r="VCK139" s="422"/>
      <c r="VCL139" s="422"/>
      <c r="VCM139" s="422"/>
      <c r="VCN139" s="422"/>
      <c r="VCO139" s="422"/>
      <c r="VCP139" s="422"/>
      <c r="VCQ139" s="422"/>
      <c r="VCR139" s="422"/>
      <c r="VCS139" s="422"/>
      <c r="VCT139" s="422"/>
      <c r="VCU139" s="422"/>
      <c r="VCV139" s="422"/>
      <c r="VCW139" s="422"/>
      <c r="VCX139" s="422"/>
      <c r="VCY139" s="422"/>
      <c r="VCZ139" s="422"/>
      <c r="VDA139" s="422"/>
      <c r="VDB139" s="422"/>
      <c r="VDC139" s="422"/>
      <c r="VDD139" s="422"/>
      <c r="VDE139" s="422"/>
      <c r="VDF139" s="422"/>
      <c r="VDG139" s="422"/>
      <c r="VDH139" s="422"/>
      <c r="VDI139" s="422"/>
      <c r="VDJ139" s="422"/>
      <c r="VDK139" s="422"/>
      <c r="VDL139" s="422"/>
      <c r="VDM139" s="422"/>
      <c r="VDN139" s="422"/>
      <c r="VDO139" s="422"/>
      <c r="VDP139" s="422"/>
      <c r="VDQ139" s="422"/>
      <c r="VDR139" s="422"/>
      <c r="VDS139" s="422"/>
      <c r="VDT139" s="422"/>
      <c r="VDU139" s="422"/>
      <c r="VDV139" s="422"/>
      <c r="VDW139" s="422"/>
      <c r="VDX139" s="422"/>
      <c r="VDY139" s="422"/>
      <c r="VDZ139" s="422"/>
      <c r="VEA139" s="422"/>
      <c r="VEB139" s="422"/>
      <c r="VEC139" s="422"/>
      <c r="VED139" s="422"/>
      <c r="VEE139" s="422"/>
      <c r="VEF139" s="422"/>
      <c r="VEG139" s="422"/>
      <c r="VEH139" s="422"/>
      <c r="VEI139" s="422"/>
      <c r="VEJ139" s="422"/>
      <c r="VEK139" s="422"/>
      <c r="VEL139" s="422"/>
      <c r="VEM139" s="422"/>
      <c r="VEN139" s="422"/>
      <c r="VEO139" s="422"/>
      <c r="VEP139" s="422"/>
      <c r="VEQ139" s="422"/>
      <c r="VER139" s="422"/>
      <c r="VES139" s="422"/>
      <c r="VET139" s="422"/>
      <c r="VEU139" s="422"/>
      <c r="VEV139" s="422"/>
      <c r="VEW139" s="422"/>
      <c r="VEX139" s="422"/>
      <c r="VEY139" s="422"/>
      <c r="VEZ139" s="422"/>
      <c r="VFA139" s="422"/>
      <c r="VFB139" s="422"/>
      <c r="VFC139" s="422"/>
      <c r="VFD139" s="422"/>
      <c r="VFE139" s="422"/>
      <c r="VFF139" s="422"/>
      <c r="VFG139" s="422"/>
      <c r="VFH139" s="422"/>
      <c r="VFI139" s="422"/>
      <c r="VFJ139" s="422"/>
      <c r="VFK139" s="422"/>
      <c r="VFL139" s="422"/>
      <c r="VFM139" s="422"/>
      <c r="VFN139" s="422"/>
      <c r="VFO139" s="422"/>
      <c r="VFP139" s="422"/>
      <c r="VFQ139" s="422"/>
      <c r="VFR139" s="422"/>
      <c r="VFS139" s="422"/>
      <c r="VFT139" s="422"/>
      <c r="VFU139" s="422"/>
      <c r="VFV139" s="422"/>
      <c r="VFW139" s="422"/>
      <c r="VFX139" s="422"/>
      <c r="VFY139" s="422"/>
      <c r="VFZ139" s="422"/>
      <c r="VGA139" s="422"/>
      <c r="VGB139" s="422"/>
      <c r="VGC139" s="422"/>
      <c r="VGD139" s="422"/>
      <c r="VGE139" s="422"/>
      <c r="VGF139" s="422"/>
      <c r="VGG139" s="422"/>
      <c r="VGH139" s="422"/>
      <c r="VGI139" s="422"/>
      <c r="VGJ139" s="422"/>
      <c r="VGK139" s="422"/>
      <c r="VGL139" s="422"/>
      <c r="VGM139" s="422"/>
      <c r="VGN139" s="422"/>
      <c r="VGO139" s="422"/>
      <c r="VGP139" s="422"/>
      <c r="VGQ139" s="422"/>
      <c r="VGR139" s="422"/>
      <c r="VGS139" s="422"/>
      <c r="VGT139" s="422"/>
      <c r="VGU139" s="422"/>
      <c r="VGV139" s="422"/>
      <c r="VGW139" s="422"/>
      <c r="VGX139" s="422"/>
      <c r="VGY139" s="422"/>
      <c r="VGZ139" s="422"/>
      <c r="VHA139" s="422"/>
      <c r="VHB139" s="422"/>
      <c r="VHC139" s="422"/>
      <c r="VHD139" s="422"/>
      <c r="VHE139" s="422"/>
      <c r="VHF139" s="422"/>
      <c r="VHG139" s="422"/>
      <c r="VHH139" s="422"/>
      <c r="VHI139" s="422"/>
      <c r="VHJ139" s="422"/>
      <c r="VHK139" s="422"/>
      <c r="VHL139" s="422"/>
      <c r="VHM139" s="422"/>
      <c r="VHN139" s="422"/>
      <c r="VHO139" s="422"/>
      <c r="VHP139" s="422"/>
      <c r="VHQ139" s="422"/>
      <c r="VHR139" s="422"/>
      <c r="VHS139" s="422"/>
      <c r="VHT139" s="422"/>
      <c r="VHU139" s="422"/>
      <c r="VHV139" s="422"/>
      <c r="VHW139" s="422"/>
      <c r="VHX139" s="422"/>
      <c r="VHY139" s="422"/>
      <c r="VHZ139" s="422"/>
      <c r="VIA139" s="422"/>
      <c r="VIB139" s="422"/>
      <c r="VIC139" s="422"/>
      <c r="VID139" s="422"/>
      <c r="VIE139" s="422"/>
      <c r="VIF139" s="422"/>
      <c r="VIG139" s="422"/>
      <c r="VIH139" s="422"/>
      <c r="VII139" s="422"/>
      <c r="VIJ139" s="422"/>
      <c r="VIK139" s="422"/>
      <c r="VIL139" s="422"/>
      <c r="VIM139" s="422"/>
      <c r="VIN139" s="422"/>
      <c r="VIO139" s="422"/>
      <c r="VIP139" s="422"/>
      <c r="VIQ139" s="422"/>
      <c r="VIR139" s="422"/>
      <c r="VIS139" s="422"/>
      <c r="VIT139" s="422"/>
      <c r="VIU139" s="422"/>
      <c r="VIV139" s="422"/>
      <c r="VIW139" s="422"/>
      <c r="VIX139" s="422"/>
      <c r="VIY139" s="422"/>
      <c r="VIZ139" s="422"/>
      <c r="VJA139" s="422"/>
      <c r="VJB139" s="422"/>
      <c r="VJC139" s="422"/>
      <c r="VJD139" s="422"/>
      <c r="VJE139" s="422"/>
      <c r="VJF139" s="422"/>
      <c r="VJG139" s="422"/>
      <c r="VJH139" s="422"/>
      <c r="VJI139" s="422"/>
      <c r="VJJ139" s="422"/>
      <c r="VJK139" s="422"/>
      <c r="VJL139" s="422"/>
      <c r="VJM139" s="422"/>
      <c r="VJN139" s="422"/>
      <c r="VJO139" s="422"/>
      <c r="VJP139" s="422"/>
      <c r="VJQ139" s="422"/>
      <c r="VJR139" s="422"/>
      <c r="VJS139" s="422"/>
      <c r="VJT139" s="422"/>
      <c r="VJU139" s="422"/>
      <c r="VJV139" s="422"/>
      <c r="VJW139" s="422"/>
      <c r="VJX139" s="422"/>
      <c r="VJY139" s="422"/>
      <c r="VJZ139" s="422"/>
      <c r="VKA139" s="422"/>
      <c r="VKB139" s="422"/>
      <c r="VKC139" s="422"/>
      <c r="VKD139" s="422"/>
      <c r="VKE139" s="422"/>
      <c r="VKF139" s="422"/>
      <c r="VKG139" s="422"/>
      <c r="VKH139" s="422"/>
      <c r="VKI139" s="422"/>
      <c r="VKJ139" s="422"/>
      <c r="VKK139" s="422"/>
      <c r="VKL139" s="422"/>
      <c r="VKM139" s="422"/>
      <c r="VKN139" s="422"/>
      <c r="VKO139" s="422"/>
      <c r="VKP139" s="422"/>
      <c r="VKQ139" s="422"/>
      <c r="VKR139" s="422"/>
      <c r="VKS139" s="422"/>
      <c r="VKT139" s="422"/>
      <c r="VKU139" s="422"/>
      <c r="VKV139" s="422"/>
      <c r="VKW139" s="422"/>
      <c r="VKX139" s="422"/>
      <c r="VKY139" s="422"/>
      <c r="VKZ139" s="422"/>
      <c r="VLA139" s="422"/>
      <c r="VLB139" s="422"/>
      <c r="VLC139" s="422"/>
      <c r="VLD139" s="422"/>
      <c r="VLE139" s="422"/>
      <c r="VLF139" s="422"/>
      <c r="VLG139" s="422"/>
      <c r="VLH139" s="422"/>
      <c r="VLI139" s="422"/>
      <c r="VLJ139" s="422"/>
      <c r="VLK139" s="422"/>
      <c r="VLL139" s="422"/>
      <c r="VLM139" s="422"/>
      <c r="VLN139" s="422"/>
      <c r="VLO139" s="422"/>
      <c r="VLP139" s="422"/>
      <c r="VLQ139" s="422"/>
      <c r="VLR139" s="422"/>
      <c r="VLS139" s="422"/>
      <c r="VLT139" s="422"/>
      <c r="VLU139" s="422"/>
      <c r="VLV139" s="422"/>
      <c r="VLW139" s="422"/>
      <c r="VLX139" s="422"/>
      <c r="VLY139" s="422"/>
      <c r="VLZ139" s="422"/>
      <c r="VMA139" s="422"/>
      <c r="VMB139" s="422"/>
      <c r="VMC139" s="422"/>
      <c r="VMD139" s="422"/>
      <c r="VME139" s="422"/>
      <c r="VMF139" s="422"/>
      <c r="VMG139" s="422"/>
      <c r="VMH139" s="422"/>
      <c r="VMI139" s="422"/>
      <c r="VMJ139" s="422"/>
      <c r="VMK139" s="422"/>
      <c r="VML139" s="422"/>
      <c r="VMM139" s="422"/>
      <c r="VMN139" s="422"/>
      <c r="VMO139" s="422"/>
      <c r="VMP139" s="422"/>
      <c r="VMQ139" s="422"/>
      <c r="VMR139" s="422"/>
      <c r="VMS139" s="422"/>
      <c r="VMT139" s="422"/>
      <c r="VMU139" s="422"/>
      <c r="VMV139" s="422"/>
      <c r="VMW139" s="422"/>
      <c r="VMX139" s="422"/>
      <c r="VMY139" s="422"/>
      <c r="VMZ139" s="422"/>
      <c r="VNA139" s="422"/>
      <c r="VNB139" s="422"/>
      <c r="VNC139" s="422"/>
      <c r="VND139" s="422"/>
      <c r="VNE139" s="422"/>
      <c r="VNF139" s="422"/>
      <c r="VNG139" s="422"/>
      <c r="VNH139" s="422"/>
      <c r="VNI139" s="422"/>
      <c r="VNJ139" s="422"/>
      <c r="VNK139" s="422"/>
      <c r="VNL139" s="422"/>
      <c r="VNM139" s="422"/>
      <c r="VNN139" s="422"/>
      <c r="VNO139" s="422"/>
      <c r="VNP139" s="422"/>
      <c r="VNQ139" s="422"/>
      <c r="VNR139" s="422"/>
      <c r="VNS139" s="422"/>
      <c r="VNT139" s="422"/>
      <c r="VNU139" s="422"/>
      <c r="VNV139" s="422"/>
      <c r="VNW139" s="422"/>
      <c r="VNX139" s="422"/>
      <c r="VNY139" s="422"/>
      <c r="VNZ139" s="422"/>
      <c r="VOA139" s="422"/>
      <c r="VOB139" s="422"/>
      <c r="VOC139" s="422"/>
      <c r="VOD139" s="422"/>
      <c r="VOE139" s="422"/>
      <c r="VOF139" s="422"/>
      <c r="VOG139" s="422"/>
      <c r="VOH139" s="422"/>
      <c r="VOI139" s="422"/>
      <c r="VOJ139" s="422"/>
      <c r="VOK139" s="422"/>
      <c r="VOL139" s="422"/>
      <c r="VOM139" s="422"/>
      <c r="VON139" s="422"/>
      <c r="VOO139" s="422"/>
      <c r="VOP139" s="422"/>
      <c r="VOQ139" s="422"/>
      <c r="VOR139" s="422"/>
      <c r="VOS139" s="422"/>
      <c r="VOT139" s="422"/>
      <c r="VOU139" s="422"/>
      <c r="VOV139" s="422"/>
      <c r="VOW139" s="422"/>
      <c r="VOX139" s="422"/>
      <c r="VOY139" s="422"/>
      <c r="VOZ139" s="422"/>
      <c r="VPA139" s="422"/>
      <c r="VPB139" s="422"/>
      <c r="VPC139" s="422"/>
      <c r="VPD139" s="422"/>
      <c r="VPE139" s="422"/>
      <c r="VPF139" s="422"/>
      <c r="VPG139" s="422"/>
      <c r="VPH139" s="422"/>
      <c r="VPI139" s="422"/>
      <c r="VPJ139" s="422"/>
      <c r="VPK139" s="422"/>
      <c r="VPL139" s="422"/>
      <c r="VPM139" s="422"/>
      <c r="VPN139" s="422"/>
      <c r="VPO139" s="422"/>
      <c r="VPP139" s="422"/>
      <c r="VPQ139" s="422"/>
      <c r="VPR139" s="422"/>
      <c r="VPS139" s="422"/>
      <c r="VPT139" s="422"/>
      <c r="VPU139" s="422"/>
      <c r="VPV139" s="422"/>
      <c r="VPW139" s="422"/>
      <c r="VPX139" s="422"/>
      <c r="VPY139" s="422"/>
      <c r="VPZ139" s="422"/>
      <c r="VQA139" s="422"/>
      <c r="VQB139" s="422"/>
      <c r="VQC139" s="422"/>
      <c r="VQD139" s="422"/>
      <c r="VQE139" s="422"/>
      <c r="VQF139" s="422"/>
      <c r="VQG139" s="422"/>
      <c r="VQH139" s="422"/>
      <c r="VQI139" s="422"/>
      <c r="VQJ139" s="422"/>
      <c r="VQK139" s="422"/>
      <c r="VQL139" s="422"/>
      <c r="VQM139" s="422"/>
      <c r="VQN139" s="422"/>
      <c r="VQO139" s="422"/>
      <c r="VQP139" s="422"/>
      <c r="VQQ139" s="422"/>
      <c r="VQR139" s="422"/>
      <c r="VQS139" s="422"/>
      <c r="VQT139" s="422"/>
      <c r="VQU139" s="422"/>
      <c r="VQV139" s="422"/>
      <c r="VQW139" s="422"/>
      <c r="VQX139" s="422"/>
      <c r="VQY139" s="422"/>
      <c r="VQZ139" s="422"/>
      <c r="VRA139" s="422"/>
      <c r="VRB139" s="422"/>
      <c r="VRC139" s="422"/>
      <c r="VRD139" s="422"/>
      <c r="VRE139" s="422"/>
      <c r="VRF139" s="422"/>
      <c r="VRG139" s="422"/>
      <c r="VRH139" s="422"/>
      <c r="VRI139" s="422"/>
      <c r="VRJ139" s="422"/>
      <c r="VRK139" s="422"/>
      <c r="VRL139" s="422"/>
      <c r="VRM139" s="422"/>
      <c r="VRN139" s="422"/>
      <c r="VRO139" s="422"/>
      <c r="VRP139" s="422"/>
      <c r="VRQ139" s="422"/>
      <c r="VRR139" s="422"/>
      <c r="VRS139" s="422"/>
      <c r="VRT139" s="422"/>
      <c r="VRU139" s="422"/>
      <c r="VRV139" s="422"/>
      <c r="VRW139" s="422"/>
      <c r="VRX139" s="422"/>
      <c r="VRY139" s="422"/>
      <c r="VRZ139" s="422"/>
      <c r="VSA139" s="422"/>
      <c r="VSB139" s="422"/>
      <c r="VSC139" s="422"/>
      <c r="VSD139" s="422"/>
      <c r="VSE139" s="422"/>
      <c r="VSF139" s="422"/>
      <c r="VSG139" s="422"/>
      <c r="VSH139" s="422"/>
      <c r="VSI139" s="422"/>
      <c r="VSJ139" s="422"/>
      <c r="VSK139" s="422"/>
      <c r="VSL139" s="422"/>
      <c r="VSM139" s="422"/>
      <c r="VSN139" s="422"/>
      <c r="VSO139" s="422"/>
      <c r="VSP139" s="422"/>
      <c r="VSQ139" s="422"/>
      <c r="VSR139" s="422"/>
      <c r="VSS139" s="422"/>
      <c r="VST139" s="422"/>
      <c r="VSU139" s="422"/>
      <c r="VSV139" s="422"/>
      <c r="VSW139" s="422"/>
      <c r="VSX139" s="422"/>
      <c r="VSY139" s="422"/>
      <c r="VSZ139" s="422"/>
      <c r="VTA139" s="422"/>
      <c r="VTB139" s="422"/>
      <c r="VTC139" s="422"/>
      <c r="VTD139" s="422"/>
      <c r="VTE139" s="422"/>
      <c r="VTF139" s="422"/>
      <c r="VTG139" s="422"/>
      <c r="VTH139" s="422"/>
      <c r="VTI139" s="422"/>
      <c r="VTJ139" s="422"/>
      <c r="VTK139" s="422"/>
      <c r="VTL139" s="422"/>
      <c r="VTM139" s="422"/>
      <c r="VTN139" s="422"/>
      <c r="VTO139" s="422"/>
      <c r="VTP139" s="422"/>
      <c r="VTQ139" s="422"/>
      <c r="VTR139" s="422"/>
      <c r="VTS139" s="422"/>
      <c r="VTT139" s="422"/>
      <c r="VTU139" s="422"/>
      <c r="VTV139" s="422"/>
      <c r="VTW139" s="422"/>
      <c r="VTX139" s="422"/>
      <c r="VTY139" s="422"/>
      <c r="VTZ139" s="422"/>
      <c r="VUA139" s="422"/>
      <c r="VUB139" s="422"/>
      <c r="VUC139" s="422"/>
      <c r="VUD139" s="422"/>
      <c r="VUE139" s="422"/>
      <c r="VUF139" s="422"/>
      <c r="VUG139" s="422"/>
      <c r="VUH139" s="422"/>
      <c r="VUI139" s="422"/>
      <c r="VUJ139" s="422"/>
      <c r="VUK139" s="422"/>
      <c r="VUL139" s="422"/>
      <c r="VUM139" s="422"/>
      <c r="VUN139" s="422"/>
      <c r="VUO139" s="422"/>
      <c r="VUP139" s="422"/>
      <c r="VUQ139" s="422"/>
      <c r="VUR139" s="422"/>
      <c r="VUS139" s="422"/>
      <c r="VUT139" s="422"/>
      <c r="VUU139" s="422"/>
      <c r="VUV139" s="422"/>
      <c r="VUW139" s="422"/>
      <c r="VUX139" s="422"/>
      <c r="VUY139" s="422"/>
      <c r="VUZ139" s="422"/>
      <c r="VVA139" s="422"/>
      <c r="VVB139" s="422"/>
      <c r="VVC139" s="422"/>
      <c r="VVD139" s="422"/>
      <c r="VVE139" s="422"/>
      <c r="VVF139" s="422"/>
      <c r="VVG139" s="422"/>
      <c r="VVH139" s="422"/>
      <c r="VVI139" s="422"/>
      <c r="VVJ139" s="422"/>
      <c r="VVK139" s="422"/>
      <c r="VVL139" s="422"/>
      <c r="VVM139" s="422"/>
      <c r="VVN139" s="422"/>
      <c r="VVO139" s="422"/>
      <c r="VVP139" s="422"/>
      <c r="VVQ139" s="422"/>
      <c r="VVR139" s="422"/>
      <c r="VVS139" s="422"/>
      <c r="VVT139" s="422"/>
      <c r="VVU139" s="422"/>
      <c r="VVV139" s="422"/>
      <c r="VVW139" s="422"/>
      <c r="VVX139" s="422"/>
      <c r="VVY139" s="422"/>
      <c r="VVZ139" s="422"/>
      <c r="VWA139" s="422"/>
      <c r="VWB139" s="422"/>
      <c r="VWC139" s="422"/>
      <c r="VWD139" s="422"/>
      <c r="VWE139" s="422"/>
      <c r="VWF139" s="422"/>
      <c r="VWG139" s="422"/>
      <c r="VWH139" s="422"/>
      <c r="VWI139" s="422"/>
      <c r="VWJ139" s="422"/>
      <c r="VWK139" s="422"/>
      <c r="VWL139" s="422"/>
      <c r="VWM139" s="422"/>
      <c r="VWN139" s="422"/>
      <c r="VWO139" s="422"/>
      <c r="VWP139" s="422"/>
      <c r="VWQ139" s="422"/>
      <c r="VWR139" s="422"/>
      <c r="VWS139" s="422"/>
      <c r="VWT139" s="422"/>
      <c r="VWU139" s="422"/>
      <c r="VWV139" s="422"/>
      <c r="VWW139" s="422"/>
      <c r="VWX139" s="422"/>
      <c r="VWY139" s="422"/>
      <c r="VWZ139" s="422"/>
      <c r="VXA139" s="422"/>
      <c r="VXB139" s="422"/>
      <c r="VXC139" s="422"/>
      <c r="VXD139" s="422"/>
      <c r="VXE139" s="422"/>
      <c r="VXF139" s="422"/>
      <c r="VXG139" s="422"/>
      <c r="VXH139" s="422"/>
      <c r="VXI139" s="422"/>
      <c r="VXJ139" s="422"/>
      <c r="VXK139" s="422"/>
      <c r="VXL139" s="422"/>
      <c r="VXM139" s="422"/>
      <c r="VXN139" s="422"/>
      <c r="VXO139" s="422"/>
      <c r="VXP139" s="422"/>
      <c r="VXQ139" s="422"/>
      <c r="VXR139" s="422"/>
      <c r="VXS139" s="422"/>
      <c r="VXT139" s="422"/>
      <c r="VXU139" s="422"/>
      <c r="VXV139" s="422"/>
      <c r="VXW139" s="422"/>
      <c r="VXX139" s="422"/>
      <c r="VXY139" s="422"/>
      <c r="VXZ139" s="422"/>
      <c r="VYA139" s="422"/>
      <c r="VYB139" s="422"/>
      <c r="VYC139" s="422"/>
      <c r="VYD139" s="422"/>
      <c r="VYE139" s="422"/>
      <c r="VYF139" s="422"/>
      <c r="VYG139" s="422"/>
      <c r="VYH139" s="422"/>
      <c r="VYI139" s="422"/>
      <c r="VYJ139" s="422"/>
      <c r="VYK139" s="422"/>
      <c r="VYL139" s="422"/>
      <c r="VYM139" s="422"/>
      <c r="VYN139" s="422"/>
      <c r="VYO139" s="422"/>
      <c r="VYP139" s="422"/>
      <c r="VYQ139" s="422"/>
      <c r="VYR139" s="422"/>
      <c r="VYS139" s="422"/>
      <c r="VYT139" s="422"/>
      <c r="VYU139" s="422"/>
      <c r="VYV139" s="422"/>
      <c r="VYW139" s="422"/>
      <c r="VYX139" s="422"/>
      <c r="VYY139" s="422"/>
      <c r="VYZ139" s="422"/>
      <c r="VZA139" s="422"/>
      <c r="VZB139" s="422"/>
      <c r="VZC139" s="422"/>
      <c r="VZD139" s="422"/>
      <c r="VZE139" s="422"/>
      <c r="VZF139" s="422"/>
      <c r="VZG139" s="422"/>
      <c r="VZH139" s="422"/>
      <c r="VZI139" s="422"/>
      <c r="VZJ139" s="422"/>
      <c r="VZK139" s="422"/>
      <c r="VZL139" s="422"/>
      <c r="VZM139" s="422"/>
      <c r="VZN139" s="422"/>
      <c r="VZO139" s="422"/>
      <c r="VZP139" s="422"/>
      <c r="VZQ139" s="422"/>
      <c r="VZR139" s="422"/>
      <c r="VZS139" s="422"/>
      <c r="VZT139" s="422"/>
      <c r="VZU139" s="422"/>
      <c r="VZV139" s="422"/>
      <c r="VZW139" s="422"/>
      <c r="VZX139" s="422"/>
      <c r="VZY139" s="422"/>
      <c r="VZZ139" s="422"/>
      <c r="WAA139" s="422"/>
      <c r="WAB139" s="422"/>
      <c r="WAC139" s="422"/>
      <c r="WAD139" s="422"/>
      <c r="WAE139" s="422"/>
      <c r="WAF139" s="422"/>
      <c r="WAG139" s="422"/>
      <c r="WAH139" s="422"/>
      <c r="WAI139" s="422"/>
      <c r="WAJ139" s="422"/>
      <c r="WAK139" s="422"/>
      <c r="WAL139" s="422"/>
      <c r="WAM139" s="422"/>
      <c r="WAN139" s="422"/>
      <c r="WAO139" s="422"/>
      <c r="WAP139" s="422"/>
      <c r="WAQ139" s="422"/>
      <c r="WAR139" s="422"/>
      <c r="WAS139" s="422"/>
      <c r="WAT139" s="422"/>
      <c r="WAU139" s="422"/>
      <c r="WAV139" s="422"/>
      <c r="WAW139" s="422"/>
      <c r="WAX139" s="422"/>
      <c r="WAY139" s="422"/>
      <c r="WAZ139" s="422"/>
      <c r="WBA139" s="422"/>
      <c r="WBB139" s="422"/>
      <c r="WBC139" s="422"/>
      <c r="WBD139" s="422"/>
      <c r="WBE139" s="422"/>
      <c r="WBF139" s="422"/>
      <c r="WBG139" s="422"/>
      <c r="WBH139" s="422"/>
      <c r="WBI139" s="422"/>
      <c r="WBJ139" s="422"/>
      <c r="WBK139" s="422"/>
      <c r="WBL139" s="422"/>
      <c r="WBM139" s="422"/>
      <c r="WBN139" s="422"/>
      <c r="WBO139" s="422"/>
      <c r="WBP139" s="422"/>
      <c r="WBQ139" s="422"/>
      <c r="WBR139" s="422"/>
      <c r="WBS139" s="422"/>
      <c r="WBT139" s="422"/>
      <c r="WBU139" s="422"/>
      <c r="WBV139" s="422"/>
      <c r="WBW139" s="422"/>
      <c r="WBX139" s="422"/>
      <c r="WBY139" s="422"/>
      <c r="WBZ139" s="422"/>
      <c r="WCA139" s="422"/>
      <c r="WCB139" s="422"/>
      <c r="WCC139" s="422"/>
      <c r="WCD139" s="422"/>
      <c r="WCE139" s="422"/>
      <c r="WCF139" s="422"/>
      <c r="WCG139" s="422"/>
      <c r="WCH139" s="422"/>
      <c r="WCI139" s="422"/>
      <c r="WCJ139" s="422"/>
      <c r="WCK139" s="422"/>
      <c r="WCL139" s="422"/>
      <c r="WCM139" s="422"/>
      <c r="WCN139" s="422"/>
      <c r="WCO139" s="422"/>
      <c r="WCP139" s="422"/>
      <c r="WCQ139" s="422"/>
      <c r="WCR139" s="422"/>
      <c r="WCS139" s="422"/>
      <c r="WCT139" s="422"/>
      <c r="WCU139" s="422"/>
      <c r="WCV139" s="422"/>
      <c r="WCW139" s="422"/>
      <c r="WCX139" s="422"/>
      <c r="WCY139" s="422"/>
      <c r="WCZ139" s="422"/>
      <c r="WDA139" s="422"/>
      <c r="WDB139" s="422"/>
      <c r="WDC139" s="422"/>
      <c r="WDD139" s="422"/>
      <c r="WDE139" s="422"/>
      <c r="WDF139" s="422"/>
      <c r="WDG139" s="422"/>
      <c r="WDH139" s="422"/>
      <c r="WDI139" s="422"/>
      <c r="WDJ139" s="422"/>
      <c r="WDK139" s="422"/>
      <c r="WDL139" s="422"/>
      <c r="WDM139" s="422"/>
      <c r="WDN139" s="422"/>
      <c r="WDO139" s="422"/>
      <c r="WDP139" s="422"/>
      <c r="WDQ139" s="422"/>
      <c r="WDR139" s="422"/>
      <c r="WDS139" s="422"/>
      <c r="WDT139" s="422"/>
      <c r="WDU139" s="422"/>
      <c r="WDV139" s="422"/>
      <c r="WDW139" s="422"/>
      <c r="WDX139" s="422"/>
      <c r="WDY139" s="422"/>
      <c r="WDZ139" s="422"/>
      <c r="WEA139" s="422"/>
      <c r="WEB139" s="422"/>
      <c r="WEC139" s="422"/>
      <c r="WED139" s="422"/>
      <c r="WEE139" s="422"/>
      <c r="WEF139" s="422"/>
      <c r="WEG139" s="422"/>
      <c r="WEH139" s="422"/>
      <c r="WEI139" s="422"/>
      <c r="WEJ139" s="422"/>
      <c r="WEK139" s="422"/>
      <c r="WEL139" s="422"/>
      <c r="WEM139" s="422"/>
      <c r="WEN139" s="422"/>
      <c r="WEO139" s="422"/>
      <c r="WEP139" s="422"/>
      <c r="WEQ139" s="422"/>
      <c r="WER139" s="422"/>
      <c r="WES139" s="422"/>
      <c r="WET139" s="422"/>
      <c r="WEU139" s="422"/>
      <c r="WEV139" s="422"/>
      <c r="WEW139" s="422"/>
      <c r="WEX139" s="422"/>
      <c r="WEY139" s="422"/>
      <c r="WEZ139" s="422"/>
      <c r="WFA139" s="422"/>
      <c r="WFB139" s="422"/>
      <c r="WFC139" s="422"/>
      <c r="WFD139" s="422"/>
      <c r="WFE139" s="422"/>
      <c r="WFF139" s="422"/>
      <c r="WFG139" s="422"/>
      <c r="WFH139" s="422"/>
      <c r="WFI139" s="422"/>
      <c r="WFJ139" s="422"/>
      <c r="WFK139" s="422"/>
      <c r="WFL139" s="422"/>
      <c r="WFM139" s="422"/>
      <c r="WFN139" s="422"/>
      <c r="WFO139" s="422"/>
      <c r="WFP139" s="422"/>
      <c r="WFQ139" s="422"/>
      <c r="WFR139" s="422"/>
      <c r="WFS139" s="422"/>
      <c r="WFT139" s="422"/>
      <c r="WFU139" s="422"/>
      <c r="WFV139" s="422"/>
      <c r="WFW139" s="422"/>
      <c r="WFX139" s="422"/>
      <c r="WFY139" s="422"/>
      <c r="WFZ139" s="422"/>
      <c r="WGA139" s="422"/>
      <c r="WGB139" s="422"/>
      <c r="WGC139" s="422"/>
      <c r="WGD139" s="422"/>
      <c r="WGE139" s="422"/>
      <c r="WGF139" s="422"/>
      <c r="WGG139" s="422"/>
      <c r="WGH139" s="422"/>
      <c r="WGI139" s="422"/>
      <c r="WGJ139" s="422"/>
      <c r="WGK139" s="422"/>
      <c r="WGL139" s="422"/>
      <c r="WGM139" s="422"/>
      <c r="WGN139" s="422"/>
      <c r="WGO139" s="422"/>
      <c r="WGP139" s="422"/>
      <c r="WGQ139" s="422"/>
      <c r="WGR139" s="422"/>
      <c r="WGS139" s="422"/>
      <c r="WGT139" s="422"/>
      <c r="WGU139" s="422"/>
      <c r="WGV139" s="422"/>
      <c r="WGW139" s="422"/>
      <c r="WGX139" s="422"/>
      <c r="WGY139" s="422"/>
      <c r="WGZ139" s="422"/>
      <c r="WHA139" s="422"/>
      <c r="WHB139" s="422"/>
      <c r="WHC139" s="422"/>
      <c r="WHD139" s="422"/>
      <c r="WHE139" s="422"/>
      <c r="WHF139" s="422"/>
      <c r="WHG139" s="422"/>
      <c r="WHH139" s="422"/>
      <c r="WHI139" s="422"/>
      <c r="WHJ139" s="422"/>
      <c r="WHK139" s="422"/>
      <c r="WHL139" s="422"/>
      <c r="WHM139" s="422"/>
      <c r="WHN139" s="422"/>
      <c r="WHO139" s="422"/>
      <c r="WHP139" s="422"/>
      <c r="WHQ139" s="422"/>
      <c r="WHR139" s="422"/>
      <c r="WHS139" s="422"/>
      <c r="WHT139" s="422"/>
      <c r="WHU139" s="422"/>
      <c r="WHV139" s="422"/>
      <c r="WHW139" s="422"/>
      <c r="WHX139" s="422"/>
      <c r="WHY139" s="422"/>
      <c r="WHZ139" s="422"/>
      <c r="WIA139" s="422"/>
      <c r="WIB139" s="422"/>
      <c r="WIC139" s="422"/>
      <c r="WID139" s="422"/>
      <c r="WIE139" s="422"/>
      <c r="WIF139" s="422"/>
      <c r="WIG139" s="422"/>
      <c r="WIH139" s="422"/>
      <c r="WII139" s="422"/>
      <c r="WIJ139" s="422"/>
      <c r="WIK139" s="422"/>
      <c r="WIL139" s="422"/>
      <c r="WIM139" s="422"/>
      <c r="WIN139" s="422"/>
      <c r="WIO139" s="422"/>
      <c r="WIP139" s="422"/>
      <c r="WIQ139" s="422"/>
      <c r="WIR139" s="422"/>
      <c r="WIS139" s="422"/>
      <c r="WIT139" s="422"/>
      <c r="WIU139" s="422"/>
      <c r="WIV139" s="422"/>
      <c r="WIW139" s="422"/>
      <c r="WIX139" s="422"/>
      <c r="WIY139" s="422"/>
      <c r="WIZ139" s="422"/>
      <c r="WJA139" s="422"/>
      <c r="WJB139" s="422"/>
      <c r="WJC139" s="422"/>
      <c r="WJD139" s="422"/>
      <c r="WJE139" s="422"/>
      <c r="WJF139" s="422"/>
      <c r="WJG139" s="422"/>
      <c r="WJH139" s="422"/>
      <c r="WJI139" s="422"/>
      <c r="WJJ139" s="422"/>
      <c r="WJK139" s="422"/>
      <c r="WJL139" s="422"/>
      <c r="WJM139" s="422"/>
      <c r="WJN139" s="422"/>
      <c r="WJO139" s="422"/>
      <c r="WJP139" s="422"/>
      <c r="WJQ139" s="422"/>
      <c r="WJR139" s="422"/>
      <c r="WJS139" s="422"/>
      <c r="WJT139" s="422"/>
      <c r="WJU139" s="422"/>
      <c r="WJV139" s="422"/>
      <c r="WJW139" s="422"/>
      <c r="WJX139" s="422"/>
      <c r="WJY139" s="422"/>
      <c r="WJZ139" s="422"/>
      <c r="WKA139" s="422"/>
      <c r="WKB139" s="422"/>
      <c r="WKC139" s="422"/>
      <c r="WKD139" s="422"/>
      <c r="WKE139" s="422"/>
      <c r="WKF139" s="422"/>
      <c r="WKG139" s="422"/>
      <c r="WKH139" s="422"/>
      <c r="WKI139" s="422"/>
      <c r="WKJ139" s="422"/>
      <c r="WKK139" s="422"/>
      <c r="WKL139" s="422"/>
      <c r="WKM139" s="422"/>
      <c r="WKN139" s="422"/>
      <c r="WKO139" s="422"/>
      <c r="WKP139" s="422"/>
      <c r="WKQ139" s="422"/>
      <c r="WKR139" s="422"/>
      <c r="WKS139" s="422"/>
      <c r="WKT139" s="422"/>
      <c r="WKU139" s="422"/>
      <c r="WKV139" s="422"/>
      <c r="WKW139" s="422"/>
      <c r="WKX139" s="422"/>
      <c r="WKY139" s="422"/>
      <c r="WKZ139" s="422"/>
      <c r="WLA139" s="422"/>
      <c r="WLB139" s="422"/>
      <c r="WLC139" s="422"/>
      <c r="WLD139" s="422"/>
      <c r="WLE139" s="422"/>
      <c r="WLF139" s="422"/>
      <c r="WLG139" s="422"/>
      <c r="WLH139" s="422"/>
      <c r="WLI139" s="422"/>
      <c r="WLJ139" s="422"/>
      <c r="WLK139" s="422"/>
      <c r="WLL139" s="422"/>
      <c r="WLM139" s="422"/>
      <c r="WLN139" s="422"/>
      <c r="WLO139" s="422"/>
      <c r="WLP139" s="422"/>
      <c r="WLQ139" s="422"/>
      <c r="WLR139" s="422"/>
      <c r="WLS139" s="422"/>
      <c r="WLT139" s="422"/>
      <c r="WLU139" s="422"/>
      <c r="WLV139" s="422"/>
      <c r="WLW139" s="422"/>
      <c r="WLX139" s="422"/>
      <c r="WLY139" s="422"/>
      <c r="WLZ139" s="422"/>
      <c r="WMA139" s="422"/>
      <c r="WMB139" s="422"/>
      <c r="WMC139" s="422"/>
      <c r="WMD139" s="422"/>
      <c r="WME139" s="422"/>
      <c r="WMF139" s="422"/>
      <c r="WMG139" s="422"/>
      <c r="WMH139" s="422"/>
      <c r="WMI139" s="422"/>
      <c r="WMJ139" s="422"/>
      <c r="WMK139" s="422"/>
      <c r="WML139" s="422"/>
      <c r="WMM139" s="422"/>
      <c r="WMN139" s="422"/>
      <c r="WMO139" s="422"/>
      <c r="WMP139" s="422"/>
      <c r="WMQ139" s="422"/>
      <c r="WMR139" s="422"/>
      <c r="WMS139" s="422"/>
      <c r="WMT139" s="422"/>
      <c r="WMU139" s="422"/>
      <c r="WMV139" s="422"/>
      <c r="WMW139" s="422"/>
      <c r="WMX139" s="422"/>
      <c r="WMY139" s="422"/>
      <c r="WMZ139" s="422"/>
      <c r="WNA139" s="422"/>
      <c r="WNB139" s="422"/>
      <c r="WNC139" s="422"/>
      <c r="WND139" s="422"/>
      <c r="WNE139" s="422"/>
      <c r="WNF139" s="422"/>
      <c r="WNG139" s="422"/>
      <c r="WNH139" s="422"/>
      <c r="WNI139" s="422"/>
      <c r="WNJ139" s="422"/>
      <c r="WNK139" s="422"/>
      <c r="WNL139" s="422"/>
      <c r="WNM139" s="422"/>
      <c r="WNN139" s="422"/>
      <c r="WNO139" s="422"/>
      <c r="WNP139" s="422"/>
      <c r="WNQ139" s="422"/>
      <c r="WNR139" s="422"/>
      <c r="WNS139" s="422"/>
      <c r="WNT139" s="422"/>
      <c r="WNU139" s="422"/>
      <c r="WNV139" s="422"/>
      <c r="WNW139" s="422"/>
      <c r="WNX139" s="422"/>
      <c r="WNY139" s="422"/>
      <c r="WNZ139" s="422"/>
      <c r="WOA139" s="422"/>
      <c r="WOB139" s="422"/>
      <c r="WOC139" s="422"/>
      <c r="WOD139" s="422"/>
      <c r="WOE139" s="422"/>
      <c r="WOF139" s="422"/>
      <c r="WOG139" s="422"/>
      <c r="WOH139" s="422"/>
      <c r="WOI139" s="422"/>
      <c r="WOJ139" s="422"/>
      <c r="WOK139" s="422"/>
      <c r="WOL139" s="422"/>
      <c r="WOM139" s="422"/>
      <c r="WON139" s="422"/>
      <c r="WOO139" s="422"/>
      <c r="WOP139" s="422"/>
      <c r="WOQ139" s="422"/>
      <c r="WOR139" s="422"/>
      <c r="WOS139" s="422"/>
      <c r="WOT139" s="422"/>
      <c r="WOU139" s="422"/>
      <c r="WOV139" s="422"/>
      <c r="WOW139" s="422"/>
      <c r="WOX139" s="422"/>
      <c r="WOY139" s="422"/>
      <c r="WOZ139" s="422"/>
      <c r="WPA139" s="422"/>
      <c r="WPB139" s="422"/>
      <c r="WPC139" s="422"/>
      <c r="WPD139" s="422"/>
      <c r="WPE139" s="422"/>
      <c r="WPF139" s="422"/>
      <c r="WPG139" s="422"/>
      <c r="WPH139" s="422"/>
      <c r="WPI139" s="422"/>
      <c r="WPJ139" s="422"/>
      <c r="WPK139" s="422"/>
      <c r="WPL139" s="422"/>
      <c r="WPM139" s="422"/>
      <c r="WPN139" s="422"/>
      <c r="WPO139" s="422"/>
      <c r="WPP139" s="422"/>
      <c r="WPQ139" s="422"/>
      <c r="WPR139" s="422"/>
      <c r="WPS139" s="422"/>
      <c r="WPT139" s="422"/>
      <c r="WPU139" s="422"/>
      <c r="WPV139" s="422"/>
      <c r="WPW139" s="422"/>
      <c r="WPX139" s="422"/>
      <c r="WPY139" s="422"/>
      <c r="WPZ139" s="422"/>
      <c r="WQA139" s="422"/>
      <c r="WQB139" s="422"/>
      <c r="WQC139" s="422"/>
      <c r="WQD139" s="422"/>
      <c r="WQE139" s="422"/>
      <c r="WQF139" s="422"/>
      <c r="WQG139" s="422"/>
      <c r="WQH139" s="422"/>
      <c r="WQI139" s="422"/>
      <c r="WQJ139" s="422"/>
      <c r="WQK139" s="422"/>
      <c r="WQL139" s="422"/>
      <c r="WQM139" s="422"/>
      <c r="WQN139" s="422"/>
      <c r="WQO139" s="422"/>
      <c r="WQP139" s="422"/>
      <c r="WQQ139" s="422"/>
      <c r="WQR139" s="422"/>
      <c r="WQS139" s="422"/>
      <c r="WQT139" s="422"/>
      <c r="WQU139" s="422"/>
      <c r="WQV139" s="422"/>
      <c r="WQW139" s="422"/>
      <c r="WQX139" s="422"/>
      <c r="WQY139" s="422"/>
      <c r="WQZ139" s="422"/>
      <c r="WRA139" s="422"/>
      <c r="WRB139" s="422"/>
      <c r="WRC139" s="422"/>
      <c r="WRD139" s="422"/>
      <c r="WRE139" s="422"/>
      <c r="WRF139" s="422"/>
      <c r="WRG139" s="422"/>
      <c r="WRH139" s="422"/>
      <c r="WRI139" s="422"/>
      <c r="WRJ139" s="422"/>
      <c r="WRK139" s="422"/>
      <c r="WRL139" s="422"/>
      <c r="WRM139" s="422"/>
      <c r="WRN139" s="422"/>
      <c r="WRO139" s="422"/>
      <c r="WRP139" s="422"/>
      <c r="WRQ139" s="422"/>
      <c r="WRR139" s="422"/>
      <c r="WRS139" s="422"/>
      <c r="WRT139" s="422"/>
      <c r="WRU139" s="422"/>
      <c r="WRV139" s="422"/>
      <c r="WRW139" s="422"/>
      <c r="WRX139" s="422"/>
      <c r="WRY139" s="422"/>
      <c r="WRZ139" s="422"/>
      <c r="WSA139" s="422"/>
      <c r="WSB139" s="422"/>
      <c r="WSC139" s="422"/>
      <c r="WSD139" s="422"/>
      <c r="WSE139" s="422"/>
      <c r="WSF139" s="422"/>
      <c r="WSG139" s="422"/>
      <c r="WSH139" s="422"/>
      <c r="WSI139" s="422"/>
      <c r="WSJ139" s="422"/>
      <c r="WSK139" s="422"/>
      <c r="WSL139" s="422"/>
      <c r="WSM139" s="422"/>
      <c r="WSN139" s="422"/>
      <c r="WSO139" s="422"/>
      <c r="WSP139" s="422"/>
      <c r="WSQ139" s="422"/>
      <c r="WSR139" s="422"/>
      <c r="WSS139" s="422"/>
      <c r="WST139" s="422"/>
      <c r="WSU139" s="422"/>
      <c r="WSV139" s="422"/>
      <c r="WSW139" s="422"/>
      <c r="WSX139" s="422"/>
      <c r="WSY139" s="422"/>
      <c r="WSZ139" s="422"/>
      <c r="WTA139" s="422"/>
      <c r="WTB139" s="422"/>
      <c r="WTC139" s="422"/>
      <c r="WTD139" s="422"/>
      <c r="WTE139" s="422"/>
      <c r="WTF139" s="422"/>
      <c r="WTG139" s="422"/>
      <c r="WTH139" s="422"/>
      <c r="WTI139" s="422"/>
      <c r="WTJ139" s="422"/>
      <c r="WTK139" s="422"/>
      <c r="WTL139" s="422"/>
      <c r="WTM139" s="422"/>
      <c r="WTN139" s="422"/>
      <c r="WTO139" s="422"/>
      <c r="WTP139" s="422"/>
      <c r="WTQ139" s="422"/>
      <c r="WTR139" s="422"/>
      <c r="WTS139" s="422"/>
      <c r="WTT139" s="422"/>
      <c r="WTU139" s="422"/>
      <c r="WTV139" s="422"/>
      <c r="WTW139" s="422"/>
      <c r="WTX139" s="422"/>
      <c r="WTY139" s="422"/>
      <c r="WTZ139" s="422"/>
      <c r="WUA139" s="422"/>
      <c r="WUB139" s="422"/>
      <c r="WUC139" s="422"/>
      <c r="WUD139" s="422"/>
      <c r="WUE139" s="422"/>
      <c r="WUF139" s="422"/>
      <c r="WUG139" s="422"/>
      <c r="WUH139" s="422"/>
      <c r="WUI139" s="422"/>
      <c r="WUJ139" s="422"/>
      <c r="WUK139" s="422"/>
      <c r="WUL139" s="422"/>
      <c r="WUM139" s="422"/>
      <c r="WUN139" s="422"/>
      <c r="WUO139" s="422"/>
      <c r="WUP139" s="422"/>
      <c r="WUQ139" s="422"/>
      <c r="WUR139" s="422"/>
      <c r="WUS139" s="422"/>
      <c r="WUT139" s="422"/>
      <c r="WUU139" s="422"/>
      <c r="WUV139" s="422"/>
      <c r="WUW139" s="422"/>
      <c r="WUX139" s="422"/>
      <c r="WUY139" s="422"/>
      <c r="WUZ139" s="422"/>
      <c r="WVA139" s="422"/>
      <c r="WVB139" s="422"/>
      <c r="WVC139" s="422"/>
      <c r="WVD139" s="422"/>
      <c r="WVE139" s="422"/>
      <c r="WVF139" s="422"/>
      <c r="WVG139" s="422"/>
      <c r="WVH139" s="422"/>
      <c r="WVI139" s="422"/>
      <c r="WVJ139" s="422"/>
      <c r="WVK139" s="422"/>
      <c r="WVL139" s="422"/>
      <c r="WVM139" s="422"/>
      <c r="WVN139" s="422"/>
      <c r="WVO139" s="422"/>
      <c r="WVP139" s="422"/>
      <c r="WVQ139" s="422"/>
      <c r="WVR139" s="422"/>
      <c r="WVS139" s="422"/>
      <c r="WVT139" s="422"/>
      <c r="WVU139" s="422"/>
      <c r="WVV139" s="422"/>
      <c r="WVW139" s="422"/>
      <c r="WVX139" s="422"/>
      <c r="WVY139" s="422"/>
      <c r="WVZ139" s="422"/>
      <c r="WWA139" s="422"/>
      <c r="WWB139" s="422"/>
      <c r="WWC139" s="422"/>
      <c r="WWD139" s="422"/>
      <c r="WWE139" s="422"/>
      <c r="WWF139" s="422"/>
      <c r="WWG139" s="422"/>
      <c r="WWH139" s="422"/>
      <c r="WWI139" s="422"/>
      <c r="WWJ139" s="422"/>
      <c r="WWK139" s="422"/>
      <c r="WWL139" s="422"/>
      <c r="WWM139" s="422"/>
      <c r="WWN139" s="422"/>
      <c r="WWO139" s="422"/>
      <c r="WWP139" s="422"/>
      <c r="WWQ139" s="422"/>
      <c r="WWR139" s="422"/>
      <c r="WWS139" s="422"/>
      <c r="WWT139" s="422"/>
      <c r="WWU139" s="422"/>
      <c r="WWV139" s="422"/>
      <c r="WWW139" s="422"/>
      <c r="WWX139" s="422"/>
      <c r="WWY139" s="422"/>
      <c r="WWZ139" s="422"/>
      <c r="WXA139" s="422"/>
      <c r="WXB139" s="422"/>
      <c r="WXC139" s="422"/>
      <c r="WXD139" s="422"/>
      <c r="WXE139" s="422"/>
      <c r="WXF139" s="422"/>
      <c r="WXG139" s="422"/>
      <c r="WXH139" s="422"/>
      <c r="WXI139" s="422"/>
      <c r="WXJ139" s="422"/>
      <c r="WXK139" s="422"/>
      <c r="WXL139" s="422"/>
      <c r="WXM139" s="422"/>
      <c r="WXN139" s="422"/>
      <c r="WXO139" s="422"/>
      <c r="WXP139" s="422"/>
      <c r="WXQ139" s="422"/>
      <c r="WXR139" s="422"/>
      <c r="WXS139" s="422"/>
      <c r="WXT139" s="422"/>
      <c r="WXU139" s="422"/>
      <c r="WXV139" s="422"/>
      <c r="WXW139" s="422"/>
      <c r="WXX139" s="422"/>
      <c r="WXY139" s="422"/>
      <c r="WXZ139" s="422"/>
      <c r="WYA139" s="422"/>
      <c r="WYB139" s="422"/>
      <c r="WYC139" s="422"/>
      <c r="WYD139" s="422"/>
      <c r="WYE139" s="422"/>
      <c r="WYF139" s="422"/>
      <c r="WYG139" s="422"/>
      <c r="WYH139" s="422"/>
      <c r="WYI139" s="422"/>
      <c r="WYJ139" s="422"/>
      <c r="WYK139" s="422"/>
      <c r="WYL139" s="422"/>
      <c r="WYM139" s="422"/>
      <c r="WYN139" s="422"/>
      <c r="WYO139" s="422"/>
      <c r="WYP139" s="422"/>
      <c r="WYQ139" s="422"/>
      <c r="WYR139" s="422"/>
      <c r="WYS139" s="422"/>
      <c r="WYT139" s="422"/>
      <c r="WYU139" s="422"/>
      <c r="WYV139" s="422"/>
      <c r="WYW139" s="422"/>
      <c r="WYX139" s="422"/>
      <c r="WYY139" s="422"/>
      <c r="WYZ139" s="422"/>
      <c r="WZA139" s="422"/>
      <c r="WZB139" s="422"/>
      <c r="WZC139" s="422"/>
      <c r="WZD139" s="422"/>
      <c r="WZE139" s="422"/>
      <c r="WZF139" s="422"/>
      <c r="WZG139" s="422"/>
      <c r="WZH139" s="422"/>
      <c r="WZI139" s="422"/>
      <c r="WZJ139" s="422"/>
      <c r="WZK139" s="422"/>
      <c r="WZL139" s="422"/>
      <c r="WZM139" s="422"/>
      <c r="WZN139" s="422"/>
      <c r="WZO139" s="422"/>
      <c r="WZP139" s="422"/>
      <c r="WZQ139" s="422"/>
      <c r="WZR139" s="422"/>
      <c r="WZS139" s="422"/>
      <c r="WZT139" s="422"/>
      <c r="WZU139" s="422"/>
      <c r="WZV139" s="422"/>
      <c r="WZW139" s="422"/>
      <c r="WZX139" s="422"/>
      <c r="WZY139" s="422"/>
      <c r="WZZ139" s="422"/>
      <c r="XAA139" s="422"/>
      <c r="XAB139" s="422"/>
      <c r="XAC139" s="422"/>
      <c r="XAD139" s="422"/>
      <c r="XAE139" s="422"/>
      <c r="XAF139" s="422"/>
      <c r="XAG139" s="422"/>
      <c r="XAH139" s="422"/>
      <c r="XAI139" s="422"/>
      <c r="XAJ139" s="422"/>
      <c r="XAK139" s="422"/>
      <c r="XAL139" s="422"/>
      <c r="XAM139" s="422"/>
      <c r="XAN139" s="422"/>
      <c r="XAO139" s="422"/>
      <c r="XAP139" s="422"/>
      <c r="XAQ139" s="422"/>
      <c r="XAR139" s="422"/>
      <c r="XAS139" s="422"/>
      <c r="XAT139" s="422"/>
      <c r="XAU139" s="422"/>
      <c r="XAV139" s="422"/>
      <c r="XAW139" s="422"/>
      <c r="XAX139" s="422"/>
      <c r="XAY139" s="422"/>
      <c r="XAZ139" s="422"/>
      <c r="XBA139" s="422"/>
      <c r="XBB139" s="422"/>
      <c r="XBC139" s="422"/>
      <c r="XBD139" s="422"/>
      <c r="XBE139" s="422"/>
      <c r="XBF139" s="422"/>
      <c r="XBG139" s="422"/>
      <c r="XBH139" s="422"/>
      <c r="XBI139" s="422"/>
      <c r="XBJ139" s="422"/>
      <c r="XBK139" s="422"/>
      <c r="XBL139" s="422"/>
      <c r="XBM139" s="422"/>
      <c r="XBN139" s="422"/>
      <c r="XBO139" s="422"/>
      <c r="XBP139" s="422"/>
      <c r="XBQ139" s="422"/>
      <c r="XBR139" s="422"/>
      <c r="XBS139" s="422"/>
      <c r="XBT139" s="422"/>
      <c r="XBU139" s="422"/>
      <c r="XBV139" s="422"/>
      <c r="XBW139" s="422"/>
      <c r="XBX139" s="422"/>
      <c r="XBY139" s="422"/>
      <c r="XBZ139" s="422"/>
      <c r="XCA139" s="422"/>
      <c r="XCB139" s="422"/>
      <c r="XCC139" s="422"/>
      <c r="XCD139" s="422"/>
      <c r="XCE139" s="422"/>
      <c r="XCF139" s="422"/>
      <c r="XCG139" s="422"/>
      <c r="XCH139" s="422"/>
      <c r="XCI139" s="422"/>
      <c r="XCJ139" s="422"/>
      <c r="XCK139" s="422"/>
      <c r="XCL139" s="422"/>
      <c r="XCM139" s="422"/>
      <c r="XCN139" s="422"/>
      <c r="XCO139" s="422"/>
      <c r="XCP139" s="422"/>
      <c r="XCQ139" s="422"/>
      <c r="XCR139" s="422"/>
      <c r="XCS139" s="422"/>
      <c r="XCT139" s="422"/>
      <c r="XCU139" s="422"/>
      <c r="XCV139" s="422"/>
      <c r="XCW139" s="422"/>
      <c r="XCX139" s="422"/>
      <c r="XCY139" s="422"/>
      <c r="XCZ139" s="422"/>
      <c r="XDA139" s="422"/>
      <c r="XDB139" s="422"/>
      <c r="XDC139" s="422"/>
      <c r="XDD139" s="422"/>
      <c r="XDE139" s="422"/>
      <c r="XDF139" s="422"/>
      <c r="XDG139" s="422"/>
      <c r="XDH139" s="422"/>
      <c r="XDI139" s="422"/>
      <c r="XDJ139" s="422"/>
      <c r="XDK139" s="422"/>
      <c r="XDL139" s="422"/>
      <c r="XDM139" s="422"/>
      <c r="XDN139" s="422"/>
      <c r="XDO139" s="422"/>
      <c r="XDP139" s="422"/>
      <c r="XDQ139" s="422"/>
      <c r="XDR139" s="422"/>
      <c r="XDS139" s="422"/>
      <c r="XDT139" s="422"/>
      <c r="XDU139" s="422"/>
      <c r="XDV139" s="422"/>
      <c r="XDW139" s="422"/>
      <c r="XDX139" s="422"/>
      <c r="XDY139" s="422"/>
      <c r="XDZ139" s="422"/>
      <c r="XEA139" s="422"/>
      <c r="XEB139" s="422"/>
      <c r="XEC139" s="422"/>
      <c r="XED139" s="422"/>
      <c r="XEE139" s="422"/>
      <c r="XEF139" s="422"/>
      <c r="XEG139" s="422"/>
      <c r="XEH139" s="422"/>
      <c r="XEI139" s="422"/>
      <c r="XEJ139" s="422"/>
      <c r="XEK139" s="422"/>
      <c r="XEL139" s="422"/>
      <c r="XEM139" s="422"/>
      <c r="XEN139" s="422"/>
      <c r="XEO139" s="422"/>
      <c r="XEP139" s="422"/>
      <c r="XEQ139" s="422"/>
      <c r="XER139" s="422"/>
      <c r="XES139" s="422"/>
      <c r="XET139" s="422"/>
      <c r="XEU139" s="422"/>
      <c r="XEV139" s="422"/>
      <c r="XEW139" s="422"/>
      <c r="XEX139" s="422"/>
      <c r="XEY139" s="422"/>
      <c r="XEZ139" s="422"/>
      <c r="XFA139" s="422"/>
      <c r="XFB139" s="422"/>
    </row>
    <row r="140" spans="1:16382" customFormat="1" ht="13.2">
      <c r="A140" s="437" t="s">
        <v>1257</v>
      </c>
      <c r="B140" s="480">
        <v>60000</v>
      </c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  <c r="AA140" s="422"/>
      <c r="AB140" s="422"/>
      <c r="AC140" s="422"/>
      <c r="AD140" s="422"/>
      <c r="AE140" s="422"/>
      <c r="AF140" s="422"/>
      <c r="AG140" s="422"/>
      <c r="AH140" s="422"/>
      <c r="AI140" s="422"/>
      <c r="AJ140" s="422"/>
      <c r="AK140" s="422"/>
      <c r="AL140" s="422"/>
      <c r="AM140" s="422"/>
      <c r="AN140" s="422"/>
      <c r="AO140" s="422"/>
      <c r="AP140" s="422"/>
      <c r="AQ140" s="422"/>
      <c r="AR140" s="422"/>
      <c r="AS140" s="422"/>
      <c r="AT140" s="422"/>
      <c r="AU140" s="422"/>
      <c r="AV140" s="422"/>
      <c r="AW140" s="422"/>
      <c r="AX140" s="422"/>
      <c r="AY140" s="422"/>
      <c r="AZ140" s="422"/>
      <c r="BA140" s="422"/>
      <c r="BB140" s="422"/>
      <c r="BC140" s="422"/>
      <c r="BD140" s="422"/>
      <c r="BE140" s="422"/>
      <c r="BF140" s="422"/>
      <c r="BG140" s="422"/>
      <c r="BH140" s="422"/>
      <c r="BI140" s="422"/>
      <c r="BJ140" s="422"/>
      <c r="BK140" s="422"/>
      <c r="BL140" s="422"/>
      <c r="BM140" s="422"/>
      <c r="BN140" s="422"/>
      <c r="BO140" s="422"/>
      <c r="BP140" s="422"/>
      <c r="BQ140" s="422"/>
      <c r="BR140" s="422"/>
      <c r="BS140" s="422"/>
      <c r="BT140" s="422"/>
      <c r="BU140" s="422"/>
      <c r="BV140" s="422"/>
      <c r="BW140" s="422"/>
      <c r="BX140" s="422"/>
      <c r="BY140" s="422"/>
      <c r="BZ140" s="422"/>
      <c r="CA140" s="422"/>
      <c r="CB140" s="422"/>
      <c r="CC140" s="422"/>
      <c r="CD140" s="422"/>
      <c r="CE140" s="422"/>
      <c r="CF140" s="422"/>
      <c r="CG140" s="422"/>
      <c r="CH140" s="422"/>
      <c r="CI140" s="422"/>
      <c r="CJ140" s="422"/>
      <c r="CK140" s="422"/>
      <c r="CL140" s="422"/>
      <c r="CM140" s="422"/>
      <c r="CN140" s="422"/>
      <c r="CO140" s="422"/>
      <c r="CP140" s="422"/>
      <c r="CQ140" s="422"/>
      <c r="CR140" s="422"/>
      <c r="CS140" s="422"/>
      <c r="CT140" s="422"/>
      <c r="CU140" s="422"/>
      <c r="CV140" s="422"/>
      <c r="CW140" s="422"/>
      <c r="CX140" s="422"/>
      <c r="CY140" s="422"/>
      <c r="CZ140" s="422"/>
      <c r="DA140" s="422"/>
      <c r="DB140" s="422"/>
      <c r="DC140" s="422"/>
      <c r="DD140" s="422"/>
      <c r="DE140" s="422"/>
      <c r="DF140" s="422"/>
      <c r="DG140" s="422"/>
      <c r="DH140" s="422"/>
      <c r="DI140" s="422"/>
      <c r="DJ140" s="422"/>
      <c r="DK140" s="422"/>
      <c r="DL140" s="422"/>
      <c r="DM140" s="422"/>
      <c r="DN140" s="422"/>
      <c r="DO140" s="422"/>
      <c r="DP140" s="422"/>
      <c r="DQ140" s="422"/>
      <c r="DR140" s="422"/>
      <c r="DS140" s="422"/>
      <c r="DT140" s="422"/>
      <c r="DU140" s="422"/>
      <c r="DV140" s="422"/>
      <c r="DW140" s="422"/>
      <c r="DX140" s="422"/>
      <c r="DY140" s="422"/>
      <c r="DZ140" s="422"/>
      <c r="EA140" s="422"/>
      <c r="EB140" s="422"/>
      <c r="EC140" s="422"/>
      <c r="ED140" s="422"/>
      <c r="EE140" s="422"/>
      <c r="EF140" s="422"/>
      <c r="EG140" s="422"/>
      <c r="EH140" s="422"/>
      <c r="EI140" s="422"/>
      <c r="EJ140" s="422"/>
      <c r="EK140" s="422"/>
      <c r="EL140" s="422"/>
      <c r="EM140" s="422"/>
      <c r="EN140" s="422"/>
      <c r="EO140" s="422"/>
      <c r="EP140" s="422"/>
      <c r="EQ140" s="422"/>
      <c r="ER140" s="422"/>
      <c r="ES140" s="422"/>
      <c r="ET140" s="422"/>
      <c r="EU140" s="422"/>
      <c r="EV140" s="422"/>
      <c r="EW140" s="422"/>
      <c r="EX140" s="422"/>
      <c r="EY140" s="422"/>
      <c r="EZ140" s="422"/>
      <c r="FA140" s="422"/>
      <c r="FB140" s="422"/>
      <c r="FC140" s="422"/>
      <c r="FD140" s="422"/>
      <c r="FE140" s="422"/>
      <c r="FF140" s="422"/>
      <c r="FG140" s="422"/>
      <c r="FH140" s="422"/>
      <c r="FI140" s="422"/>
      <c r="FJ140" s="422"/>
      <c r="FK140" s="422"/>
      <c r="FL140" s="422"/>
      <c r="FM140" s="422"/>
      <c r="FN140" s="422"/>
      <c r="FO140" s="422"/>
      <c r="FP140" s="422"/>
      <c r="FQ140" s="422"/>
      <c r="FR140" s="422"/>
      <c r="FS140" s="422"/>
      <c r="FT140" s="422"/>
      <c r="FU140" s="422"/>
      <c r="FV140" s="422"/>
      <c r="FW140" s="422"/>
      <c r="FX140" s="422"/>
      <c r="FY140" s="422"/>
      <c r="FZ140" s="422"/>
      <c r="GA140" s="422"/>
      <c r="GB140" s="422"/>
      <c r="GC140" s="422"/>
      <c r="GD140" s="422"/>
      <c r="GE140" s="422"/>
      <c r="GF140" s="422"/>
      <c r="GG140" s="422"/>
      <c r="GH140" s="422"/>
      <c r="GI140" s="422"/>
      <c r="GJ140" s="422"/>
      <c r="GK140" s="422"/>
      <c r="GL140" s="422"/>
      <c r="GM140" s="422"/>
      <c r="GN140" s="422"/>
      <c r="GO140" s="422"/>
      <c r="GP140" s="422"/>
      <c r="GQ140" s="422"/>
      <c r="GR140" s="422"/>
      <c r="GS140" s="422"/>
      <c r="GT140" s="422"/>
      <c r="GU140" s="422"/>
      <c r="GV140" s="422"/>
      <c r="GW140" s="422"/>
      <c r="GX140" s="422"/>
      <c r="GY140" s="422"/>
      <c r="GZ140" s="422"/>
      <c r="HA140" s="422"/>
      <c r="HB140" s="422"/>
      <c r="HC140" s="422"/>
      <c r="HD140" s="422"/>
      <c r="HE140" s="422"/>
      <c r="HF140" s="422"/>
      <c r="HG140" s="422"/>
      <c r="HH140" s="422"/>
      <c r="HI140" s="422"/>
      <c r="HJ140" s="422"/>
      <c r="HK140" s="422"/>
      <c r="HL140" s="422"/>
      <c r="HM140" s="422"/>
      <c r="HN140" s="422"/>
      <c r="HO140" s="422"/>
      <c r="HP140" s="422"/>
      <c r="HQ140" s="422"/>
      <c r="HR140" s="422"/>
      <c r="HS140" s="422"/>
      <c r="HT140" s="422"/>
      <c r="HU140" s="422"/>
      <c r="HV140" s="422"/>
      <c r="HW140" s="422"/>
      <c r="HX140" s="422"/>
      <c r="HY140" s="422"/>
      <c r="HZ140" s="422"/>
      <c r="IA140" s="422"/>
      <c r="IB140" s="422"/>
      <c r="IC140" s="422"/>
      <c r="ID140" s="422"/>
      <c r="IE140" s="422"/>
      <c r="IF140" s="422"/>
      <c r="IG140" s="422"/>
      <c r="IH140" s="422"/>
      <c r="II140" s="422"/>
      <c r="IJ140" s="422"/>
      <c r="IK140" s="422"/>
      <c r="IL140" s="422"/>
      <c r="IM140" s="422"/>
      <c r="IN140" s="422"/>
      <c r="IO140" s="422"/>
      <c r="IP140" s="422"/>
      <c r="IQ140" s="422"/>
      <c r="IR140" s="422"/>
      <c r="IS140" s="422"/>
      <c r="IT140" s="422"/>
      <c r="IU140" s="422"/>
      <c r="IV140" s="422"/>
      <c r="IW140" s="422"/>
      <c r="IX140" s="422"/>
      <c r="IY140" s="422"/>
      <c r="IZ140" s="422"/>
      <c r="JA140" s="422"/>
      <c r="JB140" s="422"/>
      <c r="JC140" s="422"/>
      <c r="JD140" s="422"/>
      <c r="JE140" s="422"/>
      <c r="JF140" s="422"/>
      <c r="JG140" s="422"/>
      <c r="JH140" s="422"/>
      <c r="JI140" s="422"/>
      <c r="JJ140" s="422"/>
      <c r="JK140" s="422"/>
      <c r="JL140" s="422"/>
      <c r="JM140" s="422"/>
      <c r="JN140" s="422"/>
      <c r="JO140" s="422"/>
      <c r="JP140" s="422"/>
      <c r="JQ140" s="422"/>
      <c r="JR140" s="422"/>
      <c r="JS140" s="422"/>
      <c r="JT140" s="422"/>
      <c r="JU140" s="422"/>
      <c r="JV140" s="422"/>
      <c r="JW140" s="422"/>
      <c r="JX140" s="422"/>
      <c r="JY140" s="422"/>
      <c r="JZ140" s="422"/>
      <c r="KA140" s="422"/>
      <c r="KB140" s="422"/>
      <c r="KC140" s="422"/>
      <c r="KD140" s="422"/>
      <c r="KE140" s="422"/>
      <c r="KF140" s="422"/>
      <c r="KG140" s="422"/>
      <c r="KH140" s="422"/>
      <c r="KI140" s="422"/>
      <c r="KJ140" s="422"/>
      <c r="KK140" s="422"/>
      <c r="KL140" s="422"/>
      <c r="KM140" s="422"/>
      <c r="KN140" s="422"/>
      <c r="KO140" s="422"/>
      <c r="KP140" s="422"/>
      <c r="KQ140" s="422"/>
      <c r="KR140" s="422"/>
      <c r="KS140" s="422"/>
      <c r="KT140" s="422"/>
      <c r="KU140" s="422"/>
      <c r="KV140" s="422"/>
      <c r="KW140" s="422"/>
      <c r="KX140" s="422"/>
      <c r="KY140" s="422"/>
      <c r="KZ140" s="422"/>
      <c r="LA140" s="422"/>
      <c r="LB140" s="422"/>
      <c r="LC140" s="422"/>
      <c r="LD140" s="422"/>
      <c r="LE140" s="422"/>
      <c r="LF140" s="422"/>
      <c r="LG140" s="422"/>
      <c r="LH140" s="422"/>
      <c r="LI140" s="422"/>
      <c r="LJ140" s="422"/>
      <c r="LK140" s="422"/>
      <c r="LL140" s="422"/>
      <c r="LM140" s="422"/>
      <c r="LN140" s="422"/>
      <c r="LO140" s="422"/>
      <c r="LP140" s="422"/>
      <c r="LQ140" s="422"/>
      <c r="LR140" s="422"/>
      <c r="LS140" s="422"/>
      <c r="LT140" s="422"/>
      <c r="LU140" s="422"/>
      <c r="LV140" s="422"/>
      <c r="LW140" s="422"/>
      <c r="LX140" s="422"/>
      <c r="LY140" s="422"/>
      <c r="LZ140" s="422"/>
      <c r="MA140" s="422"/>
      <c r="MB140" s="422"/>
      <c r="MC140" s="422"/>
      <c r="MD140" s="422"/>
      <c r="ME140" s="422"/>
      <c r="MF140" s="422"/>
      <c r="MG140" s="422"/>
      <c r="MH140" s="422"/>
      <c r="MI140" s="422"/>
      <c r="MJ140" s="422"/>
      <c r="MK140" s="422"/>
      <c r="ML140" s="422"/>
      <c r="MM140" s="422"/>
      <c r="MN140" s="422"/>
      <c r="MO140" s="422"/>
      <c r="MP140" s="422"/>
      <c r="MQ140" s="422"/>
      <c r="MR140" s="422"/>
      <c r="MS140" s="422"/>
      <c r="MT140" s="422"/>
      <c r="MU140" s="422"/>
      <c r="MV140" s="422"/>
      <c r="MW140" s="422"/>
      <c r="MX140" s="422"/>
      <c r="MY140" s="422"/>
      <c r="MZ140" s="422"/>
      <c r="NA140" s="422"/>
      <c r="NB140" s="422"/>
      <c r="NC140" s="422"/>
      <c r="ND140" s="422"/>
      <c r="NE140" s="422"/>
      <c r="NF140" s="422"/>
      <c r="NG140" s="422"/>
      <c r="NH140" s="422"/>
      <c r="NI140" s="422"/>
      <c r="NJ140" s="422"/>
      <c r="NK140" s="422"/>
      <c r="NL140" s="422"/>
      <c r="NM140" s="422"/>
      <c r="NN140" s="422"/>
      <c r="NO140" s="422"/>
      <c r="NP140" s="422"/>
      <c r="NQ140" s="422"/>
      <c r="NR140" s="422"/>
      <c r="NS140" s="422"/>
      <c r="NT140" s="422"/>
      <c r="NU140" s="422"/>
      <c r="NV140" s="422"/>
      <c r="NW140" s="422"/>
      <c r="NX140" s="422"/>
      <c r="NY140" s="422"/>
      <c r="NZ140" s="422"/>
      <c r="OA140" s="422"/>
      <c r="OB140" s="422"/>
      <c r="OC140" s="422"/>
      <c r="OD140" s="422"/>
      <c r="OE140" s="422"/>
      <c r="OF140" s="422"/>
      <c r="OG140" s="422"/>
      <c r="OH140" s="422"/>
      <c r="OI140" s="422"/>
      <c r="OJ140" s="422"/>
      <c r="OK140" s="422"/>
      <c r="OL140" s="422"/>
      <c r="OM140" s="422"/>
      <c r="ON140" s="422"/>
      <c r="OO140" s="422"/>
      <c r="OP140" s="422"/>
      <c r="OQ140" s="422"/>
      <c r="OR140" s="422"/>
      <c r="OS140" s="422"/>
      <c r="OT140" s="422"/>
      <c r="OU140" s="422"/>
      <c r="OV140" s="422"/>
      <c r="OW140" s="422"/>
      <c r="OX140" s="422"/>
      <c r="OY140" s="422"/>
      <c r="OZ140" s="422"/>
      <c r="PA140" s="422"/>
      <c r="PB140" s="422"/>
      <c r="PC140" s="422"/>
      <c r="PD140" s="422"/>
      <c r="PE140" s="422"/>
      <c r="PF140" s="422"/>
      <c r="PG140" s="422"/>
      <c r="PH140" s="422"/>
      <c r="PI140" s="422"/>
      <c r="PJ140" s="422"/>
      <c r="PK140" s="422"/>
      <c r="PL140" s="422"/>
      <c r="PM140" s="422"/>
      <c r="PN140" s="422"/>
      <c r="PO140" s="422"/>
      <c r="PP140" s="422"/>
      <c r="PQ140" s="422"/>
      <c r="PR140" s="422"/>
      <c r="PS140" s="422"/>
      <c r="PT140" s="422"/>
      <c r="PU140" s="422"/>
      <c r="PV140" s="422"/>
      <c r="PW140" s="422"/>
      <c r="PX140" s="422"/>
      <c r="PY140" s="422"/>
      <c r="PZ140" s="422"/>
      <c r="QA140" s="422"/>
      <c r="QB140" s="422"/>
      <c r="QC140" s="422"/>
      <c r="QD140" s="422"/>
      <c r="QE140" s="422"/>
      <c r="QF140" s="422"/>
      <c r="QG140" s="422"/>
      <c r="QH140" s="422"/>
      <c r="QI140" s="422"/>
      <c r="QJ140" s="422"/>
      <c r="QK140" s="422"/>
      <c r="QL140" s="422"/>
      <c r="QM140" s="422"/>
      <c r="QN140" s="422"/>
      <c r="QO140" s="422"/>
      <c r="QP140" s="422"/>
      <c r="QQ140" s="422"/>
      <c r="QR140" s="422"/>
      <c r="QS140" s="422"/>
      <c r="QT140" s="422"/>
      <c r="QU140" s="422"/>
      <c r="QV140" s="422"/>
      <c r="QW140" s="422"/>
      <c r="QX140" s="422"/>
      <c r="QY140" s="422"/>
      <c r="QZ140" s="422"/>
      <c r="RA140" s="422"/>
      <c r="RB140" s="422"/>
      <c r="RC140" s="422"/>
      <c r="RD140" s="422"/>
      <c r="RE140" s="422"/>
      <c r="RF140" s="422"/>
      <c r="RG140" s="422"/>
      <c r="RH140" s="422"/>
      <c r="RI140" s="422"/>
      <c r="RJ140" s="422"/>
      <c r="RK140" s="422"/>
      <c r="RL140" s="422"/>
      <c r="RM140" s="422"/>
      <c r="RN140" s="422"/>
      <c r="RO140" s="422"/>
      <c r="RP140" s="422"/>
      <c r="RQ140" s="422"/>
      <c r="RR140" s="422"/>
      <c r="RS140" s="422"/>
      <c r="RT140" s="422"/>
      <c r="RU140" s="422"/>
      <c r="RV140" s="422"/>
      <c r="RW140" s="422"/>
      <c r="RX140" s="422"/>
      <c r="RY140" s="422"/>
      <c r="RZ140" s="422"/>
      <c r="SA140" s="422"/>
      <c r="SB140" s="422"/>
      <c r="SC140" s="422"/>
      <c r="SD140" s="422"/>
      <c r="SE140" s="422"/>
      <c r="SF140" s="422"/>
      <c r="SG140" s="422"/>
      <c r="SH140" s="422"/>
      <c r="SI140" s="422"/>
      <c r="SJ140" s="422"/>
      <c r="SK140" s="422"/>
      <c r="SL140" s="422"/>
      <c r="SM140" s="422"/>
      <c r="SN140" s="422"/>
      <c r="SO140" s="422"/>
      <c r="SP140" s="422"/>
      <c r="SQ140" s="422"/>
      <c r="SR140" s="422"/>
      <c r="SS140" s="422"/>
      <c r="ST140" s="422"/>
      <c r="SU140" s="422"/>
      <c r="SV140" s="422"/>
      <c r="SW140" s="422"/>
      <c r="SX140" s="422"/>
      <c r="SY140" s="422"/>
      <c r="SZ140" s="422"/>
      <c r="TA140" s="422"/>
      <c r="TB140" s="422"/>
      <c r="TC140" s="422"/>
      <c r="TD140" s="422"/>
      <c r="TE140" s="422"/>
      <c r="TF140" s="422"/>
      <c r="TG140" s="422"/>
      <c r="TH140" s="422"/>
      <c r="TI140" s="422"/>
      <c r="TJ140" s="422"/>
      <c r="TK140" s="422"/>
      <c r="TL140" s="422"/>
      <c r="TM140" s="422"/>
      <c r="TN140" s="422"/>
      <c r="TO140" s="422"/>
      <c r="TP140" s="422"/>
      <c r="TQ140" s="422"/>
      <c r="TR140" s="422"/>
      <c r="TS140" s="422"/>
      <c r="TT140" s="422"/>
      <c r="TU140" s="422"/>
      <c r="TV140" s="422"/>
      <c r="TW140" s="422"/>
      <c r="TX140" s="422"/>
      <c r="TY140" s="422"/>
      <c r="TZ140" s="422"/>
      <c r="UA140" s="422"/>
      <c r="UB140" s="422"/>
      <c r="UC140" s="422"/>
      <c r="UD140" s="422"/>
      <c r="UE140" s="422"/>
      <c r="UF140" s="422"/>
      <c r="UG140" s="422"/>
      <c r="UH140" s="422"/>
      <c r="UI140" s="422"/>
      <c r="UJ140" s="422"/>
      <c r="UK140" s="422"/>
      <c r="UL140" s="422"/>
      <c r="UM140" s="422"/>
      <c r="UN140" s="422"/>
      <c r="UO140" s="422"/>
      <c r="UP140" s="422"/>
      <c r="UQ140" s="422"/>
      <c r="UR140" s="422"/>
      <c r="US140" s="422"/>
      <c r="UT140" s="422"/>
      <c r="UU140" s="422"/>
      <c r="UV140" s="422"/>
      <c r="UW140" s="422"/>
      <c r="UX140" s="422"/>
      <c r="UY140" s="422"/>
      <c r="UZ140" s="422"/>
      <c r="VA140" s="422"/>
      <c r="VB140" s="422"/>
      <c r="VC140" s="422"/>
      <c r="VD140" s="422"/>
      <c r="VE140" s="422"/>
      <c r="VF140" s="422"/>
      <c r="VG140" s="422"/>
      <c r="VH140" s="422"/>
      <c r="VI140" s="422"/>
      <c r="VJ140" s="422"/>
      <c r="VK140" s="422"/>
      <c r="VL140" s="422"/>
      <c r="VM140" s="422"/>
      <c r="VN140" s="422"/>
      <c r="VO140" s="422"/>
      <c r="VP140" s="422"/>
      <c r="VQ140" s="422"/>
      <c r="VR140" s="422"/>
      <c r="VS140" s="422"/>
      <c r="VT140" s="422"/>
      <c r="VU140" s="422"/>
      <c r="VV140" s="422"/>
      <c r="VW140" s="422"/>
      <c r="VX140" s="422"/>
      <c r="VY140" s="422"/>
      <c r="VZ140" s="422"/>
      <c r="WA140" s="422"/>
      <c r="WB140" s="422"/>
      <c r="WC140" s="422"/>
      <c r="WD140" s="422"/>
      <c r="WE140" s="422"/>
      <c r="WF140" s="422"/>
      <c r="WG140" s="422"/>
      <c r="WH140" s="422"/>
      <c r="WI140" s="422"/>
      <c r="WJ140" s="422"/>
      <c r="WK140" s="422"/>
      <c r="WL140" s="422"/>
      <c r="WM140" s="422"/>
      <c r="WN140" s="422"/>
      <c r="WO140" s="422"/>
      <c r="WP140" s="422"/>
      <c r="WQ140" s="422"/>
      <c r="WR140" s="422"/>
      <c r="WS140" s="422"/>
      <c r="WT140" s="422"/>
      <c r="WU140" s="422"/>
      <c r="WV140" s="422"/>
      <c r="WW140" s="422"/>
      <c r="WX140" s="422"/>
      <c r="WY140" s="422"/>
      <c r="WZ140" s="422"/>
      <c r="XA140" s="422"/>
      <c r="XB140" s="422"/>
      <c r="XC140" s="422"/>
      <c r="XD140" s="422"/>
      <c r="XE140" s="422"/>
      <c r="XF140" s="422"/>
      <c r="XG140" s="422"/>
      <c r="XH140" s="422"/>
      <c r="XI140" s="422"/>
      <c r="XJ140" s="422"/>
      <c r="XK140" s="422"/>
      <c r="XL140" s="422"/>
      <c r="XM140" s="422"/>
      <c r="XN140" s="422"/>
      <c r="XO140" s="422"/>
      <c r="XP140" s="422"/>
      <c r="XQ140" s="422"/>
      <c r="XR140" s="422"/>
      <c r="XS140" s="422"/>
      <c r="XT140" s="422"/>
      <c r="XU140" s="422"/>
      <c r="XV140" s="422"/>
      <c r="XW140" s="422"/>
      <c r="XX140" s="422"/>
      <c r="XY140" s="422"/>
      <c r="XZ140" s="422"/>
      <c r="YA140" s="422"/>
      <c r="YB140" s="422"/>
      <c r="YC140" s="422"/>
      <c r="YD140" s="422"/>
      <c r="YE140" s="422"/>
      <c r="YF140" s="422"/>
      <c r="YG140" s="422"/>
      <c r="YH140" s="422"/>
      <c r="YI140" s="422"/>
      <c r="YJ140" s="422"/>
      <c r="YK140" s="422"/>
      <c r="YL140" s="422"/>
      <c r="YM140" s="422"/>
      <c r="YN140" s="422"/>
      <c r="YO140" s="422"/>
      <c r="YP140" s="422"/>
      <c r="YQ140" s="422"/>
      <c r="YR140" s="422"/>
      <c r="YS140" s="422"/>
      <c r="YT140" s="422"/>
      <c r="YU140" s="422"/>
      <c r="YV140" s="422"/>
      <c r="YW140" s="422"/>
      <c r="YX140" s="422"/>
      <c r="YY140" s="422"/>
      <c r="YZ140" s="422"/>
      <c r="ZA140" s="422"/>
      <c r="ZB140" s="422"/>
      <c r="ZC140" s="422"/>
      <c r="ZD140" s="422"/>
      <c r="ZE140" s="422"/>
      <c r="ZF140" s="422"/>
      <c r="ZG140" s="422"/>
      <c r="ZH140" s="422"/>
      <c r="ZI140" s="422"/>
      <c r="ZJ140" s="422"/>
      <c r="ZK140" s="422"/>
      <c r="ZL140" s="422"/>
      <c r="ZM140" s="422"/>
      <c r="ZN140" s="422"/>
      <c r="ZO140" s="422"/>
      <c r="ZP140" s="422"/>
      <c r="ZQ140" s="422"/>
      <c r="ZR140" s="422"/>
      <c r="ZS140" s="422"/>
      <c r="ZT140" s="422"/>
      <c r="ZU140" s="422"/>
      <c r="ZV140" s="422"/>
      <c r="ZW140" s="422"/>
      <c r="ZX140" s="422"/>
      <c r="ZY140" s="422"/>
      <c r="ZZ140" s="422"/>
      <c r="AAA140" s="422"/>
      <c r="AAB140" s="422"/>
      <c r="AAC140" s="422"/>
      <c r="AAD140" s="422"/>
      <c r="AAE140" s="422"/>
      <c r="AAF140" s="422"/>
      <c r="AAG140" s="422"/>
      <c r="AAH140" s="422"/>
      <c r="AAI140" s="422"/>
      <c r="AAJ140" s="422"/>
      <c r="AAK140" s="422"/>
      <c r="AAL140" s="422"/>
      <c r="AAM140" s="422"/>
      <c r="AAN140" s="422"/>
      <c r="AAO140" s="422"/>
      <c r="AAP140" s="422"/>
      <c r="AAQ140" s="422"/>
      <c r="AAR140" s="422"/>
      <c r="AAS140" s="422"/>
      <c r="AAT140" s="422"/>
      <c r="AAU140" s="422"/>
      <c r="AAV140" s="422"/>
      <c r="AAW140" s="422"/>
      <c r="AAX140" s="422"/>
      <c r="AAY140" s="422"/>
      <c r="AAZ140" s="422"/>
      <c r="ABA140" s="422"/>
      <c r="ABB140" s="422"/>
      <c r="ABC140" s="422"/>
      <c r="ABD140" s="422"/>
      <c r="ABE140" s="422"/>
      <c r="ABF140" s="422"/>
      <c r="ABG140" s="422"/>
      <c r="ABH140" s="422"/>
      <c r="ABI140" s="422"/>
      <c r="ABJ140" s="422"/>
      <c r="ABK140" s="422"/>
      <c r="ABL140" s="422"/>
      <c r="ABM140" s="422"/>
      <c r="ABN140" s="422"/>
      <c r="ABO140" s="422"/>
      <c r="ABP140" s="422"/>
      <c r="ABQ140" s="422"/>
      <c r="ABR140" s="422"/>
      <c r="ABS140" s="422"/>
      <c r="ABT140" s="422"/>
      <c r="ABU140" s="422"/>
      <c r="ABV140" s="422"/>
      <c r="ABW140" s="422"/>
      <c r="ABX140" s="422"/>
      <c r="ABY140" s="422"/>
      <c r="ABZ140" s="422"/>
      <c r="ACA140" s="422"/>
      <c r="ACB140" s="422"/>
      <c r="ACC140" s="422"/>
      <c r="ACD140" s="422"/>
      <c r="ACE140" s="422"/>
      <c r="ACF140" s="422"/>
      <c r="ACG140" s="422"/>
      <c r="ACH140" s="422"/>
      <c r="ACI140" s="422"/>
      <c r="ACJ140" s="422"/>
      <c r="ACK140" s="422"/>
      <c r="ACL140" s="422"/>
      <c r="ACM140" s="422"/>
      <c r="ACN140" s="422"/>
      <c r="ACO140" s="422"/>
      <c r="ACP140" s="422"/>
      <c r="ACQ140" s="422"/>
      <c r="ACR140" s="422"/>
      <c r="ACS140" s="422"/>
      <c r="ACT140" s="422"/>
      <c r="ACU140" s="422"/>
      <c r="ACV140" s="422"/>
      <c r="ACW140" s="422"/>
      <c r="ACX140" s="422"/>
      <c r="ACY140" s="422"/>
      <c r="ACZ140" s="422"/>
      <c r="ADA140" s="422"/>
      <c r="ADB140" s="422"/>
      <c r="ADC140" s="422"/>
      <c r="ADD140" s="422"/>
      <c r="ADE140" s="422"/>
      <c r="ADF140" s="422"/>
      <c r="ADG140" s="422"/>
      <c r="ADH140" s="422"/>
      <c r="ADI140" s="422"/>
      <c r="ADJ140" s="422"/>
      <c r="ADK140" s="422"/>
      <c r="ADL140" s="422"/>
      <c r="ADM140" s="422"/>
      <c r="ADN140" s="422"/>
      <c r="ADO140" s="422"/>
      <c r="ADP140" s="422"/>
      <c r="ADQ140" s="422"/>
      <c r="ADR140" s="422"/>
      <c r="ADS140" s="422"/>
      <c r="ADT140" s="422"/>
      <c r="ADU140" s="422"/>
      <c r="ADV140" s="422"/>
      <c r="ADW140" s="422"/>
      <c r="ADX140" s="422"/>
      <c r="ADY140" s="422"/>
      <c r="ADZ140" s="422"/>
      <c r="AEA140" s="422"/>
      <c r="AEB140" s="422"/>
      <c r="AEC140" s="422"/>
      <c r="AED140" s="422"/>
      <c r="AEE140" s="422"/>
      <c r="AEF140" s="422"/>
      <c r="AEG140" s="422"/>
      <c r="AEH140" s="422"/>
      <c r="AEI140" s="422"/>
      <c r="AEJ140" s="422"/>
      <c r="AEK140" s="422"/>
      <c r="AEL140" s="422"/>
      <c r="AEM140" s="422"/>
      <c r="AEN140" s="422"/>
      <c r="AEO140" s="422"/>
      <c r="AEP140" s="422"/>
      <c r="AEQ140" s="422"/>
      <c r="AER140" s="422"/>
      <c r="AES140" s="422"/>
      <c r="AET140" s="422"/>
      <c r="AEU140" s="422"/>
      <c r="AEV140" s="422"/>
      <c r="AEW140" s="422"/>
      <c r="AEX140" s="422"/>
      <c r="AEY140" s="422"/>
      <c r="AEZ140" s="422"/>
      <c r="AFA140" s="422"/>
      <c r="AFB140" s="422"/>
      <c r="AFC140" s="422"/>
      <c r="AFD140" s="422"/>
      <c r="AFE140" s="422"/>
      <c r="AFF140" s="422"/>
      <c r="AFG140" s="422"/>
      <c r="AFH140" s="422"/>
      <c r="AFI140" s="422"/>
      <c r="AFJ140" s="422"/>
      <c r="AFK140" s="422"/>
      <c r="AFL140" s="422"/>
      <c r="AFM140" s="422"/>
      <c r="AFN140" s="422"/>
      <c r="AFO140" s="422"/>
      <c r="AFP140" s="422"/>
      <c r="AFQ140" s="422"/>
      <c r="AFR140" s="422"/>
      <c r="AFS140" s="422"/>
      <c r="AFT140" s="422"/>
      <c r="AFU140" s="422"/>
      <c r="AFV140" s="422"/>
      <c r="AFW140" s="422"/>
      <c r="AFX140" s="422"/>
      <c r="AFY140" s="422"/>
      <c r="AFZ140" s="422"/>
      <c r="AGA140" s="422"/>
      <c r="AGB140" s="422"/>
      <c r="AGC140" s="422"/>
      <c r="AGD140" s="422"/>
      <c r="AGE140" s="422"/>
      <c r="AGF140" s="422"/>
      <c r="AGG140" s="422"/>
      <c r="AGH140" s="422"/>
      <c r="AGI140" s="422"/>
      <c r="AGJ140" s="422"/>
      <c r="AGK140" s="422"/>
      <c r="AGL140" s="422"/>
      <c r="AGM140" s="422"/>
      <c r="AGN140" s="422"/>
      <c r="AGO140" s="422"/>
      <c r="AGP140" s="422"/>
      <c r="AGQ140" s="422"/>
      <c r="AGR140" s="422"/>
      <c r="AGS140" s="422"/>
      <c r="AGT140" s="422"/>
      <c r="AGU140" s="422"/>
      <c r="AGV140" s="422"/>
      <c r="AGW140" s="422"/>
      <c r="AGX140" s="422"/>
      <c r="AGY140" s="422"/>
      <c r="AGZ140" s="422"/>
      <c r="AHA140" s="422"/>
      <c r="AHB140" s="422"/>
      <c r="AHC140" s="422"/>
      <c r="AHD140" s="422"/>
      <c r="AHE140" s="422"/>
      <c r="AHF140" s="422"/>
      <c r="AHG140" s="422"/>
      <c r="AHH140" s="422"/>
      <c r="AHI140" s="422"/>
      <c r="AHJ140" s="422"/>
      <c r="AHK140" s="422"/>
      <c r="AHL140" s="422"/>
      <c r="AHM140" s="422"/>
      <c r="AHN140" s="422"/>
      <c r="AHO140" s="422"/>
      <c r="AHP140" s="422"/>
      <c r="AHQ140" s="422"/>
      <c r="AHR140" s="422"/>
      <c r="AHS140" s="422"/>
      <c r="AHT140" s="422"/>
      <c r="AHU140" s="422"/>
      <c r="AHV140" s="422"/>
      <c r="AHW140" s="422"/>
      <c r="AHX140" s="422"/>
      <c r="AHY140" s="422"/>
      <c r="AHZ140" s="422"/>
      <c r="AIA140" s="422"/>
      <c r="AIB140" s="422"/>
      <c r="AIC140" s="422"/>
      <c r="AID140" s="422"/>
      <c r="AIE140" s="422"/>
      <c r="AIF140" s="422"/>
      <c r="AIG140" s="422"/>
      <c r="AIH140" s="422"/>
      <c r="AII140" s="422"/>
      <c r="AIJ140" s="422"/>
      <c r="AIK140" s="422"/>
      <c r="AIL140" s="422"/>
      <c r="AIM140" s="422"/>
      <c r="AIN140" s="422"/>
      <c r="AIO140" s="422"/>
      <c r="AIP140" s="422"/>
      <c r="AIQ140" s="422"/>
      <c r="AIR140" s="422"/>
      <c r="AIS140" s="422"/>
      <c r="AIT140" s="422"/>
      <c r="AIU140" s="422"/>
      <c r="AIV140" s="422"/>
      <c r="AIW140" s="422"/>
      <c r="AIX140" s="422"/>
      <c r="AIY140" s="422"/>
      <c r="AIZ140" s="422"/>
      <c r="AJA140" s="422"/>
      <c r="AJB140" s="422"/>
      <c r="AJC140" s="422"/>
      <c r="AJD140" s="422"/>
      <c r="AJE140" s="422"/>
      <c r="AJF140" s="422"/>
      <c r="AJG140" s="422"/>
      <c r="AJH140" s="422"/>
      <c r="AJI140" s="422"/>
      <c r="AJJ140" s="422"/>
      <c r="AJK140" s="422"/>
      <c r="AJL140" s="422"/>
      <c r="AJM140" s="422"/>
      <c r="AJN140" s="422"/>
      <c r="AJO140" s="422"/>
      <c r="AJP140" s="422"/>
      <c r="AJQ140" s="422"/>
      <c r="AJR140" s="422"/>
      <c r="AJS140" s="422"/>
      <c r="AJT140" s="422"/>
      <c r="AJU140" s="422"/>
      <c r="AJV140" s="422"/>
      <c r="AJW140" s="422"/>
      <c r="AJX140" s="422"/>
      <c r="AJY140" s="422"/>
      <c r="AJZ140" s="422"/>
      <c r="AKA140" s="422"/>
      <c r="AKB140" s="422"/>
      <c r="AKC140" s="422"/>
      <c r="AKD140" s="422"/>
      <c r="AKE140" s="422"/>
      <c r="AKF140" s="422"/>
      <c r="AKG140" s="422"/>
      <c r="AKH140" s="422"/>
      <c r="AKI140" s="422"/>
      <c r="AKJ140" s="422"/>
      <c r="AKK140" s="422"/>
      <c r="AKL140" s="422"/>
      <c r="AKM140" s="422"/>
      <c r="AKN140" s="422"/>
      <c r="AKO140" s="422"/>
      <c r="AKP140" s="422"/>
      <c r="AKQ140" s="422"/>
      <c r="AKR140" s="422"/>
      <c r="AKS140" s="422"/>
      <c r="AKT140" s="422"/>
      <c r="AKU140" s="422"/>
      <c r="AKV140" s="422"/>
      <c r="AKW140" s="422"/>
      <c r="AKX140" s="422"/>
      <c r="AKY140" s="422"/>
      <c r="AKZ140" s="422"/>
      <c r="ALA140" s="422"/>
      <c r="ALB140" s="422"/>
      <c r="ALC140" s="422"/>
      <c r="ALD140" s="422"/>
      <c r="ALE140" s="422"/>
      <c r="ALF140" s="422"/>
      <c r="ALG140" s="422"/>
      <c r="ALH140" s="422"/>
      <c r="ALI140" s="422"/>
      <c r="ALJ140" s="422"/>
      <c r="ALK140" s="422"/>
      <c r="ALL140" s="422"/>
      <c r="ALM140" s="422"/>
      <c r="ALN140" s="422"/>
      <c r="ALO140" s="422"/>
      <c r="ALP140" s="422"/>
      <c r="ALQ140" s="422"/>
      <c r="ALR140" s="422"/>
      <c r="ALS140" s="422"/>
      <c r="ALT140" s="422"/>
      <c r="ALU140" s="422"/>
      <c r="ALV140" s="422"/>
      <c r="ALW140" s="422"/>
      <c r="ALX140" s="422"/>
      <c r="ALY140" s="422"/>
      <c r="ALZ140" s="422"/>
      <c r="AMA140" s="422"/>
      <c r="AMB140" s="422"/>
      <c r="AMC140" s="422"/>
      <c r="AMD140" s="422"/>
      <c r="AME140" s="422"/>
      <c r="AMF140" s="422"/>
      <c r="AMG140" s="422"/>
      <c r="AMH140" s="422"/>
      <c r="AMI140" s="422"/>
      <c r="AMJ140" s="422"/>
      <c r="AMK140" s="422"/>
      <c r="AML140" s="422"/>
      <c r="AMM140" s="422"/>
      <c r="AMN140" s="422"/>
      <c r="AMO140" s="422"/>
      <c r="AMP140" s="422"/>
      <c r="AMQ140" s="422"/>
      <c r="AMR140" s="422"/>
      <c r="AMS140" s="422"/>
      <c r="AMT140" s="422"/>
      <c r="AMU140" s="422"/>
      <c r="AMV140" s="422"/>
      <c r="AMW140" s="422"/>
      <c r="AMX140" s="422"/>
      <c r="AMY140" s="422"/>
      <c r="AMZ140" s="422"/>
      <c r="ANA140" s="422"/>
      <c r="ANB140" s="422"/>
      <c r="ANC140" s="422"/>
      <c r="AND140" s="422"/>
      <c r="ANE140" s="422"/>
      <c r="ANF140" s="422"/>
      <c r="ANG140" s="422"/>
      <c r="ANH140" s="422"/>
      <c r="ANI140" s="422"/>
      <c r="ANJ140" s="422"/>
      <c r="ANK140" s="422"/>
      <c r="ANL140" s="422"/>
      <c r="ANM140" s="422"/>
      <c r="ANN140" s="422"/>
      <c r="ANO140" s="422"/>
      <c r="ANP140" s="422"/>
      <c r="ANQ140" s="422"/>
      <c r="ANR140" s="422"/>
      <c r="ANS140" s="422"/>
      <c r="ANT140" s="422"/>
      <c r="ANU140" s="422"/>
      <c r="ANV140" s="422"/>
      <c r="ANW140" s="422"/>
      <c r="ANX140" s="422"/>
      <c r="ANY140" s="422"/>
      <c r="ANZ140" s="422"/>
      <c r="AOA140" s="422"/>
      <c r="AOB140" s="422"/>
      <c r="AOC140" s="422"/>
      <c r="AOD140" s="422"/>
      <c r="AOE140" s="422"/>
      <c r="AOF140" s="422"/>
      <c r="AOG140" s="422"/>
      <c r="AOH140" s="422"/>
      <c r="AOI140" s="422"/>
      <c r="AOJ140" s="422"/>
      <c r="AOK140" s="422"/>
      <c r="AOL140" s="422"/>
      <c r="AOM140" s="422"/>
      <c r="AON140" s="422"/>
      <c r="AOO140" s="422"/>
      <c r="AOP140" s="422"/>
      <c r="AOQ140" s="422"/>
      <c r="AOR140" s="422"/>
      <c r="AOS140" s="422"/>
      <c r="AOT140" s="422"/>
      <c r="AOU140" s="422"/>
      <c r="AOV140" s="422"/>
      <c r="AOW140" s="422"/>
      <c r="AOX140" s="422"/>
      <c r="AOY140" s="422"/>
      <c r="AOZ140" s="422"/>
      <c r="APA140" s="422"/>
      <c r="APB140" s="422"/>
      <c r="APC140" s="422"/>
      <c r="APD140" s="422"/>
      <c r="APE140" s="422"/>
      <c r="APF140" s="422"/>
      <c r="APG140" s="422"/>
      <c r="APH140" s="422"/>
      <c r="API140" s="422"/>
      <c r="APJ140" s="422"/>
      <c r="APK140" s="422"/>
      <c r="APL140" s="422"/>
      <c r="APM140" s="422"/>
      <c r="APN140" s="422"/>
      <c r="APO140" s="422"/>
      <c r="APP140" s="422"/>
      <c r="APQ140" s="422"/>
      <c r="APR140" s="422"/>
      <c r="APS140" s="422"/>
      <c r="APT140" s="422"/>
      <c r="APU140" s="422"/>
      <c r="APV140" s="422"/>
      <c r="APW140" s="422"/>
      <c r="APX140" s="422"/>
      <c r="APY140" s="422"/>
      <c r="APZ140" s="422"/>
      <c r="AQA140" s="422"/>
      <c r="AQB140" s="422"/>
      <c r="AQC140" s="422"/>
      <c r="AQD140" s="422"/>
      <c r="AQE140" s="422"/>
      <c r="AQF140" s="422"/>
      <c r="AQG140" s="422"/>
      <c r="AQH140" s="422"/>
      <c r="AQI140" s="422"/>
      <c r="AQJ140" s="422"/>
      <c r="AQK140" s="422"/>
      <c r="AQL140" s="422"/>
      <c r="AQM140" s="422"/>
      <c r="AQN140" s="422"/>
      <c r="AQO140" s="422"/>
      <c r="AQP140" s="422"/>
      <c r="AQQ140" s="422"/>
      <c r="AQR140" s="422"/>
      <c r="AQS140" s="422"/>
      <c r="AQT140" s="422"/>
      <c r="AQU140" s="422"/>
      <c r="AQV140" s="422"/>
      <c r="AQW140" s="422"/>
      <c r="AQX140" s="422"/>
      <c r="AQY140" s="422"/>
      <c r="AQZ140" s="422"/>
      <c r="ARA140" s="422"/>
      <c r="ARB140" s="422"/>
      <c r="ARC140" s="422"/>
      <c r="ARD140" s="422"/>
      <c r="ARE140" s="422"/>
      <c r="ARF140" s="422"/>
      <c r="ARG140" s="422"/>
      <c r="ARH140" s="422"/>
      <c r="ARI140" s="422"/>
      <c r="ARJ140" s="422"/>
      <c r="ARK140" s="422"/>
      <c r="ARL140" s="422"/>
      <c r="ARM140" s="422"/>
      <c r="ARN140" s="422"/>
      <c r="ARO140" s="422"/>
      <c r="ARP140" s="422"/>
      <c r="ARQ140" s="422"/>
      <c r="ARR140" s="422"/>
      <c r="ARS140" s="422"/>
      <c r="ART140" s="422"/>
      <c r="ARU140" s="422"/>
      <c r="ARV140" s="422"/>
      <c r="ARW140" s="422"/>
      <c r="ARX140" s="422"/>
      <c r="ARY140" s="422"/>
      <c r="ARZ140" s="422"/>
      <c r="ASA140" s="422"/>
      <c r="ASB140" s="422"/>
      <c r="ASC140" s="422"/>
      <c r="ASD140" s="422"/>
      <c r="ASE140" s="422"/>
      <c r="ASF140" s="422"/>
      <c r="ASG140" s="422"/>
      <c r="ASH140" s="422"/>
      <c r="ASI140" s="422"/>
      <c r="ASJ140" s="422"/>
      <c r="ASK140" s="422"/>
      <c r="ASL140" s="422"/>
      <c r="ASM140" s="422"/>
      <c r="ASN140" s="422"/>
      <c r="ASO140" s="422"/>
      <c r="ASP140" s="422"/>
      <c r="ASQ140" s="422"/>
      <c r="ASR140" s="422"/>
      <c r="ASS140" s="422"/>
      <c r="AST140" s="422"/>
      <c r="ASU140" s="422"/>
      <c r="ASV140" s="422"/>
      <c r="ASW140" s="422"/>
      <c r="ASX140" s="422"/>
      <c r="ASY140" s="422"/>
      <c r="ASZ140" s="422"/>
      <c r="ATA140" s="422"/>
      <c r="ATB140" s="422"/>
      <c r="ATC140" s="422"/>
      <c r="ATD140" s="422"/>
      <c r="ATE140" s="422"/>
      <c r="ATF140" s="422"/>
      <c r="ATG140" s="422"/>
      <c r="ATH140" s="422"/>
      <c r="ATI140" s="422"/>
      <c r="ATJ140" s="422"/>
      <c r="ATK140" s="422"/>
      <c r="ATL140" s="422"/>
      <c r="ATM140" s="422"/>
      <c r="ATN140" s="422"/>
      <c r="ATO140" s="422"/>
      <c r="ATP140" s="422"/>
      <c r="ATQ140" s="422"/>
      <c r="ATR140" s="422"/>
      <c r="ATS140" s="422"/>
      <c r="ATT140" s="422"/>
      <c r="ATU140" s="422"/>
      <c r="ATV140" s="422"/>
      <c r="ATW140" s="422"/>
      <c r="ATX140" s="422"/>
      <c r="ATY140" s="422"/>
      <c r="ATZ140" s="422"/>
      <c r="AUA140" s="422"/>
      <c r="AUB140" s="422"/>
      <c r="AUC140" s="422"/>
      <c r="AUD140" s="422"/>
      <c r="AUE140" s="422"/>
      <c r="AUF140" s="422"/>
      <c r="AUG140" s="422"/>
      <c r="AUH140" s="422"/>
      <c r="AUI140" s="422"/>
      <c r="AUJ140" s="422"/>
      <c r="AUK140" s="422"/>
      <c r="AUL140" s="422"/>
      <c r="AUM140" s="422"/>
      <c r="AUN140" s="422"/>
      <c r="AUO140" s="422"/>
      <c r="AUP140" s="422"/>
      <c r="AUQ140" s="422"/>
      <c r="AUR140" s="422"/>
      <c r="AUS140" s="422"/>
      <c r="AUT140" s="422"/>
      <c r="AUU140" s="422"/>
      <c r="AUV140" s="422"/>
      <c r="AUW140" s="422"/>
      <c r="AUX140" s="422"/>
      <c r="AUY140" s="422"/>
      <c r="AUZ140" s="422"/>
      <c r="AVA140" s="422"/>
      <c r="AVB140" s="422"/>
      <c r="AVC140" s="422"/>
      <c r="AVD140" s="422"/>
      <c r="AVE140" s="422"/>
      <c r="AVF140" s="422"/>
      <c r="AVG140" s="422"/>
      <c r="AVH140" s="422"/>
      <c r="AVI140" s="422"/>
      <c r="AVJ140" s="422"/>
      <c r="AVK140" s="422"/>
      <c r="AVL140" s="422"/>
      <c r="AVM140" s="422"/>
      <c r="AVN140" s="422"/>
      <c r="AVO140" s="422"/>
      <c r="AVP140" s="422"/>
      <c r="AVQ140" s="422"/>
      <c r="AVR140" s="422"/>
      <c r="AVS140" s="422"/>
      <c r="AVT140" s="422"/>
      <c r="AVU140" s="422"/>
      <c r="AVV140" s="422"/>
      <c r="AVW140" s="422"/>
      <c r="AVX140" s="422"/>
      <c r="AVY140" s="422"/>
      <c r="AVZ140" s="422"/>
      <c r="AWA140" s="422"/>
      <c r="AWB140" s="422"/>
      <c r="AWC140" s="422"/>
      <c r="AWD140" s="422"/>
      <c r="AWE140" s="422"/>
      <c r="AWF140" s="422"/>
      <c r="AWG140" s="422"/>
      <c r="AWH140" s="422"/>
      <c r="AWI140" s="422"/>
      <c r="AWJ140" s="422"/>
      <c r="AWK140" s="422"/>
      <c r="AWL140" s="422"/>
      <c r="AWM140" s="422"/>
      <c r="AWN140" s="422"/>
      <c r="AWO140" s="422"/>
      <c r="AWP140" s="422"/>
      <c r="AWQ140" s="422"/>
      <c r="AWR140" s="422"/>
      <c r="AWS140" s="422"/>
      <c r="AWT140" s="422"/>
      <c r="AWU140" s="422"/>
      <c r="AWV140" s="422"/>
      <c r="AWW140" s="422"/>
      <c r="AWX140" s="422"/>
      <c r="AWY140" s="422"/>
      <c r="AWZ140" s="422"/>
      <c r="AXA140" s="422"/>
      <c r="AXB140" s="422"/>
      <c r="AXC140" s="422"/>
      <c r="AXD140" s="422"/>
      <c r="AXE140" s="422"/>
      <c r="AXF140" s="422"/>
      <c r="AXG140" s="422"/>
      <c r="AXH140" s="422"/>
      <c r="AXI140" s="422"/>
      <c r="AXJ140" s="422"/>
      <c r="AXK140" s="422"/>
      <c r="AXL140" s="422"/>
      <c r="AXM140" s="422"/>
      <c r="AXN140" s="422"/>
      <c r="AXO140" s="422"/>
      <c r="AXP140" s="422"/>
      <c r="AXQ140" s="422"/>
      <c r="AXR140" s="422"/>
      <c r="AXS140" s="422"/>
      <c r="AXT140" s="422"/>
      <c r="AXU140" s="422"/>
      <c r="AXV140" s="422"/>
      <c r="AXW140" s="422"/>
      <c r="AXX140" s="422"/>
      <c r="AXY140" s="422"/>
      <c r="AXZ140" s="422"/>
      <c r="AYA140" s="422"/>
      <c r="AYB140" s="422"/>
      <c r="AYC140" s="422"/>
      <c r="AYD140" s="422"/>
      <c r="AYE140" s="422"/>
      <c r="AYF140" s="422"/>
      <c r="AYG140" s="422"/>
      <c r="AYH140" s="422"/>
      <c r="AYI140" s="422"/>
      <c r="AYJ140" s="422"/>
      <c r="AYK140" s="422"/>
      <c r="AYL140" s="422"/>
      <c r="AYM140" s="422"/>
      <c r="AYN140" s="422"/>
      <c r="AYO140" s="422"/>
      <c r="AYP140" s="422"/>
      <c r="AYQ140" s="422"/>
      <c r="AYR140" s="422"/>
      <c r="AYS140" s="422"/>
      <c r="AYT140" s="422"/>
      <c r="AYU140" s="422"/>
      <c r="AYV140" s="422"/>
      <c r="AYW140" s="422"/>
      <c r="AYX140" s="422"/>
      <c r="AYY140" s="422"/>
      <c r="AYZ140" s="422"/>
      <c r="AZA140" s="422"/>
      <c r="AZB140" s="422"/>
      <c r="AZC140" s="422"/>
      <c r="AZD140" s="422"/>
      <c r="AZE140" s="422"/>
      <c r="AZF140" s="422"/>
      <c r="AZG140" s="422"/>
      <c r="AZH140" s="422"/>
      <c r="AZI140" s="422"/>
      <c r="AZJ140" s="422"/>
      <c r="AZK140" s="422"/>
      <c r="AZL140" s="422"/>
      <c r="AZM140" s="422"/>
      <c r="AZN140" s="422"/>
      <c r="AZO140" s="422"/>
      <c r="AZP140" s="422"/>
      <c r="AZQ140" s="422"/>
      <c r="AZR140" s="422"/>
      <c r="AZS140" s="422"/>
      <c r="AZT140" s="422"/>
      <c r="AZU140" s="422"/>
      <c r="AZV140" s="422"/>
      <c r="AZW140" s="422"/>
      <c r="AZX140" s="422"/>
      <c r="AZY140" s="422"/>
      <c r="AZZ140" s="422"/>
      <c r="BAA140" s="422"/>
      <c r="BAB140" s="422"/>
      <c r="BAC140" s="422"/>
      <c r="BAD140" s="422"/>
      <c r="BAE140" s="422"/>
      <c r="BAF140" s="422"/>
      <c r="BAG140" s="422"/>
      <c r="BAH140" s="422"/>
      <c r="BAI140" s="422"/>
      <c r="BAJ140" s="422"/>
      <c r="BAK140" s="422"/>
      <c r="BAL140" s="422"/>
      <c r="BAM140" s="422"/>
      <c r="BAN140" s="422"/>
      <c r="BAO140" s="422"/>
      <c r="BAP140" s="422"/>
      <c r="BAQ140" s="422"/>
      <c r="BAR140" s="422"/>
      <c r="BAS140" s="422"/>
      <c r="BAT140" s="422"/>
      <c r="BAU140" s="422"/>
      <c r="BAV140" s="422"/>
      <c r="BAW140" s="422"/>
      <c r="BAX140" s="422"/>
      <c r="BAY140" s="422"/>
      <c r="BAZ140" s="422"/>
      <c r="BBA140" s="422"/>
      <c r="BBB140" s="422"/>
      <c r="BBC140" s="422"/>
      <c r="BBD140" s="422"/>
      <c r="BBE140" s="422"/>
      <c r="BBF140" s="422"/>
      <c r="BBG140" s="422"/>
      <c r="BBH140" s="422"/>
      <c r="BBI140" s="422"/>
      <c r="BBJ140" s="422"/>
      <c r="BBK140" s="422"/>
      <c r="BBL140" s="422"/>
      <c r="BBM140" s="422"/>
      <c r="BBN140" s="422"/>
      <c r="BBO140" s="422"/>
      <c r="BBP140" s="422"/>
      <c r="BBQ140" s="422"/>
      <c r="BBR140" s="422"/>
      <c r="BBS140" s="422"/>
      <c r="BBT140" s="422"/>
      <c r="BBU140" s="422"/>
      <c r="BBV140" s="422"/>
      <c r="BBW140" s="422"/>
      <c r="BBX140" s="422"/>
      <c r="BBY140" s="422"/>
      <c r="BBZ140" s="422"/>
      <c r="BCA140" s="422"/>
      <c r="BCB140" s="422"/>
      <c r="BCC140" s="422"/>
      <c r="BCD140" s="422"/>
      <c r="BCE140" s="422"/>
      <c r="BCF140" s="422"/>
      <c r="BCG140" s="422"/>
      <c r="BCH140" s="422"/>
      <c r="BCI140" s="422"/>
      <c r="BCJ140" s="422"/>
      <c r="BCK140" s="422"/>
      <c r="BCL140" s="422"/>
      <c r="BCM140" s="422"/>
      <c r="BCN140" s="422"/>
      <c r="BCO140" s="422"/>
      <c r="BCP140" s="422"/>
      <c r="BCQ140" s="422"/>
      <c r="BCR140" s="422"/>
      <c r="BCS140" s="422"/>
      <c r="BCT140" s="422"/>
      <c r="BCU140" s="422"/>
      <c r="BCV140" s="422"/>
      <c r="BCW140" s="422"/>
      <c r="BCX140" s="422"/>
      <c r="BCY140" s="422"/>
      <c r="BCZ140" s="422"/>
      <c r="BDA140" s="422"/>
      <c r="BDB140" s="422"/>
      <c r="BDC140" s="422"/>
      <c r="BDD140" s="422"/>
      <c r="BDE140" s="422"/>
      <c r="BDF140" s="422"/>
      <c r="BDG140" s="422"/>
      <c r="BDH140" s="422"/>
      <c r="BDI140" s="422"/>
      <c r="BDJ140" s="422"/>
      <c r="BDK140" s="422"/>
      <c r="BDL140" s="422"/>
      <c r="BDM140" s="422"/>
      <c r="BDN140" s="422"/>
      <c r="BDO140" s="422"/>
      <c r="BDP140" s="422"/>
      <c r="BDQ140" s="422"/>
      <c r="BDR140" s="422"/>
      <c r="BDS140" s="422"/>
      <c r="BDT140" s="422"/>
      <c r="BDU140" s="422"/>
      <c r="BDV140" s="422"/>
      <c r="BDW140" s="422"/>
      <c r="BDX140" s="422"/>
      <c r="BDY140" s="422"/>
      <c r="BDZ140" s="422"/>
      <c r="BEA140" s="422"/>
      <c r="BEB140" s="422"/>
      <c r="BEC140" s="422"/>
      <c r="BED140" s="422"/>
      <c r="BEE140" s="422"/>
      <c r="BEF140" s="422"/>
      <c r="BEG140" s="422"/>
      <c r="BEH140" s="422"/>
      <c r="BEI140" s="422"/>
      <c r="BEJ140" s="422"/>
      <c r="BEK140" s="422"/>
      <c r="BEL140" s="422"/>
      <c r="BEM140" s="422"/>
      <c r="BEN140" s="422"/>
      <c r="BEO140" s="422"/>
      <c r="BEP140" s="422"/>
      <c r="BEQ140" s="422"/>
      <c r="BER140" s="422"/>
      <c r="BES140" s="422"/>
      <c r="BET140" s="422"/>
      <c r="BEU140" s="422"/>
      <c r="BEV140" s="422"/>
      <c r="BEW140" s="422"/>
      <c r="BEX140" s="422"/>
      <c r="BEY140" s="422"/>
      <c r="BEZ140" s="422"/>
      <c r="BFA140" s="422"/>
      <c r="BFB140" s="422"/>
      <c r="BFC140" s="422"/>
      <c r="BFD140" s="422"/>
      <c r="BFE140" s="422"/>
      <c r="BFF140" s="422"/>
      <c r="BFG140" s="422"/>
      <c r="BFH140" s="422"/>
      <c r="BFI140" s="422"/>
      <c r="BFJ140" s="422"/>
      <c r="BFK140" s="422"/>
      <c r="BFL140" s="422"/>
      <c r="BFM140" s="422"/>
      <c r="BFN140" s="422"/>
      <c r="BFO140" s="422"/>
      <c r="BFP140" s="422"/>
      <c r="BFQ140" s="422"/>
      <c r="BFR140" s="422"/>
      <c r="BFS140" s="422"/>
      <c r="BFT140" s="422"/>
      <c r="BFU140" s="422"/>
      <c r="BFV140" s="422"/>
      <c r="BFW140" s="422"/>
      <c r="BFX140" s="422"/>
      <c r="BFY140" s="422"/>
      <c r="BFZ140" s="422"/>
      <c r="BGA140" s="422"/>
      <c r="BGB140" s="422"/>
      <c r="BGC140" s="422"/>
      <c r="BGD140" s="422"/>
      <c r="BGE140" s="422"/>
      <c r="BGF140" s="422"/>
      <c r="BGG140" s="422"/>
      <c r="BGH140" s="422"/>
      <c r="BGI140" s="422"/>
      <c r="BGJ140" s="422"/>
      <c r="BGK140" s="422"/>
      <c r="BGL140" s="422"/>
      <c r="BGM140" s="422"/>
      <c r="BGN140" s="422"/>
      <c r="BGO140" s="422"/>
      <c r="BGP140" s="422"/>
      <c r="BGQ140" s="422"/>
      <c r="BGR140" s="422"/>
      <c r="BGS140" s="422"/>
      <c r="BGT140" s="422"/>
      <c r="BGU140" s="422"/>
      <c r="BGV140" s="422"/>
      <c r="BGW140" s="422"/>
      <c r="BGX140" s="422"/>
      <c r="BGY140" s="422"/>
      <c r="BGZ140" s="422"/>
      <c r="BHA140" s="422"/>
      <c r="BHB140" s="422"/>
      <c r="BHC140" s="422"/>
      <c r="BHD140" s="422"/>
      <c r="BHE140" s="422"/>
      <c r="BHF140" s="422"/>
      <c r="BHG140" s="422"/>
      <c r="BHH140" s="422"/>
      <c r="BHI140" s="422"/>
      <c r="BHJ140" s="422"/>
      <c r="BHK140" s="422"/>
      <c r="BHL140" s="422"/>
      <c r="BHM140" s="422"/>
      <c r="BHN140" s="422"/>
      <c r="BHO140" s="422"/>
      <c r="BHP140" s="422"/>
      <c r="BHQ140" s="422"/>
      <c r="BHR140" s="422"/>
      <c r="BHS140" s="422"/>
      <c r="BHT140" s="422"/>
      <c r="BHU140" s="422"/>
      <c r="BHV140" s="422"/>
      <c r="BHW140" s="422"/>
      <c r="BHX140" s="422"/>
      <c r="BHY140" s="422"/>
      <c r="BHZ140" s="422"/>
      <c r="BIA140" s="422"/>
      <c r="BIB140" s="422"/>
      <c r="BIC140" s="422"/>
      <c r="BID140" s="422"/>
      <c r="BIE140" s="422"/>
      <c r="BIF140" s="422"/>
      <c r="BIG140" s="422"/>
      <c r="BIH140" s="422"/>
      <c r="BII140" s="422"/>
      <c r="BIJ140" s="422"/>
      <c r="BIK140" s="422"/>
      <c r="BIL140" s="422"/>
      <c r="BIM140" s="422"/>
      <c r="BIN140" s="422"/>
      <c r="BIO140" s="422"/>
      <c r="BIP140" s="422"/>
      <c r="BIQ140" s="422"/>
      <c r="BIR140" s="422"/>
      <c r="BIS140" s="422"/>
      <c r="BIT140" s="422"/>
      <c r="BIU140" s="422"/>
      <c r="BIV140" s="422"/>
      <c r="BIW140" s="422"/>
      <c r="BIX140" s="422"/>
      <c r="BIY140" s="422"/>
      <c r="BIZ140" s="422"/>
      <c r="BJA140" s="422"/>
      <c r="BJB140" s="422"/>
      <c r="BJC140" s="422"/>
      <c r="BJD140" s="422"/>
      <c r="BJE140" s="422"/>
      <c r="BJF140" s="422"/>
      <c r="BJG140" s="422"/>
      <c r="BJH140" s="422"/>
      <c r="BJI140" s="422"/>
      <c r="BJJ140" s="422"/>
      <c r="BJK140" s="422"/>
      <c r="BJL140" s="422"/>
      <c r="BJM140" s="422"/>
      <c r="BJN140" s="422"/>
      <c r="BJO140" s="422"/>
      <c r="BJP140" s="422"/>
      <c r="BJQ140" s="422"/>
      <c r="BJR140" s="422"/>
      <c r="BJS140" s="422"/>
      <c r="BJT140" s="422"/>
      <c r="BJU140" s="422"/>
      <c r="BJV140" s="422"/>
      <c r="BJW140" s="422"/>
      <c r="BJX140" s="422"/>
      <c r="BJY140" s="422"/>
      <c r="BJZ140" s="422"/>
      <c r="BKA140" s="422"/>
      <c r="BKB140" s="422"/>
      <c r="BKC140" s="422"/>
      <c r="BKD140" s="422"/>
      <c r="BKE140" s="422"/>
      <c r="BKF140" s="422"/>
      <c r="BKG140" s="422"/>
      <c r="BKH140" s="422"/>
      <c r="BKI140" s="422"/>
      <c r="BKJ140" s="422"/>
      <c r="BKK140" s="422"/>
      <c r="BKL140" s="422"/>
      <c r="BKM140" s="422"/>
      <c r="BKN140" s="422"/>
      <c r="BKO140" s="422"/>
      <c r="BKP140" s="422"/>
      <c r="BKQ140" s="422"/>
      <c r="BKR140" s="422"/>
      <c r="BKS140" s="422"/>
      <c r="BKT140" s="422"/>
      <c r="BKU140" s="422"/>
      <c r="BKV140" s="422"/>
      <c r="BKW140" s="422"/>
      <c r="BKX140" s="422"/>
      <c r="BKY140" s="422"/>
      <c r="BKZ140" s="422"/>
      <c r="BLA140" s="422"/>
      <c r="BLB140" s="422"/>
      <c r="BLC140" s="422"/>
      <c r="BLD140" s="422"/>
      <c r="BLE140" s="422"/>
      <c r="BLF140" s="422"/>
      <c r="BLG140" s="422"/>
      <c r="BLH140" s="422"/>
      <c r="BLI140" s="422"/>
      <c r="BLJ140" s="422"/>
      <c r="BLK140" s="422"/>
      <c r="BLL140" s="422"/>
      <c r="BLM140" s="422"/>
      <c r="BLN140" s="422"/>
      <c r="BLO140" s="422"/>
      <c r="BLP140" s="422"/>
      <c r="BLQ140" s="422"/>
      <c r="BLR140" s="422"/>
      <c r="BLS140" s="422"/>
      <c r="BLT140" s="422"/>
      <c r="BLU140" s="422"/>
      <c r="BLV140" s="422"/>
      <c r="BLW140" s="422"/>
      <c r="BLX140" s="422"/>
      <c r="BLY140" s="422"/>
      <c r="BLZ140" s="422"/>
      <c r="BMA140" s="422"/>
      <c r="BMB140" s="422"/>
      <c r="BMC140" s="422"/>
      <c r="BMD140" s="422"/>
      <c r="BME140" s="422"/>
      <c r="BMF140" s="422"/>
      <c r="BMG140" s="422"/>
      <c r="BMH140" s="422"/>
      <c r="BMI140" s="422"/>
      <c r="BMJ140" s="422"/>
      <c r="BMK140" s="422"/>
      <c r="BML140" s="422"/>
      <c r="BMM140" s="422"/>
      <c r="BMN140" s="422"/>
      <c r="BMO140" s="422"/>
      <c r="BMP140" s="422"/>
      <c r="BMQ140" s="422"/>
      <c r="BMR140" s="422"/>
      <c r="BMS140" s="422"/>
      <c r="BMT140" s="422"/>
      <c r="BMU140" s="422"/>
      <c r="BMV140" s="422"/>
      <c r="BMW140" s="422"/>
      <c r="BMX140" s="422"/>
      <c r="BMY140" s="422"/>
      <c r="BMZ140" s="422"/>
      <c r="BNA140" s="422"/>
      <c r="BNB140" s="422"/>
      <c r="BNC140" s="422"/>
      <c r="BND140" s="422"/>
      <c r="BNE140" s="422"/>
      <c r="BNF140" s="422"/>
      <c r="BNG140" s="422"/>
      <c r="BNH140" s="422"/>
      <c r="BNI140" s="422"/>
      <c r="BNJ140" s="422"/>
      <c r="BNK140" s="422"/>
      <c r="BNL140" s="422"/>
      <c r="BNM140" s="422"/>
      <c r="BNN140" s="422"/>
      <c r="BNO140" s="422"/>
      <c r="BNP140" s="422"/>
      <c r="BNQ140" s="422"/>
      <c r="BNR140" s="422"/>
      <c r="BNS140" s="422"/>
      <c r="BNT140" s="422"/>
      <c r="BNU140" s="422"/>
      <c r="BNV140" s="422"/>
      <c r="BNW140" s="422"/>
      <c r="BNX140" s="422"/>
      <c r="BNY140" s="422"/>
      <c r="BNZ140" s="422"/>
      <c r="BOA140" s="422"/>
      <c r="BOB140" s="422"/>
      <c r="BOC140" s="422"/>
      <c r="BOD140" s="422"/>
      <c r="BOE140" s="422"/>
      <c r="BOF140" s="422"/>
      <c r="BOG140" s="422"/>
      <c r="BOH140" s="422"/>
      <c r="BOI140" s="422"/>
      <c r="BOJ140" s="422"/>
      <c r="BOK140" s="422"/>
      <c r="BOL140" s="422"/>
      <c r="BOM140" s="422"/>
      <c r="BON140" s="422"/>
      <c r="BOO140" s="422"/>
      <c r="BOP140" s="422"/>
      <c r="BOQ140" s="422"/>
      <c r="BOR140" s="422"/>
      <c r="BOS140" s="422"/>
      <c r="BOT140" s="422"/>
      <c r="BOU140" s="422"/>
      <c r="BOV140" s="422"/>
      <c r="BOW140" s="422"/>
      <c r="BOX140" s="422"/>
      <c r="BOY140" s="422"/>
      <c r="BOZ140" s="422"/>
      <c r="BPA140" s="422"/>
      <c r="BPB140" s="422"/>
      <c r="BPC140" s="422"/>
      <c r="BPD140" s="422"/>
      <c r="BPE140" s="422"/>
      <c r="BPF140" s="422"/>
      <c r="BPG140" s="422"/>
      <c r="BPH140" s="422"/>
      <c r="BPI140" s="422"/>
      <c r="BPJ140" s="422"/>
      <c r="BPK140" s="422"/>
      <c r="BPL140" s="422"/>
      <c r="BPM140" s="422"/>
      <c r="BPN140" s="422"/>
      <c r="BPO140" s="422"/>
      <c r="BPP140" s="422"/>
      <c r="BPQ140" s="422"/>
      <c r="BPR140" s="422"/>
      <c r="BPS140" s="422"/>
      <c r="BPT140" s="422"/>
      <c r="BPU140" s="422"/>
      <c r="BPV140" s="422"/>
      <c r="BPW140" s="422"/>
      <c r="BPX140" s="422"/>
      <c r="BPY140" s="422"/>
      <c r="BPZ140" s="422"/>
      <c r="BQA140" s="422"/>
      <c r="BQB140" s="422"/>
      <c r="BQC140" s="422"/>
      <c r="BQD140" s="422"/>
      <c r="BQE140" s="422"/>
      <c r="BQF140" s="422"/>
      <c r="BQG140" s="422"/>
      <c r="BQH140" s="422"/>
      <c r="BQI140" s="422"/>
      <c r="BQJ140" s="422"/>
      <c r="BQK140" s="422"/>
      <c r="BQL140" s="422"/>
      <c r="BQM140" s="422"/>
      <c r="BQN140" s="422"/>
      <c r="BQO140" s="422"/>
      <c r="BQP140" s="422"/>
      <c r="BQQ140" s="422"/>
      <c r="BQR140" s="422"/>
      <c r="BQS140" s="422"/>
      <c r="BQT140" s="422"/>
      <c r="BQU140" s="422"/>
      <c r="BQV140" s="422"/>
      <c r="BQW140" s="422"/>
      <c r="BQX140" s="422"/>
      <c r="BQY140" s="422"/>
      <c r="BQZ140" s="422"/>
      <c r="BRA140" s="422"/>
      <c r="BRB140" s="422"/>
      <c r="BRC140" s="422"/>
      <c r="BRD140" s="422"/>
      <c r="BRE140" s="422"/>
      <c r="BRF140" s="422"/>
      <c r="BRG140" s="422"/>
      <c r="BRH140" s="422"/>
      <c r="BRI140" s="422"/>
      <c r="BRJ140" s="422"/>
      <c r="BRK140" s="422"/>
      <c r="BRL140" s="422"/>
      <c r="BRM140" s="422"/>
      <c r="BRN140" s="422"/>
      <c r="BRO140" s="422"/>
      <c r="BRP140" s="422"/>
      <c r="BRQ140" s="422"/>
      <c r="BRR140" s="422"/>
      <c r="BRS140" s="422"/>
      <c r="BRT140" s="422"/>
      <c r="BRU140" s="422"/>
      <c r="BRV140" s="422"/>
      <c r="BRW140" s="422"/>
      <c r="BRX140" s="422"/>
      <c r="BRY140" s="422"/>
      <c r="BRZ140" s="422"/>
      <c r="BSA140" s="422"/>
      <c r="BSB140" s="422"/>
      <c r="BSC140" s="422"/>
      <c r="BSD140" s="422"/>
      <c r="BSE140" s="422"/>
      <c r="BSF140" s="422"/>
      <c r="BSG140" s="422"/>
      <c r="BSH140" s="422"/>
      <c r="BSI140" s="422"/>
      <c r="BSJ140" s="422"/>
      <c r="BSK140" s="422"/>
      <c r="BSL140" s="422"/>
      <c r="BSM140" s="422"/>
      <c r="BSN140" s="422"/>
      <c r="BSO140" s="422"/>
      <c r="BSP140" s="422"/>
      <c r="BSQ140" s="422"/>
      <c r="BSR140" s="422"/>
      <c r="BSS140" s="422"/>
      <c r="BST140" s="422"/>
      <c r="BSU140" s="422"/>
      <c r="BSV140" s="422"/>
      <c r="BSW140" s="422"/>
      <c r="BSX140" s="422"/>
      <c r="BSY140" s="422"/>
      <c r="BSZ140" s="422"/>
      <c r="BTA140" s="422"/>
      <c r="BTB140" s="422"/>
      <c r="BTC140" s="422"/>
      <c r="BTD140" s="422"/>
      <c r="BTE140" s="422"/>
      <c r="BTF140" s="422"/>
      <c r="BTG140" s="422"/>
      <c r="BTH140" s="422"/>
      <c r="BTI140" s="422"/>
      <c r="BTJ140" s="422"/>
      <c r="BTK140" s="422"/>
      <c r="BTL140" s="422"/>
      <c r="BTM140" s="422"/>
      <c r="BTN140" s="422"/>
      <c r="BTO140" s="422"/>
      <c r="BTP140" s="422"/>
      <c r="BTQ140" s="422"/>
      <c r="BTR140" s="422"/>
      <c r="BTS140" s="422"/>
      <c r="BTT140" s="422"/>
      <c r="BTU140" s="422"/>
      <c r="BTV140" s="422"/>
      <c r="BTW140" s="422"/>
      <c r="BTX140" s="422"/>
      <c r="BTY140" s="422"/>
      <c r="BTZ140" s="422"/>
      <c r="BUA140" s="422"/>
      <c r="BUB140" s="422"/>
      <c r="BUC140" s="422"/>
      <c r="BUD140" s="422"/>
      <c r="BUE140" s="422"/>
      <c r="BUF140" s="422"/>
      <c r="BUG140" s="422"/>
      <c r="BUH140" s="422"/>
      <c r="BUI140" s="422"/>
      <c r="BUJ140" s="422"/>
      <c r="BUK140" s="422"/>
      <c r="BUL140" s="422"/>
      <c r="BUM140" s="422"/>
      <c r="BUN140" s="422"/>
      <c r="BUO140" s="422"/>
      <c r="BUP140" s="422"/>
      <c r="BUQ140" s="422"/>
      <c r="BUR140" s="422"/>
      <c r="BUS140" s="422"/>
      <c r="BUT140" s="422"/>
      <c r="BUU140" s="422"/>
      <c r="BUV140" s="422"/>
      <c r="BUW140" s="422"/>
      <c r="BUX140" s="422"/>
      <c r="BUY140" s="422"/>
      <c r="BUZ140" s="422"/>
      <c r="BVA140" s="422"/>
      <c r="BVB140" s="422"/>
      <c r="BVC140" s="422"/>
      <c r="BVD140" s="422"/>
      <c r="BVE140" s="422"/>
      <c r="BVF140" s="422"/>
      <c r="BVG140" s="422"/>
      <c r="BVH140" s="422"/>
      <c r="BVI140" s="422"/>
      <c r="BVJ140" s="422"/>
      <c r="BVK140" s="422"/>
      <c r="BVL140" s="422"/>
      <c r="BVM140" s="422"/>
      <c r="BVN140" s="422"/>
      <c r="BVO140" s="422"/>
      <c r="BVP140" s="422"/>
      <c r="BVQ140" s="422"/>
      <c r="BVR140" s="422"/>
      <c r="BVS140" s="422"/>
      <c r="BVT140" s="422"/>
      <c r="BVU140" s="422"/>
      <c r="BVV140" s="422"/>
      <c r="BVW140" s="422"/>
      <c r="BVX140" s="422"/>
      <c r="BVY140" s="422"/>
      <c r="BVZ140" s="422"/>
      <c r="BWA140" s="422"/>
      <c r="BWB140" s="422"/>
      <c r="BWC140" s="422"/>
      <c r="BWD140" s="422"/>
      <c r="BWE140" s="422"/>
      <c r="BWF140" s="422"/>
      <c r="BWG140" s="422"/>
      <c r="BWH140" s="422"/>
      <c r="BWI140" s="422"/>
      <c r="BWJ140" s="422"/>
      <c r="BWK140" s="422"/>
      <c r="BWL140" s="422"/>
      <c r="BWM140" s="422"/>
      <c r="BWN140" s="422"/>
      <c r="BWO140" s="422"/>
      <c r="BWP140" s="422"/>
      <c r="BWQ140" s="422"/>
      <c r="BWR140" s="422"/>
      <c r="BWS140" s="422"/>
      <c r="BWT140" s="422"/>
      <c r="BWU140" s="422"/>
      <c r="BWV140" s="422"/>
      <c r="BWW140" s="422"/>
      <c r="BWX140" s="422"/>
      <c r="BWY140" s="422"/>
      <c r="BWZ140" s="422"/>
      <c r="BXA140" s="422"/>
      <c r="BXB140" s="422"/>
      <c r="BXC140" s="422"/>
      <c r="BXD140" s="422"/>
      <c r="BXE140" s="422"/>
      <c r="BXF140" s="422"/>
      <c r="BXG140" s="422"/>
      <c r="BXH140" s="422"/>
      <c r="BXI140" s="422"/>
      <c r="BXJ140" s="422"/>
      <c r="BXK140" s="422"/>
      <c r="BXL140" s="422"/>
      <c r="BXM140" s="422"/>
      <c r="BXN140" s="422"/>
      <c r="BXO140" s="422"/>
      <c r="BXP140" s="422"/>
      <c r="BXQ140" s="422"/>
      <c r="BXR140" s="422"/>
      <c r="BXS140" s="422"/>
      <c r="BXT140" s="422"/>
      <c r="BXU140" s="422"/>
      <c r="BXV140" s="422"/>
      <c r="BXW140" s="422"/>
      <c r="BXX140" s="422"/>
      <c r="BXY140" s="422"/>
      <c r="BXZ140" s="422"/>
      <c r="BYA140" s="422"/>
      <c r="BYB140" s="422"/>
      <c r="BYC140" s="422"/>
      <c r="BYD140" s="422"/>
      <c r="BYE140" s="422"/>
      <c r="BYF140" s="422"/>
      <c r="BYG140" s="422"/>
      <c r="BYH140" s="422"/>
      <c r="BYI140" s="422"/>
      <c r="BYJ140" s="422"/>
      <c r="BYK140" s="422"/>
      <c r="BYL140" s="422"/>
      <c r="BYM140" s="422"/>
      <c r="BYN140" s="422"/>
      <c r="BYO140" s="422"/>
      <c r="BYP140" s="422"/>
      <c r="BYQ140" s="422"/>
      <c r="BYR140" s="422"/>
      <c r="BYS140" s="422"/>
      <c r="BYT140" s="422"/>
      <c r="BYU140" s="422"/>
      <c r="BYV140" s="422"/>
      <c r="BYW140" s="422"/>
      <c r="BYX140" s="422"/>
      <c r="BYY140" s="422"/>
      <c r="BYZ140" s="422"/>
      <c r="BZA140" s="422"/>
      <c r="BZB140" s="422"/>
      <c r="BZC140" s="422"/>
      <c r="BZD140" s="422"/>
      <c r="BZE140" s="422"/>
      <c r="BZF140" s="422"/>
      <c r="BZG140" s="422"/>
      <c r="BZH140" s="422"/>
      <c r="BZI140" s="422"/>
      <c r="BZJ140" s="422"/>
      <c r="BZK140" s="422"/>
      <c r="BZL140" s="422"/>
      <c r="BZM140" s="422"/>
      <c r="BZN140" s="422"/>
      <c r="BZO140" s="422"/>
      <c r="BZP140" s="422"/>
      <c r="BZQ140" s="422"/>
      <c r="BZR140" s="422"/>
      <c r="BZS140" s="422"/>
      <c r="BZT140" s="422"/>
      <c r="BZU140" s="422"/>
      <c r="BZV140" s="422"/>
      <c r="BZW140" s="422"/>
      <c r="BZX140" s="422"/>
      <c r="BZY140" s="422"/>
      <c r="BZZ140" s="422"/>
      <c r="CAA140" s="422"/>
      <c r="CAB140" s="422"/>
      <c r="CAC140" s="422"/>
      <c r="CAD140" s="422"/>
      <c r="CAE140" s="422"/>
      <c r="CAF140" s="422"/>
      <c r="CAG140" s="422"/>
      <c r="CAH140" s="422"/>
      <c r="CAI140" s="422"/>
      <c r="CAJ140" s="422"/>
      <c r="CAK140" s="422"/>
      <c r="CAL140" s="422"/>
      <c r="CAM140" s="422"/>
      <c r="CAN140" s="422"/>
      <c r="CAO140" s="422"/>
      <c r="CAP140" s="422"/>
      <c r="CAQ140" s="422"/>
      <c r="CAR140" s="422"/>
      <c r="CAS140" s="422"/>
      <c r="CAT140" s="422"/>
      <c r="CAU140" s="422"/>
      <c r="CAV140" s="422"/>
      <c r="CAW140" s="422"/>
      <c r="CAX140" s="422"/>
      <c r="CAY140" s="422"/>
      <c r="CAZ140" s="422"/>
      <c r="CBA140" s="422"/>
      <c r="CBB140" s="422"/>
      <c r="CBC140" s="422"/>
      <c r="CBD140" s="422"/>
      <c r="CBE140" s="422"/>
      <c r="CBF140" s="422"/>
      <c r="CBG140" s="422"/>
      <c r="CBH140" s="422"/>
      <c r="CBI140" s="422"/>
      <c r="CBJ140" s="422"/>
      <c r="CBK140" s="422"/>
      <c r="CBL140" s="422"/>
      <c r="CBM140" s="422"/>
      <c r="CBN140" s="422"/>
      <c r="CBO140" s="422"/>
      <c r="CBP140" s="422"/>
      <c r="CBQ140" s="422"/>
      <c r="CBR140" s="422"/>
      <c r="CBS140" s="422"/>
      <c r="CBT140" s="422"/>
      <c r="CBU140" s="422"/>
      <c r="CBV140" s="422"/>
      <c r="CBW140" s="422"/>
      <c r="CBX140" s="422"/>
      <c r="CBY140" s="422"/>
      <c r="CBZ140" s="422"/>
      <c r="CCA140" s="422"/>
      <c r="CCB140" s="422"/>
      <c r="CCC140" s="422"/>
      <c r="CCD140" s="422"/>
      <c r="CCE140" s="422"/>
      <c r="CCF140" s="422"/>
      <c r="CCG140" s="422"/>
      <c r="CCH140" s="422"/>
      <c r="CCI140" s="422"/>
      <c r="CCJ140" s="422"/>
      <c r="CCK140" s="422"/>
      <c r="CCL140" s="422"/>
      <c r="CCM140" s="422"/>
      <c r="CCN140" s="422"/>
      <c r="CCO140" s="422"/>
      <c r="CCP140" s="422"/>
      <c r="CCQ140" s="422"/>
      <c r="CCR140" s="422"/>
      <c r="CCS140" s="422"/>
      <c r="CCT140" s="422"/>
      <c r="CCU140" s="422"/>
      <c r="CCV140" s="422"/>
      <c r="CCW140" s="422"/>
      <c r="CCX140" s="422"/>
      <c r="CCY140" s="422"/>
      <c r="CCZ140" s="422"/>
      <c r="CDA140" s="422"/>
      <c r="CDB140" s="422"/>
      <c r="CDC140" s="422"/>
      <c r="CDD140" s="422"/>
      <c r="CDE140" s="422"/>
      <c r="CDF140" s="422"/>
      <c r="CDG140" s="422"/>
      <c r="CDH140" s="422"/>
      <c r="CDI140" s="422"/>
      <c r="CDJ140" s="422"/>
      <c r="CDK140" s="422"/>
      <c r="CDL140" s="422"/>
      <c r="CDM140" s="422"/>
      <c r="CDN140" s="422"/>
      <c r="CDO140" s="422"/>
      <c r="CDP140" s="422"/>
      <c r="CDQ140" s="422"/>
      <c r="CDR140" s="422"/>
      <c r="CDS140" s="422"/>
      <c r="CDT140" s="422"/>
      <c r="CDU140" s="422"/>
      <c r="CDV140" s="422"/>
      <c r="CDW140" s="422"/>
      <c r="CDX140" s="422"/>
      <c r="CDY140" s="422"/>
      <c r="CDZ140" s="422"/>
      <c r="CEA140" s="422"/>
      <c r="CEB140" s="422"/>
      <c r="CEC140" s="422"/>
      <c r="CED140" s="422"/>
      <c r="CEE140" s="422"/>
      <c r="CEF140" s="422"/>
      <c r="CEG140" s="422"/>
      <c r="CEH140" s="422"/>
      <c r="CEI140" s="422"/>
      <c r="CEJ140" s="422"/>
      <c r="CEK140" s="422"/>
      <c r="CEL140" s="422"/>
      <c r="CEM140" s="422"/>
      <c r="CEN140" s="422"/>
      <c r="CEO140" s="422"/>
      <c r="CEP140" s="422"/>
      <c r="CEQ140" s="422"/>
      <c r="CER140" s="422"/>
      <c r="CES140" s="422"/>
      <c r="CET140" s="422"/>
      <c r="CEU140" s="422"/>
      <c r="CEV140" s="422"/>
      <c r="CEW140" s="422"/>
      <c r="CEX140" s="422"/>
      <c r="CEY140" s="422"/>
      <c r="CEZ140" s="422"/>
      <c r="CFA140" s="422"/>
      <c r="CFB140" s="422"/>
      <c r="CFC140" s="422"/>
      <c r="CFD140" s="422"/>
      <c r="CFE140" s="422"/>
      <c r="CFF140" s="422"/>
      <c r="CFG140" s="422"/>
      <c r="CFH140" s="422"/>
      <c r="CFI140" s="422"/>
      <c r="CFJ140" s="422"/>
      <c r="CFK140" s="422"/>
      <c r="CFL140" s="422"/>
      <c r="CFM140" s="422"/>
      <c r="CFN140" s="422"/>
      <c r="CFO140" s="422"/>
      <c r="CFP140" s="422"/>
      <c r="CFQ140" s="422"/>
      <c r="CFR140" s="422"/>
      <c r="CFS140" s="422"/>
      <c r="CFT140" s="422"/>
      <c r="CFU140" s="422"/>
      <c r="CFV140" s="422"/>
      <c r="CFW140" s="422"/>
      <c r="CFX140" s="422"/>
      <c r="CFY140" s="422"/>
      <c r="CFZ140" s="422"/>
      <c r="CGA140" s="422"/>
      <c r="CGB140" s="422"/>
      <c r="CGC140" s="422"/>
      <c r="CGD140" s="422"/>
      <c r="CGE140" s="422"/>
      <c r="CGF140" s="422"/>
      <c r="CGG140" s="422"/>
      <c r="CGH140" s="422"/>
      <c r="CGI140" s="422"/>
      <c r="CGJ140" s="422"/>
      <c r="CGK140" s="422"/>
      <c r="CGL140" s="422"/>
      <c r="CGM140" s="422"/>
      <c r="CGN140" s="422"/>
      <c r="CGO140" s="422"/>
      <c r="CGP140" s="422"/>
      <c r="CGQ140" s="422"/>
      <c r="CGR140" s="422"/>
      <c r="CGS140" s="422"/>
      <c r="CGT140" s="422"/>
      <c r="CGU140" s="422"/>
      <c r="CGV140" s="422"/>
      <c r="CGW140" s="422"/>
      <c r="CGX140" s="422"/>
      <c r="CGY140" s="422"/>
      <c r="CGZ140" s="422"/>
      <c r="CHA140" s="422"/>
      <c r="CHB140" s="422"/>
      <c r="CHC140" s="422"/>
      <c r="CHD140" s="422"/>
      <c r="CHE140" s="422"/>
      <c r="CHF140" s="422"/>
      <c r="CHG140" s="422"/>
      <c r="CHH140" s="422"/>
      <c r="CHI140" s="422"/>
      <c r="CHJ140" s="422"/>
      <c r="CHK140" s="422"/>
      <c r="CHL140" s="422"/>
      <c r="CHM140" s="422"/>
      <c r="CHN140" s="422"/>
      <c r="CHO140" s="422"/>
      <c r="CHP140" s="422"/>
      <c r="CHQ140" s="422"/>
      <c r="CHR140" s="422"/>
      <c r="CHS140" s="422"/>
      <c r="CHT140" s="422"/>
      <c r="CHU140" s="422"/>
      <c r="CHV140" s="422"/>
      <c r="CHW140" s="422"/>
      <c r="CHX140" s="422"/>
      <c r="CHY140" s="422"/>
      <c r="CHZ140" s="422"/>
      <c r="CIA140" s="422"/>
      <c r="CIB140" s="422"/>
      <c r="CIC140" s="422"/>
      <c r="CID140" s="422"/>
      <c r="CIE140" s="422"/>
      <c r="CIF140" s="422"/>
      <c r="CIG140" s="422"/>
      <c r="CIH140" s="422"/>
      <c r="CII140" s="422"/>
      <c r="CIJ140" s="422"/>
      <c r="CIK140" s="422"/>
      <c r="CIL140" s="422"/>
      <c r="CIM140" s="422"/>
      <c r="CIN140" s="422"/>
      <c r="CIO140" s="422"/>
      <c r="CIP140" s="422"/>
      <c r="CIQ140" s="422"/>
      <c r="CIR140" s="422"/>
      <c r="CIS140" s="422"/>
      <c r="CIT140" s="422"/>
      <c r="CIU140" s="422"/>
      <c r="CIV140" s="422"/>
      <c r="CIW140" s="422"/>
      <c r="CIX140" s="422"/>
      <c r="CIY140" s="422"/>
      <c r="CIZ140" s="422"/>
      <c r="CJA140" s="422"/>
      <c r="CJB140" s="422"/>
      <c r="CJC140" s="422"/>
      <c r="CJD140" s="422"/>
      <c r="CJE140" s="422"/>
      <c r="CJF140" s="422"/>
      <c r="CJG140" s="422"/>
      <c r="CJH140" s="422"/>
      <c r="CJI140" s="422"/>
      <c r="CJJ140" s="422"/>
      <c r="CJK140" s="422"/>
      <c r="CJL140" s="422"/>
      <c r="CJM140" s="422"/>
      <c r="CJN140" s="422"/>
      <c r="CJO140" s="422"/>
      <c r="CJP140" s="422"/>
      <c r="CJQ140" s="422"/>
      <c r="CJR140" s="422"/>
      <c r="CJS140" s="422"/>
      <c r="CJT140" s="422"/>
      <c r="CJU140" s="422"/>
      <c r="CJV140" s="422"/>
      <c r="CJW140" s="422"/>
      <c r="CJX140" s="422"/>
      <c r="CJY140" s="422"/>
      <c r="CJZ140" s="422"/>
      <c r="CKA140" s="422"/>
      <c r="CKB140" s="422"/>
      <c r="CKC140" s="422"/>
      <c r="CKD140" s="422"/>
      <c r="CKE140" s="422"/>
      <c r="CKF140" s="422"/>
      <c r="CKG140" s="422"/>
      <c r="CKH140" s="422"/>
      <c r="CKI140" s="422"/>
      <c r="CKJ140" s="422"/>
      <c r="CKK140" s="422"/>
      <c r="CKL140" s="422"/>
      <c r="CKM140" s="422"/>
      <c r="CKN140" s="422"/>
      <c r="CKO140" s="422"/>
      <c r="CKP140" s="422"/>
      <c r="CKQ140" s="422"/>
      <c r="CKR140" s="422"/>
      <c r="CKS140" s="422"/>
      <c r="CKT140" s="422"/>
      <c r="CKU140" s="422"/>
      <c r="CKV140" s="422"/>
      <c r="CKW140" s="422"/>
      <c r="CKX140" s="422"/>
      <c r="CKY140" s="422"/>
      <c r="CKZ140" s="422"/>
      <c r="CLA140" s="422"/>
      <c r="CLB140" s="422"/>
      <c r="CLC140" s="422"/>
      <c r="CLD140" s="422"/>
      <c r="CLE140" s="422"/>
      <c r="CLF140" s="422"/>
      <c r="CLG140" s="422"/>
      <c r="CLH140" s="422"/>
      <c r="CLI140" s="422"/>
      <c r="CLJ140" s="422"/>
      <c r="CLK140" s="422"/>
      <c r="CLL140" s="422"/>
      <c r="CLM140" s="422"/>
      <c r="CLN140" s="422"/>
      <c r="CLO140" s="422"/>
      <c r="CLP140" s="422"/>
      <c r="CLQ140" s="422"/>
      <c r="CLR140" s="422"/>
      <c r="CLS140" s="422"/>
      <c r="CLT140" s="422"/>
      <c r="CLU140" s="422"/>
      <c r="CLV140" s="422"/>
      <c r="CLW140" s="422"/>
      <c r="CLX140" s="422"/>
      <c r="CLY140" s="422"/>
      <c r="CLZ140" s="422"/>
      <c r="CMA140" s="422"/>
      <c r="CMB140" s="422"/>
      <c r="CMC140" s="422"/>
      <c r="CMD140" s="422"/>
      <c r="CME140" s="422"/>
      <c r="CMF140" s="422"/>
      <c r="CMG140" s="422"/>
      <c r="CMH140" s="422"/>
      <c r="CMI140" s="422"/>
      <c r="CMJ140" s="422"/>
      <c r="CMK140" s="422"/>
      <c r="CML140" s="422"/>
      <c r="CMM140" s="422"/>
      <c r="CMN140" s="422"/>
      <c r="CMO140" s="422"/>
      <c r="CMP140" s="422"/>
      <c r="CMQ140" s="422"/>
      <c r="CMR140" s="422"/>
      <c r="CMS140" s="422"/>
      <c r="CMT140" s="422"/>
      <c r="CMU140" s="422"/>
      <c r="CMV140" s="422"/>
      <c r="CMW140" s="422"/>
      <c r="CMX140" s="422"/>
      <c r="CMY140" s="422"/>
      <c r="CMZ140" s="422"/>
      <c r="CNA140" s="422"/>
      <c r="CNB140" s="422"/>
      <c r="CNC140" s="422"/>
      <c r="CND140" s="422"/>
      <c r="CNE140" s="422"/>
      <c r="CNF140" s="422"/>
      <c r="CNG140" s="422"/>
      <c r="CNH140" s="422"/>
      <c r="CNI140" s="422"/>
      <c r="CNJ140" s="422"/>
      <c r="CNK140" s="422"/>
      <c r="CNL140" s="422"/>
      <c r="CNM140" s="422"/>
      <c r="CNN140" s="422"/>
      <c r="CNO140" s="422"/>
      <c r="CNP140" s="422"/>
      <c r="CNQ140" s="422"/>
      <c r="CNR140" s="422"/>
      <c r="CNS140" s="422"/>
      <c r="CNT140" s="422"/>
      <c r="CNU140" s="422"/>
      <c r="CNV140" s="422"/>
      <c r="CNW140" s="422"/>
      <c r="CNX140" s="422"/>
      <c r="CNY140" s="422"/>
      <c r="CNZ140" s="422"/>
      <c r="COA140" s="422"/>
      <c r="COB140" s="422"/>
      <c r="COC140" s="422"/>
      <c r="COD140" s="422"/>
      <c r="COE140" s="422"/>
      <c r="COF140" s="422"/>
      <c r="COG140" s="422"/>
      <c r="COH140" s="422"/>
      <c r="COI140" s="422"/>
      <c r="COJ140" s="422"/>
      <c r="COK140" s="422"/>
      <c r="COL140" s="422"/>
      <c r="COM140" s="422"/>
      <c r="CON140" s="422"/>
      <c r="COO140" s="422"/>
      <c r="COP140" s="422"/>
      <c r="COQ140" s="422"/>
      <c r="COR140" s="422"/>
      <c r="COS140" s="422"/>
      <c r="COT140" s="422"/>
      <c r="COU140" s="422"/>
      <c r="COV140" s="422"/>
      <c r="COW140" s="422"/>
      <c r="COX140" s="422"/>
      <c r="COY140" s="422"/>
      <c r="COZ140" s="422"/>
      <c r="CPA140" s="422"/>
      <c r="CPB140" s="422"/>
      <c r="CPC140" s="422"/>
      <c r="CPD140" s="422"/>
      <c r="CPE140" s="422"/>
      <c r="CPF140" s="422"/>
      <c r="CPG140" s="422"/>
      <c r="CPH140" s="422"/>
      <c r="CPI140" s="422"/>
      <c r="CPJ140" s="422"/>
      <c r="CPK140" s="422"/>
      <c r="CPL140" s="422"/>
      <c r="CPM140" s="422"/>
      <c r="CPN140" s="422"/>
      <c r="CPO140" s="422"/>
      <c r="CPP140" s="422"/>
      <c r="CPQ140" s="422"/>
      <c r="CPR140" s="422"/>
      <c r="CPS140" s="422"/>
      <c r="CPT140" s="422"/>
      <c r="CPU140" s="422"/>
      <c r="CPV140" s="422"/>
      <c r="CPW140" s="422"/>
      <c r="CPX140" s="422"/>
      <c r="CPY140" s="422"/>
      <c r="CPZ140" s="422"/>
      <c r="CQA140" s="422"/>
      <c r="CQB140" s="422"/>
      <c r="CQC140" s="422"/>
      <c r="CQD140" s="422"/>
      <c r="CQE140" s="422"/>
      <c r="CQF140" s="422"/>
      <c r="CQG140" s="422"/>
      <c r="CQH140" s="422"/>
      <c r="CQI140" s="422"/>
      <c r="CQJ140" s="422"/>
      <c r="CQK140" s="422"/>
      <c r="CQL140" s="422"/>
      <c r="CQM140" s="422"/>
      <c r="CQN140" s="422"/>
      <c r="CQO140" s="422"/>
      <c r="CQP140" s="422"/>
      <c r="CQQ140" s="422"/>
      <c r="CQR140" s="422"/>
      <c r="CQS140" s="422"/>
      <c r="CQT140" s="422"/>
      <c r="CQU140" s="422"/>
      <c r="CQV140" s="422"/>
      <c r="CQW140" s="422"/>
      <c r="CQX140" s="422"/>
      <c r="CQY140" s="422"/>
      <c r="CQZ140" s="422"/>
      <c r="CRA140" s="422"/>
      <c r="CRB140" s="422"/>
      <c r="CRC140" s="422"/>
      <c r="CRD140" s="422"/>
      <c r="CRE140" s="422"/>
      <c r="CRF140" s="422"/>
      <c r="CRG140" s="422"/>
      <c r="CRH140" s="422"/>
      <c r="CRI140" s="422"/>
      <c r="CRJ140" s="422"/>
      <c r="CRK140" s="422"/>
      <c r="CRL140" s="422"/>
      <c r="CRM140" s="422"/>
      <c r="CRN140" s="422"/>
      <c r="CRO140" s="422"/>
      <c r="CRP140" s="422"/>
      <c r="CRQ140" s="422"/>
      <c r="CRR140" s="422"/>
      <c r="CRS140" s="422"/>
      <c r="CRT140" s="422"/>
      <c r="CRU140" s="422"/>
      <c r="CRV140" s="422"/>
      <c r="CRW140" s="422"/>
      <c r="CRX140" s="422"/>
      <c r="CRY140" s="422"/>
      <c r="CRZ140" s="422"/>
      <c r="CSA140" s="422"/>
      <c r="CSB140" s="422"/>
      <c r="CSC140" s="422"/>
      <c r="CSD140" s="422"/>
      <c r="CSE140" s="422"/>
      <c r="CSF140" s="422"/>
      <c r="CSG140" s="422"/>
      <c r="CSH140" s="422"/>
      <c r="CSI140" s="422"/>
      <c r="CSJ140" s="422"/>
      <c r="CSK140" s="422"/>
      <c r="CSL140" s="422"/>
      <c r="CSM140" s="422"/>
      <c r="CSN140" s="422"/>
      <c r="CSO140" s="422"/>
      <c r="CSP140" s="422"/>
      <c r="CSQ140" s="422"/>
      <c r="CSR140" s="422"/>
      <c r="CSS140" s="422"/>
      <c r="CST140" s="422"/>
      <c r="CSU140" s="422"/>
      <c r="CSV140" s="422"/>
      <c r="CSW140" s="422"/>
      <c r="CSX140" s="422"/>
      <c r="CSY140" s="422"/>
      <c r="CSZ140" s="422"/>
      <c r="CTA140" s="422"/>
      <c r="CTB140" s="422"/>
      <c r="CTC140" s="422"/>
      <c r="CTD140" s="422"/>
      <c r="CTE140" s="422"/>
      <c r="CTF140" s="422"/>
      <c r="CTG140" s="422"/>
      <c r="CTH140" s="422"/>
      <c r="CTI140" s="422"/>
      <c r="CTJ140" s="422"/>
      <c r="CTK140" s="422"/>
      <c r="CTL140" s="422"/>
      <c r="CTM140" s="422"/>
      <c r="CTN140" s="422"/>
      <c r="CTO140" s="422"/>
      <c r="CTP140" s="422"/>
      <c r="CTQ140" s="422"/>
      <c r="CTR140" s="422"/>
      <c r="CTS140" s="422"/>
      <c r="CTT140" s="422"/>
      <c r="CTU140" s="422"/>
      <c r="CTV140" s="422"/>
      <c r="CTW140" s="422"/>
      <c r="CTX140" s="422"/>
      <c r="CTY140" s="422"/>
      <c r="CTZ140" s="422"/>
      <c r="CUA140" s="422"/>
      <c r="CUB140" s="422"/>
      <c r="CUC140" s="422"/>
      <c r="CUD140" s="422"/>
      <c r="CUE140" s="422"/>
      <c r="CUF140" s="422"/>
      <c r="CUG140" s="422"/>
      <c r="CUH140" s="422"/>
      <c r="CUI140" s="422"/>
      <c r="CUJ140" s="422"/>
      <c r="CUK140" s="422"/>
      <c r="CUL140" s="422"/>
      <c r="CUM140" s="422"/>
      <c r="CUN140" s="422"/>
      <c r="CUO140" s="422"/>
      <c r="CUP140" s="422"/>
      <c r="CUQ140" s="422"/>
      <c r="CUR140" s="422"/>
      <c r="CUS140" s="422"/>
      <c r="CUT140" s="422"/>
      <c r="CUU140" s="422"/>
      <c r="CUV140" s="422"/>
      <c r="CUW140" s="422"/>
      <c r="CUX140" s="422"/>
      <c r="CUY140" s="422"/>
      <c r="CUZ140" s="422"/>
      <c r="CVA140" s="422"/>
      <c r="CVB140" s="422"/>
      <c r="CVC140" s="422"/>
      <c r="CVD140" s="422"/>
      <c r="CVE140" s="422"/>
      <c r="CVF140" s="422"/>
      <c r="CVG140" s="422"/>
      <c r="CVH140" s="422"/>
      <c r="CVI140" s="422"/>
      <c r="CVJ140" s="422"/>
      <c r="CVK140" s="422"/>
      <c r="CVL140" s="422"/>
      <c r="CVM140" s="422"/>
      <c r="CVN140" s="422"/>
      <c r="CVO140" s="422"/>
      <c r="CVP140" s="422"/>
      <c r="CVQ140" s="422"/>
      <c r="CVR140" s="422"/>
      <c r="CVS140" s="422"/>
      <c r="CVT140" s="422"/>
      <c r="CVU140" s="422"/>
      <c r="CVV140" s="422"/>
      <c r="CVW140" s="422"/>
      <c r="CVX140" s="422"/>
      <c r="CVY140" s="422"/>
      <c r="CVZ140" s="422"/>
      <c r="CWA140" s="422"/>
      <c r="CWB140" s="422"/>
      <c r="CWC140" s="422"/>
      <c r="CWD140" s="422"/>
      <c r="CWE140" s="422"/>
      <c r="CWF140" s="422"/>
      <c r="CWG140" s="422"/>
      <c r="CWH140" s="422"/>
      <c r="CWI140" s="422"/>
      <c r="CWJ140" s="422"/>
      <c r="CWK140" s="422"/>
      <c r="CWL140" s="422"/>
      <c r="CWM140" s="422"/>
      <c r="CWN140" s="422"/>
      <c r="CWO140" s="422"/>
      <c r="CWP140" s="422"/>
      <c r="CWQ140" s="422"/>
      <c r="CWR140" s="422"/>
      <c r="CWS140" s="422"/>
      <c r="CWT140" s="422"/>
      <c r="CWU140" s="422"/>
      <c r="CWV140" s="422"/>
      <c r="CWW140" s="422"/>
      <c r="CWX140" s="422"/>
      <c r="CWY140" s="422"/>
      <c r="CWZ140" s="422"/>
      <c r="CXA140" s="422"/>
      <c r="CXB140" s="422"/>
      <c r="CXC140" s="422"/>
      <c r="CXD140" s="422"/>
      <c r="CXE140" s="422"/>
      <c r="CXF140" s="422"/>
      <c r="CXG140" s="422"/>
      <c r="CXH140" s="422"/>
      <c r="CXI140" s="422"/>
      <c r="CXJ140" s="422"/>
      <c r="CXK140" s="422"/>
      <c r="CXL140" s="422"/>
      <c r="CXM140" s="422"/>
      <c r="CXN140" s="422"/>
      <c r="CXO140" s="422"/>
      <c r="CXP140" s="422"/>
      <c r="CXQ140" s="422"/>
      <c r="CXR140" s="422"/>
      <c r="CXS140" s="422"/>
      <c r="CXT140" s="422"/>
      <c r="CXU140" s="422"/>
      <c r="CXV140" s="422"/>
      <c r="CXW140" s="422"/>
      <c r="CXX140" s="422"/>
      <c r="CXY140" s="422"/>
      <c r="CXZ140" s="422"/>
      <c r="CYA140" s="422"/>
      <c r="CYB140" s="422"/>
      <c r="CYC140" s="422"/>
      <c r="CYD140" s="422"/>
      <c r="CYE140" s="422"/>
      <c r="CYF140" s="422"/>
      <c r="CYG140" s="422"/>
      <c r="CYH140" s="422"/>
      <c r="CYI140" s="422"/>
      <c r="CYJ140" s="422"/>
      <c r="CYK140" s="422"/>
      <c r="CYL140" s="422"/>
      <c r="CYM140" s="422"/>
      <c r="CYN140" s="422"/>
      <c r="CYO140" s="422"/>
      <c r="CYP140" s="422"/>
      <c r="CYQ140" s="422"/>
      <c r="CYR140" s="422"/>
      <c r="CYS140" s="422"/>
      <c r="CYT140" s="422"/>
      <c r="CYU140" s="422"/>
      <c r="CYV140" s="422"/>
      <c r="CYW140" s="422"/>
      <c r="CYX140" s="422"/>
      <c r="CYY140" s="422"/>
      <c r="CYZ140" s="422"/>
      <c r="CZA140" s="422"/>
      <c r="CZB140" s="422"/>
      <c r="CZC140" s="422"/>
      <c r="CZD140" s="422"/>
      <c r="CZE140" s="422"/>
      <c r="CZF140" s="422"/>
      <c r="CZG140" s="422"/>
      <c r="CZH140" s="422"/>
      <c r="CZI140" s="422"/>
      <c r="CZJ140" s="422"/>
      <c r="CZK140" s="422"/>
      <c r="CZL140" s="422"/>
      <c r="CZM140" s="422"/>
      <c r="CZN140" s="422"/>
      <c r="CZO140" s="422"/>
      <c r="CZP140" s="422"/>
      <c r="CZQ140" s="422"/>
      <c r="CZR140" s="422"/>
      <c r="CZS140" s="422"/>
      <c r="CZT140" s="422"/>
      <c r="CZU140" s="422"/>
      <c r="CZV140" s="422"/>
      <c r="CZW140" s="422"/>
      <c r="CZX140" s="422"/>
      <c r="CZY140" s="422"/>
      <c r="CZZ140" s="422"/>
      <c r="DAA140" s="422"/>
      <c r="DAB140" s="422"/>
      <c r="DAC140" s="422"/>
      <c r="DAD140" s="422"/>
      <c r="DAE140" s="422"/>
      <c r="DAF140" s="422"/>
      <c r="DAG140" s="422"/>
      <c r="DAH140" s="422"/>
      <c r="DAI140" s="422"/>
      <c r="DAJ140" s="422"/>
      <c r="DAK140" s="422"/>
      <c r="DAL140" s="422"/>
      <c r="DAM140" s="422"/>
      <c r="DAN140" s="422"/>
      <c r="DAO140" s="422"/>
      <c r="DAP140" s="422"/>
      <c r="DAQ140" s="422"/>
      <c r="DAR140" s="422"/>
      <c r="DAS140" s="422"/>
      <c r="DAT140" s="422"/>
      <c r="DAU140" s="422"/>
      <c r="DAV140" s="422"/>
      <c r="DAW140" s="422"/>
      <c r="DAX140" s="422"/>
      <c r="DAY140" s="422"/>
      <c r="DAZ140" s="422"/>
      <c r="DBA140" s="422"/>
      <c r="DBB140" s="422"/>
      <c r="DBC140" s="422"/>
      <c r="DBD140" s="422"/>
      <c r="DBE140" s="422"/>
      <c r="DBF140" s="422"/>
      <c r="DBG140" s="422"/>
      <c r="DBH140" s="422"/>
      <c r="DBI140" s="422"/>
      <c r="DBJ140" s="422"/>
      <c r="DBK140" s="422"/>
      <c r="DBL140" s="422"/>
      <c r="DBM140" s="422"/>
      <c r="DBN140" s="422"/>
      <c r="DBO140" s="422"/>
      <c r="DBP140" s="422"/>
      <c r="DBQ140" s="422"/>
      <c r="DBR140" s="422"/>
      <c r="DBS140" s="422"/>
      <c r="DBT140" s="422"/>
      <c r="DBU140" s="422"/>
      <c r="DBV140" s="422"/>
      <c r="DBW140" s="422"/>
      <c r="DBX140" s="422"/>
      <c r="DBY140" s="422"/>
      <c r="DBZ140" s="422"/>
      <c r="DCA140" s="422"/>
      <c r="DCB140" s="422"/>
      <c r="DCC140" s="422"/>
      <c r="DCD140" s="422"/>
      <c r="DCE140" s="422"/>
      <c r="DCF140" s="422"/>
      <c r="DCG140" s="422"/>
      <c r="DCH140" s="422"/>
      <c r="DCI140" s="422"/>
      <c r="DCJ140" s="422"/>
      <c r="DCK140" s="422"/>
      <c r="DCL140" s="422"/>
      <c r="DCM140" s="422"/>
      <c r="DCN140" s="422"/>
      <c r="DCO140" s="422"/>
      <c r="DCP140" s="422"/>
      <c r="DCQ140" s="422"/>
      <c r="DCR140" s="422"/>
      <c r="DCS140" s="422"/>
      <c r="DCT140" s="422"/>
      <c r="DCU140" s="422"/>
      <c r="DCV140" s="422"/>
      <c r="DCW140" s="422"/>
      <c r="DCX140" s="422"/>
      <c r="DCY140" s="422"/>
      <c r="DCZ140" s="422"/>
      <c r="DDA140" s="422"/>
      <c r="DDB140" s="422"/>
      <c r="DDC140" s="422"/>
      <c r="DDD140" s="422"/>
      <c r="DDE140" s="422"/>
      <c r="DDF140" s="422"/>
      <c r="DDG140" s="422"/>
      <c r="DDH140" s="422"/>
      <c r="DDI140" s="422"/>
      <c r="DDJ140" s="422"/>
      <c r="DDK140" s="422"/>
      <c r="DDL140" s="422"/>
      <c r="DDM140" s="422"/>
      <c r="DDN140" s="422"/>
      <c r="DDO140" s="422"/>
      <c r="DDP140" s="422"/>
      <c r="DDQ140" s="422"/>
      <c r="DDR140" s="422"/>
      <c r="DDS140" s="422"/>
      <c r="DDT140" s="422"/>
      <c r="DDU140" s="422"/>
      <c r="DDV140" s="422"/>
      <c r="DDW140" s="422"/>
      <c r="DDX140" s="422"/>
      <c r="DDY140" s="422"/>
      <c r="DDZ140" s="422"/>
      <c r="DEA140" s="422"/>
      <c r="DEB140" s="422"/>
      <c r="DEC140" s="422"/>
      <c r="DED140" s="422"/>
      <c r="DEE140" s="422"/>
      <c r="DEF140" s="422"/>
      <c r="DEG140" s="422"/>
      <c r="DEH140" s="422"/>
      <c r="DEI140" s="422"/>
      <c r="DEJ140" s="422"/>
      <c r="DEK140" s="422"/>
      <c r="DEL140" s="422"/>
      <c r="DEM140" s="422"/>
      <c r="DEN140" s="422"/>
      <c r="DEO140" s="422"/>
      <c r="DEP140" s="422"/>
      <c r="DEQ140" s="422"/>
      <c r="DER140" s="422"/>
      <c r="DES140" s="422"/>
      <c r="DET140" s="422"/>
      <c r="DEU140" s="422"/>
      <c r="DEV140" s="422"/>
      <c r="DEW140" s="422"/>
      <c r="DEX140" s="422"/>
      <c r="DEY140" s="422"/>
      <c r="DEZ140" s="422"/>
      <c r="DFA140" s="422"/>
      <c r="DFB140" s="422"/>
      <c r="DFC140" s="422"/>
      <c r="DFD140" s="422"/>
      <c r="DFE140" s="422"/>
      <c r="DFF140" s="422"/>
      <c r="DFG140" s="422"/>
      <c r="DFH140" s="422"/>
      <c r="DFI140" s="422"/>
      <c r="DFJ140" s="422"/>
      <c r="DFK140" s="422"/>
      <c r="DFL140" s="422"/>
      <c r="DFM140" s="422"/>
      <c r="DFN140" s="422"/>
      <c r="DFO140" s="422"/>
      <c r="DFP140" s="422"/>
      <c r="DFQ140" s="422"/>
      <c r="DFR140" s="422"/>
      <c r="DFS140" s="422"/>
      <c r="DFT140" s="422"/>
      <c r="DFU140" s="422"/>
      <c r="DFV140" s="422"/>
      <c r="DFW140" s="422"/>
      <c r="DFX140" s="422"/>
      <c r="DFY140" s="422"/>
      <c r="DFZ140" s="422"/>
      <c r="DGA140" s="422"/>
      <c r="DGB140" s="422"/>
      <c r="DGC140" s="422"/>
      <c r="DGD140" s="422"/>
      <c r="DGE140" s="422"/>
      <c r="DGF140" s="422"/>
      <c r="DGG140" s="422"/>
      <c r="DGH140" s="422"/>
      <c r="DGI140" s="422"/>
      <c r="DGJ140" s="422"/>
      <c r="DGK140" s="422"/>
      <c r="DGL140" s="422"/>
      <c r="DGM140" s="422"/>
      <c r="DGN140" s="422"/>
      <c r="DGO140" s="422"/>
      <c r="DGP140" s="422"/>
      <c r="DGQ140" s="422"/>
      <c r="DGR140" s="422"/>
      <c r="DGS140" s="422"/>
      <c r="DGT140" s="422"/>
      <c r="DGU140" s="422"/>
      <c r="DGV140" s="422"/>
      <c r="DGW140" s="422"/>
      <c r="DGX140" s="422"/>
      <c r="DGY140" s="422"/>
      <c r="DGZ140" s="422"/>
      <c r="DHA140" s="422"/>
      <c r="DHB140" s="422"/>
      <c r="DHC140" s="422"/>
      <c r="DHD140" s="422"/>
      <c r="DHE140" s="422"/>
      <c r="DHF140" s="422"/>
      <c r="DHG140" s="422"/>
      <c r="DHH140" s="422"/>
      <c r="DHI140" s="422"/>
      <c r="DHJ140" s="422"/>
      <c r="DHK140" s="422"/>
      <c r="DHL140" s="422"/>
      <c r="DHM140" s="422"/>
      <c r="DHN140" s="422"/>
      <c r="DHO140" s="422"/>
      <c r="DHP140" s="422"/>
      <c r="DHQ140" s="422"/>
      <c r="DHR140" s="422"/>
      <c r="DHS140" s="422"/>
      <c r="DHT140" s="422"/>
      <c r="DHU140" s="422"/>
      <c r="DHV140" s="422"/>
      <c r="DHW140" s="422"/>
      <c r="DHX140" s="422"/>
      <c r="DHY140" s="422"/>
      <c r="DHZ140" s="422"/>
      <c r="DIA140" s="422"/>
      <c r="DIB140" s="422"/>
      <c r="DIC140" s="422"/>
      <c r="DID140" s="422"/>
      <c r="DIE140" s="422"/>
      <c r="DIF140" s="422"/>
      <c r="DIG140" s="422"/>
      <c r="DIH140" s="422"/>
      <c r="DII140" s="422"/>
      <c r="DIJ140" s="422"/>
      <c r="DIK140" s="422"/>
      <c r="DIL140" s="422"/>
      <c r="DIM140" s="422"/>
      <c r="DIN140" s="422"/>
      <c r="DIO140" s="422"/>
      <c r="DIP140" s="422"/>
      <c r="DIQ140" s="422"/>
      <c r="DIR140" s="422"/>
      <c r="DIS140" s="422"/>
      <c r="DIT140" s="422"/>
      <c r="DIU140" s="422"/>
      <c r="DIV140" s="422"/>
      <c r="DIW140" s="422"/>
      <c r="DIX140" s="422"/>
      <c r="DIY140" s="422"/>
      <c r="DIZ140" s="422"/>
      <c r="DJA140" s="422"/>
      <c r="DJB140" s="422"/>
      <c r="DJC140" s="422"/>
      <c r="DJD140" s="422"/>
      <c r="DJE140" s="422"/>
      <c r="DJF140" s="422"/>
      <c r="DJG140" s="422"/>
      <c r="DJH140" s="422"/>
      <c r="DJI140" s="422"/>
      <c r="DJJ140" s="422"/>
      <c r="DJK140" s="422"/>
      <c r="DJL140" s="422"/>
      <c r="DJM140" s="422"/>
      <c r="DJN140" s="422"/>
      <c r="DJO140" s="422"/>
      <c r="DJP140" s="422"/>
      <c r="DJQ140" s="422"/>
      <c r="DJR140" s="422"/>
      <c r="DJS140" s="422"/>
      <c r="DJT140" s="422"/>
      <c r="DJU140" s="422"/>
      <c r="DJV140" s="422"/>
      <c r="DJW140" s="422"/>
      <c r="DJX140" s="422"/>
      <c r="DJY140" s="422"/>
      <c r="DJZ140" s="422"/>
      <c r="DKA140" s="422"/>
      <c r="DKB140" s="422"/>
      <c r="DKC140" s="422"/>
      <c r="DKD140" s="422"/>
      <c r="DKE140" s="422"/>
      <c r="DKF140" s="422"/>
      <c r="DKG140" s="422"/>
      <c r="DKH140" s="422"/>
      <c r="DKI140" s="422"/>
      <c r="DKJ140" s="422"/>
      <c r="DKK140" s="422"/>
      <c r="DKL140" s="422"/>
      <c r="DKM140" s="422"/>
      <c r="DKN140" s="422"/>
      <c r="DKO140" s="422"/>
      <c r="DKP140" s="422"/>
      <c r="DKQ140" s="422"/>
      <c r="DKR140" s="422"/>
      <c r="DKS140" s="422"/>
      <c r="DKT140" s="422"/>
      <c r="DKU140" s="422"/>
      <c r="DKV140" s="422"/>
      <c r="DKW140" s="422"/>
      <c r="DKX140" s="422"/>
      <c r="DKY140" s="422"/>
      <c r="DKZ140" s="422"/>
      <c r="DLA140" s="422"/>
      <c r="DLB140" s="422"/>
      <c r="DLC140" s="422"/>
      <c r="DLD140" s="422"/>
      <c r="DLE140" s="422"/>
      <c r="DLF140" s="422"/>
      <c r="DLG140" s="422"/>
      <c r="DLH140" s="422"/>
      <c r="DLI140" s="422"/>
      <c r="DLJ140" s="422"/>
      <c r="DLK140" s="422"/>
      <c r="DLL140" s="422"/>
      <c r="DLM140" s="422"/>
      <c r="DLN140" s="422"/>
      <c r="DLO140" s="422"/>
      <c r="DLP140" s="422"/>
      <c r="DLQ140" s="422"/>
      <c r="DLR140" s="422"/>
      <c r="DLS140" s="422"/>
      <c r="DLT140" s="422"/>
      <c r="DLU140" s="422"/>
      <c r="DLV140" s="422"/>
      <c r="DLW140" s="422"/>
      <c r="DLX140" s="422"/>
      <c r="DLY140" s="422"/>
      <c r="DLZ140" s="422"/>
      <c r="DMA140" s="422"/>
      <c r="DMB140" s="422"/>
      <c r="DMC140" s="422"/>
      <c r="DMD140" s="422"/>
      <c r="DME140" s="422"/>
      <c r="DMF140" s="422"/>
      <c r="DMG140" s="422"/>
      <c r="DMH140" s="422"/>
      <c r="DMI140" s="422"/>
      <c r="DMJ140" s="422"/>
      <c r="DMK140" s="422"/>
      <c r="DML140" s="422"/>
      <c r="DMM140" s="422"/>
      <c r="DMN140" s="422"/>
      <c r="DMO140" s="422"/>
      <c r="DMP140" s="422"/>
      <c r="DMQ140" s="422"/>
      <c r="DMR140" s="422"/>
      <c r="DMS140" s="422"/>
      <c r="DMT140" s="422"/>
      <c r="DMU140" s="422"/>
      <c r="DMV140" s="422"/>
      <c r="DMW140" s="422"/>
      <c r="DMX140" s="422"/>
      <c r="DMY140" s="422"/>
      <c r="DMZ140" s="422"/>
      <c r="DNA140" s="422"/>
      <c r="DNB140" s="422"/>
      <c r="DNC140" s="422"/>
      <c r="DND140" s="422"/>
      <c r="DNE140" s="422"/>
      <c r="DNF140" s="422"/>
      <c r="DNG140" s="422"/>
      <c r="DNH140" s="422"/>
      <c r="DNI140" s="422"/>
      <c r="DNJ140" s="422"/>
      <c r="DNK140" s="422"/>
      <c r="DNL140" s="422"/>
      <c r="DNM140" s="422"/>
      <c r="DNN140" s="422"/>
      <c r="DNO140" s="422"/>
      <c r="DNP140" s="422"/>
      <c r="DNQ140" s="422"/>
      <c r="DNR140" s="422"/>
      <c r="DNS140" s="422"/>
      <c r="DNT140" s="422"/>
      <c r="DNU140" s="422"/>
      <c r="DNV140" s="422"/>
      <c r="DNW140" s="422"/>
      <c r="DNX140" s="422"/>
      <c r="DNY140" s="422"/>
      <c r="DNZ140" s="422"/>
      <c r="DOA140" s="422"/>
      <c r="DOB140" s="422"/>
      <c r="DOC140" s="422"/>
      <c r="DOD140" s="422"/>
      <c r="DOE140" s="422"/>
      <c r="DOF140" s="422"/>
      <c r="DOG140" s="422"/>
      <c r="DOH140" s="422"/>
      <c r="DOI140" s="422"/>
      <c r="DOJ140" s="422"/>
      <c r="DOK140" s="422"/>
      <c r="DOL140" s="422"/>
      <c r="DOM140" s="422"/>
      <c r="DON140" s="422"/>
      <c r="DOO140" s="422"/>
      <c r="DOP140" s="422"/>
      <c r="DOQ140" s="422"/>
      <c r="DOR140" s="422"/>
      <c r="DOS140" s="422"/>
      <c r="DOT140" s="422"/>
      <c r="DOU140" s="422"/>
      <c r="DOV140" s="422"/>
      <c r="DOW140" s="422"/>
      <c r="DOX140" s="422"/>
      <c r="DOY140" s="422"/>
      <c r="DOZ140" s="422"/>
      <c r="DPA140" s="422"/>
      <c r="DPB140" s="422"/>
      <c r="DPC140" s="422"/>
      <c r="DPD140" s="422"/>
      <c r="DPE140" s="422"/>
      <c r="DPF140" s="422"/>
      <c r="DPG140" s="422"/>
      <c r="DPH140" s="422"/>
      <c r="DPI140" s="422"/>
      <c r="DPJ140" s="422"/>
      <c r="DPK140" s="422"/>
      <c r="DPL140" s="422"/>
      <c r="DPM140" s="422"/>
      <c r="DPN140" s="422"/>
      <c r="DPO140" s="422"/>
      <c r="DPP140" s="422"/>
      <c r="DPQ140" s="422"/>
      <c r="DPR140" s="422"/>
      <c r="DPS140" s="422"/>
      <c r="DPT140" s="422"/>
      <c r="DPU140" s="422"/>
      <c r="DPV140" s="422"/>
      <c r="DPW140" s="422"/>
      <c r="DPX140" s="422"/>
      <c r="DPY140" s="422"/>
      <c r="DPZ140" s="422"/>
      <c r="DQA140" s="422"/>
      <c r="DQB140" s="422"/>
      <c r="DQC140" s="422"/>
      <c r="DQD140" s="422"/>
      <c r="DQE140" s="422"/>
      <c r="DQF140" s="422"/>
      <c r="DQG140" s="422"/>
      <c r="DQH140" s="422"/>
      <c r="DQI140" s="422"/>
      <c r="DQJ140" s="422"/>
      <c r="DQK140" s="422"/>
      <c r="DQL140" s="422"/>
      <c r="DQM140" s="422"/>
      <c r="DQN140" s="422"/>
      <c r="DQO140" s="422"/>
      <c r="DQP140" s="422"/>
      <c r="DQQ140" s="422"/>
      <c r="DQR140" s="422"/>
      <c r="DQS140" s="422"/>
      <c r="DQT140" s="422"/>
      <c r="DQU140" s="422"/>
      <c r="DQV140" s="422"/>
      <c r="DQW140" s="422"/>
      <c r="DQX140" s="422"/>
      <c r="DQY140" s="422"/>
      <c r="DQZ140" s="422"/>
      <c r="DRA140" s="422"/>
      <c r="DRB140" s="422"/>
      <c r="DRC140" s="422"/>
      <c r="DRD140" s="422"/>
      <c r="DRE140" s="422"/>
      <c r="DRF140" s="422"/>
      <c r="DRG140" s="422"/>
      <c r="DRH140" s="422"/>
      <c r="DRI140" s="422"/>
      <c r="DRJ140" s="422"/>
      <c r="DRK140" s="422"/>
      <c r="DRL140" s="422"/>
      <c r="DRM140" s="422"/>
      <c r="DRN140" s="422"/>
      <c r="DRO140" s="422"/>
      <c r="DRP140" s="422"/>
      <c r="DRQ140" s="422"/>
      <c r="DRR140" s="422"/>
      <c r="DRS140" s="422"/>
      <c r="DRT140" s="422"/>
      <c r="DRU140" s="422"/>
      <c r="DRV140" s="422"/>
      <c r="DRW140" s="422"/>
      <c r="DRX140" s="422"/>
      <c r="DRY140" s="422"/>
      <c r="DRZ140" s="422"/>
      <c r="DSA140" s="422"/>
      <c r="DSB140" s="422"/>
      <c r="DSC140" s="422"/>
      <c r="DSD140" s="422"/>
      <c r="DSE140" s="422"/>
      <c r="DSF140" s="422"/>
      <c r="DSG140" s="422"/>
      <c r="DSH140" s="422"/>
      <c r="DSI140" s="422"/>
      <c r="DSJ140" s="422"/>
      <c r="DSK140" s="422"/>
      <c r="DSL140" s="422"/>
      <c r="DSM140" s="422"/>
      <c r="DSN140" s="422"/>
      <c r="DSO140" s="422"/>
      <c r="DSP140" s="422"/>
      <c r="DSQ140" s="422"/>
      <c r="DSR140" s="422"/>
      <c r="DSS140" s="422"/>
      <c r="DST140" s="422"/>
      <c r="DSU140" s="422"/>
      <c r="DSV140" s="422"/>
      <c r="DSW140" s="422"/>
      <c r="DSX140" s="422"/>
      <c r="DSY140" s="422"/>
      <c r="DSZ140" s="422"/>
      <c r="DTA140" s="422"/>
      <c r="DTB140" s="422"/>
      <c r="DTC140" s="422"/>
      <c r="DTD140" s="422"/>
      <c r="DTE140" s="422"/>
      <c r="DTF140" s="422"/>
      <c r="DTG140" s="422"/>
      <c r="DTH140" s="422"/>
      <c r="DTI140" s="422"/>
      <c r="DTJ140" s="422"/>
      <c r="DTK140" s="422"/>
      <c r="DTL140" s="422"/>
      <c r="DTM140" s="422"/>
      <c r="DTN140" s="422"/>
      <c r="DTO140" s="422"/>
      <c r="DTP140" s="422"/>
      <c r="DTQ140" s="422"/>
      <c r="DTR140" s="422"/>
      <c r="DTS140" s="422"/>
      <c r="DTT140" s="422"/>
      <c r="DTU140" s="422"/>
      <c r="DTV140" s="422"/>
      <c r="DTW140" s="422"/>
      <c r="DTX140" s="422"/>
      <c r="DTY140" s="422"/>
      <c r="DTZ140" s="422"/>
      <c r="DUA140" s="422"/>
      <c r="DUB140" s="422"/>
      <c r="DUC140" s="422"/>
      <c r="DUD140" s="422"/>
      <c r="DUE140" s="422"/>
      <c r="DUF140" s="422"/>
      <c r="DUG140" s="422"/>
      <c r="DUH140" s="422"/>
      <c r="DUI140" s="422"/>
      <c r="DUJ140" s="422"/>
      <c r="DUK140" s="422"/>
      <c r="DUL140" s="422"/>
      <c r="DUM140" s="422"/>
      <c r="DUN140" s="422"/>
      <c r="DUO140" s="422"/>
      <c r="DUP140" s="422"/>
      <c r="DUQ140" s="422"/>
      <c r="DUR140" s="422"/>
      <c r="DUS140" s="422"/>
      <c r="DUT140" s="422"/>
      <c r="DUU140" s="422"/>
      <c r="DUV140" s="422"/>
      <c r="DUW140" s="422"/>
      <c r="DUX140" s="422"/>
      <c r="DUY140" s="422"/>
      <c r="DUZ140" s="422"/>
      <c r="DVA140" s="422"/>
      <c r="DVB140" s="422"/>
      <c r="DVC140" s="422"/>
      <c r="DVD140" s="422"/>
      <c r="DVE140" s="422"/>
      <c r="DVF140" s="422"/>
      <c r="DVG140" s="422"/>
      <c r="DVH140" s="422"/>
      <c r="DVI140" s="422"/>
      <c r="DVJ140" s="422"/>
      <c r="DVK140" s="422"/>
      <c r="DVL140" s="422"/>
      <c r="DVM140" s="422"/>
      <c r="DVN140" s="422"/>
      <c r="DVO140" s="422"/>
      <c r="DVP140" s="422"/>
      <c r="DVQ140" s="422"/>
      <c r="DVR140" s="422"/>
      <c r="DVS140" s="422"/>
      <c r="DVT140" s="422"/>
      <c r="DVU140" s="422"/>
      <c r="DVV140" s="422"/>
      <c r="DVW140" s="422"/>
      <c r="DVX140" s="422"/>
      <c r="DVY140" s="422"/>
      <c r="DVZ140" s="422"/>
      <c r="DWA140" s="422"/>
      <c r="DWB140" s="422"/>
      <c r="DWC140" s="422"/>
      <c r="DWD140" s="422"/>
      <c r="DWE140" s="422"/>
      <c r="DWF140" s="422"/>
      <c r="DWG140" s="422"/>
      <c r="DWH140" s="422"/>
      <c r="DWI140" s="422"/>
      <c r="DWJ140" s="422"/>
      <c r="DWK140" s="422"/>
      <c r="DWL140" s="422"/>
      <c r="DWM140" s="422"/>
      <c r="DWN140" s="422"/>
      <c r="DWO140" s="422"/>
      <c r="DWP140" s="422"/>
      <c r="DWQ140" s="422"/>
      <c r="DWR140" s="422"/>
      <c r="DWS140" s="422"/>
      <c r="DWT140" s="422"/>
      <c r="DWU140" s="422"/>
      <c r="DWV140" s="422"/>
      <c r="DWW140" s="422"/>
      <c r="DWX140" s="422"/>
      <c r="DWY140" s="422"/>
      <c r="DWZ140" s="422"/>
      <c r="DXA140" s="422"/>
      <c r="DXB140" s="422"/>
      <c r="DXC140" s="422"/>
      <c r="DXD140" s="422"/>
      <c r="DXE140" s="422"/>
      <c r="DXF140" s="422"/>
      <c r="DXG140" s="422"/>
      <c r="DXH140" s="422"/>
      <c r="DXI140" s="422"/>
      <c r="DXJ140" s="422"/>
      <c r="DXK140" s="422"/>
      <c r="DXL140" s="422"/>
      <c r="DXM140" s="422"/>
      <c r="DXN140" s="422"/>
      <c r="DXO140" s="422"/>
      <c r="DXP140" s="422"/>
      <c r="DXQ140" s="422"/>
      <c r="DXR140" s="422"/>
      <c r="DXS140" s="422"/>
      <c r="DXT140" s="422"/>
      <c r="DXU140" s="422"/>
      <c r="DXV140" s="422"/>
      <c r="DXW140" s="422"/>
      <c r="DXX140" s="422"/>
      <c r="DXY140" s="422"/>
      <c r="DXZ140" s="422"/>
      <c r="DYA140" s="422"/>
      <c r="DYB140" s="422"/>
      <c r="DYC140" s="422"/>
      <c r="DYD140" s="422"/>
      <c r="DYE140" s="422"/>
      <c r="DYF140" s="422"/>
      <c r="DYG140" s="422"/>
      <c r="DYH140" s="422"/>
      <c r="DYI140" s="422"/>
      <c r="DYJ140" s="422"/>
      <c r="DYK140" s="422"/>
      <c r="DYL140" s="422"/>
      <c r="DYM140" s="422"/>
      <c r="DYN140" s="422"/>
      <c r="DYO140" s="422"/>
      <c r="DYP140" s="422"/>
      <c r="DYQ140" s="422"/>
      <c r="DYR140" s="422"/>
      <c r="DYS140" s="422"/>
      <c r="DYT140" s="422"/>
      <c r="DYU140" s="422"/>
      <c r="DYV140" s="422"/>
      <c r="DYW140" s="422"/>
      <c r="DYX140" s="422"/>
      <c r="DYY140" s="422"/>
      <c r="DYZ140" s="422"/>
      <c r="DZA140" s="422"/>
      <c r="DZB140" s="422"/>
      <c r="DZC140" s="422"/>
      <c r="DZD140" s="422"/>
      <c r="DZE140" s="422"/>
      <c r="DZF140" s="422"/>
      <c r="DZG140" s="422"/>
      <c r="DZH140" s="422"/>
      <c r="DZI140" s="422"/>
      <c r="DZJ140" s="422"/>
      <c r="DZK140" s="422"/>
      <c r="DZL140" s="422"/>
      <c r="DZM140" s="422"/>
      <c r="DZN140" s="422"/>
      <c r="DZO140" s="422"/>
      <c r="DZP140" s="422"/>
      <c r="DZQ140" s="422"/>
      <c r="DZR140" s="422"/>
      <c r="DZS140" s="422"/>
      <c r="DZT140" s="422"/>
      <c r="DZU140" s="422"/>
      <c r="DZV140" s="422"/>
      <c r="DZW140" s="422"/>
      <c r="DZX140" s="422"/>
      <c r="DZY140" s="422"/>
      <c r="DZZ140" s="422"/>
      <c r="EAA140" s="422"/>
      <c r="EAB140" s="422"/>
      <c r="EAC140" s="422"/>
      <c r="EAD140" s="422"/>
      <c r="EAE140" s="422"/>
      <c r="EAF140" s="422"/>
      <c r="EAG140" s="422"/>
      <c r="EAH140" s="422"/>
      <c r="EAI140" s="422"/>
      <c r="EAJ140" s="422"/>
      <c r="EAK140" s="422"/>
      <c r="EAL140" s="422"/>
      <c r="EAM140" s="422"/>
      <c r="EAN140" s="422"/>
      <c r="EAO140" s="422"/>
      <c r="EAP140" s="422"/>
      <c r="EAQ140" s="422"/>
      <c r="EAR140" s="422"/>
      <c r="EAS140" s="422"/>
      <c r="EAT140" s="422"/>
      <c r="EAU140" s="422"/>
      <c r="EAV140" s="422"/>
      <c r="EAW140" s="422"/>
      <c r="EAX140" s="422"/>
      <c r="EAY140" s="422"/>
      <c r="EAZ140" s="422"/>
      <c r="EBA140" s="422"/>
      <c r="EBB140" s="422"/>
      <c r="EBC140" s="422"/>
      <c r="EBD140" s="422"/>
      <c r="EBE140" s="422"/>
      <c r="EBF140" s="422"/>
      <c r="EBG140" s="422"/>
      <c r="EBH140" s="422"/>
      <c r="EBI140" s="422"/>
      <c r="EBJ140" s="422"/>
      <c r="EBK140" s="422"/>
      <c r="EBL140" s="422"/>
      <c r="EBM140" s="422"/>
      <c r="EBN140" s="422"/>
      <c r="EBO140" s="422"/>
      <c r="EBP140" s="422"/>
      <c r="EBQ140" s="422"/>
      <c r="EBR140" s="422"/>
      <c r="EBS140" s="422"/>
      <c r="EBT140" s="422"/>
      <c r="EBU140" s="422"/>
      <c r="EBV140" s="422"/>
      <c r="EBW140" s="422"/>
      <c r="EBX140" s="422"/>
      <c r="EBY140" s="422"/>
      <c r="EBZ140" s="422"/>
      <c r="ECA140" s="422"/>
      <c r="ECB140" s="422"/>
      <c r="ECC140" s="422"/>
      <c r="ECD140" s="422"/>
      <c r="ECE140" s="422"/>
      <c r="ECF140" s="422"/>
      <c r="ECG140" s="422"/>
      <c r="ECH140" s="422"/>
      <c r="ECI140" s="422"/>
      <c r="ECJ140" s="422"/>
      <c r="ECK140" s="422"/>
      <c r="ECL140" s="422"/>
      <c r="ECM140" s="422"/>
      <c r="ECN140" s="422"/>
      <c r="ECO140" s="422"/>
      <c r="ECP140" s="422"/>
      <c r="ECQ140" s="422"/>
      <c r="ECR140" s="422"/>
      <c r="ECS140" s="422"/>
      <c r="ECT140" s="422"/>
      <c r="ECU140" s="422"/>
      <c r="ECV140" s="422"/>
      <c r="ECW140" s="422"/>
      <c r="ECX140" s="422"/>
      <c r="ECY140" s="422"/>
      <c r="ECZ140" s="422"/>
      <c r="EDA140" s="422"/>
      <c r="EDB140" s="422"/>
      <c r="EDC140" s="422"/>
      <c r="EDD140" s="422"/>
      <c r="EDE140" s="422"/>
      <c r="EDF140" s="422"/>
      <c r="EDG140" s="422"/>
      <c r="EDH140" s="422"/>
      <c r="EDI140" s="422"/>
      <c r="EDJ140" s="422"/>
      <c r="EDK140" s="422"/>
      <c r="EDL140" s="422"/>
      <c r="EDM140" s="422"/>
      <c r="EDN140" s="422"/>
      <c r="EDO140" s="422"/>
      <c r="EDP140" s="422"/>
      <c r="EDQ140" s="422"/>
      <c r="EDR140" s="422"/>
      <c r="EDS140" s="422"/>
      <c r="EDT140" s="422"/>
      <c r="EDU140" s="422"/>
      <c r="EDV140" s="422"/>
      <c r="EDW140" s="422"/>
      <c r="EDX140" s="422"/>
      <c r="EDY140" s="422"/>
      <c r="EDZ140" s="422"/>
      <c r="EEA140" s="422"/>
      <c r="EEB140" s="422"/>
      <c r="EEC140" s="422"/>
      <c r="EED140" s="422"/>
      <c r="EEE140" s="422"/>
      <c r="EEF140" s="422"/>
      <c r="EEG140" s="422"/>
      <c r="EEH140" s="422"/>
      <c r="EEI140" s="422"/>
      <c r="EEJ140" s="422"/>
      <c r="EEK140" s="422"/>
      <c r="EEL140" s="422"/>
      <c r="EEM140" s="422"/>
      <c r="EEN140" s="422"/>
      <c r="EEO140" s="422"/>
      <c r="EEP140" s="422"/>
      <c r="EEQ140" s="422"/>
      <c r="EER140" s="422"/>
      <c r="EES140" s="422"/>
      <c r="EET140" s="422"/>
      <c r="EEU140" s="422"/>
      <c r="EEV140" s="422"/>
      <c r="EEW140" s="422"/>
      <c r="EEX140" s="422"/>
      <c r="EEY140" s="422"/>
      <c r="EEZ140" s="422"/>
      <c r="EFA140" s="422"/>
      <c r="EFB140" s="422"/>
      <c r="EFC140" s="422"/>
      <c r="EFD140" s="422"/>
      <c r="EFE140" s="422"/>
      <c r="EFF140" s="422"/>
      <c r="EFG140" s="422"/>
      <c r="EFH140" s="422"/>
      <c r="EFI140" s="422"/>
      <c r="EFJ140" s="422"/>
      <c r="EFK140" s="422"/>
      <c r="EFL140" s="422"/>
      <c r="EFM140" s="422"/>
      <c r="EFN140" s="422"/>
      <c r="EFO140" s="422"/>
      <c r="EFP140" s="422"/>
      <c r="EFQ140" s="422"/>
      <c r="EFR140" s="422"/>
      <c r="EFS140" s="422"/>
      <c r="EFT140" s="422"/>
      <c r="EFU140" s="422"/>
      <c r="EFV140" s="422"/>
      <c r="EFW140" s="422"/>
      <c r="EFX140" s="422"/>
      <c r="EFY140" s="422"/>
      <c r="EFZ140" s="422"/>
      <c r="EGA140" s="422"/>
      <c r="EGB140" s="422"/>
      <c r="EGC140" s="422"/>
      <c r="EGD140" s="422"/>
      <c r="EGE140" s="422"/>
      <c r="EGF140" s="422"/>
      <c r="EGG140" s="422"/>
      <c r="EGH140" s="422"/>
      <c r="EGI140" s="422"/>
      <c r="EGJ140" s="422"/>
      <c r="EGK140" s="422"/>
      <c r="EGL140" s="422"/>
      <c r="EGM140" s="422"/>
      <c r="EGN140" s="422"/>
      <c r="EGO140" s="422"/>
      <c r="EGP140" s="422"/>
      <c r="EGQ140" s="422"/>
      <c r="EGR140" s="422"/>
      <c r="EGS140" s="422"/>
      <c r="EGT140" s="422"/>
      <c r="EGU140" s="422"/>
      <c r="EGV140" s="422"/>
      <c r="EGW140" s="422"/>
      <c r="EGX140" s="422"/>
      <c r="EGY140" s="422"/>
      <c r="EGZ140" s="422"/>
      <c r="EHA140" s="422"/>
      <c r="EHB140" s="422"/>
      <c r="EHC140" s="422"/>
      <c r="EHD140" s="422"/>
      <c r="EHE140" s="422"/>
      <c r="EHF140" s="422"/>
      <c r="EHG140" s="422"/>
      <c r="EHH140" s="422"/>
      <c r="EHI140" s="422"/>
      <c r="EHJ140" s="422"/>
      <c r="EHK140" s="422"/>
      <c r="EHL140" s="422"/>
      <c r="EHM140" s="422"/>
      <c r="EHN140" s="422"/>
      <c r="EHO140" s="422"/>
      <c r="EHP140" s="422"/>
      <c r="EHQ140" s="422"/>
      <c r="EHR140" s="422"/>
      <c r="EHS140" s="422"/>
      <c r="EHT140" s="422"/>
      <c r="EHU140" s="422"/>
      <c r="EHV140" s="422"/>
      <c r="EHW140" s="422"/>
      <c r="EHX140" s="422"/>
      <c r="EHY140" s="422"/>
      <c r="EHZ140" s="422"/>
      <c r="EIA140" s="422"/>
      <c r="EIB140" s="422"/>
      <c r="EIC140" s="422"/>
      <c r="EID140" s="422"/>
      <c r="EIE140" s="422"/>
      <c r="EIF140" s="422"/>
      <c r="EIG140" s="422"/>
      <c r="EIH140" s="422"/>
      <c r="EII140" s="422"/>
      <c r="EIJ140" s="422"/>
      <c r="EIK140" s="422"/>
      <c r="EIL140" s="422"/>
      <c r="EIM140" s="422"/>
      <c r="EIN140" s="422"/>
      <c r="EIO140" s="422"/>
      <c r="EIP140" s="422"/>
      <c r="EIQ140" s="422"/>
      <c r="EIR140" s="422"/>
      <c r="EIS140" s="422"/>
      <c r="EIT140" s="422"/>
      <c r="EIU140" s="422"/>
      <c r="EIV140" s="422"/>
      <c r="EIW140" s="422"/>
      <c r="EIX140" s="422"/>
      <c r="EIY140" s="422"/>
      <c r="EIZ140" s="422"/>
      <c r="EJA140" s="422"/>
      <c r="EJB140" s="422"/>
      <c r="EJC140" s="422"/>
      <c r="EJD140" s="422"/>
      <c r="EJE140" s="422"/>
      <c r="EJF140" s="422"/>
      <c r="EJG140" s="422"/>
      <c r="EJH140" s="422"/>
      <c r="EJI140" s="422"/>
      <c r="EJJ140" s="422"/>
      <c r="EJK140" s="422"/>
      <c r="EJL140" s="422"/>
      <c r="EJM140" s="422"/>
      <c r="EJN140" s="422"/>
      <c r="EJO140" s="422"/>
      <c r="EJP140" s="422"/>
      <c r="EJQ140" s="422"/>
      <c r="EJR140" s="422"/>
      <c r="EJS140" s="422"/>
      <c r="EJT140" s="422"/>
      <c r="EJU140" s="422"/>
      <c r="EJV140" s="422"/>
      <c r="EJW140" s="422"/>
      <c r="EJX140" s="422"/>
      <c r="EJY140" s="422"/>
      <c r="EJZ140" s="422"/>
      <c r="EKA140" s="422"/>
      <c r="EKB140" s="422"/>
      <c r="EKC140" s="422"/>
      <c r="EKD140" s="422"/>
      <c r="EKE140" s="422"/>
      <c r="EKF140" s="422"/>
      <c r="EKG140" s="422"/>
      <c r="EKH140" s="422"/>
      <c r="EKI140" s="422"/>
      <c r="EKJ140" s="422"/>
      <c r="EKK140" s="422"/>
      <c r="EKL140" s="422"/>
      <c r="EKM140" s="422"/>
      <c r="EKN140" s="422"/>
      <c r="EKO140" s="422"/>
      <c r="EKP140" s="422"/>
      <c r="EKQ140" s="422"/>
      <c r="EKR140" s="422"/>
      <c r="EKS140" s="422"/>
      <c r="EKT140" s="422"/>
      <c r="EKU140" s="422"/>
      <c r="EKV140" s="422"/>
      <c r="EKW140" s="422"/>
      <c r="EKX140" s="422"/>
      <c r="EKY140" s="422"/>
      <c r="EKZ140" s="422"/>
      <c r="ELA140" s="422"/>
      <c r="ELB140" s="422"/>
      <c r="ELC140" s="422"/>
      <c r="ELD140" s="422"/>
      <c r="ELE140" s="422"/>
      <c r="ELF140" s="422"/>
      <c r="ELG140" s="422"/>
      <c r="ELH140" s="422"/>
      <c r="ELI140" s="422"/>
      <c r="ELJ140" s="422"/>
      <c r="ELK140" s="422"/>
      <c r="ELL140" s="422"/>
      <c r="ELM140" s="422"/>
      <c r="ELN140" s="422"/>
      <c r="ELO140" s="422"/>
      <c r="ELP140" s="422"/>
      <c r="ELQ140" s="422"/>
      <c r="ELR140" s="422"/>
      <c r="ELS140" s="422"/>
      <c r="ELT140" s="422"/>
      <c r="ELU140" s="422"/>
      <c r="ELV140" s="422"/>
      <c r="ELW140" s="422"/>
      <c r="ELX140" s="422"/>
      <c r="ELY140" s="422"/>
      <c r="ELZ140" s="422"/>
      <c r="EMA140" s="422"/>
      <c r="EMB140" s="422"/>
      <c r="EMC140" s="422"/>
      <c r="EMD140" s="422"/>
      <c r="EME140" s="422"/>
      <c r="EMF140" s="422"/>
      <c r="EMG140" s="422"/>
      <c r="EMH140" s="422"/>
      <c r="EMI140" s="422"/>
      <c r="EMJ140" s="422"/>
      <c r="EMK140" s="422"/>
      <c r="EML140" s="422"/>
      <c r="EMM140" s="422"/>
      <c r="EMN140" s="422"/>
      <c r="EMO140" s="422"/>
      <c r="EMP140" s="422"/>
      <c r="EMQ140" s="422"/>
      <c r="EMR140" s="422"/>
      <c r="EMS140" s="422"/>
      <c r="EMT140" s="422"/>
      <c r="EMU140" s="422"/>
      <c r="EMV140" s="422"/>
      <c r="EMW140" s="422"/>
      <c r="EMX140" s="422"/>
      <c r="EMY140" s="422"/>
      <c r="EMZ140" s="422"/>
      <c r="ENA140" s="422"/>
      <c r="ENB140" s="422"/>
      <c r="ENC140" s="422"/>
      <c r="END140" s="422"/>
      <c r="ENE140" s="422"/>
      <c r="ENF140" s="422"/>
      <c r="ENG140" s="422"/>
      <c r="ENH140" s="422"/>
      <c r="ENI140" s="422"/>
      <c r="ENJ140" s="422"/>
      <c r="ENK140" s="422"/>
      <c r="ENL140" s="422"/>
      <c r="ENM140" s="422"/>
      <c r="ENN140" s="422"/>
      <c r="ENO140" s="422"/>
      <c r="ENP140" s="422"/>
      <c r="ENQ140" s="422"/>
      <c r="ENR140" s="422"/>
      <c r="ENS140" s="422"/>
      <c r="ENT140" s="422"/>
      <c r="ENU140" s="422"/>
      <c r="ENV140" s="422"/>
      <c r="ENW140" s="422"/>
      <c r="ENX140" s="422"/>
      <c r="ENY140" s="422"/>
      <c r="ENZ140" s="422"/>
      <c r="EOA140" s="422"/>
      <c r="EOB140" s="422"/>
      <c r="EOC140" s="422"/>
      <c r="EOD140" s="422"/>
      <c r="EOE140" s="422"/>
      <c r="EOF140" s="422"/>
      <c r="EOG140" s="422"/>
      <c r="EOH140" s="422"/>
      <c r="EOI140" s="422"/>
      <c r="EOJ140" s="422"/>
      <c r="EOK140" s="422"/>
      <c r="EOL140" s="422"/>
      <c r="EOM140" s="422"/>
      <c r="EON140" s="422"/>
      <c r="EOO140" s="422"/>
      <c r="EOP140" s="422"/>
      <c r="EOQ140" s="422"/>
      <c r="EOR140" s="422"/>
      <c r="EOS140" s="422"/>
      <c r="EOT140" s="422"/>
      <c r="EOU140" s="422"/>
      <c r="EOV140" s="422"/>
      <c r="EOW140" s="422"/>
      <c r="EOX140" s="422"/>
      <c r="EOY140" s="422"/>
      <c r="EOZ140" s="422"/>
      <c r="EPA140" s="422"/>
      <c r="EPB140" s="422"/>
      <c r="EPC140" s="422"/>
      <c r="EPD140" s="422"/>
      <c r="EPE140" s="422"/>
      <c r="EPF140" s="422"/>
      <c r="EPG140" s="422"/>
      <c r="EPH140" s="422"/>
      <c r="EPI140" s="422"/>
      <c r="EPJ140" s="422"/>
      <c r="EPK140" s="422"/>
      <c r="EPL140" s="422"/>
      <c r="EPM140" s="422"/>
      <c r="EPN140" s="422"/>
      <c r="EPO140" s="422"/>
      <c r="EPP140" s="422"/>
      <c r="EPQ140" s="422"/>
      <c r="EPR140" s="422"/>
      <c r="EPS140" s="422"/>
      <c r="EPT140" s="422"/>
      <c r="EPU140" s="422"/>
      <c r="EPV140" s="422"/>
      <c r="EPW140" s="422"/>
      <c r="EPX140" s="422"/>
      <c r="EPY140" s="422"/>
      <c r="EPZ140" s="422"/>
      <c r="EQA140" s="422"/>
      <c r="EQB140" s="422"/>
      <c r="EQC140" s="422"/>
      <c r="EQD140" s="422"/>
      <c r="EQE140" s="422"/>
      <c r="EQF140" s="422"/>
      <c r="EQG140" s="422"/>
      <c r="EQH140" s="422"/>
      <c r="EQI140" s="422"/>
      <c r="EQJ140" s="422"/>
      <c r="EQK140" s="422"/>
      <c r="EQL140" s="422"/>
      <c r="EQM140" s="422"/>
      <c r="EQN140" s="422"/>
      <c r="EQO140" s="422"/>
      <c r="EQP140" s="422"/>
      <c r="EQQ140" s="422"/>
      <c r="EQR140" s="422"/>
      <c r="EQS140" s="422"/>
      <c r="EQT140" s="422"/>
      <c r="EQU140" s="422"/>
      <c r="EQV140" s="422"/>
      <c r="EQW140" s="422"/>
      <c r="EQX140" s="422"/>
      <c r="EQY140" s="422"/>
      <c r="EQZ140" s="422"/>
      <c r="ERA140" s="422"/>
      <c r="ERB140" s="422"/>
      <c r="ERC140" s="422"/>
      <c r="ERD140" s="422"/>
      <c r="ERE140" s="422"/>
      <c r="ERF140" s="422"/>
      <c r="ERG140" s="422"/>
      <c r="ERH140" s="422"/>
      <c r="ERI140" s="422"/>
      <c r="ERJ140" s="422"/>
      <c r="ERK140" s="422"/>
      <c r="ERL140" s="422"/>
      <c r="ERM140" s="422"/>
      <c r="ERN140" s="422"/>
      <c r="ERO140" s="422"/>
      <c r="ERP140" s="422"/>
      <c r="ERQ140" s="422"/>
      <c r="ERR140" s="422"/>
      <c r="ERS140" s="422"/>
      <c r="ERT140" s="422"/>
      <c r="ERU140" s="422"/>
      <c r="ERV140" s="422"/>
      <c r="ERW140" s="422"/>
      <c r="ERX140" s="422"/>
      <c r="ERY140" s="422"/>
      <c r="ERZ140" s="422"/>
      <c r="ESA140" s="422"/>
      <c r="ESB140" s="422"/>
      <c r="ESC140" s="422"/>
      <c r="ESD140" s="422"/>
      <c r="ESE140" s="422"/>
      <c r="ESF140" s="422"/>
      <c r="ESG140" s="422"/>
      <c r="ESH140" s="422"/>
      <c r="ESI140" s="422"/>
      <c r="ESJ140" s="422"/>
      <c r="ESK140" s="422"/>
      <c r="ESL140" s="422"/>
      <c r="ESM140" s="422"/>
      <c r="ESN140" s="422"/>
      <c r="ESO140" s="422"/>
      <c r="ESP140" s="422"/>
      <c r="ESQ140" s="422"/>
      <c r="ESR140" s="422"/>
      <c r="ESS140" s="422"/>
      <c r="EST140" s="422"/>
      <c r="ESU140" s="422"/>
      <c r="ESV140" s="422"/>
      <c r="ESW140" s="422"/>
      <c r="ESX140" s="422"/>
      <c r="ESY140" s="422"/>
      <c r="ESZ140" s="422"/>
      <c r="ETA140" s="422"/>
      <c r="ETB140" s="422"/>
      <c r="ETC140" s="422"/>
      <c r="ETD140" s="422"/>
      <c r="ETE140" s="422"/>
      <c r="ETF140" s="422"/>
      <c r="ETG140" s="422"/>
      <c r="ETH140" s="422"/>
      <c r="ETI140" s="422"/>
      <c r="ETJ140" s="422"/>
      <c r="ETK140" s="422"/>
      <c r="ETL140" s="422"/>
      <c r="ETM140" s="422"/>
      <c r="ETN140" s="422"/>
      <c r="ETO140" s="422"/>
      <c r="ETP140" s="422"/>
      <c r="ETQ140" s="422"/>
      <c r="ETR140" s="422"/>
      <c r="ETS140" s="422"/>
      <c r="ETT140" s="422"/>
      <c r="ETU140" s="422"/>
      <c r="ETV140" s="422"/>
      <c r="ETW140" s="422"/>
      <c r="ETX140" s="422"/>
      <c r="ETY140" s="422"/>
      <c r="ETZ140" s="422"/>
      <c r="EUA140" s="422"/>
      <c r="EUB140" s="422"/>
      <c r="EUC140" s="422"/>
      <c r="EUD140" s="422"/>
      <c r="EUE140" s="422"/>
      <c r="EUF140" s="422"/>
      <c r="EUG140" s="422"/>
      <c r="EUH140" s="422"/>
      <c r="EUI140" s="422"/>
      <c r="EUJ140" s="422"/>
      <c r="EUK140" s="422"/>
      <c r="EUL140" s="422"/>
      <c r="EUM140" s="422"/>
      <c r="EUN140" s="422"/>
      <c r="EUO140" s="422"/>
      <c r="EUP140" s="422"/>
      <c r="EUQ140" s="422"/>
      <c r="EUR140" s="422"/>
      <c r="EUS140" s="422"/>
      <c r="EUT140" s="422"/>
      <c r="EUU140" s="422"/>
      <c r="EUV140" s="422"/>
      <c r="EUW140" s="422"/>
      <c r="EUX140" s="422"/>
      <c r="EUY140" s="422"/>
      <c r="EUZ140" s="422"/>
      <c r="EVA140" s="422"/>
      <c r="EVB140" s="422"/>
      <c r="EVC140" s="422"/>
      <c r="EVD140" s="422"/>
      <c r="EVE140" s="422"/>
      <c r="EVF140" s="422"/>
      <c r="EVG140" s="422"/>
      <c r="EVH140" s="422"/>
      <c r="EVI140" s="422"/>
      <c r="EVJ140" s="422"/>
      <c r="EVK140" s="422"/>
      <c r="EVL140" s="422"/>
      <c r="EVM140" s="422"/>
      <c r="EVN140" s="422"/>
      <c r="EVO140" s="422"/>
      <c r="EVP140" s="422"/>
      <c r="EVQ140" s="422"/>
      <c r="EVR140" s="422"/>
      <c r="EVS140" s="422"/>
      <c r="EVT140" s="422"/>
      <c r="EVU140" s="422"/>
      <c r="EVV140" s="422"/>
      <c r="EVW140" s="422"/>
      <c r="EVX140" s="422"/>
      <c r="EVY140" s="422"/>
      <c r="EVZ140" s="422"/>
      <c r="EWA140" s="422"/>
      <c r="EWB140" s="422"/>
      <c r="EWC140" s="422"/>
      <c r="EWD140" s="422"/>
      <c r="EWE140" s="422"/>
      <c r="EWF140" s="422"/>
      <c r="EWG140" s="422"/>
      <c r="EWH140" s="422"/>
      <c r="EWI140" s="422"/>
      <c r="EWJ140" s="422"/>
      <c r="EWK140" s="422"/>
      <c r="EWL140" s="422"/>
      <c r="EWM140" s="422"/>
      <c r="EWN140" s="422"/>
      <c r="EWO140" s="422"/>
      <c r="EWP140" s="422"/>
      <c r="EWQ140" s="422"/>
      <c r="EWR140" s="422"/>
      <c r="EWS140" s="422"/>
      <c r="EWT140" s="422"/>
      <c r="EWU140" s="422"/>
      <c r="EWV140" s="422"/>
      <c r="EWW140" s="422"/>
      <c r="EWX140" s="422"/>
      <c r="EWY140" s="422"/>
      <c r="EWZ140" s="422"/>
      <c r="EXA140" s="422"/>
      <c r="EXB140" s="422"/>
      <c r="EXC140" s="422"/>
      <c r="EXD140" s="422"/>
      <c r="EXE140" s="422"/>
      <c r="EXF140" s="422"/>
      <c r="EXG140" s="422"/>
      <c r="EXH140" s="422"/>
      <c r="EXI140" s="422"/>
      <c r="EXJ140" s="422"/>
      <c r="EXK140" s="422"/>
      <c r="EXL140" s="422"/>
      <c r="EXM140" s="422"/>
      <c r="EXN140" s="422"/>
      <c r="EXO140" s="422"/>
      <c r="EXP140" s="422"/>
      <c r="EXQ140" s="422"/>
      <c r="EXR140" s="422"/>
      <c r="EXS140" s="422"/>
      <c r="EXT140" s="422"/>
      <c r="EXU140" s="422"/>
      <c r="EXV140" s="422"/>
      <c r="EXW140" s="422"/>
      <c r="EXX140" s="422"/>
      <c r="EXY140" s="422"/>
      <c r="EXZ140" s="422"/>
      <c r="EYA140" s="422"/>
      <c r="EYB140" s="422"/>
      <c r="EYC140" s="422"/>
      <c r="EYD140" s="422"/>
      <c r="EYE140" s="422"/>
      <c r="EYF140" s="422"/>
      <c r="EYG140" s="422"/>
      <c r="EYH140" s="422"/>
      <c r="EYI140" s="422"/>
      <c r="EYJ140" s="422"/>
      <c r="EYK140" s="422"/>
      <c r="EYL140" s="422"/>
      <c r="EYM140" s="422"/>
      <c r="EYN140" s="422"/>
      <c r="EYO140" s="422"/>
      <c r="EYP140" s="422"/>
      <c r="EYQ140" s="422"/>
      <c r="EYR140" s="422"/>
      <c r="EYS140" s="422"/>
      <c r="EYT140" s="422"/>
      <c r="EYU140" s="422"/>
      <c r="EYV140" s="422"/>
      <c r="EYW140" s="422"/>
      <c r="EYX140" s="422"/>
      <c r="EYY140" s="422"/>
      <c r="EYZ140" s="422"/>
      <c r="EZA140" s="422"/>
      <c r="EZB140" s="422"/>
      <c r="EZC140" s="422"/>
      <c r="EZD140" s="422"/>
      <c r="EZE140" s="422"/>
      <c r="EZF140" s="422"/>
      <c r="EZG140" s="422"/>
      <c r="EZH140" s="422"/>
      <c r="EZI140" s="422"/>
      <c r="EZJ140" s="422"/>
      <c r="EZK140" s="422"/>
      <c r="EZL140" s="422"/>
      <c r="EZM140" s="422"/>
      <c r="EZN140" s="422"/>
      <c r="EZO140" s="422"/>
      <c r="EZP140" s="422"/>
      <c r="EZQ140" s="422"/>
      <c r="EZR140" s="422"/>
      <c r="EZS140" s="422"/>
      <c r="EZT140" s="422"/>
      <c r="EZU140" s="422"/>
      <c r="EZV140" s="422"/>
      <c r="EZW140" s="422"/>
      <c r="EZX140" s="422"/>
      <c r="EZY140" s="422"/>
      <c r="EZZ140" s="422"/>
      <c r="FAA140" s="422"/>
      <c r="FAB140" s="422"/>
      <c r="FAC140" s="422"/>
      <c r="FAD140" s="422"/>
      <c r="FAE140" s="422"/>
      <c r="FAF140" s="422"/>
      <c r="FAG140" s="422"/>
      <c r="FAH140" s="422"/>
      <c r="FAI140" s="422"/>
      <c r="FAJ140" s="422"/>
      <c r="FAK140" s="422"/>
      <c r="FAL140" s="422"/>
      <c r="FAM140" s="422"/>
      <c r="FAN140" s="422"/>
      <c r="FAO140" s="422"/>
      <c r="FAP140" s="422"/>
      <c r="FAQ140" s="422"/>
      <c r="FAR140" s="422"/>
      <c r="FAS140" s="422"/>
      <c r="FAT140" s="422"/>
      <c r="FAU140" s="422"/>
      <c r="FAV140" s="422"/>
      <c r="FAW140" s="422"/>
      <c r="FAX140" s="422"/>
      <c r="FAY140" s="422"/>
      <c r="FAZ140" s="422"/>
      <c r="FBA140" s="422"/>
      <c r="FBB140" s="422"/>
      <c r="FBC140" s="422"/>
      <c r="FBD140" s="422"/>
      <c r="FBE140" s="422"/>
      <c r="FBF140" s="422"/>
      <c r="FBG140" s="422"/>
      <c r="FBH140" s="422"/>
      <c r="FBI140" s="422"/>
      <c r="FBJ140" s="422"/>
      <c r="FBK140" s="422"/>
      <c r="FBL140" s="422"/>
      <c r="FBM140" s="422"/>
      <c r="FBN140" s="422"/>
      <c r="FBO140" s="422"/>
      <c r="FBP140" s="422"/>
      <c r="FBQ140" s="422"/>
      <c r="FBR140" s="422"/>
      <c r="FBS140" s="422"/>
      <c r="FBT140" s="422"/>
      <c r="FBU140" s="422"/>
      <c r="FBV140" s="422"/>
      <c r="FBW140" s="422"/>
      <c r="FBX140" s="422"/>
      <c r="FBY140" s="422"/>
      <c r="FBZ140" s="422"/>
      <c r="FCA140" s="422"/>
      <c r="FCB140" s="422"/>
      <c r="FCC140" s="422"/>
      <c r="FCD140" s="422"/>
      <c r="FCE140" s="422"/>
      <c r="FCF140" s="422"/>
      <c r="FCG140" s="422"/>
      <c r="FCH140" s="422"/>
      <c r="FCI140" s="422"/>
      <c r="FCJ140" s="422"/>
      <c r="FCK140" s="422"/>
      <c r="FCL140" s="422"/>
      <c r="FCM140" s="422"/>
      <c r="FCN140" s="422"/>
      <c r="FCO140" s="422"/>
      <c r="FCP140" s="422"/>
      <c r="FCQ140" s="422"/>
      <c r="FCR140" s="422"/>
      <c r="FCS140" s="422"/>
      <c r="FCT140" s="422"/>
      <c r="FCU140" s="422"/>
      <c r="FCV140" s="422"/>
      <c r="FCW140" s="422"/>
      <c r="FCX140" s="422"/>
      <c r="FCY140" s="422"/>
      <c r="FCZ140" s="422"/>
      <c r="FDA140" s="422"/>
      <c r="FDB140" s="422"/>
      <c r="FDC140" s="422"/>
      <c r="FDD140" s="422"/>
      <c r="FDE140" s="422"/>
      <c r="FDF140" s="422"/>
      <c r="FDG140" s="422"/>
      <c r="FDH140" s="422"/>
      <c r="FDI140" s="422"/>
      <c r="FDJ140" s="422"/>
      <c r="FDK140" s="422"/>
      <c r="FDL140" s="422"/>
      <c r="FDM140" s="422"/>
      <c r="FDN140" s="422"/>
      <c r="FDO140" s="422"/>
      <c r="FDP140" s="422"/>
      <c r="FDQ140" s="422"/>
      <c r="FDR140" s="422"/>
      <c r="FDS140" s="422"/>
      <c r="FDT140" s="422"/>
      <c r="FDU140" s="422"/>
      <c r="FDV140" s="422"/>
      <c r="FDW140" s="422"/>
      <c r="FDX140" s="422"/>
      <c r="FDY140" s="422"/>
      <c r="FDZ140" s="422"/>
      <c r="FEA140" s="422"/>
      <c r="FEB140" s="422"/>
      <c r="FEC140" s="422"/>
      <c r="FED140" s="422"/>
      <c r="FEE140" s="422"/>
      <c r="FEF140" s="422"/>
      <c r="FEG140" s="422"/>
      <c r="FEH140" s="422"/>
      <c r="FEI140" s="422"/>
      <c r="FEJ140" s="422"/>
      <c r="FEK140" s="422"/>
      <c r="FEL140" s="422"/>
      <c r="FEM140" s="422"/>
      <c r="FEN140" s="422"/>
      <c r="FEO140" s="422"/>
      <c r="FEP140" s="422"/>
      <c r="FEQ140" s="422"/>
      <c r="FER140" s="422"/>
      <c r="FES140" s="422"/>
      <c r="FET140" s="422"/>
      <c r="FEU140" s="422"/>
      <c r="FEV140" s="422"/>
      <c r="FEW140" s="422"/>
      <c r="FEX140" s="422"/>
      <c r="FEY140" s="422"/>
      <c r="FEZ140" s="422"/>
      <c r="FFA140" s="422"/>
      <c r="FFB140" s="422"/>
      <c r="FFC140" s="422"/>
      <c r="FFD140" s="422"/>
      <c r="FFE140" s="422"/>
      <c r="FFF140" s="422"/>
      <c r="FFG140" s="422"/>
      <c r="FFH140" s="422"/>
      <c r="FFI140" s="422"/>
      <c r="FFJ140" s="422"/>
      <c r="FFK140" s="422"/>
      <c r="FFL140" s="422"/>
      <c r="FFM140" s="422"/>
      <c r="FFN140" s="422"/>
      <c r="FFO140" s="422"/>
      <c r="FFP140" s="422"/>
      <c r="FFQ140" s="422"/>
      <c r="FFR140" s="422"/>
      <c r="FFS140" s="422"/>
      <c r="FFT140" s="422"/>
      <c r="FFU140" s="422"/>
      <c r="FFV140" s="422"/>
      <c r="FFW140" s="422"/>
      <c r="FFX140" s="422"/>
      <c r="FFY140" s="422"/>
      <c r="FFZ140" s="422"/>
      <c r="FGA140" s="422"/>
      <c r="FGB140" s="422"/>
      <c r="FGC140" s="422"/>
      <c r="FGD140" s="422"/>
      <c r="FGE140" s="422"/>
      <c r="FGF140" s="422"/>
      <c r="FGG140" s="422"/>
      <c r="FGH140" s="422"/>
      <c r="FGI140" s="422"/>
      <c r="FGJ140" s="422"/>
      <c r="FGK140" s="422"/>
      <c r="FGL140" s="422"/>
      <c r="FGM140" s="422"/>
      <c r="FGN140" s="422"/>
      <c r="FGO140" s="422"/>
      <c r="FGP140" s="422"/>
      <c r="FGQ140" s="422"/>
      <c r="FGR140" s="422"/>
      <c r="FGS140" s="422"/>
      <c r="FGT140" s="422"/>
      <c r="FGU140" s="422"/>
      <c r="FGV140" s="422"/>
      <c r="FGW140" s="422"/>
      <c r="FGX140" s="422"/>
      <c r="FGY140" s="422"/>
      <c r="FGZ140" s="422"/>
      <c r="FHA140" s="422"/>
      <c r="FHB140" s="422"/>
      <c r="FHC140" s="422"/>
      <c r="FHD140" s="422"/>
      <c r="FHE140" s="422"/>
      <c r="FHF140" s="422"/>
      <c r="FHG140" s="422"/>
      <c r="FHH140" s="422"/>
      <c r="FHI140" s="422"/>
      <c r="FHJ140" s="422"/>
      <c r="FHK140" s="422"/>
      <c r="FHL140" s="422"/>
      <c r="FHM140" s="422"/>
      <c r="FHN140" s="422"/>
      <c r="FHO140" s="422"/>
      <c r="FHP140" s="422"/>
      <c r="FHQ140" s="422"/>
      <c r="FHR140" s="422"/>
      <c r="FHS140" s="422"/>
      <c r="FHT140" s="422"/>
      <c r="FHU140" s="422"/>
      <c r="FHV140" s="422"/>
      <c r="FHW140" s="422"/>
      <c r="FHX140" s="422"/>
      <c r="FHY140" s="422"/>
      <c r="FHZ140" s="422"/>
      <c r="FIA140" s="422"/>
      <c r="FIB140" s="422"/>
      <c r="FIC140" s="422"/>
      <c r="FID140" s="422"/>
      <c r="FIE140" s="422"/>
      <c r="FIF140" s="422"/>
      <c r="FIG140" s="422"/>
      <c r="FIH140" s="422"/>
      <c r="FII140" s="422"/>
      <c r="FIJ140" s="422"/>
      <c r="FIK140" s="422"/>
      <c r="FIL140" s="422"/>
      <c r="FIM140" s="422"/>
      <c r="FIN140" s="422"/>
      <c r="FIO140" s="422"/>
      <c r="FIP140" s="422"/>
      <c r="FIQ140" s="422"/>
      <c r="FIR140" s="422"/>
      <c r="FIS140" s="422"/>
      <c r="FIT140" s="422"/>
      <c r="FIU140" s="422"/>
      <c r="FIV140" s="422"/>
      <c r="FIW140" s="422"/>
      <c r="FIX140" s="422"/>
      <c r="FIY140" s="422"/>
      <c r="FIZ140" s="422"/>
      <c r="FJA140" s="422"/>
      <c r="FJB140" s="422"/>
      <c r="FJC140" s="422"/>
      <c r="FJD140" s="422"/>
      <c r="FJE140" s="422"/>
      <c r="FJF140" s="422"/>
      <c r="FJG140" s="422"/>
      <c r="FJH140" s="422"/>
      <c r="FJI140" s="422"/>
      <c r="FJJ140" s="422"/>
      <c r="FJK140" s="422"/>
      <c r="FJL140" s="422"/>
      <c r="FJM140" s="422"/>
      <c r="FJN140" s="422"/>
      <c r="FJO140" s="422"/>
      <c r="FJP140" s="422"/>
      <c r="FJQ140" s="422"/>
      <c r="FJR140" s="422"/>
      <c r="FJS140" s="422"/>
      <c r="FJT140" s="422"/>
      <c r="FJU140" s="422"/>
      <c r="FJV140" s="422"/>
      <c r="FJW140" s="422"/>
      <c r="FJX140" s="422"/>
      <c r="FJY140" s="422"/>
      <c r="FJZ140" s="422"/>
      <c r="FKA140" s="422"/>
      <c r="FKB140" s="422"/>
      <c r="FKC140" s="422"/>
      <c r="FKD140" s="422"/>
      <c r="FKE140" s="422"/>
      <c r="FKF140" s="422"/>
      <c r="FKG140" s="422"/>
      <c r="FKH140" s="422"/>
      <c r="FKI140" s="422"/>
      <c r="FKJ140" s="422"/>
      <c r="FKK140" s="422"/>
      <c r="FKL140" s="422"/>
      <c r="FKM140" s="422"/>
      <c r="FKN140" s="422"/>
      <c r="FKO140" s="422"/>
      <c r="FKP140" s="422"/>
      <c r="FKQ140" s="422"/>
      <c r="FKR140" s="422"/>
      <c r="FKS140" s="422"/>
      <c r="FKT140" s="422"/>
      <c r="FKU140" s="422"/>
      <c r="FKV140" s="422"/>
      <c r="FKW140" s="422"/>
      <c r="FKX140" s="422"/>
      <c r="FKY140" s="422"/>
      <c r="FKZ140" s="422"/>
      <c r="FLA140" s="422"/>
      <c r="FLB140" s="422"/>
      <c r="FLC140" s="422"/>
      <c r="FLD140" s="422"/>
      <c r="FLE140" s="422"/>
      <c r="FLF140" s="422"/>
      <c r="FLG140" s="422"/>
      <c r="FLH140" s="422"/>
      <c r="FLI140" s="422"/>
      <c r="FLJ140" s="422"/>
      <c r="FLK140" s="422"/>
      <c r="FLL140" s="422"/>
      <c r="FLM140" s="422"/>
      <c r="FLN140" s="422"/>
      <c r="FLO140" s="422"/>
      <c r="FLP140" s="422"/>
      <c r="FLQ140" s="422"/>
      <c r="FLR140" s="422"/>
      <c r="FLS140" s="422"/>
      <c r="FLT140" s="422"/>
      <c r="FLU140" s="422"/>
      <c r="FLV140" s="422"/>
      <c r="FLW140" s="422"/>
      <c r="FLX140" s="422"/>
      <c r="FLY140" s="422"/>
      <c r="FLZ140" s="422"/>
      <c r="FMA140" s="422"/>
      <c r="FMB140" s="422"/>
      <c r="FMC140" s="422"/>
      <c r="FMD140" s="422"/>
      <c r="FME140" s="422"/>
      <c r="FMF140" s="422"/>
      <c r="FMG140" s="422"/>
      <c r="FMH140" s="422"/>
      <c r="FMI140" s="422"/>
      <c r="FMJ140" s="422"/>
      <c r="FMK140" s="422"/>
      <c r="FML140" s="422"/>
      <c r="FMM140" s="422"/>
      <c r="FMN140" s="422"/>
      <c r="FMO140" s="422"/>
      <c r="FMP140" s="422"/>
      <c r="FMQ140" s="422"/>
      <c r="FMR140" s="422"/>
      <c r="FMS140" s="422"/>
      <c r="FMT140" s="422"/>
      <c r="FMU140" s="422"/>
      <c r="FMV140" s="422"/>
      <c r="FMW140" s="422"/>
      <c r="FMX140" s="422"/>
      <c r="FMY140" s="422"/>
      <c r="FMZ140" s="422"/>
      <c r="FNA140" s="422"/>
      <c r="FNB140" s="422"/>
      <c r="FNC140" s="422"/>
      <c r="FND140" s="422"/>
      <c r="FNE140" s="422"/>
      <c r="FNF140" s="422"/>
      <c r="FNG140" s="422"/>
      <c r="FNH140" s="422"/>
      <c r="FNI140" s="422"/>
      <c r="FNJ140" s="422"/>
      <c r="FNK140" s="422"/>
      <c r="FNL140" s="422"/>
      <c r="FNM140" s="422"/>
      <c r="FNN140" s="422"/>
      <c r="FNO140" s="422"/>
      <c r="FNP140" s="422"/>
      <c r="FNQ140" s="422"/>
      <c r="FNR140" s="422"/>
      <c r="FNS140" s="422"/>
      <c r="FNT140" s="422"/>
      <c r="FNU140" s="422"/>
      <c r="FNV140" s="422"/>
      <c r="FNW140" s="422"/>
      <c r="FNX140" s="422"/>
      <c r="FNY140" s="422"/>
      <c r="FNZ140" s="422"/>
      <c r="FOA140" s="422"/>
      <c r="FOB140" s="422"/>
      <c r="FOC140" s="422"/>
      <c r="FOD140" s="422"/>
      <c r="FOE140" s="422"/>
      <c r="FOF140" s="422"/>
      <c r="FOG140" s="422"/>
      <c r="FOH140" s="422"/>
      <c r="FOI140" s="422"/>
      <c r="FOJ140" s="422"/>
      <c r="FOK140" s="422"/>
      <c r="FOL140" s="422"/>
      <c r="FOM140" s="422"/>
      <c r="FON140" s="422"/>
      <c r="FOO140" s="422"/>
      <c r="FOP140" s="422"/>
      <c r="FOQ140" s="422"/>
      <c r="FOR140" s="422"/>
      <c r="FOS140" s="422"/>
      <c r="FOT140" s="422"/>
      <c r="FOU140" s="422"/>
      <c r="FOV140" s="422"/>
      <c r="FOW140" s="422"/>
      <c r="FOX140" s="422"/>
      <c r="FOY140" s="422"/>
      <c r="FOZ140" s="422"/>
      <c r="FPA140" s="422"/>
      <c r="FPB140" s="422"/>
      <c r="FPC140" s="422"/>
      <c r="FPD140" s="422"/>
      <c r="FPE140" s="422"/>
      <c r="FPF140" s="422"/>
      <c r="FPG140" s="422"/>
      <c r="FPH140" s="422"/>
      <c r="FPI140" s="422"/>
      <c r="FPJ140" s="422"/>
      <c r="FPK140" s="422"/>
      <c r="FPL140" s="422"/>
      <c r="FPM140" s="422"/>
      <c r="FPN140" s="422"/>
      <c r="FPO140" s="422"/>
      <c r="FPP140" s="422"/>
      <c r="FPQ140" s="422"/>
      <c r="FPR140" s="422"/>
      <c r="FPS140" s="422"/>
      <c r="FPT140" s="422"/>
      <c r="FPU140" s="422"/>
      <c r="FPV140" s="422"/>
      <c r="FPW140" s="422"/>
      <c r="FPX140" s="422"/>
      <c r="FPY140" s="422"/>
      <c r="FPZ140" s="422"/>
      <c r="FQA140" s="422"/>
      <c r="FQB140" s="422"/>
      <c r="FQC140" s="422"/>
      <c r="FQD140" s="422"/>
      <c r="FQE140" s="422"/>
      <c r="FQF140" s="422"/>
      <c r="FQG140" s="422"/>
      <c r="FQH140" s="422"/>
      <c r="FQI140" s="422"/>
      <c r="FQJ140" s="422"/>
      <c r="FQK140" s="422"/>
      <c r="FQL140" s="422"/>
      <c r="FQM140" s="422"/>
      <c r="FQN140" s="422"/>
      <c r="FQO140" s="422"/>
      <c r="FQP140" s="422"/>
      <c r="FQQ140" s="422"/>
      <c r="FQR140" s="422"/>
      <c r="FQS140" s="422"/>
      <c r="FQT140" s="422"/>
      <c r="FQU140" s="422"/>
      <c r="FQV140" s="422"/>
      <c r="FQW140" s="422"/>
      <c r="FQX140" s="422"/>
      <c r="FQY140" s="422"/>
      <c r="FQZ140" s="422"/>
      <c r="FRA140" s="422"/>
      <c r="FRB140" s="422"/>
      <c r="FRC140" s="422"/>
      <c r="FRD140" s="422"/>
      <c r="FRE140" s="422"/>
      <c r="FRF140" s="422"/>
      <c r="FRG140" s="422"/>
      <c r="FRH140" s="422"/>
      <c r="FRI140" s="422"/>
      <c r="FRJ140" s="422"/>
      <c r="FRK140" s="422"/>
      <c r="FRL140" s="422"/>
      <c r="FRM140" s="422"/>
      <c r="FRN140" s="422"/>
      <c r="FRO140" s="422"/>
      <c r="FRP140" s="422"/>
      <c r="FRQ140" s="422"/>
      <c r="FRR140" s="422"/>
      <c r="FRS140" s="422"/>
      <c r="FRT140" s="422"/>
      <c r="FRU140" s="422"/>
      <c r="FRV140" s="422"/>
      <c r="FRW140" s="422"/>
      <c r="FRX140" s="422"/>
      <c r="FRY140" s="422"/>
      <c r="FRZ140" s="422"/>
      <c r="FSA140" s="422"/>
      <c r="FSB140" s="422"/>
      <c r="FSC140" s="422"/>
      <c r="FSD140" s="422"/>
      <c r="FSE140" s="422"/>
      <c r="FSF140" s="422"/>
      <c r="FSG140" s="422"/>
      <c r="FSH140" s="422"/>
      <c r="FSI140" s="422"/>
      <c r="FSJ140" s="422"/>
      <c r="FSK140" s="422"/>
      <c r="FSL140" s="422"/>
      <c r="FSM140" s="422"/>
      <c r="FSN140" s="422"/>
      <c r="FSO140" s="422"/>
      <c r="FSP140" s="422"/>
      <c r="FSQ140" s="422"/>
      <c r="FSR140" s="422"/>
      <c r="FSS140" s="422"/>
      <c r="FST140" s="422"/>
      <c r="FSU140" s="422"/>
      <c r="FSV140" s="422"/>
      <c r="FSW140" s="422"/>
      <c r="FSX140" s="422"/>
      <c r="FSY140" s="422"/>
      <c r="FSZ140" s="422"/>
      <c r="FTA140" s="422"/>
      <c r="FTB140" s="422"/>
      <c r="FTC140" s="422"/>
      <c r="FTD140" s="422"/>
      <c r="FTE140" s="422"/>
      <c r="FTF140" s="422"/>
      <c r="FTG140" s="422"/>
      <c r="FTH140" s="422"/>
      <c r="FTI140" s="422"/>
      <c r="FTJ140" s="422"/>
      <c r="FTK140" s="422"/>
      <c r="FTL140" s="422"/>
      <c r="FTM140" s="422"/>
      <c r="FTN140" s="422"/>
      <c r="FTO140" s="422"/>
      <c r="FTP140" s="422"/>
      <c r="FTQ140" s="422"/>
      <c r="FTR140" s="422"/>
      <c r="FTS140" s="422"/>
      <c r="FTT140" s="422"/>
      <c r="FTU140" s="422"/>
      <c r="FTV140" s="422"/>
      <c r="FTW140" s="422"/>
      <c r="FTX140" s="422"/>
      <c r="FTY140" s="422"/>
      <c r="FTZ140" s="422"/>
      <c r="FUA140" s="422"/>
      <c r="FUB140" s="422"/>
      <c r="FUC140" s="422"/>
      <c r="FUD140" s="422"/>
      <c r="FUE140" s="422"/>
      <c r="FUF140" s="422"/>
      <c r="FUG140" s="422"/>
      <c r="FUH140" s="422"/>
      <c r="FUI140" s="422"/>
      <c r="FUJ140" s="422"/>
      <c r="FUK140" s="422"/>
      <c r="FUL140" s="422"/>
      <c r="FUM140" s="422"/>
      <c r="FUN140" s="422"/>
      <c r="FUO140" s="422"/>
      <c r="FUP140" s="422"/>
      <c r="FUQ140" s="422"/>
      <c r="FUR140" s="422"/>
      <c r="FUS140" s="422"/>
      <c r="FUT140" s="422"/>
      <c r="FUU140" s="422"/>
      <c r="FUV140" s="422"/>
      <c r="FUW140" s="422"/>
      <c r="FUX140" s="422"/>
      <c r="FUY140" s="422"/>
      <c r="FUZ140" s="422"/>
      <c r="FVA140" s="422"/>
      <c r="FVB140" s="422"/>
      <c r="FVC140" s="422"/>
      <c r="FVD140" s="422"/>
      <c r="FVE140" s="422"/>
      <c r="FVF140" s="422"/>
      <c r="FVG140" s="422"/>
      <c r="FVH140" s="422"/>
      <c r="FVI140" s="422"/>
      <c r="FVJ140" s="422"/>
      <c r="FVK140" s="422"/>
      <c r="FVL140" s="422"/>
      <c r="FVM140" s="422"/>
      <c r="FVN140" s="422"/>
      <c r="FVO140" s="422"/>
      <c r="FVP140" s="422"/>
      <c r="FVQ140" s="422"/>
      <c r="FVR140" s="422"/>
      <c r="FVS140" s="422"/>
      <c r="FVT140" s="422"/>
      <c r="FVU140" s="422"/>
      <c r="FVV140" s="422"/>
      <c r="FVW140" s="422"/>
      <c r="FVX140" s="422"/>
      <c r="FVY140" s="422"/>
      <c r="FVZ140" s="422"/>
      <c r="FWA140" s="422"/>
      <c r="FWB140" s="422"/>
      <c r="FWC140" s="422"/>
      <c r="FWD140" s="422"/>
      <c r="FWE140" s="422"/>
      <c r="FWF140" s="422"/>
      <c r="FWG140" s="422"/>
      <c r="FWH140" s="422"/>
      <c r="FWI140" s="422"/>
      <c r="FWJ140" s="422"/>
      <c r="FWK140" s="422"/>
      <c r="FWL140" s="422"/>
      <c r="FWM140" s="422"/>
      <c r="FWN140" s="422"/>
      <c r="FWO140" s="422"/>
      <c r="FWP140" s="422"/>
      <c r="FWQ140" s="422"/>
      <c r="FWR140" s="422"/>
      <c r="FWS140" s="422"/>
      <c r="FWT140" s="422"/>
      <c r="FWU140" s="422"/>
      <c r="FWV140" s="422"/>
      <c r="FWW140" s="422"/>
      <c r="FWX140" s="422"/>
      <c r="FWY140" s="422"/>
      <c r="FWZ140" s="422"/>
      <c r="FXA140" s="422"/>
      <c r="FXB140" s="422"/>
      <c r="FXC140" s="422"/>
      <c r="FXD140" s="422"/>
      <c r="FXE140" s="422"/>
      <c r="FXF140" s="422"/>
      <c r="FXG140" s="422"/>
      <c r="FXH140" s="422"/>
      <c r="FXI140" s="422"/>
      <c r="FXJ140" s="422"/>
      <c r="FXK140" s="422"/>
      <c r="FXL140" s="422"/>
      <c r="FXM140" s="422"/>
      <c r="FXN140" s="422"/>
      <c r="FXO140" s="422"/>
      <c r="FXP140" s="422"/>
      <c r="FXQ140" s="422"/>
      <c r="FXR140" s="422"/>
      <c r="FXS140" s="422"/>
      <c r="FXT140" s="422"/>
      <c r="FXU140" s="422"/>
      <c r="FXV140" s="422"/>
      <c r="FXW140" s="422"/>
      <c r="FXX140" s="422"/>
      <c r="FXY140" s="422"/>
      <c r="FXZ140" s="422"/>
      <c r="FYA140" s="422"/>
      <c r="FYB140" s="422"/>
      <c r="FYC140" s="422"/>
      <c r="FYD140" s="422"/>
      <c r="FYE140" s="422"/>
      <c r="FYF140" s="422"/>
      <c r="FYG140" s="422"/>
      <c r="FYH140" s="422"/>
      <c r="FYI140" s="422"/>
      <c r="FYJ140" s="422"/>
      <c r="FYK140" s="422"/>
      <c r="FYL140" s="422"/>
      <c r="FYM140" s="422"/>
      <c r="FYN140" s="422"/>
      <c r="FYO140" s="422"/>
      <c r="FYP140" s="422"/>
      <c r="FYQ140" s="422"/>
      <c r="FYR140" s="422"/>
      <c r="FYS140" s="422"/>
      <c r="FYT140" s="422"/>
      <c r="FYU140" s="422"/>
      <c r="FYV140" s="422"/>
      <c r="FYW140" s="422"/>
      <c r="FYX140" s="422"/>
      <c r="FYY140" s="422"/>
      <c r="FYZ140" s="422"/>
      <c r="FZA140" s="422"/>
      <c r="FZB140" s="422"/>
      <c r="FZC140" s="422"/>
      <c r="FZD140" s="422"/>
      <c r="FZE140" s="422"/>
      <c r="FZF140" s="422"/>
      <c r="FZG140" s="422"/>
      <c r="FZH140" s="422"/>
      <c r="FZI140" s="422"/>
      <c r="FZJ140" s="422"/>
      <c r="FZK140" s="422"/>
      <c r="FZL140" s="422"/>
      <c r="FZM140" s="422"/>
      <c r="FZN140" s="422"/>
      <c r="FZO140" s="422"/>
      <c r="FZP140" s="422"/>
      <c r="FZQ140" s="422"/>
      <c r="FZR140" s="422"/>
      <c r="FZS140" s="422"/>
      <c r="FZT140" s="422"/>
      <c r="FZU140" s="422"/>
      <c r="FZV140" s="422"/>
      <c r="FZW140" s="422"/>
      <c r="FZX140" s="422"/>
      <c r="FZY140" s="422"/>
      <c r="FZZ140" s="422"/>
      <c r="GAA140" s="422"/>
      <c r="GAB140" s="422"/>
      <c r="GAC140" s="422"/>
      <c r="GAD140" s="422"/>
      <c r="GAE140" s="422"/>
      <c r="GAF140" s="422"/>
      <c r="GAG140" s="422"/>
      <c r="GAH140" s="422"/>
      <c r="GAI140" s="422"/>
      <c r="GAJ140" s="422"/>
      <c r="GAK140" s="422"/>
      <c r="GAL140" s="422"/>
      <c r="GAM140" s="422"/>
      <c r="GAN140" s="422"/>
      <c r="GAO140" s="422"/>
      <c r="GAP140" s="422"/>
      <c r="GAQ140" s="422"/>
      <c r="GAR140" s="422"/>
      <c r="GAS140" s="422"/>
      <c r="GAT140" s="422"/>
      <c r="GAU140" s="422"/>
      <c r="GAV140" s="422"/>
      <c r="GAW140" s="422"/>
      <c r="GAX140" s="422"/>
      <c r="GAY140" s="422"/>
      <c r="GAZ140" s="422"/>
      <c r="GBA140" s="422"/>
      <c r="GBB140" s="422"/>
      <c r="GBC140" s="422"/>
      <c r="GBD140" s="422"/>
      <c r="GBE140" s="422"/>
      <c r="GBF140" s="422"/>
      <c r="GBG140" s="422"/>
      <c r="GBH140" s="422"/>
      <c r="GBI140" s="422"/>
      <c r="GBJ140" s="422"/>
      <c r="GBK140" s="422"/>
      <c r="GBL140" s="422"/>
      <c r="GBM140" s="422"/>
      <c r="GBN140" s="422"/>
      <c r="GBO140" s="422"/>
      <c r="GBP140" s="422"/>
      <c r="GBQ140" s="422"/>
      <c r="GBR140" s="422"/>
      <c r="GBS140" s="422"/>
      <c r="GBT140" s="422"/>
      <c r="GBU140" s="422"/>
      <c r="GBV140" s="422"/>
      <c r="GBW140" s="422"/>
      <c r="GBX140" s="422"/>
      <c r="GBY140" s="422"/>
      <c r="GBZ140" s="422"/>
      <c r="GCA140" s="422"/>
      <c r="GCB140" s="422"/>
      <c r="GCC140" s="422"/>
      <c r="GCD140" s="422"/>
      <c r="GCE140" s="422"/>
      <c r="GCF140" s="422"/>
      <c r="GCG140" s="422"/>
      <c r="GCH140" s="422"/>
      <c r="GCI140" s="422"/>
      <c r="GCJ140" s="422"/>
      <c r="GCK140" s="422"/>
      <c r="GCL140" s="422"/>
      <c r="GCM140" s="422"/>
      <c r="GCN140" s="422"/>
      <c r="GCO140" s="422"/>
      <c r="GCP140" s="422"/>
      <c r="GCQ140" s="422"/>
      <c r="GCR140" s="422"/>
      <c r="GCS140" s="422"/>
      <c r="GCT140" s="422"/>
      <c r="GCU140" s="422"/>
      <c r="GCV140" s="422"/>
      <c r="GCW140" s="422"/>
      <c r="GCX140" s="422"/>
      <c r="GCY140" s="422"/>
      <c r="GCZ140" s="422"/>
      <c r="GDA140" s="422"/>
      <c r="GDB140" s="422"/>
      <c r="GDC140" s="422"/>
      <c r="GDD140" s="422"/>
      <c r="GDE140" s="422"/>
      <c r="GDF140" s="422"/>
      <c r="GDG140" s="422"/>
      <c r="GDH140" s="422"/>
      <c r="GDI140" s="422"/>
      <c r="GDJ140" s="422"/>
      <c r="GDK140" s="422"/>
      <c r="GDL140" s="422"/>
      <c r="GDM140" s="422"/>
      <c r="GDN140" s="422"/>
      <c r="GDO140" s="422"/>
      <c r="GDP140" s="422"/>
      <c r="GDQ140" s="422"/>
      <c r="GDR140" s="422"/>
      <c r="GDS140" s="422"/>
      <c r="GDT140" s="422"/>
      <c r="GDU140" s="422"/>
      <c r="GDV140" s="422"/>
      <c r="GDW140" s="422"/>
      <c r="GDX140" s="422"/>
      <c r="GDY140" s="422"/>
      <c r="GDZ140" s="422"/>
      <c r="GEA140" s="422"/>
      <c r="GEB140" s="422"/>
      <c r="GEC140" s="422"/>
      <c r="GED140" s="422"/>
      <c r="GEE140" s="422"/>
      <c r="GEF140" s="422"/>
      <c r="GEG140" s="422"/>
      <c r="GEH140" s="422"/>
      <c r="GEI140" s="422"/>
      <c r="GEJ140" s="422"/>
      <c r="GEK140" s="422"/>
      <c r="GEL140" s="422"/>
      <c r="GEM140" s="422"/>
      <c r="GEN140" s="422"/>
      <c r="GEO140" s="422"/>
      <c r="GEP140" s="422"/>
      <c r="GEQ140" s="422"/>
      <c r="GER140" s="422"/>
      <c r="GES140" s="422"/>
      <c r="GET140" s="422"/>
      <c r="GEU140" s="422"/>
      <c r="GEV140" s="422"/>
      <c r="GEW140" s="422"/>
      <c r="GEX140" s="422"/>
      <c r="GEY140" s="422"/>
      <c r="GEZ140" s="422"/>
      <c r="GFA140" s="422"/>
      <c r="GFB140" s="422"/>
      <c r="GFC140" s="422"/>
      <c r="GFD140" s="422"/>
      <c r="GFE140" s="422"/>
      <c r="GFF140" s="422"/>
      <c r="GFG140" s="422"/>
      <c r="GFH140" s="422"/>
      <c r="GFI140" s="422"/>
      <c r="GFJ140" s="422"/>
      <c r="GFK140" s="422"/>
      <c r="GFL140" s="422"/>
      <c r="GFM140" s="422"/>
      <c r="GFN140" s="422"/>
      <c r="GFO140" s="422"/>
      <c r="GFP140" s="422"/>
      <c r="GFQ140" s="422"/>
      <c r="GFR140" s="422"/>
      <c r="GFS140" s="422"/>
      <c r="GFT140" s="422"/>
      <c r="GFU140" s="422"/>
      <c r="GFV140" s="422"/>
      <c r="GFW140" s="422"/>
      <c r="GFX140" s="422"/>
      <c r="GFY140" s="422"/>
      <c r="GFZ140" s="422"/>
      <c r="GGA140" s="422"/>
      <c r="GGB140" s="422"/>
      <c r="GGC140" s="422"/>
      <c r="GGD140" s="422"/>
      <c r="GGE140" s="422"/>
      <c r="GGF140" s="422"/>
      <c r="GGG140" s="422"/>
      <c r="GGH140" s="422"/>
      <c r="GGI140" s="422"/>
      <c r="GGJ140" s="422"/>
      <c r="GGK140" s="422"/>
      <c r="GGL140" s="422"/>
      <c r="GGM140" s="422"/>
      <c r="GGN140" s="422"/>
      <c r="GGO140" s="422"/>
      <c r="GGP140" s="422"/>
      <c r="GGQ140" s="422"/>
      <c r="GGR140" s="422"/>
      <c r="GGS140" s="422"/>
      <c r="GGT140" s="422"/>
      <c r="GGU140" s="422"/>
      <c r="GGV140" s="422"/>
      <c r="GGW140" s="422"/>
      <c r="GGX140" s="422"/>
      <c r="GGY140" s="422"/>
      <c r="GGZ140" s="422"/>
      <c r="GHA140" s="422"/>
      <c r="GHB140" s="422"/>
      <c r="GHC140" s="422"/>
      <c r="GHD140" s="422"/>
      <c r="GHE140" s="422"/>
      <c r="GHF140" s="422"/>
      <c r="GHG140" s="422"/>
      <c r="GHH140" s="422"/>
      <c r="GHI140" s="422"/>
      <c r="GHJ140" s="422"/>
      <c r="GHK140" s="422"/>
      <c r="GHL140" s="422"/>
      <c r="GHM140" s="422"/>
      <c r="GHN140" s="422"/>
      <c r="GHO140" s="422"/>
      <c r="GHP140" s="422"/>
      <c r="GHQ140" s="422"/>
      <c r="GHR140" s="422"/>
      <c r="GHS140" s="422"/>
      <c r="GHT140" s="422"/>
      <c r="GHU140" s="422"/>
      <c r="GHV140" s="422"/>
      <c r="GHW140" s="422"/>
      <c r="GHX140" s="422"/>
      <c r="GHY140" s="422"/>
      <c r="GHZ140" s="422"/>
      <c r="GIA140" s="422"/>
      <c r="GIB140" s="422"/>
      <c r="GIC140" s="422"/>
      <c r="GID140" s="422"/>
      <c r="GIE140" s="422"/>
      <c r="GIF140" s="422"/>
      <c r="GIG140" s="422"/>
      <c r="GIH140" s="422"/>
      <c r="GII140" s="422"/>
      <c r="GIJ140" s="422"/>
      <c r="GIK140" s="422"/>
      <c r="GIL140" s="422"/>
      <c r="GIM140" s="422"/>
      <c r="GIN140" s="422"/>
      <c r="GIO140" s="422"/>
      <c r="GIP140" s="422"/>
      <c r="GIQ140" s="422"/>
      <c r="GIR140" s="422"/>
      <c r="GIS140" s="422"/>
      <c r="GIT140" s="422"/>
      <c r="GIU140" s="422"/>
      <c r="GIV140" s="422"/>
      <c r="GIW140" s="422"/>
      <c r="GIX140" s="422"/>
      <c r="GIY140" s="422"/>
      <c r="GIZ140" s="422"/>
      <c r="GJA140" s="422"/>
      <c r="GJB140" s="422"/>
      <c r="GJC140" s="422"/>
      <c r="GJD140" s="422"/>
      <c r="GJE140" s="422"/>
      <c r="GJF140" s="422"/>
      <c r="GJG140" s="422"/>
      <c r="GJH140" s="422"/>
      <c r="GJI140" s="422"/>
      <c r="GJJ140" s="422"/>
      <c r="GJK140" s="422"/>
      <c r="GJL140" s="422"/>
      <c r="GJM140" s="422"/>
      <c r="GJN140" s="422"/>
      <c r="GJO140" s="422"/>
      <c r="GJP140" s="422"/>
      <c r="GJQ140" s="422"/>
      <c r="GJR140" s="422"/>
      <c r="GJS140" s="422"/>
      <c r="GJT140" s="422"/>
      <c r="GJU140" s="422"/>
      <c r="GJV140" s="422"/>
      <c r="GJW140" s="422"/>
      <c r="GJX140" s="422"/>
      <c r="GJY140" s="422"/>
      <c r="GJZ140" s="422"/>
      <c r="GKA140" s="422"/>
      <c r="GKB140" s="422"/>
      <c r="GKC140" s="422"/>
      <c r="GKD140" s="422"/>
      <c r="GKE140" s="422"/>
      <c r="GKF140" s="422"/>
      <c r="GKG140" s="422"/>
      <c r="GKH140" s="422"/>
      <c r="GKI140" s="422"/>
      <c r="GKJ140" s="422"/>
      <c r="GKK140" s="422"/>
      <c r="GKL140" s="422"/>
      <c r="GKM140" s="422"/>
      <c r="GKN140" s="422"/>
      <c r="GKO140" s="422"/>
      <c r="GKP140" s="422"/>
      <c r="GKQ140" s="422"/>
      <c r="GKR140" s="422"/>
      <c r="GKS140" s="422"/>
      <c r="GKT140" s="422"/>
      <c r="GKU140" s="422"/>
      <c r="GKV140" s="422"/>
      <c r="GKW140" s="422"/>
      <c r="GKX140" s="422"/>
      <c r="GKY140" s="422"/>
      <c r="GKZ140" s="422"/>
      <c r="GLA140" s="422"/>
      <c r="GLB140" s="422"/>
      <c r="GLC140" s="422"/>
      <c r="GLD140" s="422"/>
      <c r="GLE140" s="422"/>
      <c r="GLF140" s="422"/>
      <c r="GLG140" s="422"/>
      <c r="GLH140" s="422"/>
      <c r="GLI140" s="422"/>
      <c r="GLJ140" s="422"/>
      <c r="GLK140" s="422"/>
      <c r="GLL140" s="422"/>
      <c r="GLM140" s="422"/>
      <c r="GLN140" s="422"/>
      <c r="GLO140" s="422"/>
      <c r="GLP140" s="422"/>
      <c r="GLQ140" s="422"/>
      <c r="GLR140" s="422"/>
      <c r="GLS140" s="422"/>
      <c r="GLT140" s="422"/>
      <c r="GLU140" s="422"/>
      <c r="GLV140" s="422"/>
      <c r="GLW140" s="422"/>
      <c r="GLX140" s="422"/>
      <c r="GLY140" s="422"/>
      <c r="GLZ140" s="422"/>
      <c r="GMA140" s="422"/>
      <c r="GMB140" s="422"/>
      <c r="GMC140" s="422"/>
      <c r="GMD140" s="422"/>
      <c r="GME140" s="422"/>
      <c r="GMF140" s="422"/>
      <c r="GMG140" s="422"/>
      <c r="GMH140" s="422"/>
      <c r="GMI140" s="422"/>
      <c r="GMJ140" s="422"/>
      <c r="GMK140" s="422"/>
      <c r="GML140" s="422"/>
      <c r="GMM140" s="422"/>
      <c r="GMN140" s="422"/>
      <c r="GMO140" s="422"/>
      <c r="GMP140" s="422"/>
      <c r="GMQ140" s="422"/>
      <c r="GMR140" s="422"/>
      <c r="GMS140" s="422"/>
      <c r="GMT140" s="422"/>
      <c r="GMU140" s="422"/>
      <c r="GMV140" s="422"/>
      <c r="GMW140" s="422"/>
      <c r="GMX140" s="422"/>
      <c r="GMY140" s="422"/>
      <c r="GMZ140" s="422"/>
      <c r="GNA140" s="422"/>
      <c r="GNB140" s="422"/>
      <c r="GNC140" s="422"/>
      <c r="GND140" s="422"/>
      <c r="GNE140" s="422"/>
      <c r="GNF140" s="422"/>
      <c r="GNG140" s="422"/>
      <c r="GNH140" s="422"/>
      <c r="GNI140" s="422"/>
      <c r="GNJ140" s="422"/>
      <c r="GNK140" s="422"/>
      <c r="GNL140" s="422"/>
      <c r="GNM140" s="422"/>
      <c r="GNN140" s="422"/>
      <c r="GNO140" s="422"/>
      <c r="GNP140" s="422"/>
      <c r="GNQ140" s="422"/>
      <c r="GNR140" s="422"/>
      <c r="GNS140" s="422"/>
      <c r="GNT140" s="422"/>
      <c r="GNU140" s="422"/>
      <c r="GNV140" s="422"/>
      <c r="GNW140" s="422"/>
      <c r="GNX140" s="422"/>
      <c r="GNY140" s="422"/>
      <c r="GNZ140" s="422"/>
      <c r="GOA140" s="422"/>
      <c r="GOB140" s="422"/>
      <c r="GOC140" s="422"/>
      <c r="GOD140" s="422"/>
      <c r="GOE140" s="422"/>
      <c r="GOF140" s="422"/>
      <c r="GOG140" s="422"/>
      <c r="GOH140" s="422"/>
      <c r="GOI140" s="422"/>
      <c r="GOJ140" s="422"/>
      <c r="GOK140" s="422"/>
      <c r="GOL140" s="422"/>
      <c r="GOM140" s="422"/>
      <c r="GON140" s="422"/>
      <c r="GOO140" s="422"/>
      <c r="GOP140" s="422"/>
      <c r="GOQ140" s="422"/>
      <c r="GOR140" s="422"/>
      <c r="GOS140" s="422"/>
      <c r="GOT140" s="422"/>
      <c r="GOU140" s="422"/>
      <c r="GOV140" s="422"/>
      <c r="GOW140" s="422"/>
      <c r="GOX140" s="422"/>
      <c r="GOY140" s="422"/>
      <c r="GOZ140" s="422"/>
      <c r="GPA140" s="422"/>
      <c r="GPB140" s="422"/>
      <c r="GPC140" s="422"/>
      <c r="GPD140" s="422"/>
      <c r="GPE140" s="422"/>
      <c r="GPF140" s="422"/>
      <c r="GPG140" s="422"/>
      <c r="GPH140" s="422"/>
      <c r="GPI140" s="422"/>
      <c r="GPJ140" s="422"/>
      <c r="GPK140" s="422"/>
      <c r="GPL140" s="422"/>
      <c r="GPM140" s="422"/>
      <c r="GPN140" s="422"/>
      <c r="GPO140" s="422"/>
      <c r="GPP140" s="422"/>
      <c r="GPQ140" s="422"/>
      <c r="GPR140" s="422"/>
      <c r="GPS140" s="422"/>
      <c r="GPT140" s="422"/>
      <c r="GPU140" s="422"/>
      <c r="GPV140" s="422"/>
      <c r="GPW140" s="422"/>
      <c r="GPX140" s="422"/>
      <c r="GPY140" s="422"/>
      <c r="GPZ140" s="422"/>
      <c r="GQA140" s="422"/>
      <c r="GQB140" s="422"/>
      <c r="GQC140" s="422"/>
      <c r="GQD140" s="422"/>
      <c r="GQE140" s="422"/>
      <c r="GQF140" s="422"/>
      <c r="GQG140" s="422"/>
      <c r="GQH140" s="422"/>
      <c r="GQI140" s="422"/>
      <c r="GQJ140" s="422"/>
      <c r="GQK140" s="422"/>
      <c r="GQL140" s="422"/>
      <c r="GQM140" s="422"/>
      <c r="GQN140" s="422"/>
      <c r="GQO140" s="422"/>
      <c r="GQP140" s="422"/>
      <c r="GQQ140" s="422"/>
      <c r="GQR140" s="422"/>
      <c r="GQS140" s="422"/>
      <c r="GQT140" s="422"/>
      <c r="GQU140" s="422"/>
      <c r="GQV140" s="422"/>
      <c r="GQW140" s="422"/>
      <c r="GQX140" s="422"/>
      <c r="GQY140" s="422"/>
      <c r="GQZ140" s="422"/>
      <c r="GRA140" s="422"/>
      <c r="GRB140" s="422"/>
      <c r="GRC140" s="422"/>
      <c r="GRD140" s="422"/>
      <c r="GRE140" s="422"/>
      <c r="GRF140" s="422"/>
      <c r="GRG140" s="422"/>
      <c r="GRH140" s="422"/>
      <c r="GRI140" s="422"/>
      <c r="GRJ140" s="422"/>
      <c r="GRK140" s="422"/>
      <c r="GRL140" s="422"/>
      <c r="GRM140" s="422"/>
      <c r="GRN140" s="422"/>
      <c r="GRO140" s="422"/>
      <c r="GRP140" s="422"/>
      <c r="GRQ140" s="422"/>
      <c r="GRR140" s="422"/>
      <c r="GRS140" s="422"/>
      <c r="GRT140" s="422"/>
      <c r="GRU140" s="422"/>
      <c r="GRV140" s="422"/>
      <c r="GRW140" s="422"/>
      <c r="GRX140" s="422"/>
      <c r="GRY140" s="422"/>
      <c r="GRZ140" s="422"/>
      <c r="GSA140" s="422"/>
      <c r="GSB140" s="422"/>
      <c r="GSC140" s="422"/>
      <c r="GSD140" s="422"/>
      <c r="GSE140" s="422"/>
      <c r="GSF140" s="422"/>
      <c r="GSG140" s="422"/>
      <c r="GSH140" s="422"/>
      <c r="GSI140" s="422"/>
      <c r="GSJ140" s="422"/>
      <c r="GSK140" s="422"/>
      <c r="GSL140" s="422"/>
      <c r="GSM140" s="422"/>
      <c r="GSN140" s="422"/>
      <c r="GSO140" s="422"/>
      <c r="GSP140" s="422"/>
      <c r="GSQ140" s="422"/>
      <c r="GSR140" s="422"/>
      <c r="GSS140" s="422"/>
      <c r="GST140" s="422"/>
      <c r="GSU140" s="422"/>
      <c r="GSV140" s="422"/>
      <c r="GSW140" s="422"/>
      <c r="GSX140" s="422"/>
      <c r="GSY140" s="422"/>
      <c r="GSZ140" s="422"/>
      <c r="GTA140" s="422"/>
      <c r="GTB140" s="422"/>
      <c r="GTC140" s="422"/>
      <c r="GTD140" s="422"/>
      <c r="GTE140" s="422"/>
      <c r="GTF140" s="422"/>
      <c r="GTG140" s="422"/>
      <c r="GTH140" s="422"/>
      <c r="GTI140" s="422"/>
      <c r="GTJ140" s="422"/>
      <c r="GTK140" s="422"/>
      <c r="GTL140" s="422"/>
      <c r="GTM140" s="422"/>
      <c r="GTN140" s="422"/>
      <c r="GTO140" s="422"/>
      <c r="GTP140" s="422"/>
      <c r="GTQ140" s="422"/>
      <c r="GTR140" s="422"/>
      <c r="GTS140" s="422"/>
      <c r="GTT140" s="422"/>
      <c r="GTU140" s="422"/>
      <c r="GTV140" s="422"/>
      <c r="GTW140" s="422"/>
      <c r="GTX140" s="422"/>
      <c r="GTY140" s="422"/>
      <c r="GTZ140" s="422"/>
      <c r="GUA140" s="422"/>
      <c r="GUB140" s="422"/>
      <c r="GUC140" s="422"/>
      <c r="GUD140" s="422"/>
      <c r="GUE140" s="422"/>
      <c r="GUF140" s="422"/>
      <c r="GUG140" s="422"/>
      <c r="GUH140" s="422"/>
      <c r="GUI140" s="422"/>
      <c r="GUJ140" s="422"/>
      <c r="GUK140" s="422"/>
      <c r="GUL140" s="422"/>
      <c r="GUM140" s="422"/>
      <c r="GUN140" s="422"/>
      <c r="GUO140" s="422"/>
      <c r="GUP140" s="422"/>
      <c r="GUQ140" s="422"/>
      <c r="GUR140" s="422"/>
      <c r="GUS140" s="422"/>
      <c r="GUT140" s="422"/>
      <c r="GUU140" s="422"/>
      <c r="GUV140" s="422"/>
      <c r="GUW140" s="422"/>
      <c r="GUX140" s="422"/>
      <c r="GUY140" s="422"/>
      <c r="GUZ140" s="422"/>
      <c r="GVA140" s="422"/>
      <c r="GVB140" s="422"/>
      <c r="GVC140" s="422"/>
      <c r="GVD140" s="422"/>
      <c r="GVE140" s="422"/>
      <c r="GVF140" s="422"/>
      <c r="GVG140" s="422"/>
      <c r="GVH140" s="422"/>
      <c r="GVI140" s="422"/>
      <c r="GVJ140" s="422"/>
      <c r="GVK140" s="422"/>
      <c r="GVL140" s="422"/>
      <c r="GVM140" s="422"/>
      <c r="GVN140" s="422"/>
      <c r="GVO140" s="422"/>
      <c r="GVP140" s="422"/>
      <c r="GVQ140" s="422"/>
      <c r="GVR140" s="422"/>
      <c r="GVS140" s="422"/>
      <c r="GVT140" s="422"/>
      <c r="GVU140" s="422"/>
      <c r="GVV140" s="422"/>
      <c r="GVW140" s="422"/>
      <c r="GVX140" s="422"/>
      <c r="GVY140" s="422"/>
      <c r="GVZ140" s="422"/>
      <c r="GWA140" s="422"/>
      <c r="GWB140" s="422"/>
      <c r="GWC140" s="422"/>
      <c r="GWD140" s="422"/>
      <c r="GWE140" s="422"/>
      <c r="GWF140" s="422"/>
      <c r="GWG140" s="422"/>
      <c r="GWH140" s="422"/>
      <c r="GWI140" s="422"/>
      <c r="GWJ140" s="422"/>
      <c r="GWK140" s="422"/>
      <c r="GWL140" s="422"/>
      <c r="GWM140" s="422"/>
      <c r="GWN140" s="422"/>
      <c r="GWO140" s="422"/>
      <c r="GWP140" s="422"/>
      <c r="GWQ140" s="422"/>
      <c r="GWR140" s="422"/>
      <c r="GWS140" s="422"/>
      <c r="GWT140" s="422"/>
      <c r="GWU140" s="422"/>
      <c r="GWV140" s="422"/>
      <c r="GWW140" s="422"/>
      <c r="GWX140" s="422"/>
      <c r="GWY140" s="422"/>
      <c r="GWZ140" s="422"/>
      <c r="GXA140" s="422"/>
      <c r="GXB140" s="422"/>
      <c r="GXC140" s="422"/>
      <c r="GXD140" s="422"/>
      <c r="GXE140" s="422"/>
      <c r="GXF140" s="422"/>
      <c r="GXG140" s="422"/>
      <c r="GXH140" s="422"/>
      <c r="GXI140" s="422"/>
      <c r="GXJ140" s="422"/>
      <c r="GXK140" s="422"/>
      <c r="GXL140" s="422"/>
      <c r="GXM140" s="422"/>
      <c r="GXN140" s="422"/>
      <c r="GXO140" s="422"/>
      <c r="GXP140" s="422"/>
      <c r="GXQ140" s="422"/>
      <c r="GXR140" s="422"/>
      <c r="GXS140" s="422"/>
      <c r="GXT140" s="422"/>
      <c r="GXU140" s="422"/>
      <c r="GXV140" s="422"/>
      <c r="GXW140" s="422"/>
      <c r="GXX140" s="422"/>
      <c r="GXY140" s="422"/>
      <c r="GXZ140" s="422"/>
      <c r="GYA140" s="422"/>
      <c r="GYB140" s="422"/>
      <c r="GYC140" s="422"/>
      <c r="GYD140" s="422"/>
      <c r="GYE140" s="422"/>
      <c r="GYF140" s="422"/>
      <c r="GYG140" s="422"/>
      <c r="GYH140" s="422"/>
      <c r="GYI140" s="422"/>
      <c r="GYJ140" s="422"/>
      <c r="GYK140" s="422"/>
      <c r="GYL140" s="422"/>
      <c r="GYM140" s="422"/>
      <c r="GYN140" s="422"/>
      <c r="GYO140" s="422"/>
      <c r="GYP140" s="422"/>
      <c r="GYQ140" s="422"/>
      <c r="GYR140" s="422"/>
      <c r="GYS140" s="422"/>
      <c r="GYT140" s="422"/>
      <c r="GYU140" s="422"/>
      <c r="GYV140" s="422"/>
      <c r="GYW140" s="422"/>
      <c r="GYX140" s="422"/>
      <c r="GYY140" s="422"/>
      <c r="GYZ140" s="422"/>
      <c r="GZA140" s="422"/>
      <c r="GZB140" s="422"/>
      <c r="GZC140" s="422"/>
      <c r="GZD140" s="422"/>
      <c r="GZE140" s="422"/>
      <c r="GZF140" s="422"/>
      <c r="GZG140" s="422"/>
      <c r="GZH140" s="422"/>
      <c r="GZI140" s="422"/>
      <c r="GZJ140" s="422"/>
      <c r="GZK140" s="422"/>
      <c r="GZL140" s="422"/>
      <c r="GZM140" s="422"/>
      <c r="GZN140" s="422"/>
      <c r="GZO140" s="422"/>
      <c r="GZP140" s="422"/>
      <c r="GZQ140" s="422"/>
      <c r="GZR140" s="422"/>
      <c r="GZS140" s="422"/>
      <c r="GZT140" s="422"/>
      <c r="GZU140" s="422"/>
      <c r="GZV140" s="422"/>
      <c r="GZW140" s="422"/>
      <c r="GZX140" s="422"/>
      <c r="GZY140" s="422"/>
      <c r="GZZ140" s="422"/>
      <c r="HAA140" s="422"/>
      <c r="HAB140" s="422"/>
      <c r="HAC140" s="422"/>
      <c r="HAD140" s="422"/>
      <c r="HAE140" s="422"/>
      <c r="HAF140" s="422"/>
      <c r="HAG140" s="422"/>
      <c r="HAH140" s="422"/>
      <c r="HAI140" s="422"/>
      <c r="HAJ140" s="422"/>
      <c r="HAK140" s="422"/>
      <c r="HAL140" s="422"/>
      <c r="HAM140" s="422"/>
      <c r="HAN140" s="422"/>
      <c r="HAO140" s="422"/>
      <c r="HAP140" s="422"/>
      <c r="HAQ140" s="422"/>
      <c r="HAR140" s="422"/>
      <c r="HAS140" s="422"/>
      <c r="HAT140" s="422"/>
      <c r="HAU140" s="422"/>
      <c r="HAV140" s="422"/>
      <c r="HAW140" s="422"/>
      <c r="HAX140" s="422"/>
      <c r="HAY140" s="422"/>
      <c r="HAZ140" s="422"/>
      <c r="HBA140" s="422"/>
      <c r="HBB140" s="422"/>
      <c r="HBC140" s="422"/>
      <c r="HBD140" s="422"/>
      <c r="HBE140" s="422"/>
      <c r="HBF140" s="422"/>
      <c r="HBG140" s="422"/>
      <c r="HBH140" s="422"/>
      <c r="HBI140" s="422"/>
      <c r="HBJ140" s="422"/>
      <c r="HBK140" s="422"/>
      <c r="HBL140" s="422"/>
      <c r="HBM140" s="422"/>
      <c r="HBN140" s="422"/>
      <c r="HBO140" s="422"/>
      <c r="HBP140" s="422"/>
      <c r="HBQ140" s="422"/>
      <c r="HBR140" s="422"/>
      <c r="HBS140" s="422"/>
      <c r="HBT140" s="422"/>
      <c r="HBU140" s="422"/>
      <c r="HBV140" s="422"/>
      <c r="HBW140" s="422"/>
      <c r="HBX140" s="422"/>
      <c r="HBY140" s="422"/>
      <c r="HBZ140" s="422"/>
      <c r="HCA140" s="422"/>
      <c r="HCB140" s="422"/>
      <c r="HCC140" s="422"/>
      <c r="HCD140" s="422"/>
      <c r="HCE140" s="422"/>
      <c r="HCF140" s="422"/>
      <c r="HCG140" s="422"/>
      <c r="HCH140" s="422"/>
      <c r="HCI140" s="422"/>
      <c r="HCJ140" s="422"/>
      <c r="HCK140" s="422"/>
      <c r="HCL140" s="422"/>
      <c r="HCM140" s="422"/>
      <c r="HCN140" s="422"/>
      <c r="HCO140" s="422"/>
      <c r="HCP140" s="422"/>
      <c r="HCQ140" s="422"/>
      <c r="HCR140" s="422"/>
      <c r="HCS140" s="422"/>
      <c r="HCT140" s="422"/>
      <c r="HCU140" s="422"/>
      <c r="HCV140" s="422"/>
      <c r="HCW140" s="422"/>
      <c r="HCX140" s="422"/>
      <c r="HCY140" s="422"/>
      <c r="HCZ140" s="422"/>
      <c r="HDA140" s="422"/>
      <c r="HDB140" s="422"/>
      <c r="HDC140" s="422"/>
      <c r="HDD140" s="422"/>
      <c r="HDE140" s="422"/>
      <c r="HDF140" s="422"/>
      <c r="HDG140" s="422"/>
      <c r="HDH140" s="422"/>
      <c r="HDI140" s="422"/>
      <c r="HDJ140" s="422"/>
      <c r="HDK140" s="422"/>
      <c r="HDL140" s="422"/>
      <c r="HDM140" s="422"/>
      <c r="HDN140" s="422"/>
      <c r="HDO140" s="422"/>
      <c r="HDP140" s="422"/>
      <c r="HDQ140" s="422"/>
      <c r="HDR140" s="422"/>
      <c r="HDS140" s="422"/>
      <c r="HDT140" s="422"/>
      <c r="HDU140" s="422"/>
      <c r="HDV140" s="422"/>
      <c r="HDW140" s="422"/>
      <c r="HDX140" s="422"/>
      <c r="HDY140" s="422"/>
      <c r="HDZ140" s="422"/>
      <c r="HEA140" s="422"/>
      <c r="HEB140" s="422"/>
      <c r="HEC140" s="422"/>
      <c r="HED140" s="422"/>
      <c r="HEE140" s="422"/>
      <c r="HEF140" s="422"/>
      <c r="HEG140" s="422"/>
      <c r="HEH140" s="422"/>
      <c r="HEI140" s="422"/>
      <c r="HEJ140" s="422"/>
      <c r="HEK140" s="422"/>
      <c r="HEL140" s="422"/>
      <c r="HEM140" s="422"/>
      <c r="HEN140" s="422"/>
      <c r="HEO140" s="422"/>
      <c r="HEP140" s="422"/>
      <c r="HEQ140" s="422"/>
      <c r="HER140" s="422"/>
      <c r="HES140" s="422"/>
      <c r="HET140" s="422"/>
      <c r="HEU140" s="422"/>
      <c r="HEV140" s="422"/>
      <c r="HEW140" s="422"/>
      <c r="HEX140" s="422"/>
      <c r="HEY140" s="422"/>
      <c r="HEZ140" s="422"/>
      <c r="HFA140" s="422"/>
      <c r="HFB140" s="422"/>
      <c r="HFC140" s="422"/>
      <c r="HFD140" s="422"/>
      <c r="HFE140" s="422"/>
      <c r="HFF140" s="422"/>
      <c r="HFG140" s="422"/>
      <c r="HFH140" s="422"/>
      <c r="HFI140" s="422"/>
      <c r="HFJ140" s="422"/>
      <c r="HFK140" s="422"/>
      <c r="HFL140" s="422"/>
      <c r="HFM140" s="422"/>
      <c r="HFN140" s="422"/>
      <c r="HFO140" s="422"/>
      <c r="HFP140" s="422"/>
      <c r="HFQ140" s="422"/>
      <c r="HFR140" s="422"/>
      <c r="HFS140" s="422"/>
      <c r="HFT140" s="422"/>
      <c r="HFU140" s="422"/>
      <c r="HFV140" s="422"/>
      <c r="HFW140" s="422"/>
      <c r="HFX140" s="422"/>
      <c r="HFY140" s="422"/>
      <c r="HFZ140" s="422"/>
      <c r="HGA140" s="422"/>
      <c r="HGB140" s="422"/>
      <c r="HGC140" s="422"/>
      <c r="HGD140" s="422"/>
      <c r="HGE140" s="422"/>
      <c r="HGF140" s="422"/>
      <c r="HGG140" s="422"/>
      <c r="HGH140" s="422"/>
      <c r="HGI140" s="422"/>
      <c r="HGJ140" s="422"/>
      <c r="HGK140" s="422"/>
      <c r="HGL140" s="422"/>
      <c r="HGM140" s="422"/>
      <c r="HGN140" s="422"/>
      <c r="HGO140" s="422"/>
      <c r="HGP140" s="422"/>
      <c r="HGQ140" s="422"/>
      <c r="HGR140" s="422"/>
      <c r="HGS140" s="422"/>
      <c r="HGT140" s="422"/>
      <c r="HGU140" s="422"/>
      <c r="HGV140" s="422"/>
      <c r="HGW140" s="422"/>
      <c r="HGX140" s="422"/>
      <c r="HGY140" s="422"/>
      <c r="HGZ140" s="422"/>
      <c r="HHA140" s="422"/>
      <c r="HHB140" s="422"/>
      <c r="HHC140" s="422"/>
      <c r="HHD140" s="422"/>
      <c r="HHE140" s="422"/>
      <c r="HHF140" s="422"/>
      <c r="HHG140" s="422"/>
      <c r="HHH140" s="422"/>
      <c r="HHI140" s="422"/>
      <c r="HHJ140" s="422"/>
      <c r="HHK140" s="422"/>
      <c r="HHL140" s="422"/>
      <c r="HHM140" s="422"/>
      <c r="HHN140" s="422"/>
      <c r="HHO140" s="422"/>
      <c r="HHP140" s="422"/>
      <c r="HHQ140" s="422"/>
      <c r="HHR140" s="422"/>
      <c r="HHS140" s="422"/>
      <c r="HHT140" s="422"/>
      <c r="HHU140" s="422"/>
      <c r="HHV140" s="422"/>
      <c r="HHW140" s="422"/>
      <c r="HHX140" s="422"/>
      <c r="HHY140" s="422"/>
      <c r="HHZ140" s="422"/>
      <c r="HIA140" s="422"/>
      <c r="HIB140" s="422"/>
      <c r="HIC140" s="422"/>
      <c r="HID140" s="422"/>
      <c r="HIE140" s="422"/>
      <c r="HIF140" s="422"/>
      <c r="HIG140" s="422"/>
      <c r="HIH140" s="422"/>
      <c r="HII140" s="422"/>
      <c r="HIJ140" s="422"/>
      <c r="HIK140" s="422"/>
      <c r="HIL140" s="422"/>
      <c r="HIM140" s="422"/>
      <c r="HIN140" s="422"/>
      <c r="HIO140" s="422"/>
      <c r="HIP140" s="422"/>
      <c r="HIQ140" s="422"/>
      <c r="HIR140" s="422"/>
      <c r="HIS140" s="422"/>
      <c r="HIT140" s="422"/>
      <c r="HIU140" s="422"/>
      <c r="HIV140" s="422"/>
      <c r="HIW140" s="422"/>
      <c r="HIX140" s="422"/>
      <c r="HIY140" s="422"/>
      <c r="HIZ140" s="422"/>
      <c r="HJA140" s="422"/>
      <c r="HJB140" s="422"/>
      <c r="HJC140" s="422"/>
      <c r="HJD140" s="422"/>
      <c r="HJE140" s="422"/>
      <c r="HJF140" s="422"/>
      <c r="HJG140" s="422"/>
      <c r="HJH140" s="422"/>
      <c r="HJI140" s="422"/>
      <c r="HJJ140" s="422"/>
      <c r="HJK140" s="422"/>
      <c r="HJL140" s="422"/>
      <c r="HJM140" s="422"/>
      <c r="HJN140" s="422"/>
      <c r="HJO140" s="422"/>
      <c r="HJP140" s="422"/>
      <c r="HJQ140" s="422"/>
      <c r="HJR140" s="422"/>
      <c r="HJS140" s="422"/>
      <c r="HJT140" s="422"/>
      <c r="HJU140" s="422"/>
      <c r="HJV140" s="422"/>
      <c r="HJW140" s="422"/>
      <c r="HJX140" s="422"/>
      <c r="HJY140" s="422"/>
      <c r="HJZ140" s="422"/>
      <c r="HKA140" s="422"/>
      <c r="HKB140" s="422"/>
      <c r="HKC140" s="422"/>
      <c r="HKD140" s="422"/>
      <c r="HKE140" s="422"/>
      <c r="HKF140" s="422"/>
      <c r="HKG140" s="422"/>
      <c r="HKH140" s="422"/>
      <c r="HKI140" s="422"/>
      <c r="HKJ140" s="422"/>
      <c r="HKK140" s="422"/>
      <c r="HKL140" s="422"/>
      <c r="HKM140" s="422"/>
      <c r="HKN140" s="422"/>
      <c r="HKO140" s="422"/>
      <c r="HKP140" s="422"/>
      <c r="HKQ140" s="422"/>
      <c r="HKR140" s="422"/>
      <c r="HKS140" s="422"/>
      <c r="HKT140" s="422"/>
      <c r="HKU140" s="422"/>
      <c r="HKV140" s="422"/>
      <c r="HKW140" s="422"/>
      <c r="HKX140" s="422"/>
      <c r="HKY140" s="422"/>
      <c r="HKZ140" s="422"/>
      <c r="HLA140" s="422"/>
      <c r="HLB140" s="422"/>
      <c r="HLC140" s="422"/>
      <c r="HLD140" s="422"/>
      <c r="HLE140" s="422"/>
      <c r="HLF140" s="422"/>
      <c r="HLG140" s="422"/>
      <c r="HLH140" s="422"/>
      <c r="HLI140" s="422"/>
      <c r="HLJ140" s="422"/>
      <c r="HLK140" s="422"/>
      <c r="HLL140" s="422"/>
      <c r="HLM140" s="422"/>
      <c r="HLN140" s="422"/>
      <c r="HLO140" s="422"/>
      <c r="HLP140" s="422"/>
      <c r="HLQ140" s="422"/>
      <c r="HLR140" s="422"/>
      <c r="HLS140" s="422"/>
      <c r="HLT140" s="422"/>
      <c r="HLU140" s="422"/>
      <c r="HLV140" s="422"/>
      <c r="HLW140" s="422"/>
      <c r="HLX140" s="422"/>
      <c r="HLY140" s="422"/>
      <c r="HLZ140" s="422"/>
      <c r="HMA140" s="422"/>
      <c r="HMB140" s="422"/>
      <c r="HMC140" s="422"/>
      <c r="HMD140" s="422"/>
      <c r="HME140" s="422"/>
      <c r="HMF140" s="422"/>
      <c r="HMG140" s="422"/>
      <c r="HMH140" s="422"/>
      <c r="HMI140" s="422"/>
      <c r="HMJ140" s="422"/>
      <c r="HMK140" s="422"/>
      <c r="HML140" s="422"/>
      <c r="HMM140" s="422"/>
      <c r="HMN140" s="422"/>
      <c r="HMO140" s="422"/>
      <c r="HMP140" s="422"/>
      <c r="HMQ140" s="422"/>
      <c r="HMR140" s="422"/>
      <c r="HMS140" s="422"/>
      <c r="HMT140" s="422"/>
      <c r="HMU140" s="422"/>
      <c r="HMV140" s="422"/>
      <c r="HMW140" s="422"/>
      <c r="HMX140" s="422"/>
      <c r="HMY140" s="422"/>
      <c r="HMZ140" s="422"/>
      <c r="HNA140" s="422"/>
      <c r="HNB140" s="422"/>
      <c r="HNC140" s="422"/>
      <c r="HND140" s="422"/>
      <c r="HNE140" s="422"/>
      <c r="HNF140" s="422"/>
      <c r="HNG140" s="422"/>
      <c r="HNH140" s="422"/>
      <c r="HNI140" s="422"/>
      <c r="HNJ140" s="422"/>
      <c r="HNK140" s="422"/>
      <c r="HNL140" s="422"/>
      <c r="HNM140" s="422"/>
      <c r="HNN140" s="422"/>
      <c r="HNO140" s="422"/>
      <c r="HNP140" s="422"/>
      <c r="HNQ140" s="422"/>
      <c r="HNR140" s="422"/>
      <c r="HNS140" s="422"/>
      <c r="HNT140" s="422"/>
      <c r="HNU140" s="422"/>
      <c r="HNV140" s="422"/>
      <c r="HNW140" s="422"/>
      <c r="HNX140" s="422"/>
      <c r="HNY140" s="422"/>
      <c r="HNZ140" s="422"/>
      <c r="HOA140" s="422"/>
      <c r="HOB140" s="422"/>
      <c r="HOC140" s="422"/>
      <c r="HOD140" s="422"/>
      <c r="HOE140" s="422"/>
      <c r="HOF140" s="422"/>
      <c r="HOG140" s="422"/>
      <c r="HOH140" s="422"/>
      <c r="HOI140" s="422"/>
      <c r="HOJ140" s="422"/>
      <c r="HOK140" s="422"/>
      <c r="HOL140" s="422"/>
      <c r="HOM140" s="422"/>
      <c r="HON140" s="422"/>
      <c r="HOO140" s="422"/>
      <c r="HOP140" s="422"/>
      <c r="HOQ140" s="422"/>
      <c r="HOR140" s="422"/>
      <c r="HOS140" s="422"/>
      <c r="HOT140" s="422"/>
      <c r="HOU140" s="422"/>
      <c r="HOV140" s="422"/>
      <c r="HOW140" s="422"/>
      <c r="HOX140" s="422"/>
      <c r="HOY140" s="422"/>
      <c r="HOZ140" s="422"/>
      <c r="HPA140" s="422"/>
      <c r="HPB140" s="422"/>
      <c r="HPC140" s="422"/>
      <c r="HPD140" s="422"/>
      <c r="HPE140" s="422"/>
      <c r="HPF140" s="422"/>
      <c r="HPG140" s="422"/>
      <c r="HPH140" s="422"/>
      <c r="HPI140" s="422"/>
      <c r="HPJ140" s="422"/>
      <c r="HPK140" s="422"/>
      <c r="HPL140" s="422"/>
      <c r="HPM140" s="422"/>
      <c r="HPN140" s="422"/>
      <c r="HPO140" s="422"/>
      <c r="HPP140" s="422"/>
      <c r="HPQ140" s="422"/>
      <c r="HPR140" s="422"/>
      <c r="HPS140" s="422"/>
      <c r="HPT140" s="422"/>
      <c r="HPU140" s="422"/>
      <c r="HPV140" s="422"/>
      <c r="HPW140" s="422"/>
      <c r="HPX140" s="422"/>
      <c r="HPY140" s="422"/>
      <c r="HPZ140" s="422"/>
      <c r="HQA140" s="422"/>
      <c r="HQB140" s="422"/>
      <c r="HQC140" s="422"/>
      <c r="HQD140" s="422"/>
      <c r="HQE140" s="422"/>
      <c r="HQF140" s="422"/>
      <c r="HQG140" s="422"/>
      <c r="HQH140" s="422"/>
      <c r="HQI140" s="422"/>
      <c r="HQJ140" s="422"/>
      <c r="HQK140" s="422"/>
      <c r="HQL140" s="422"/>
      <c r="HQM140" s="422"/>
      <c r="HQN140" s="422"/>
      <c r="HQO140" s="422"/>
      <c r="HQP140" s="422"/>
      <c r="HQQ140" s="422"/>
      <c r="HQR140" s="422"/>
      <c r="HQS140" s="422"/>
      <c r="HQT140" s="422"/>
      <c r="HQU140" s="422"/>
      <c r="HQV140" s="422"/>
      <c r="HQW140" s="422"/>
      <c r="HQX140" s="422"/>
      <c r="HQY140" s="422"/>
      <c r="HQZ140" s="422"/>
      <c r="HRA140" s="422"/>
      <c r="HRB140" s="422"/>
      <c r="HRC140" s="422"/>
      <c r="HRD140" s="422"/>
      <c r="HRE140" s="422"/>
      <c r="HRF140" s="422"/>
      <c r="HRG140" s="422"/>
      <c r="HRH140" s="422"/>
      <c r="HRI140" s="422"/>
      <c r="HRJ140" s="422"/>
      <c r="HRK140" s="422"/>
      <c r="HRL140" s="422"/>
      <c r="HRM140" s="422"/>
      <c r="HRN140" s="422"/>
      <c r="HRO140" s="422"/>
      <c r="HRP140" s="422"/>
      <c r="HRQ140" s="422"/>
      <c r="HRR140" s="422"/>
      <c r="HRS140" s="422"/>
      <c r="HRT140" s="422"/>
      <c r="HRU140" s="422"/>
      <c r="HRV140" s="422"/>
      <c r="HRW140" s="422"/>
      <c r="HRX140" s="422"/>
      <c r="HRY140" s="422"/>
      <c r="HRZ140" s="422"/>
      <c r="HSA140" s="422"/>
      <c r="HSB140" s="422"/>
      <c r="HSC140" s="422"/>
      <c r="HSD140" s="422"/>
      <c r="HSE140" s="422"/>
      <c r="HSF140" s="422"/>
      <c r="HSG140" s="422"/>
      <c r="HSH140" s="422"/>
      <c r="HSI140" s="422"/>
      <c r="HSJ140" s="422"/>
      <c r="HSK140" s="422"/>
      <c r="HSL140" s="422"/>
      <c r="HSM140" s="422"/>
      <c r="HSN140" s="422"/>
      <c r="HSO140" s="422"/>
      <c r="HSP140" s="422"/>
      <c r="HSQ140" s="422"/>
      <c r="HSR140" s="422"/>
      <c r="HSS140" s="422"/>
      <c r="HST140" s="422"/>
      <c r="HSU140" s="422"/>
      <c r="HSV140" s="422"/>
      <c r="HSW140" s="422"/>
      <c r="HSX140" s="422"/>
      <c r="HSY140" s="422"/>
      <c r="HSZ140" s="422"/>
      <c r="HTA140" s="422"/>
      <c r="HTB140" s="422"/>
      <c r="HTC140" s="422"/>
      <c r="HTD140" s="422"/>
      <c r="HTE140" s="422"/>
      <c r="HTF140" s="422"/>
      <c r="HTG140" s="422"/>
      <c r="HTH140" s="422"/>
      <c r="HTI140" s="422"/>
      <c r="HTJ140" s="422"/>
      <c r="HTK140" s="422"/>
      <c r="HTL140" s="422"/>
      <c r="HTM140" s="422"/>
      <c r="HTN140" s="422"/>
      <c r="HTO140" s="422"/>
      <c r="HTP140" s="422"/>
      <c r="HTQ140" s="422"/>
      <c r="HTR140" s="422"/>
      <c r="HTS140" s="422"/>
      <c r="HTT140" s="422"/>
      <c r="HTU140" s="422"/>
      <c r="HTV140" s="422"/>
      <c r="HTW140" s="422"/>
      <c r="HTX140" s="422"/>
      <c r="HTY140" s="422"/>
      <c r="HTZ140" s="422"/>
      <c r="HUA140" s="422"/>
      <c r="HUB140" s="422"/>
      <c r="HUC140" s="422"/>
      <c r="HUD140" s="422"/>
      <c r="HUE140" s="422"/>
      <c r="HUF140" s="422"/>
      <c r="HUG140" s="422"/>
      <c r="HUH140" s="422"/>
      <c r="HUI140" s="422"/>
      <c r="HUJ140" s="422"/>
      <c r="HUK140" s="422"/>
      <c r="HUL140" s="422"/>
      <c r="HUM140" s="422"/>
      <c r="HUN140" s="422"/>
      <c r="HUO140" s="422"/>
      <c r="HUP140" s="422"/>
      <c r="HUQ140" s="422"/>
      <c r="HUR140" s="422"/>
      <c r="HUS140" s="422"/>
      <c r="HUT140" s="422"/>
      <c r="HUU140" s="422"/>
      <c r="HUV140" s="422"/>
      <c r="HUW140" s="422"/>
      <c r="HUX140" s="422"/>
      <c r="HUY140" s="422"/>
      <c r="HUZ140" s="422"/>
      <c r="HVA140" s="422"/>
      <c r="HVB140" s="422"/>
      <c r="HVC140" s="422"/>
      <c r="HVD140" s="422"/>
      <c r="HVE140" s="422"/>
      <c r="HVF140" s="422"/>
      <c r="HVG140" s="422"/>
      <c r="HVH140" s="422"/>
      <c r="HVI140" s="422"/>
      <c r="HVJ140" s="422"/>
      <c r="HVK140" s="422"/>
      <c r="HVL140" s="422"/>
      <c r="HVM140" s="422"/>
      <c r="HVN140" s="422"/>
      <c r="HVO140" s="422"/>
      <c r="HVP140" s="422"/>
      <c r="HVQ140" s="422"/>
      <c r="HVR140" s="422"/>
      <c r="HVS140" s="422"/>
      <c r="HVT140" s="422"/>
      <c r="HVU140" s="422"/>
      <c r="HVV140" s="422"/>
      <c r="HVW140" s="422"/>
      <c r="HVX140" s="422"/>
      <c r="HVY140" s="422"/>
      <c r="HVZ140" s="422"/>
      <c r="HWA140" s="422"/>
      <c r="HWB140" s="422"/>
      <c r="HWC140" s="422"/>
      <c r="HWD140" s="422"/>
      <c r="HWE140" s="422"/>
      <c r="HWF140" s="422"/>
      <c r="HWG140" s="422"/>
      <c r="HWH140" s="422"/>
      <c r="HWI140" s="422"/>
      <c r="HWJ140" s="422"/>
      <c r="HWK140" s="422"/>
      <c r="HWL140" s="422"/>
      <c r="HWM140" s="422"/>
      <c r="HWN140" s="422"/>
      <c r="HWO140" s="422"/>
      <c r="HWP140" s="422"/>
      <c r="HWQ140" s="422"/>
      <c r="HWR140" s="422"/>
      <c r="HWS140" s="422"/>
      <c r="HWT140" s="422"/>
      <c r="HWU140" s="422"/>
      <c r="HWV140" s="422"/>
      <c r="HWW140" s="422"/>
      <c r="HWX140" s="422"/>
      <c r="HWY140" s="422"/>
      <c r="HWZ140" s="422"/>
      <c r="HXA140" s="422"/>
      <c r="HXB140" s="422"/>
      <c r="HXC140" s="422"/>
      <c r="HXD140" s="422"/>
      <c r="HXE140" s="422"/>
      <c r="HXF140" s="422"/>
      <c r="HXG140" s="422"/>
      <c r="HXH140" s="422"/>
      <c r="HXI140" s="422"/>
      <c r="HXJ140" s="422"/>
      <c r="HXK140" s="422"/>
      <c r="HXL140" s="422"/>
      <c r="HXM140" s="422"/>
      <c r="HXN140" s="422"/>
      <c r="HXO140" s="422"/>
      <c r="HXP140" s="422"/>
      <c r="HXQ140" s="422"/>
      <c r="HXR140" s="422"/>
      <c r="HXS140" s="422"/>
      <c r="HXT140" s="422"/>
      <c r="HXU140" s="422"/>
      <c r="HXV140" s="422"/>
      <c r="HXW140" s="422"/>
      <c r="HXX140" s="422"/>
      <c r="HXY140" s="422"/>
      <c r="HXZ140" s="422"/>
      <c r="HYA140" s="422"/>
      <c r="HYB140" s="422"/>
      <c r="HYC140" s="422"/>
      <c r="HYD140" s="422"/>
      <c r="HYE140" s="422"/>
      <c r="HYF140" s="422"/>
      <c r="HYG140" s="422"/>
      <c r="HYH140" s="422"/>
      <c r="HYI140" s="422"/>
      <c r="HYJ140" s="422"/>
      <c r="HYK140" s="422"/>
      <c r="HYL140" s="422"/>
      <c r="HYM140" s="422"/>
      <c r="HYN140" s="422"/>
      <c r="HYO140" s="422"/>
      <c r="HYP140" s="422"/>
      <c r="HYQ140" s="422"/>
      <c r="HYR140" s="422"/>
      <c r="HYS140" s="422"/>
      <c r="HYT140" s="422"/>
      <c r="HYU140" s="422"/>
      <c r="HYV140" s="422"/>
      <c r="HYW140" s="422"/>
      <c r="HYX140" s="422"/>
      <c r="HYY140" s="422"/>
      <c r="HYZ140" s="422"/>
      <c r="HZA140" s="422"/>
      <c r="HZB140" s="422"/>
      <c r="HZC140" s="422"/>
      <c r="HZD140" s="422"/>
      <c r="HZE140" s="422"/>
      <c r="HZF140" s="422"/>
      <c r="HZG140" s="422"/>
      <c r="HZH140" s="422"/>
      <c r="HZI140" s="422"/>
      <c r="HZJ140" s="422"/>
      <c r="HZK140" s="422"/>
      <c r="HZL140" s="422"/>
      <c r="HZM140" s="422"/>
      <c r="HZN140" s="422"/>
      <c r="HZO140" s="422"/>
      <c r="HZP140" s="422"/>
      <c r="HZQ140" s="422"/>
      <c r="HZR140" s="422"/>
      <c r="HZS140" s="422"/>
      <c r="HZT140" s="422"/>
      <c r="HZU140" s="422"/>
      <c r="HZV140" s="422"/>
      <c r="HZW140" s="422"/>
      <c r="HZX140" s="422"/>
      <c r="HZY140" s="422"/>
      <c r="HZZ140" s="422"/>
      <c r="IAA140" s="422"/>
      <c r="IAB140" s="422"/>
      <c r="IAC140" s="422"/>
      <c r="IAD140" s="422"/>
      <c r="IAE140" s="422"/>
      <c r="IAF140" s="422"/>
      <c r="IAG140" s="422"/>
      <c r="IAH140" s="422"/>
      <c r="IAI140" s="422"/>
      <c r="IAJ140" s="422"/>
      <c r="IAK140" s="422"/>
      <c r="IAL140" s="422"/>
      <c r="IAM140" s="422"/>
      <c r="IAN140" s="422"/>
      <c r="IAO140" s="422"/>
      <c r="IAP140" s="422"/>
      <c r="IAQ140" s="422"/>
      <c r="IAR140" s="422"/>
      <c r="IAS140" s="422"/>
      <c r="IAT140" s="422"/>
      <c r="IAU140" s="422"/>
      <c r="IAV140" s="422"/>
      <c r="IAW140" s="422"/>
      <c r="IAX140" s="422"/>
      <c r="IAY140" s="422"/>
      <c r="IAZ140" s="422"/>
      <c r="IBA140" s="422"/>
      <c r="IBB140" s="422"/>
      <c r="IBC140" s="422"/>
      <c r="IBD140" s="422"/>
      <c r="IBE140" s="422"/>
      <c r="IBF140" s="422"/>
      <c r="IBG140" s="422"/>
      <c r="IBH140" s="422"/>
      <c r="IBI140" s="422"/>
      <c r="IBJ140" s="422"/>
      <c r="IBK140" s="422"/>
      <c r="IBL140" s="422"/>
      <c r="IBM140" s="422"/>
      <c r="IBN140" s="422"/>
      <c r="IBO140" s="422"/>
      <c r="IBP140" s="422"/>
      <c r="IBQ140" s="422"/>
      <c r="IBR140" s="422"/>
      <c r="IBS140" s="422"/>
      <c r="IBT140" s="422"/>
      <c r="IBU140" s="422"/>
      <c r="IBV140" s="422"/>
      <c r="IBW140" s="422"/>
      <c r="IBX140" s="422"/>
      <c r="IBY140" s="422"/>
      <c r="IBZ140" s="422"/>
      <c r="ICA140" s="422"/>
      <c r="ICB140" s="422"/>
      <c r="ICC140" s="422"/>
      <c r="ICD140" s="422"/>
      <c r="ICE140" s="422"/>
      <c r="ICF140" s="422"/>
      <c r="ICG140" s="422"/>
      <c r="ICH140" s="422"/>
      <c r="ICI140" s="422"/>
      <c r="ICJ140" s="422"/>
      <c r="ICK140" s="422"/>
      <c r="ICL140" s="422"/>
      <c r="ICM140" s="422"/>
      <c r="ICN140" s="422"/>
      <c r="ICO140" s="422"/>
      <c r="ICP140" s="422"/>
      <c r="ICQ140" s="422"/>
      <c r="ICR140" s="422"/>
      <c r="ICS140" s="422"/>
      <c r="ICT140" s="422"/>
      <c r="ICU140" s="422"/>
      <c r="ICV140" s="422"/>
      <c r="ICW140" s="422"/>
      <c r="ICX140" s="422"/>
      <c r="ICY140" s="422"/>
      <c r="ICZ140" s="422"/>
      <c r="IDA140" s="422"/>
      <c r="IDB140" s="422"/>
      <c r="IDC140" s="422"/>
      <c r="IDD140" s="422"/>
      <c r="IDE140" s="422"/>
      <c r="IDF140" s="422"/>
      <c r="IDG140" s="422"/>
      <c r="IDH140" s="422"/>
      <c r="IDI140" s="422"/>
      <c r="IDJ140" s="422"/>
      <c r="IDK140" s="422"/>
      <c r="IDL140" s="422"/>
      <c r="IDM140" s="422"/>
      <c r="IDN140" s="422"/>
      <c r="IDO140" s="422"/>
      <c r="IDP140" s="422"/>
      <c r="IDQ140" s="422"/>
      <c r="IDR140" s="422"/>
      <c r="IDS140" s="422"/>
      <c r="IDT140" s="422"/>
      <c r="IDU140" s="422"/>
      <c r="IDV140" s="422"/>
      <c r="IDW140" s="422"/>
      <c r="IDX140" s="422"/>
      <c r="IDY140" s="422"/>
      <c r="IDZ140" s="422"/>
      <c r="IEA140" s="422"/>
      <c r="IEB140" s="422"/>
      <c r="IEC140" s="422"/>
      <c r="IED140" s="422"/>
      <c r="IEE140" s="422"/>
      <c r="IEF140" s="422"/>
      <c r="IEG140" s="422"/>
      <c r="IEH140" s="422"/>
      <c r="IEI140" s="422"/>
      <c r="IEJ140" s="422"/>
      <c r="IEK140" s="422"/>
      <c r="IEL140" s="422"/>
      <c r="IEM140" s="422"/>
      <c r="IEN140" s="422"/>
      <c r="IEO140" s="422"/>
      <c r="IEP140" s="422"/>
      <c r="IEQ140" s="422"/>
      <c r="IER140" s="422"/>
      <c r="IES140" s="422"/>
      <c r="IET140" s="422"/>
      <c r="IEU140" s="422"/>
      <c r="IEV140" s="422"/>
      <c r="IEW140" s="422"/>
      <c r="IEX140" s="422"/>
      <c r="IEY140" s="422"/>
      <c r="IEZ140" s="422"/>
      <c r="IFA140" s="422"/>
      <c r="IFB140" s="422"/>
      <c r="IFC140" s="422"/>
      <c r="IFD140" s="422"/>
      <c r="IFE140" s="422"/>
      <c r="IFF140" s="422"/>
      <c r="IFG140" s="422"/>
      <c r="IFH140" s="422"/>
      <c r="IFI140" s="422"/>
      <c r="IFJ140" s="422"/>
      <c r="IFK140" s="422"/>
      <c r="IFL140" s="422"/>
      <c r="IFM140" s="422"/>
      <c r="IFN140" s="422"/>
      <c r="IFO140" s="422"/>
      <c r="IFP140" s="422"/>
      <c r="IFQ140" s="422"/>
      <c r="IFR140" s="422"/>
      <c r="IFS140" s="422"/>
      <c r="IFT140" s="422"/>
      <c r="IFU140" s="422"/>
      <c r="IFV140" s="422"/>
      <c r="IFW140" s="422"/>
      <c r="IFX140" s="422"/>
      <c r="IFY140" s="422"/>
      <c r="IFZ140" s="422"/>
      <c r="IGA140" s="422"/>
      <c r="IGB140" s="422"/>
      <c r="IGC140" s="422"/>
      <c r="IGD140" s="422"/>
      <c r="IGE140" s="422"/>
      <c r="IGF140" s="422"/>
      <c r="IGG140" s="422"/>
      <c r="IGH140" s="422"/>
      <c r="IGI140" s="422"/>
      <c r="IGJ140" s="422"/>
      <c r="IGK140" s="422"/>
      <c r="IGL140" s="422"/>
      <c r="IGM140" s="422"/>
      <c r="IGN140" s="422"/>
      <c r="IGO140" s="422"/>
      <c r="IGP140" s="422"/>
      <c r="IGQ140" s="422"/>
      <c r="IGR140" s="422"/>
      <c r="IGS140" s="422"/>
      <c r="IGT140" s="422"/>
      <c r="IGU140" s="422"/>
      <c r="IGV140" s="422"/>
      <c r="IGW140" s="422"/>
      <c r="IGX140" s="422"/>
      <c r="IGY140" s="422"/>
      <c r="IGZ140" s="422"/>
      <c r="IHA140" s="422"/>
      <c r="IHB140" s="422"/>
      <c r="IHC140" s="422"/>
      <c r="IHD140" s="422"/>
      <c r="IHE140" s="422"/>
      <c r="IHF140" s="422"/>
      <c r="IHG140" s="422"/>
      <c r="IHH140" s="422"/>
      <c r="IHI140" s="422"/>
      <c r="IHJ140" s="422"/>
      <c r="IHK140" s="422"/>
      <c r="IHL140" s="422"/>
      <c r="IHM140" s="422"/>
      <c r="IHN140" s="422"/>
      <c r="IHO140" s="422"/>
      <c r="IHP140" s="422"/>
      <c r="IHQ140" s="422"/>
      <c r="IHR140" s="422"/>
      <c r="IHS140" s="422"/>
      <c r="IHT140" s="422"/>
      <c r="IHU140" s="422"/>
      <c r="IHV140" s="422"/>
      <c r="IHW140" s="422"/>
      <c r="IHX140" s="422"/>
      <c r="IHY140" s="422"/>
      <c r="IHZ140" s="422"/>
      <c r="IIA140" s="422"/>
      <c r="IIB140" s="422"/>
      <c r="IIC140" s="422"/>
      <c r="IID140" s="422"/>
      <c r="IIE140" s="422"/>
      <c r="IIF140" s="422"/>
      <c r="IIG140" s="422"/>
      <c r="IIH140" s="422"/>
      <c r="III140" s="422"/>
      <c r="IIJ140" s="422"/>
      <c r="IIK140" s="422"/>
      <c r="IIL140" s="422"/>
      <c r="IIM140" s="422"/>
      <c r="IIN140" s="422"/>
      <c r="IIO140" s="422"/>
      <c r="IIP140" s="422"/>
      <c r="IIQ140" s="422"/>
      <c r="IIR140" s="422"/>
      <c r="IIS140" s="422"/>
      <c r="IIT140" s="422"/>
      <c r="IIU140" s="422"/>
      <c r="IIV140" s="422"/>
      <c r="IIW140" s="422"/>
      <c r="IIX140" s="422"/>
      <c r="IIY140" s="422"/>
      <c r="IIZ140" s="422"/>
      <c r="IJA140" s="422"/>
      <c r="IJB140" s="422"/>
      <c r="IJC140" s="422"/>
      <c r="IJD140" s="422"/>
      <c r="IJE140" s="422"/>
      <c r="IJF140" s="422"/>
      <c r="IJG140" s="422"/>
      <c r="IJH140" s="422"/>
      <c r="IJI140" s="422"/>
      <c r="IJJ140" s="422"/>
      <c r="IJK140" s="422"/>
      <c r="IJL140" s="422"/>
      <c r="IJM140" s="422"/>
      <c r="IJN140" s="422"/>
      <c r="IJO140" s="422"/>
      <c r="IJP140" s="422"/>
      <c r="IJQ140" s="422"/>
      <c r="IJR140" s="422"/>
      <c r="IJS140" s="422"/>
      <c r="IJT140" s="422"/>
      <c r="IJU140" s="422"/>
      <c r="IJV140" s="422"/>
      <c r="IJW140" s="422"/>
      <c r="IJX140" s="422"/>
      <c r="IJY140" s="422"/>
      <c r="IJZ140" s="422"/>
      <c r="IKA140" s="422"/>
      <c r="IKB140" s="422"/>
      <c r="IKC140" s="422"/>
      <c r="IKD140" s="422"/>
      <c r="IKE140" s="422"/>
      <c r="IKF140" s="422"/>
      <c r="IKG140" s="422"/>
      <c r="IKH140" s="422"/>
      <c r="IKI140" s="422"/>
      <c r="IKJ140" s="422"/>
      <c r="IKK140" s="422"/>
      <c r="IKL140" s="422"/>
      <c r="IKM140" s="422"/>
      <c r="IKN140" s="422"/>
      <c r="IKO140" s="422"/>
      <c r="IKP140" s="422"/>
      <c r="IKQ140" s="422"/>
      <c r="IKR140" s="422"/>
      <c r="IKS140" s="422"/>
      <c r="IKT140" s="422"/>
      <c r="IKU140" s="422"/>
      <c r="IKV140" s="422"/>
      <c r="IKW140" s="422"/>
      <c r="IKX140" s="422"/>
      <c r="IKY140" s="422"/>
      <c r="IKZ140" s="422"/>
      <c r="ILA140" s="422"/>
      <c r="ILB140" s="422"/>
      <c r="ILC140" s="422"/>
      <c r="ILD140" s="422"/>
      <c r="ILE140" s="422"/>
      <c r="ILF140" s="422"/>
      <c r="ILG140" s="422"/>
      <c r="ILH140" s="422"/>
      <c r="ILI140" s="422"/>
      <c r="ILJ140" s="422"/>
      <c r="ILK140" s="422"/>
      <c r="ILL140" s="422"/>
      <c r="ILM140" s="422"/>
      <c r="ILN140" s="422"/>
      <c r="ILO140" s="422"/>
      <c r="ILP140" s="422"/>
      <c r="ILQ140" s="422"/>
      <c r="ILR140" s="422"/>
      <c r="ILS140" s="422"/>
      <c r="ILT140" s="422"/>
      <c r="ILU140" s="422"/>
      <c r="ILV140" s="422"/>
      <c r="ILW140" s="422"/>
      <c r="ILX140" s="422"/>
      <c r="ILY140" s="422"/>
      <c r="ILZ140" s="422"/>
      <c r="IMA140" s="422"/>
      <c r="IMB140" s="422"/>
      <c r="IMC140" s="422"/>
      <c r="IMD140" s="422"/>
      <c r="IME140" s="422"/>
      <c r="IMF140" s="422"/>
      <c r="IMG140" s="422"/>
      <c r="IMH140" s="422"/>
      <c r="IMI140" s="422"/>
      <c r="IMJ140" s="422"/>
      <c r="IMK140" s="422"/>
      <c r="IML140" s="422"/>
      <c r="IMM140" s="422"/>
      <c r="IMN140" s="422"/>
      <c r="IMO140" s="422"/>
      <c r="IMP140" s="422"/>
      <c r="IMQ140" s="422"/>
      <c r="IMR140" s="422"/>
      <c r="IMS140" s="422"/>
      <c r="IMT140" s="422"/>
      <c r="IMU140" s="422"/>
      <c r="IMV140" s="422"/>
      <c r="IMW140" s="422"/>
      <c r="IMX140" s="422"/>
      <c r="IMY140" s="422"/>
      <c r="IMZ140" s="422"/>
      <c r="INA140" s="422"/>
      <c r="INB140" s="422"/>
      <c r="INC140" s="422"/>
      <c r="IND140" s="422"/>
      <c r="INE140" s="422"/>
      <c r="INF140" s="422"/>
      <c r="ING140" s="422"/>
      <c r="INH140" s="422"/>
      <c r="INI140" s="422"/>
      <c r="INJ140" s="422"/>
      <c r="INK140" s="422"/>
      <c r="INL140" s="422"/>
      <c r="INM140" s="422"/>
      <c r="INN140" s="422"/>
      <c r="INO140" s="422"/>
      <c r="INP140" s="422"/>
      <c r="INQ140" s="422"/>
      <c r="INR140" s="422"/>
      <c r="INS140" s="422"/>
      <c r="INT140" s="422"/>
      <c r="INU140" s="422"/>
      <c r="INV140" s="422"/>
      <c r="INW140" s="422"/>
      <c r="INX140" s="422"/>
      <c r="INY140" s="422"/>
      <c r="INZ140" s="422"/>
      <c r="IOA140" s="422"/>
      <c r="IOB140" s="422"/>
      <c r="IOC140" s="422"/>
      <c r="IOD140" s="422"/>
      <c r="IOE140" s="422"/>
      <c r="IOF140" s="422"/>
      <c r="IOG140" s="422"/>
      <c r="IOH140" s="422"/>
      <c r="IOI140" s="422"/>
      <c r="IOJ140" s="422"/>
      <c r="IOK140" s="422"/>
      <c r="IOL140" s="422"/>
      <c r="IOM140" s="422"/>
      <c r="ION140" s="422"/>
      <c r="IOO140" s="422"/>
      <c r="IOP140" s="422"/>
      <c r="IOQ140" s="422"/>
      <c r="IOR140" s="422"/>
      <c r="IOS140" s="422"/>
      <c r="IOT140" s="422"/>
      <c r="IOU140" s="422"/>
      <c r="IOV140" s="422"/>
      <c r="IOW140" s="422"/>
      <c r="IOX140" s="422"/>
      <c r="IOY140" s="422"/>
      <c r="IOZ140" s="422"/>
      <c r="IPA140" s="422"/>
      <c r="IPB140" s="422"/>
      <c r="IPC140" s="422"/>
      <c r="IPD140" s="422"/>
      <c r="IPE140" s="422"/>
      <c r="IPF140" s="422"/>
      <c r="IPG140" s="422"/>
      <c r="IPH140" s="422"/>
      <c r="IPI140" s="422"/>
      <c r="IPJ140" s="422"/>
      <c r="IPK140" s="422"/>
      <c r="IPL140" s="422"/>
      <c r="IPM140" s="422"/>
      <c r="IPN140" s="422"/>
      <c r="IPO140" s="422"/>
      <c r="IPP140" s="422"/>
      <c r="IPQ140" s="422"/>
      <c r="IPR140" s="422"/>
      <c r="IPS140" s="422"/>
      <c r="IPT140" s="422"/>
      <c r="IPU140" s="422"/>
      <c r="IPV140" s="422"/>
      <c r="IPW140" s="422"/>
      <c r="IPX140" s="422"/>
      <c r="IPY140" s="422"/>
      <c r="IPZ140" s="422"/>
      <c r="IQA140" s="422"/>
      <c r="IQB140" s="422"/>
      <c r="IQC140" s="422"/>
      <c r="IQD140" s="422"/>
      <c r="IQE140" s="422"/>
      <c r="IQF140" s="422"/>
      <c r="IQG140" s="422"/>
      <c r="IQH140" s="422"/>
      <c r="IQI140" s="422"/>
      <c r="IQJ140" s="422"/>
      <c r="IQK140" s="422"/>
      <c r="IQL140" s="422"/>
      <c r="IQM140" s="422"/>
      <c r="IQN140" s="422"/>
      <c r="IQO140" s="422"/>
      <c r="IQP140" s="422"/>
      <c r="IQQ140" s="422"/>
      <c r="IQR140" s="422"/>
      <c r="IQS140" s="422"/>
      <c r="IQT140" s="422"/>
      <c r="IQU140" s="422"/>
      <c r="IQV140" s="422"/>
      <c r="IQW140" s="422"/>
      <c r="IQX140" s="422"/>
      <c r="IQY140" s="422"/>
      <c r="IQZ140" s="422"/>
      <c r="IRA140" s="422"/>
      <c r="IRB140" s="422"/>
      <c r="IRC140" s="422"/>
      <c r="IRD140" s="422"/>
      <c r="IRE140" s="422"/>
      <c r="IRF140" s="422"/>
      <c r="IRG140" s="422"/>
      <c r="IRH140" s="422"/>
      <c r="IRI140" s="422"/>
      <c r="IRJ140" s="422"/>
      <c r="IRK140" s="422"/>
      <c r="IRL140" s="422"/>
      <c r="IRM140" s="422"/>
      <c r="IRN140" s="422"/>
      <c r="IRO140" s="422"/>
      <c r="IRP140" s="422"/>
      <c r="IRQ140" s="422"/>
      <c r="IRR140" s="422"/>
      <c r="IRS140" s="422"/>
      <c r="IRT140" s="422"/>
      <c r="IRU140" s="422"/>
      <c r="IRV140" s="422"/>
      <c r="IRW140" s="422"/>
      <c r="IRX140" s="422"/>
      <c r="IRY140" s="422"/>
      <c r="IRZ140" s="422"/>
      <c r="ISA140" s="422"/>
      <c r="ISB140" s="422"/>
      <c r="ISC140" s="422"/>
      <c r="ISD140" s="422"/>
      <c r="ISE140" s="422"/>
      <c r="ISF140" s="422"/>
      <c r="ISG140" s="422"/>
      <c r="ISH140" s="422"/>
      <c r="ISI140" s="422"/>
      <c r="ISJ140" s="422"/>
      <c r="ISK140" s="422"/>
      <c r="ISL140" s="422"/>
      <c r="ISM140" s="422"/>
      <c r="ISN140" s="422"/>
      <c r="ISO140" s="422"/>
      <c r="ISP140" s="422"/>
      <c r="ISQ140" s="422"/>
      <c r="ISR140" s="422"/>
      <c r="ISS140" s="422"/>
      <c r="IST140" s="422"/>
      <c r="ISU140" s="422"/>
      <c r="ISV140" s="422"/>
      <c r="ISW140" s="422"/>
      <c r="ISX140" s="422"/>
      <c r="ISY140" s="422"/>
      <c r="ISZ140" s="422"/>
      <c r="ITA140" s="422"/>
      <c r="ITB140" s="422"/>
      <c r="ITC140" s="422"/>
      <c r="ITD140" s="422"/>
      <c r="ITE140" s="422"/>
      <c r="ITF140" s="422"/>
      <c r="ITG140" s="422"/>
      <c r="ITH140" s="422"/>
      <c r="ITI140" s="422"/>
      <c r="ITJ140" s="422"/>
      <c r="ITK140" s="422"/>
      <c r="ITL140" s="422"/>
      <c r="ITM140" s="422"/>
      <c r="ITN140" s="422"/>
      <c r="ITO140" s="422"/>
      <c r="ITP140" s="422"/>
      <c r="ITQ140" s="422"/>
      <c r="ITR140" s="422"/>
      <c r="ITS140" s="422"/>
      <c r="ITT140" s="422"/>
      <c r="ITU140" s="422"/>
      <c r="ITV140" s="422"/>
      <c r="ITW140" s="422"/>
      <c r="ITX140" s="422"/>
      <c r="ITY140" s="422"/>
      <c r="ITZ140" s="422"/>
      <c r="IUA140" s="422"/>
      <c r="IUB140" s="422"/>
      <c r="IUC140" s="422"/>
      <c r="IUD140" s="422"/>
      <c r="IUE140" s="422"/>
      <c r="IUF140" s="422"/>
      <c r="IUG140" s="422"/>
      <c r="IUH140" s="422"/>
      <c r="IUI140" s="422"/>
      <c r="IUJ140" s="422"/>
      <c r="IUK140" s="422"/>
      <c r="IUL140" s="422"/>
      <c r="IUM140" s="422"/>
      <c r="IUN140" s="422"/>
      <c r="IUO140" s="422"/>
      <c r="IUP140" s="422"/>
      <c r="IUQ140" s="422"/>
      <c r="IUR140" s="422"/>
      <c r="IUS140" s="422"/>
      <c r="IUT140" s="422"/>
      <c r="IUU140" s="422"/>
      <c r="IUV140" s="422"/>
      <c r="IUW140" s="422"/>
      <c r="IUX140" s="422"/>
      <c r="IUY140" s="422"/>
      <c r="IUZ140" s="422"/>
      <c r="IVA140" s="422"/>
      <c r="IVB140" s="422"/>
      <c r="IVC140" s="422"/>
      <c r="IVD140" s="422"/>
      <c r="IVE140" s="422"/>
      <c r="IVF140" s="422"/>
      <c r="IVG140" s="422"/>
      <c r="IVH140" s="422"/>
      <c r="IVI140" s="422"/>
      <c r="IVJ140" s="422"/>
      <c r="IVK140" s="422"/>
      <c r="IVL140" s="422"/>
      <c r="IVM140" s="422"/>
      <c r="IVN140" s="422"/>
      <c r="IVO140" s="422"/>
      <c r="IVP140" s="422"/>
      <c r="IVQ140" s="422"/>
      <c r="IVR140" s="422"/>
      <c r="IVS140" s="422"/>
      <c r="IVT140" s="422"/>
      <c r="IVU140" s="422"/>
      <c r="IVV140" s="422"/>
      <c r="IVW140" s="422"/>
      <c r="IVX140" s="422"/>
      <c r="IVY140" s="422"/>
      <c r="IVZ140" s="422"/>
      <c r="IWA140" s="422"/>
      <c r="IWB140" s="422"/>
      <c r="IWC140" s="422"/>
      <c r="IWD140" s="422"/>
      <c r="IWE140" s="422"/>
      <c r="IWF140" s="422"/>
      <c r="IWG140" s="422"/>
      <c r="IWH140" s="422"/>
      <c r="IWI140" s="422"/>
      <c r="IWJ140" s="422"/>
      <c r="IWK140" s="422"/>
      <c r="IWL140" s="422"/>
      <c r="IWM140" s="422"/>
      <c r="IWN140" s="422"/>
      <c r="IWO140" s="422"/>
      <c r="IWP140" s="422"/>
      <c r="IWQ140" s="422"/>
      <c r="IWR140" s="422"/>
      <c r="IWS140" s="422"/>
      <c r="IWT140" s="422"/>
      <c r="IWU140" s="422"/>
      <c r="IWV140" s="422"/>
      <c r="IWW140" s="422"/>
      <c r="IWX140" s="422"/>
      <c r="IWY140" s="422"/>
      <c r="IWZ140" s="422"/>
      <c r="IXA140" s="422"/>
      <c r="IXB140" s="422"/>
      <c r="IXC140" s="422"/>
      <c r="IXD140" s="422"/>
      <c r="IXE140" s="422"/>
      <c r="IXF140" s="422"/>
      <c r="IXG140" s="422"/>
      <c r="IXH140" s="422"/>
      <c r="IXI140" s="422"/>
      <c r="IXJ140" s="422"/>
      <c r="IXK140" s="422"/>
      <c r="IXL140" s="422"/>
      <c r="IXM140" s="422"/>
      <c r="IXN140" s="422"/>
      <c r="IXO140" s="422"/>
      <c r="IXP140" s="422"/>
      <c r="IXQ140" s="422"/>
      <c r="IXR140" s="422"/>
      <c r="IXS140" s="422"/>
      <c r="IXT140" s="422"/>
      <c r="IXU140" s="422"/>
      <c r="IXV140" s="422"/>
      <c r="IXW140" s="422"/>
      <c r="IXX140" s="422"/>
      <c r="IXY140" s="422"/>
      <c r="IXZ140" s="422"/>
      <c r="IYA140" s="422"/>
      <c r="IYB140" s="422"/>
      <c r="IYC140" s="422"/>
      <c r="IYD140" s="422"/>
      <c r="IYE140" s="422"/>
      <c r="IYF140" s="422"/>
      <c r="IYG140" s="422"/>
      <c r="IYH140" s="422"/>
      <c r="IYI140" s="422"/>
      <c r="IYJ140" s="422"/>
      <c r="IYK140" s="422"/>
      <c r="IYL140" s="422"/>
      <c r="IYM140" s="422"/>
      <c r="IYN140" s="422"/>
      <c r="IYO140" s="422"/>
      <c r="IYP140" s="422"/>
      <c r="IYQ140" s="422"/>
      <c r="IYR140" s="422"/>
      <c r="IYS140" s="422"/>
      <c r="IYT140" s="422"/>
      <c r="IYU140" s="422"/>
      <c r="IYV140" s="422"/>
      <c r="IYW140" s="422"/>
      <c r="IYX140" s="422"/>
      <c r="IYY140" s="422"/>
      <c r="IYZ140" s="422"/>
      <c r="IZA140" s="422"/>
      <c r="IZB140" s="422"/>
      <c r="IZC140" s="422"/>
      <c r="IZD140" s="422"/>
      <c r="IZE140" s="422"/>
      <c r="IZF140" s="422"/>
      <c r="IZG140" s="422"/>
      <c r="IZH140" s="422"/>
      <c r="IZI140" s="422"/>
      <c r="IZJ140" s="422"/>
      <c r="IZK140" s="422"/>
      <c r="IZL140" s="422"/>
      <c r="IZM140" s="422"/>
      <c r="IZN140" s="422"/>
      <c r="IZO140" s="422"/>
      <c r="IZP140" s="422"/>
      <c r="IZQ140" s="422"/>
      <c r="IZR140" s="422"/>
      <c r="IZS140" s="422"/>
      <c r="IZT140" s="422"/>
      <c r="IZU140" s="422"/>
      <c r="IZV140" s="422"/>
      <c r="IZW140" s="422"/>
      <c r="IZX140" s="422"/>
      <c r="IZY140" s="422"/>
      <c r="IZZ140" s="422"/>
      <c r="JAA140" s="422"/>
      <c r="JAB140" s="422"/>
      <c r="JAC140" s="422"/>
      <c r="JAD140" s="422"/>
      <c r="JAE140" s="422"/>
      <c r="JAF140" s="422"/>
      <c r="JAG140" s="422"/>
      <c r="JAH140" s="422"/>
      <c r="JAI140" s="422"/>
      <c r="JAJ140" s="422"/>
      <c r="JAK140" s="422"/>
      <c r="JAL140" s="422"/>
      <c r="JAM140" s="422"/>
      <c r="JAN140" s="422"/>
      <c r="JAO140" s="422"/>
      <c r="JAP140" s="422"/>
      <c r="JAQ140" s="422"/>
      <c r="JAR140" s="422"/>
      <c r="JAS140" s="422"/>
      <c r="JAT140" s="422"/>
      <c r="JAU140" s="422"/>
      <c r="JAV140" s="422"/>
      <c r="JAW140" s="422"/>
      <c r="JAX140" s="422"/>
      <c r="JAY140" s="422"/>
      <c r="JAZ140" s="422"/>
      <c r="JBA140" s="422"/>
      <c r="JBB140" s="422"/>
      <c r="JBC140" s="422"/>
      <c r="JBD140" s="422"/>
      <c r="JBE140" s="422"/>
      <c r="JBF140" s="422"/>
      <c r="JBG140" s="422"/>
      <c r="JBH140" s="422"/>
      <c r="JBI140" s="422"/>
      <c r="JBJ140" s="422"/>
      <c r="JBK140" s="422"/>
      <c r="JBL140" s="422"/>
      <c r="JBM140" s="422"/>
      <c r="JBN140" s="422"/>
      <c r="JBO140" s="422"/>
      <c r="JBP140" s="422"/>
      <c r="JBQ140" s="422"/>
      <c r="JBR140" s="422"/>
      <c r="JBS140" s="422"/>
      <c r="JBT140" s="422"/>
      <c r="JBU140" s="422"/>
      <c r="JBV140" s="422"/>
      <c r="JBW140" s="422"/>
      <c r="JBX140" s="422"/>
      <c r="JBY140" s="422"/>
      <c r="JBZ140" s="422"/>
      <c r="JCA140" s="422"/>
      <c r="JCB140" s="422"/>
      <c r="JCC140" s="422"/>
      <c r="JCD140" s="422"/>
      <c r="JCE140" s="422"/>
      <c r="JCF140" s="422"/>
      <c r="JCG140" s="422"/>
      <c r="JCH140" s="422"/>
      <c r="JCI140" s="422"/>
      <c r="JCJ140" s="422"/>
      <c r="JCK140" s="422"/>
      <c r="JCL140" s="422"/>
      <c r="JCM140" s="422"/>
      <c r="JCN140" s="422"/>
      <c r="JCO140" s="422"/>
      <c r="JCP140" s="422"/>
      <c r="JCQ140" s="422"/>
      <c r="JCR140" s="422"/>
      <c r="JCS140" s="422"/>
      <c r="JCT140" s="422"/>
      <c r="JCU140" s="422"/>
      <c r="JCV140" s="422"/>
      <c r="JCW140" s="422"/>
      <c r="JCX140" s="422"/>
      <c r="JCY140" s="422"/>
      <c r="JCZ140" s="422"/>
      <c r="JDA140" s="422"/>
      <c r="JDB140" s="422"/>
      <c r="JDC140" s="422"/>
      <c r="JDD140" s="422"/>
      <c r="JDE140" s="422"/>
      <c r="JDF140" s="422"/>
      <c r="JDG140" s="422"/>
      <c r="JDH140" s="422"/>
      <c r="JDI140" s="422"/>
      <c r="JDJ140" s="422"/>
      <c r="JDK140" s="422"/>
      <c r="JDL140" s="422"/>
      <c r="JDM140" s="422"/>
      <c r="JDN140" s="422"/>
      <c r="JDO140" s="422"/>
      <c r="JDP140" s="422"/>
      <c r="JDQ140" s="422"/>
      <c r="JDR140" s="422"/>
      <c r="JDS140" s="422"/>
      <c r="JDT140" s="422"/>
      <c r="JDU140" s="422"/>
      <c r="JDV140" s="422"/>
      <c r="JDW140" s="422"/>
      <c r="JDX140" s="422"/>
      <c r="JDY140" s="422"/>
      <c r="JDZ140" s="422"/>
      <c r="JEA140" s="422"/>
      <c r="JEB140" s="422"/>
      <c r="JEC140" s="422"/>
      <c r="JED140" s="422"/>
      <c r="JEE140" s="422"/>
      <c r="JEF140" s="422"/>
      <c r="JEG140" s="422"/>
      <c r="JEH140" s="422"/>
      <c r="JEI140" s="422"/>
      <c r="JEJ140" s="422"/>
      <c r="JEK140" s="422"/>
      <c r="JEL140" s="422"/>
      <c r="JEM140" s="422"/>
      <c r="JEN140" s="422"/>
      <c r="JEO140" s="422"/>
      <c r="JEP140" s="422"/>
      <c r="JEQ140" s="422"/>
      <c r="JER140" s="422"/>
      <c r="JES140" s="422"/>
      <c r="JET140" s="422"/>
      <c r="JEU140" s="422"/>
      <c r="JEV140" s="422"/>
      <c r="JEW140" s="422"/>
      <c r="JEX140" s="422"/>
      <c r="JEY140" s="422"/>
      <c r="JEZ140" s="422"/>
      <c r="JFA140" s="422"/>
      <c r="JFB140" s="422"/>
      <c r="JFC140" s="422"/>
      <c r="JFD140" s="422"/>
      <c r="JFE140" s="422"/>
      <c r="JFF140" s="422"/>
      <c r="JFG140" s="422"/>
      <c r="JFH140" s="422"/>
      <c r="JFI140" s="422"/>
      <c r="JFJ140" s="422"/>
      <c r="JFK140" s="422"/>
      <c r="JFL140" s="422"/>
      <c r="JFM140" s="422"/>
      <c r="JFN140" s="422"/>
      <c r="JFO140" s="422"/>
      <c r="JFP140" s="422"/>
      <c r="JFQ140" s="422"/>
      <c r="JFR140" s="422"/>
      <c r="JFS140" s="422"/>
      <c r="JFT140" s="422"/>
      <c r="JFU140" s="422"/>
      <c r="JFV140" s="422"/>
      <c r="JFW140" s="422"/>
      <c r="JFX140" s="422"/>
      <c r="JFY140" s="422"/>
      <c r="JFZ140" s="422"/>
      <c r="JGA140" s="422"/>
      <c r="JGB140" s="422"/>
      <c r="JGC140" s="422"/>
      <c r="JGD140" s="422"/>
      <c r="JGE140" s="422"/>
      <c r="JGF140" s="422"/>
      <c r="JGG140" s="422"/>
      <c r="JGH140" s="422"/>
      <c r="JGI140" s="422"/>
      <c r="JGJ140" s="422"/>
      <c r="JGK140" s="422"/>
      <c r="JGL140" s="422"/>
      <c r="JGM140" s="422"/>
      <c r="JGN140" s="422"/>
      <c r="JGO140" s="422"/>
      <c r="JGP140" s="422"/>
      <c r="JGQ140" s="422"/>
      <c r="JGR140" s="422"/>
      <c r="JGS140" s="422"/>
      <c r="JGT140" s="422"/>
      <c r="JGU140" s="422"/>
      <c r="JGV140" s="422"/>
      <c r="JGW140" s="422"/>
      <c r="JGX140" s="422"/>
      <c r="JGY140" s="422"/>
      <c r="JGZ140" s="422"/>
      <c r="JHA140" s="422"/>
      <c r="JHB140" s="422"/>
      <c r="JHC140" s="422"/>
      <c r="JHD140" s="422"/>
      <c r="JHE140" s="422"/>
      <c r="JHF140" s="422"/>
      <c r="JHG140" s="422"/>
      <c r="JHH140" s="422"/>
      <c r="JHI140" s="422"/>
      <c r="JHJ140" s="422"/>
      <c r="JHK140" s="422"/>
      <c r="JHL140" s="422"/>
      <c r="JHM140" s="422"/>
      <c r="JHN140" s="422"/>
      <c r="JHO140" s="422"/>
      <c r="JHP140" s="422"/>
      <c r="JHQ140" s="422"/>
      <c r="JHR140" s="422"/>
      <c r="JHS140" s="422"/>
      <c r="JHT140" s="422"/>
      <c r="JHU140" s="422"/>
      <c r="JHV140" s="422"/>
      <c r="JHW140" s="422"/>
      <c r="JHX140" s="422"/>
      <c r="JHY140" s="422"/>
      <c r="JHZ140" s="422"/>
      <c r="JIA140" s="422"/>
      <c r="JIB140" s="422"/>
      <c r="JIC140" s="422"/>
      <c r="JID140" s="422"/>
      <c r="JIE140" s="422"/>
      <c r="JIF140" s="422"/>
      <c r="JIG140" s="422"/>
      <c r="JIH140" s="422"/>
      <c r="JII140" s="422"/>
      <c r="JIJ140" s="422"/>
      <c r="JIK140" s="422"/>
      <c r="JIL140" s="422"/>
      <c r="JIM140" s="422"/>
      <c r="JIN140" s="422"/>
      <c r="JIO140" s="422"/>
      <c r="JIP140" s="422"/>
      <c r="JIQ140" s="422"/>
      <c r="JIR140" s="422"/>
      <c r="JIS140" s="422"/>
      <c r="JIT140" s="422"/>
      <c r="JIU140" s="422"/>
      <c r="JIV140" s="422"/>
      <c r="JIW140" s="422"/>
      <c r="JIX140" s="422"/>
      <c r="JIY140" s="422"/>
      <c r="JIZ140" s="422"/>
      <c r="JJA140" s="422"/>
      <c r="JJB140" s="422"/>
      <c r="JJC140" s="422"/>
      <c r="JJD140" s="422"/>
      <c r="JJE140" s="422"/>
      <c r="JJF140" s="422"/>
      <c r="JJG140" s="422"/>
      <c r="JJH140" s="422"/>
      <c r="JJI140" s="422"/>
      <c r="JJJ140" s="422"/>
      <c r="JJK140" s="422"/>
      <c r="JJL140" s="422"/>
      <c r="JJM140" s="422"/>
      <c r="JJN140" s="422"/>
      <c r="JJO140" s="422"/>
      <c r="JJP140" s="422"/>
      <c r="JJQ140" s="422"/>
      <c r="JJR140" s="422"/>
      <c r="JJS140" s="422"/>
      <c r="JJT140" s="422"/>
      <c r="JJU140" s="422"/>
      <c r="JJV140" s="422"/>
      <c r="JJW140" s="422"/>
      <c r="JJX140" s="422"/>
      <c r="JJY140" s="422"/>
      <c r="JJZ140" s="422"/>
      <c r="JKA140" s="422"/>
      <c r="JKB140" s="422"/>
      <c r="JKC140" s="422"/>
      <c r="JKD140" s="422"/>
      <c r="JKE140" s="422"/>
      <c r="JKF140" s="422"/>
      <c r="JKG140" s="422"/>
      <c r="JKH140" s="422"/>
      <c r="JKI140" s="422"/>
      <c r="JKJ140" s="422"/>
      <c r="JKK140" s="422"/>
      <c r="JKL140" s="422"/>
      <c r="JKM140" s="422"/>
      <c r="JKN140" s="422"/>
      <c r="JKO140" s="422"/>
      <c r="JKP140" s="422"/>
      <c r="JKQ140" s="422"/>
      <c r="JKR140" s="422"/>
      <c r="JKS140" s="422"/>
      <c r="JKT140" s="422"/>
      <c r="JKU140" s="422"/>
      <c r="JKV140" s="422"/>
      <c r="JKW140" s="422"/>
      <c r="JKX140" s="422"/>
      <c r="JKY140" s="422"/>
      <c r="JKZ140" s="422"/>
      <c r="JLA140" s="422"/>
      <c r="JLB140" s="422"/>
      <c r="JLC140" s="422"/>
      <c r="JLD140" s="422"/>
      <c r="JLE140" s="422"/>
      <c r="JLF140" s="422"/>
      <c r="JLG140" s="422"/>
      <c r="JLH140" s="422"/>
      <c r="JLI140" s="422"/>
      <c r="JLJ140" s="422"/>
      <c r="JLK140" s="422"/>
      <c r="JLL140" s="422"/>
      <c r="JLM140" s="422"/>
      <c r="JLN140" s="422"/>
      <c r="JLO140" s="422"/>
      <c r="JLP140" s="422"/>
      <c r="JLQ140" s="422"/>
      <c r="JLR140" s="422"/>
      <c r="JLS140" s="422"/>
      <c r="JLT140" s="422"/>
      <c r="JLU140" s="422"/>
      <c r="JLV140" s="422"/>
      <c r="JLW140" s="422"/>
      <c r="JLX140" s="422"/>
      <c r="JLY140" s="422"/>
      <c r="JLZ140" s="422"/>
      <c r="JMA140" s="422"/>
      <c r="JMB140" s="422"/>
      <c r="JMC140" s="422"/>
      <c r="JMD140" s="422"/>
      <c r="JME140" s="422"/>
      <c r="JMF140" s="422"/>
      <c r="JMG140" s="422"/>
      <c r="JMH140" s="422"/>
      <c r="JMI140" s="422"/>
      <c r="JMJ140" s="422"/>
      <c r="JMK140" s="422"/>
      <c r="JML140" s="422"/>
      <c r="JMM140" s="422"/>
      <c r="JMN140" s="422"/>
      <c r="JMO140" s="422"/>
      <c r="JMP140" s="422"/>
      <c r="JMQ140" s="422"/>
      <c r="JMR140" s="422"/>
      <c r="JMS140" s="422"/>
      <c r="JMT140" s="422"/>
      <c r="JMU140" s="422"/>
      <c r="JMV140" s="422"/>
      <c r="JMW140" s="422"/>
      <c r="JMX140" s="422"/>
      <c r="JMY140" s="422"/>
      <c r="JMZ140" s="422"/>
      <c r="JNA140" s="422"/>
      <c r="JNB140" s="422"/>
      <c r="JNC140" s="422"/>
      <c r="JND140" s="422"/>
      <c r="JNE140" s="422"/>
      <c r="JNF140" s="422"/>
      <c r="JNG140" s="422"/>
      <c r="JNH140" s="422"/>
      <c r="JNI140" s="422"/>
      <c r="JNJ140" s="422"/>
      <c r="JNK140" s="422"/>
      <c r="JNL140" s="422"/>
      <c r="JNM140" s="422"/>
      <c r="JNN140" s="422"/>
      <c r="JNO140" s="422"/>
      <c r="JNP140" s="422"/>
      <c r="JNQ140" s="422"/>
      <c r="JNR140" s="422"/>
      <c r="JNS140" s="422"/>
      <c r="JNT140" s="422"/>
      <c r="JNU140" s="422"/>
      <c r="JNV140" s="422"/>
      <c r="JNW140" s="422"/>
      <c r="JNX140" s="422"/>
      <c r="JNY140" s="422"/>
      <c r="JNZ140" s="422"/>
      <c r="JOA140" s="422"/>
      <c r="JOB140" s="422"/>
      <c r="JOC140" s="422"/>
      <c r="JOD140" s="422"/>
      <c r="JOE140" s="422"/>
      <c r="JOF140" s="422"/>
      <c r="JOG140" s="422"/>
      <c r="JOH140" s="422"/>
      <c r="JOI140" s="422"/>
      <c r="JOJ140" s="422"/>
      <c r="JOK140" s="422"/>
      <c r="JOL140" s="422"/>
      <c r="JOM140" s="422"/>
      <c r="JON140" s="422"/>
      <c r="JOO140" s="422"/>
      <c r="JOP140" s="422"/>
      <c r="JOQ140" s="422"/>
      <c r="JOR140" s="422"/>
      <c r="JOS140" s="422"/>
      <c r="JOT140" s="422"/>
      <c r="JOU140" s="422"/>
      <c r="JOV140" s="422"/>
      <c r="JOW140" s="422"/>
      <c r="JOX140" s="422"/>
      <c r="JOY140" s="422"/>
      <c r="JOZ140" s="422"/>
      <c r="JPA140" s="422"/>
      <c r="JPB140" s="422"/>
      <c r="JPC140" s="422"/>
      <c r="JPD140" s="422"/>
      <c r="JPE140" s="422"/>
      <c r="JPF140" s="422"/>
      <c r="JPG140" s="422"/>
      <c r="JPH140" s="422"/>
      <c r="JPI140" s="422"/>
      <c r="JPJ140" s="422"/>
      <c r="JPK140" s="422"/>
      <c r="JPL140" s="422"/>
      <c r="JPM140" s="422"/>
      <c r="JPN140" s="422"/>
      <c r="JPO140" s="422"/>
      <c r="JPP140" s="422"/>
      <c r="JPQ140" s="422"/>
      <c r="JPR140" s="422"/>
      <c r="JPS140" s="422"/>
      <c r="JPT140" s="422"/>
      <c r="JPU140" s="422"/>
      <c r="JPV140" s="422"/>
      <c r="JPW140" s="422"/>
      <c r="JPX140" s="422"/>
      <c r="JPY140" s="422"/>
      <c r="JPZ140" s="422"/>
      <c r="JQA140" s="422"/>
      <c r="JQB140" s="422"/>
      <c r="JQC140" s="422"/>
      <c r="JQD140" s="422"/>
      <c r="JQE140" s="422"/>
      <c r="JQF140" s="422"/>
      <c r="JQG140" s="422"/>
      <c r="JQH140" s="422"/>
      <c r="JQI140" s="422"/>
      <c r="JQJ140" s="422"/>
      <c r="JQK140" s="422"/>
      <c r="JQL140" s="422"/>
      <c r="JQM140" s="422"/>
      <c r="JQN140" s="422"/>
      <c r="JQO140" s="422"/>
      <c r="JQP140" s="422"/>
      <c r="JQQ140" s="422"/>
      <c r="JQR140" s="422"/>
      <c r="JQS140" s="422"/>
      <c r="JQT140" s="422"/>
      <c r="JQU140" s="422"/>
      <c r="JQV140" s="422"/>
      <c r="JQW140" s="422"/>
      <c r="JQX140" s="422"/>
      <c r="JQY140" s="422"/>
      <c r="JQZ140" s="422"/>
      <c r="JRA140" s="422"/>
      <c r="JRB140" s="422"/>
      <c r="JRC140" s="422"/>
      <c r="JRD140" s="422"/>
      <c r="JRE140" s="422"/>
      <c r="JRF140" s="422"/>
      <c r="JRG140" s="422"/>
      <c r="JRH140" s="422"/>
      <c r="JRI140" s="422"/>
      <c r="JRJ140" s="422"/>
      <c r="JRK140" s="422"/>
      <c r="JRL140" s="422"/>
      <c r="JRM140" s="422"/>
      <c r="JRN140" s="422"/>
      <c r="JRO140" s="422"/>
      <c r="JRP140" s="422"/>
      <c r="JRQ140" s="422"/>
      <c r="JRR140" s="422"/>
      <c r="JRS140" s="422"/>
      <c r="JRT140" s="422"/>
      <c r="JRU140" s="422"/>
      <c r="JRV140" s="422"/>
      <c r="JRW140" s="422"/>
      <c r="JRX140" s="422"/>
      <c r="JRY140" s="422"/>
      <c r="JRZ140" s="422"/>
      <c r="JSA140" s="422"/>
      <c r="JSB140" s="422"/>
      <c r="JSC140" s="422"/>
      <c r="JSD140" s="422"/>
      <c r="JSE140" s="422"/>
      <c r="JSF140" s="422"/>
      <c r="JSG140" s="422"/>
      <c r="JSH140" s="422"/>
      <c r="JSI140" s="422"/>
      <c r="JSJ140" s="422"/>
      <c r="JSK140" s="422"/>
      <c r="JSL140" s="422"/>
      <c r="JSM140" s="422"/>
      <c r="JSN140" s="422"/>
      <c r="JSO140" s="422"/>
      <c r="JSP140" s="422"/>
      <c r="JSQ140" s="422"/>
      <c r="JSR140" s="422"/>
      <c r="JSS140" s="422"/>
      <c r="JST140" s="422"/>
      <c r="JSU140" s="422"/>
      <c r="JSV140" s="422"/>
      <c r="JSW140" s="422"/>
      <c r="JSX140" s="422"/>
      <c r="JSY140" s="422"/>
      <c r="JSZ140" s="422"/>
      <c r="JTA140" s="422"/>
      <c r="JTB140" s="422"/>
      <c r="JTC140" s="422"/>
      <c r="JTD140" s="422"/>
      <c r="JTE140" s="422"/>
      <c r="JTF140" s="422"/>
      <c r="JTG140" s="422"/>
      <c r="JTH140" s="422"/>
      <c r="JTI140" s="422"/>
      <c r="JTJ140" s="422"/>
      <c r="JTK140" s="422"/>
      <c r="JTL140" s="422"/>
      <c r="JTM140" s="422"/>
      <c r="JTN140" s="422"/>
      <c r="JTO140" s="422"/>
      <c r="JTP140" s="422"/>
      <c r="JTQ140" s="422"/>
      <c r="JTR140" s="422"/>
      <c r="JTS140" s="422"/>
      <c r="JTT140" s="422"/>
      <c r="JTU140" s="422"/>
      <c r="JTV140" s="422"/>
      <c r="JTW140" s="422"/>
      <c r="JTX140" s="422"/>
      <c r="JTY140" s="422"/>
      <c r="JTZ140" s="422"/>
      <c r="JUA140" s="422"/>
      <c r="JUB140" s="422"/>
      <c r="JUC140" s="422"/>
      <c r="JUD140" s="422"/>
      <c r="JUE140" s="422"/>
      <c r="JUF140" s="422"/>
      <c r="JUG140" s="422"/>
      <c r="JUH140" s="422"/>
      <c r="JUI140" s="422"/>
      <c r="JUJ140" s="422"/>
      <c r="JUK140" s="422"/>
      <c r="JUL140" s="422"/>
      <c r="JUM140" s="422"/>
      <c r="JUN140" s="422"/>
      <c r="JUO140" s="422"/>
      <c r="JUP140" s="422"/>
      <c r="JUQ140" s="422"/>
      <c r="JUR140" s="422"/>
      <c r="JUS140" s="422"/>
      <c r="JUT140" s="422"/>
      <c r="JUU140" s="422"/>
      <c r="JUV140" s="422"/>
      <c r="JUW140" s="422"/>
      <c r="JUX140" s="422"/>
      <c r="JUY140" s="422"/>
      <c r="JUZ140" s="422"/>
      <c r="JVA140" s="422"/>
      <c r="JVB140" s="422"/>
      <c r="JVC140" s="422"/>
      <c r="JVD140" s="422"/>
      <c r="JVE140" s="422"/>
      <c r="JVF140" s="422"/>
      <c r="JVG140" s="422"/>
      <c r="JVH140" s="422"/>
      <c r="JVI140" s="422"/>
      <c r="JVJ140" s="422"/>
      <c r="JVK140" s="422"/>
      <c r="JVL140" s="422"/>
      <c r="JVM140" s="422"/>
      <c r="JVN140" s="422"/>
      <c r="JVO140" s="422"/>
      <c r="JVP140" s="422"/>
      <c r="JVQ140" s="422"/>
      <c r="JVR140" s="422"/>
      <c r="JVS140" s="422"/>
      <c r="JVT140" s="422"/>
      <c r="JVU140" s="422"/>
      <c r="JVV140" s="422"/>
      <c r="JVW140" s="422"/>
      <c r="JVX140" s="422"/>
      <c r="JVY140" s="422"/>
      <c r="JVZ140" s="422"/>
      <c r="JWA140" s="422"/>
      <c r="JWB140" s="422"/>
      <c r="JWC140" s="422"/>
      <c r="JWD140" s="422"/>
      <c r="JWE140" s="422"/>
      <c r="JWF140" s="422"/>
      <c r="JWG140" s="422"/>
      <c r="JWH140" s="422"/>
      <c r="JWI140" s="422"/>
      <c r="JWJ140" s="422"/>
      <c r="JWK140" s="422"/>
      <c r="JWL140" s="422"/>
      <c r="JWM140" s="422"/>
      <c r="JWN140" s="422"/>
      <c r="JWO140" s="422"/>
      <c r="JWP140" s="422"/>
      <c r="JWQ140" s="422"/>
      <c r="JWR140" s="422"/>
      <c r="JWS140" s="422"/>
      <c r="JWT140" s="422"/>
      <c r="JWU140" s="422"/>
      <c r="JWV140" s="422"/>
      <c r="JWW140" s="422"/>
      <c r="JWX140" s="422"/>
      <c r="JWY140" s="422"/>
      <c r="JWZ140" s="422"/>
      <c r="JXA140" s="422"/>
      <c r="JXB140" s="422"/>
      <c r="JXC140" s="422"/>
      <c r="JXD140" s="422"/>
      <c r="JXE140" s="422"/>
      <c r="JXF140" s="422"/>
      <c r="JXG140" s="422"/>
      <c r="JXH140" s="422"/>
      <c r="JXI140" s="422"/>
      <c r="JXJ140" s="422"/>
      <c r="JXK140" s="422"/>
      <c r="JXL140" s="422"/>
      <c r="JXM140" s="422"/>
      <c r="JXN140" s="422"/>
      <c r="JXO140" s="422"/>
      <c r="JXP140" s="422"/>
      <c r="JXQ140" s="422"/>
      <c r="JXR140" s="422"/>
      <c r="JXS140" s="422"/>
      <c r="JXT140" s="422"/>
      <c r="JXU140" s="422"/>
      <c r="JXV140" s="422"/>
      <c r="JXW140" s="422"/>
      <c r="JXX140" s="422"/>
      <c r="JXY140" s="422"/>
      <c r="JXZ140" s="422"/>
      <c r="JYA140" s="422"/>
      <c r="JYB140" s="422"/>
      <c r="JYC140" s="422"/>
      <c r="JYD140" s="422"/>
      <c r="JYE140" s="422"/>
      <c r="JYF140" s="422"/>
      <c r="JYG140" s="422"/>
      <c r="JYH140" s="422"/>
      <c r="JYI140" s="422"/>
      <c r="JYJ140" s="422"/>
      <c r="JYK140" s="422"/>
      <c r="JYL140" s="422"/>
      <c r="JYM140" s="422"/>
      <c r="JYN140" s="422"/>
      <c r="JYO140" s="422"/>
      <c r="JYP140" s="422"/>
      <c r="JYQ140" s="422"/>
      <c r="JYR140" s="422"/>
      <c r="JYS140" s="422"/>
      <c r="JYT140" s="422"/>
      <c r="JYU140" s="422"/>
      <c r="JYV140" s="422"/>
      <c r="JYW140" s="422"/>
      <c r="JYX140" s="422"/>
      <c r="JYY140" s="422"/>
      <c r="JYZ140" s="422"/>
      <c r="JZA140" s="422"/>
      <c r="JZB140" s="422"/>
      <c r="JZC140" s="422"/>
      <c r="JZD140" s="422"/>
      <c r="JZE140" s="422"/>
      <c r="JZF140" s="422"/>
      <c r="JZG140" s="422"/>
      <c r="JZH140" s="422"/>
      <c r="JZI140" s="422"/>
      <c r="JZJ140" s="422"/>
      <c r="JZK140" s="422"/>
      <c r="JZL140" s="422"/>
      <c r="JZM140" s="422"/>
      <c r="JZN140" s="422"/>
      <c r="JZO140" s="422"/>
      <c r="JZP140" s="422"/>
      <c r="JZQ140" s="422"/>
      <c r="JZR140" s="422"/>
      <c r="JZS140" s="422"/>
      <c r="JZT140" s="422"/>
      <c r="JZU140" s="422"/>
      <c r="JZV140" s="422"/>
      <c r="JZW140" s="422"/>
      <c r="JZX140" s="422"/>
      <c r="JZY140" s="422"/>
      <c r="JZZ140" s="422"/>
      <c r="KAA140" s="422"/>
      <c r="KAB140" s="422"/>
      <c r="KAC140" s="422"/>
      <c r="KAD140" s="422"/>
      <c r="KAE140" s="422"/>
      <c r="KAF140" s="422"/>
      <c r="KAG140" s="422"/>
      <c r="KAH140" s="422"/>
      <c r="KAI140" s="422"/>
      <c r="KAJ140" s="422"/>
      <c r="KAK140" s="422"/>
      <c r="KAL140" s="422"/>
      <c r="KAM140" s="422"/>
      <c r="KAN140" s="422"/>
      <c r="KAO140" s="422"/>
      <c r="KAP140" s="422"/>
      <c r="KAQ140" s="422"/>
      <c r="KAR140" s="422"/>
      <c r="KAS140" s="422"/>
      <c r="KAT140" s="422"/>
      <c r="KAU140" s="422"/>
      <c r="KAV140" s="422"/>
      <c r="KAW140" s="422"/>
      <c r="KAX140" s="422"/>
      <c r="KAY140" s="422"/>
      <c r="KAZ140" s="422"/>
      <c r="KBA140" s="422"/>
      <c r="KBB140" s="422"/>
      <c r="KBC140" s="422"/>
      <c r="KBD140" s="422"/>
      <c r="KBE140" s="422"/>
      <c r="KBF140" s="422"/>
      <c r="KBG140" s="422"/>
      <c r="KBH140" s="422"/>
      <c r="KBI140" s="422"/>
      <c r="KBJ140" s="422"/>
      <c r="KBK140" s="422"/>
      <c r="KBL140" s="422"/>
      <c r="KBM140" s="422"/>
      <c r="KBN140" s="422"/>
      <c r="KBO140" s="422"/>
      <c r="KBP140" s="422"/>
      <c r="KBQ140" s="422"/>
      <c r="KBR140" s="422"/>
      <c r="KBS140" s="422"/>
      <c r="KBT140" s="422"/>
      <c r="KBU140" s="422"/>
      <c r="KBV140" s="422"/>
      <c r="KBW140" s="422"/>
      <c r="KBX140" s="422"/>
      <c r="KBY140" s="422"/>
      <c r="KBZ140" s="422"/>
      <c r="KCA140" s="422"/>
      <c r="KCB140" s="422"/>
      <c r="KCC140" s="422"/>
      <c r="KCD140" s="422"/>
      <c r="KCE140" s="422"/>
      <c r="KCF140" s="422"/>
      <c r="KCG140" s="422"/>
      <c r="KCH140" s="422"/>
      <c r="KCI140" s="422"/>
      <c r="KCJ140" s="422"/>
      <c r="KCK140" s="422"/>
      <c r="KCL140" s="422"/>
      <c r="KCM140" s="422"/>
      <c r="KCN140" s="422"/>
      <c r="KCO140" s="422"/>
      <c r="KCP140" s="422"/>
      <c r="KCQ140" s="422"/>
      <c r="KCR140" s="422"/>
      <c r="KCS140" s="422"/>
      <c r="KCT140" s="422"/>
      <c r="KCU140" s="422"/>
      <c r="KCV140" s="422"/>
      <c r="KCW140" s="422"/>
      <c r="KCX140" s="422"/>
      <c r="KCY140" s="422"/>
      <c r="KCZ140" s="422"/>
      <c r="KDA140" s="422"/>
      <c r="KDB140" s="422"/>
      <c r="KDC140" s="422"/>
      <c r="KDD140" s="422"/>
      <c r="KDE140" s="422"/>
      <c r="KDF140" s="422"/>
      <c r="KDG140" s="422"/>
      <c r="KDH140" s="422"/>
      <c r="KDI140" s="422"/>
      <c r="KDJ140" s="422"/>
      <c r="KDK140" s="422"/>
      <c r="KDL140" s="422"/>
      <c r="KDM140" s="422"/>
      <c r="KDN140" s="422"/>
      <c r="KDO140" s="422"/>
      <c r="KDP140" s="422"/>
      <c r="KDQ140" s="422"/>
      <c r="KDR140" s="422"/>
      <c r="KDS140" s="422"/>
      <c r="KDT140" s="422"/>
      <c r="KDU140" s="422"/>
      <c r="KDV140" s="422"/>
      <c r="KDW140" s="422"/>
      <c r="KDX140" s="422"/>
      <c r="KDY140" s="422"/>
      <c r="KDZ140" s="422"/>
      <c r="KEA140" s="422"/>
      <c r="KEB140" s="422"/>
      <c r="KEC140" s="422"/>
      <c r="KED140" s="422"/>
      <c r="KEE140" s="422"/>
      <c r="KEF140" s="422"/>
      <c r="KEG140" s="422"/>
      <c r="KEH140" s="422"/>
      <c r="KEI140" s="422"/>
      <c r="KEJ140" s="422"/>
      <c r="KEK140" s="422"/>
      <c r="KEL140" s="422"/>
      <c r="KEM140" s="422"/>
      <c r="KEN140" s="422"/>
      <c r="KEO140" s="422"/>
      <c r="KEP140" s="422"/>
      <c r="KEQ140" s="422"/>
      <c r="KER140" s="422"/>
      <c r="KES140" s="422"/>
      <c r="KET140" s="422"/>
      <c r="KEU140" s="422"/>
      <c r="KEV140" s="422"/>
      <c r="KEW140" s="422"/>
      <c r="KEX140" s="422"/>
      <c r="KEY140" s="422"/>
      <c r="KEZ140" s="422"/>
      <c r="KFA140" s="422"/>
      <c r="KFB140" s="422"/>
      <c r="KFC140" s="422"/>
      <c r="KFD140" s="422"/>
      <c r="KFE140" s="422"/>
      <c r="KFF140" s="422"/>
      <c r="KFG140" s="422"/>
      <c r="KFH140" s="422"/>
      <c r="KFI140" s="422"/>
      <c r="KFJ140" s="422"/>
      <c r="KFK140" s="422"/>
      <c r="KFL140" s="422"/>
      <c r="KFM140" s="422"/>
      <c r="KFN140" s="422"/>
      <c r="KFO140" s="422"/>
      <c r="KFP140" s="422"/>
      <c r="KFQ140" s="422"/>
      <c r="KFR140" s="422"/>
      <c r="KFS140" s="422"/>
      <c r="KFT140" s="422"/>
      <c r="KFU140" s="422"/>
      <c r="KFV140" s="422"/>
      <c r="KFW140" s="422"/>
      <c r="KFX140" s="422"/>
      <c r="KFY140" s="422"/>
      <c r="KFZ140" s="422"/>
      <c r="KGA140" s="422"/>
      <c r="KGB140" s="422"/>
      <c r="KGC140" s="422"/>
      <c r="KGD140" s="422"/>
      <c r="KGE140" s="422"/>
      <c r="KGF140" s="422"/>
      <c r="KGG140" s="422"/>
      <c r="KGH140" s="422"/>
      <c r="KGI140" s="422"/>
      <c r="KGJ140" s="422"/>
      <c r="KGK140" s="422"/>
      <c r="KGL140" s="422"/>
      <c r="KGM140" s="422"/>
      <c r="KGN140" s="422"/>
      <c r="KGO140" s="422"/>
      <c r="KGP140" s="422"/>
      <c r="KGQ140" s="422"/>
      <c r="KGR140" s="422"/>
      <c r="KGS140" s="422"/>
      <c r="KGT140" s="422"/>
      <c r="KGU140" s="422"/>
      <c r="KGV140" s="422"/>
      <c r="KGW140" s="422"/>
      <c r="KGX140" s="422"/>
      <c r="KGY140" s="422"/>
      <c r="KGZ140" s="422"/>
      <c r="KHA140" s="422"/>
      <c r="KHB140" s="422"/>
      <c r="KHC140" s="422"/>
      <c r="KHD140" s="422"/>
      <c r="KHE140" s="422"/>
      <c r="KHF140" s="422"/>
      <c r="KHG140" s="422"/>
      <c r="KHH140" s="422"/>
      <c r="KHI140" s="422"/>
      <c r="KHJ140" s="422"/>
      <c r="KHK140" s="422"/>
      <c r="KHL140" s="422"/>
      <c r="KHM140" s="422"/>
      <c r="KHN140" s="422"/>
      <c r="KHO140" s="422"/>
      <c r="KHP140" s="422"/>
      <c r="KHQ140" s="422"/>
      <c r="KHR140" s="422"/>
      <c r="KHS140" s="422"/>
      <c r="KHT140" s="422"/>
      <c r="KHU140" s="422"/>
      <c r="KHV140" s="422"/>
      <c r="KHW140" s="422"/>
      <c r="KHX140" s="422"/>
      <c r="KHY140" s="422"/>
      <c r="KHZ140" s="422"/>
      <c r="KIA140" s="422"/>
      <c r="KIB140" s="422"/>
      <c r="KIC140" s="422"/>
      <c r="KID140" s="422"/>
      <c r="KIE140" s="422"/>
      <c r="KIF140" s="422"/>
      <c r="KIG140" s="422"/>
      <c r="KIH140" s="422"/>
      <c r="KII140" s="422"/>
      <c r="KIJ140" s="422"/>
      <c r="KIK140" s="422"/>
      <c r="KIL140" s="422"/>
      <c r="KIM140" s="422"/>
      <c r="KIN140" s="422"/>
      <c r="KIO140" s="422"/>
      <c r="KIP140" s="422"/>
      <c r="KIQ140" s="422"/>
      <c r="KIR140" s="422"/>
      <c r="KIS140" s="422"/>
      <c r="KIT140" s="422"/>
      <c r="KIU140" s="422"/>
      <c r="KIV140" s="422"/>
      <c r="KIW140" s="422"/>
      <c r="KIX140" s="422"/>
      <c r="KIY140" s="422"/>
      <c r="KIZ140" s="422"/>
      <c r="KJA140" s="422"/>
      <c r="KJB140" s="422"/>
      <c r="KJC140" s="422"/>
      <c r="KJD140" s="422"/>
      <c r="KJE140" s="422"/>
      <c r="KJF140" s="422"/>
      <c r="KJG140" s="422"/>
      <c r="KJH140" s="422"/>
      <c r="KJI140" s="422"/>
      <c r="KJJ140" s="422"/>
      <c r="KJK140" s="422"/>
      <c r="KJL140" s="422"/>
      <c r="KJM140" s="422"/>
      <c r="KJN140" s="422"/>
      <c r="KJO140" s="422"/>
      <c r="KJP140" s="422"/>
      <c r="KJQ140" s="422"/>
      <c r="KJR140" s="422"/>
      <c r="KJS140" s="422"/>
      <c r="KJT140" s="422"/>
      <c r="KJU140" s="422"/>
      <c r="KJV140" s="422"/>
      <c r="KJW140" s="422"/>
      <c r="KJX140" s="422"/>
      <c r="KJY140" s="422"/>
      <c r="KJZ140" s="422"/>
      <c r="KKA140" s="422"/>
      <c r="KKB140" s="422"/>
      <c r="KKC140" s="422"/>
      <c r="KKD140" s="422"/>
      <c r="KKE140" s="422"/>
      <c r="KKF140" s="422"/>
      <c r="KKG140" s="422"/>
      <c r="KKH140" s="422"/>
      <c r="KKI140" s="422"/>
      <c r="KKJ140" s="422"/>
      <c r="KKK140" s="422"/>
      <c r="KKL140" s="422"/>
      <c r="KKM140" s="422"/>
      <c r="KKN140" s="422"/>
      <c r="KKO140" s="422"/>
      <c r="KKP140" s="422"/>
      <c r="KKQ140" s="422"/>
      <c r="KKR140" s="422"/>
      <c r="KKS140" s="422"/>
      <c r="KKT140" s="422"/>
      <c r="KKU140" s="422"/>
      <c r="KKV140" s="422"/>
      <c r="KKW140" s="422"/>
      <c r="KKX140" s="422"/>
      <c r="KKY140" s="422"/>
      <c r="KKZ140" s="422"/>
      <c r="KLA140" s="422"/>
      <c r="KLB140" s="422"/>
      <c r="KLC140" s="422"/>
      <c r="KLD140" s="422"/>
      <c r="KLE140" s="422"/>
      <c r="KLF140" s="422"/>
      <c r="KLG140" s="422"/>
      <c r="KLH140" s="422"/>
      <c r="KLI140" s="422"/>
      <c r="KLJ140" s="422"/>
      <c r="KLK140" s="422"/>
      <c r="KLL140" s="422"/>
      <c r="KLM140" s="422"/>
      <c r="KLN140" s="422"/>
      <c r="KLO140" s="422"/>
      <c r="KLP140" s="422"/>
      <c r="KLQ140" s="422"/>
      <c r="KLR140" s="422"/>
      <c r="KLS140" s="422"/>
      <c r="KLT140" s="422"/>
      <c r="KLU140" s="422"/>
      <c r="KLV140" s="422"/>
      <c r="KLW140" s="422"/>
      <c r="KLX140" s="422"/>
      <c r="KLY140" s="422"/>
      <c r="KLZ140" s="422"/>
      <c r="KMA140" s="422"/>
      <c r="KMB140" s="422"/>
      <c r="KMC140" s="422"/>
      <c r="KMD140" s="422"/>
      <c r="KME140" s="422"/>
      <c r="KMF140" s="422"/>
      <c r="KMG140" s="422"/>
      <c r="KMH140" s="422"/>
      <c r="KMI140" s="422"/>
      <c r="KMJ140" s="422"/>
      <c r="KMK140" s="422"/>
      <c r="KML140" s="422"/>
      <c r="KMM140" s="422"/>
      <c r="KMN140" s="422"/>
      <c r="KMO140" s="422"/>
      <c r="KMP140" s="422"/>
      <c r="KMQ140" s="422"/>
      <c r="KMR140" s="422"/>
      <c r="KMS140" s="422"/>
      <c r="KMT140" s="422"/>
      <c r="KMU140" s="422"/>
      <c r="KMV140" s="422"/>
      <c r="KMW140" s="422"/>
      <c r="KMX140" s="422"/>
      <c r="KMY140" s="422"/>
      <c r="KMZ140" s="422"/>
      <c r="KNA140" s="422"/>
      <c r="KNB140" s="422"/>
      <c r="KNC140" s="422"/>
      <c r="KND140" s="422"/>
      <c r="KNE140" s="422"/>
      <c r="KNF140" s="422"/>
      <c r="KNG140" s="422"/>
      <c r="KNH140" s="422"/>
      <c r="KNI140" s="422"/>
      <c r="KNJ140" s="422"/>
      <c r="KNK140" s="422"/>
      <c r="KNL140" s="422"/>
      <c r="KNM140" s="422"/>
      <c r="KNN140" s="422"/>
      <c r="KNO140" s="422"/>
      <c r="KNP140" s="422"/>
      <c r="KNQ140" s="422"/>
      <c r="KNR140" s="422"/>
      <c r="KNS140" s="422"/>
      <c r="KNT140" s="422"/>
      <c r="KNU140" s="422"/>
      <c r="KNV140" s="422"/>
      <c r="KNW140" s="422"/>
      <c r="KNX140" s="422"/>
      <c r="KNY140" s="422"/>
      <c r="KNZ140" s="422"/>
      <c r="KOA140" s="422"/>
      <c r="KOB140" s="422"/>
      <c r="KOC140" s="422"/>
      <c r="KOD140" s="422"/>
      <c r="KOE140" s="422"/>
      <c r="KOF140" s="422"/>
      <c r="KOG140" s="422"/>
      <c r="KOH140" s="422"/>
      <c r="KOI140" s="422"/>
      <c r="KOJ140" s="422"/>
      <c r="KOK140" s="422"/>
      <c r="KOL140" s="422"/>
      <c r="KOM140" s="422"/>
      <c r="KON140" s="422"/>
      <c r="KOO140" s="422"/>
      <c r="KOP140" s="422"/>
      <c r="KOQ140" s="422"/>
      <c r="KOR140" s="422"/>
      <c r="KOS140" s="422"/>
      <c r="KOT140" s="422"/>
      <c r="KOU140" s="422"/>
      <c r="KOV140" s="422"/>
      <c r="KOW140" s="422"/>
      <c r="KOX140" s="422"/>
      <c r="KOY140" s="422"/>
      <c r="KOZ140" s="422"/>
      <c r="KPA140" s="422"/>
      <c r="KPB140" s="422"/>
      <c r="KPC140" s="422"/>
      <c r="KPD140" s="422"/>
      <c r="KPE140" s="422"/>
      <c r="KPF140" s="422"/>
      <c r="KPG140" s="422"/>
      <c r="KPH140" s="422"/>
      <c r="KPI140" s="422"/>
      <c r="KPJ140" s="422"/>
      <c r="KPK140" s="422"/>
      <c r="KPL140" s="422"/>
      <c r="KPM140" s="422"/>
      <c r="KPN140" s="422"/>
      <c r="KPO140" s="422"/>
      <c r="KPP140" s="422"/>
      <c r="KPQ140" s="422"/>
      <c r="KPR140" s="422"/>
      <c r="KPS140" s="422"/>
      <c r="KPT140" s="422"/>
      <c r="KPU140" s="422"/>
      <c r="KPV140" s="422"/>
      <c r="KPW140" s="422"/>
      <c r="KPX140" s="422"/>
      <c r="KPY140" s="422"/>
      <c r="KPZ140" s="422"/>
      <c r="KQA140" s="422"/>
      <c r="KQB140" s="422"/>
      <c r="KQC140" s="422"/>
      <c r="KQD140" s="422"/>
      <c r="KQE140" s="422"/>
      <c r="KQF140" s="422"/>
      <c r="KQG140" s="422"/>
      <c r="KQH140" s="422"/>
      <c r="KQI140" s="422"/>
      <c r="KQJ140" s="422"/>
      <c r="KQK140" s="422"/>
      <c r="KQL140" s="422"/>
      <c r="KQM140" s="422"/>
      <c r="KQN140" s="422"/>
      <c r="KQO140" s="422"/>
      <c r="KQP140" s="422"/>
      <c r="KQQ140" s="422"/>
      <c r="KQR140" s="422"/>
      <c r="KQS140" s="422"/>
      <c r="KQT140" s="422"/>
      <c r="KQU140" s="422"/>
      <c r="KQV140" s="422"/>
      <c r="KQW140" s="422"/>
      <c r="KQX140" s="422"/>
      <c r="KQY140" s="422"/>
      <c r="KQZ140" s="422"/>
      <c r="KRA140" s="422"/>
      <c r="KRB140" s="422"/>
      <c r="KRC140" s="422"/>
      <c r="KRD140" s="422"/>
      <c r="KRE140" s="422"/>
      <c r="KRF140" s="422"/>
      <c r="KRG140" s="422"/>
      <c r="KRH140" s="422"/>
      <c r="KRI140" s="422"/>
      <c r="KRJ140" s="422"/>
      <c r="KRK140" s="422"/>
      <c r="KRL140" s="422"/>
      <c r="KRM140" s="422"/>
      <c r="KRN140" s="422"/>
      <c r="KRO140" s="422"/>
      <c r="KRP140" s="422"/>
      <c r="KRQ140" s="422"/>
      <c r="KRR140" s="422"/>
      <c r="KRS140" s="422"/>
      <c r="KRT140" s="422"/>
      <c r="KRU140" s="422"/>
      <c r="KRV140" s="422"/>
      <c r="KRW140" s="422"/>
      <c r="KRX140" s="422"/>
      <c r="KRY140" s="422"/>
      <c r="KRZ140" s="422"/>
      <c r="KSA140" s="422"/>
      <c r="KSB140" s="422"/>
      <c r="KSC140" s="422"/>
      <c r="KSD140" s="422"/>
      <c r="KSE140" s="422"/>
      <c r="KSF140" s="422"/>
      <c r="KSG140" s="422"/>
      <c r="KSH140" s="422"/>
      <c r="KSI140" s="422"/>
      <c r="KSJ140" s="422"/>
      <c r="KSK140" s="422"/>
      <c r="KSL140" s="422"/>
      <c r="KSM140" s="422"/>
      <c r="KSN140" s="422"/>
      <c r="KSO140" s="422"/>
      <c r="KSP140" s="422"/>
      <c r="KSQ140" s="422"/>
      <c r="KSR140" s="422"/>
      <c r="KSS140" s="422"/>
      <c r="KST140" s="422"/>
      <c r="KSU140" s="422"/>
      <c r="KSV140" s="422"/>
      <c r="KSW140" s="422"/>
      <c r="KSX140" s="422"/>
      <c r="KSY140" s="422"/>
      <c r="KSZ140" s="422"/>
      <c r="KTA140" s="422"/>
      <c r="KTB140" s="422"/>
      <c r="KTC140" s="422"/>
      <c r="KTD140" s="422"/>
      <c r="KTE140" s="422"/>
      <c r="KTF140" s="422"/>
      <c r="KTG140" s="422"/>
      <c r="KTH140" s="422"/>
      <c r="KTI140" s="422"/>
      <c r="KTJ140" s="422"/>
      <c r="KTK140" s="422"/>
      <c r="KTL140" s="422"/>
      <c r="KTM140" s="422"/>
      <c r="KTN140" s="422"/>
      <c r="KTO140" s="422"/>
      <c r="KTP140" s="422"/>
      <c r="KTQ140" s="422"/>
      <c r="KTR140" s="422"/>
      <c r="KTS140" s="422"/>
      <c r="KTT140" s="422"/>
      <c r="KTU140" s="422"/>
      <c r="KTV140" s="422"/>
      <c r="KTW140" s="422"/>
      <c r="KTX140" s="422"/>
      <c r="KTY140" s="422"/>
      <c r="KTZ140" s="422"/>
      <c r="KUA140" s="422"/>
      <c r="KUB140" s="422"/>
      <c r="KUC140" s="422"/>
      <c r="KUD140" s="422"/>
      <c r="KUE140" s="422"/>
      <c r="KUF140" s="422"/>
      <c r="KUG140" s="422"/>
      <c r="KUH140" s="422"/>
      <c r="KUI140" s="422"/>
      <c r="KUJ140" s="422"/>
      <c r="KUK140" s="422"/>
      <c r="KUL140" s="422"/>
      <c r="KUM140" s="422"/>
      <c r="KUN140" s="422"/>
      <c r="KUO140" s="422"/>
      <c r="KUP140" s="422"/>
      <c r="KUQ140" s="422"/>
      <c r="KUR140" s="422"/>
      <c r="KUS140" s="422"/>
      <c r="KUT140" s="422"/>
      <c r="KUU140" s="422"/>
      <c r="KUV140" s="422"/>
      <c r="KUW140" s="422"/>
      <c r="KUX140" s="422"/>
      <c r="KUY140" s="422"/>
      <c r="KUZ140" s="422"/>
      <c r="KVA140" s="422"/>
      <c r="KVB140" s="422"/>
      <c r="KVC140" s="422"/>
      <c r="KVD140" s="422"/>
      <c r="KVE140" s="422"/>
      <c r="KVF140" s="422"/>
      <c r="KVG140" s="422"/>
      <c r="KVH140" s="422"/>
      <c r="KVI140" s="422"/>
      <c r="KVJ140" s="422"/>
      <c r="KVK140" s="422"/>
      <c r="KVL140" s="422"/>
      <c r="KVM140" s="422"/>
      <c r="KVN140" s="422"/>
      <c r="KVO140" s="422"/>
      <c r="KVP140" s="422"/>
      <c r="KVQ140" s="422"/>
      <c r="KVR140" s="422"/>
      <c r="KVS140" s="422"/>
      <c r="KVT140" s="422"/>
      <c r="KVU140" s="422"/>
      <c r="KVV140" s="422"/>
      <c r="KVW140" s="422"/>
      <c r="KVX140" s="422"/>
      <c r="KVY140" s="422"/>
      <c r="KVZ140" s="422"/>
      <c r="KWA140" s="422"/>
      <c r="KWB140" s="422"/>
      <c r="KWC140" s="422"/>
      <c r="KWD140" s="422"/>
      <c r="KWE140" s="422"/>
      <c r="KWF140" s="422"/>
      <c r="KWG140" s="422"/>
      <c r="KWH140" s="422"/>
      <c r="KWI140" s="422"/>
      <c r="KWJ140" s="422"/>
      <c r="KWK140" s="422"/>
      <c r="KWL140" s="422"/>
      <c r="KWM140" s="422"/>
      <c r="KWN140" s="422"/>
      <c r="KWO140" s="422"/>
      <c r="KWP140" s="422"/>
      <c r="KWQ140" s="422"/>
      <c r="KWR140" s="422"/>
      <c r="KWS140" s="422"/>
      <c r="KWT140" s="422"/>
      <c r="KWU140" s="422"/>
      <c r="KWV140" s="422"/>
      <c r="KWW140" s="422"/>
      <c r="KWX140" s="422"/>
      <c r="KWY140" s="422"/>
      <c r="KWZ140" s="422"/>
      <c r="KXA140" s="422"/>
      <c r="KXB140" s="422"/>
      <c r="KXC140" s="422"/>
      <c r="KXD140" s="422"/>
      <c r="KXE140" s="422"/>
      <c r="KXF140" s="422"/>
      <c r="KXG140" s="422"/>
      <c r="KXH140" s="422"/>
      <c r="KXI140" s="422"/>
      <c r="KXJ140" s="422"/>
      <c r="KXK140" s="422"/>
      <c r="KXL140" s="422"/>
      <c r="KXM140" s="422"/>
      <c r="KXN140" s="422"/>
      <c r="KXO140" s="422"/>
      <c r="KXP140" s="422"/>
      <c r="KXQ140" s="422"/>
      <c r="KXR140" s="422"/>
      <c r="KXS140" s="422"/>
      <c r="KXT140" s="422"/>
      <c r="KXU140" s="422"/>
      <c r="KXV140" s="422"/>
      <c r="KXW140" s="422"/>
      <c r="KXX140" s="422"/>
      <c r="KXY140" s="422"/>
      <c r="KXZ140" s="422"/>
      <c r="KYA140" s="422"/>
      <c r="KYB140" s="422"/>
      <c r="KYC140" s="422"/>
      <c r="KYD140" s="422"/>
      <c r="KYE140" s="422"/>
      <c r="KYF140" s="422"/>
      <c r="KYG140" s="422"/>
      <c r="KYH140" s="422"/>
      <c r="KYI140" s="422"/>
      <c r="KYJ140" s="422"/>
      <c r="KYK140" s="422"/>
      <c r="KYL140" s="422"/>
      <c r="KYM140" s="422"/>
      <c r="KYN140" s="422"/>
      <c r="KYO140" s="422"/>
      <c r="KYP140" s="422"/>
      <c r="KYQ140" s="422"/>
      <c r="KYR140" s="422"/>
      <c r="KYS140" s="422"/>
      <c r="KYT140" s="422"/>
      <c r="KYU140" s="422"/>
      <c r="KYV140" s="422"/>
      <c r="KYW140" s="422"/>
      <c r="KYX140" s="422"/>
      <c r="KYY140" s="422"/>
      <c r="KYZ140" s="422"/>
      <c r="KZA140" s="422"/>
      <c r="KZB140" s="422"/>
      <c r="KZC140" s="422"/>
      <c r="KZD140" s="422"/>
      <c r="KZE140" s="422"/>
      <c r="KZF140" s="422"/>
      <c r="KZG140" s="422"/>
      <c r="KZH140" s="422"/>
      <c r="KZI140" s="422"/>
      <c r="KZJ140" s="422"/>
      <c r="KZK140" s="422"/>
      <c r="KZL140" s="422"/>
      <c r="KZM140" s="422"/>
      <c r="KZN140" s="422"/>
      <c r="KZO140" s="422"/>
      <c r="KZP140" s="422"/>
      <c r="KZQ140" s="422"/>
      <c r="KZR140" s="422"/>
      <c r="KZS140" s="422"/>
      <c r="KZT140" s="422"/>
      <c r="KZU140" s="422"/>
      <c r="KZV140" s="422"/>
      <c r="KZW140" s="422"/>
      <c r="KZX140" s="422"/>
      <c r="KZY140" s="422"/>
      <c r="KZZ140" s="422"/>
      <c r="LAA140" s="422"/>
      <c r="LAB140" s="422"/>
      <c r="LAC140" s="422"/>
      <c r="LAD140" s="422"/>
      <c r="LAE140" s="422"/>
      <c r="LAF140" s="422"/>
      <c r="LAG140" s="422"/>
      <c r="LAH140" s="422"/>
      <c r="LAI140" s="422"/>
      <c r="LAJ140" s="422"/>
      <c r="LAK140" s="422"/>
      <c r="LAL140" s="422"/>
      <c r="LAM140" s="422"/>
      <c r="LAN140" s="422"/>
      <c r="LAO140" s="422"/>
      <c r="LAP140" s="422"/>
      <c r="LAQ140" s="422"/>
      <c r="LAR140" s="422"/>
      <c r="LAS140" s="422"/>
      <c r="LAT140" s="422"/>
      <c r="LAU140" s="422"/>
      <c r="LAV140" s="422"/>
      <c r="LAW140" s="422"/>
      <c r="LAX140" s="422"/>
      <c r="LAY140" s="422"/>
      <c r="LAZ140" s="422"/>
      <c r="LBA140" s="422"/>
      <c r="LBB140" s="422"/>
      <c r="LBC140" s="422"/>
      <c r="LBD140" s="422"/>
      <c r="LBE140" s="422"/>
      <c r="LBF140" s="422"/>
      <c r="LBG140" s="422"/>
      <c r="LBH140" s="422"/>
      <c r="LBI140" s="422"/>
      <c r="LBJ140" s="422"/>
      <c r="LBK140" s="422"/>
      <c r="LBL140" s="422"/>
      <c r="LBM140" s="422"/>
      <c r="LBN140" s="422"/>
      <c r="LBO140" s="422"/>
      <c r="LBP140" s="422"/>
      <c r="LBQ140" s="422"/>
      <c r="LBR140" s="422"/>
      <c r="LBS140" s="422"/>
      <c r="LBT140" s="422"/>
      <c r="LBU140" s="422"/>
      <c r="LBV140" s="422"/>
      <c r="LBW140" s="422"/>
      <c r="LBX140" s="422"/>
      <c r="LBY140" s="422"/>
      <c r="LBZ140" s="422"/>
      <c r="LCA140" s="422"/>
      <c r="LCB140" s="422"/>
      <c r="LCC140" s="422"/>
      <c r="LCD140" s="422"/>
      <c r="LCE140" s="422"/>
      <c r="LCF140" s="422"/>
      <c r="LCG140" s="422"/>
      <c r="LCH140" s="422"/>
      <c r="LCI140" s="422"/>
      <c r="LCJ140" s="422"/>
      <c r="LCK140" s="422"/>
      <c r="LCL140" s="422"/>
      <c r="LCM140" s="422"/>
      <c r="LCN140" s="422"/>
      <c r="LCO140" s="422"/>
      <c r="LCP140" s="422"/>
      <c r="LCQ140" s="422"/>
      <c r="LCR140" s="422"/>
      <c r="LCS140" s="422"/>
      <c r="LCT140" s="422"/>
      <c r="LCU140" s="422"/>
      <c r="LCV140" s="422"/>
      <c r="LCW140" s="422"/>
      <c r="LCX140" s="422"/>
      <c r="LCY140" s="422"/>
      <c r="LCZ140" s="422"/>
      <c r="LDA140" s="422"/>
      <c r="LDB140" s="422"/>
      <c r="LDC140" s="422"/>
      <c r="LDD140" s="422"/>
      <c r="LDE140" s="422"/>
      <c r="LDF140" s="422"/>
      <c r="LDG140" s="422"/>
      <c r="LDH140" s="422"/>
      <c r="LDI140" s="422"/>
      <c r="LDJ140" s="422"/>
      <c r="LDK140" s="422"/>
      <c r="LDL140" s="422"/>
      <c r="LDM140" s="422"/>
      <c r="LDN140" s="422"/>
      <c r="LDO140" s="422"/>
      <c r="LDP140" s="422"/>
      <c r="LDQ140" s="422"/>
      <c r="LDR140" s="422"/>
      <c r="LDS140" s="422"/>
      <c r="LDT140" s="422"/>
      <c r="LDU140" s="422"/>
      <c r="LDV140" s="422"/>
      <c r="LDW140" s="422"/>
      <c r="LDX140" s="422"/>
      <c r="LDY140" s="422"/>
      <c r="LDZ140" s="422"/>
      <c r="LEA140" s="422"/>
      <c r="LEB140" s="422"/>
      <c r="LEC140" s="422"/>
      <c r="LED140" s="422"/>
      <c r="LEE140" s="422"/>
      <c r="LEF140" s="422"/>
      <c r="LEG140" s="422"/>
      <c r="LEH140" s="422"/>
      <c r="LEI140" s="422"/>
      <c r="LEJ140" s="422"/>
      <c r="LEK140" s="422"/>
      <c r="LEL140" s="422"/>
      <c r="LEM140" s="422"/>
      <c r="LEN140" s="422"/>
      <c r="LEO140" s="422"/>
      <c r="LEP140" s="422"/>
      <c r="LEQ140" s="422"/>
      <c r="LER140" s="422"/>
      <c r="LES140" s="422"/>
      <c r="LET140" s="422"/>
      <c r="LEU140" s="422"/>
      <c r="LEV140" s="422"/>
      <c r="LEW140" s="422"/>
      <c r="LEX140" s="422"/>
      <c r="LEY140" s="422"/>
      <c r="LEZ140" s="422"/>
      <c r="LFA140" s="422"/>
      <c r="LFB140" s="422"/>
      <c r="LFC140" s="422"/>
      <c r="LFD140" s="422"/>
      <c r="LFE140" s="422"/>
      <c r="LFF140" s="422"/>
      <c r="LFG140" s="422"/>
      <c r="LFH140" s="422"/>
      <c r="LFI140" s="422"/>
      <c r="LFJ140" s="422"/>
      <c r="LFK140" s="422"/>
      <c r="LFL140" s="422"/>
      <c r="LFM140" s="422"/>
      <c r="LFN140" s="422"/>
      <c r="LFO140" s="422"/>
      <c r="LFP140" s="422"/>
      <c r="LFQ140" s="422"/>
      <c r="LFR140" s="422"/>
      <c r="LFS140" s="422"/>
      <c r="LFT140" s="422"/>
      <c r="LFU140" s="422"/>
      <c r="LFV140" s="422"/>
      <c r="LFW140" s="422"/>
      <c r="LFX140" s="422"/>
      <c r="LFY140" s="422"/>
      <c r="LFZ140" s="422"/>
      <c r="LGA140" s="422"/>
      <c r="LGB140" s="422"/>
      <c r="LGC140" s="422"/>
      <c r="LGD140" s="422"/>
      <c r="LGE140" s="422"/>
      <c r="LGF140" s="422"/>
      <c r="LGG140" s="422"/>
      <c r="LGH140" s="422"/>
      <c r="LGI140" s="422"/>
      <c r="LGJ140" s="422"/>
      <c r="LGK140" s="422"/>
      <c r="LGL140" s="422"/>
      <c r="LGM140" s="422"/>
      <c r="LGN140" s="422"/>
      <c r="LGO140" s="422"/>
      <c r="LGP140" s="422"/>
      <c r="LGQ140" s="422"/>
      <c r="LGR140" s="422"/>
      <c r="LGS140" s="422"/>
      <c r="LGT140" s="422"/>
      <c r="LGU140" s="422"/>
      <c r="LGV140" s="422"/>
      <c r="LGW140" s="422"/>
      <c r="LGX140" s="422"/>
      <c r="LGY140" s="422"/>
      <c r="LGZ140" s="422"/>
      <c r="LHA140" s="422"/>
      <c r="LHB140" s="422"/>
      <c r="LHC140" s="422"/>
      <c r="LHD140" s="422"/>
      <c r="LHE140" s="422"/>
      <c r="LHF140" s="422"/>
      <c r="LHG140" s="422"/>
      <c r="LHH140" s="422"/>
      <c r="LHI140" s="422"/>
      <c r="LHJ140" s="422"/>
      <c r="LHK140" s="422"/>
      <c r="LHL140" s="422"/>
      <c r="LHM140" s="422"/>
      <c r="LHN140" s="422"/>
      <c r="LHO140" s="422"/>
      <c r="LHP140" s="422"/>
      <c r="LHQ140" s="422"/>
      <c r="LHR140" s="422"/>
      <c r="LHS140" s="422"/>
      <c r="LHT140" s="422"/>
      <c r="LHU140" s="422"/>
      <c r="LHV140" s="422"/>
      <c r="LHW140" s="422"/>
      <c r="LHX140" s="422"/>
      <c r="LHY140" s="422"/>
      <c r="LHZ140" s="422"/>
      <c r="LIA140" s="422"/>
      <c r="LIB140" s="422"/>
      <c r="LIC140" s="422"/>
      <c r="LID140" s="422"/>
      <c r="LIE140" s="422"/>
      <c r="LIF140" s="422"/>
      <c r="LIG140" s="422"/>
      <c r="LIH140" s="422"/>
      <c r="LII140" s="422"/>
      <c r="LIJ140" s="422"/>
      <c r="LIK140" s="422"/>
      <c r="LIL140" s="422"/>
      <c r="LIM140" s="422"/>
      <c r="LIN140" s="422"/>
      <c r="LIO140" s="422"/>
      <c r="LIP140" s="422"/>
      <c r="LIQ140" s="422"/>
      <c r="LIR140" s="422"/>
      <c r="LIS140" s="422"/>
      <c r="LIT140" s="422"/>
      <c r="LIU140" s="422"/>
      <c r="LIV140" s="422"/>
      <c r="LIW140" s="422"/>
      <c r="LIX140" s="422"/>
      <c r="LIY140" s="422"/>
      <c r="LIZ140" s="422"/>
      <c r="LJA140" s="422"/>
      <c r="LJB140" s="422"/>
      <c r="LJC140" s="422"/>
      <c r="LJD140" s="422"/>
      <c r="LJE140" s="422"/>
      <c r="LJF140" s="422"/>
      <c r="LJG140" s="422"/>
      <c r="LJH140" s="422"/>
      <c r="LJI140" s="422"/>
      <c r="LJJ140" s="422"/>
      <c r="LJK140" s="422"/>
      <c r="LJL140" s="422"/>
      <c r="LJM140" s="422"/>
      <c r="LJN140" s="422"/>
      <c r="LJO140" s="422"/>
      <c r="LJP140" s="422"/>
      <c r="LJQ140" s="422"/>
      <c r="LJR140" s="422"/>
      <c r="LJS140" s="422"/>
      <c r="LJT140" s="422"/>
      <c r="LJU140" s="422"/>
      <c r="LJV140" s="422"/>
      <c r="LJW140" s="422"/>
      <c r="LJX140" s="422"/>
      <c r="LJY140" s="422"/>
      <c r="LJZ140" s="422"/>
      <c r="LKA140" s="422"/>
      <c r="LKB140" s="422"/>
      <c r="LKC140" s="422"/>
      <c r="LKD140" s="422"/>
      <c r="LKE140" s="422"/>
      <c r="LKF140" s="422"/>
      <c r="LKG140" s="422"/>
      <c r="LKH140" s="422"/>
      <c r="LKI140" s="422"/>
      <c r="LKJ140" s="422"/>
      <c r="LKK140" s="422"/>
      <c r="LKL140" s="422"/>
      <c r="LKM140" s="422"/>
      <c r="LKN140" s="422"/>
      <c r="LKO140" s="422"/>
      <c r="LKP140" s="422"/>
      <c r="LKQ140" s="422"/>
      <c r="LKR140" s="422"/>
      <c r="LKS140" s="422"/>
      <c r="LKT140" s="422"/>
      <c r="LKU140" s="422"/>
      <c r="LKV140" s="422"/>
      <c r="LKW140" s="422"/>
      <c r="LKX140" s="422"/>
      <c r="LKY140" s="422"/>
      <c r="LKZ140" s="422"/>
      <c r="LLA140" s="422"/>
      <c r="LLB140" s="422"/>
      <c r="LLC140" s="422"/>
      <c r="LLD140" s="422"/>
      <c r="LLE140" s="422"/>
      <c r="LLF140" s="422"/>
      <c r="LLG140" s="422"/>
      <c r="LLH140" s="422"/>
      <c r="LLI140" s="422"/>
      <c r="LLJ140" s="422"/>
      <c r="LLK140" s="422"/>
      <c r="LLL140" s="422"/>
      <c r="LLM140" s="422"/>
      <c r="LLN140" s="422"/>
      <c r="LLO140" s="422"/>
      <c r="LLP140" s="422"/>
      <c r="LLQ140" s="422"/>
      <c r="LLR140" s="422"/>
      <c r="LLS140" s="422"/>
      <c r="LLT140" s="422"/>
      <c r="LLU140" s="422"/>
      <c r="LLV140" s="422"/>
      <c r="LLW140" s="422"/>
      <c r="LLX140" s="422"/>
      <c r="LLY140" s="422"/>
      <c r="LLZ140" s="422"/>
      <c r="LMA140" s="422"/>
      <c r="LMB140" s="422"/>
      <c r="LMC140" s="422"/>
      <c r="LMD140" s="422"/>
      <c r="LME140" s="422"/>
      <c r="LMF140" s="422"/>
      <c r="LMG140" s="422"/>
      <c r="LMH140" s="422"/>
      <c r="LMI140" s="422"/>
      <c r="LMJ140" s="422"/>
      <c r="LMK140" s="422"/>
      <c r="LML140" s="422"/>
      <c r="LMM140" s="422"/>
      <c r="LMN140" s="422"/>
      <c r="LMO140" s="422"/>
      <c r="LMP140" s="422"/>
      <c r="LMQ140" s="422"/>
      <c r="LMR140" s="422"/>
      <c r="LMS140" s="422"/>
      <c r="LMT140" s="422"/>
      <c r="LMU140" s="422"/>
      <c r="LMV140" s="422"/>
      <c r="LMW140" s="422"/>
      <c r="LMX140" s="422"/>
      <c r="LMY140" s="422"/>
      <c r="LMZ140" s="422"/>
      <c r="LNA140" s="422"/>
      <c r="LNB140" s="422"/>
      <c r="LNC140" s="422"/>
      <c r="LND140" s="422"/>
      <c r="LNE140" s="422"/>
      <c r="LNF140" s="422"/>
      <c r="LNG140" s="422"/>
      <c r="LNH140" s="422"/>
      <c r="LNI140" s="422"/>
      <c r="LNJ140" s="422"/>
      <c r="LNK140" s="422"/>
      <c r="LNL140" s="422"/>
      <c r="LNM140" s="422"/>
      <c r="LNN140" s="422"/>
      <c r="LNO140" s="422"/>
      <c r="LNP140" s="422"/>
      <c r="LNQ140" s="422"/>
      <c r="LNR140" s="422"/>
      <c r="LNS140" s="422"/>
      <c r="LNT140" s="422"/>
      <c r="LNU140" s="422"/>
      <c r="LNV140" s="422"/>
      <c r="LNW140" s="422"/>
      <c r="LNX140" s="422"/>
      <c r="LNY140" s="422"/>
      <c r="LNZ140" s="422"/>
      <c r="LOA140" s="422"/>
      <c r="LOB140" s="422"/>
      <c r="LOC140" s="422"/>
      <c r="LOD140" s="422"/>
      <c r="LOE140" s="422"/>
      <c r="LOF140" s="422"/>
      <c r="LOG140" s="422"/>
      <c r="LOH140" s="422"/>
      <c r="LOI140" s="422"/>
      <c r="LOJ140" s="422"/>
      <c r="LOK140" s="422"/>
      <c r="LOL140" s="422"/>
      <c r="LOM140" s="422"/>
      <c r="LON140" s="422"/>
      <c r="LOO140" s="422"/>
      <c r="LOP140" s="422"/>
      <c r="LOQ140" s="422"/>
      <c r="LOR140" s="422"/>
      <c r="LOS140" s="422"/>
      <c r="LOT140" s="422"/>
      <c r="LOU140" s="422"/>
      <c r="LOV140" s="422"/>
      <c r="LOW140" s="422"/>
      <c r="LOX140" s="422"/>
      <c r="LOY140" s="422"/>
      <c r="LOZ140" s="422"/>
      <c r="LPA140" s="422"/>
      <c r="LPB140" s="422"/>
      <c r="LPC140" s="422"/>
      <c r="LPD140" s="422"/>
      <c r="LPE140" s="422"/>
      <c r="LPF140" s="422"/>
      <c r="LPG140" s="422"/>
      <c r="LPH140" s="422"/>
      <c r="LPI140" s="422"/>
      <c r="LPJ140" s="422"/>
      <c r="LPK140" s="422"/>
      <c r="LPL140" s="422"/>
      <c r="LPM140" s="422"/>
      <c r="LPN140" s="422"/>
      <c r="LPO140" s="422"/>
      <c r="LPP140" s="422"/>
      <c r="LPQ140" s="422"/>
      <c r="LPR140" s="422"/>
      <c r="LPS140" s="422"/>
      <c r="LPT140" s="422"/>
      <c r="LPU140" s="422"/>
      <c r="LPV140" s="422"/>
      <c r="LPW140" s="422"/>
      <c r="LPX140" s="422"/>
      <c r="LPY140" s="422"/>
      <c r="LPZ140" s="422"/>
      <c r="LQA140" s="422"/>
      <c r="LQB140" s="422"/>
      <c r="LQC140" s="422"/>
      <c r="LQD140" s="422"/>
      <c r="LQE140" s="422"/>
      <c r="LQF140" s="422"/>
      <c r="LQG140" s="422"/>
      <c r="LQH140" s="422"/>
      <c r="LQI140" s="422"/>
      <c r="LQJ140" s="422"/>
      <c r="LQK140" s="422"/>
      <c r="LQL140" s="422"/>
      <c r="LQM140" s="422"/>
      <c r="LQN140" s="422"/>
      <c r="LQO140" s="422"/>
      <c r="LQP140" s="422"/>
      <c r="LQQ140" s="422"/>
      <c r="LQR140" s="422"/>
      <c r="LQS140" s="422"/>
      <c r="LQT140" s="422"/>
      <c r="LQU140" s="422"/>
      <c r="LQV140" s="422"/>
      <c r="LQW140" s="422"/>
      <c r="LQX140" s="422"/>
      <c r="LQY140" s="422"/>
      <c r="LQZ140" s="422"/>
      <c r="LRA140" s="422"/>
      <c r="LRB140" s="422"/>
      <c r="LRC140" s="422"/>
      <c r="LRD140" s="422"/>
      <c r="LRE140" s="422"/>
      <c r="LRF140" s="422"/>
      <c r="LRG140" s="422"/>
      <c r="LRH140" s="422"/>
      <c r="LRI140" s="422"/>
      <c r="LRJ140" s="422"/>
      <c r="LRK140" s="422"/>
      <c r="LRL140" s="422"/>
      <c r="LRM140" s="422"/>
      <c r="LRN140" s="422"/>
      <c r="LRO140" s="422"/>
      <c r="LRP140" s="422"/>
      <c r="LRQ140" s="422"/>
      <c r="LRR140" s="422"/>
      <c r="LRS140" s="422"/>
      <c r="LRT140" s="422"/>
      <c r="LRU140" s="422"/>
      <c r="LRV140" s="422"/>
      <c r="LRW140" s="422"/>
      <c r="LRX140" s="422"/>
      <c r="LRY140" s="422"/>
      <c r="LRZ140" s="422"/>
      <c r="LSA140" s="422"/>
      <c r="LSB140" s="422"/>
      <c r="LSC140" s="422"/>
      <c r="LSD140" s="422"/>
      <c r="LSE140" s="422"/>
      <c r="LSF140" s="422"/>
      <c r="LSG140" s="422"/>
      <c r="LSH140" s="422"/>
      <c r="LSI140" s="422"/>
      <c r="LSJ140" s="422"/>
      <c r="LSK140" s="422"/>
      <c r="LSL140" s="422"/>
      <c r="LSM140" s="422"/>
      <c r="LSN140" s="422"/>
      <c r="LSO140" s="422"/>
      <c r="LSP140" s="422"/>
      <c r="LSQ140" s="422"/>
      <c r="LSR140" s="422"/>
      <c r="LSS140" s="422"/>
      <c r="LST140" s="422"/>
      <c r="LSU140" s="422"/>
      <c r="LSV140" s="422"/>
      <c r="LSW140" s="422"/>
      <c r="LSX140" s="422"/>
      <c r="LSY140" s="422"/>
      <c r="LSZ140" s="422"/>
      <c r="LTA140" s="422"/>
      <c r="LTB140" s="422"/>
      <c r="LTC140" s="422"/>
      <c r="LTD140" s="422"/>
      <c r="LTE140" s="422"/>
      <c r="LTF140" s="422"/>
      <c r="LTG140" s="422"/>
      <c r="LTH140" s="422"/>
      <c r="LTI140" s="422"/>
      <c r="LTJ140" s="422"/>
      <c r="LTK140" s="422"/>
      <c r="LTL140" s="422"/>
      <c r="LTM140" s="422"/>
      <c r="LTN140" s="422"/>
      <c r="LTO140" s="422"/>
      <c r="LTP140" s="422"/>
      <c r="LTQ140" s="422"/>
      <c r="LTR140" s="422"/>
      <c r="LTS140" s="422"/>
      <c r="LTT140" s="422"/>
      <c r="LTU140" s="422"/>
      <c r="LTV140" s="422"/>
      <c r="LTW140" s="422"/>
      <c r="LTX140" s="422"/>
      <c r="LTY140" s="422"/>
      <c r="LTZ140" s="422"/>
      <c r="LUA140" s="422"/>
      <c r="LUB140" s="422"/>
      <c r="LUC140" s="422"/>
      <c r="LUD140" s="422"/>
      <c r="LUE140" s="422"/>
      <c r="LUF140" s="422"/>
      <c r="LUG140" s="422"/>
      <c r="LUH140" s="422"/>
      <c r="LUI140" s="422"/>
      <c r="LUJ140" s="422"/>
      <c r="LUK140" s="422"/>
      <c r="LUL140" s="422"/>
      <c r="LUM140" s="422"/>
      <c r="LUN140" s="422"/>
      <c r="LUO140" s="422"/>
      <c r="LUP140" s="422"/>
      <c r="LUQ140" s="422"/>
      <c r="LUR140" s="422"/>
      <c r="LUS140" s="422"/>
      <c r="LUT140" s="422"/>
      <c r="LUU140" s="422"/>
      <c r="LUV140" s="422"/>
      <c r="LUW140" s="422"/>
      <c r="LUX140" s="422"/>
      <c r="LUY140" s="422"/>
      <c r="LUZ140" s="422"/>
      <c r="LVA140" s="422"/>
      <c r="LVB140" s="422"/>
      <c r="LVC140" s="422"/>
      <c r="LVD140" s="422"/>
      <c r="LVE140" s="422"/>
      <c r="LVF140" s="422"/>
      <c r="LVG140" s="422"/>
      <c r="LVH140" s="422"/>
      <c r="LVI140" s="422"/>
      <c r="LVJ140" s="422"/>
      <c r="LVK140" s="422"/>
      <c r="LVL140" s="422"/>
      <c r="LVM140" s="422"/>
      <c r="LVN140" s="422"/>
      <c r="LVO140" s="422"/>
      <c r="LVP140" s="422"/>
      <c r="LVQ140" s="422"/>
      <c r="LVR140" s="422"/>
      <c r="LVS140" s="422"/>
      <c r="LVT140" s="422"/>
      <c r="LVU140" s="422"/>
      <c r="LVV140" s="422"/>
      <c r="LVW140" s="422"/>
      <c r="LVX140" s="422"/>
      <c r="LVY140" s="422"/>
      <c r="LVZ140" s="422"/>
      <c r="LWA140" s="422"/>
      <c r="LWB140" s="422"/>
      <c r="LWC140" s="422"/>
      <c r="LWD140" s="422"/>
      <c r="LWE140" s="422"/>
      <c r="LWF140" s="422"/>
      <c r="LWG140" s="422"/>
      <c r="LWH140" s="422"/>
      <c r="LWI140" s="422"/>
      <c r="LWJ140" s="422"/>
      <c r="LWK140" s="422"/>
      <c r="LWL140" s="422"/>
      <c r="LWM140" s="422"/>
      <c r="LWN140" s="422"/>
      <c r="LWO140" s="422"/>
      <c r="LWP140" s="422"/>
      <c r="LWQ140" s="422"/>
      <c r="LWR140" s="422"/>
      <c r="LWS140" s="422"/>
      <c r="LWT140" s="422"/>
      <c r="LWU140" s="422"/>
      <c r="LWV140" s="422"/>
      <c r="LWW140" s="422"/>
      <c r="LWX140" s="422"/>
      <c r="LWY140" s="422"/>
      <c r="LWZ140" s="422"/>
      <c r="LXA140" s="422"/>
      <c r="LXB140" s="422"/>
      <c r="LXC140" s="422"/>
      <c r="LXD140" s="422"/>
      <c r="LXE140" s="422"/>
      <c r="LXF140" s="422"/>
      <c r="LXG140" s="422"/>
      <c r="LXH140" s="422"/>
      <c r="LXI140" s="422"/>
      <c r="LXJ140" s="422"/>
      <c r="LXK140" s="422"/>
      <c r="LXL140" s="422"/>
      <c r="LXM140" s="422"/>
      <c r="LXN140" s="422"/>
      <c r="LXO140" s="422"/>
      <c r="LXP140" s="422"/>
      <c r="LXQ140" s="422"/>
      <c r="LXR140" s="422"/>
      <c r="LXS140" s="422"/>
      <c r="LXT140" s="422"/>
      <c r="LXU140" s="422"/>
      <c r="LXV140" s="422"/>
      <c r="LXW140" s="422"/>
      <c r="LXX140" s="422"/>
      <c r="LXY140" s="422"/>
      <c r="LXZ140" s="422"/>
      <c r="LYA140" s="422"/>
      <c r="LYB140" s="422"/>
      <c r="LYC140" s="422"/>
      <c r="LYD140" s="422"/>
      <c r="LYE140" s="422"/>
      <c r="LYF140" s="422"/>
      <c r="LYG140" s="422"/>
      <c r="LYH140" s="422"/>
      <c r="LYI140" s="422"/>
      <c r="LYJ140" s="422"/>
      <c r="LYK140" s="422"/>
      <c r="LYL140" s="422"/>
      <c r="LYM140" s="422"/>
      <c r="LYN140" s="422"/>
      <c r="LYO140" s="422"/>
      <c r="LYP140" s="422"/>
      <c r="LYQ140" s="422"/>
      <c r="LYR140" s="422"/>
      <c r="LYS140" s="422"/>
      <c r="LYT140" s="422"/>
      <c r="LYU140" s="422"/>
      <c r="LYV140" s="422"/>
      <c r="LYW140" s="422"/>
      <c r="LYX140" s="422"/>
      <c r="LYY140" s="422"/>
      <c r="LYZ140" s="422"/>
      <c r="LZA140" s="422"/>
      <c r="LZB140" s="422"/>
      <c r="LZC140" s="422"/>
      <c r="LZD140" s="422"/>
      <c r="LZE140" s="422"/>
      <c r="LZF140" s="422"/>
      <c r="LZG140" s="422"/>
      <c r="LZH140" s="422"/>
      <c r="LZI140" s="422"/>
      <c r="LZJ140" s="422"/>
      <c r="LZK140" s="422"/>
      <c r="LZL140" s="422"/>
      <c r="LZM140" s="422"/>
      <c r="LZN140" s="422"/>
      <c r="LZO140" s="422"/>
      <c r="LZP140" s="422"/>
      <c r="LZQ140" s="422"/>
      <c r="LZR140" s="422"/>
      <c r="LZS140" s="422"/>
      <c r="LZT140" s="422"/>
      <c r="LZU140" s="422"/>
      <c r="LZV140" s="422"/>
      <c r="LZW140" s="422"/>
      <c r="LZX140" s="422"/>
      <c r="LZY140" s="422"/>
      <c r="LZZ140" s="422"/>
      <c r="MAA140" s="422"/>
      <c r="MAB140" s="422"/>
      <c r="MAC140" s="422"/>
      <c r="MAD140" s="422"/>
      <c r="MAE140" s="422"/>
      <c r="MAF140" s="422"/>
      <c r="MAG140" s="422"/>
      <c r="MAH140" s="422"/>
      <c r="MAI140" s="422"/>
      <c r="MAJ140" s="422"/>
      <c r="MAK140" s="422"/>
      <c r="MAL140" s="422"/>
      <c r="MAM140" s="422"/>
      <c r="MAN140" s="422"/>
      <c r="MAO140" s="422"/>
      <c r="MAP140" s="422"/>
      <c r="MAQ140" s="422"/>
      <c r="MAR140" s="422"/>
      <c r="MAS140" s="422"/>
      <c r="MAT140" s="422"/>
      <c r="MAU140" s="422"/>
      <c r="MAV140" s="422"/>
      <c r="MAW140" s="422"/>
      <c r="MAX140" s="422"/>
      <c r="MAY140" s="422"/>
      <c r="MAZ140" s="422"/>
      <c r="MBA140" s="422"/>
      <c r="MBB140" s="422"/>
      <c r="MBC140" s="422"/>
      <c r="MBD140" s="422"/>
      <c r="MBE140" s="422"/>
      <c r="MBF140" s="422"/>
      <c r="MBG140" s="422"/>
      <c r="MBH140" s="422"/>
      <c r="MBI140" s="422"/>
      <c r="MBJ140" s="422"/>
      <c r="MBK140" s="422"/>
      <c r="MBL140" s="422"/>
      <c r="MBM140" s="422"/>
      <c r="MBN140" s="422"/>
      <c r="MBO140" s="422"/>
      <c r="MBP140" s="422"/>
      <c r="MBQ140" s="422"/>
      <c r="MBR140" s="422"/>
      <c r="MBS140" s="422"/>
      <c r="MBT140" s="422"/>
      <c r="MBU140" s="422"/>
      <c r="MBV140" s="422"/>
      <c r="MBW140" s="422"/>
      <c r="MBX140" s="422"/>
      <c r="MBY140" s="422"/>
      <c r="MBZ140" s="422"/>
      <c r="MCA140" s="422"/>
      <c r="MCB140" s="422"/>
      <c r="MCC140" s="422"/>
      <c r="MCD140" s="422"/>
      <c r="MCE140" s="422"/>
      <c r="MCF140" s="422"/>
      <c r="MCG140" s="422"/>
      <c r="MCH140" s="422"/>
      <c r="MCI140" s="422"/>
      <c r="MCJ140" s="422"/>
      <c r="MCK140" s="422"/>
      <c r="MCL140" s="422"/>
      <c r="MCM140" s="422"/>
      <c r="MCN140" s="422"/>
      <c r="MCO140" s="422"/>
      <c r="MCP140" s="422"/>
      <c r="MCQ140" s="422"/>
      <c r="MCR140" s="422"/>
      <c r="MCS140" s="422"/>
      <c r="MCT140" s="422"/>
      <c r="MCU140" s="422"/>
      <c r="MCV140" s="422"/>
      <c r="MCW140" s="422"/>
      <c r="MCX140" s="422"/>
      <c r="MCY140" s="422"/>
      <c r="MCZ140" s="422"/>
      <c r="MDA140" s="422"/>
      <c r="MDB140" s="422"/>
      <c r="MDC140" s="422"/>
      <c r="MDD140" s="422"/>
      <c r="MDE140" s="422"/>
      <c r="MDF140" s="422"/>
      <c r="MDG140" s="422"/>
      <c r="MDH140" s="422"/>
      <c r="MDI140" s="422"/>
      <c r="MDJ140" s="422"/>
      <c r="MDK140" s="422"/>
      <c r="MDL140" s="422"/>
      <c r="MDM140" s="422"/>
      <c r="MDN140" s="422"/>
      <c r="MDO140" s="422"/>
      <c r="MDP140" s="422"/>
      <c r="MDQ140" s="422"/>
      <c r="MDR140" s="422"/>
      <c r="MDS140" s="422"/>
      <c r="MDT140" s="422"/>
      <c r="MDU140" s="422"/>
      <c r="MDV140" s="422"/>
      <c r="MDW140" s="422"/>
      <c r="MDX140" s="422"/>
      <c r="MDY140" s="422"/>
      <c r="MDZ140" s="422"/>
      <c r="MEA140" s="422"/>
      <c r="MEB140" s="422"/>
      <c r="MEC140" s="422"/>
      <c r="MED140" s="422"/>
      <c r="MEE140" s="422"/>
      <c r="MEF140" s="422"/>
      <c r="MEG140" s="422"/>
      <c r="MEH140" s="422"/>
      <c r="MEI140" s="422"/>
      <c r="MEJ140" s="422"/>
      <c r="MEK140" s="422"/>
      <c r="MEL140" s="422"/>
      <c r="MEM140" s="422"/>
      <c r="MEN140" s="422"/>
      <c r="MEO140" s="422"/>
      <c r="MEP140" s="422"/>
      <c r="MEQ140" s="422"/>
      <c r="MER140" s="422"/>
      <c r="MES140" s="422"/>
      <c r="MET140" s="422"/>
      <c r="MEU140" s="422"/>
      <c r="MEV140" s="422"/>
      <c r="MEW140" s="422"/>
      <c r="MEX140" s="422"/>
      <c r="MEY140" s="422"/>
      <c r="MEZ140" s="422"/>
      <c r="MFA140" s="422"/>
      <c r="MFB140" s="422"/>
      <c r="MFC140" s="422"/>
      <c r="MFD140" s="422"/>
      <c r="MFE140" s="422"/>
      <c r="MFF140" s="422"/>
      <c r="MFG140" s="422"/>
      <c r="MFH140" s="422"/>
      <c r="MFI140" s="422"/>
      <c r="MFJ140" s="422"/>
      <c r="MFK140" s="422"/>
      <c r="MFL140" s="422"/>
      <c r="MFM140" s="422"/>
      <c r="MFN140" s="422"/>
      <c r="MFO140" s="422"/>
      <c r="MFP140" s="422"/>
      <c r="MFQ140" s="422"/>
      <c r="MFR140" s="422"/>
      <c r="MFS140" s="422"/>
      <c r="MFT140" s="422"/>
      <c r="MFU140" s="422"/>
      <c r="MFV140" s="422"/>
      <c r="MFW140" s="422"/>
      <c r="MFX140" s="422"/>
      <c r="MFY140" s="422"/>
      <c r="MFZ140" s="422"/>
      <c r="MGA140" s="422"/>
      <c r="MGB140" s="422"/>
      <c r="MGC140" s="422"/>
      <c r="MGD140" s="422"/>
      <c r="MGE140" s="422"/>
      <c r="MGF140" s="422"/>
      <c r="MGG140" s="422"/>
      <c r="MGH140" s="422"/>
      <c r="MGI140" s="422"/>
      <c r="MGJ140" s="422"/>
      <c r="MGK140" s="422"/>
      <c r="MGL140" s="422"/>
      <c r="MGM140" s="422"/>
      <c r="MGN140" s="422"/>
      <c r="MGO140" s="422"/>
      <c r="MGP140" s="422"/>
      <c r="MGQ140" s="422"/>
      <c r="MGR140" s="422"/>
      <c r="MGS140" s="422"/>
      <c r="MGT140" s="422"/>
      <c r="MGU140" s="422"/>
      <c r="MGV140" s="422"/>
      <c r="MGW140" s="422"/>
      <c r="MGX140" s="422"/>
      <c r="MGY140" s="422"/>
      <c r="MGZ140" s="422"/>
      <c r="MHA140" s="422"/>
      <c r="MHB140" s="422"/>
      <c r="MHC140" s="422"/>
      <c r="MHD140" s="422"/>
      <c r="MHE140" s="422"/>
      <c r="MHF140" s="422"/>
      <c r="MHG140" s="422"/>
      <c r="MHH140" s="422"/>
      <c r="MHI140" s="422"/>
      <c r="MHJ140" s="422"/>
      <c r="MHK140" s="422"/>
      <c r="MHL140" s="422"/>
      <c r="MHM140" s="422"/>
      <c r="MHN140" s="422"/>
      <c r="MHO140" s="422"/>
      <c r="MHP140" s="422"/>
      <c r="MHQ140" s="422"/>
      <c r="MHR140" s="422"/>
      <c r="MHS140" s="422"/>
      <c r="MHT140" s="422"/>
      <c r="MHU140" s="422"/>
      <c r="MHV140" s="422"/>
      <c r="MHW140" s="422"/>
      <c r="MHX140" s="422"/>
      <c r="MHY140" s="422"/>
      <c r="MHZ140" s="422"/>
      <c r="MIA140" s="422"/>
      <c r="MIB140" s="422"/>
      <c r="MIC140" s="422"/>
      <c r="MID140" s="422"/>
      <c r="MIE140" s="422"/>
      <c r="MIF140" s="422"/>
      <c r="MIG140" s="422"/>
      <c r="MIH140" s="422"/>
      <c r="MII140" s="422"/>
      <c r="MIJ140" s="422"/>
      <c r="MIK140" s="422"/>
      <c r="MIL140" s="422"/>
      <c r="MIM140" s="422"/>
      <c r="MIN140" s="422"/>
      <c r="MIO140" s="422"/>
      <c r="MIP140" s="422"/>
      <c r="MIQ140" s="422"/>
      <c r="MIR140" s="422"/>
      <c r="MIS140" s="422"/>
      <c r="MIT140" s="422"/>
      <c r="MIU140" s="422"/>
      <c r="MIV140" s="422"/>
      <c r="MIW140" s="422"/>
      <c r="MIX140" s="422"/>
      <c r="MIY140" s="422"/>
      <c r="MIZ140" s="422"/>
      <c r="MJA140" s="422"/>
      <c r="MJB140" s="422"/>
      <c r="MJC140" s="422"/>
      <c r="MJD140" s="422"/>
      <c r="MJE140" s="422"/>
      <c r="MJF140" s="422"/>
      <c r="MJG140" s="422"/>
      <c r="MJH140" s="422"/>
      <c r="MJI140" s="422"/>
      <c r="MJJ140" s="422"/>
      <c r="MJK140" s="422"/>
      <c r="MJL140" s="422"/>
      <c r="MJM140" s="422"/>
      <c r="MJN140" s="422"/>
      <c r="MJO140" s="422"/>
      <c r="MJP140" s="422"/>
      <c r="MJQ140" s="422"/>
      <c r="MJR140" s="422"/>
      <c r="MJS140" s="422"/>
      <c r="MJT140" s="422"/>
      <c r="MJU140" s="422"/>
      <c r="MJV140" s="422"/>
      <c r="MJW140" s="422"/>
      <c r="MJX140" s="422"/>
      <c r="MJY140" s="422"/>
      <c r="MJZ140" s="422"/>
      <c r="MKA140" s="422"/>
      <c r="MKB140" s="422"/>
      <c r="MKC140" s="422"/>
      <c r="MKD140" s="422"/>
      <c r="MKE140" s="422"/>
      <c r="MKF140" s="422"/>
      <c r="MKG140" s="422"/>
      <c r="MKH140" s="422"/>
      <c r="MKI140" s="422"/>
      <c r="MKJ140" s="422"/>
      <c r="MKK140" s="422"/>
      <c r="MKL140" s="422"/>
      <c r="MKM140" s="422"/>
      <c r="MKN140" s="422"/>
      <c r="MKO140" s="422"/>
      <c r="MKP140" s="422"/>
      <c r="MKQ140" s="422"/>
      <c r="MKR140" s="422"/>
      <c r="MKS140" s="422"/>
      <c r="MKT140" s="422"/>
      <c r="MKU140" s="422"/>
      <c r="MKV140" s="422"/>
      <c r="MKW140" s="422"/>
      <c r="MKX140" s="422"/>
      <c r="MKY140" s="422"/>
      <c r="MKZ140" s="422"/>
      <c r="MLA140" s="422"/>
      <c r="MLB140" s="422"/>
      <c r="MLC140" s="422"/>
      <c r="MLD140" s="422"/>
      <c r="MLE140" s="422"/>
      <c r="MLF140" s="422"/>
      <c r="MLG140" s="422"/>
      <c r="MLH140" s="422"/>
      <c r="MLI140" s="422"/>
      <c r="MLJ140" s="422"/>
      <c r="MLK140" s="422"/>
      <c r="MLL140" s="422"/>
      <c r="MLM140" s="422"/>
      <c r="MLN140" s="422"/>
      <c r="MLO140" s="422"/>
      <c r="MLP140" s="422"/>
      <c r="MLQ140" s="422"/>
      <c r="MLR140" s="422"/>
      <c r="MLS140" s="422"/>
      <c r="MLT140" s="422"/>
      <c r="MLU140" s="422"/>
      <c r="MLV140" s="422"/>
      <c r="MLW140" s="422"/>
      <c r="MLX140" s="422"/>
      <c r="MLY140" s="422"/>
      <c r="MLZ140" s="422"/>
      <c r="MMA140" s="422"/>
      <c r="MMB140" s="422"/>
      <c r="MMC140" s="422"/>
      <c r="MMD140" s="422"/>
      <c r="MME140" s="422"/>
      <c r="MMF140" s="422"/>
      <c r="MMG140" s="422"/>
      <c r="MMH140" s="422"/>
      <c r="MMI140" s="422"/>
      <c r="MMJ140" s="422"/>
      <c r="MMK140" s="422"/>
      <c r="MML140" s="422"/>
      <c r="MMM140" s="422"/>
      <c r="MMN140" s="422"/>
      <c r="MMO140" s="422"/>
      <c r="MMP140" s="422"/>
      <c r="MMQ140" s="422"/>
      <c r="MMR140" s="422"/>
      <c r="MMS140" s="422"/>
      <c r="MMT140" s="422"/>
      <c r="MMU140" s="422"/>
      <c r="MMV140" s="422"/>
      <c r="MMW140" s="422"/>
      <c r="MMX140" s="422"/>
      <c r="MMY140" s="422"/>
      <c r="MMZ140" s="422"/>
      <c r="MNA140" s="422"/>
      <c r="MNB140" s="422"/>
      <c r="MNC140" s="422"/>
      <c r="MND140" s="422"/>
      <c r="MNE140" s="422"/>
      <c r="MNF140" s="422"/>
      <c r="MNG140" s="422"/>
      <c r="MNH140" s="422"/>
      <c r="MNI140" s="422"/>
      <c r="MNJ140" s="422"/>
      <c r="MNK140" s="422"/>
      <c r="MNL140" s="422"/>
      <c r="MNM140" s="422"/>
      <c r="MNN140" s="422"/>
      <c r="MNO140" s="422"/>
      <c r="MNP140" s="422"/>
      <c r="MNQ140" s="422"/>
      <c r="MNR140" s="422"/>
      <c r="MNS140" s="422"/>
      <c r="MNT140" s="422"/>
      <c r="MNU140" s="422"/>
      <c r="MNV140" s="422"/>
      <c r="MNW140" s="422"/>
      <c r="MNX140" s="422"/>
      <c r="MNY140" s="422"/>
      <c r="MNZ140" s="422"/>
      <c r="MOA140" s="422"/>
      <c r="MOB140" s="422"/>
      <c r="MOC140" s="422"/>
      <c r="MOD140" s="422"/>
      <c r="MOE140" s="422"/>
      <c r="MOF140" s="422"/>
      <c r="MOG140" s="422"/>
      <c r="MOH140" s="422"/>
      <c r="MOI140" s="422"/>
      <c r="MOJ140" s="422"/>
      <c r="MOK140" s="422"/>
      <c r="MOL140" s="422"/>
      <c r="MOM140" s="422"/>
      <c r="MON140" s="422"/>
      <c r="MOO140" s="422"/>
      <c r="MOP140" s="422"/>
      <c r="MOQ140" s="422"/>
      <c r="MOR140" s="422"/>
      <c r="MOS140" s="422"/>
      <c r="MOT140" s="422"/>
      <c r="MOU140" s="422"/>
      <c r="MOV140" s="422"/>
      <c r="MOW140" s="422"/>
      <c r="MOX140" s="422"/>
      <c r="MOY140" s="422"/>
      <c r="MOZ140" s="422"/>
      <c r="MPA140" s="422"/>
      <c r="MPB140" s="422"/>
      <c r="MPC140" s="422"/>
      <c r="MPD140" s="422"/>
      <c r="MPE140" s="422"/>
      <c r="MPF140" s="422"/>
      <c r="MPG140" s="422"/>
      <c r="MPH140" s="422"/>
      <c r="MPI140" s="422"/>
      <c r="MPJ140" s="422"/>
      <c r="MPK140" s="422"/>
      <c r="MPL140" s="422"/>
      <c r="MPM140" s="422"/>
      <c r="MPN140" s="422"/>
      <c r="MPO140" s="422"/>
      <c r="MPP140" s="422"/>
      <c r="MPQ140" s="422"/>
      <c r="MPR140" s="422"/>
      <c r="MPS140" s="422"/>
      <c r="MPT140" s="422"/>
      <c r="MPU140" s="422"/>
      <c r="MPV140" s="422"/>
      <c r="MPW140" s="422"/>
      <c r="MPX140" s="422"/>
      <c r="MPY140" s="422"/>
      <c r="MPZ140" s="422"/>
      <c r="MQA140" s="422"/>
      <c r="MQB140" s="422"/>
      <c r="MQC140" s="422"/>
      <c r="MQD140" s="422"/>
      <c r="MQE140" s="422"/>
      <c r="MQF140" s="422"/>
      <c r="MQG140" s="422"/>
      <c r="MQH140" s="422"/>
      <c r="MQI140" s="422"/>
      <c r="MQJ140" s="422"/>
      <c r="MQK140" s="422"/>
      <c r="MQL140" s="422"/>
      <c r="MQM140" s="422"/>
      <c r="MQN140" s="422"/>
      <c r="MQO140" s="422"/>
      <c r="MQP140" s="422"/>
      <c r="MQQ140" s="422"/>
      <c r="MQR140" s="422"/>
      <c r="MQS140" s="422"/>
      <c r="MQT140" s="422"/>
      <c r="MQU140" s="422"/>
      <c r="MQV140" s="422"/>
      <c r="MQW140" s="422"/>
      <c r="MQX140" s="422"/>
      <c r="MQY140" s="422"/>
      <c r="MQZ140" s="422"/>
      <c r="MRA140" s="422"/>
      <c r="MRB140" s="422"/>
      <c r="MRC140" s="422"/>
      <c r="MRD140" s="422"/>
      <c r="MRE140" s="422"/>
      <c r="MRF140" s="422"/>
      <c r="MRG140" s="422"/>
      <c r="MRH140" s="422"/>
      <c r="MRI140" s="422"/>
      <c r="MRJ140" s="422"/>
      <c r="MRK140" s="422"/>
      <c r="MRL140" s="422"/>
      <c r="MRM140" s="422"/>
      <c r="MRN140" s="422"/>
      <c r="MRO140" s="422"/>
      <c r="MRP140" s="422"/>
      <c r="MRQ140" s="422"/>
      <c r="MRR140" s="422"/>
      <c r="MRS140" s="422"/>
      <c r="MRT140" s="422"/>
      <c r="MRU140" s="422"/>
      <c r="MRV140" s="422"/>
      <c r="MRW140" s="422"/>
      <c r="MRX140" s="422"/>
      <c r="MRY140" s="422"/>
      <c r="MRZ140" s="422"/>
      <c r="MSA140" s="422"/>
      <c r="MSB140" s="422"/>
      <c r="MSC140" s="422"/>
      <c r="MSD140" s="422"/>
      <c r="MSE140" s="422"/>
      <c r="MSF140" s="422"/>
      <c r="MSG140" s="422"/>
      <c r="MSH140" s="422"/>
      <c r="MSI140" s="422"/>
      <c r="MSJ140" s="422"/>
      <c r="MSK140" s="422"/>
      <c r="MSL140" s="422"/>
      <c r="MSM140" s="422"/>
      <c r="MSN140" s="422"/>
      <c r="MSO140" s="422"/>
      <c r="MSP140" s="422"/>
      <c r="MSQ140" s="422"/>
      <c r="MSR140" s="422"/>
      <c r="MSS140" s="422"/>
      <c r="MST140" s="422"/>
      <c r="MSU140" s="422"/>
      <c r="MSV140" s="422"/>
      <c r="MSW140" s="422"/>
      <c r="MSX140" s="422"/>
      <c r="MSY140" s="422"/>
      <c r="MSZ140" s="422"/>
      <c r="MTA140" s="422"/>
      <c r="MTB140" s="422"/>
      <c r="MTC140" s="422"/>
      <c r="MTD140" s="422"/>
      <c r="MTE140" s="422"/>
      <c r="MTF140" s="422"/>
      <c r="MTG140" s="422"/>
      <c r="MTH140" s="422"/>
      <c r="MTI140" s="422"/>
      <c r="MTJ140" s="422"/>
      <c r="MTK140" s="422"/>
      <c r="MTL140" s="422"/>
      <c r="MTM140" s="422"/>
      <c r="MTN140" s="422"/>
      <c r="MTO140" s="422"/>
      <c r="MTP140" s="422"/>
      <c r="MTQ140" s="422"/>
      <c r="MTR140" s="422"/>
      <c r="MTS140" s="422"/>
      <c r="MTT140" s="422"/>
      <c r="MTU140" s="422"/>
      <c r="MTV140" s="422"/>
      <c r="MTW140" s="422"/>
      <c r="MTX140" s="422"/>
      <c r="MTY140" s="422"/>
      <c r="MTZ140" s="422"/>
      <c r="MUA140" s="422"/>
      <c r="MUB140" s="422"/>
      <c r="MUC140" s="422"/>
      <c r="MUD140" s="422"/>
      <c r="MUE140" s="422"/>
      <c r="MUF140" s="422"/>
      <c r="MUG140" s="422"/>
      <c r="MUH140" s="422"/>
      <c r="MUI140" s="422"/>
      <c r="MUJ140" s="422"/>
      <c r="MUK140" s="422"/>
      <c r="MUL140" s="422"/>
      <c r="MUM140" s="422"/>
      <c r="MUN140" s="422"/>
      <c r="MUO140" s="422"/>
      <c r="MUP140" s="422"/>
      <c r="MUQ140" s="422"/>
      <c r="MUR140" s="422"/>
      <c r="MUS140" s="422"/>
      <c r="MUT140" s="422"/>
      <c r="MUU140" s="422"/>
      <c r="MUV140" s="422"/>
      <c r="MUW140" s="422"/>
      <c r="MUX140" s="422"/>
      <c r="MUY140" s="422"/>
      <c r="MUZ140" s="422"/>
      <c r="MVA140" s="422"/>
      <c r="MVB140" s="422"/>
      <c r="MVC140" s="422"/>
      <c r="MVD140" s="422"/>
      <c r="MVE140" s="422"/>
      <c r="MVF140" s="422"/>
      <c r="MVG140" s="422"/>
      <c r="MVH140" s="422"/>
      <c r="MVI140" s="422"/>
      <c r="MVJ140" s="422"/>
      <c r="MVK140" s="422"/>
      <c r="MVL140" s="422"/>
      <c r="MVM140" s="422"/>
      <c r="MVN140" s="422"/>
      <c r="MVO140" s="422"/>
      <c r="MVP140" s="422"/>
      <c r="MVQ140" s="422"/>
      <c r="MVR140" s="422"/>
      <c r="MVS140" s="422"/>
      <c r="MVT140" s="422"/>
      <c r="MVU140" s="422"/>
      <c r="MVV140" s="422"/>
      <c r="MVW140" s="422"/>
      <c r="MVX140" s="422"/>
      <c r="MVY140" s="422"/>
      <c r="MVZ140" s="422"/>
      <c r="MWA140" s="422"/>
      <c r="MWB140" s="422"/>
      <c r="MWC140" s="422"/>
      <c r="MWD140" s="422"/>
      <c r="MWE140" s="422"/>
      <c r="MWF140" s="422"/>
      <c r="MWG140" s="422"/>
      <c r="MWH140" s="422"/>
      <c r="MWI140" s="422"/>
      <c r="MWJ140" s="422"/>
      <c r="MWK140" s="422"/>
      <c r="MWL140" s="422"/>
      <c r="MWM140" s="422"/>
      <c r="MWN140" s="422"/>
      <c r="MWO140" s="422"/>
      <c r="MWP140" s="422"/>
      <c r="MWQ140" s="422"/>
      <c r="MWR140" s="422"/>
      <c r="MWS140" s="422"/>
      <c r="MWT140" s="422"/>
      <c r="MWU140" s="422"/>
      <c r="MWV140" s="422"/>
      <c r="MWW140" s="422"/>
      <c r="MWX140" s="422"/>
      <c r="MWY140" s="422"/>
      <c r="MWZ140" s="422"/>
      <c r="MXA140" s="422"/>
      <c r="MXB140" s="422"/>
      <c r="MXC140" s="422"/>
      <c r="MXD140" s="422"/>
      <c r="MXE140" s="422"/>
      <c r="MXF140" s="422"/>
      <c r="MXG140" s="422"/>
      <c r="MXH140" s="422"/>
      <c r="MXI140" s="422"/>
      <c r="MXJ140" s="422"/>
      <c r="MXK140" s="422"/>
      <c r="MXL140" s="422"/>
      <c r="MXM140" s="422"/>
      <c r="MXN140" s="422"/>
      <c r="MXO140" s="422"/>
      <c r="MXP140" s="422"/>
      <c r="MXQ140" s="422"/>
      <c r="MXR140" s="422"/>
      <c r="MXS140" s="422"/>
      <c r="MXT140" s="422"/>
      <c r="MXU140" s="422"/>
      <c r="MXV140" s="422"/>
      <c r="MXW140" s="422"/>
      <c r="MXX140" s="422"/>
      <c r="MXY140" s="422"/>
      <c r="MXZ140" s="422"/>
      <c r="MYA140" s="422"/>
      <c r="MYB140" s="422"/>
      <c r="MYC140" s="422"/>
      <c r="MYD140" s="422"/>
      <c r="MYE140" s="422"/>
      <c r="MYF140" s="422"/>
      <c r="MYG140" s="422"/>
      <c r="MYH140" s="422"/>
      <c r="MYI140" s="422"/>
      <c r="MYJ140" s="422"/>
      <c r="MYK140" s="422"/>
      <c r="MYL140" s="422"/>
      <c r="MYM140" s="422"/>
      <c r="MYN140" s="422"/>
      <c r="MYO140" s="422"/>
      <c r="MYP140" s="422"/>
      <c r="MYQ140" s="422"/>
      <c r="MYR140" s="422"/>
      <c r="MYS140" s="422"/>
      <c r="MYT140" s="422"/>
      <c r="MYU140" s="422"/>
      <c r="MYV140" s="422"/>
      <c r="MYW140" s="422"/>
      <c r="MYX140" s="422"/>
      <c r="MYY140" s="422"/>
      <c r="MYZ140" s="422"/>
      <c r="MZA140" s="422"/>
      <c r="MZB140" s="422"/>
      <c r="MZC140" s="422"/>
      <c r="MZD140" s="422"/>
      <c r="MZE140" s="422"/>
      <c r="MZF140" s="422"/>
      <c r="MZG140" s="422"/>
      <c r="MZH140" s="422"/>
      <c r="MZI140" s="422"/>
      <c r="MZJ140" s="422"/>
      <c r="MZK140" s="422"/>
      <c r="MZL140" s="422"/>
      <c r="MZM140" s="422"/>
      <c r="MZN140" s="422"/>
      <c r="MZO140" s="422"/>
      <c r="MZP140" s="422"/>
      <c r="MZQ140" s="422"/>
      <c r="MZR140" s="422"/>
      <c r="MZS140" s="422"/>
      <c r="MZT140" s="422"/>
      <c r="MZU140" s="422"/>
      <c r="MZV140" s="422"/>
      <c r="MZW140" s="422"/>
      <c r="MZX140" s="422"/>
      <c r="MZY140" s="422"/>
      <c r="MZZ140" s="422"/>
      <c r="NAA140" s="422"/>
      <c r="NAB140" s="422"/>
      <c r="NAC140" s="422"/>
      <c r="NAD140" s="422"/>
      <c r="NAE140" s="422"/>
      <c r="NAF140" s="422"/>
      <c r="NAG140" s="422"/>
      <c r="NAH140" s="422"/>
      <c r="NAI140" s="422"/>
      <c r="NAJ140" s="422"/>
      <c r="NAK140" s="422"/>
      <c r="NAL140" s="422"/>
      <c r="NAM140" s="422"/>
      <c r="NAN140" s="422"/>
      <c r="NAO140" s="422"/>
      <c r="NAP140" s="422"/>
      <c r="NAQ140" s="422"/>
      <c r="NAR140" s="422"/>
      <c r="NAS140" s="422"/>
      <c r="NAT140" s="422"/>
      <c r="NAU140" s="422"/>
      <c r="NAV140" s="422"/>
      <c r="NAW140" s="422"/>
      <c r="NAX140" s="422"/>
      <c r="NAY140" s="422"/>
      <c r="NAZ140" s="422"/>
      <c r="NBA140" s="422"/>
      <c r="NBB140" s="422"/>
      <c r="NBC140" s="422"/>
      <c r="NBD140" s="422"/>
      <c r="NBE140" s="422"/>
      <c r="NBF140" s="422"/>
      <c r="NBG140" s="422"/>
      <c r="NBH140" s="422"/>
      <c r="NBI140" s="422"/>
      <c r="NBJ140" s="422"/>
      <c r="NBK140" s="422"/>
      <c r="NBL140" s="422"/>
      <c r="NBM140" s="422"/>
      <c r="NBN140" s="422"/>
      <c r="NBO140" s="422"/>
      <c r="NBP140" s="422"/>
      <c r="NBQ140" s="422"/>
      <c r="NBR140" s="422"/>
      <c r="NBS140" s="422"/>
      <c r="NBT140" s="422"/>
      <c r="NBU140" s="422"/>
      <c r="NBV140" s="422"/>
      <c r="NBW140" s="422"/>
      <c r="NBX140" s="422"/>
      <c r="NBY140" s="422"/>
      <c r="NBZ140" s="422"/>
      <c r="NCA140" s="422"/>
      <c r="NCB140" s="422"/>
      <c r="NCC140" s="422"/>
      <c r="NCD140" s="422"/>
      <c r="NCE140" s="422"/>
      <c r="NCF140" s="422"/>
      <c r="NCG140" s="422"/>
      <c r="NCH140" s="422"/>
      <c r="NCI140" s="422"/>
      <c r="NCJ140" s="422"/>
      <c r="NCK140" s="422"/>
      <c r="NCL140" s="422"/>
      <c r="NCM140" s="422"/>
      <c r="NCN140" s="422"/>
      <c r="NCO140" s="422"/>
      <c r="NCP140" s="422"/>
      <c r="NCQ140" s="422"/>
      <c r="NCR140" s="422"/>
      <c r="NCS140" s="422"/>
      <c r="NCT140" s="422"/>
      <c r="NCU140" s="422"/>
      <c r="NCV140" s="422"/>
      <c r="NCW140" s="422"/>
      <c r="NCX140" s="422"/>
      <c r="NCY140" s="422"/>
      <c r="NCZ140" s="422"/>
      <c r="NDA140" s="422"/>
      <c r="NDB140" s="422"/>
      <c r="NDC140" s="422"/>
      <c r="NDD140" s="422"/>
      <c r="NDE140" s="422"/>
      <c r="NDF140" s="422"/>
      <c r="NDG140" s="422"/>
      <c r="NDH140" s="422"/>
      <c r="NDI140" s="422"/>
      <c r="NDJ140" s="422"/>
      <c r="NDK140" s="422"/>
      <c r="NDL140" s="422"/>
      <c r="NDM140" s="422"/>
      <c r="NDN140" s="422"/>
      <c r="NDO140" s="422"/>
      <c r="NDP140" s="422"/>
      <c r="NDQ140" s="422"/>
      <c r="NDR140" s="422"/>
      <c r="NDS140" s="422"/>
      <c r="NDT140" s="422"/>
      <c r="NDU140" s="422"/>
      <c r="NDV140" s="422"/>
      <c r="NDW140" s="422"/>
      <c r="NDX140" s="422"/>
      <c r="NDY140" s="422"/>
      <c r="NDZ140" s="422"/>
      <c r="NEA140" s="422"/>
      <c r="NEB140" s="422"/>
      <c r="NEC140" s="422"/>
      <c r="NED140" s="422"/>
      <c r="NEE140" s="422"/>
      <c r="NEF140" s="422"/>
      <c r="NEG140" s="422"/>
      <c r="NEH140" s="422"/>
      <c r="NEI140" s="422"/>
      <c r="NEJ140" s="422"/>
      <c r="NEK140" s="422"/>
      <c r="NEL140" s="422"/>
      <c r="NEM140" s="422"/>
      <c r="NEN140" s="422"/>
      <c r="NEO140" s="422"/>
      <c r="NEP140" s="422"/>
      <c r="NEQ140" s="422"/>
      <c r="NER140" s="422"/>
      <c r="NES140" s="422"/>
      <c r="NET140" s="422"/>
      <c r="NEU140" s="422"/>
      <c r="NEV140" s="422"/>
      <c r="NEW140" s="422"/>
      <c r="NEX140" s="422"/>
      <c r="NEY140" s="422"/>
      <c r="NEZ140" s="422"/>
      <c r="NFA140" s="422"/>
      <c r="NFB140" s="422"/>
      <c r="NFC140" s="422"/>
      <c r="NFD140" s="422"/>
      <c r="NFE140" s="422"/>
      <c r="NFF140" s="422"/>
      <c r="NFG140" s="422"/>
      <c r="NFH140" s="422"/>
      <c r="NFI140" s="422"/>
      <c r="NFJ140" s="422"/>
      <c r="NFK140" s="422"/>
      <c r="NFL140" s="422"/>
      <c r="NFM140" s="422"/>
      <c r="NFN140" s="422"/>
      <c r="NFO140" s="422"/>
      <c r="NFP140" s="422"/>
      <c r="NFQ140" s="422"/>
      <c r="NFR140" s="422"/>
      <c r="NFS140" s="422"/>
      <c r="NFT140" s="422"/>
      <c r="NFU140" s="422"/>
      <c r="NFV140" s="422"/>
      <c r="NFW140" s="422"/>
      <c r="NFX140" s="422"/>
      <c r="NFY140" s="422"/>
      <c r="NFZ140" s="422"/>
      <c r="NGA140" s="422"/>
      <c r="NGB140" s="422"/>
      <c r="NGC140" s="422"/>
      <c r="NGD140" s="422"/>
      <c r="NGE140" s="422"/>
      <c r="NGF140" s="422"/>
      <c r="NGG140" s="422"/>
      <c r="NGH140" s="422"/>
      <c r="NGI140" s="422"/>
      <c r="NGJ140" s="422"/>
      <c r="NGK140" s="422"/>
      <c r="NGL140" s="422"/>
      <c r="NGM140" s="422"/>
      <c r="NGN140" s="422"/>
      <c r="NGO140" s="422"/>
      <c r="NGP140" s="422"/>
      <c r="NGQ140" s="422"/>
      <c r="NGR140" s="422"/>
      <c r="NGS140" s="422"/>
      <c r="NGT140" s="422"/>
      <c r="NGU140" s="422"/>
      <c r="NGV140" s="422"/>
      <c r="NGW140" s="422"/>
      <c r="NGX140" s="422"/>
      <c r="NGY140" s="422"/>
      <c r="NGZ140" s="422"/>
      <c r="NHA140" s="422"/>
      <c r="NHB140" s="422"/>
      <c r="NHC140" s="422"/>
      <c r="NHD140" s="422"/>
      <c r="NHE140" s="422"/>
      <c r="NHF140" s="422"/>
      <c r="NHG140" s="422"/>
      <c r="NHH140" s="422"/>
      <c r="NHI140" s="422"/>
      <c r="NHJ140" s="422"/>
      <c r="NHK140" s="422"/>
      <c r="NHL140" s="422"/>
      <c r="NHM140" s="422"/>
      <c r="NHN140" s="422"/>
      <c r="NHO140" s="422"/>
      <c r="NHP140" s="422"/>
      <c r="NHQ140" s="422"/>
      <c r="NHR140" s="422"/>
      <c r="NHS140" s="422"/>
      <c r="NHT140" s="422"/>
      <c r="NHU140" s="422"/>
      <c r="NHV140" s="422"/>
      <c r="NHW140" s="422"/>
      <c r="NHX140" s="422"/>
      <c r="NHY140" s="422"/>
      <c r="NHZ140" s="422"/>
      <c r="NIA140" s="422"/>
      <c r="NIB140" s="422"/>
      <c r="NIC140" s="422"/>
      <c r="NID140" s="422"/>
      <c r="NIE140" s="422"/>
      <c r="NIF140" s="422"/>
      <c r="NIG140" s="422"/>
      <c r="NIH140" s="422"/>
      <c r="NII140" s="422"/>
      <c r="NIJ140" s="422"/>
      <c r="NIK140" s="422"/>
      <c r="NIL140" s="422"/>
      <c r="NIM140" s="422"/>
      <c r="NIN140" s="422"/>
      <c r="NIO140" s="422"/>
      <c r="NIP140" s="422"/>
      <c r="NIQ140" s="422"/>
      <c r="NIR140" s="422"/>
      <c r="NIS140" s="422"/>
      <c r="NIT140" s="422"/>
      <c r="NIU140" s="422"/>
      <c r="NIV140" s="422"/>
      <c r="NIW140" s="422"/>
      <c r="NIX140" s="422"/>
      <c r="NIY140" s="422"/>
      <c r="NIZ140" s="422"/>
      <c r="NJA140" s="422"/>
      <c r="NJB140" s="422"/>
      <c r="NJC140" s="422"/>
      <c r="NJD140" s="422"/>
      <c r="NJE140" s="422"/>
      <c r="NJF140" s="422"/>
      <c r="NJG140" s="422"/>
      <c r="NJH140" s="422"/>
      <c r="NJI140" s="422"/>
      <c r="NJJ140" s="422"/>
      <c r="NJK140" s="422"/>
      <c r="NJL140" s="422"/>
      <c r="NJM140" s="422"/>
      <c r="NJN140" s="422"/>
      <c r="NJO140" s="422"/>
      <c r="NJP140" s="422"/>
      <c r="NJQ140" s="422"/>
      <c r="NJR140" s="422"/>
      <c r="NJS140" s="422"/>
      <c r="NJT140" s="422"/>
      <c r="NJU140" s="422"/>
      <c r="NJV140" s="422"/>
      <c r="NJW140" s="422"/>
      <c r="NJX140" s="422"/>
      <c r="NJY140" s="422"/>
      <c r="NJZ140" s="422"/>
      <c r="NKA140" s="422"/>
      <c r="NKB140" s="422"/>
      <c r="NKC140" s="422"/>
      <c r="NKD140" s="422"/>
      <c r="NKE140" s="422"/>
      <c r="NKF140" s="422"/>
      <c r="NKG140" s="422"/>
      <c r="NKH140" s="422"/>
      <c r="NKI140" s="422"/>
      <c r="NKJ140" s="422"/>
      <c r="NKK140" s="422"/>
      <c r="NKL140" s="422"/>
      <c r="NKM140" s="422"/>
      <c r="NKN140" s="422"/>
      <c r="NKO140" s="422"/>
      <c r="NKP140" s="422"/>
      <c r="NKQ140" s="422"/>
      <c r="NKR140" s="422"/>
      <c r="NKS140" s="422"/>
      <c r="NKT140" s="422"/>
      <c r="NKU140" s="422"/>
      <c r="NKV140" s="422"/>
      <c r="NKW140" s="422"/>
      <c r="NKX140" s="422"/>
      <c r="NKY140" s="422"/>
      <c r="NKZ140" s="422"/>
      <c r="NLA140" s="422"/>
      <c r="NLB140" s="422"/>
      <c r="NLC140" s="422"/>
      <c r="NLD140" s="422"/>
      <c r="NLE140" s="422"/>
      <c r="NLF140" s="422"/>
      <c r="NLG140" s="422"/>
      <c r="NLH140" s="422"/>
      <c r="NLI140" s="422"/>
      <c r="NLJ140" s="422"/>
      <c r="NLK140" s="422"/>
      <c r="NLL140" s="422"/>
      <c r="NLM140" s="422"/>
      <c r="NLN140" s="422"/>
      <c r="NLO140" s="422"/>
      <c r="NLP140" s="422"/>
      <c r="NLQ140" s="422"/>
      <c r="NLR140" s="422"/>
      <c r="NLS140" s="422"/>
      <c r="NLT140" s="422"/>
      <c r="NLU140" s="422"/>
      <c r="NLV140" s="422"/>
      <c r="NLW140" s="422"/>
      <c r="NLX140" s="422"/>
      <c r="NLY140" s="422"/>
      <c r="NLZ140" s="422"/>
      <c r="NMA140" s="422"/>
      <c r="NMB140" s="422"/>
      <c r="NMC140" s="422"/>
      <c r="NMD140" s="422"/>
      <c r="NME140" s="422"/>
      <c r="NMF140" s="422"/>
      <c r="NMG140" s="422"/>
      <c r="NMH140" s="422"/>
      <c r="NMI140" s="422"/>
      <c r="NMJ140" s="422"/>
      <c r="NMK140" s="422"/>
      <c r="NML140" s="422"/>
      <c r="NMM140" s="422"/>
      <c r="NMN140" s="422"/>
      <c r="NMO140" s="422"/>
      <c r="NMP140" s="422"/>
      <c r="NMQ140" s="422"/>
      <c r="NMR140" s="422"/>
      <c r="NMS140" s="422"/>
      <c r="NMT140" s="422"/>
      <c r="NMU140" s="422"/>
      <c r="NMV140" s="422"/>
      <c r="NMW140" s="422"/>
      <c r="NMX140" s="422"/>
      <c r="NMY140" s="422"/>
      <c r="NMZ140" s="422"/>
      <c r="NNA140" s="422"/>
      <c r="NNB140" s="422"/>
      <c r="NNC140" s="422"/>
      <c r="NND140" s="422"/>
      <c r="NNE140" s="422"/>
      <c r="NNF140" s="422"/>
      <c r="NNG140" s="422"/>
      <c r="NNH140" s="422"/>
      <c r="NNI140" s="422"/>
      <c r="NNJ140" s="422"/>
      <c r="NNK140" s="422"/>
      <c r="NNL140" s="422"/>
      <c r="NNM140" s="422"/>
      <c r="NNN140" s="422"/>
      <c r="NNO140" s="422"/>
      <c r="NNP140" s="422"/>
      <c r="NNQ140" s="422"/>
      <c r="NNR140" s="422"/>
      <c r="NNS140" s="422"/>
      <c r="NNT140" s="422"/>
      <c r="NNU140" s="422"/>
      <c r="NNV140" s="422"/>
      <c r="NNW140" s="422"/>
      <c r="NNX140" s="422"/>
      <c r="NNY140" s="422"/>
      <c r="NNZ140" s="422"/>
      <c r="NOA140" s="422"/>
      <c r="NOB140" s="422"/>
      <c r="NOC140" s="422"/>
      <c r="NOD140" s="422"/>
      <c r="NOE140" s="422"/>
      <c r="NOF140" s="422"/>
      <c r="NOG140" s="422"/>
      <c r="NOH140" s="422"/>
      <c r="NOI140" s="422"/>
      <c r="NOJ140" s="422"/>
      <c r="NOK140" s="422"/>
      <c r="NOL140" s="422"/>
      <c r="NOM140" s="422"/>
      <c r="NON140" s="422"/>
      <c r="NOO140" s="422"/>
      <c r="NOP140" s="422"/>
      <c r="NOQ140" s="422"/>
      <c r="NOR140" s="422"/>
      <c r="NOS140" s="422"/>
      <c r="NOT140" s="422"/>
      <c r="NOU140" s="422"/>
      <c r="NOV140" s="422"/>
      <c r="NOW140" s="422"/>
      <c r="NOX140" s="422"/>
      <c r="NOY140" s="422"/>
      <c r="NOZ140" s="422"/>
      <c r="NPA140" s="422"/>
      <c r="NPB140" s="422"/>
      <c r="NPC140" s="422"/>
      <c r="NPD140" s="422"/>
      <c r="NPE140" s="422"/>
      <c r="NPF140" s="422"/>
      <c r="NPG140" s="422"/>
      <c r="NPH140" s="422"/>
      <c r="NPI140" s="422"/>
      <c r="NPJ140" s="422"/>
      <c r="NPK140" s="422"/>
      <c r="NPL140" s="422"/>
      <c r="NPM140" s="422"/>
      <c r="NPN140" s="422"/>
      <c r="NPO140" s="422"/>
      <c r="NPP140" s="422"/>
      <c r="NPQ140" s="422"/>
      <c r="NPR140" s="422"/>
      <c r="NPS140" s="422"/>
      <c r="NPT140" s="422"/>
      <c r="NPU140" s="422"/>
      <c r="NPV140" s="422"/>
      <c r="NPW140" s="422"/>
      <c r="NPX140" s="422"/>
      <c r="NPY140" s="422"/>
      <c r="NPZ140" s="422"/>
      <c r="NQA140" s="422"/>
      <c r="NQB140" s="422"/>
      <c r="NQC140" s="422"/>
      <c r="NQD140" s="422"/>
      <c r="NQE140" s="422"/>
      <c r="NQF140" s="422"/>
      <c r="NQG140" s="422"/>
      <c r="NQH140" s="422"/>
      <c r="NQI140" s="422"/>
      <c r="NQJ140" s="422"/>
      <c r="NQK140" s="422"/>
      <c r="NQL140" s="422"/>
      <c r="NQM140" s="422"/>
      <c r="NQN140" s="422"/>
      <c r="NQO140" s="422"/>
      <c r="NQP140" s="422"/>
      <c r="NQQ140" s="422"/>
      <c r="NQR140" s="422"/>
      <c r="NQS140" s="422"/>
      <c r="NQT140" s="422"/>
      <c r="NQU140" s="422"/>
      <c r="NQV140" s="422"/>
      <c r="NQW140" s="422"/>
      <c r="NQX140" s="422"/>
      <c r="NQY140" s="422"/>
      <c r="NQZ140" s="422"/>
      <c r="NRA140" s="422"/>
      <c r="NRB140" s="422"/>
      <c r="NRC140" s="422"/>
      <c r="NRD140" s="422"/>
      <c r="NRE140" s="422"/>
      <c r="NRF140" s="422"/>
      <c r="NRG140" s="422"/>
      <c r="NRH140" s="422"/>
      <c r="NRI140" s="422"/>
      <c r="NRJ140" s="422"/>
      <c r="NRK140" s="422"/>
      <c r="NRL140" s="422"/>
      <c r="NRM140" s="422"/>
      <c r="NRN140" s="422"/>
      <c r="NRO140" s="422"/>
      <c r="NRP140" s="422"/>
      <c r="NRQ140" s="422"/>
      <c r="NRR140" s="422"/>
      <c r="NRS140" s="422"/>
      <c r="NRT140" s="422"/>
      <c r="NRU140" s="422"/>
      <c r="NRV140" s="422"/>
      <c r="NRW140" s="422"/>
      <c r="NRX140" s="422"/>
      <c r="NRY140" s="422"/>
      <c r="NRZ140" s="422"/>
      <c r="NSA140" s="422"/>
      <c r="NSB140" s="422"/>
      <c r="NSC140" s="422"/>
      <c r="NSD140" s="422"/>
      <c r="NSE140" s="422"/>
      <c r="NSF140" s="422"/>
      <c r="NSG140" s="422"/>
      <c r="NSH140" s="422"/>
      <c r="NSI140" s="422"/>
      <c r="NSJ140" s="422"/>
      <c r="NSK140" s="422"/>
      <c r="NSL140" s="422"/>
      <c r="NSM140" s="422"/>
      <c r="NSN140" s="422"/>
      <c r="NSO140" s="422"/>
      <c r="NSP140" s="422"/>
      <c r="NSQ140" s="422"/>
      <c r="NSR140" s="422"/>
      <c r="NSS140" s="422"/>
      <c r="NST140" s="422"/>
      <c r="NSU140" s="422"/>
      <c r="NSV140" s="422"/>
      <c r="NSW140" s="422"/>
      <c r="NSX140" s="422"/>
      <c r="NSY140" s="422"/>
      <c r="NSZ140" s="422"/>
      <c r="NTA140" s="422"/>
      <c r="NTB140" s="422"/>
      <c r="NTC140" s="422"/>
      <c r="NTD140" s="422"/>
      <c r="NTE140" s="422"/>
      <c r="NTF140" s="422"/>
      <c r="NTG140" s="422"/>
      <c r="NTH140" s="422"/>
      <c r="NTI140" s="422"/>
      <c r="NTJ140" s="422"/>
      <c r="NTK140" s="422"/>
      <c r="NTL140" s="422"/>
      <c r="NTM140" s="422"/>
      <c r="NTN140" s="422"/>
      <c r="NTO140" s="422"/>
      <c r="NTP140" s="422"/>
      <c r="NTQ140" s="422"/>
      <c r="NTR140" s="422"/>
      <c r="NTS140" s="422"/>
      <c r="NTT140" s="422"/>
      <c r="NTU140" s="422"/>
      <c r="NTV140" s="422"/>
      <c r="NTW140" s="422"/>
      <c r="NTX140" s="422"/>
      <c r="NTY140" s="422"/>
      <c r="NTZ140" s="422"/>
      <c r="NUA140" s="422"/>
      <c r="NUB140" s="422"/>
      <c r="NUC140" s="422"/>
      <c r="NUD140" s="422"/>
      <c r="NUE140" s="422"/>
      <c r="NUF140" s="422"/>
      <c r="NUG140" s="422"/>
      <c r="NUH140" s="422"/>
      <c r="NUI140" s="422"/>
      <c r="NUJ140" s="422"/>
      <c r="NUK140" s="422"/>
      <c r="NUL140" s="422"/>
      <c r="NUM140" s="422"/>
      <c r="NUN140" s="422"/>
      <c r="NUO140" s="422"/>
      <c r="NUP140" s="422"/>
      <c r="NUQ140" s="422"/>
      <c r="NUR140" s="422"/>
      <c r="NUS140" s="422"/>
      <c r="NUT140" s="422"/>
      <c r="NUU140" s="422"/>
      <c r="NUV140" s="422"/>
      <c r="NUW140" s="422"/>
      <c r="NUX140" s="422"/>
      <c r="NUY140" s="422"/>
      <c r="NUZ140" s="422"/>
      <c r="NVA140" s="422"/>
      <c r="NVB140" s="422"/>
      <c r="NVC140" s="422"/>
      <c r="NVD140" s="422"/>
      <c r="NVE140" s="422"/>
      <c r="NVF140" s="422"/>
      <c r="NVG140" s="422"/>
      <c r="NVH140" s="422"/>
      <c r="NVI140" s="422"/>
      <c r="NVJ140" s="422"/>
      <c r="NVK140" s="422"/>
      <c r="NVL140" s="422"/>
      <c r="NVM140" s="422"/>
      <c r="NVN140" s="422"/>
      <c r="NVO140" s="422"/>
      <c r="NVP140" s="422"/>
      <c r="NVQ140" s="422"/>
      <c r="NVR140" s="422"/>
      <c r="NVS140" s="422"/>
      <c r="NVT140" s="422"/>
      <c r="NVU140" s="422"/>
      <c r="NVV140" s="422"/>
      <c r="NVW140" s="422"/>
      <c r="NVX140" s="422"/>
      <c r="NVY140" s="422"/>
      <c r="NVZ140" s="422"/>
      <c r="NWA140" s="422"/>
      <c r="NWB140" s="422"/>
      <c r="NWC140" s="422"/>
      <c r="NWD140" s="422"/>
      <c r="NWE140" s="422"/>
      <c r="NWF140" s="422"/>
      <c r="NWG140" s="422"/>
      <c r="NWH140" s="422"/>
      <c r="NWI140" s="422"/>
      <c r="NWJ140" s="422"/>
      <c r="NWK140" s="422"/>
      <c r="NWL140" s="422"/>
      <c r="NWM140" s="422"/>
      <c r="NWN140" s="422"/>
      <c r="NWO140" s="422"/>
      <c r="NWP140" s="422"/>
      <c r="NWQ140" s="422"/>
      <c r="NWR140" s="422"/>
      <c r="NWS140" s="422"/>
      <c r="NWT140" s="422"/>
      <c r="NWU140" s="422"/>
      <c r="NWV140" s="422"/>
      <c r="NWW140" s="422"/>
      <c r="NWX140" s="422"/>
      <c r="NWY140" s="422"/>
      <c r="NWZ140" s="422"/>
      <c r="NXA140" s="422"/>
      <c r="NXB140" s="422"/>
      <c r="NXC140" s="422"/>
      <c r="NXD140" s="422"/>
      <c r="NXE140" s="422"/>
      <c r="NXF140" s="422"/>
      <c r="NXG140" s="422"/>
      <c r="NXH140" s="422"/>
      <c r="NXI140" s="422"/>
      <c r="NXJ140" s="422"/>
      <c r="NXK140" s="422"/>
      <c r="NXL140" s="422"/>
      <c r="NXM140" s="422"/>
      <c r="NXN140" s="422"/>
      <c r="NXO140" s="422"/>
      <c r="NXP140" s="422"/>
      <c r="NXQ140" s="422"/>
      <c r="NXR140" s="422"/>
      <c r="NXS140" s="422"/>
      <c r="NXT140" s="422"/>
      <c r="NXU140" s="422"/>
      <c r="NXV140" s="422"/>
      <c r="NXW140" s="422"/>
      <c r="NXX140" s="422"/>
      <c r="NXY140" s="422"/>
      <c r="NXZ140" s="422"/>
      <c r="NYA140" s="422"/>
      <c r="NYB140" s="422"/>
      <c r="NYC140" s="422"/>
      <c r="NYD140" s="422"/>
      <c r="NYE140" s="422"/>
      <c r="NYF140" s="422"/>
      <c r="NYG140" s="422"/>
      <c r="NYH140" s="422"/>
      <c r="NYI140" s="422"/>
      <c r="NYJ140" s="422"/>
      <c r="NYK140" s="422"/>
      <c r="NYL140" s="422"/>
      <c r="NYM140" s="422"/>
      <c r="NYN140" s="422"/>
      <c r="NYO140" s="422"/>
      <c r="NYP140" s="422"/>
      <c r="NYQ140" s="422"/>
      <c r="NYR140" s="422"/>
      <c r="NYS140" s="422"/>
      <c r="NYT140" s="422"/>
      <c r="NYU140" s="422"/>
      <c r="NYV140" s="422"/>
      <c r="NYW140" s="422"/>
      <c r="NYX140" s="422"/>
      <c r="NYY140" s="422"/>
      <c r="NYZ140" s="422"/>
      <c r="NZA140" s="422"/>
      <c r="NZB140" s="422"/>
      <c r="NZC140" s="422"/>
      <c r="NZD140" s="422"/>
      <c r="NZE140" s="422"/>
      <c r="NZF140" s="422"/>
      <c r="NZG140" s="422"/>
      <c r="NZH140" s="422"/>
      <c r="NZI140" s="422"/>
      <c r="NZJ140" s="422"/>
      <c r="NZK140" s="422"/>
      <c r="NZL140" s="422"/>
      <c r="NZM140" s="422"/>
      <c r="NZN140" s="422"/>
      <c r="NZO140" s="422"/>
      <c r="NZP140" s="422"/>
      <c r="NZQ140" s="422"/>
      <c r="NZR140" s="422"/>
      <c r="NZS140" s="422"/>
      <c r="NZT140" s="422"/>
      <c r="NZU140" s="422"/>
      <c r="NZV140" s="422"/>
      <c r="NZW140" s="422"/>
      <c r="NZX140" s="422"/>
      <c r="NZY140" s="422"/>
      <c r="NZZ140" s="422"/>
      <c r="OAA140" s="422"/>
      <c r="OAB140" s="422"/>
      <c r="OAC140" s="422"/>
      <c r="OAD140" s="422"/>
      <c r="OAE140" s="422"/>
      <c r="OAF140" s="422"/>
      <c r="OAG140" s="422"/>
      <c r="OAH140" s="422"/>
      <c r="OAI140" s="422"/>
      <c r="OAJ140" s="422"/>
      <c r="OAK140" s="422"/>
      <c r="OAL140" s="422"/>
      <c r="OAM140" s="422"/>
      <c r="OAN140" s="422"/>
      <c r="OAO140" s="422"/>
      <c r="OAP140" s="422"/>
      <c r="OAQ140" s="422"/>
      <c r="OAR140" s="422"/>
      <c r="OAS140" s="422"/>
      <c r="OAT140" s="422"/>
      <c r="OAU140" s="422"/>
      <c r="OAV140" s="422"/>
      <c r="OAW140" s="422"/>
      <c r="OAX140" s="422"/>
      <c r="OAY140" s="422"/>
      <c r="OAZ140" s="422"/>
      <c r="OBA140" s="422"/>
      <c r="OBB140" s="422"/>
      <c r="OBC140" s="422"/>
      <c r="OBD140" s="422"/>
      <c r="OBE140" s="422"/>
      <c r="OBF140" s="422"/>
      <c r="OBG140" s="422"/>
      <c r="OBH140" s="422"/>
      <c r="OBI140" s="422"/>
      <c r="OBJ140" s="422"/>
      <c r="OBK140" s="422"/>
      <c r="OBL140" s="422"/>
      <c r="OBM140" s="422"/>
      <c r="OBN140" s="422"/>
      <c r="OBO140" s="422"/>
      <c r="OBP140" s="422"/>
      <c r="OBQ140" s="422"/>
      <c r="OBR140" s="422"/>
      <c r="OBS140" s="422"/>
      <c r="OBT140" s="422"/>
      <c r="OBU140" s="422"/>
      <c r="OBV140" s="422"/>
      <c r="OBW140" s="422"/>
      <c r="OBX140" s="422"/>
      <c r="OBY140" s="422"/>
      <c r="OBZ140" s="422"/>
      <c r="OCA140" s="422"/>
      <c r="OCB140" s="422"/>
      <c r="OCC140" s="422"/>
      <c r="OCD140" s="422"/>
      <c r="OCE140" s="422"/>
      <c r="OCF140" s="422"/>
      <c r="OCG140" s="422"/>
      <c r="OCH140" s="422"/>
      <c r="OCI140" s="422"/>
      <c r="OCJ140" s="422"/>
      <c r="OCK140" s="422"/>
      <c r="OCL140" s="422"/>
      <c r="OCM140" s="422"/>
      <c r="OCN140" s="422"/>
      <c r="OCO140" s="422"/>
      <c r="OCP140" s="422"/>
      <c r="OCQ140" s="422"/>
      <c r="OCR140" s="422"/>
      <c r="OCS140" s="422"/>
      <c r="OCT140" s="422"/>
      <c r="OCU140" s="422"/>
      <c r="OCV140" s="422"/>
      <c r="OCW140" s="422"/>
      <c r="OCX140" s="422"/>
      <c r="OCY140" s="422"/>
      <c r="OCZ140" s="422"/>
      <c r="ODA140" s="422"/>
      <c r="ODB140" s="422"/>
      <c r="ODC140" s="422"/>
      <c r="ODD140" s="422"/>
      <c r="ODE140" s="422"/>
      <c r="ODF140" s="422"/>
      <c r="ODG140" s="422"/>
      <c r="ODH140" s="422"/>
      <c r="ODI140" s="422"/>
      <c r="ODJ140" s="422"/>
      <c r="ODK140" s="422"/>
      <c r="ODL140" s="422"/>
      <c r="ODM140" s="422"/>
      <c r="ODN140" s="422"/>
      <c r="ODO140" s="422"/>
      <c r="ODP140" s="422"/>
      <c r="ODQ140" s="422"/>
      <c r="ODR140" s="422"/>
      <c r="ODS140" s="422"/>
      <c r="ODT140" s="422"/>
      <c r="ODU140" s="422"/>
      <c r="ODV140" s="422"/>
      <c r="ODW140" s="422"/>
      <c r="ODX140" s="422"/>
      <c r="ODY140" s="422"/>
      <c r="ODZ140" s="422"/>
      <c r="OEA140" s="422"/>
      <c r="OEB140" s="422"/>
      <c r="OEC140" s="422"/>
      <c r="OED140" s="422"/>
      <c r="OEE140" s="422"/>
      <c r="OEF140" s="422"/>
      <c r="OEG140" s="422"/>
      <c r="OEH140" s="422"/>
      <c r="OEI140" s="422"/>
      <c r="OEJ140" s="422"/>
      <c r="OEK140" s="422"/>
      <c r="OEL140" s="422"/>
      <c r="OEM140" s="422"/>
      <c r="OEN140" s="422"/>
      <c r="OEO140" s="422"/>
      <c r="OEP140" s="422"/>
      <c r="OEQ140" s="422"/>
      <c r="OER140" s="422"/>
      <c r="OES140" s="422"/>
      <c r="OET140" s="422"/>
      <c r="OEU140" s="422"/>
      <c r="OEV140" s="422"/>
      <c r="OEW140" s="422"/>
      <c r="OEX140" s="422"/>
      <c r="OEY140" s="422"/>
      <c r="OEZ140" s="422"/>
      <c r="OFA140" s="422"/>
      <c r="OFB140" s="422"/>
      <c r="OFC140" s="422"/>
      <c r="OFD140" s="422"/>
      <c r="OFE140" s="422"/>
      <c r="OFF140" s="422"/>
      <c r="OFG140" s="422"/>
      <c r="OFH140" s="422"/>
      <c r="OFI140" s="422"/>
      <c r="OFJ140" s="422"/>
      <c r="OFK140" s="422"/>
      <c r="OFL140" s="422"/>
      <c r="OFM140" s="422"/>
      <c r="OFN140" s="422"/>
      <c r="OFO140" s="422"/>
      <c r="OFP140" s="422"/>
      <c r="OFQ140" s="422"/>
      <c r="OFR140" s="422"/>
      <c r="OFS140" s="422"/>
      <c r="OFT140" s="422"/>
      <c r="OFU140" s="422"/>
      <c r="OFV140" s="422"/>
      <c r="OFW140" s="422"/>
      <c r="OFX140" s="422"/>
      <c r="OFY140" s="422"/>
      <c r="OFZ140" s="422"/>
      <c r="OGA140" s="422"/>
      <c r="OGB140" s="422"/>
      <c r="OGC140" s="422"/>
      <c r="OGD140" s="422"/>
      <c r="OGE140" s="422"/>
      <c r="OGF140" s="422"/>
      <c r="OGG140" s="422"/>
      <c r="OGH140" s="422"/>
      <c r="OGI140" s="422"/>
      <c r="OGJ140" s="422"/>
      <c r="OGK140" s="422"/>
      <c r="OGL140" s="422"/>
      <c r="OGM140" s="422"/>
      <c r="OGN140" s="422"/>
      <c r="OGO140" s="422"/>
      <c r="OGP140" s="422"/>
      <c r="OGQ140" s="422"/>
      <c r="OGR140" s="422"/>
      <c r="OGS140" s="422"/>
      <c r="OGT140" s="422"/>
      <c r="OGU140" s="422"/>
      <c r="OGV140" s="422"/>
      <c r="OGW140" s="422"/>
      <c r="OGX140" s="422"/>
      <c r="OGY140" s="422"/>
      <c r="OGZ140" s="422"/>
      <c r="OHA140" s="422"/>
      <c r="OHB140" s="422"/>
      <c r="OHC140" s="422"/>
      <c r="OHD140" s="422"/>
      <c r="OHE140" s="422"/>
      <c r="OHF140" s="422"/>
      <c r="OHG140" s="422"/>
      <c r="OHH140" s="422"/>
      <c r="OHI140" s="422"/>
      <c r="OHJ140" s="422"/>
      <c r="OHK140" s="422"/>
      <c r="OHL140" s="422"/>
      <c r="OHM140" s="422"/>
      <c r="OHN140" s="422"/>
      <c r="OHO140" s="422"/>
      <c r="OHP140" s="422"/>
      <c r="OHQ140" s="422"/>
      <c r="OHR140" s="422"/>
      <c r="OHS140" s="422"/>
      <c r="OHT140" s="422"/>
      <c r="OHU140" s="422"/>
      <c r="OHV140" s="422"/>
      <c r="OHW140" s="422"/>
      <c r="OHX140" s="422"/>
      <c r="OHY140" s="422"/>
      <c r="OHZ140" s="422"/>
      <c r="OIA140" s="422"/>
      <c r="OIB140" s="422"/>
      <c r="OIC140" s="422"/>
      <c r="OID140" s="422"/>
      <c r="OIE140" s="422"/>
      <c r="OIF140" s="422"/>
      <c r="OIG140" s="422"/>
      <c r="OIH140" s="422"/>
      <c r="OII140" s="422"/>
      <c r="OIJ140" s="422"/>
      <c r="OIK140" s="422"/>
      <c r="OIL140" s="422"/>
      <c r="OIM140" s="422"/>
      <c r="OIN140" s="422"/>
      <c r="OIO140" s="422"/>
      <c r="OIP140" s="422"/>
      <c r="OIQ140" s="422"/>
      <c r="OIR140" s="422"/>
      <c r="OIS140" s="422"/>
      <c r="OIT140" s="422"/>
      <c r="OIU140" s="422"/>
      <c r="OIV140" s="422"/>
      <c r="OIW140" s="422"/>
      <c r="OIX140" s="422"/>
      <c r="OIY140" s="422"/>
      <c r="OIZ140" s="422"/>
      <c r="OJA140" s="422"/>
      <c r="OJB140" s="422"/>
      <c r="OJC140" s="422"/>
      <c r="OJD140" s="422"/>
      <c r="OJE140" s="422"/>
      <c r="OJF140" s="422"/>
      <c r="OJG140" s="422"/>
      <c r="OJH140" s="422"/>
      <c r="OJI140" s="422"/>
      <c r="OJJ140" s="422"/>
      <c r="OJK140" s="422"/>
      <c r="OJL140" s="422"/>
      <c r="OJM140" s="422"/>
      <c r="OJN140" s="422"/>
      <c r="OJO140" s="422"/>
      <c r="OJP140" s="422"/>
      <c r="OJQ140" s="422"/>
      <c r="OJR140" s="422"/>
      <c r="OJS140" s="422"/>
      <c r="OJT140" s="422"/>
      <c r="OJU140" s="422"/>
      <c r="OJV140" s="422"/>
      <c r="OJW140" s="422"/>
      <c r="OJX140" s="422"/>
      <c r="OJY140" s="422"/>
      <c r="OJZ140" s="422"/>
      <c r="OKA140" s="422"/>
      <c r="OKB140" s="422"/>
      <c r="OKC140" s="422"/>
      <c r="OKD140" s="422"/>
      <c r="OKE140" s="422"/>
      <c r="OKF140" s="422"/>
      <c r="OKG140" s="422"/>
      <c r="OKH140" s="422"/>
      <c r="OKI140" s="422"/>
      <c r="OKJ140" s="422"/>
      <c r="OKK140" s="422"/>
      <c r="OKL140" s="422"/>
      <c r="OKM140" s="422"/>
      <c r="OKN140" s="422"/>
      <c r="OKO140" s="422"/>
      <c r="OKP140" s="422"/>
      <c r="OKQ140" s="422"/>
      <c r="OKR140" s="422"/>
      <c r="OKS140" s="422"/>
      <c r="OKT140" s="422"/>
      <c r="OKU140" s="422"/>
      <c r="OKV140" s="422"/>
      <c r="OKW140" s="422"/>
      <c r="OKX140" s="422"/>
      <c r="OKY140" s="422"/>
      <c r="OKZ140" s="422"/>
      <c r="OLA140" s="422"/>
      <c r="OLB140" s="422"/>
      <c r="OLC140" s="422"/>
      <c r="OLD140" s="422"/>
      <c r="OLE140" s="422"/>
      <c r="OLF140" s="422"/>
      <c r="OLG140" s="422"/>
      <c r="OLH140" s="422"/>
      <c r="OLI140" s="422"/>
      <c r="OLJ140" s="422"/>
      <c r="OLK140" s="422"/>
      <c r="OLL140" s="422"/>
      <c r="OLM140" s="422"/>
      <c r="OLN140" s="422"/>
      <c r="OLO140" s="422"/>
      <c r="OLP140" s="422"/>
      <c r="OLQ140" s="422"/>
      <c r="OLR140" s="422"/>
      <c r="OLS140" s="422"/>
      <c r="OLT140" s="422"/>
      <c r="OLU140" s="422"/>
      <c r="OLV140" s="422"/>
      <c r="OLW140" s="422"/>
      <c r="OLX140" s="422"/>
      <c r="OLY140" s="422"/>
      <c r="OLZ140" s="422"/>
      <c r="OMA140" s="422"/>
      <c r="OMB140" s="422"/>
      <c r="OMC140" s="422"/>
      <c r="OMD140" s="422"/>
      <c r="OME140" s="422"/>
      <c r="OMF140" s="422"/>
      <c r="OMG140" s="422"/>
      <c r="OMH140" s="422"/>
      <c r="OMI140" s="422"/>
      <c r="OMJ140" s="422"/>
      <c r="OMK140" s="422"/>
      <c r="OML140" s="422"/>
      <c r="OMM140" s="422"/>
      <c r="OMN140" s="422"/>
      <c r="OMO140" s="422"/>
      <c r="OMP140" s="422"/>
      <c r="OMQ140" s="422"/>
      <c r="OMR140" s="422"/>
      <c r="OMS140" s="422"/>
      <c r="OMT140" s="422"/>
      <c r="OMU140" s="422"/>
      <c r="OMV140" s="422"/>
      <c r="OMW140" s="422"/>
      <c r="OMX140" s="422"/>
      <c r="OMY140" s="422"/>
      <c r="OMZ140" s="422"/>
      <c r="ONA140" s="422"/>
      <c r="ONB140" s="422"/>
      <c r="ONC140" s="422"/>
      <c r="OND140" s="422"/>
      <c r="ONE140" s="422"/>
      <c r="ONF140" s="422"/>
      <c r="ONG140" s="422"/>
      <c r="ONH140" s="422"/>
      <c r="ONI140" s="422"/>
      <c r="ONJ140" s="422"/>
      <c r="ONK140" s="422"/>
      <c r="ONL140" s="422"/>
      <c r="ONM140" s="422"/>
      <c r="ONN140" s="422"/>
      <c r="ONO140" s="422"/>
      <c r="ONP140" s="422"/>
      <c r="ONQ140" s="422"/>
      <c r="ONR140" s="422"/>
      <c r="ONS140" s="422"/>
      <c r="ONT140" s="422"/>
      <c r="ONU140" s="422"/>
      <c r="ONV140" s="422"/>
      <c r="ONW140" s="422"/>
      <c r="ONX140" s="422"/>
      <c r="ONY140" s="422"/>
      <c r="ONZ140" s="422"/>
      <c r="OOA140" s="422"/>
      <c r="OOB140" s="422"/>
      <c r="OOC140" s="422"/>
      <c r="OOD140" s="422"/>
      <c r="OOE140" s="422"/>
      <c r="OOF140" s="422"/>
      <c r="OOG140" s="422"/>
      <c r="OOH140" s="422"/>
      <c r="OOI140" s="422"/>
      <c r="OOJ140" s="422"/>
      <c r="OOK140" s="422"/>
      <c r="OOL140" s="422"/>
      <c r="OOM140" s="422"/>
      <c r="OON140" s="422"/>
      <c r="OOO140" s="422"/>
      <c r="OOP140" s="422"/>
      <c r="OOQ140" s="422"/>
      <c r="OOR140" s="422"/>
      <c r="OOS140" s="422"/>
      <c r="OOT140" s="422"/>
      <c r="OOU140" s="422"/>
      <c r="OOV140" s="422"/>
      <c r="OOW140" s="422"/>
      <c r="OOX140" s="422"/>
      <c r="OOY140" s="422"/>
      <c r="OOZ140" s="422"/>
      <c r="OPA140" s="422"/>
      <c r="OPB140" s="422"/>
      <c r="OPC140" s="422"/>
      <c r="OPD140" s="422"/>
      <c r="OPE140" s="422"/>
      <c r="OPF140" s="422"/>
      <c r="OPG140" s="422"/>
      <c r="OPH140" s="422"/>
      <c r="OPI140" s="422"/>
      <c r="OPJ140" s="422"/>
      <c r="OPK140" s="422"/>
      <c r="OPL140" s="422"/>
      <c r="OPM140" s="422"/>
      <c r="OPN140" s="422"/>
      <c r="OPO140" s="422"/>
      <c r="OPP140" s="422"/>
      <c r="OPQ140" s="422"/>
      <c r="OPR140" s="422"/>
      <c r="OPS140" s="422"/>
      <c r="OPT140" s="422"/>
      <c r="OPU140" s="422"/>
      <c r="OPV140" s="422"/>
      <c r="OPW140" s="422"/>
      <c r="OPX140" s="422"/>
      <c r="OPY140" s="422"/>
      <c r="OPZ140" s="422"/>
      <c r="OQA140" s="422"/>
      <c r="OQB140" s="422"/>
      <c r="OQC140" s="422"/>
      <c r="OQD140" s="422"/>
      <c r="OQE140" s="422"/>
      <c r="OQF140" s="422"/>
      <c r="OQG140" s="422"/>
      <c r="OQH140" s="422"/>
      <c r="OQI140" s="422"/>
      <c r="OQJ140" s="422"/>
      <c r="OQK140" s="422"/>
      <c r="OQL140" s="422"/>
      <c r="OQM140" s="422"/>
      <c r="OQN140" s="422"/>
      <c r="OQO140" s="422"/>
      <c r="OQP140" s="422"/>
      <c r="OQQ140" s="422"/>
      <c r="OQR140" s="422"/>
      <c r="OQS140" s="422"/>
      <c r="OQT140" s="422"/>
      <c r="OQU140" s="422"/>
      <c r="OQV140" s="422"/>
      <c r="OQW140" s="422"/>
      <c r="OQX140" s="422"/>
      <c r="OQY140" s="422"/>
      <c r="OQZ140" s="422"/>
      <c r="ORA140" s="422"/>
      <c r="ORB140" s="422"/>
      <c r="ORC140" s="422"/>
      <c r="ORD140" s="422"/>
      <c r="ORE140" s="422"/>
      <c r="ORF140" s="422"/>
      <c r="ORG140" s="422"/>
      <c r="ORH140" s="422"/>
      <c r="ORI140" s="422"/>
      <c r="ORJ140" s="422"/>
      <c r="ORK140" s="422"/>
      <c r="ORL140" s="422"/>
      <c r="ORM140" s="422"/>
      <c r="ORN140" s="422"/>
      <c r="ORO140" s="422"/>
      <c r="ORP140" s="422"/>
      <c r="ORQ140" s="422"/>
      <c r="ORR140" s="422"/>
      <c r="ORS140" s="422"/>
      <c r="ORT140" s="422"/>
      <c r="ORU140" s="422"/>
      <c r="ORV140" s="422"/>
      <c r="ORW140" s="422"/>
      <c r="ORX140" s="422"/>
      <c r="ORY140" s="422"/>
      <c r="ORZ140" s="422"/>
      <c r="OSA140" s="422"/>
      <c r="OSB140" s="422"/>
      <c r="OSC140" s="422"/>
      <c r="OSD140" s="422"/>
      <c r="OSE140" s="422"/>
      <c r="OSF140" s="422"/>
      <c r="OSG140" s="422"/>
      <c r="OSH140" s="422"/>
      <c r="OSI140" s="422"/>
      <c r="OSJ140" s="422"/>
      <c r="OSK140" s="422"/>
      <c r="OSL140" s="422"/>
      <c r="OSM140" s="422"/>
      <c r="OSN140" s="422"/>
      <c r="OSO140" s="422"/>
      <c r="OSP140" s="422"/>
      <c r="OSQ140" s="422"/>
      <c r="OSR140" s="422"/>
      <c r="OSS140" s="422"/>
      <c r="OST140" s="422"/>
      <c r="OSU140" s="422"/>
      <c r="OSV140" s="422"/>
      <c r="OSW140" s="422"/>
      <c r="OSX140" s="422"/>
      <c r="OSY140" s="422"/>
      <c r="OSZ140" s="422"/>
      <c r="OTA140" s="422"/>
      <c r="OTB140" s="422"/>
      <c r="OTC140" s="422"/>
      <c r="OTD140" s="422"/>
      <c r="OTE140" s="422"/>
      <c r="OTF140" s="422"/>
      <c r="OTG140" s="422"/>
      <c r="OTH140" s="422"/>
      <c r="OTI140" s="422"/>
      <c r="OTJ140" s="422"/>
      <c r="OTK140" s="422"/>
      <c r="OTL140" s="422"/>
      <c r="OTM140" s="422"/>
      <c r="OTN140" s="422"/>
      <c r="OTO140" s="422"/>
      <c r="OTP140" s="422"/>
      <c r="OTQ140" s="422"/>
      <c r="OTR140" s="422"/>
      <c r="OTS140" s="422"/>
      <c r="OTT140" s="422"/>
      <c r="OTU140" s="422"/>
      <c r="OTV140" s="422"/>
      <c r="OTW140" s="422"/>
      <c r="OTX140" s="422"/>
      <c r="OTY140" s="422"/>
      <c r="OTZ140" s="422"/>
      <c r="OUA140" s="422"/>
      <c r="OUB140" s="422"/>
      <c r="OUC140" s="422"/>
      <c r="OUD140" s="422"/>
      <c r="OUE140" s="422"/>
      <c r="OUF140" s="422"/>
      <c r="OUG140" s="422"/>
      <c r="OUH140" s="422"/>
      <c r="OUI140" s="422"/>
      <c r="OUJ140" s="422"/>
      <c r="OUK140" s="422"/>
      <c r="OUL140" s="422"/>
      <c r="OUM140" s="422"/>
      <c r="OUN140" s="422"/>
      <c r="OUO140" s="422"/>
      <c r="OUP140" s="422"/>
      <c r="OUQ140" s="422"/>
      <c r="OUR140" s="422"/>
      <c r="OUS140" s="422"/>
      <c r="OUT140" s="422"/>
      <c r="OUU140" s="422"/>
      <c r="OUV140" s="422"/>
      <c r="OUW140" s="422"/>
      <c r="OUX140" s="422"/>
      <c r="OUY140" s="422"/>
      <c r="OUZ140" s="422"/>
      <c r="OVA140" s="422"/>
      <c r="OVB140" s="422"/>
      <c r="OVC140" s="422"/>
      <c r="OVD140" s="422"/>
      <c r="OVE140" s="422"/>
      <c r="OVF140" s="422"/>
      <c r="OVG140" s="422"/>
      <c r="OVH140" s="422"/>
      <c r="OVI140" s="422"/>
      <c r="OVJ140" s="422"/>
      <c r="OVK140" s="422"/>
      <c r="OVL140" s="422"/>
      <c r="OVM140" s="422"/>
      <c r="OVN140" s="422"/>
      <c r="OVO140" s="422"/>
      <c r="OVP140" s="422"/>
      <c r="OVQ140" s="422"/>
      <c r="OVR140" s="422"/>
      <c r="OVS140" s="422"/>
      <c r="OVT140" s="422"/>
      <c r="OVU140" s="422"/>
      <c r="OVV140" s="422"/>
      <c r="OVW140" s="422"/>
      <c r="OVX140" s="422"/>
      <c r="OVY140" s="422"/>
      <c r="OVZ140" s="422"/>
      <c r="OWA140" s="422"/>
      <c r="OWB140" s="422"/>
      <c r="OWC140" s="422"/>
      <c r="OWD140" s="422"/>
      <c r="OWE140" s="422"/>
      <c r="OWF140" s="422"/>
      <c r="OWG140" s="422"/>
      <c r="OWH140" s="422"/>
      <c r="OWI140" s="422"/>
      <c r="OWJ140" s="422"/>
      <c r="OWK140" s="422"/>
      <c r="OWL140" s="422"/>
      <c r="OWM140" s="422"/>
      <c r="OWN140" s="422"/>
      <c r="OWO140" s="422"/>
      <c r="OWP140" s="422"/>
      <c r="OWQ140" s="422"/>
      <c r="OWR140" s="422"/>
      <c r="OWS140" s="422"/>
      <c r="OWT140" s="422"/>
      <c r="OWU140" s="422"/>
      <c r="OWV140" s="422"/>
      <c r="OWW140" s="422"/>
      <c r="OWX140" s="422"/>
      <c r="OWY140" s="422"/>
      <c r="OWZ140" s="422"/>
      <c r="OXA140" s="422"/>
      <c r="OXB140" s="422"/>
      <c r="OXC140" s="422"/>
      <c r="OXD140" s="422"/>
      <c r="OXE140" s="422"/>
      <c r="OXF140" s="422"/>
      <c r="OXG140" s="422"/>
      <c r="OXH140" s="422"/>
      <c r="OXI140" s="422"/>
      <c r="OXJ140" s="422"/>
      <c r="OXK140" s="422"/>
      <c r="OXL140" s="422"/>
      <c r="OXM140" s="422"/>
      <c r="OXN140" s="422"/>
      <c r="OXO140" s="422"/>
      <c r="OXP140" s="422"/>
      <c r="OXQ140" s="422"/>
      <c r="OXR140" s="422"/>
      <c r="OXS140" s="422"/>
      <c r="OXT140" s="422"/>
      <c r="OXU140" s="422"/>
      <c r="OXV140" s="422"/>
      <c r="OXW140" s="422"/>
      <c r="OXX140" s="422"/>
      <c r="OXY140" s="422"/>
      <c r="OXZ140" s="422"/>
      <c r="OYA140" s="422"/>
      <c r="OYB140" s="422"/>
      <c r="OYC140" s="422"/>
      <c r="OYD140" s="422"/>
      <c r="OYE140" s="422"/>
      <c r="OYF140" s="422"/>
      <c r="OYG140" s="422"/>
      <c r="OYH140" s="422"/>
      <c r="OYI140" s="422"/>
      <c r="OYJ140" s="422"/>
      <c r="OYK140" s="422"/>
      <c r="OYL140" s="422"/>
      <c r="OYM140" s="422"/>
      <c r="OYN140" s="422"/>
      <c r="OYO140" s="422"/>
      <c r="OYP140" s="422"/>
      <c r="OYQ140" s="422"/>
      <c r="OYR140" s="422"/>
      <c r="OYS140" s="422"/>
      <c r="OYT140" s="422"/>
      <c r="OYU140" s="422"/>
      <c r="OYV140" s="422"/>
      <c r="OYW140" s="422"/>
      <c r="OYX140" s="422"/>
      <c r="OYY140" s="422"/>
      <c r="OYZ140" s="422"/>
      <c r="OZA140" s="422"/>
      <c r="OZB140" s="422"/>
      <c r="OZC140" s="422"/>
      <c r="OZD140" s="422"/>
      <c r="OZE140" s="422"/>
      <c r="OZF140" s="422"/>
      <c r="OZG140" s="422"/>
      <c r="OZH140" s="422"/>
      <c r="OZI140" s="422"/>
      <c r="OZJ140" s="422"/>
      <c r="OZK140" s="422"/>
      <c r="OZL140" s="422"/>
      <c r="OZM140" s="422"/>
      <c r="OZN140" s="422"/>
      <c r="OZO140" s="422"/>
      <c r="OZP140" s="422"/>
      <c r="OZQ140" s="422"/>
      <c r="OZR140" s="422"/>
      <c r="OZS140" s="422"/>
      <c r="OZT140" s="422"/>
      <c r="OZU140" s="422"/>
      <c r="OZV140" s="422"/>
      <c r="OZW140" s="422"/>
      <c r="OZX140" s="422"/>
      <c r="OZY140" s="422"/>
      <c r="OZZ140" s="422"/>
      <c r="PAA140" s="422"/>
      <c r="PAB140" s="422"/>
      <c r="PAC140" s="422"/>
      <c r="PAD140" s="422"/>
      <c r="PAE140" s="422"/>
      <c r="PAF140" s="422"/>
      <c r="PAG140" s="422"/>
      <c r="PAH140" s="422"/>
      <c r="PAI140" s="422"/>
      <c r="PAJ140" s="422"/>
      <c r="PAK140" s="422"/>
      <c r="PAL140" s="422"/>
      <c r="PAM140" s="422"/>
      <c r="PAN140" s="422"/>
      <c r="PAO140" s="422"/>
      <c r="PAP140" s="422"/>
      <c r="PAQ140" s="422"/>
      <c r="PAR140" s="422"/>
      <c r="PAS140" s="422"/>
      <c r="PAT140" s="422"/>
      <c r="PAU140" s="422"/>
      <c r="PAV140" s="422"/>
      <c r="PAW140" s="422"/>
      <c r="PAX140" s="422"/>
      <c r="PAY140" s="422"/>
      <c r="PAZ140" s="422"/>
      <c r="PBA140" s="422"/>
      <c r="PBB140" s="422"/>
      <c r="PBC140" s="422"/>
      <c r="PBD140" s="422"/>
      <c r="PBE140" s="422"/>
      <c r="PBF140" s="422"/>
      <c r="PBG140" s="422"/>
      <c r="PBH140" s="422"/>
      <c r="PBI140" s="422"/>
      <c r="PBJ140" s="422"/>
      <c r="PBK140" s="422"/>
      <c r="PBL140" s="422"/>
      <c r="PBM140" s="422"/>
      <c r="PBN140" s="422"/>
      <c r="PBO140" s="422"/>
      <c r="PBP140" s="422"/>
      <c r="PBQ140" s="422"/>
      <c r="PBR140" s="422"/>
      <c r="PBS140" s="422"/>
      <c r="PBT140" s="422"/>
      <c r="PBU140" s="422"/>
      <c r="PBV140" s="422"/>
      <c r="PBW140" s="422"/>
      <c r="PBX140" s="422"/>
      <c r="PBY140" s="422"/>
      <c r="PBZ140" s="422"/>
      <c r="PCA140" s="422"/>
      <c r="PCB140" s="422"/>
      <c r="PCC140" s="422"/>
      <c r="PCD140" s="422"/>
      <c r="PCE140" s="422"/>
      <c r="PCF140" s="422"/>
      <c r="PCG140" s="422"/>
      <c r="PCH140" s="422"/>
      <c r="PCI140" s="422"/>
      <c r="PCJ140" s="422"/>
      <c r="PCK140" s="422"/>
      <c r="PCL140" s="422"/>
      <c r="PCM140" s="422"/>
      <c r="PCN140" s="422"/>
      <c r="PCO140" s="422"/>
      <c r="PCP140" s="422"/>
      <c r="PCQ140" s="422"/>
      <c r="PCR140" s="422"/>
      <c r="PCS140" s="422"/>
      <c r="PCT140" s="422"/>
      <c r="PCU140" s="422"/>
      <c r="PCV140" s="422"/>
      <c r="PCW140" s="422"/>
      <c r="PCX140" s="422"/>
      <c r="PCY140" s="422"/>
      <c r="PCZ140" s="422"/>
      <c r="PDA140" s="422"/>
      <c r="PDB140" s="422"/>
      <c r="PDC140" s="422"/>
      <c r="PDD140" s="422"/>
      <c r="PDE140" s="422"/>
      <c r="PDF140" s="422"/>
      <c r="PDG140" s="422"/>
      <c r="PDH140" s="422"/>
      <c r="PDI140" s="422"/>
      <c r="PDJ140" s="422"/>
      <c r="PDK140" s="422"/>
      <c r="PDL140" s="422"/>
      <c r="PDM140" s="422"/>
      <c r="PDN140" s="422"/>
      <c r="PDO140" s="422"/>
      <c r="PDP140" s="422"/>
      <c r="PDQ140" s="422"/>
      <c r="PDR140" s="422"/>
      <c r="PDS140" s="422"/>
      <c r="PDT140" s="422"/>
      <c r="PDU140" s="422"/>
      <c r="PDV140" s="422"/>
      <c r="PDW140" s="422"/>
      <c r="PDX140" s="422"/>
      <c r="PDY140" s="422"/>
      <c r="PDZ140" s="422"/>
      <c r="PEA140" s="422"/>
      <c r="PEB140" s="422"/>
      <c r="PEC140" s="422"/>
      <c r="PED140" s="422"/>
      <c r="PEE140" s="422"/>
      <c r="PEF140" s="422"/>
      <c r="PEG140" s="422"/>
      <c r="PEH140" s="422"/>
      <c r="PEI140" s="422"/>
      <c r="PEJ140" s="422"/>
      <c r="PEK140" s="422"/>
      <c r="PEL140" s="422"/>
      <c r="PEM140" s="422"/>
      <c r="PEN140" s="422"/>
      <c r="PEO140" s="422"/>
      <c r="PEP140" s="422"/>
      <c r="PEQ140" s="422"/>
      <c r="PER140" s="422"/>
      <c r="PES140" s="422"/>
      <c r="PET140" s="422"/>
      <c r="PEU140" s="422"/>
      <c r="PEV140" s="422"/>
      <c r="PEW140" s="422"/>
      <c r="PEX140" s="422"/>
      <c r="PEY140" s="422"/>
      <c r="PEZ140" s="422"/>
      <c r="PFA140" s="422"/>
      <c r="PFB140" s="422"/>
      <c r="PFC140" s="422"/>
      <c r="PFD140" s="422"/>
      <c r="PFE140" s="422"/>
      <c r="PFF140" s="422"/>
      <c r="PFG140" s="422"/>
      <c r="PFH140" s="422"/>
      <c r="PFI140" s="422"/>
      <c r="PFJ140" s="422"/>
      <c r="PFK140" s="422"/>
      <c r="PFL140" s="422"/>
      <c r="PFM140" s="422"/>
      <c r="PFN140" s="422"/>
      <c r="PFO140" s="422"/>
      <c r="PFP140" s="422"/>
      <c r="PFQ140" s="422"/>
      <c r="PFR140" s="422"/>
      <c r="PFS140" s="422"/>
      <c r="PFT140" s="422"/>
      <c r="PFU140" s="422"/>
      <c r="PFV140" s="422"/>
      <c r="PFW140" s="422"/>
      <c r="PFX140" s="422"/>
      <c r="PFY140" s="422"/>
      <c r="PFZ140" s="422"/>
      <c r="PGA140" s="422"/>
      <c r="PGB140" s="422"/>
      <c r="PGC140" s="422"/>
      <c r="PGD140" s="422"/>
      <c r="PGE140" s="422"/>
      <c r="PGF140" s="422"/>
      <c r="PGG140" s="422"/>
      <c r="PGH140" s="422"/>
      <c r="PGI140" s="422"/>
      <c r="PGJ140" s="422"/>
      <c r="PGK140" s="422"/>
      <c r="PGL140" s="422"/>
      <c r="PGM140" s="422"/>
      <c r="PGN140" s="422"/>
      <c r="PGO140" s="422"/>
      <c r="PGP140" s="422"/>
      <c r="PGQ140" s="422"/>
      <c r="PGR140" s="422"/>
      <c r="PGS140" s="422"/>
      <c r="PGT140" s="422"/>
      <c r="PGU140" s="422"/>
      <c r="PGV140" s="422"/>
      <c r="PGW140" s="422"/>
      <c r="PGX140" s="422"/>
      <c r="PGY140" s="422"/>
      <c r="PGZ140" s="422"/>
      <c r="PHA140" s="422"/>
      <c r="PHB140" s="422"/>
      <c r="PHC140" s="422"/>
      <c r="PHD140" s="422"/>
      <c r="PHE140" s="422"/>
      <c r="PHF140" s="422"/>
      <c r="PHG140" s="422"/>
      <c r="PHH140" s="422"/>
      <c r="PHI140" s="422"/>
      <c r="PHJ140" s="422"/>
      <c r="PHK140" s="422"/>
      <c r="PHL140" s="422"/>
      <c r="PHM140" s="422"/>
      <c r="PHN140" s="422"/>
      <c r="PHO140" s="422"/>
      <c r="PHP140" s="422"/>
      <c r="PHQ140" s="422"/>
      <c r="PHR140" s="422"/>
      <c r="PHS140" s="422"/>
      <c r="PHT140" s="422"/>
      <c r="PHU140" s="422"/>
      <c r="PHV140" s="422"/>
      <c r="PHW140" s="422"/>
      <c r="PHX140" s="422"/>
      <c r="PHY140" s="422"/>
      <c r="PHZ140" s="422"/>
      <c r="PIA140" s="422"/>
      <c r="PIB140" s="422"/>
      <c r="PIC140" s="422"/>
      <c r="PID140" s="422"/>
      <c r="PIE140" s="422"/>
      <c r="PIF140" s="422"/>
      <c r="PIG140" s="422"/>
      <c r="PIH140" s="422"/>
      <c r="PII140" s="422"/>
      <c r="PIJ140" s="422"/>
      <c r="PIK140" s="422"/>
      <c r="PIL140" s="422"/>
      <c r="PIM140" s="422"/>
      <c r="PIN140" s="422"/>
      <c r="PIO140" s="422"/>
      <c r="PIP140" s="422"/>
      <c r="PIQ140" s="422"/>
      <c r="PIR140" s="422"/>
      <c r="PIS140" s="422"/>
      <c r="PIT140" s="422"/>
      <c r="PIU140" s="422"/>
      <c r="PIV140" s="422"/>
      <c r="PIW140" s="422"/>
      <c r="PIX140" s="422"/>
      <c r="PIY140" s="422"/>
      <c r="PIZ140" s="422"/>
      <c r="PJA140" s="422"/>
      <c r="PJB140" s="422"/>
      <c r="PJC140" s="422"/>
      <c r="PJD140" s="422"/>
      <c r="PJE140" s="422"/>
      <c r="PJF140" s="422"/>
      <c r="PJG140" s="422"/>
      <c r="PJH140" s="422"/>
      <c r="PJI140" s="422"/>
      <c r="PJJ140" s="422"/>
      <c r="PJK140" s="422"/>
      <c r="PJL140" s="422"/>
      <c r="PJM140" s="422"/>
      <c r="PJN140" s="422"/>
      <c r="PJO140" s="422"/>
      <c r="PJP140" s="422"/>
      <c r="PJQ140" s="422"/>
      <c r="PJR140" s="422"/>
      <c r="PJS140" s="422"/>
      <c r="PJT140" s="422"/>
      <c r="PJU140" s="422"/>
      <c r="PJV140" s="422"/>
      <c r="PJW140" s="422"/>
      <c r="PJX140" s="422"/>
      <c r="PJY140" s="422"/>
      <c r="PJZ140" s="422"/>
      <c r="PKA140" s="422"/>
      <c r="PKB140" s="422"/>
      <c r="PKC140" s="422"/>
      <c r="PKD140" s="422"/>
      <c r="PKE140" s="422"/>
      <c r="PKF140" s="422"/>
      <c r="PKG140" s="422"/>
      <c r="PKH140" s="422"/>
      <c r="PKI140" s="422"/>
      <c r="PKJ140" s="422"/>
      <c r="PKK140" s="422"/>
      <c r="PKL140" s="422"/>
      <c r="PKM140" s="422"/>
      <c r="PKN140" s="422"/>
      <c r="PKO140" s="422"/>
      <c r="PKP140" s="422"/>
      <c r="PKQ140" s="422"/>
      <c r="PKR140" s="422"/>
      <c r="PKS140" s="422"/>
      <c r="PKT140" s="422"/>
      <c r="PKU140" s="422"/>
      <c r="PKV140" s="422"/>
      <c r="PKW140" s="422"/>
      <c r="PKX140" s="422"/>
      <c r="PKY140" s="422"/>
      <c r="PKZ140" s="422"/>
      <c r="PLA140" s="422"/>
      <c r="PLB140" s="422"/>
      <c r="PLC140" s="422"/>
      <c r="PLD140" s="422"/>
      <c r="PLE140" s="422"/>
      <c r="PLF140" s="422"/>
      <c r="PLG140" s="422"/>
      <c r="PLH140" s="422"/>
      <c r="PLI140" s="422"/>
      <c r="PLJ140" s="422"/>
      <c r="PLK140" s="422"/>
      <c r="PLL140" s="422"/>
      <c r="PLM140" s="422"/>
      <c r="PLN140" s="422"/>
      <c r="PLO140" s="422"/>
      <c r="PLP140" s="422"/>
      <c r="PLQ140" s="422"/>
      <c r="PLR140" s="422"/>
      <c r="PLS140" s="422"/>
      <c r="PLT140" s="422"/>
      <c r="PLU140" s="422"/>
      <c r="PLV140" s="422"/>
      <c r="PLW140" s="422"/>
      <c r="PLX140" s="422"/>
      <c r="PLY140" s="422"/>
      <c r="PLZ140" s="422"/>
      <c r="PMA140" s="422"/>
      <c r="PMB140" s="422"/>
      <c r="PMC140" s="422"/>
      <c r="PMD140" s="422"/>
      <c r="PME140" s="422"/>
      <c r="PMF140" s="422"/>
      <c r="PMG140" s="422"/>
      <c r="PMH140" s="422"/>
      <c r="PMI140" s="422"/>
      <c r="PMJ140" s="422"/>
      <c r="PMK140" s="422"/>
      <c r="PML140" s="422"/>
      <c r="PMM140" s="422"/>
      <c r="PMN140" s="422"/>
      <c r="PMO140" s="422"/>
      <c r="PMP140" s="422"/>
      <c r="PMQ140" s="422"/>
      <c r="PMR140" s="422"/>
      <c r="PMS140" s="422"/>
      <c r="PMT140" s="422"/>
      <c r="PMU140" s="422"/>
      <c r="PMV140" s="422"/>
      <c r="PMW140" s="422"/>
      <c r="PMX140" s="422"/>
      <c r="PMY140" s="422"/>
      <c r="PMZ140" s="422"/>
      <c r="PNA140" s="422"/>
      <c r="PNB140" s="422"/>
      <c r="PNC140" s="422"/>
      <c r="PND140" s="422"/>
      <c r="PNE140" s="422"/>
      <c r="PNF140" s="422"/>
      <c r="PNG140" s="422"/>
      <c r="PNH140" s="422"/>
      <c r="PNI140" s="422"/>
      <c r="PNJ140" s="422"/>
      <c r="PNK140" s="422"/>
      <c r="PNL140" s="422"/>
      <c r="PNM140" s="422"/>
      <c r="PNN140" s="422"/>
      <c r="PNO140" s="422"/>
      <c r="PNP140" s="422"/>
      <c r="PNQ140" s="422"/>
      <c r="PNR140" s="422"/>
      <c r="PNS140" s="422"/>
      <c r="PNT140" s="422"/>
      <c r="PNU140" s="422"/>
      <c r="PNV140" s="422"/>
      <c r="PNW140" s="422"/>
      <c r="PNX140" s="422"/>
      <c r="PNY140" s="422"/>
      <c r="PNZ140" s="422"/>
      <c r="POA140" s="422"/>
      <c r="POB140" s="422"/>
      <c r="POC140" s="422"/>
      <c r="POD140" s="422"/>
      <c r="POE140" s="422"/>
      <c r="POF140" s="422"/>
      <c r="POG140" s="422"/>
      <c r="POH140" s="422"/>
      <c r="POI140" s="422"/>
      <c r="POJ140" s="422"/>
      <c r="POK140" s="422"/>
      <c r="POL140" s="422"/>
      <c r="POM140" s="422"/>
      <c r="PON140" s="422"/>
      <c r="POO140" s="422"/>
      <c r="POP140" s="422"/>
      <c r="POQ140" s="422"/>
      <c r="POR140" s="422"/>
      <c r="POS140" s="422"/>
      <c r="POT140" s="422"/>
      <c r="POU140" s="422"/>
      <c r="POV140" s="422"/>
      <c r="POW140" s="422"/>
      <c r="POX140" s="422"/>
      <c r="POY140" s="422"/>
      <c r="POZ140" s="422"/>
      <c r="PPA140" s="422"/>
      <c r="PPB140" s="422"/>
      <c r="PPC140" s="422"/>
      <c r="PPD140" s="422"/>
      <c r="PPE140" s="422"/>
      <c r="PPF140" s="422"/>
      <c r="PPG140" s="422"/>
      <c r="PPH140" s="422"/>
      <c r="PPI140" s="422"/>
      <c r="PPJ140" s="422"/>
      <c r="PPK140" s="422"/>
      <c r="PPL140" s="422"/>
      <c r="PPM140" s="422"/>
      <c r="PPN140" s="422"/>
      <c r="PPO140" s="422"/>
      <c r="PPP140" s="422"/>
      <c r="PPQ140" s="422"/>
      <c r="PPR140" s="422"/>
      <c r="PPS140" s="422"/>
      <c r="PPT140" s="422"/>
      <c r="PPU140" s="422"/>
      <c r="PPV140" s="422"/>
      <c r="PPW140" s="422"/>
      <c r="PPX140" s="422"/>
      <c r="PPY140" s="422"/>
      <c r="PPZ140" s="422"/>
      <c r="PQA140" s="422"/>
      <c r="PQB140" s="422"/>
      <c r="PQC140" s="422"/>
      <c r="PQD140" s="422"/>
      <c r="PQE140" s="422"/>
      <c r="PQF140" s="422"/>
      <c r="PQG140" s="422"/>
      <c r="PQH140" s="422"/>
      <c r="PQI140" s="422"/>
      <c r="PQJ140" s="422"/>
      <c r="PQK140" s="422"/>
      <c r="PQL140" s="422"/>
      <c r="PQM140" s="422"/>
      <c r="PQN140" s="422"/>
      <c r="PQO140" s="422"/>
      <c r="PQP140" s="422"/>
      <c r="PQQ140" s="422"/>
      <c r="PQR140" s="422"/>
      <c r="PQS140" s="422"/>
      <c r="PQT140" s="422"/>
      <c r="PQU140" s="422"/>
      <c r="PQV140" s="422"/>
      <c r="PQW140" s="422"/>
      <c r="PQX140" s="422"/>
      <c r="PQY140" s="422"/>
      <c r="PQZ140" s="422"/>
      <c r="PRA140" s="422"/>
      <c r="PRB140" s="422"/>
      <c r="PRC140" s="422"/>
      <c r="PRD140" s="422"/>
      <c r="PRE140" s="422"/>
      <c r="PRF140" s="422"/>
      <c r="PRG140" s="422"/>
      <c r="PRH140" s="422"/>
      <c r="PRI140" s="422"/>
      <c r="PRJ140" s="422"/>
      <c r="PRK140" s="422"/>
      <c r="PRL140" s="422"/>
      <c r="PRM140" s="422"/>
      <c r="PRN140" s="422"/>
      <c r="PRO140" s="422"/>
      <c r="PRP140" s="422"/>
      <c r="PRQ140" s="422"/>
      <c r="PRR140" s="422"/>
      <c r="PRS140" s="422"/>
      <c r="PRT140" s="422"/>
      <c r="PRU140" s="422"/>
      <c r="PRV140" s="422"/>
      <c r="PRW140" s="422"/>
      <c r="PRX140" s="422"/>
      <c r="PRY140" s="422"/>
      <c r="PRZ140" s="422"/>
      <c r="PSA140" s="422"/>
      <c r="PSB140" s="422"/>
      <c r="PSC140" s="422"/>
      <c r="PSD140" s="422"/>
      <c r="PSE140" s="422"/>
      <c r="PSF140" s="422"/>
      <c r="PSG140" s="422"/>
      <c r="PSH140" s="422"/>
      <c r="PSI140" s="422"/>
      <c r="PSJ140" s="422"/>
      <c r="PSK140" s="422"/>
      <c r="PSL140" s="422"/>
      <c r="PSM140" s="422"/>
      <c r="PSN140" s="422"/>
      <c r="PSO140" s="422"/>
      <c r="PSP140" s="422"/>
      <c r="PSQ140" s="422"/>
      <c r="PSR140" s="422"/>
      <c r="PSS140" s="422"/>
      <c r="PST140" s="422"/>
      <c r="PSU140" s="422"/>
      <c r="PSV140" s="422"/>
      <c r="PSW140" s="422"/>
      <c r="PSX140" s="422"/>
      <c r="PSY140" s="422"/>
      <c r="PSZ140" s="422"/>
      <c r="PTA140" s="422"/>
      <c r="PTB140" s="422"/>
      <c r="PTC140" s="422"/>
      <c r="PTD140" s="422"/>
      <c r="PTE140" s="422"/>
      <c r="PTF140" s="422"/>
      <c r="PTG140" s="422"/>
      <c r="PTH140" s="422"/>
      <c r="PTI140" s="422"/>
      <c r="PTJ140" s="422"/>
      <c r="PTK140" s="422"/>
      <c r="PTL140" s="422"/>
      <c r="PTM140" s="422"/>
      <c r="PTN140" s="422"/>
      <c r="PTO140" s="422"/>
      <c r="PTP140" s="422"/>
      <c r="PTQ140" s="422"/>
      <c r="PTR140" s="422"/>
      <c r="PTS140" s="422"/>
      <c r="PTT140" s="422"/>
      <c r="PTU140" s="422"/>
      <c r="PTV140" s="422"/>
      <c r="PTW140" s="422"/>
      <c r="PTX140" s="422"/>
      <c r="PTY140" s="422"/>
      <c r="PTZ140" s="422"/>
      <c r="PUA140" s="422"/>
      <c r="PUB140" s="422"/>
      <c r="PUC140" s="422"/>
      <c r="PUD140" s="422"/>
      <c r="PUE140" s="422"/>
      <c r="PUF140" s="422"/>
      <c r="PUG140" s="422"/>
      <c r="PUH140" s="422"/>
      <c r="PUI140" s="422"/>
      <c r="PUJ140" s="422"/>
      <c r="PUK140" s="422"/>
      <c r="PUL140" s="422"/>
      <c r="PUM140" s="422"/>
      <c r="PUN140" s="422"/>
      <c r="PUO140" s="422"/>
      <c r="PUP140" s="422"/>
      <c r="PUQ140" s="422"/>
      <c r="PUR140" s="422"/>
      <c r="PUS140" s="422"/>
      <c r="PUT140" s="422"/>
      <c r="PUU140" s="422"/>
      <c r="PUV140" s="422"/>
      <c r="PUW140" s="422"/>
      <c r="PUX140" s="422"/>
      <c r="PUY140" s="422"/>
      <c r="PUZ140" s="422"/>
      <c r="PVA140" s="422"/>
      <c r="PVB140" s="422"/>
      <c r="PVC140" s="422"/>
      <c r="PVD140" s="422"/>
      <c r="PVE140" s="422"/>
      <c r="PVF140" s="422"/>
      <c r="PVG140" s="422"/>
      <c r="PVH140" s="422"/>
      <c r="PVI140" s="422"/>
      <c r="PVJ140" s="422"/>
      <c r="PVK140" s="422"/>
      <c r="PVL140" s="422"/>
      <c r="PVM140" s="422"/>
      <c r="PVN140" s="422"/>
      <c r="PVO140" s="422"/>
      <c r="PVP140" s="422"/>
      <c r="PVQ140" s="422"/>
      <c r="PVR140" s="422"/>
      <c r="PVS140" s="422"/>
      <c r="PVT140" s="422"/>
      <c r="PVU140" s="422"/>
      <c r="PVV140" s="422"/>
      <c r="PVW140" s="422"/>
      <c r="PVX140" s="422"/>
      <c r="PVY140" s="422"/>
      <c r="PVZ140" s="422"/>
      <c r="PWA140" s="422"/>
      <c r="PWB140" s="422"/>
      <c r="PWC140" s="422"/>
      <c r="PWD140" s="422"/>
      <c r="PWE140" s="422"/>
      <c r="PWF140" s="422"/>
      <c r="PWG140" s="422"/>
      <c r="PWH140" s="422"/>
      <c r="PWI140" s="422"/>
      <c r="PWJ140" s="422"/>
      <c r="PWK140" s="422"/>
      <c r="PWL140" s="422"/>
      <c r="PWM140" s="422"/>
      <c r="PWN140" s="422"/>
      <c r="PWO140" s="422"/>
      <c r="PWP140" s="422"/>
      <c r="PWQ140" s="422"/>
      <c r="PWR140" s="422"/>
      <c r="PWS140" s="422"/>
      <c r="PWT140" s="422"/>
      <c r="PWU140" s="422"/>
      <c r="PWV140" s="422"/>
      <c r="PWW140" s="422"/>
      <c r="PWX140" s="422"/>
      <c r="PWY140" s="422"/>
      <c r="PWZ140" s="422"/>
      <c r="PXA140" s="422"/>
      <c r="PXB140" s="422"/>
      <c r="PXC140" s="422"/>
      <c r="PXD140" s="422"/>
      <c r="PXE140" s="422"/>
      <c r="PXF140" s="422"/>
      <c r="PXG140" s="422"/>
      <c r="PXH140" s="422"/>
      <c r="PXI140" s="422"/>
      <c r="PXJ140" s="422"/>
      <c r="PXK140" s="422"/>
      <c r="PXL140" s="422"/>
      <c r="PXM140" s="422"/>
      <c r="PXN140" s="422"/>
      <c r="PXO140" s="422"/>
      <c r="PXP140" s="422"/>
      <c r="PXQ140" s="422"/>
      <c r="PXR140" s="422"/>
      <c r="PXS140" s="422"/>
      <c r="PXT140" s="422"/>
      <c r="PXU140" s="422"/>
      <c r="PXV140" s="422"/>
      <c r="PXW140" s="422"/>
      <c r="PXX140" s="422"/>
      <c r="PXY140" s="422"/>
      <c r="PXZ140" s="422"/>
      <c r="PYA140" s="422"/>
      <c r="PYB140" s="422"/>
      <c r="PYC140" s="422"/>
      <c r="PYD140" s="422"/>
      <c r="PYE140" s="422"/>
      <c r="PYF140" s="422"/>
      <c r="PYG140" s="422"/>
      <c r="PYH140" s="422"/>
      <c r="PYI140" s="422"/>
      <c r="PYJ140" s="422"/>
      <c r="PYK140" s="422"/>
      <c r="PYL140" s="422"/>
      <c r="PYM140" s="422"/>
      <c r="PYN140" s="422"/>
      <c r="PYO140" s="422"/>
      <c r="PYP140" s="422"/>
      <c r="PYQ140" s="422"/>
      <c r="PYR140" s="422"/>
      <c r="PYS140" s="422"/>
      <c r="PYT140" s="422"/>
      <c r="PYU140" s="422"/>
      <c r="PYV140" s="422"/>
      <c r="PYW140" s="422"/>
      <c r="PYX140" s="422"/>
      <c r="PYY140" s="422"/>
      <c r="PYZ140" s="422"/>
      <c r="PZA140" s="422"/>
      <c r="PZB140" s="422"/>
      <c r="PZC140" s="422"/>
      <c r="PZD140" s="422"/>
      <c r="PZE140" s="422"/>
      <c r="PZF140" s="422"/>
      <c r="PZG140" s="422"/>
      <c r="PZH140" s="422"/>
      <c r="PZI140" s="422"/>
      <c r="PZJ140" s="422"/>
      <c r="PZK140" s="422"/>
      <c r="PZL140" s="422"/>
      <c r="PZM140" s="422"/>
      <c r="PZN140" s="422"/>
      <c r="PZO140" s="422"/>
      <c r="PZP140" s="422"/>
      <c r="PZQ140" s="422"/>
      <c r="PZR140" s="422"/>
      <c r="PZS140" s="422"/>
      <c r="PZT140" s="422"/>
      <c r="PZU140" s="422"/>
      <c r="PZV140" s="422"/>
      <c r="PZW140" s="422"/>
      <c r="PZX140" s="422"/>
      <c r="PZY140" s="422"/>
      <c r="PZZ140" s="422"/>
      <c r="QAA140" s="422"/>
      <c r="QAB140" s="422"/>
      <c r="QAC140" s="422"/>
      <c r="QAD140" s="422"/>
      <c r="QAE140" s="422"/>
      <c r="QAF140" s="422"/>
      <c r="QAG140" s="422"/>
      <c r="QAH140" s="422"/>
      <c r="QAI140" s="422"/>
      <c r="QAJ140" s="422"/>
      <c r="QAK140" s="422"/>
      <c r="QAL140" s="422"/>
      <c r="QAM140" s="422"/>
      <c r="QAN140" s="422"/>
      <c r="QAO140" s="422"/>
      <c r="QAP140" s="422"/>
      <c r="QAQ140" s="422"/>
      <c r="QAR140" s="422"/>
      <c r="QAS140" s="422"/>
      <c r="QAT140" s="422"/>
      <c r="QAU140" s="422"/>
      <c r="QAV140" s="422"/>
      <c r="QAW140" s="422"/>
      <c r="QAX140" s="422"/>
      <c r="QAY140" s="422"/>
      <c r="QAZ140" s="422"/>
      <c r="QBA140" s="422"/>
      <c r="QBB140" s="422"/>
      <c r="QBC140" s="422"/>
      <c r="QBD140" s="422"/>
      <c r="QBE140" s="422"/>
      <c r="QBF140" s="422"/>
      <c r="QBG140" s="422"/>
      <c r="QBH140" s="422"/>
      <c r="QBI140" s="422"/>
      <c r="QBJ140" s="422"/>
      <c r="QBK140" s="422"/>
      <c r="QBL140" s="422"/>
      <c r="QBM140" s="422"/>
      <c r="QBN140" s="422"/>
      <c r="QBO140" s="422"/>
      <c r="QBP140" s="422"/>
      <c r="QBQ140" s="422"/>
      <c r="QBR140" s="422"/>
      <c r="QBS140" s="422"/>
      <c r="QBT140" s="422"/>
      <c r="QBU140" s="422"/>
      <c r="QBV140" s="422"/>
      <c r="QBW140" s="422"/>
      <c r="QBX140" s="422"/>
      <c r="QBY140" s="422"/>
      <c r="QBZ140" s="422"/>
      <c r="QCA140" s="422"/>
      <c r="QCB140" s="422"/>
      <c r="QCC140" s="422"/>
      <c r="QCD140" s="422"/>
      <c r="QCE140" s="422"/>
      <c r="QCF140" s="422"/>
      <c r="QCG140" s="422"/>
      <c r="QCH140" s="422"/>
      <c r="QCI140" s="422"/>
      <c r="QCJ140" s="422"/>
      <c r="QCK140" s="422"/>
      <c r="QCL140" s="422"/>
      <c r="QCM140" s="422"/>
      <c r="QCN140" s="422"/>
      <c r="QCO140" s="422"/>
      <c r="QCP140" s="422"/>
      <c r="QCQ140" s="422"/>
      <c r="QCR140" s="422"/>
      <c r="QCS140" s="422"/>
      <c r="QCT140" s="422"/>
      <c r="QCU140" s="422"/>
      <c r="QCV140" s="422"/>
      <c r="QCW140" s="422"/>
      <c r="QCX140" s="422"/>
      <c r="QCY140" s="422"/>
      <c r="QCZ140" s="422"/>
      <c r="QDA140" s="422"/>
      <c r="QDB140" s="422"/>
      <c r="QDC140" s="422"/>
      <c r="QDD140" s="422"/>
      <c r="QDE140" s="422"/>
      <c r="QDF140" s="422"/>
      <c r="QDG140" s="422"/>
      <c r="QDH140" s="422"/>
      <c r="QDI140" s="422"/>
      <c r="QDJ140" s="422"/>
      <c r="QDK140" s="422"/>
      <c r="QDL140" s="422"/>
      <c r="QDM140" s="422"/>
      <c r="QDN140" s="422"/>
      <c r="QDO140" s="422"/>
      <c r="QDP140" s="422"/>
      <c r="QDQ140" s="422"/>
      <c r="QDR140" s="422"/>
      <c r="QDS140" s="422"/>
      <c r="QDT140" s="422"/>
      <c r="QDU140" s="422"/>
      <c r="QDV140" s="422"/>
      <c r="QDW140" s="422"/>
      <c r="QDX140" s="422"/>
      <c r="QDY140" s="422"/>
      <c r="QDZ140" s="422"/>
      <c r="QEA140" s="422"/>
      <c r="QEB140" s="422"/>
      <c r="QEC140" s="422"/>
      <c r="QED140" s="422"/>
      <c r="QEE140" s="422"/>
      <c r="QEF140" s="422"/>
      <c r="QEG140" s="422"/>
      <c r="QEH140" s="422"/>
      <c r="QEI140" s="422"/>
      <c r="QEJ140" s="422"/>
      <c r="QEK140" s="422"/>
      <c r="QEL140" s="422"/>
      <c r="QEM140" s="422"/>
      <c r="QEN140" s="422"/>
      <c r="QEO140" s="422"/>
      <c r="QEP140" s="422"/>
      <c r="QEQ140" s="422"/>
      <c r="QER140" s="422"/>
      <c r="QES140" s="422"/>
      <c r="QET140" s="422"/>
      <c r="QEU140" s="422"/>
      <c r="QEV140" s="422"/>
      <c r="QEW140" s="422"/>
      <c r="QEX140" s="422"/>
      <c r="QEY140" s="422"/>
      <c r="QEZ140" s="422"/>
      <c r="QFA140" s="422"/>
      <c r="QFB140" s="422"/>
      <c r="QFC140" s="422"/>
      <c r="QFD140" s="422"/>
      <c r="QFE140" s="422"/>
      <c r="QFF140" s="422"/>
      <c r="QFG140" s="422"/>
      <c r="QFH140" s="422"/>
      <c r="QFI140" s="422"/>
      <c r="QFJ140" s="422"/>
      <c r="QFK140" s="422"/>
      <c r="QFL140" s="422"/>
      <c r="QFM140" s="422"/>
      <c r="QFN140" s="422"/>
      <c r="QFO140" s="422"/>
      <c r="QFP140" s="422"/>
      <c r="QFQ140" s="422"/>
      <c r="QFR140" s="422"/>
      <c r="QFS140" s="422"/>
      <c r="QFT140" s="422"/>
      <c r="QFU140" s="422"/>
      <c r="QFV140" s="422"/>
      <c r="QFW140" s="422"/>
      <c r="QFX140" s="422"/>
      <c r="QFY140" s="422"/>
      <c r="QFZ140" s="422"/>
      <c r="QGA140" s="422"/>
      <c r="QGB140" s="422"/>
      <c r="QGC140" s="422"/>
      <c r="QGD140" s="422"/>
      <c r="QGE140" s="422"/>
      <c r="QGF140" s="422"/>
      <c r="QGG140" s="422"/>
      <c r="QGH140" s="422"/>
      <c r="QGI140" s="422"/>
      <c r="QGJ140" s="422"/>
      <c r="QGK140" s="422"/>
      <c r="QGL140" s="422"/>
      <c r="QGM140" s="422"/>
      <c r="QGN140" s="422"/>
      <c r="QGO140" s="422"/>
      <c r="QGP140" s="422"/>
      <c r="QGQ140" s="422"/>
      <c r="QGR140" s="422"/>
      <c r="QGS140" s="422"/>
      <c r="QGT140" s="422"/>
      <c r="QGU140" s="422"/>
      <c r="QGV140" s="422"/>
      <c r="QGW140" s="422"/>
      <c r="QGX140" s="422"/>
      <c r="QGY140" s="422"/>
      <c r="QGZ140" s="422"/>
      <c r="QHA140" s="422"/>
      <c r="QHB140" s="422"/>
      <c r="QHC140" s="422"/>
      <c r="QHD140" s="422"/>
      <c r="QHE140" s="422"/>
      <c r="QHF140" s="422"/>
      <c r="QHG140" s="422"/>
      <c r="QHH140" s="422"/>
      <c r="QHI140" s="422"/>
      <c r="QHJ140" s="422"/>
      <c r="QHK140" s="422"/>
      <c r="QHL140" s="422"/>
      <c r="QHM140" s="422"/>
      <c r="QHN140" s="422"/>
      <c r="QHO140" s="422"/>
      <c r="QHP140" s="422"/>
      <c r="QHQ140" s="422"/>
      <c r="QHR140" s="422"/>
      <c r="QHS140" s="422"/>
      <c r="QHT140" s="422"/>
      <c r="QHU140" s="422"/>
      <c r="QHV140" s="422"/>
      <c r="QHW140" s="422"/>
      <c r="QHX140" s="422"/>
      <c r="QHY140" s="422"/>
      <c r="QHZ140" s="422"/>
      <c r="QIA140" s="422"/>
      <c r="QIB140" s="422"/>
      <c r="QIC140" s="422"/>
      <c r="QID140" s="422"/>
      <c r="QIE140" s="422"/>
      <c r="QIF140" s="422"/>
      <c r="QIG140" s="422"/>
      <c r="QIH140" s="422"/>
      <c r="QII140" s="422"/>
      <c r="QIJ140" s="422"/>
      <c r="QIK140" s="422"/>
      <c r="QIL140" s="422"/>
      <c r="QIM140" s="422"/>
      <c r="QIN140" s="422"/>
      <c r="QIO140" s="422"/>
      <c r="QIP140" s="422"/>
      <c r="QIQ140" s="422"/>
      <c r="QIR140" s="422"/>
      <c r="QIS140" s="422"/>
      <c r="QIT140" s="422"/>
      <c r="QIU140" s="422"/>
      <c r="QIV140" s="422"/>
      <c r="QIW140" s="422"/>
      <c r="QIX140" s="422"/>
      <c r="QIY140" s="422"/>
      <c r="QIZ140" s="422"/>
      <c r="QJA140" s="422"/>
      <c r="QJB140" s="422"/>
      <c r="QJC140" s="422"/>
      <c r="QJD140" s="422"/>
      <c r="QJE140" s="422"/>
      <c r="QJF140" s="422"/>
      <c r="QJG140" s="422"/>
      <c r="QJH140" s="422"/>
      <c r="QJI140" s="422"/>
      <c r="QJJ140" s="422"/>
      <c r="QJK140" s="422"/>
      <c r="QJL140" s="422"/>
      <c r="QJM140" s="422"/>
      <c r="QJN140" s="422"/>
      <c r="QJO140" s="422"/>
      <c r="QJP140" s="422"/>
      <c r="QJQ140" s="422"/>
      <c r="QJR140" s="422"/>
      <c r="QJS140" s="422"/>
      <c r="QJT140" s="422"/>
      <c r="QJU140" s="422"/>
      <c r="QJV140" s="422"/>
      <c r="QJW140" s="422"/>
      <c r="QJX140" s="422"/>
      <c r="QJY140" s="422"/>
      <c r="QJZ140" s="422"/>
      <c r="QKA140" s="422"/>
      <c r="QKB140" s="422"/>
      <c r="QKC140" s="422"/>
      <c r="QKD140" s="422"/>
      <c r="QKE140" s="422"/>
      <c r="QKF140" s="422"/>
      <c r="QKG140" s="422"/>
      <c r="QKH140" s="422"/>
      <c r="QKI140" s="422"/>
      <c r="QKJ140" s="422"/>
      <c r="QKK140" s="422"/>
      <c r="QKL140" s="422"/>
      <c r="QKM140" s="422"/>
      <c r="QKN140" s="422"/>
      <c r="QKO140" s="422"/>
      <c r="QKP140" s="422"/>
      <c r="QKQ140" s="422"/>
      <c r="QKR140" s="422"/>
      <c r="QKS140" s="422"/>
      <c r="QKT140" s="422"/>
      <c r="QKU140" s="422"/>
      <c r="QKV140" s="422"/>
      <c r="QKW140" s="422"/>
      <c r="QKX140" s="422"/>
      <c r="QKY140" s="422"/>
      <c r="QKZ140" s="422"/>
      <c r="QLA140" s="422"/>
      <c r="QLB140" s="422"/>
      <c r="QLC140" s="422"/>
      <c r="QLD140" s="422"/>
      <c r="QLE140" s="422"/>
      <c r="QLF140" s="422"/>
      <c r="QLG140" s="422"/>
      <c r="QLH140" s="422"/>
      <c r="QLI140" s="422"/>
      <c r="QLJ140" s="422"/>
      <c r="QLK140" s="422"/>
      <c r="QLL140" s="422"/>
      <c r="QLM140" s="422"/>
      <c r="QLN140" s="422"/>
      <c r="QLO140" s="422"/>
      <c r="QLP140" s="422"/>
      <c r="QLQ140" s="422"/>
      <c r="QLR140" s="422"/>
      <c r="QLS140" s="422"/>
      <c r="QLT140" s="422"/>
      <c r="QLU140" s="422"/>
      <c r="QLV140" s="422"/>
      <c r="QLW140" s="422"/>
      <c r="QLX140" s="422"/>
      <c r="QLY140" s="422"/>
      <c r="QLZ140" s="422"/>
      <c r="QMA140" s="422"/>
      <c r="QMB140" s="422"/>
      <c r="QMC140" s="422"/>
      <c r="QMD140" s="422"/>
      <c r="QME140" s="422"/>
      <c r="QMF140" s="422"/>
      <c r="QMG140" s="422"/>
      <c r="QMH140" s="422"/>
      <c r="QMI140" s="422"/>
      <c r="QMJ140" s="422"/>
      <c r="QMK140" s="422"/>
      <c r="QML140" s="422"/>
      <c r="QMM140" s="422"/>
      <c r="QMN140" s="422"/>
      <c r="QMO140" s="422"/>
      <c r="QMP140" s="422"/>
      <c r="QMQ140" s="422"/>
      <c r="QMR140" s="422"/>
      <c r="QMS140" s="422"/>
      <c r="QMT140" s="422"/>
      <c r="QMU140" s="422"/>
      <c r="QMV140" s="422"/>
      <c r="QMW140" s="422"/>
      <c r="QMX140" s="422"/>
      <c r="QMY140" s="422"/>
      <c r="QMZ140" s="422"/>
      <c r="QNA140" s="422"/>
      <c r="QNB140" s="422"/>
      <c r="QNC140" s="422"/>
      <c r="QND140" s="422"/>
      <c r="QNE140" s="422"/>
      <c r="QNF140" s="422"/>
      <c r="QNG140" s="422"/>
      <c r="QNH140" s="422"/>
      <c r="QNI140" s="422"/>
      <c r="QNJ140" s="422"/>
      <c r="QNK140" s="422"/>
      <c r="QNL140" s="422"/>
      <c r="QNM140" s="422"/>
      <c r="QNN140" s="422"/>
      <c r="QNO140" s="422"/>
      <c r="QNP140" s="422"/>
      <c r="QNQ140" s="422"/>
      <c r="QNR140" s="422"/>
      <c r="QNS140" s="422"/>
      <c r="QNT140" s="422"/>
      <c r="QNU140" s="422"/>
      <c r="QNV140" s="422"/>
      <c r="QNW140" s="422"/>
      <c r="QNX140" s="422"/>
      <c r="QNY140" s="422"/>
      <c r="QNZ140" s="422"/>
      <c r="QOA140" s="422"/>
      <c r="QOB140" s="422"/>
      <c r="QOC140" s="422"/>
      <c r="QOD140" s="422"/>
      <c r="QOE140" s="422"/>
      <c r="QOF140" s="422"/>
      <c r="QOG140" s="422"/>
      <c r="QOH140" s="422"/>
      <c r="QOI140" s="422"/>
      <c r="QOJ140" s="422"/>
      <c r="QOK140" s="422"/>
      <c r="QOL140" s="422"/>
      <c r="QOM140" s="422"/>
      <c r="QON140" s="422"/>
      <c r="QOO140" s="422"/>
      <c r="QOP140" s="422"/>
      <c r="QOQ140" s="422"/>
      <c r="QOR140" s="422"/>
      <c r="QOS140" s="422"/>
      <c r="QOT140" s="422"/>
      <c r="QOU140" s="422"/>
      <c r="QOV140" s="422"/>
      <c r="QOW140" s="422"/>
      <c r="QOX140" s="422"/>
      <c r="QOY140" s="422"/>
      <c r="QOZ140" s="422"/>
      <c r="QPA140" s="422"/>
      <c r="QPB140" s="422"/>
      <c r="QPC140" s="422"/>
      <c r="QPD140" s="422"/>
      <c r="QPE140" s="422"/>
      <c r="QPF140" s="422"/>
      <c r="QPG140" s="422"/>
      <c r="QPH140" s="422"/>
      <c r="QPI140" s="422"/>
      <c r="QPJ140" s="422"/>
      <c r="QPK140" s="422"/>
      <c r="QPL140" s="422"/>
      <c r="QPM140" s="422"/>
      <c r="QPN140" s="422"/>
      <c r="QPO140" s="422"/>
      <c r="QPP140" s="422"/>
      <c r="QPQ140" s="422"/>
      <c r="QPR140" s="422"/>
      <c r="QPS140" s="422"/>
      <c r="QPT140" s="422"/>
      <c r="QPU140" s="422"/>
      <c r="QPV140" s="422"/>
      <c r="QPW140" s="422"/>
      <c r="QPX140" s="422"/>
      <c r="QPY140" s="422"/>
      <c r="QPZ140" s="422"/>
      <c r="QQA140" s="422"/>
      <c r="QQB140" s="422"/>
      <c r="QQC140" s="422"/>
      <c r="QQD140" s="422"/>
      <c r="QQE140" s="422"/>
      <c r="QQF140" s="422"/>
      <c r="QQG140" s="422"/>
      <c r="QQH140" s="422"/>
      <c r="QQI140" s="422"/>
      <c r="QQJ140" s="422"/>
      <c r="QQK140" s="422"/>
      <c r="QQL140" s="422"/>
      <c r="QQM140" s="422"/>
      <c r="QQN140" s="422"/>
      <c r="QQO140" s="422"/>
      <c r="QQP140" s="422"/>
      <c r="QQQ140" s="422"/>
      <c r="QQR140" s="422"/>
      <c r="QQS140" s="422"/>
      <c r="QQT140" s="422"/>
      <c r="QQU140" s="422"/>
      <c r="QQV140" s="422"/>
      <c r="QQW140" s="422"/>
      <c r="QQX140" s="422"/>
      <c r="QQY140" s="422"/>
      <c r="QQZ140" s="422"/>
      <c r="QRA140" s="422"/>
      <c r="QRB140" s="422"/>
      <c r="QRC140" s="422"/>
      <c r="QRD140" s="422"/>
      <c r="QRE140" s="422"/>
      <c r="QRF140" s="422"/>
      <c r="QRG140" s="422"/>
      <c r="QRH140" s="422"/>
      <c r="QRI140" s="422"/>
      <c r="QRJ140" s="422"/>
      <c r="QRK140" s="422"/>
      <c r="QRL140" s="422"/>
      <c r="QRM140" s="422"/>
      <c r="QRN140" s="422"/>
      <c r="QRO140" s="422"/>
      <c r="QRP140" s="422"/>
      <c r="QRQ140" s="422"/>
      <c r="QRR140" s="422"/>
      <c r="QRS140" s="422"/>
      <c r="QRT140" s="422"/>
      <c r="QRU140" s="422"/>
      <c r="QRV140" s="422"/>
      <c r="QRW140" s="422"/>
      <c r="QRX140" s="422"/>
      <c r="QRY140" s="422"/>
      <c r="QRZ140" s="422"/>
      <c r="QSA140" s="422"/>
      <c r="QSB140" s="422"/>
      <c r="QSC140" s="422"/>
      <c r="QSD140" s="422"/>
      <c r="QSE140" s="422"/>
      <c r="QSF140" s="422"/>
      <c r="QSG140" s="422"/>
      <c r="QSH140" s="422"/>
      <c r="QSI140" s="422"/>
      <c r="QSJ140" s="422"/>
      <c r="QSK140" s="422"/>
      <c r="QSL140" s="422"/>
      <c r="QSM140" s="422"/>
      <c r="QSN140" s="422"/>
      <c r="QSO140" s="422"/>
      <c r="QSP140" s="422"/>
      <c r="QSQ140" s="422"/>
      <c r="QSR140" s="422"/>
      <c r="QSS140" s="422"/>
      <c r="QST140" s="422"/>
      <c r="QSU140" s="422"/>
      <c r="QSV140" s="422"/>
      <c r="QSW140" s="422"/>
      <c r="QSX140" s="422"/>
      <c r="QSY140" s="422"/>
      <c r="QSZ140" s="422"/>
      <c r="QTA140" s="422"/>
      <c r="QTB140" s="422"/>
      <c r="QTC140" s="422"/>
      <c r="QTD140" s="422"/>
      <c r="QTE140" s="422"/>
      <c r="QTF140" s="422"/>
      <c r="QTG140" s="422"/>
      <c r="QTH140" s="422"/>
      <c r="QTI140" s="422"/>
      <c r="QTJ140" s="422"/>
      <c r="QTK140" s="422"/>
      <c r="QTL140" s="422"/>
      <c r="QTM140" s="422"/>
      <c r="QTN140" s="422"/>
      <c r="QTO140" s="422"/>
      <c r="QTP140" s="422"/>
      <c r="QTQ140" s="422"/>
      <c r="QTR140" s="422"/>
      <c r="QTS140" s="422"/>
      <c r="QTT140" s="422"/>
      <c r="QTU140" s="422"/>
      <c r="QTV140" s="422"/>
      <c r="QTW140" s="422"/>
      <c r="QTX140" s="422"/>
      <c r="QTY140" s="422"/>
      <c r="QTZ140" s="422"/>
      <c r="QUA140" s="422"/>
      <c r="QUB140" s="422"/>
      <c r="QUC140" s="422"/>
      <c r="QUD140" s="422"/>
      <c r="QUE140" s="422"/>
      <c r="QUF140" s="422"/>
      <c r="QUG140" s="422"/>
      <c r="QUH140" s="422"/>
      <c r="QUI140" s="422"/>
      <c r="QUJ140" s="422"/>
      <c r="QUK140" s="422"/>
      <c r="QUL140" s="422"/>
      <c r="QUM140" s="422"/>
      <c r="QUN140" s="422"/>
      <c r="QUO140" s="422"/>
      <c r="QUP140" s="422"/>
      <c r="QUQ140" s="422"/>
      <c r="QUR140" s="422"/>
      <c r="QUS140" s="422"/>
      <c r="QUT140" s="422"/>
      <c r="QUU140" s="422"/>
      <c r="QUV140" s="422"/>
      <c r="QUW140" s="422"/>
      <c r="QUX140" s="422"/>
      <c r="QUY140" s="422"/>
      <c r="QUZ140" s="422"/>
      <c r="QVA140" s="422"/>
      <c r="QVB140" s="422"/>
      <c r="QVC140" s="422"/>
      <c r="QVD140" s="422"/>
      <c r="QVE140" s="422"/>
      <c r="QVF140" s="422"/>
      <c r="QVG140" s="422"/>
      <c r="QVH140" s="422"/>
      <c r="QVI140" s="422"/>
      <c r="QVJ140" s="422"/>
      <c r="QVK140" s="422"/>
      <c r="QVL140" s="422"/>
      <c r="QVM140" s="422"/>
      <c r="QVN140" s="422"/>
      <c r="QVO140" s="422"/>
      <c r="QVP140" s="422"/>
      <c r="QVQ140" s="422"/>
      <c r="QVR140" s="422"/>
      <c r="QVS140" s="422"/>
      <c r="QVT140" s="422"/>
      <c r="QVU140" s="422"/>
      <c r="QVV140" s="422"/>
      <c r="QVW140" s="422"/>
      <c r="QVX140" s="422"/>
      <c r="QVY140" s="422"/>
      <c r="QVZ140" s="422"/>
      <c r="QWA140" s="422"/>
      <c r="QWB140" s="422"/>
      <c r="QWC140" s="422"/>
      <c r="QWD140" s="422"/>
      <c r="QWE140" s="422"/>
      <c r="QWF140" s="422"/>
      <c r="QWG140" s="422"/>
      <c r="QWH140" s="422"/>
      <c r="QWI140" s="422"/>
      <c r="QWJ140" s="422"/>
      <c r="QWK140" s="422"/>
      <c r="QWL140" s="422"/>
      <c r="QWM140" s="422"/>
      <c r="QWN140" s="422"/>
      <c r="QWO140" s="422"/>
      <c r="QWP140" s="422"/>
      <c r="QWQ140" s="422"/>
      <c r="QWR140" s="422"/>
      <c r="QWS140" s="422"/>
      <c r="QWT140" s="422"/>
      <c r="QWU140" s="422"/>
      <c r="QWV140" s="422"/>
      <c r="QWW140" s="422"/>
      <c r="QWX140" s="422"/>
      <c r="QWY140" s="422"/>
      <c r="QWZ140" s="422"/>
      <c r="QXA140" s="422"/>
      <c r="QXB140" s="422"/>
      <c r="QXC140" s="422"/>
      <c r="QXD140" s="422"/>
      <c r="QXE140" s="422"/>
      <c r="QXF140" s="422"/>
      <c r="QXG140" s="422"/>
      <c r="QXH140" s="422"/>
      <c r="QXI140" s="422"/>
      <c r="QXJ140" s="422"/>
      <c r="QXK140" s="422"/>
      <c r="QXL140" s="422"/>
      <c r="QXM140" s="422"/>
      <c r="QXN140" s="422"/>
      <c r="QXO140" s="422"/>
      <c r="QXP140" s="422"/>
      <c r="QXQ140" s="422"/>
      <c r="QXR140" s="422"/>
      <c r="QXS140" s="422"/>
      <c r="QXT140" s="422"/>
      <c r="QXU140" s="422"/>
      <c r="QXV140" s="422"/>
      <c r="QXW140" s="422"/>
      <c r="QXX140" s="422"/>
      <c r="QXY140" s="422"/>
      <c r="QXZ140" s="422"/>
      <c r="QYA140" s="422"/>
      <c r="QYB140" s="422"/>
      <c r="QYC140" s="422"/>
      <c r="QYD140" s="422"/>
      <c r="QYE140" s="422"/>
      <c r="QYF140" s="422"/>
      <c r="QYG140" s="422"/>
      <c r="QYH140" s="422"/>
      <c r="QYI140" s="422"/>
      <c r="QYJ140" s="422"/>
      <c r="QYK140" s="422"/>
      <c r="QYL140" s="422"/>
      <c r="QYM140" s="422"/>
      <c r="QYN140" s="422"/>
      <c r="QYO140" s="422"/>
      <c r="QYP140" s="422"/>
      <c r="QYQ140" s="422"/>
      <c r="QYR140" s="422"/>
      <c r="QYS140" s="422"/>
      <c r="QYT140" s="422"/>
      <c r="QYU140" s="422"/>
      <c r="QYV140" s="422"/>
      <c r="QYW140" s="422"/>
      <c r="QYX140" s="422"/>
      <c r="QYY140" s="422"/>
      <c r="QYZ140" s="422"/>
      <c r="QZA140" s="422"/>
      <c r="QZB140" s="422"/>
      <c r="QZC140" s="422"/>
      <c r="QZD140" s="422"/>
      <c r="QZE140" s="422"/>
      <c r="QZF140" s="422"/>
      <c r="QZG140" s="422"/>
      <c r="QZH140" s="422"/>
      <c r="QZI140" s="422"/>
      <c r="QZJ140" s="422"/>
      <c r="QZK140" s="422"/>
      <c r="QZL140" s="422"/>
      <c r="QZM140" s="422"/>
      <c r="QZN140" s="422"/>
      <c r="QZO140" s="422"/>
      <c r="QZP140" s="422"/>
      <c r="QZQ140" s="422"/>
      <c r="QZR140" s="422"/>
      <c r="QZS140" s="422"/>
      <c r="QZT140" s="422"/>
      <c r="QZU140" s="422"/>
      <c r="QZV140" s="422"/>
      <c r="QZW140" s="422"/>
      <c r="QZX140" s="422"/>
      <c r="QZY140" s="422"/>
      <c r="QZZ140" s="422"/>
      <c r="RAA140" s="422"/>
      <c r="RAB140" s="422"/>
      <c r="RAC140" s="422"/>
      <c r="RAD140" s="422"/>
      <c r="RAE140" s="422"/>
      <c r="RAF140" s="422"/>
      <c r="RAG140" s="422"/>
      <c r="RAH140" s="422"/>
      <c r="RAI140" s="422"/>
      <c r="RAJ140" s="422"/>
      <c r="RAK140" s="422"/>
      <c r="RAL140" s="422"/>
      <c r="RAM140" s="422"/>
      <c r="RAN140" s="422"/>
      <c r="RAO140" s="422"/>
      <c r="RAP140" s="422"/>
      <c r="RAQ140" s="422"/>
      <c r="RAR140" s="422"/>
      <c r="RAS140" s="422"/>
      <c r="RAT140" s="422"/>
      <c r="RAU140" s="422"/>
      <c r="RAV140" s="422"/>
      <c r="RAW140" s="422"/>
      <c r="RAX140" s="422"/>
      <c r="RAY140" s="422"/>
      <c r="RAZ140" s="422"/>
      <c r="RBA140" s="422"/>
      <c r="RBB140" s="422"/>
      <c r="RBC140" s="422"/>
      <c r="RBD140" s="422"/>
      <c r="RBE140" s="422"/>
      <c r="RBF140" s="422"/>
      <c r="RBG140" s="422"/>
      <c r="RBH140" s="422"/>
      <c r="RBI140" s="422"/>
      <c r="RBJ140" s="422"/>
      <c r="RBK140" s="422"/>
      <c r="RBL140" s="422"/>
      <c r="RBM140" s="422"/>
      <c r="RBN140" s="422"/>
      <c r="RBO140" s="422"/>
      <c r="RBP140" s="422"/>
      <c r="RBQ140" s="422"/>
      <c r="RBR140" s="422"/>
      <c r="RBS140" s="422"/>
      <c r="RBT140" s="422"/>
      <c r="RBU140" s="422"/>
      <c r="RBV140" s="422"/>
      <c r="RBW140" s="422"/>
      <c r="RBX140" s="422"/>
      <c r="RBY140" s="422"/>
      <c r="RBZ140" s="422"/>
      <c r="RCA140" s="422"/>
      <c r="RCB140" s="422"/>
      <c r="RCC140" s="422"/>
      <c r="RCD140" s="422"/>
      <c r="RCE140" s="422"/>
      <c r="RCF140" s="422"/>
      <c r="RCG140" s="422"/>
      <c r="RCH140" s="422"/>
      <c r="RCI140" s="422"/>
      <c r="RCJ140" s="422"/>
      <c r="RCK140" s="422"/>
      <c r="RCL140" s="422"/>
      <c r="RCM140" s="422"/>
      <c r="RCN140" s="422"/>
      <c r="RCO140" s="422"/>
      <c r="RCP140" s="422"/>
      <c r="RCQ140" s="422"/>
      <c r="RCR140" s="422"/>
      <c r="RCS140" s="422"/>
      <c r="RCT140" s="422"/>
      <c r="RCU140" s="422"/>
      <c r="RCV140" s="422"/>
      <c r="RCW140" s="422"/>
      <c r="RCX140" s="422"/>
      <c r="RCY140" s="422"/>
      <c r="RCZ140" s="422"/>
      <c r="RDA140" s="422"/>
      <c r="RDB140" s="422"/>
      <c r="RDC140" s="422"/>
      <c r="RDD140" s="422"/>
      <c r="RDE140" s="422"/>
      <c r="RDF140" s="422"/>
      <c r="RDG140" s="422"/>
      <c r="RDH140" s="422"/>
      <c r="RDI140" s="422"/>
      <c r="RDJ140" s="422"/>
      <c r="RDK140" s="422"/>
      <c r="RDL140" s="422"/>
      <c r="RDM140" s="422"/>
      <c r="RDN140" s="422"/>
      <c r="RDO140" s="422"/>
      <c r="RDP140" s="422"/>
      <c r="RDQ140" s="422"/>
      <c r="RDR140" s="422"/>
      <c r="RDS140" s="422"/>
      <c r="RDT140" s="422"/>
      <c r="RDU140" s="422"/>
      <c r="RDV140" s="422"/>
      <c r="RDW140" s="422"/>
      <c r="RDX140" s="422"/>
      <c r="RDY140" s="422"/>
      <c r="RDZ140" s="422"/>
      <c r="REA140" s="422"/>
      <c r="REB140" s="422"/>
      <c r="REC140" s="422"/>
      <c r="RED140" s="422"/>
      <c r="REE140" s="422"/>
      <c r="REF140" s="422"/>
      <c r="REG140" s="422"/>
      <c r="REH140" s="422"/>
      <c r="REI140" s="422"/>
      <c r="REJ140" s="422"/>
      <c r="REK140" s="422"/>
      <c r="REL140" s="422"/>
      <c r="REM140" s="422"/>
      <c r="REN140" s="422"/>
      <c r="REO140" s="422"/>
      <c r="REP140" s="422"/>
      <c r="REQ140" s="422"/>
      <c r="RER140" s="422"/>
      <c r="RES140" s="422"/>
      <c r="RET140" s="422"/>
      <c r="REU140" s="422"/>
      <c r="REV140" s="422"/>
      <c r="REW140" s="422"/>
      <c r="REX140" s="422"/>
      <c r="REY140" s="422"/>
      <c r="REZ140" s="422"/>
      <c r="RFA140" s="422"/>
      <c r="RFB140" s="422"/>
      <c r="RFC140" s="422"/>
      <c r="RFD140" s="422"/>
      <c r="RFE140" s="422"/>
      <c r="RFF140" s="422"/>
      <c r="RFG140" s="422"/>
      <c r="RFH140" s="422"/>
      <c r="RFI140" s="422"/>
      <c r="RFJ140" s="422"/>
      <c r="RFK140" s="422"/>
      <c r="RFL140" s="422"/>
      <c r="RFM140" s="422"/>
      <c r="RFN140" s="422"/>
      <c r="RFO140" s="422"/>
      <c r="RFP140" s="422"/>
      <c r="RFQ140" s="422"/>
      <c r="RFR140" s="422"/>
      <c r="RFS140" s="422"/>
      <c r="RFT140" s="422"/>
      <c r="RFU140" s="422"/>
      <c r="RFV140" s="422"/>
      <c r="RFW140" s="422"/>
      <c r="RFX140" s="422"/>
      <c r="RFY140" s="422"/>
      <c r="RFZ140" s="422"/>
      <c r="RGA140" s="422"/>
      <c r="RGB140" s="422"/>
      <c r="RGC140" s="422"/>
      <c r="RGD140" s="422"/>
      <c r="RGE140" s="422"/>
      <c r="RGF140" s="422"/>
      <c r="RGG140" s="422"/>
      <c r="RGH140" s="422"/>
      <c r="RGI140" s="422"/>
      <c r="RGJ140" s="422"/>
      <c r="RGK140" s="422"/>
      <c r="RGL140" s="422"/>
      <c r="RGM140" s="422"/>
      <c r="RGN140" s="422"/>
      <c r="RGO140" s="422"/>
      <c r="RGP140" s="422"/>
      <c r="RGQ140" s="422"/>
      <c r="RGR140" s="422"/>
      <c r="RGS140" s="422"/>
      <c r="RGT140" s="422"/>
      <c r="RGU140" s="422"/>
      <c r="RGV140" s="422"/>
      <c r="RGW140" s="422"/>
      <c r="RGX140" s="422"/>
      <c r="RGY140" s="422"/>
      <c r="RGZ140" s="422"/>
      <c r="RHA140" s="422"/>
      <c r="RHB140" s="422"/>
      <c r="RHC140" s="422"/>
      <c r="RHD140" s="422"/>
      <c r="RHE140" s="422"/>
      <c r="RHF140" s="422"/>
      <c r="RHG140" s="422"/>
      <c r="RHH140" s="422"/>
      <c r="RHI140" s="422"/>
      <c r="RHJ140" s="422"/>
      <c r="RHK140" s="422"/>
      <c r="RHL140" s="422"/>
      <c r="RHM140" s="422"/>
      <c r="RHN140" s="422"/>
      <c r="RHO140" s="422"/>
      <c r="RHP140" s="422"/>
      <c r="RHQ140" s="422"/>
      <c r="RHR140" s="422"/>
      <c r="RHS140" s="422"/>
      <c r="RHT140" s="422"/>
      <c r="RHU140" s="422"/>
      <c r="RHV140" s="422"/>
      <c r="RHW140" s="422"/>
      <c r="RHX140" s="422"/>
      <c r="RHY140" s="422"/>
      <c r="RHZ140" s="422"/>
      <c r="RIA140" s="422"/>
      <c r="RIB140" s="422"/>
      <c r="RIC140" s="422"/>
      <c r="RID140" s="422"/>
      <c r="RIE140" s="422"/>
      <c r="RIF140" s="422"/>
      <c r="RIG140" s="422"/>
      <c r="RIH140" s="422"/>
      <c r="RII140" s="422"/>
      <c r="RIJ140" s="422"/>
      <c r="RIK140" s="422"/>
      <c r="RIL140" s="422"/>
      <c r="RIM140" s="422"/>
      <c r="RIN140" s="422"/>
      <c r="RIO140" s="422"/>
      <c r="RIP140" s="422"/>
      <c r="RIQ140" s="422"/>
      <c r="RIR140" s="422"/>
      <c r="RIS140" s="422"/>
      <c r="RIT140" s="422"/>
      <c r="RIU140" s="422"/>
      <c r="RIV140" s="422"/>
      <c r="RIW140" s="422"/>
      <c r="RIX140" s="422"/>
      <c r="RIY140" s="422"/>
      <c r="RIZ140" s="422"/>
      <c r="RJA140" s="422"/>
      <c r="RJB140" s="422"/>
      <c r="RJC140" s="422"/>
      <c r="RJD140" s="422"/>
      <c r="RJE140" s="422"/>
      <c r="RJF140" s="422"/>
      <c r="RJG140" s="422"/>
      <c r="RJH140" s="422"/>
      <c r="RJI140" s="422"/>
      <c r="RJJ140" s="422"/>
      <c r="RJK140" s="422"/>
      <c r="RJL140" s="422"/>
      <c r="RJM140" s="422"/>
      <c r="RJN140" s="422"/>
      <c r="RJO140" s="422"/>
      <c r="RJP140" s="422"/>
      <c r="RJQ140" s="422"/>
      <c r="RJR140" s="422"/>
      <c r="RJS140" s="422"/>
      <c r="RJT140" s="422"/>
      <c r="RJU140" s="422"/>
      <c r="RJV140" s="422"/>
      <c r="RJW140" s="422"/>
      <c r="RJX140" s="422"/>
      <c r="RJY140" s="422"/>
      <c r="RJZ140" s="422"/>
      <c r="RKA140" s="422"/>
      <c r="RKB140" s="422"/>
      <c r="RKC140" s="422"/>
      <c r="RKD140" s="422"/>
      <c r="RKE140" s="422"/>
      <c r="RKF140" s="422"/>
      <c r="RKG140" s="422"/>
      <c r="RKH140" s="422"/>
      <c r="RKI140" s="422"/>
      <c r="RKJ140" s="422"/>
      <c r="RKK140" s="422"/>
      <c r="RKL140" s="422"/>
      <c r="RKM140" s="422"/>
      <c r="RKN140" s="422"/>
      <c r="RKO140" s="422"/>
      <c r="RKP140" s="422"/>
      <c r="RKQ140" s="422"/>
      <c r="RKR140" s="422"/>
      <c r="RKS140" s="422"/>
      <c r="RKT140" s="422"/>
      <c r="RKU140" s="422"/>
      <c r="RKV140" s="422"/>
      <c r="RKW140" s="422"/>
      <c r="RKX140" s="422"/>
      <c r="RKY140" s="422"/>
      <c r="RKZ140" s="422"/>
      <c r="RLA140" s="422"/>
      <c r="RLB140" s="422"/>
      <c r="RLC140" s="422"/>
      <c r="RLD140" s="422"/>
      <c r="RLE140" s="422"/>
      <c r="RLF140" s="422"/>
      <c r="RLG140" s="422"/>
      <c r="RLH140" s="422"/>
      <c r="RLI140" s="422"/>
      <c r="RLJ140" s="422"/>
      <c r="RLK140" s="422"/>
      <c r="RLL140" s="422"/>
      <c r="RLM140" s="422"/>
      <c r="RLN140" s="422"/>
      <c r="RLO140" s="422"/>
      <c r="RLP140" s="422"/>
      <c r="RLQ140" s="422"/>
      <c r="RLR140" s="422"/>
      <c r="RLS140" s="422"/>
      <c r="RLT140" s="422"/>
      <c r="RLU140" s="422"/>
      <c r="RLV140" s="422"/>
      <c r="RLW140" s="422"/>
      <c r="RLX140" s="422"/>
      <c r="RLY140" s="422"/>
      <c r="RLZ140" s="422"/>
      <c r="RMA140" s="422"/>
      <c r="RMB140" s="422"/>
      <c r="RMC140" s="422"/>
      <c r="RMD140" s="422"/>
      <c r="RME140" s="422"/>
      <c r="RMF140" s="422"/>
      <c r="RMG140" s="422"/>
      <c r="RMH140" s="422"/>
      <c r="RMI140" s="422"/>
      <c r="RMJ140" s="422"/>
      <c r="RMK140" s="422"/>
      <c r="RML140" s="422"/>
      <c r="RMM140" s="422"/>
      <c r="RMN140" s="422"/>
      <c r="RMO140" s="422"/>
      <c r="RMP140" s="422"/>
      <c r="RMQ140" s="422"/>
      <c r="RMR140" s="422"/>
      <c r="RMS140" s="422"/>
      <c r="RMT140" s="422"/>
      <c r="RMU140" s="422"/>
      <c r="RMV140" s="422"/>
      <c r="RMW140" s="422"/>
      <c r="RMX140" s="422"/>
      <c r="RMY140" s="422"/>
      <c r="RMZ140" s="422"/>
      <c r="RNA140" s="422"/>
      <c r="RNB140" s="422"/>
      <c r="RNC140" s="422"/>
      <c r="RND140" s="422"/>
      <c r="RNE140" s="422"/>
      <c r="RNF140" s="422"/>
      <c r="RNG140" s="422"/>
      <c r="RNH140" s="422"/>
      <c r="RNI140" s="422"/>
      <c r="RNJ140" s="422"/>
      <c r="RNK140" s="422"/>
      <c r="RNL140" s="422"/>
      <c r="RNM140" s="422"/>
      <c r="RNN140" s="422"/>
      <c r="RNO140" s="422"/>
      <c r="RNP140" s="422"/>
      <c r="RNQ140" s="422"/>
      <c r="RNR140" s="422"/>
      <c r="RNS140" s="422"/>
      <c r="RNT140" s="422"/>
      <c r="RNU140" s="422"/>
      <c r="RNV140" s="422"/>
      <c r="RNW140" s="422"/>
      <c r="RNX140" s="422"/>
      <c r="RNY140" s="422"/>
      <c r="RNZ140" s="422"/>
      <c r="ROA140" s="422"/>
      <c r="ROB140" s="422"/>
      <c r="ROC140" s="422"/>
      <c r="ROD140" s="422"/>
      <c r="ROE140" s="422"/>
      <c r="ROF140" s="422"/>
      <c r="ROG140" s="422"/>
      <c r="ROH140" s="422"/>
      <c r="ROI140" s="422"/>
      <c r="ROJ140" s="422"/>
      <c r="ROK140" s="422"/>
      <c r="ROL140" s="422"/>
      <c r="ROM140" s="422"/>
      <c r="RON140" s="422"/>
      <c r="ROO140" s="422"/>
      <c r="ROP140" s="422"/>
      <c r="ROQ140" s="422"/>
      <c r="ROR140" s="422"/>
      <c r="ROS140" s="422"/>
      <c r="ROT140" s="422"/>
      <c r="ROU140" s="422"/>
      <c r="ROV140" s="422"/>
      <c r="ROW140" s="422"/>
      <c r="ROX140" s="422"/>
      <c r="ROY140" s="422"/>
      <c r="ROZ140" s="422"/>
      <c r="RPA140" s="422"/>
      <c r="RPB140" s="422"/>
      <c r="RPC140" s="422"/>
      <c r="RPD140" s="422"/>
      <c r="RPE140" s="422"/>
      <c r="RPF140" s="422"/>
      <c r="RPG140" s="422"/>
      <c r="RPH140" s="422"/>
      <c r="RPI140" s="422"/>
      <c r="RPJ140" s="422"/>
      <c r="RPK140" s="422"/>
      <c r="RPL140" s="422"/>
      <c r="RPM140" s="422"/>
      <c r="RPN140" s="422"/>
      <c r="RPO140" s="422"/>
      <c r="RPP140" s="422"/>
      <c r="RPQ140" s="422"/>
      <c r="RPR140" s="422"/>
      <c r="RPS140" s="422"/>
      <c r="RPT140" s="422"/>
      <c r="RPU140" s="422"/>
      <c r="RPV140" s="422"/>
      <c r="RPW140" s="422"/>
      <c r="RPX140" s="422"/>
      <c r="RPY140" s="422"/>
      <c r="RPZ140" s="422"/>
      <c r="RQA140" s="422"/>
      <c r="RQB140" s="422"/>
      <c r="RQC140" s="422"/>
      <c r="RQD140" s="422"/>
      <c r="RQE140" s="422"/>
      <c r="RQF140" s="422"/>
      <c r="RQG140" s="422"/>
      <c r="RQH140" s="422"/>
      <c r="RQI140" s="422"/>
      <c r="RQJ140" s="422"/>
      <c r="RQK140" s="422"/>
      <c r="RQL140" s="422"/>
      <c r="RQM140" s="422"/>
      <c r="RQN140" s="422"/>
      <c r="RQO140" s="422"/>
      <c r="RQP140" s="422"/>
      <c r="RQQ140" s="422"/>
      <c r="RQR140" s="422"/>
      <c r="RQS140" s="422"/>
      <c r="RQT140" s="422"/>
      <c r="RQU140" s="422"/>
      <c r="RQV140" s="422"/>
      <c r="RQW140" s="422"/>
      <c r="RQX140" s="422"/>
      <c r="RQY140" s="422"/>
      <c r="RQZ140" s="422"/>
      <c r="RRA140" s="422"/>
      <c r="RRB140" s="422"/>
      <c r="RRC140" s="422"/>
      <c r="RRD140" s="422"/>
      <c r="RRE140" s="422"/>
      <c r="RRF140" s="422"/>
      <c r="RRG140" s="422"/>
      <c r="RRH140" s="422"/>
      <c r="RRI140" s="422"/>
      <c r="RRJ140" s="422"/>
      <c r="RRK140" s="422"/>
      <c r="RRL140" s="422"/>
      <c r="RRM140" s="422"/>
      <c r="RRN140" s="422"/>
      <c r="RRO140" s="422"/>
      <c r="RRP140" s="422"/>
      <c r="RRQ140" s="422"/>
      <c r="RRR140" s="422"/>
      <c r="RRS140" s="422"/>
      <c r="RRT140" s="422"/>
      <c r="RRU140" s="422"/>
      <c r="RRV140" s="422"/>
      <c r="RRW140" s="422"/>
      <c r="RRX140" s="422"/>
      <c r="RRY140" s="422"/>
      <c r="RRZ140" s="422"/>
      <c r="RSA140" s="422"/>
      <c r="RSB140" s="422"/>
      <c r="RSC140" s="422"/>
      <c r="RSD140" s="422"/>
      <c r="RSE140" s="422"/>
      <c r="RSF140" s="422"/>
      <c r="RSG140" s="422"/>
      <c r="RSH140" s="422"/>
      <c r="RSI140" s="422"/>
      <c r="RSJ140" s="422"/>
      <c r="RSK140" s="422"/>
      <c r="RSL140" s="422"/>
      <c r="RSM140" s="422"/>
      <c r="RSN140" s="422"/>
      <c r="RSO140" s="422"/>
      <c r="RSP140" s="422"/>
      <c r="RSQ140" s="422"/>
      <c r="RSR140" s="422"/>
      <c r="RSS140" s="422"/>
      <c r="RST140" s="422"/>
      <c r="RSU140" s="422"/>
      <c r="RSV140" s="422"/>
      <c r="RSW140" s="422"/>
      <c r="RSX140" s="422"/>
      <c r="RSY140" s="422"/>
      <c r="RSZ140" s="422"/>
      <c r="RTA140" s="422"/>
      <c r="RTB140" s="422"/>
      <c r="RTC140" s="422"/>
      <c r="RTD140" s="422"/>
      <c r="RTE140" s="422"/>
      <c r="RTF140" s="422"/>
      <c r="RTG140" s="422"/>
      <c r="RTH140" s="422"/>
      <c r="RTI140" s="422"/>
      <c r="RTJ140" s="422"/>
      <c r="RTK140" s="422"/>
      <c r="RTL140" s="422"/>
      <c r="RTM140" s="422"/>
      <c r="RTN140" s="422"/>
      <c r="RTO140" s="422"/>
      <c r="RTP140" s="422"/>
      <c r="RTQ140" s="422"/>
      <c r="RTR140" s="422"/>
      <c r="RTS140" s="422"/>
      <c r="RTT140" s="422"/>
      <c r="RTU140" s="422"/>
      <c r="RTV140" s="422"/>
      <c r="RTW140" s="422"/>
      <c r="RTX140" s="422"/>
      <c r="RTY140" s="422"/>
      <c r="RTZ140" s="422"/>
      <c r="RUA140" s="422"/>
      <c r="RUB140" s="422"/>
      <c r="RUC140" s="422"/>
      <c r="RUD140" s="422"/>
      <c r="RUE140" s="422"/>
      <c r="RUF140" s="422"/>
      <c r="RUG140" s="422"/>
      <c r="RUH140" s="422"/>
      <c r="RUI140" s="422"/>
      <c r="RUJ140" s="422"/>
      <c r="RUK140" s="422"/>
      <c r="RUL140" s="422"/>
      <c r="RUM140" s="422"/>
      <c r="RUN140" s="422"/>
      <c r="RUO140" s="422"/>
      <c r="RUP140" s="422"/>
      <c r="RUQ140" s="422"/>
      <c r="RUR140" s="422"/>
      <c r="RUS140" s="422"/>
      <c r="RUT140" s="422"/>
      <c r="RUU140" s="422"/>
      <c r="RUV140" s="422"/>
      <c r="RUW140" s="422"/>
      <c r="RUX140" s="422"/>
      <c r="RUY140" s="422"/>
      <c r="RUZ140" s="422"/>
      <c r="RVA140" s="422"/>
      <c r="RVB140" s="422"/>
      <c r="RVC140" s="422"/>
      <c r="RVD140" s="422"/>
      <c r="RVE140" s="422"/>
      <c r="RVF140" s="422"/>
      <c r="RVG140" s="422"/>
      <c r="RVH140" s="422"/>
      <c r="RVI140" s="422"/>
      <c r="RVJ140" s="422"/>
      <c r="RVK140" s="422"/>
      <c r="RVL140" s="422"/>
      <c r="RVM140" s="422"/>
      <c r="RVN140" s="422"/>
      <c r="RVO140" s="422"/>
      <c r="RVP140" s="422"/>
      <c r="RVQ140" s="422"/>
      <c r="RVR140" s="422"/>
      <c r="RVS140" s="422"/>
      <c r="RVT140" s="422"/>
      <c r="RVU140" s="422"/>
      <c r="RVV140" s="422"/>
      <c r="RVW140" s="422"/>
      <c r="RVX140" s="422"/>
      <c r="RVY140" s="422"/>
      <c r="RVZ140" s="422"/>
      <c r="RWA140" s="422"/>
      <c r="RWB140" s="422"/>
      <c r="RWC140" s="422"/>
      <c r="RWD140" s="422"/>
      <c r="RWE140" s="422"/>
      <c r="RWF140" s="422"/>
      <c r="RWG140" s="422"/>
      <c r="RWH140" s="422"/>
      <c r="RWI140" s="422"/>
      <c r="RWJ140" s="422"/>
      <c r="RWK140" s="422"/>
      <c r="RWL140" s="422"/>
      <c r="RWM140" s="422"/>
      <c r="RWN140" s="422"/>
      <c r="RWO140" s="422"/>
      <c r="RWP140" s="422"/>
      <c r="RWQ140" s="422"/>
      <c r="RWR140" s="422"/>
      <c r="RWS140" s="422"/>
      <c r="RWT140" s="422"/>
      <c r="RWU140" s="422"/>
      <c r="RWV140" s="422"/>
      <c r="RWW140" s="422"/>
      <c r="RWX140" s="422"/>
      <c r="RWY140" s="422"/>
      <c r="RWZ140" s="422"/>
      <c r="RXA140" s="422"/>
      <c r="RXB140" s="422"/>
      <c r="RXC140" s="422"/>
      <c r="RXD140" s="422"/>
      <c r="RXE140" s="422"/>
      <c r="RXF140" s="422"/>
      <c r="RXG140" s="422"/>
      <c r="RXH140" s="422"/>
      <c r="RXI140" s="422"/>
      <c r="RXJ140" s="422"/>
      <c r="RXK140" s="422"/>
      <c r="RXL140" s="422"/>
      <c r="RXM140" s="422"/>
      <c r="RXN140" s="422"/>
      <c r="RXO140" s="422"/>
      <c r="RXP140" s="422"/>
      <c r="RXQ140" s="422"/>
      <c r="RXR140" s="422"/>
      <c r="RXS140" s="422"/>
      <c r="RXT140" s="422"/>
      <c r="RXU140" s="422"/>
      <c r="RXV140" s="422"/>
      <c r="RXW140" s="422"/>
      <c r="RXX140" s="422"/>
      <c r="RXY140" s="422"/>
      <c r="RXZ140" s="422"/>
      <c r="RYA140" s="422"/>
      <c r="RYB140" s="422"/>
      <c r="RYC140" s="422"/>
      <c r="RYD140" s="422"/>
      <c r="RYE140" s="422"/>
      <c r="RYF140" s="422"/>
      <c r="RYG140" s="422"/>
      <c r="RYH140" s="422"/>
      <c r="RYI140" s="422"/>
      <c r="RYJ140" s="422"/>
      <c r="RYK140" s="422"/>
      <c r="RYL140" s="422"/>
      <c r="RYM140" s="422"/>
      <c r="RYN140" s="422"/>
      <c r="RYO140" s="422"/>
      <c r="RYP140" s="422"/>
      <c r="RYQ140" s="422"/>
      <c r="RYR140" s="422"/>
      <c r="RYS140" s="422"/>
      <c r="RYT140" s="422"/>
      <c r="RYU140" s="422"/>
      <c r="RYV140" s="422"/>
      <c r="RYW140" s="422"/>
      <c r="RYX140" s="422"/>
      <c r="RYY140" s="422"/>
      <c r="RYZ140" s="422"/>
      <c r="RZA140" s="422"/>
      <c r="RZB140" s="422"/>
      <c r="RZC140" s="422"/>
      <c r="RZD140" s="422"/>
      <c r="RZE140" s="422"/>
      <c r="RZF140" s="422"/>
      <c r="RZG140" s="422"/>
      <c r="RZH140" s="422"/>
      <c r="RZI140" s="422"/>
      <c r="RZJ140" s="422"/>
      <c r="RZK140" s="422"/>
      <c r="RZL140" s="422"/>
      <c r="RZM140" s="422"/>
      <c r="RZN140" s="422"/>
      <c r="RZO140" s="422"/>
      <c r="RZP140" s="422"/>
      <c r="RZQ140" s="422"/>
      <c r="RZR140" s="422"/>
      <c r="RZS140" s="422"/>
      <c r="RZT140" s="422"/>
      <c r="RZU140" s="422"/>
      <c r="RZV140" s="422"/>
      <c r="RZW140" s="422"/>
      <c r="RZX140" s="422"/>
      <c r="RZY140" s="422"/>
      <c r="RZZ140" s="422"/>
      <c r="SAA140" s="422"/>
      <c r="SAB140" s="422"/>
      <c r="SAC140" s="422"/>
      <c r="SAD140" s="422"/>
      <c r="SAE140" s="422"/>
      <c r="SAF140" s="422"/>
      <c r="SAG140" s="422"/>
      <c r="SAH140" s="422"/>
      <c r="SAI140" s="422"/>
      <c r="SAJ140" s="422"/>
      <c r="SAK140" s="422"/>
      <c r="SAL140" s="422"/>
      <c r="SAM140" s="422"/>
      <c r="SAN140" s="422"/>
      <c r="SAO140" s="422"/>
      <c r="SAP140" s="422"/>
      <c r="SAQ140" s="422"/>
      <c r="SAR140" s="422"/>
      <c r="SAS140" s="422"/>
      <c r="SAT140" s="422"/>
      <c r="SAU140" s="422"/>
      <c r="SAV140" s="422"/>
      <c r="SAW140" s="422"/>
      <c r="SAX140" s="422"/>
      <c r="SAY140" s="422"/>
      <c r="SAZ140" s="422"/>
      <c r="SBA140" s="422"/>
      <c r="SBB140" s="422"/>
      <c r="SBC140" s="422"/>
      <c r="SBD140" s="422"/>
      <c r="SBE140" s="422"/>
      <c r="SBF140" s="422"/>
      <c r="SBG140" s="422"/>
      <c r="SBH140" s="422"/>
      <c r="SBI140" s="422"/>
      <c r="SBJ140" s="422"/>
      <c r="SBK140" s="422"/>
      <c r="SBL140" s="422"/>
      <c r="SBM140" s="422"/>
      <c r="SBN140" s="422"/>
      <c r="SBO140" s="422"/>
      <c r="SBP140" s="422"/>
      <c r="SBQ140" s="422"/>
      <c r="SBR140" s="422"/>
      <c r="SBS140" s="422"/>
      <c r="SBT140" s="422"/>
      <c r="SBU140" s="422"/>
      <c r="SBV140" s="422"/>
      <c r="SBW140" s="422"/>
      <c r="SBX140" s="422"/>
      <c r="SBY140" s="422"/>
      <c r="SBZ140" s="422"/>
      <c r="SCA140" s="422"/>
      <c r="SCB140" s="422"/>
      <c r="SCC140" s="422"/>
      <c r="SCD140" s="422"/>
      <c r="SCE140" s="422"/>
      <c r="SCF140" s="422"/>
      <c r="SCG140" s="422"/>
      <c r="SCH140" s="422"/>
      <c r="SCI140" s="422"/>
      <c r="SCJ140" s="422"/>
      <c r="SCK140" s="422"/>
      <c r="SCL140" s="422"/>
      <c r="SCM140" s="422"/>
      <c r="SCN140" s="422"/>
      <c r="SCO140" s="422"/>
      <c r="SCP140" s="422"/>
      <c r="SCQ140" s="422"/>
      <c r="SCR140" s="422"/>
      <c r="SCS140" s="422"/>
      <c r="SCT140" s="422"/>
      <c r="SCU140" s="422"/>
      <c r="SCV140" s="422"/>
      <c r="SCW140" s="422"/>
      <c r="SCX140" s="422"/>
      <c r="SCY140" s="422"/>
      <c r="SCZ140" s="422"/>
      <c r="SDA140" s="422"/>
      <c r="SDB140" s="422"/>
      <c r="SDC140" s="422"/>
      <c r="SDD140" s="422"/>
      <c r="SDE140" s="422"/>
      <c r="SDF140" s="422"/>
      <c r="SDG140" s="422"/>
      <c r="SDH140" s="422"/>
      <c r="SDI140" s="422"/>
      <c r="SDJ140" s="422"/>
      <c r="SDK140" s="422"/>
      <c r="SDL140" s="422"/>
      <c r="SDM140" s="422"/>
      <c r="SDN140" s="422"/>
      <c r="SDO140" s="422"/>
      <c r="SDP140" s="422"/>
      <c r="SDQ140" s="422"/>
      <c r="SDR140" s="422"/>
      <c r="SDS140" s="422"/>
      <c r="SDT140" s="422"/>
      <c r="SDU140" s="422"/>
      <c r="SDV140" s="422"/>
      <c r="SDW140" s="422"/>
      <c r="SDX140" s="422"/>
      <c r="SDY140" s="422"/>
      <c r="SDZ140" s="422"/>
      <c r="SEA140" s="422"/>
      <c r="SEB140" s="422"/>
      <c r="SEC140" s="422"/>
      <c r="SED140" s="422"/>
      <c r="SEE140" s="422"/>
      <c r="SEF140" s="422"/>
      <c r="SEG140" s="422"/>
      <c r="SEH140" s="422"/>
      <c r="SEI140" s="422"/>
      <c r="SEJ140" s="422"/>
      <c r="SEK140" s="422"/>
      <c r="SEL140" s="422"/>
      <c r="SEM140" s="422"/>
      <c r="SEN140" s="422"/>
      <c r="SEO140" s="422"/>
      <c r="SEP140" s="422"/>
      <c r="SEQ140" s="422"/>
      <c r="SER140" s="422"/>
      <c r="SES140" s="422"/>
      <c r="SET140" s="422"/>
      <c r="SEU140" s="422"/>
      <c r="SEV140" s="422"/>
      <c r="SEW140" s="422"/>
      <c r="SEX140" s="422"/>
      <c r="SEY140" s="422"/>
      <c r="SEZ140" s="422"/>
      <c r="SFA140" s="422"/>
      <c r="SFB140" s="422"/>
      <c r="SFC140" s="422"/>
      <c r="SFD140" s="422"/>
      <c r="SFE140" s="422"/>
      <c r="SFF140" s="422"/>
      <c r="SFG140" s="422"/>
      <c r="SFH140" s="422"/>
      <c r="SFI140" s="422"/>
      <c r="SFJ140" s="422"/>
      <c r="SFK140" s="422"/>
      <c r="SFL140" s="422"/>
      <c r="SFM140" s="422"/>
      <c r="SFN140" s="422"/>
      <c r="SFO140" s="422"/>
      <c r="SFP140" s="422"/>
      <c r="SFQ140" s="422"/>
      <c r="SFR140" s="422"/>
      <c r="SFS140" s="422"/>
      <c r="SFT140" s="422"/>
      <c r="SFU140" s="422"/>
      <c r="SFV140" s="422"/>
      <c r="SFW140" s="422"/>
      <c r="SFX140" s="422"/>
      <c r="SFY140" s="422"/>
      <c r="SFZ140" s="422"/>
      <c r="SGA140" s="422"/>
      <c r="SGB140" s="422"/>
      <c r="SGC140" s="422"/>
      <c r="SGD140" s="422"/>
      <c r="SGE140" s="422"/>
      <c r="SGF140" s="422"/>
      <c r="SGG140" s="422"/>
      <c r="SGH140" s="422"/>
      <c r="SGI140" s="422"/>
      <c r="SGJ140" s="422"/>
      <c r="SGK140" s="422"/>
      <c r="SGL140" s="422"/>
      <c r="SGM140" s="422"/>
      <c r="SGN140" s="422"/>
      <c r="SGO140" s="422"/>
      <c r="SGP140" s="422"/>
      <c r="SGQ140" s="422"/>
      <c r="SGR140" s="422"/>
      <c r="SGS140" s="422"/>
      <c r="SGT140" s="422"/>
      <c r="SGU140" s="422"/>
      <c r="SGV140" s="422"/>
      <c r="SGW140" s="422"/>
      <c r="SGX140" s="422"/>
      <c r="SGY140" s="422"/>
      <c r="SGZ140" s="422"/>
      <c r="SHA140" s="422"/>
      <c r="SHB140" s="422"/>
      <c r="SHC140" s="422"/>
      <c r="SHD140" s="422"/>
      <c r="SHE140" s="422"/>
      <c r="SHF140" s="422"/>
      <c r="SHG140" s="422"/>
      <c r="SHH140" s="422"/>
      <c r="SHI140" s="422"/>
      <c r="SHJ140" s="422"/>
      <c r="SHK140" s="422"/>
      <c r="SHL140" s="422"/>
      <c r="SHM140" s="422"/>
      <c r="SHN140" s="422"/>
      <c r="SHO140" s="422"/>
      <c r="SHP140" s="422"/>
      <c r="SHQ140" s="422"/>
      <c r="SHR140" s="422"/>
      <c r="SHS140" s="422"/>
      <c r="SHT140" s="422"/>
      <c r="SHU140" s="422"/>
      <c r="SHV140" s="422"/>
      <c r="SHW140" s="422"/>
      <c r="SHX140" s="422"/>
      <c r="SHY140" s="422"/>
      <c r="SHZ140" s="422"/>
      <c r="SIA140" s="422"/>
      <c r="SIB140" s="422"/>
      <c r="SIC140" s="422"/>
      <c r="SID140" s="422"/>
      <c r="SIE140" s="422"/>
      <c r="SIF140" s="422"/>
      <c r="SIG140" s="422"/>
      <c r="SIH140" s="422"/>
      <c r="SII140" s="422"/>
      <c r="SIJ140" s="422"/>
      <c r="SIK140" s="422"/>
      <c r="SIL140" s="422"/>
      <c r="SIM140" s="422"/>
      <c r="SIN140" s="422"/>
      <c r="SIO140" s="422"/>
      <c r="SIP140" s="422"/>
      <c r="SIQ140" s="422"/>
      <c r="SIR140" s="422"/>
      <c r="SIS140" s="422"/>
      <c r="SIT140" s="422"/>
      <c r="SIU140" s="422"/>
      <c r="SIV140" s="422"/>
      <c r="SIW140" s="422"/>
      <c r="SIX140" s="422"/>
      <c r="SIY140" s="422"/>
      <c r="SIZ140" s="422"/>
      <c r="SJA140" s="422"/>
      <c r="SJB140" s="422"/>
      <c r="SJC140" s="422"/>
      <c r="SJD140" s="422"/>
      <c r="SJE140" s="422"/>
      <c r="SJF140" s="422"/>
      <c r="SJG140" s="422"/>
      <c r="SJH140" s="422"/>
      <c r="SJI140" s="422"/>
      <c r="SJJ140" s="422"/>
      <c r="SJK140" s="422"/>
      <c r="SJL140" s="422"/>
      <c r="SJM140" s="422"/>
      <c r="SJN140" s="422"/>
      <c r="SJO140" s="422"/>
      <c r="SJP140" s="422"/>
      <c r="SJQ140" s="422"/>
      <c r="SJR140" s="422"/>
      <c r="SJS140" s="422"/>
      <c r="SJT140" s="422"/>
      <c r="SJU140" s="422"/>
      <c r="SJV140" s="422"/>
      <c r="SJW140" s="422"/>
      <c r="SJX140" s="422"/>
      <c r="SJY140" s="422"/>
      <c r="SJZ140" s="422"/>
      <c r="SKA140" s="422"/>
      <c r="SKB140" s="422"/>
      <c r="SKC140" s="422"/>
      <c r="SKD140" s="422"/>
      <c r="SKE140" s="422"/>
      <c r="SKF140" s="422"/>
      <c r="SKG140" s="422"/>
      <c r="SKH140" s="422"/>
      <c r="SKI140" s="422"/>
      <c r="SKJ140" s="422"/>
      <c r="SKK140" s="422"/>
      <c r="SKL140" s="422"/>
      <c r="SKM140" s="422"/>
      <c r="SKN140" s="422"/>
      <c r="SKO140" s="422"/>
      <c r="SKP140" s="422"/>
      <c r="SKQ140" s="422"/>
      <c r="SKR140" s="422"/>
      <c r="SKS140" s="422"/>
      <c r="SKT140" s="422"/>
      <c r="SKU140" s="422"/>
      <c r="SKV140" s="422"/>
      <c r="SKW140" s="422"/>
      <c r="SKX140" s="422"/>
      <c r="SKY140" s="422"/>
      <c r="SKZ140" s="422"/>
      <c r="SLA140" s="422"/>
      <c r="SLB140" s="422"/>
      <c r="SLC140" s="422"/>
      <c r="SLD140" s="422"/>
      <c r="SLE140" s="422"/>
      <c r="SLF140" s="422"/>
      <c r="SLG140" s="422"/>
      <c r="SLH140" s="422"/>
      <c r="SLI140" s="422"/>
      <c r="SLJ140" s="422"/>
      <c r="SLK140" s="422"/>
      <c r="SLL140" s="422"/>
      <c r="SLM140" s="422"/>
      <c r="SLN140" s="422"/>
      <c r="SLO140" s="422"/>
      <c r="SLP140" s="422"/>
      <c r="SLQ140" s="422"/>
      <c r="SLR140" s="422"/>
      <c r="SLS140" s="422"/>
      <c r="SLT140" s="422"/>
      <c r="SLU140" s="422"/>
      <c r="SLV140" s="422"/>
      <c r="SLW140" s="422"/>
      <c r="SLX140" s="422"/>
      <c r="SLY140" s="422"/>
      <c r="SLZ140" s="422"/>
      <c r="SMA140" s="422"/>
      <c r="SMB140" s="422"/>
      <c r="SMC140" s="422"/>
      <c r="SMD140" s="422"/>
      <c r="SME140" s="422"/>
      <c r="SMF140" s="422"/>
      <c r="SMG140" s="422"/>
      <c r="SMH140" s="422"/>
      <c r="SMI140" s="422"/>
      <c r="SMJ140" s="422"/>
      <c r="SMK140" s="422"/>
      <c r="SML140" s="422"/>
      <c r="SMM140" s="422"/>
      <c r="SMN140" s="422"/>
      <c r="SMO140" s="422"/>
      <c r="SMP140" s="422"/>
      <c r="SMQ140" s="422"/>
      <c r="SMR140" s="422"/>
      <c r="SMS140" s="422"/>
      <c r="SMT140" s="422"/>
      <c r="SMU140" s="422"/>
      <c r="SMV140" s="422"/>
      <c r="SMW140" s="422"/>
      <c r="SMX140" s="422"/>
      <c r="SMY140" s="422"/>
      <c r="SMZ140" s="422"/>
      <c r="SNA140" s="422"/>
      <c r="SNB140" s="422"/>
      <c r="SNC140" s="422"/>
      <c r="SND140" s="422"/>
      <c r="SNE140" s="422"/>
      <c r="SNF140" s="422"/>
      <c r="SNG140" s="422"/>
      <c r="SNH140" s="422"/>
      <c r="SNI140" s="422"/>
      <c r="SNJ140" s="422"/>
      <c r="SNK140" s="422"/>
      <c r="SNL140" s="422"/>
      <c r="SNM140" s="422"/>
      <c r="SNN140" s="422"/>
      <c r="SNO140" s="422"/>
      <c r="SNP140" s="422"/>
      <c r="SNQ140" s="422"/>
      <c r="SNR140" s="422"/>
      <c r="SNS140" s="422"/>
      <c r="SNT140" s="422"/>
      <c r="SNU140" s="422"/>
      <c r="SNV140" s="422"/>
      <c r="SNW140" s="422"/>
      <c r="SNX140" s="422"/>
      <c r="SNY140" s="422"/>
      <c r="SNZ140" s="422"/>
      <c r="SOA140" s="422"/>
      <c r="SOB140" s="422"/>
      <c r="SOC140" s="422"/>
      <c r="SOD140" s="422"/>
      <c r="SOE140" s="422"/>
      <c r="SOF140" s="422"/>
      <c r="SOG140" s="422"/>
      <c r="SOH140" s="422"/>
      <c r="SOI140" s="422"/>
      <c r="SOJ140" s="422"/>
      <c r="SOK140" s="422"/>
      <c r="SOL140" s="422"/>
      <c r="SOM140" s="422"/>
      <c r="SON140" s="422"/>
      <c r="SOO140" s="422"/>
      <c r="SOP140" s="422"/>
      <c r="SOQ140" s="422"/>
      <c r="SOR140" s="422"/>
      <c r="SOS140" s="422"/>
      <c r="SOT140" s="422"/>
      <c r="SOU140" s="422"/>
      <c r="SOV140" s="422"/>
      <c r="SOW140" s="422"/>
      <c r="SOX140" s="422"/>
      <c r="SOY140" s="422"/>
      <c r="SOZ140" s="422"/>
      <c r="SPA140" s="422"/>
      <c r="SPB140" s="422"/>
      <c r="SPC140" s="422"/>
      <c r="SPD140" s="422"/>
      <c r="SPE140" s="422"/>
      <c r="SPF140" s="422"/>
      <c r="SPG140" s="422"/>
      <c r="SPH140" s="422"/>
      <c r="SPI140" s="422"/>
      <c r="SPJ140" s="422"/>
      <c r="SPK140" s="422"/>
      <c r="SPL140" s="422"/>
      <c r="SPM140" s="422"/>
      <c r="SPN140" s="422"/>
      <c r="SPO140" s="422"/>
      <c r="SPP140" s="422"/>
      <c r="SPQ140" s="422"/>
      <c r="SPR140" s="422"/>
      <c r="SPS140" s="422"/>
      <c r="SPT140" s="422"/>
      <c r="SPU140" s="422"/>
      <c r="SPV140" s="422"/>
      <c r="SPW140" s="422"/>
      <c r="SPX140" s="422"/>
      <c r="SPY140" s="422"/>
      <c r="SPZ140" s="422"/>
      <c r="SQA140" s="422"/>
      <c r="SQB140" s="422"/>
      <c r="SQC140" s="422"/>
      <c r="SQD140" s="422"/>
      <c r="SQE140" s="422"/>
      <c r="SQF140" s="422"/>
      <c r="SQG140" s="422"/>
      <c r="SQH140" s="422"/>
      <c r="SQI140" s="422"/>
      <c r="SQJ140" s="422"/>
      <c r="SQK140" s="422"/>
      <c r="SQL140" s="422"/>
      <c r="SQM140" s="422"/>
      <c r="SQN140" s="422"/>
      <c r="SQO140" s="422"/>
      <c r="SQP140" s="422"/>
      <c r="SQQ140" s="422"/>
      <c r="SQR140" s="422"/>
      <c r="SQS140" s="422"/>
      <c r="SQT140" s="422"/>
      <c r="SQU140" s="422"/>
      <c r="SQV140" s="422"/>
      <c r="SQW140" s="422"/>
      <c r="SQX140" s="422"/>
      <c r="SQY140" s="422"/>
      <c r="SQZ140" s="422"/>
      <c r="SRA140" s="422"/>
      <c r="SRB140" s="422"/>
      <c r="SRC140" s="422"/>
      <c r="SRD140" s="422"/>
      <c r="SRE140" s="422"/>
      <c r="SRF140" s="422"/>
      <c r="SRG140" s="422"/>
      <c r="SRH140" s="422"/>
      <c r="SRI140" s="422"/>
      <c r="SRJ140" s="422"/>
      <c r="SRK140" s="422"/>
      <c r="SRL140" s="422"/>
      <c r="SRM140" s="422"/>
      <c r="SRN140" s="422"/>
      <c r="SRO140" s="422"/>
      <c r="SRP140" s="422"/>
      <c r="SRQ140" s="422"/>
      <c r="SRR140" s="422"/>
      <c r="SRS140" s="422"/>
      <c r="SRT140" s="422"/>
      <c r="SRU140" s="422"/>
      <c r="SRV140" s="422"/>
      <c r="SRW140" s="422"/>
      <c r="SRX140" s="422"/>
      <c r="SRY140" s="422"/>
      <c r="SRZ140" s="422"/>
      <c r="SSA140" s="422"/>
      <c r="SSB140" s="422"/>
      <c r="SSC140" s="422"/>
      <c r="SSD140" s="422"/>
      <c r="SSE140" s="422"/>
      <c r="SSF140" s="422"/>
      <c r="SSG140" s="422"/>
      <c r="SSH140" s="422"/>
      <c r="SSI140" s="422"/>
      <c r="SSJ140" s="422"/>
      <c r="SSK140" s="422"/>
      <c r="SSL140" s="422"/>
      <c r="SSM140" s="422"/>
      <c r="SSN140" s="422"/>
      <c r="SSO140" s="422"/>
      <c r="SSP140" s="422"/>
      <c r="SSQ140" s="422"/>
      <c r="SSR140" s="422"/>
      <c r="SSS140" s="422"/>
      <c r="SST140" s="422"/>
      <c r="SSU140" s="422"/>
      <c r="SSV140" s="422"/>
      <c r="SSW140" s="422"/>
      <c r="SSX140" s="422"/>
      <c r="SSY140" s="422"/>
      <c r="SSZ140" s="422"/>
      <c r="STA140" s="422"/>
      <c r="STB140" s="422"/>
      <c r="STC140" s="422"/>
      <c r="STD140" s="422"/>
      <c r="STE140" s="422"/>
      <c r="STF140" s="422"/>
      <c r="STG140" s="422"/>
      <c r="STH140" s="422"/>
      <c r="STI140" s="422"/>
      <c r="STJ140" s="422"/>
      <c r="STK140" s="422"/>
      <c r="STL140" s="422"/>
      <c r="STM140" s="422"/>
      <c r="STN140" s="422"/>
      <c r="STO140" s="422"/>
      <c r="STP140" s="422"/>
      <c r="STQ140" s="422"/>
      <c r="STR140" s="422"/>
      <c r="STS140" s="422"/>
      <c r="STT140" s="422"/>
      <c r="STU140" s="422"/>
      <c r="STV140" s="422"/>
      <c r="STW140" s="422"/>
      <c r="STX140" s="422"/>
      <c r="STY140" s="422"/>
      <c r="STZ140" s="422"/>
      <c r="SUA140" s="422"/>
      <c r="SUB140" s="422"/>
      <c r="SUC140" s="422"/>
      <c r="SUD140" s="422"/>
      <c r="SUE140" s="422"/>
      <c r="SUF140" s="422"/>
      <c r="SUG140" s="422"/>
      <c r="SUH140" s="422"/>
      <c r="SUI140" s="422"/>
      <c r="SUJ140" s="422"/>
      <c r="SUK140" s="422"/>
      <c r="SUL140" s="422"/>
      <c r="SUM140" s="422"/>
      <c r="SUN140" s="422"/>
      <c r="SUO140" s="422"/>
      <c r="SUP140" s="422"/>
      <c r="SUQ140" s="422"/>
      <c r="SUR140" s="422"/>
      <c r="SUS140" s="422"/>
      <c r="SUT140" s="422"/>
      <c r="SUU140" s="422"/>
      <c r="SUV140" s="422"/>
      <c r="SUW140" s="422"/>
      <c r="SUX140" s="422"/>
      <c r="SUY140" s="422"/>
      <c r="SUZ140" s="422"/>
      <c r="SVA140" s="422"/>
      <c r="SVB140" s="422"/>
      <c r="SVC140" s="422"/>
      <c r="SVD140" s="422"/>
      <c r="SVE140" s="422"/>
      <c r="SVF140" s="422"/>
      <c r="SVG140" s="422"/>
      <c r="SVH140" s="422"/>
      <c r="SVI140" s="422"/>
      <c r="SVJ140" s="422"/>
      <c r="SVK140" s="422"/>
      <c r="SVL140" s="422"/>
      <c r="SVM140" s="422"/>
      <c r="SVN140" s="422"/>
      <c r="SVO140" s="422"/>
      <c r="SVP140" s="422"/>
      <c r="SVQ140" s="422"/>
      <c r="SVR140" s="422"/>
      <c r="SVS140" s="422"/>
      <c r="SVT140" s="422"/>
      <c r="SVU140" s="422"/>
      <c r="SVV140" s="422"/>
      <c r="SVW140" s="422"/>
      <c r="SVX140" s="422"/>
      <c r="SVY140" s="422"/>
      <c r="SVZ140" s="422"/>
      <c r="SWA140" s="422"/>
      <c r="SWB140" s="422"/>
      <c r="SWC140" s="422"/>
      <c r="SWD140" s="422"/>
      <c r="SWE140" s="422"/>
      <c r="SWF140" s="422"/>
      <c r="SWG140" s="422"/>
      <c r="SWH140" s="422"/>
      <c r="SWI140" s="422"/>
      <c r="SWJ140" s="422"/>
      <c r="SWK140" s="422"/>
      <c r="SWL140" s="422"/>
      <c r="SWM140" s="422"/>
      <c r="SWN140" s="422"/>
      <c r="SWO140" s="422"/>
      <c r="SWP140" s="422"/>
      <c r="SWQ140" s="422"/>
      <c r="SWR140" s="422"/>
      <c r="SWS140" s="422"/>
      <c r="SWT140" s="422"/>
      <c r="SWU140" s="422"/>
      <c r="SWV140" s="422"/>
      <c r="SWW140" s="422"/>
      <c r="SWX140" s="422"/>
      <c r="SWY140" s="422"/>
      <c r="SWZ140" s="422"/>
      <c r="SXA140" s="422"/>
      <c r="SXB140" s="422"/>
      <c r="SXC140" s="422"/>
      <c r="SXD140" s="422"/>
      <c r="SXE140" s="422"/>
      <c r="SXF140" s="422"/>
      <c r="SXG140" s="422"/>
      <c r="SXH140" s="422"/>
      <c r="SXI140" s="422"/>
      <c r="SXJ140" s="422"/>
      <c r="SXK140" s="422"/>
      <c r="SXL140" s="422"/>
      <c r="SXM140" s="422"/>
      <c r="SXN140" s="422"/>
      <c r="SXO140" s="422"/>
      <c r="SXP140" s="422"/>
      <c r="SXQ140" s="422"/>
      <c r="SXR140" s="422"/>
      <c r="SXS140" s="422"/>
      <c r="SXT140" s="422"/>
      <c r="SXU140" s="422"/>
      <c r="SXV140" s="422"/>
      <c r="SXW140" s="422"/>
      <c r="SXX140" s="422"/>
      <c r="SXY140" s="422"/>
      <c r="SXZ140" s="422"/>
      <c r="SYA140" s="422"/>
      <c r="SYB140" s="422"/>
      <c r="SYC140" s="422"/>
      <c r="SYD140" s="422"/>
      <c r="SYE140" s="422"/>
      <c r="SYF140" s="422"/>
      <c r="SYG140" s="422"/>
      <c r="SYH140" s="422"/>
      <c r="SYI140" s="422"/>
      <c r="SYJ140" s="422"/>
      <c r="SYK140" s="422"/>
      <c r="SYL140" s="422"/>
      <c r="SYM140" s="422"/>
      <c r="SYN140" s="422"/>
      <c r="SYO140" s="422"/>
      <c r="SYP140" s="422"/>
      <c r="SYQ140" s="422"/>
      <c r="SYR140" s="422"/>
      <c r="SYS140" s="422"/>
      <c r="SYT140" s="422"/>
      <c r="SYU140" s="422"/>
      <c r="SYV140" s="422"/>
      <c r="SYW140" s="422"/>
      <c r="SYX140" s="422"/>
      <c r="SYY140" s="422"/>
      <c r="SYZ140" s="422"/>
      <c r="SZA140" s="422"/>
      <c r="SZB140" s="422"/>
      <c r="SZC140" s="422"/>
      <c r="SZD140" s="422"/>
      <c r="SZE140" s="422"/>
      <c r="SZF140" s="422"/>
      <c r="SZG140" s="422"/>
      <c r="SZH140" s="422"/>
      <c r="SZI140" s="422"/>
      <c r="SZJ140" s="422"/>
      <c r="SZK140" s="422"/>
      <c r="SZL140" s="422"/>
      <c r="SZM140" s="422"/>
      <c r="SZN140" s="422"/>
      <c r="SZO140" s="422"/>
      <c r="SZP140" s="422"/>
      <c r="SZQ140" s="422"/>
      <c r="SZR140" s="422"/>
      <c r="SZS140" s="422"/>
      <c r="SZT140" s="422"/>
      <c r="SZU140" s="422"/>
      <c r="SZV140" s="422"/>
      <c r="SZW140" s="422"/>
      <c r="SZX140" s="422"/>
      <c r="SZY140" s="422"/>
      <c r="SZZ140" s="422"/>
      <c r="TAA140" s="422"/>
      <c r="TAB140" s="422"/>
      <c r="TAC140" s="422"/>
      <c r="TAD140" s="422"/>
      <c r="TAE140" s="422"/>
      <c r="TAF140" s="422"/>
      <c r="TAG140" s="422"/>
      <c r="TAH140" s="422"/>
      <c r="TAI140" s="422"/>
      <c r="TAJ140" s="422"/>
      <c r="TAK140" s="422"/>
      <c r="TAL140" s="422"/>
      <c r="TAM140" s="422"/>
      <c r="TAN140" s="422"/>
      <c r="TAO140" s="422"/>
      <c r="TAP140" s="422"/>
      <c r="TAQ140" s="422"/>
      <c r="TAR140" s="422"/>
      <c r="TAS140" s="422"/>
      <c r="TAT140" s="422"/>
      <c r="TAU140" s="422"/>
      <c r="TAV140" s="422"/>
      <c r="TAW140" s="422"/>
      <c r="TAX140" s="422"/>
      <c r="TAY140" s="422"/>
      <c r="TAZ140" s="422"/>
      <c r="TBA140" s="422"/>
      <c r="TBB140" s="422"/>
      <c r="TBC140" s="422"/>
      <c r="TBD140" s="422"/>
      <c r="TBE140" s="422"/>
      <c r="TBF140" s="422"/>
      <c r="TBG140" s="422"/>
      <c r="TBH140" s="422"/>
      <c r="TBI140" s="422"/>
      <c r="TBJ140" s="422"/>
      <c r="TBK140" s="422"/>
      <c r="TBL140" s="422"/>
      <c r="TBM140" s="422"/>
      <c r="TBN140" s="422"/>
      <c r="TBO140" s="422"/>
      <c r="TBP140" s="422"/>
      <c r="TBQ140" s="422"/>
      <c r="TBR140" s="422"/>
      <c r="TBS140" s="422"/>
      <c r="TBT140" s="422"/>
      <c r="TBU140" s="422"/>
      <c r="TBV140" s="422"/>
      <c r="TBW140" s="422"/>
      <c r="TBX140" s="422"/>
      <c r="TBY140" s="422"/>
      <c r="TBZ140" s="422"/>
      <c r="TCA140" s="422"/>
      <c r="TCB140" s="422"/>
      <c r="TCC140" s="422"/>
      <c r="TCD140" s="422"/>
      <c r="TCE140" s="422"/>
      <c r="TCF140" s="422"/>
      <c r="TCG140" s="422"/>
      <c r="TCH140" s="422"/>
      <c r="TCI140" s="422"/>
      <c r="TCJ140" s="422"/>
      <c r="TCK140" s="422"/>
      <c r="TCL140" s="422"/>
      <c r="TCM140" s="422"/>
      <c r="TCN140" s="422"/>
      <c r="TCO140" s="422"/>
      <c r="TCP140" s="422"/>
      <c r="TCQ140" s="422"/>
      <c r="TCR140" s="422"/>
      <c r="TCS140" s="422"/>
      <c r="TCT140" s="422"/>
      <c r="TCU140" s="422"/>
      <c r="TCV140" s="422"/>
      <c r="TCW140" s="422"/>
      <c r="TCX140" s="422"/>
      <c r="TCY140" s="422"/>
      <c r="TCZ140" s="422"/>
      <c r="TDA140" s="422"/>
      <c r="TDB140" s="422"/>
      <c r="TDC140" s="422"/>
      <c r="TDD140" s="422"/>
      <c r="TDE140" s="422"/>
      <c r="TDF140" s="422"/>
      <c r="TDG140" s="422"/>
      <c r="TDH140" s="422"/>
      <c r="TDI140" s="422"/>
      <c r="TDJ140" s="422"/>
      <c r="TDK140" s="422"/>
      <c r="TDL140" s="422"/>
      <c r="TDM140" s="422"/>
      <c r="TDN140" s="422"/>
      <c r="TDO140" s="422"/>
      <c r="TDP140" s="422"/>
      <c r="TDQ140" s="422"/>
      <c r="TDR140" s="422"/>
      <c r="TDS140" s="422"/>
      <c r="TDT140" s="422"/>
      <c r="TDU140" s="422"/>
      <c r="TDV140" s="422"/>
      <c r="TDW140" s="422"/>
      <c r="TDX140" s="422"/>
      <c r="TDY140" s="422"/>
      <c r="TDZ140" s="422"/>
      <c r="TEA140" s="422"/>
      <c r="TEB140" s="422"/>
      <c r="TEC140" s="422"/>
      <c r="TED140" s="422"/>
      <c r="TEE140" s="422"/>
      <c r="TEF140" s="422"/>
      <c r="TEG140" s="422"/>
      <c r="TEH140" s="422"/>
      <c r="TEI140" s="422"/>
      <c r="TEJ140" s="422"/>
      <c r="TEK140" s="422"/>
      <c r="TEL140" s="422"/>
      <c r="TEM140" s="422"/>
      <c r="TEN140" s="422"/>
      <c r="TEO140" s="422"/>
      <c r="TEP140" s="422"/>
      <c r="TEQ140" s="422"/>
      <c r="TER140" s="422"/>
      <c r="TES140" s="422"/>
      <c r="TET140" s="422"/>
      <c r="TEU140" s="422"/>
      <c r="TEV140" s="422"/>
      <c r="TEW140" s="422"/>
      <c r="TEX140" s="422"/>
      <c r="TEY140" s="422"/>
      <c r="TEZ140" s="422"/>
      <c r="TFA140" s="422"/>
      <c r="TFB140" s="422"/>
      <c r="TFC140" s="422"/>
      <c r="TFD140" s="422"/>
      <c r="TFE140" s="422"/>
      <c r="TFF140" s="422"/>
      <c r="TFG140" s="422"/>
      <c r="TFH140" s="422"/>
      <c r="TFI140" s="422"/>
      <c r="TFJ140" s="422"/>
      <c r="TFK140" s="422"/>
      <c r="TFL140" s="422"/>
      <c r="TFM140" s="422"/>
      <c r="TFN140" s="422"/>
      <c r="TFO140" s="422"/>
      <c r="TFP140" s="422"/>
      <c r="TFQ140" s="422"/>
      <c r="TFR140" s="422"/>
      <c r="TFS140" s="422"/>
      <c r="TFT140" s="422"/>
      <c r="TFU140" s="422"/>
      <c r="TFV140" s="422"/>
      <c r="TFW140" s="422"/>
      <c r="TFX140" s="422"/>
      <c r="TFY140" s="422"/>
      <c r="TFZ140" s="422"/>
      <c r="TGA140" s="422"/>
      <c r="TGB140" s="422"/>
      <c r="TGC140" s="422"/>
      <c r="TGD140" s="422"/>
      <c r="TGE140" s="422"/>
      <c r="TGF140" s="422"/>
      <c r="TGG140" s="422"/>
      <c r="TGH140" s="422"/>
      <c r="TGI140" s="422"/>
      <c r="TGJ140" s="422"/>
      <c r="TGK140" s="422"/>
      <c r="TGL140" s="422"/>
      <c r="TGM140" s="422"/>
      <c r="TGN140" s="422"/>
      <c r="TGO140" s="422"/>
      <c r="TGP140" s="422"/>
      <c r="TGQ140" s="422"/>
      <c r="TGR140" s="422"/>
      <c r="TGS140" s="422"/>
      <c r="TGT140" s="422"/>
      <c r="TGU140" s="422"/>
      <c r="TGV140" s="422"/>
      <c r="TGW140" s="422"/>
      <c r="TGX140" s="422"/>
      <c r="TGY140" s="422"/>
      <c r="TGZ140" s="422"/>
      <c r="THA140" s="422"/>
      <c r="THB140" s="422"/>
      <c r="THC140" s="422"/>
      <c r="THD140" s="422"/>
      <c r="THE140" s="422"/>
      <c r="THF140" s="422"/>
      <c r="THG140" s="422"/>
      <c r="THH140" s="422"/>
      <c r="THI140" s="422"/>
      <c r="THJ140" s="422"/>
      <c r="THK140" s="422"/>
      <c r="THL140" s="422"/>
      <c r="THM140" s="422"/>
      <c r="THN140" s="422"/>
      <c r="THO140" s="422"/>
      <c r="THP140" s="422"/>
      <c r="THQ140" s="422"/>
      <c r="THR140" s="422"/>
      <c r="THS140" s="422"/>
      <c r="THT140" s="422"/>
      <c r="THU140" s="422"/>
      <c r="THV140" s="422"/>
      <c r="THW140" s="422"/>
      <c r="THX140" s="422"/>
      <c r="THY140" s="422"/>
      <c r="THZ140" s="422"/>
      <c r="TIA140" s="422"/>
      <c r="TIB140" s="422"/>
      <c r="TIC140" s="422"/>
      <c r="TID140" s="422"/>
      <c r="TIE140" s="422"/>
      <c r="TIF140" s="422"/>
      <c r="TIG140" s="422"/>
      <c r="TIH140" s="422"/>
      <c r="TII140" s="422"/>
      <c r="TIJ140" s="422"/>
      <c r="TIK140" s="422"/>
      <c r="TIL140" s="422"/>
      <c r="TIM140" s="422"/>
      <c r="TIN140" s="422"/>
      <c r="TIO140" s="422"/>
      <c r="TIP140" s="422"/>
      <c r="TIQ140" s="422"/>
      <c r="TIR140" s="422"/>
      <c r="TIS140" s="422"/>
      <c r="TIT140" s="422"/>
      <c r="TIU140" s="422"/>
      <c r="TIV140" s="422"/>
      <c r="TIW140" s="422"/>
      <c r="TIX140" s="422"/>
      <c r="TIY140" s="422"/>
      <c r="TIZ140" s="422"/>
      <c r="TJA140" s="422"/>
      <c r="TJB140" s="422"/>
      <c r="TJC140" s="422"/>
      <c r="TJD140" s="422"/>
      <c r="TJE140" s="422"/>
      <c r="TJF140" s="422"/>
      <c r="TJG140" s="422"/>
      <c r="TJH140" s="422"/>
      <c r="TJI140" s="422"/>
      <c r="TJJ140" s="422"/>
      <c r="TJK140" s="422"/>
      <c r="TJL140" s="422"/>
      <c r="TJM140" s="422"/>
      <c r="TJN140" s="422"/>
      <c r="TJO140" s="422"/>
      <c r="TJP140" s="422"/>
      <c r="TJQ140" s="422"/>
      <c r="TJR140" s="422"/>
      <c r="TJS140" s="422"/>
      <c r="TJT140" s="422"/>
      <c r="TJU140" s="422"/>
      <c r="TJV140" s="422"/>
      <c r="TJW140" s="422"/>
      <c r="TJX140" s="422"/>
      <c r="TJY140" s="422"/>
      <c r="TJZ140" s="422"/>
      <c r="TKA140" s="422"/>
      <c r="TKB140" s="422"/>
      <c r="TKC140" s="422"/>
      <c r="TKD140" s="422"/>
      <c r="TKE140" s="422"/>
      <c r="TKF140" s="422"/>
      <c r="TKG140" s="422"/>
      <c r="TKH140" s="422"/>
      <c r="TKI140" s="422"/>
      <c r="TKJ140" s="422"/>
      <c r="TKK140" s="422"/>
      <c r="TKL140" s="422"/>
      <c r="TKM140" s="422"/>
      <c r="TKN140" s="422"/>
      <c r="TKO140" s="422"/>
      <c r="TKP140" s="422"/>
      <c r="TKQ140" s="422"/>
      <c r="TKR140" s="422"/>
      <c r="TKS140" s="422"/>
      <c r="TKT140" s="422"/>
      <c r="TKU140" s="422"/>
      <c r="TKV140" s="422"/>
      <c r="TKW140" s="422"/>
      <c r="TKX140" s="422"/>
      <c r="TKY140" s="422"/>
      <c r="TKZ140" s="422"/>
      <c r="TLA140" s="422"/>
      <c r="TLB140" s="422"/>
      <c r="TLC140" s="422"/>
      <c r="TLD140" s="422"/>
      <c r="TLE140" s="422"/>
      <c r="TLF140" s="422"/>
      <c r="TLG140" s="422"/>
      <c r="TLH140" s="422"/>
      <c r="TLI140" s="422"/>
      <c r="TLJ140" s="422"/>
      <c r="TLK140" s="422"/>
      <c r="TLL140" s="422"/>
      <c r="TLM140" s="422"/>
      <c r="TLN140" s="422"/>
      <c r="TLO140" s="422"/>
      <c r="TLP140" s="422"/>
      <c r="TLQ140" s="422"/>
      <c r="TLR140" s="422"/>
      <c r="TLS140" s="422"/>
      <c r="TLT140" s="422"/>
      <c r="TLU140" s="422"/>
      <c r="TLV140" s="422"/>
      <c r="TLW140" s="422"/>
      <c r="TLX140" s="422"/>
      <c r="TLY140" s="422"/>
      <c r="TLZ140" s="422"/>
      <c r="TMA140" s="422"/>
      <c r="TMB140" s="422"/>
      <c r="TMC140" s="422"/>
      <c r="TMD140" s="422"/>
      <c r="TME140" s="422"/>
      <c r="TMF140" s="422"/>
      <c r="TMG140" s="422"/>
      <c r="TMH140" s="422"/>
      <c r="TMI140" s="422"/>
      <c r="TMJ140" s="422"/>
      <c r="TMK140" s="422"/>
      <c r="TML140" s="422"/>
      <c r="TMM140" s="422"/>
      <c r="TMN140" s="422"/>
      <c r="TMO140" s="422"/>
      <c r="TMP140" s="422"/>
      <c r="TMQ140" s="422"/>
      <c r="TMR140" s="422"/>
      <c r="TMS140" s="422"/>
      <c r="TMT140" s="422"/>
      <c r="TMU140" s="422"/>
      <c r="TMV140" s="422"/>
      <c r="TMW140" s="422"/>
      <c r="TMX140" s="422"/>
      <c r="TMY140" s="422"/>
      <c r="TMZ140" s="422"/>
      <c r="TNA140" s="422"/>
      <c r="TNB140" s="422"/>
      <c r="TNC140" s="422"/>
      <c r="TND140" s="422"/>
      <c r="TNE140" s="422"/>
      <c r="TNF140" s="422"/>
      <c r="TNG140" s="422"/>
      <c r="TNH140" s="422"/>
      <c r="TNI140" s="422"/>
      <c r="TNJ140" s="422"/>
      <c r="TNK140" s="422"/>
      <c r="TNL140" s="422"/>
      <c r="TNM140" s="422"/>
      <c r="TNN140" s="422"/>
      <c r="TNO140" s="422"/>
      <c r="TNP140" s="422"/>
      <c r="TNQ140" s="422"/>
      <c r="TNR140" s="422"/>
      <c r="TNS140" s="422"/>
      <c r="TNT140" s="422"/>
      <c r="TNU140" s="422"/>
      <c r="TNV140" s="422"/>
      <c r="TNW140" s="422"/>
      <c r="TNX140" s="422"/>
      <c r="TNY140" s="422"/>
      <c r="TNZ140" s="422"/>
      <c r="TOA140" s="422"/>
      <c r="TOB140" s="422"/>
      <c r="TOC140" s="422"/>
      <c r="TOD140" s="422"/>
      <c r="TOE140" s="422"/>
      <c r="TOF140" s="422"/>
      <c r="TOG140" s="422"/>
      <c r="TOH140" s="422"/>
      <c r="TOI140" s="422"/>
      <c r="TOJ140" s="422"/>
      <c r="TOK140" s="422"/>
      <c r="TOL140" s="422"/>
      <c r="TOM140" s="422"/>
      <c r="TON140" s="422"/>
      <c r="TOO140" s="422"/>
      <c r="TOP140" s="422"/>
      <c r="TOQ140" s="422"/>
      <c r="TOR140" s="422"/>
      <c r="TOS140" s="422"/>
      <c r="TOT140" s="422"/>
      <c r="TOU140" s="422"/>
      <c r="TOV140" s="422"/>
      <c r="TOW140" s="422"/>
      <c r="TOX140" s="422"/>
      <c r="TOY140" s="422"/>
      <c r="TOZ140" s="422"/>
      <c r="TPA140" s="422"/>
      <c r="TPB140" s="422"/>
      <c r="TPC140" s="422"/>
      <c r="TPD140" s="422"/>
      <c r="TPE140" s="422"/>
      <c r="TPF140" s="422"/>
      <c r="TPG140" s="422"/>
      <c r="TPH140" s="422"/>
      <c r="TPI140" s="422"/>
      <c r="TPJ140" s="422"/>
      <c r="TPK140" s="422"/>
      <c r="TPL140" s="422"/>
      <c r="TPM140" s="422"/>
      <c r="TPN140" s="422"/>
      <c r="TPO140" s="422"/>
      <c r="TPP140" s="422"/>
      <c r="TPQ140" s="422"/>
      <c r="TPR140" s="422"/>
      <c r="TPS140" s="422"/>
      <c r="TPT140" s="422"/>
      <c r="TPU140" s="422"/>
      <c r="TPV140" s="422"/>
      <c r="TPW140" s="422"/>
      <c r="TPX140" s="422"/>
      <c r="TPY140" s="422"/>
      <c r="TPZ140" s="422"/>
      <c r="TQA140" s="422"/>
      <c r="TQB140" s="422"/>
      <c r="TQC140" s="422"/>
      <c r="TQD140" s="422"/>
      <c r="TQE140" s="422"/>
      <c r="TQF140" s="422"/>
      <c r="TQG140" s="422"/>
      <c r="TQH140" s="422"/>
      <c r="TQI140" s="422"/>
      <c r="TQJ140" s="422"/>
      <c r="TQK140" s="422"/>
      <c r="TQL140" s="422"/>
      <c r="TQM140" s="422"/>
      <c r="TQN140" s="422"/>
      <c r="TQO140" s="422"/>
      <c r="TQP140" s="422"/>
      <c r="TQQ140" s="422"/>
      <c r="TQR140" s="422"/>
      <c r="TQS140" s="422"/>
      <c r="TQT140" s="422"/>
      <c r="TQU140" s="422"/>
      <c r="TQV140" s="422"/>
      <c r="TQW140" s="422"/>
      <c r="TQX140" s="422"/>
      <c r="TQY140" s="422"/>
      <c r="TQZ140" s="422"/>
      <c r="TRA140" s="422"/>
      <c r="TRB140" s="422"/>
      <c r="TRC140" s="422"/>
      <c r="TRD140" s="422"/>
      <c r="TRE140" s="422"/>
      <c r="TRF140" s="422"/>
      <c r="TRG140" s="422"/>
      <c r="TRH140" s="422"/>
      <c r="TRI140" s="422"/>
      <c r="TRJ140" s="422"/>
      <c r="TRK140" s="422"/>
      <c r="TRL140" s="422"/>
      <c r="TRM140" s="422"/>
      <c r="TRN140" s="422"/>
      <c r="TRO140" s="422"/>
      <c r="TRP140" s="422"/>
      <c r="TRQ140" s="422"/>
      <c r="TRR140" s="422"/>
      <c r="TRS140" s="422"/>
      <c r="TRT140" s="422"/>
      <c r="TRU140" s="422"/>
      <c r="TRV140" s="422"/>
      <c r="TRW140" s="422"/>
      <c r="TRX140" s="422"/>
      <c r="TRY140" s="422"/>
      <c r="TRZ140" s="422"/>
      <c r="TSA140" s="422"/>
      <c r="TSB140" s="422"/>
      <c r="TSC140" s="422"/>
      <c r="TSD140" s="422"/>
      <c r="TSE140" s="422"/>
      <c r="TSF140" s="422"/>
      <c r="TSG140" s="422"/>
      <c r="TSH140" s="422"/>
      <c r="TSI140" s="422"/>
      <c r="TSJ140" s="422"/>
      <c r="TSK140" s="422"/>
      <c r="TSL140" s="422"/>
      <c r="TSM140" s="422"/>
      <c r="TSN140" s="422"/>
      <c r="TSO140" s="422"/>
      <c r="TSP140" s="422"/>
      <c r="TSQ140" s="422"/>
      <c r="TSR140" s="422"/>
      <c r="TSS140" s="422"/>
      <c r="TST140" s="422"/>
      <c r="TSU140" s="422"/>
      <c r="TSV140" s="422"/>
      <c r="TSW140" s="422"/>
      <c r="TSX140" s="422"/>
      <c r="TSY140" s="422"/>
      <c r="TSZ140" s="422"/>
      <c r="TTA140" s="422"/>
      <c r="TTB140" s="422"/>
      <c r="TTC140" s="422"/>
      <c r="TTD140" s="422"/>
      <c r="TTE140" s="422"/>
      <c r="TTF140" s="422"/>
      <c r="TTG140" s="422"/>
      <c r="TTH140" s="422"/>
      <c r="TTI140" s="422"/>
      <c r="TTJ140" s="422"/>
      <c r="TTK140" s="422"/>
      <c r="TTL140" s="422"/>
      <c r="TTM140" s="422"/>
      <c r="TTN140" s="422"/>
      <c r="TTO140" s="422"/>
      <c r="TTP140" s="422"/>
      <c r="TTQ140" s="422"/>
      <c r="TTR140" s="422"/>
      <c r="TTS140" s="422"/>
      <c r="TTT140" s="422"/>
      <c r="TTU140" s="422"/>
      <c r="TTV140" s="422"/>
      <c r="TTW140" s="422"/>
      <c r="TTX140" s="422"/>
      <c r="TTY140" s="422"/>
      <c r="TTZ140" s="422"/>
      <c r="TUA140" s="422"/>
      <c r="TUB140" s="422"/>
      <c r="TUC140" s="422"/>
      <c r="TUD140" s="422"/>
      <c r="TUE140" s="422"/>
      <c r="TUF140" s="422"/>
      <c r="TUG140" s="422"/>
      <c r="TUH140" s="422"/>
      <c r="TUI140" s="422"/>
      <c r="TUJ140" s="422"/>
      <c r="TUK140" s="422"/>
      <c r="TUL140" s="422"/>
      <c r="TUM140" s="422"/>
      <c r="TUN140" s="422"/>
      <c r="TUO140" s="422"/>
      <c r="TUP140" s="422"/>
      <c r="TUQ140" s="422"/>
      <c r="TUR140" s="422"/>
      <c r="TUS140" s="422"/>
      <c r="TUT140" s="422"/>
      <c r="TUU140" s="422"/>
      <c r="TUV140" s="422"/>
      <c r="TUW140" s="422"/>
      <c r="TUX140" s="422"/>
      <c r="TUY140" s="422"/>
      <c r="TUZ140" s="422"/>
      <c r="TVA140" s="422"/>
      <c r="TVB140" s="422"/>
      <c r="TVC140" s="422"/>
      <c r="TVD140" s="422"/>
      <c r="TVE140" s="422"/>
      <c r="TVF140" s="422"/>
      <c r="TVG140" s="422"/>
      <c r="TVH140" s="422"/>
      <c r="TVI140" s="422"/>
      <c r="TVJ140" s="422"/>
      <c r="TVK140" s="422"/>
      <c r="TVL140" s="422"/>
      <c r="TVM140" s="422"/>
      <c r="TVN140" s="422"/>
      <c r="TVO140" s="422"/>
      <c r="TVP140" s="422"/>
      <c r="TVQ140" s="422"/>
      <c r="TVR140" s="422"/>
      <c r="TVS140" s="422"/>
      <c r="TVT140" s="422"/>
      <c r="TVU140" s="422"/>
      <c r="TVV140" s="422"/>
      <c r="TVW140" s="422"/>
      <c r="TVX140" s="422"/>
      <c r="TVY140" s="422"/>
      <c r="TVZ140" s="422"/>
      <c r="TWA140" s="422"/>
      <c r="TWB140" s="422"/>
      <c r="TWC140" s="422"/>
      <c r="TWD140" s="422"/>
      <c r="TWE140" s="422"/>
      <c r="TWF140" s="422"/>
      <c r="TWG140" s="422"/>
      <c r="TWH140" s="422"/>
      <c r="TWI140" s="422"/>
      <c r="TWJ140" s="422"/>
      <c r="TWK140" s="422"/>
      <c r="TWL140" s="422"/>
      <c r="TWM140" s="422"/>
      <c r="TWN140" s="422"/>
      <c r="TWO140" s="422"/>
      <c r="TWP140" s="422"/>
      <c r="TWQ140" s="422"/>
      <c r="TWR140" s="422"/>
      <c r="TWS140" s="422"/>
      <c r="TWT140" s="422"/>
      <c r="TWU140" s="422"/>
      <c r="TWV140" s="422"/>
      <c r="TWW140" s="422"/>
      <c r="TWX140" s="422"/>
      <c r="TWY140" s="422"/>
      <c r="TWZ140" s="422"/>
      <c r="TXA140" s="422"/>
      <c r="TXB140" s="422"/>
      <c r="TXC140" s="422"/>
      <c r="TXD140" s="422"/>
      <c r="TXE140" s="422"/>
      <c r="TXF140" s="422"/>
      <c r="TXG140" s="422"/>
      <c r="TXH140" s="422"/>
      <c r="TXI140" s="422"/>
      <c r="TXJ140" s="422"/>
      <c r="TXK140" s="422"/>
      <c r="TXL140" s="422"/>
      <c r="TXM140" s="422"/>
      <c r="TXN140" s="422"/>
      <c r="TXO140" s="422"/>
      <c r="TXP140" s="422"/>
      <c r="TXQ140" s="422"/>
      <c r="TXR140" s="422"/>
      <c r="TXS140" s="422"/>
      <c r="TXT140" s="422"/>
      <c r="TXU140" s="422"/>
      <c r="TXV140" s="422"/>
      <c r="TXW140" s="422"/>
      <c r="TXX140" s="422"/>
      <c r="TXY140" s="422"/>
      <c r="TXZ140" s="422"/>
      <c r="TYA140" s="422"/>
      <c r="TYB140" s="422"/>
      <c r="TYC140" s="422"/>
      <c r="TYD140" s="422"/>
      <c r="TYE140" s="422"/>
      <c r="TYF140" s="422"/>
      <c r="TYG140" s="422"/>
      <c r="TYH140" s="422"/>
      <c r="TYI140" s="422"/>
      <c r="TYJ140" s="422"/>
      <c r="TYK140" s="422"/>
      <c r="TYL140" s="422"/>
      <c r="TYM140" s="422"/>
      <c r="TYN140" s="422"/>
      <c r="TYO140" s="422"/>
      <c r="TYP140" s="422"/>
      <c r="TYQ140" s="422"/>
      <c r="TYR140" s="422"/>
      <c r="TYS140" s="422"/>
      <c r="TYT140" s="422"/>
      <c r="TYU140" s="422"/>
      <c r="TYV140" s="422"/>
      <c r="TYW140" s="422"/>
      <c r="TYX140" s="422"/>
      <c r="TYY140" s="422"/>
      <c r="TYZ140" s="422"/>
      <c r="TZA140" s="422"/>
      <c r="TZB140" s="422"/>
      <c r="TZC140" s="422"/>
      <c r="TZD140" s="422"/>
      <c r="TZE140" s="422"/>
      <c r="TZF140" s="422"/>
      <c r="TZG140" s="422"/>
      <c r="TZH140" s="422"/>
      <c r="TZI140" s="422"/>
      <c r="TZJ140" s="422"/>
      <c r="TZK140" s="422"/>
      <c r="TZL140" s="422"/>
      <c r="TZM140" s="422"/>
      <c r="TZN140" s="422"/>
      <c r="TZO140" s="422"/>
      <c r="TZP140" s="422"/>
      <c r="TZQ140" s="422"/>
      <c r="TZR140" s="422"/>
      <c r="TZS140" s="422"/>
      <c r="TZT140" s="422"/>
      <c r="TZU140" s="422"/>
      <c r="TZV140" s="422"/>
      <c r="TZW140" s="422"/>
      <c r="TZX140" s="422"/>
      <c r="TZY140" s="422"/>
      <c r="TZZ140" s="422"/>
      <c r="UAA140" s="422"/>
      <c r="UAB140" s="422"/>
      <c r="UAC140" s="422"/>
      <c r="UAD140" s="422"/>
      <c r="UAE140" s="422"/>
      <c r="UAF140" s="422"/>
      <c r="UAG140" s="422"/>
      <c r="UAH140" s="422"/>
      <c r="UAI140" s="422"/>
      <c r="UAJ140" s="422"/>
      <c r="UAK140" s="422"/>
      <c r="UAL140" s="422"/>
      <c r="UAM140" s="422"/>
      <c r="UAN140" s="422"/>
      <c r="UAO140" s="422"/>
      <c r="UAP140" s="422"/>
      <c r="UAQ140" s="422"/>
      <c r="UAR140" s="422"/>
      <c r="UAS140" s="422"/>
      <c r="UAT140" s="422"/>
      <c r="UAU140" s="422"/>
      <c r="UAV140" s="422"/>
      <c r="UAW140" s="422"/>
      <c r="UAX140" s="422"/>
      <c r="UAY140" s="422"/>
      <c r="UAZ140" s="422"/>
      <c r="UBA140" s="422"/>
      <c r="UBB140" s="422"/>
      <c r="UBC140" s="422"/>
      <c r="UBD140" s="422"/>
      <c r="UBE140" s="422"/>
      <c r="UBF140" s="422"/>
      <c r="UBG140" s="422"/>
      <c r="UBH140" s="422"/>
      <c r="UBI140" s="422"/>
      <c r="UBJ140" s="422"/>
      <c r="UBK140" s="422"/>
      <c r="UBL140" s="422"/>
      <c r="UBM140" s="422"/>
      <c r="UBN140" s="422"/>
      <c r="UBO140" s="422"/>
      <c r="UBP140" s="422"/>
      <c r="UBQ140" s="422"/>
      <c r="UBR140" s="422"/>
      <c r="UBS140" s="422"/>
      <c r="UBT140" s="422"/>
      <c r="UBU140" s="422"/>
      <c r="UBV140" s="422"/>
      <c r="UBW140" s="422"/>
      <c r="UBX140" s="422"/>
      <c r="UBY140" s="422"/>
      <c r="UBZ140" s="422"/>
      <c r="UCA140" s="422"/>
      <c r="UCB140" s="422"/>
      <c r="UCC140" s="422"/>
      <c r="UCD140" s="422"/>
      <c r="UCE140" s="422"/>
      <c r="UCF140" s="422"/>
      <c r="UCG140" s="422"/>
      <c r="UCH140" s="422"/>
      <c r="UCI140" s="422"/>
      <c r="UCJ140" s="422"/>
      <c r="UCK140" s="422"/>
      <c r="UCL140" s="422"/>
      <c r="UCM140" s="422"/>
      <c r="UCN140" s="422"/>
      <c r="UCO140" s="422"/>
      <c r="UCP140" s="422"/>
      <c r="UCQ140" s="422"/>
      <c r="UCR140" s="422"/>
      <c r="UCS140" s="422"/>
      <c r="UCT140" s="422"/>
      <c r="UCU140" s="422"/>
      <c r="UCV140" s="422"/>
      <c r="UCW140" s="422"/>
      <c r="UCX140" s="422"/>
      <c r="UCY140" s="422"/>
      <c r="UCZ140" s="422"/>
      <c r="UDA140" s="422"/>
      <c r="UDB140" s="422"/>
      <c r="UDC140" s="422"/>
      <c r="UDD140" s="422"/>
      <c r="UDE140" s="422"/>
      <c r="UDF140" s="422"/>
      <c r="UDG140" s="422"/>
      <c r="UDH140" s="422"/>
      <c r="UDI140" s="422"/>
      <c r="UDJ140" s="422"/>
      <c r="UDK140" s="422"/>
      <c r="UDL140" s="422"/>
      <c r="UDM140" s="422"/>
      <c r="UDN140" s="422"/>
      <c r="UDO140" s="422"/>
      <c r="UDP140" s="422"/>
      <c r="UDQ140" s="422"/>
      <c r="UDR140" s="422"/>
      <c r="UDS140" s="422"/>
      <c r="UDT140" s="422"/>
      <c r="UDU140" s="422"/>
      <c r="UDV140" s="422"/>
      <c r="UDW140" s="422"/>
      <c r="UDX140" s="422"/>
      <c r="UDY140" s="422"/>
      <c r="UDZ140" s="422"/>
      <c r="UEA140" s="422"/>
      <c r="UEB140" s="422"/>
      <c r="UEC140" s="422"/>
      <c r="UED140" s="422"/>
      <c r="UEE140" s="422"/>
      <c r="UEF140" s="422"/>
      <c r="UEG140" s="422"/>
      <c r="UEH140" s="422"/>
      <c r="UEI140" s="422"/>
      <c r="UEJ140" s="422"/>
      <c r="UEK140" s="422"/>
      <c r="UEL140" s="422"/>
      <c r="UEM140" s="422"/>
      <c r="UEN140" s="422"/>
      <c r="UEO140" s="422"/>
      <c r="UEP140" s="422"/>
      <c r="UEQ140" s="422"/>
      <c r="UER140" s="422"/>
      <c r="UES140" s="422"/>
      <c r="UET140" s="422"/>
      <c r="UEU140" s="422"/>
      <c r="UEV140" s="422"/>
      <c r="UEW140" s="422"/>
      <c r="UEX140" s="422"/>
      <c r="UEY140" s="422"/>
      <c r="UEZ140" s="422"/>
      <c r="UFA140" s="422"/>
      <c r="UFB140" s="422"/>
      <c r="UFC140" s="422"/>
      <c r="UFD140" s="422"/>
      <c r="UFE140" s="422"/>
      <c r="UFF140" s="422"/>
      <c r="UFG140" s="422"/>
      <c r="UFH140" s="422"/>
      <c r="UFI140" s="422"/>
      <c r="UFJ140" s="422"/>
      <c r="UFK140" s="422"/>
      <c r="UFL140" s="422"/>
      <c r="UFM140" s="422"/>
      <c r="UFN140" s="422"/>
      <c r="UFO140" s="422"/>
      <c r="UFP140" s="422"/>
      <c r="UFQ140" s="422"/>
      <c r="UFR140" s="422"/>
      <c r="UFS140" s="422"/>
      <c r="UFT140" s="422"/>
      <c r="UFU140" s="422"/>
      <c r="UFV140" s="422"/>
      <c r="UFW140" s="422"/>
      <c r="UFX140" s="422"/>
      <c r="UFY140" s="422"/>
      <c r="UFZ140" s="422"/>
      <c r="UGA140" s="422"/>
      <c r="UGB140" s="422"/>
      <c r="UGC140" s="422"/>
      <c r="UGD140" s="422"/>
      <c r="UGE140" s="422"/>
      <c r="UGF140" s="422"/>
      <c r="UGG140" s="422"/>
      <c r="UGH140" s="422"/>
      <c r="UGI140" s="422"/>
      <c r="UGJ140" s="422"/>
      <c r="UGK140" s="422"/>
      <c r="UGL140" s="422"/>
      <c r="UGM140" s="422"/>
      <c r="UGN140" s="422"/>
      <c r="UGO140" s="422"/>
      <c r="UGP140" s="422"/>
      <c r="UGQ140" s="422"/>
      <c r="UGR140" s="422"/>
      <c r="UGS140" s="422"/>
      <c r="UGT140" s="422"/>
      <c r="UGU140" s="422"/>
      <c r="UGV140" s="422"/>
      <c r="UGW140" s="422"/>
      <c r="UGX140" s="422"/>
      <c r="UGY140" s="422"/>
      <c r="UGZ140" s="422"/>
      <c r="UHA140" s="422"/>
      <c r="UHB140" s="422"/>
      <c r="UHC140" s="422"/>
      <c r="UHD140" s="422"/>
      <c r="UHE140" s="422"/>
      <c r="UHF140" s="422"/>
      <c r="UHG140" s="422"/>
      <c r="UHH140" s="422"/>
      <c r="UHI140" s="422"/>
      <c r="UHJ140" s="422"/>
      <c r="UHK140" s="422"/>
      <c r="UHL140" s="422"/>
      <c r="UHM140" s="422"/>
      <c r="UHN140" s="422"/>
      <c r="UHO140" s="422"/>
      <c r="UHP140" s="422"/>
      <c r="UHQ140" s="422"/>
      <c r="UHR140" s="422"/>
      <c r="UHS140" s="422"/>
      <c r="UHT140" s="422"/>
      <c r="UHU140" s="422"/>
      <c r="UHV140" s="422"/>
      <c r="UHW140" s="422"/>
      <c r="UHX140" s="422"/>
      <c r="UHY140" s="422"/>
      <c r="UHZ140" s="422"/>
      <c r="UIA140" s="422"/>
      <c r="UIB140" s="422"/>
      <c r="UIC140" s="422"/>
      <c r="UID140" s="422"/>
      <c r="UIE140" s="422"/>
      <c r="UIF140" s="422"/>
      <c r="UIG140" s="422"/>
      <c r="UIH140" s="422"/>
      <c r="UII140" s="422"/>
      <c r="UIJ140" s="422"/>
      <c r="UIK140" s="422"/>
      <c r="UIL140" s="422"/>
      <c r="UIM140" s="422"/>
      <c r="UIN140" s="422"/>
      <c r="UIO140" s="422"/>
      <c r="UIP140" s="422"/>
      <c r="UIQ140" s="422"/>
      <c r="UIR140" s="422"/>
      <c r="UIS140" s="422"/>
      <c r="UIT140" s="422"/>
      <c r="UIU140" s="422"/>
      <c r="UIV140" s="422"/>
      <c r="UIW140" s="422"/>
      <c r="UIX140" s="422"/>
      <c r="UIY140" s="422"/>
      <c r="UIZ140" s="422"/>
      <c r="UJA140" s="422"/>
      <c r="UJB140" s="422"/>
      <c r="UJC140" s="422"/>
      <c r="UJD140" s="422"/>
      <c r="UJE140" s="422"/>
      <c r="UJF140" s="422"/>
      <c r="UJG140" s="422"/>
      <c r="UJH140" s="422"/>
      <c r="UJI140" s="422"/>
      <c r="UJJ140" s="422"/>
      <c r="UJK140" s="422"/>
      <c r="UJL140" s="422"/>
      <c r="UJM140" s="422"/>
      <c r="UJN140" s="422"/>
      <c r="UJO140" s="422"/>
      <c r="UJP140" s="422"/>
      <c r="UJQ140" s="422"/>
      <c r="UJR140" s="422"/>
      <c r="UJS140" s="422"/>
      <c r="UJT140" s="422"/>
      <c r="UJU140" s="422"/>
      <c r="UJV140" s="422"/>
      <c r="UJW140" s="422"/>
      <c r="UJX140" s="422"/>
      <c r="UJY140" s="422"/>
      <c r="UJZ140" s="422"/>
      <c r="UKA140" s="422"/>
      <c r="UKB140" s="422"/>
      <c r="UKC140" s="422"/>
      <c r="UKD140" s="422"/>
      <c r="UKE140" s="422"/>
      <c r="UKF140" s="422"/>
      <c r="UKG140" s="422"/>
      <c r="UKH140" s="422"/>
      <c r="UKI140" s="422"/>
      <c r="UKJ140" s="422"/>
      <c r="UKK140" s="422"/>
      <c r="UKL140" s="422"/>
      <c r="UKM140" s="422"/>
      <c r="UKN140" s="422"/>
      <c r="UKO140" s="422"/>
      <c r="UKP140" s="422"/>
      <c r="UKQ140" s="422"/>
      <c r="UKR140" s="422"/>
      <c r="UKS140" s="422"/>
      <c r="UKT140" s="422"/>
      <c r="UKU140" s="422"/>
      <c r="UKV140" s="422"/>
      <c r="UKW140" s="422"/>
      <c r="UKX140" s="422"/>
      <c r="UKY140" s="422"/>
      <c r="UKZ140" s="422"/>
      <c r="ULA140" s="422"/>
      <c r="ULB140" s="422"/>
      <c r="ULC140" s="422"/>
      <c r="ULD140" s="422"/>
      <c r="ULE140" s="422"/>
      <c r="ULF140" s="422"/>
      <c r="ULG140" s="422"/>
      <c r="ULH140" s="422"/>
      <c r="ULI140" s="422"/>
      <c r="ULJ140" s="422"/>
      <c r="ULK140" s="422"/>
      <c r="ULL140" s="422"/>
      <c r="ULM140" s="422"/>
      <c r="ULN140" s="422"/>
      <c r="ULO140" s="422"/>
      <c r="ULP140" s="422"/>
      <c r="ULQ140" s="422"/>
      <c r="ULR140" s="422"/>
      <c r="ULS140" s="422"/>
      <c r="ULT140" s="422"/>
      <c r="ULU140" s="422"/>
      <c r="ULV140" s="422"/>
      <c r="ULW140" s="422"/>
      <c r="ULX140" s="422"/>
      <c r="ULY140" s="422"/>
      <c r="ULZ140" s="422"/>
      <c r="UMA140" s="422"/>
      <c r="UMB140" s="422"/>
      <c r="UMC140" s="422"/>
      <c r="UMD140" s="422"/>
      <c r="UME140" s="422"/>
      <c r="UMF140" s="422"/>
      <c r="UMG140" s="422"/>
      <c r="UMH140" s="422"/>
      <c r="UMI140" s="422"/>
      <c r="UMJ140" s="422"/>
      <c r="UMK140" s="422"/>
      <c r="UML140" s="422"/>
      <c r="UMM140" s="422"/>
      <c r="UMN140" s="422"/>
      <c r="UMO140" s="422"/>
      <c r="UMP140" s="422"/>
      <c r="UMQ140" s="422"/>
      <c r="UMR140" s="422"/>
      <c r="UMS140" s="422"/>
      <c r="UMT140" s="422"/>
      <c r="UMU140" s="422"/>
      <c r="UMV140" s="422"/>
      <c r="UMW140" s="422"/>
      <c r="UMX140" s="422"/>
      <c r="UMY140" s="422"/>
      <c r="UMZ140" s="422"/>
      <c r="UNA140" s="422"/>
      <c r="UNB140" s="422"/>
      <c r="UNC140" s="422"/>
      <c r="UND140" s="422"/>
      <c r="UNE140" s="422"/>
      <c r="UNF140" s="422"/>
      <c r="UNG140" s="422"/>
      <c r="UNH140" s="422"/>
      <c r="UNI140" s="422"/>
      <c r="UNJ140" s="422"/>
      <c r="UNK140" s="422"/>
      <c r="UNL140" s="422"/>
      <c r="UNM140" s="422"/>
      <c r="UNN140" s="422"/>
      <c r="UNO140" s="422"/>
      <c r="UNP140" s="422"/>
      <c r="UNQ140" s="422"/>
      <c r="UNR140" s="422"/>
      <c r="UNS140" s="422"/>
      <c r="UNT140" s="422"/>
      <c r="UNU140" s="422"/>
      <c r="UNV140" s="422"/>
      <c r="UNW140" s="422"/>
      <c r="UNX140" s="422"/>
      <c r="UNY140" s="422"/>
      <c r="UNZ140" s="422"/>
      <c r="UOA140" s="422"/>
      <c r="UOB140" s="422"/>
      <c r="UOC140" s="422"/>
      <c r="UOD140" s="422"/>
      <c r="UOE140" s="422"/>
      <c r="UOF140" s="422"/>
      <c r="UOG140" s="422"/>
      <c r="UOH140" s="422"/>
      <c r="UOI140" s="422"/>
      <c r="UOJ140" s="422"/>
      <c r="UOK140" s="422"/>
      <c r="UOL140" s="422"/>
      <c r="UOM140" s="422"/>
      <c r="UON140" s="422"/>
      <c r="UOO140" s="422"/>
      <c r="UOP140" s="422"/>
      <c r="UOQ140" s="422"/>
      <c r="UOR140" s="422"/>
      <c r="UOS140" s="422"/>
      <c r="UOT140" s="422"/>
      <c r="UOU140" s="422"/>
      <c r="UOV140" s="422"/>
      <c r="UOW140" s="422"/>
      <c r="UOX140" s="422"/>
      <c r="UOY140" s="422"/>
      <c r="UOZ140" s="422"/>
      <c r="UPA140" s="422"/>
      <c r="UPB140" s="422"/>
      <c r="UPC140" s="422"/>
      <c r="UPD140" s="422"/>
      <c r="UPE140" s="422"/>
      <c r="UPF140" s="422"/>
      <c r="UPG140" s="422"/>
      <c r="UPH140" s="422"/>
      <c r="UPI140" s="422"/>
      <c r="UPJ140" s="422"/>
      <c r="UPK140" s="422"/>
      <c r="UPL140" s="422"/>
      <c r="UPM140" s="422"/>
      <c r="UPN140" s="422"/>
      <c r="UPO140" s="422"/>
      <c r="UPP140" s="422"/>
      <c r="UPQ140" s="422"/>
      <c r="UPR140" s="422"/>
      <c r="UPS140" s="422"/>
      <c r="UPT140" s="422"/>
      <c r="UPU140" s="422"/>
      <c r="UPV140" s="422"/>
      <c r="UPW140" s="422"/>
      <c r="UPX140" s="422"/>
      <c r="UPY140" s="422"/>
      <c r="UPZ140" s="422"/>
      <c r="UQA140" s="422"/>
      <c r="UQB140" s="422"/>
      <c r="UQC140" s="422"/>
      <c r="UQD140" s="422"/>
      <c r="UQE140" s="422"/>
      <c r="UQF140" s="422"/>
      <c r="UQG140" s="422"/>
      <c r="UQH140" s="422"/>
      <c r="UQI140" s="422"/>
      <c r="UQJ140" s="422"/>
      <c r="UQK140" s="422"/>
      <c r="UQL140" s="422"/>
      <c r="UQM140" s="422"/>
      <c r="UQN140" s="422"/>
      <c r="UQO140" s="422"/>
      <c r="UQP140" s="422"/>
      <c r="UQQ140" s="422"/>
      <c r="UQR140" s="422"/>
      <c r="UQS140" s="422"/>
      <c r="UQT140" s="422"/>
      <c r="UQU140" s="422"/>
      <c r="UQV140" s="422"/>
      <c r="UQW140" s="422"/>
      <c r="UQX140" s="422"/>
      <c r="UQY140" s="422"/>
      <c r="UQZ140" s="422"/>
      <c r="URA140" s="422"/>
      <c r="URB140" s="422"/>
      <c r="URC140" s="422"/>
      <c r="URD140" s="422"/>
      <c r="URE140" s="422"/>
      <c r="URF140" s="422"/>
      <c r="URG140" s="422"/>
      <c r="URH140" s="422"/>
      <c r="URI140" s="422"/>
      <c r="URJ140" s="422"/>
      <c r="URK140" s="422"/>
      <c r="URL140" s="422"/>
      <c r="URM140" s="422"/>
      <c r="URN140" s="422"/>
      <c r="URO140" s="422"/>
      <c r="URP140" s="422"/>
      <c r="URQ140" s="422"/>
      <c r="URR140" s="422"/>
      <c r="URS140" s="422"/>
      <c r="URT140" s="422"/>
      <c r="URU140" s="422"/>
      <c r="URV140" s="422"/>
      <c r="URW140" s="422"/>
      <c r="URX140" s="422"/>
      <c r="URY140" s="422"/>
      <c r="URZ140" s="422"/>
      <c r="USA140" s="422"/>
      <c r="USB140" s="422"/>
      <c r="USC140" s="422"/>
      <c r="USD140" s="422"/>
      <c r="USE140" s="422"/>
      <c r="USF140" s="422"/>
      <c r="USG140" s="422"/>
      <c r="USH140" s="422"/>
      <c r="USI140" s="422"/>
      <c r="USJ140" s="422"/>
      <c r="USK140" s="422"/>
      <c r="USL140" s="422"/>
      <c r="USM140" s="422"/>
      <c r="USN140" s="422"/>
      <c r="USO140" s="422"/>
      <c r="USP140" s="422"/>
      <c r="USQ140" s="422"/>
      <c r="USR140" s="422"/>
      <c r="USS140" s="422"/>
      <c r="UST140" s="422"/>
      <c r="USU140" s="422"/>
      <c r="USV140" s="422"/>
      <c r="USW140" s="422"/>
      <c r="USX140" s="422"/>
      <c r="USY140" s="422"/>
      <c r="USZ140" s="422"/>
      <c r="UTA140" s="422"/>
      <c r="UTB140" s="422"/>
      <c r="UTC140" s="422"/>
      <c r="UTD140" s="422"/>
      <c r="UTE140" s="422"/>
      <c r="UTF140" s="422"/>
      <c r="UTG140" s="422"/>
      <c r="UTH140" s="422"/>
      <c r="UTI140" s="422"/>
      <c r="UTJ140" s="422"/>
      <c r="UTK140" s="422"/>
      <c r="UTL140" s="422"/>
      <c r="UTM140" s="422"/>
      <c r="UTN140" s="422"/>
      <c r="UTO140" s="422"/>
      <c r="UTP140" s="422"/>
      <c r="UTQ140" s="422"/>
      <c r="UTR140" s="422"/>
      <c r="UTS140" s="422"/>
      <c r="UTT140" s="422"/>
      <c r="UTU140" s="422"/>
      <c r="UTV140" s="422"/>
      <c r="UTW140" s="422"/>
      <c r="UTX140" s="422"/>
      <c r="UTY140" s="422"/>
      <c r="UTZ140" s="422"/>
      <c r="UUA140" s="422"/>
      <c r="UUB140" s="422"/>
      <c r="UUC140" s="422"/>
      <c r="UUD140" s="422"/>
      <c r="UUE140" s="422"/>
      <c r="UUF140" s="422"/>
      <c r="UUG140" s="422"/>
      <c r="UUH140" s="422"/>
      <c r="UUI140" s="422"/>
      <c r="UUJ140" s="422"/>
      <c r="UUK140" s="422"/>
      <c r="UUL140" s="422"/>
      <c r="UUM140" s="422"/>
      <c r="UUN140" s="422"/>
      <c r="UUO140" s="422"/>
      <c r="UUP140" s="422"/>
      <c r="UUQ140" s="422"/>
      <c r="UUR140" s="422"/>
      <c r="UUS140" s="422"/>
      <c r="UUT140" s="422"/>
      <c r="UUU140" s="422"/>
      <c r="UUV140" s="422"/>
      <c r="UUW140" s="422"/>
      <c r="UUX140" s="422"/>
      <c r="UUY140" s="422"/>
      <c r="UUZ140" s="422"/>
      <c r="UVA140" s="422"/>
      <c r="UVB140" s="422"/>
      <c r="UVC140" s="422"/>
      <c r="UVD140" s="422"/>
      <c r="UVE140" s="422"/>
      <c r="UVF140" s="422"/>
      <c r="UVG140" s="422"/>
      <c r="UVH140" s="422"/>
      <c r="UVI140" s="422"/>
      <c r="UVJ140" s="422"/>
      <c r="UVK140" s="422"/>
      <c r="UVL140" s="422"/>
      <c r="UVM140" s="422"/>
      <c r="UVN140" s="422"/>
      <c r="UVO140" s="422"/>
      <c r="UVP140" s="422"/>
      <c r="UVQ140" s="422"/>
      <c r="UVR140" s="422"/>
      <c r="UVS140" s="422"/>
      <c r="UVT140" s="422"/>
      <c r="UVU140" s="422"/>
      <c r="UVV140" s="422"/>
      <c r="UVW140" s="422"/>
      <c r="UVX140" s="422"/>
      <c r="UVY140" s="422"/>
      <c r="UVZ140" s="422"/>
      <c r="UWA140" s="422"/>
      <c r="UWB140" s="422"/>
      <c r="UWC140" s="422"/>
      <c r="UWD140" s="422"/>
      <c r="UWE140" s="422"/>
      <c r="UWF140" s="422"/>
      <c r="UWG140" s="422"/>
      <c r="UWH140" s="422"/>
      <c r="UWI140" s="422"/>
      <c r="UWJ140" s="422"/>
      <c r="UWK140" s="422"/>
      <c r="UWL140" s="422"/>
      <c r="UWM140" s="422"/>
      <c r="UWN140" s="422"/>
      <c r="UWO140" s="422"/>
      <c r="UWP140" s="422"/>
      <c r="UWQ140" s="422"/>
      <c r="UWR140" s="422"/>
      <c r="UWS140" s="422"/>
      <c r="UWT140" s="422"/>
      <c r="UWU140" s="422"/>
      <c r="UWV140" s="422"/>
      <c r="UWW140" s="422"/>
      <c r="UWX140" s="422"/>
      <c r="UWY140" s="422"/>
      <c r="UWZ140" s="422"/>
      <c r="UXA140" s="422"/>
      <c r="UXB140" s="422"/>
      <c r="UXC140" s="422"/>
      <c r="UXD140" s="422"/>
      <c r="UXE140" s="422"/>
      <c r="UXF140" s="422"/>
      <c r="UXG140" s="422"/>
      <c r="UXH140" s="422"/>
      <c r="UXI140" s="422"/>
      <c r="UXJ140" s="422"/>
      <c r="UXK140" s="422"/>
      <c r="UXL140" s="422"/>
      <c r="UXM140" s="422"/>
      <c r="UXN140" s="422"/>
      <c r="UXO140" s="422"/>
      <c r="UXP140" s="422"/>
      <c r="UXQ140" s="422"/>
      <c r="UXR140" s="422"/>
      <c r="UXS140" s="422"/>
      <c r="UXT140" s="422"/>
      <c r="UXU140" s="422"/>
      <c r="UXV140" s="422"/>
      <c r="UXW140" s="422"/>
      <c r="UXX140" s="422"/>
      <c r="UXY140" s="422"/>
      <c r="UXZ140" s="422"/>
      <c r="UYA140" s="422"/>
      <c r="UYB140" s="422"/>
      <c r="UYC140" s="422"/>
      <c r="UYD140" s="422"/>
      <c r="UYE140" s="422"/>
      <c r="UYF140" s="422"/>
      <c r="UYG140" s="422"/>
      <c r="UYH140" s="422"/>
      <c r="UYI140" s="422"/>
      <c r="UYJ140" s="422"/>
      <c r="UYK140" s="422"/>
      <c r="UYL140" s="422"/>
      <c r="UYM140" s="422"/>
      <c r="UYN140" s="422"/>
      <c r="UYO140" s="422"/>
      <c r="UYP140" s="422"/>
      <c r="UYQ140" s="422"/>
      <c r="UYR140" s="422"/>
      <c r="UYS140" s="422"/>
      <c r="UYT140" s="422"/>
      <c r="UYU140" s="422"/>
      <c r="UYV140" s="422"/>
      <c r="UYW140" s="422"/>
      <c r="UYX140" s="422"/>
      <c r="UYY140" s="422"/>
      <c r="UYZ140" s="422"/>
      <c r="UZA140" s="422"/>
      <c r="UZB140" s="422"/>
      <c r="UZC140" s="422"/>
      <c r="UZD140" s="422"/>
      <c r="UZE140" s="422"/>
      <c r="UZF140" s="422"/>
      <c r="UZG140" s="422"/>
      <c r="UZH140" s="422"/>
      <c r="UZI140" s="422"/>
      <c r="UZJ140" s="422"/>
      <c r="UZK140" s="422"/>
      <c r="UZL140" s="422"/>
      <c r="UZM140" s="422"/>
      <c r="UZN140" s="422"/>
      <c r="UZO140" s="422"/>
      <c r="UZP140" s="422"/>
      <c r="UZQ140" s="422"/>
      <c r="UZR140" s="422"/>
      <c r="UZS140" s="422"/>
      <c r="UZT140" s="422"/>
      <c r="UZU140" s="422"/>
      <c r="UZV140" s="422"/>
      <c r="UZW140" s="422"/>
      <c r="UZX140" s="422"/>
      <c r="UZY140" s="422"/>
      <c r="UZZ140" s="422"/>
      <c r="VAA140" s="422"/>
      <c r="VAB140" s="422"/>
      <c r="VAC140" s="422"/>
      <c r="VAD140" s="422"/>
      <c r="VAE140" s="422"/>
      <c r="VAF140" s="422"/>
      <c r="VAG140" s="422"/>
      <c r="VAH140" s="422"/>
      <c r="VAI140" s="422"/>
      <c r="VAJ140" s="422"/>
      <c r="VAK140" s="422"/>
      <c r="VAL140" s="422"/>
      <c r="VAM140" s="422"/>
      <c r="VAN140" s="422"/>
      <c r="VAO140" s="422"/>
      <c r="VAP140" s="422"/>
      <c r="VAQ140" s="422"/>
      <c r="VAR140" s="422"/>
      <c r="VAS140" s="422"/>
      <c r="VAT140" s="422"/>
      <c r="VAU140" s="422"/>
      <c r="VAV140" s="422"/>
      <c r="VAW140" s="422"/>
      <c r="VAX140" s="422"/>
      <c r="VAY140" s="422"/>
      <c r="VAZ140" s="422"/>
      <c r="VBA140" s="422"/>
      <c r="VBB140" s="422"/>
      <c r="VBC140" s="422"/>
      <c r="VBD140" s="422"/>
      <c r="VBE140" s="422"/>
      <c r="VBF140" s="422"/>
      <c r="VBG140" s="422"/>
      <c r="VBH140" s="422"/>
      <c r="VBI140" s="422"/>
      <c r="VBJ140" s="422"/>
      <c r="VBK140" s="422"/>
      <c r="VBL140" s="422"/>
      <c r="VBM140" s="422"/>
      <c r="VBN140" s="422"/>
      <c r="VBO140" s="422"/>
      <c r="VBP140" s="422"/>
      <c r="VBQ140" s="422"/>
      <c r="VBR140" s="422"/>
      <c r="VBS140" s="422"/>
      <c r="VBT140" s="422"/>
      <c r="VBU140" s="422"/>
      <c r="VBV140" s="422"/>
      <c r="VBW140" s="422"/>
      <c r="VBX140" s="422"/>
      <c r="VBY140" s="422"/>
      <c r="VBZ140" s="422"/>
      <c r="VCA140" s="422"/>
      <c r="VCB140" s="422"/>
      <c r="VCC140" s="422"/>
      <c r="VCD140" s="422"/>
      <c r="VCE140" s="422"/>
      <c r="VCF140" s="422"/>
      <c r="VCG140" s="422"/>
      <c r="VCH140" s="422"/>
      <c r="VCI140" s="422"/>
      <c r="VCJ140" s="422"/>
      <c r="VCK140" s="422"/>
      <c r="VCL140" s="422"/>
      <c r="VCM140" s="422"/>
      <c r="VCN140" s="422"/>
      <c r="VCO140" s="422"/>
      <c r="VCP140" s="422"/>
      <c r="VCQ140" s="422"/>
      <c r="VCR140" s="422"/>
      <c r="VCS140" s="422"/>
      <c r="VCT140" s="422"/>
      <c r="VCU140" s="422"/>
      <c r="VCV140" s="422"/>
      <c r="VCW140" s="422"/>
      <c r="VCX140" s="422"/>
      <c r="VCY140" s="422"/>
      <c r="VCZ140" s="422"/>
      <c r="VDA140" s="422"/>
      <c r="VDB140" s="422"/>
      <c r="VDC140" s="422"/>
      <c r="VDD140" s="422"/>
      <c r="VDE140" s="422"/>
      <c r="VDF140" s="422"/>
      <c r="VDG140" s="422"/>
      <c r="VDH140" s="422"/>
      <c r="VDI140" s="422"/>
      <c r="VDJ140" s="422"/>
      <c r="VDK140" s="422"/>
      <c r="VDL140" s="422"/>
      <c r="VDM140" s="422"/>
      <c r="VDN140" s="422"/>
      <c r="VDO140" s="422"/>
      <c r="VDP140" s="422"/>
      <c r="VDQ140" s="422"/>
      <c r="VDR140" s="422"/>
      <c r="VDS140" s="422"/>
      <c r="VDT140" s="422"/>
      <c r="VDU140" s="422"/>
      <c r="VDV140" s="422"/>
      <c r="VDW140" s="422"/>
      <c r="VDX140" s="422"/>
      <c r="VDY140" s="422"/>
      <c r="VDZ140" s="422"/>
      <c r="VEA140" s="422"/>
      <c r="VEB140" s="422"/>
      <c r="VEC140" s="422"/>
      <c r="VED140" s="422"/>
      <c r="VEE140" s="422"/>
      <c r="VEF140" s="422"/>
      <c r="VEG140" s="422"/>
      <c r="VEH140" s="422"/>
      <c r="VEI140" s="422"/>
      <c r="VEJ140" s="422"/>
      <c r="VEK140" s="422"/>
      <c r="VEL140" s="422"/>
      <c r="VEM140" s="422"/>
      <c r="VEN140" s="422"/>
      <c r="VEO140" s="422"/>
      <c r="VEP140" s="422"/>
      <c r="VEQ140" s="422"/>
      <c r="VER140" s="422"/>
      <c r="VES140" s="422"/>
      <c r="VET140" s="422"/>
      <c r="VEU140" s="422"/>
      <c r="VEV140" s="422"/>
      <c r="VEW140" s="422"/>
      <c r="VEX140" s="422"/>
      <c r="VEY140" s="422"/>
      <c r="VEZ140" s="422"/>
      <c r="VFA140" s="422"/>
      <c r="VFB140" s="422"/>
      <c r="VFC140" s="422"/>
      <c r="VFD140" s="422"/>
      <c r="VFE140" s="422"/>
      <c r="VFF140" s="422"/>
      <c r="VFG140" s="422"/>
      <c r="VFH140" s="422"/>
      <c r="VFI140" s="422"/>
      <c r="VFJ140" s="422"/>
      <c r="VFK140" s="422"/>
      <c r="VFL140" s="422"/>
      <c r="VFM140" s="422"/>
      <c r="VFN140" s="422"/>
      <c r="VFO140" s="422"/>
      <c r="VFP140" s="422"/>
      <c r="VFQ140" s="422"/>
      <c r="VFR140" s="422"/>
      <c r="VFS140" s="422"/>
      <c r="VFT140" s="422"/>
      <c r="VFU140" s="422"/>
      <c r="VFV140" s="422"/>
      <c r="VFW140" s="422"/>
      <c r="VFX140" s="422"/>
      <c r="VFY140" s="422"/>
      <c r="VFZ140" s="422"/>
      <c r="VGA140" s="422"/>
      <c r="VGB140" s="422"/>
      <c r="VGC140" s="422"/>
      <c r="VGD140" s="422"/>
      <c r="VGE140" s="422"/>
      <c r="VGF140" s="422"/>
      <c r="VGG140" s="422"/>
      <c r="VGH140" s="422"/>
      <c r="VGI140" s="422"/>
      <c r="VGJ140" s="422"/>
      <c r="VGK140" s="422"/>
      <c r="VGL140" s="422"/>
      <c r="VGM140" s="422"/>
      <c r="VGN140" s="422"/>
      <c r="VGO140" s="422"/>
      <c r="VGP140" s="422"/>
      <c r="VGQ140" s="422"/>
      <c r="VGR140" s="422"/>
      <c r="VGS140" s="422"/>
      <c r="VGT140" s="422"/>
      <c r="VGU140" s="422"/>
      <c r="VGV140" s="422"/>
      <c r="VGW140" s="422"/>
      <c r="VGX140" s="422"/>
      <c r="VGY140" s="422"/>
      <c r="VGZ140" s="422"/>
      <c r="VHA140" s="422"/>
      <c r="VHB140" s="422"/>
      <c r="VHC140" s="422"/>
      <c r="VHD140" s="422"/>
      <c r="VHE140" s="422"/>
      <c r="VHF140" s="422"/>
      <c r="VHG140" s="422"/>
      <c r="VHH140" s="422"/>
      <c r="VHI140" s="422"/>
      <c r="VHJ140" s="422"/>
      <c r="VHK140" s="422"/>
      <c r="VHL140" s="422"/>
      <c r="VHM140" s="422"/>
      <c r="VHN140" s="422"/>
      <c r="VHO140" s="422"/>
      <c r="VHP140" s="422"/>
      <c r="VHQ140" s="422"/>
      <c r="VHR140" s="422"/>
      <c r="VHS140" s="422"/>
      <c r="VHT140" s="422"/>
      <c r="VHU140" s="422"/>
      <c r="VHV140" s="422"/>
      <c r="VHW140" s="422"/>
      <c r="VHX140" s="422"/>
      <c r="VHY140" s="422"/>
      <c r="VHZ140" s="422"/>
      <c r="VIA140" s="422"/>
      <c r="VIB140" s="422"/>
      <c r="VIC140" s="422"/>
      <c r="VID140" s="422"/>
      <c r="VIE140" s="422"/>
      <c r="VIF140" s="422"/>
      <c r="VIG140" s="422"/>
      <c r="VIH140" s="422"/>
      <c r="VII140" s="422"/>
      <c r="VIJ140" s="422"/>
      <c r="VIK140" s="422"/>
      <c r="VIL140" s="422"/>
      <c r="VIM140" s="422"/>
      <c r="VIN140" s="422"/>
      <c r="VIO140" s="422"/>
      <c r="VIP140" s="422"/>
      <c r="VIQ140" s="422"/>
      <c r="VIR140" s="422"/>
      <c r="VIS140" s="422"/>
      <c r="VIT140" s="422"/>
      <c r="VIU140" s="422"/>
      <c r="VIV140" s="422"/>
      <c r="VIW140" s="422"/>
      <c r="VIX140" s="422"/>
      <c r="VIY140" s="422"/>
      <c r="VIZ140" s="422"/>
      <c r="VJA140" s="422"/>
      <c r="VJB140" s="422"/>
      <c r="VJC140" s="422"/>
      <c r="VJD140" s="422"/>
      <c r="VJE140" s="422"/>
      <c r="VJF140" s="422"/>
      <c r="VJG140" s="422"/>
      <c r="VJH140" s="422"/>
      <c r="VJI140" s="422"/>
      <c r="VJJ140" s="422"/>
      <c r="VJK140" s="422"/>
      <c r="VJL140" s="422"/>
      <c r="VJM140" s="422"/>
      <c r="VJN140" s="422"/>
      <c r="VJO140" s="422"/>
      <c r="VJP140" s="422"/>
      <c r="VJQ140" s="422"/>
      <c r="VJR140" s="422"/>
      <c r="VJS140" s="422"/>
      <c r="VJT140" s="422"/>
      <c r="VJU140" s="422"/>
      <c r="VJV140" s="422"/>
      <c r="VJW140" s="422"/>
      <c r="VJX140" s="422"/>
      <c r="VJY140" s="422"/>
      <c r="VJZ140" s="422"/>
      <c r="VKA140" s="422"/>
      <c r="VKB140" s="422"/>
      <c r="VKC140" s="422"/>
      <c r="VKD140" s="422"/>
      <c r="VKE140" s="422"/>
      <c r="VKF140" s="422"/>
      <c r="VKG140" s="422"/>
      <c r="VKH140" s="422"/>
      <c r="VKI140" s="422"/>
      <c r="VKJ140" s="422"/>
      <c r="VKK140" s="422"/>
      <c r="VKL140" s="422"/>
      <c r="VKM140" s="422"/>
      <c r="VKN140" s="422"/>
      <c r="VKO140" s="422"/>
      <c r="VKP140" s="422"/>
      <c r="VKQ140" s="422"/>
      <c r="VKR140" s="422"/>
      <c r="VKS140" s="422"/>
      <c r="VKT140" s="422"/>
      <c r="VKU140" s="422"/>
      <c r="VKV140" s="422"/>
      <c r="VKW140" s="422"/>
      <c r="VKX140" s="422"/>
      <c r="VKY140" s="422"/>
      <c r="VKZ140" s="422"/>
      <c r="VLA140" s="422"/>
      <c r="VLB140" s="422"/>
      <c r="VLC140" s="422"/>
      <c r="VLD140" s="422"/>
      <c r="VLE140" s="422"/>
      <c r="VLF140" s="422"/>
      <c r="VLG140" s="422"/>
      <c r="VLH140" s="422"/>
      <c r="VLI140" s="422"/>
      <c r="VLJ140" s="422"/>
      <c r="VLK140" s="422"/>
      <c r="VLL140" s="422"/>
      <c r="VLM140" s="422"/>
      <c r="VLN140" s="422"/>
      <c r="VLO140" s="422"/>
      <c r="VLP140" s="422"/>
      <c r="VLQ140" s="422"/>
      <c r="VLR140" s="422"/>
      <c r="VLS140" s="422"/>
      <c r="VLT140" s="422"/>
      <c r="VLU140" s="422"/>
      <c r="VLV140" s="422"/>
      <c r="VLW140" s="422"/>
      <c r="VLX140" s="422"/>
      <c r="VLY140" s="422"/>
      <c r="VLZ140" s="422"/>
      <c r="VMA140" s="422"/>
      <c r="VMB140" s="422"/>
      <c r="VMC140" s="422"/>
      <c r="VMD140" s="422"/>
      <c r="VME140" s="422"/>
      <c r="VMF140" s="422"/>
      <c r="VMG140" s="422"/>
      <c r="VMH140" s="422"/>
      <c r="VMI140" s="422"/>
      <c r="VMJ140" s="422"/>
      <c r="VMK140" s="422"/>
      <c r="VML140" s="422"/>
      <c r="VMM140" s="422"/>
      <c r="VMN140" s="422"/>
      <c r="VMO140" s="422"/>
      <c r="VMP140" s="422"/>
      <c r="VMQ140" s="422"/>
      <c r="VMR140" s="422"/>
      <c r="VMS140" s="422"/>
      <c r="VMT140" s="422"/>
      <c r="VMU140" s="422"/>
      <c r="VMV140" s="422"/>
      <c r="VMW140" s="422"/>
      <c r="VMX140" s="422"/>
      <c r="VMY140" s="422"/>
      <c r="VMZ140" s="422"/>
      <c r="VNA140" s="422"/>
      <c r="VNB140" s="422"/>
      <c r="VNC140" s="422"/>
      <c r="VND140" s="422"/>
      <c r="VNE140" s="422"/>
      <c r="VNF140" s="422"/>
      <c r="VNG140" s="422"/>
      <c r="VNH140" s="422"/>
      <c r="VNI140" s="422"/>
      <c r="VNJ140" s="422"/>
      <c r="VNK140" s="422"/>
      <c r="VNL140" s="422"/>
      <c r="VNM140" s="422"/>
      <c r="VNN140" s="422"/>
      <c r="VNO140" s="422"/>
      <c r="VNP140" s="422"/>
      <c r="VNQ140" s="422"/>
      <c r="VNR140" s="422"/>
      <c r="VNS140" s="422"/>
      <c r="VNT140" s="422"/>
      <c r="VNU140" s="422"/>
      <c r="VNV140" s="422"/>
      <c r="VNW140" s="422"/>
      <c r="VNX140" s="422"/>
      <c r="VNY140" s="422"/>
      <c r="VNZ140" s="422"/>
      <c r="VOA140" s="422"/>
      <c r="VOB140" s="422"/>
      <c r="VOC140" s="422"/>
      <c r="VOD140" s="422"/>
      <c r="VOE140" s="422"/>
      <c r="VOF140" s="422"/>
      <c r="VOG140" s="422"/>
      <c r="VOH140" s="422"/>
      <c r="VOI140" s="422"/>
      <c r="VOJ140" s="422"/>
      <c r="VOK140" s="422"/>
      <c r="VOL140" s="422"/>
      <c r="VOM140" s="422"/>
      <c r="VON140" s="422"/>
      <c r="VOO140" s="422"/>
      <c r="VOP140" s="422"/>
      <c r="VOQ140" s="422"/>
      <c r="VOR140" s="422"/>
      <c r="VOS140" s="422"/>
      <c r="VOT140" s="422"/>
      <c r="VOU140" s="422"/>
      <c r="VOV140" s="422"/>
      <c r="VOW140" s="422"/>
      <c r="VOX140" s="422"/>
      <c r="VOY140" s="422"/>
      <c r="VOZ140" s="422"/>
      <c r="VPA140" s="422"/>
      <c r="VPB140" s="422"/>
      <c r="VPC140" s="422"/>
      <c r="VPD140" s="422"/>
      <c r="VPE140" s="422"/>
      <c r="VPF140" s="422"/>
      <c r="VPG140" s="422"/>
      <c r="VPH140" s="422"/>
      <c r="VPI140" s="422"/>
      <c r="VPJ140" s="422"/>
      <c r="VPK140" s="422"/>
      <c r="VPL140" s="422"/>
      <c r="VPM140" s="422"/>
      <c r="VPN140" s="422"/>
      <c r="VPO140" s="422"/>
      <c r="VPP140" s="422"/>
      <c r="VPQ140" s="422"/>
      <c r="VPR140" s="422"/>
      <c r="VPS140" s="422"/>
      <c r="VPT140" s="422"/>
      <c r="VPU140" s="422"/>
      <c r="VPV140" s="422"/>
      <c r="VPW140" s="422"/>
      <c r="VPX140" s="422"/>
      <c r="VPY140" s="422"/>
      <c r="VPZ140" s="422"/>
      <c r="VQA140" s="422"/>
      <c r="VQB140" s="422"/>
      <c r="VQC140" s="422"/>
      <c r="VQD140" s="422"/>
      <c r="VQE140" s="422"/>
      <c r="VQF140" s="422"/>
      <c r="VQG140" s="422"/>
      <c r="VQH140" s="422"/>
      <c r="VQI140" s="422"/>
      <c r="VQJ140" s="422"/>
      <c r="VQK140" s="422"/>
      <c r="VQL140" s="422"/>
      <c r="VQM140" s="422"/>
      <c r="VQN140" s="422"/>
      <c r="VQO140" s="422"/>
      <c r="VQP140" s="422"/>
      <c r="VQQ140" s="422"/>
      <c r="VQR140" s="422"/>
      <c r="VQS140" s="422"/>
      <c r="VQT140" s="422"/>
      <c r="VQU140" s="422"/>
      <c r="VQV140" s="422"/>
      <c r="VQW140" s="422"/>
      <c r="VQX140" s="422"/>
      <c r="VQY140" s="422"/>
      <c r="VQZ140" s="422"/>
      <c r="VRA140" s="422"/>
      <c r="VRB140" s="422"/>
      <c r="VRC140" s="422"/>
      <c r="VRD140" s="422"/>
      <c r="VRE140" s="422"/>
      <c r="VRF140" s="422"/>
      <c r="VRG140" s="422"/>
      <c r="VRH140" s="422"/>
      <c r="VRI140" s="422"/>
      <c r="VRJ140" s="422"/>
      <c r="VRK140" s="422"/>
      <c r="VRL140" s="422"/>
      <c r="VRM140" s="422"/>
      <c r="VRN140" s="422"/>
      <c r="VRO140" s="422"/>
      <c r="VRP140" s="422"/>
      <c r="VRQ140" s="422"/>
      <c r="VRR140" s="422"/>
      <c r="VRS140" s="422"/>
      <c r="VRT140" s="422"/>
      <c r="VRU140" s="422"/>
      <c r="VRV140" s="422"/>
      <c r="VRW140" s="422"/>
      <c r="VRX140" s="422"/>
      <c r="VRY140" s="422"/>
      <c r="VRZ140" s="422"/>
      <c r="VSA140" s="422"/>
      <c r="VSB140" s="422"/>
      <c r="VSC140" s="422"/>
      <c r="VSD140" s="422"/>
      <c r="VSE140" s="422"/>
      <c r="VSF140" s="422"/>
      <c r="VSG140" s="422"/>
      <c r="VSH140" s="422"/>
      <c r="VSI140" s="422"/>
      <c r="VSJ140" s="422"/>
      <c r="VSK140" s="422"/>
      <c r="VSL140" s="422"/>
      <c r="VSM140" s="422"/>
      <c r="VSN140" s="422"/>
      <c r="VSO140" s="422"/>
      <c r="VSP140" s="422"/>
      <c r="VSQ140" s="422"/>
      <c r="VSR140" s="422"/>
      <c r="VSS140" s="422"/>
      <c r="VST140" s="422"/>
      <c r="VSU140" s="422"/>
      <c r="VSV140" s="422"/>
      <c r="VSW140" s="422"/>
      <c r="VSX140" s="422"/>
      <c r="VSY140" s="422"/>
      <c r="VSZ140" s="422"/>
      <c r="VTA140" s="422"/>
      <c r="VTB140" s="422"/>
      <c r="VTC140" s="422"/>
      <c r="VTD140" s="422"/>
      <c r="VTE140" s="422"/>
      <c r="VTF140" s="422"/>
      <c r="VTG140" s="422"/>
      <c r="VTH140" s="422"/>
      <c r="VTI140" s="422"/>
      <c r="VTJ140" s="422"/>
      <c r="VTK140" s="422"/>
      <c r="VTL140" s="422"/>
      <c r="VTM140" s="422"/>
      <c r="VTN140" s="422"/>
      <c r="VTO140" s="422"/>
      <c r="VTP140" s="422"/>
      <c r="VTQ140" s="422"/>
      <c r="VTR140" s="422"/>
      <c r="VTS140" s="422"/>
      <c r="VTT140" s="422"/>
      <c r="VTU140" s="422"/>
      <c r="VTV140" s="422"/>
      <c r="VTW140" s="422"/>
      <c r="VTX140" s="422"/>
      <c r="VTY140" s="422"/>
      <c r="VTZ140" s="422"/>
      <c r="VUA140" s="422"/>
      <c r="VUB140" s="422"/>
      <c r="VUC140" s="422"/>
      <c r="VUD140" s="422"/>
      <c r="VUE140" s="422"/>
      <c r="VUF140" s="422"/>
      <c r="VUG140" s="422"/>
      <c r="VUH140" s="422"/>
      <c r="VUI140" s="422"/>
      <c r="VUJ140" s="422"/>
      <c r="VUK140" s="422"/>
      <c r="VUL140" s="422"/>
      <c r="VUM140" s="422"/>
      <c r="VUN140" s="422"/>
      <c r="VUO140" s="422"/>
      <c r="VUP140" s="422"/>
      <c r="VUQ140" s="422"/>
      <c r="VUR140" s="422"/>
      <c r="VUS140" s="422"/>
      <c r="VUT140" s="422"/>
      <c r="VUU140" s="422"/>
      <c r="VUV140" s="422"/>
      <c r="VUW140" s="422"/>
      <c r="VUX140" s="422"/>
      <c r="VUY140" s="422"/>
      <c r="VUZ140" s="422"/>
      <c r="VVA140" s="422"/>
      <c r="VVB140" s="422"/>
      <c r="VVC140" s="422"/>
      <c r="VVD140" s="422"/>
      <c r="VVE140" s="422"/>
      <c r="VVF140" s="422"/>
      <c r="VVG140" s="422"/>
      <c r="VVH140" s="422"/>
      <c r="VVI140" s="422"/>
      <c r="VVJ140" s="422"/>
      <c r="VVK140" s="422"/>
      <c r="VVL140" s="422"/>
      <c r="VVM140" s="422"/>
      <c r="VVN140" s="422"/>
      <c r="VVO140" s="422"/>
      <c r="VVP140" s="422"/>
      <c r="VVQ140" s="422"/>
      <c r="VVR140" s="422"/>
      <c r="VVS140" s="422"/>
      <c r="VVT140" s="422"/>
      <c r="VVU140" s="422"/>
      <c r="VVV140" s="422"/>
      <c r="VVW140" s="422"/>
      <c r="VVX140" s="422"/>
      <c r="VVY140" s="422"/>
      <c r="VVZ140" s="422"/>
      <c r="VWA140" s="422"/>
      <c r="VWB140" s="422"/>
      <c r="VWC140" s="422"/>
      <c r="VWD140" s="422"/>
      <c r="VWE140" s="422"/>
      <c r="VWF140" s="422"/>
      <c r="VWG140" s="422"/>
      <c r="VWH140" s="422"/>
      <c r="VWI140" s="422"/>
      <c r="VWJ140" s="422"/>
      <c r="VWK140" s="422"/>
      <c r="VWL140" s="422"/>
      <c r="VWM140" s="422"/>
      <c r="VWN140" s="422"/>
      <c r="VWO140" s="422"/>
      <c r="VWP140" s="422"/>
      <c r="VWQ140" s="422"/>
      <c r="VWR140" s="422"/>
      <c r="VWS140" s="422"/>
      <c r="VWT140" s="422"/>
      <c r="VWU140" s="422"/>
      <c r="VWV140" s="422"/>
      <c r="VWW140" s="422"/>
      <c r="VWX140" s="422"/>
      <c r="VWY140" s="422"/>
      <c r="VWZ140" s="422"/>
      <c r="VXA140" s="422"/>
      <c r="VXB140" s="422"/>
      <c r="VXC140" s="422"/>
      <c r="VXD140" s="422"/>
      <c r="VXE140" s="422"/>
      <c r="VXF140" s="422"/>
      <c r="VXG140" s="422"/>
      <c r="VXH140" s="422"/>
      <c r="VXI140" s="422"/>
      <c r="VXJ140" s="422"/>
      <c r="VXK140" s="422"/>
      <c r="VXL140" s="422"/>
      <c r="VXM140" s="422"/>
      <c r="VXN140" s="422"/>
      <c r="VXO140" s="422"/>
      <c r="VXP140" s="422"/>
      <c r="VXQ140" s="422"/>
      <c r="VXR140" s="422"/>
      <c r="VXS140" s="422"/>
      <c r="VXT140" s="422"/>
      <c r="VXU140" s="422"/>
      <c r="VXV140" s="422"/>
      <c r="VXW140" s="422"/>
      <c r="VXX140" s="422"/>
      <c r="VXY140" s="422"/>
      <c r="VXZ140" s="422"/>
      <c r="VYA140" s="422"/>
      <c r="VYB140" s="422"/>
      <c r="VYC140" s="422"/>
      <c r="VYD140" s="422"/>
      <c r="VYE140" s="422"/>
      <c r="VYF140" s="422"/>
      <c r="VYG140" s="422"/>
      <c r="VYH140" s="422"/>
      <c r="VYI140" s="422"/>
      <c r="VYJ140" s="422"/>
      <c r="VYK140" s="422"/>
      <c r="VYL140" s="422"/>
      <c r="VYM140" s="422"/>
      <c r="VYN140" s="422"/>
      <c r="VYO140" s="422"/>
      <c r="VYP140" s="422"/>
      <c r="VYQ140" s="422"/>
      <c r="VYR140" s="422"/>
      <c r="VYS140" s="422"/>
      <c r="VYT140" s="422"/>
      <c r="VYU140" s="422"/>
      <c r="VYV140" s="422"/>
      <c r="VYW140" s="422"/>
      <c r="VYX140" s="422"/>
      <c r="VYY140" s="422"/>
      <c r="VYZ140" s="422"/>
      <c r="VZA140" s="422"/>
      <c r="VZB140" s="422"/>
      <c r="VZC140" s="422"/>
      <c r="VZD140" s="422"/>
      <c r="VZE140" s="422"/>
      <c r="VZF140" s="422"/>
      <c r="VZG140" s="422"/>
      <c r="VZH140" s="422"/>
      <c r="VZI140" s="422"/>
      <c r="VZJ140" s="422"/>
      <c r="VZK140" s="422"/>
      <c r="VZL140" s="422"/>
      <c r="VZM140" s="422"/>
      <c r="VZN140" s="422"/>
      <c r="VZO140" s="422"/>
      <c r="VZP140" s="422"/>
      <c r="VZQ140" s="422"/>
      <c r="VZR140" s="422"/>
      <c r="VZS140" s="422"/>
      <c r="VZT140" s="422"/>
      <c r="VZU140" s="422"/>
      <c r="VZV140" s="422"/>
      <c r="VZW140" s="422"/>
      <c r="VZX140" s="422"/>
      <c r="VZY140" s="422"/>
      <c r="VZZ140" s="422"/>
      <c r="WAA140" s="422"/>
      <c r="WAB140" s="422"/>
      <c r="WAC140" s="422"/>
      <c r="WAD140" s="422"/>
      <c r="WAE140" s="422"/>
      <c r="WAF140" s="422"/>
      <c r="WAG140" s="422"/>
      <c r="WAH140" s="422"/>
      <c r="WAI140" s="422"/>
      <c r="WAJ140" s="422"/>
      <c r="WAK140" s="422"/>
      <c r="WAL140" s="422"/>
      <c r="WAM140" s="422"/>
      <c r="WAN140" s="422"/>
      <c r="WAO140" s="422"/>
      <c r="WAP140" s="422"/>
      <c r="WAQ140" s="422"/>
      <c r="WAR140" s="422"/>
      <c r="WAS140" s="422"/>
      <c r="WAT140" s="422"/>
      <c r="WAU140" s="422"/>
      <c r="WAV140" s="422"/>
      <c r="WAW140" s="422"/>
      <c r="WAX140" s="422"/>
      <c r="WAY140" s="422"/>
      <c r="WAZ140" s="422"/>
      <c r="WBA140" s="422"/>
      <c r="WBB140" s="422"/>
      <c r="WBC140" s="422"/>
      <c r="WBD140" s="422"/>
      <c r="WBE140" s="422"/>
      <c r="WBF140" s="422"/>
      <c r="WBG140" s="422"/>
      <c r="WBH140" s="422"/>
      <c r="WBI140" s="422"/>
      <c r="WBJ140" s="422"/>
      <c r="WBK140" s="422"/>
      <c r="WBL140" s="422"/>
      <c r="WBM140" s="422"/>
      <c r="WBN140" s="422"/>
      <c r="WBO140" s="422"/>
      <c r="WBP140" s="422"/>
      <c r="WBQ140" s="422"/>
      <c r="WBR140" s="422"/>
      <c r="WBS140" s="422"/>
      <c r="WBT140" s="422"/>
      <c r="WBU140" s="422"/>
      <c r="WBV140" s="422"/>
      <c r="WBW140" s="422"/>
      <c r="WBX140" s="422"/>
      <c r="WBY140" s="422"/>
      <c r="WBZ140" s="422"/>
      <c r="WCA140" s="422"/>
      <c r="WCB140" s="422"/>
      <c r="WCC140" s="422"/>
      <c r="WCD140" s="422"/>
      <c r="WCE140" s="422"/>
      <c r="WCF140" s="422"/>
      <c r="WCG140" s="422"/>
      <c r="WCH140" s="422"/>
      <c r="WCI140" s="422"/>
      <c r="WCJ140" s="422"/>
      <c r="WCK140" s="422"/>
      <c r="WCL140" s="422"/>
      <c r="WCM140" s="422"/>
      <c r="WCN140" s="422"/>
      <c r="WCO140" s="422"/>
      <c r="WCP140" s="422"/>
      <c r="WCQ140" s="422"/>
      <c r="WCR140" s="422"/>
      <c r="WCS140" s="422"/>
      <c r="WCT140" s="422"/>
      <c r="WCU140" s="422"/>
      <c r="WCV140" s="422"/>
      <c r="WCW140" s="422"/>
      <c r="WCX140" s="422"/>
      <c r="WCY140" s="422"/>
      <c r="WCZ140" s="422"/>
      <c r="WDA140" s="422"/>
      <c r="WDB140" s="422"/>
      <c r="WDC140" s="422"/>
      <c r="WDD140" s="422"/>
      <c r="WDE140" s="422"/>
      <c r="WDF140" s="422"/>
      <c r="WDG140" s="422"/>
      <c r="WDH140" s="422"/>
      <c r="WDI140" s="422"/>
      <c r="WDJ140" s="422"/>
      <c r="WDK140" s="422"/>
      <c r="WDL140" s="422"/>
      <c r="WDM140" s="422"/>
      <c r="WDN140" s="422"/>
      <c r="WDO140" s="422"/>
      <c r="WDP140" s="422"/>
      <c r="WDQ140" s="422"/>
      <c r="WDR140" s="422"/>
      <c r="WDS140" s="422"/>
      <c r="WDT140" s="422"/>
      <c r="WDU140" s="422"/>
      <c r="WDV140" s="422"/>
      <c r="WDW140" s="422"/>
      <c r="WDX140" s="422"/>
      <c r="WDY140" s="422"/>
      <c r="WDZ140" s="422"/>
      <c r="WEA140" s="422"/>
      <c r="WEB140" s="422"/>
      <c r="WEC140" s="422"/>
      <c r="WED140" s="422"/>
      <c r="WEE140" s="422"/>
      <c r="WEF140" s="422"/>
      <c r="WEG140" s="422"/>
      <c r="WEH140" s="422"/>
      <c r="WEI140" s="422"/>
      <c r="WEJ140" s="422"/>
      <c r="WEK140" s="422"/>
      <c r="WEL140" s="422"/>
      <c r="WEM140" s="422"/>
      <c r="WEN140" s="422"/>
      <c r="WEO140" s="422"/>
      <c r="WEP140" s="422"/>
      <c r="WEQ140" s="422"/>
      <c r="WER140" s="422"/>
      <c r="WES140" s="422"/>
      <c r="WET140" s="422"/>
      <c r="WEU140" s="422"/>
      <c r="WEV140" s="422"/>
      <c r="WEW140" s="422"/>
      <c r="WEX140" s="422"/>
      <c r="WEY140" s="422"/>
      <c r="WEZ140" s="422"/>
      <c r="WFA140" s="422"/>
      <c r="WFB140" s="422"/>
      <c r="WFC140" s="422"/>
      <c r="WFD140" s="422"/>
      <c r="WFE140" s="422"/>
      <c r="WFF140" s="422"/>
      <c r="WFG140" s="422"/>
      <c r="WFH140" s="422"/>
      <c r="WFI140" s="422"/>
      <c r="WFJ140" s="422"/>
      <c r="WFK140" s="422"/>
      <c r="WFL140" s="422"/>
      <c r="WFM140" s="422"/>
      <c r="WFN140" s="422"/>
      <c r="WFO140" s="422"/>
      <c r="WFP140" s="422"/>
      <c r="WFQ140" s="422"/>
      <c r="WFR140" s="422"/>
      <c r="WFS140" s="422"/>
      <c r="WFT140" s="422"/>
      <c r="WFU140" s="422"/>
      <c r="WFV140" s="422"/>
      <c r="WFW140" s="422"/>
      <c r="WFX140" s="422"/>
      <c r="WFY140" s="422"/>
      <c r="WFZ140" s="422"/>
      <c r="WGA140" s="422"/>
      <c r="WGB140" s="422"/>
      <c r="WGC140" s="422"/>
      <c r="WGD140" s="422"/>
      <c r="WGE140" s="422"/>
      <c r="WGF140" s="422"/>
      <c r="WGG140" s="422"/>
      <c r="WGH140" s="422"/>
      <c r="WGI140" s="422"/>
      <c r="WGJ140" s="422"/>
      <c r="WGK140" s="422"/>
      <c r="WGL140" s="422"/>
      <c r="WGM140" s="422"/>
      <c r="WGN140" s="422"/>
      <c r="WGO140" s="422"/>
      <c r="WGP140" s="422"/>
      <c r="WGQ140" s="422"/>
      <c r="WGR140" s="422"/>
      <c r="WGS140" s="422"/>
      <c r="WGT140" s="422"/>
      <c r="WGU140" s="422"/>
      <c r="WGV140" s="422"/>
      <c r="WGW140" s="422"/>
      <c r="WGX140" s="422"/>
      <c r="WGY140" s="422"/>
      <c r="WGZ140" s="422"/>
      <c r="WHA140" s="422"/>
      <c r="WHB140" s="422"/>
      <c r="WHC140" s="422"/>
      <c r="WHD140" s="422"/>
      <c r="WHE140" s="422"/>
      <c r="WHF140" s="422"/>
      <c r="WHG140" s="422"/>
      <c r="WHH140" s="422"/>
      <c r="WHI140" s="422"/>
      <c r="WHJ140" s="422"/>
      <c r="WHK140" s="422"/>
      <c r="WHL140" s="422"/>
      <c r="WHM140" s="422"/>
      <c r="WHN140" s="422"/>
      <c r="WHO140" s="422"/>
      <c r="WHP140" s="422"/>
      <c r="WHQ140" s="422"/>
      <c r="WHR140" s="422"/>
      <c r="WHS140" s="422"/>
      <c r="WHT140" s="422"/>
      <c r="WHU140" s="422"/>
      <c r="WHV140" s="422"/>
      <c r="WHW140" s="422"/>
      <c r="WHX140" s="422"/>
      <c r="WHY140" s="422"/>
      <c r="WHZ140" s="422"/>
      <c r="WIA140" s="422"/>
      <c r="WIB140" s="422"/>
      <c r="WIC140" s="422"/>
      <c r="WID140" s="422"/>
      <c r="WIE140" s="422"/>
      <c r="WIF140" s="422"/>
      <c r="WIG140" s="422"/>
      <c r="WIH140" s="422"/>
      <c r="WII140" s="422"/>
      <c r="WIJ140" s="422"/>
      <c r="WIK140" s="422"/>
      <c r="WIL140" s="422"/>
      <c r="WIM140" s="422"/>
      <c r="WIN140" s="422"/>
      <c r="WIO140" s="422"/>
      <c r="WIP140" s="422"/>
      <c r="WIQ140" s="422"/>
      <c r="WIR140" s="422"/>
      <c r="WIS140" s="422"/>
      <c r="WIT140" s="422"/>
      <c r="WIU140" s="422"/>
      <c r="WIV140" s="422"/>
      <c r="WIW140" s="422"/>
      <c r="WIX140" s="422"/>
      <c r="WIY140" s="422"/>
      <c r="WIZ140" s="422"/>
      <c r="WJA140" s="422"/>
      <c r="WJB140" s="422"/>
      <c r="WJC140" s="422"/>
      <c r="WJD140" s="422"/>
      <c r="WJE140" s="422"/>
      <c r="WJF140" s="422"/>
      <c r="WJG140" s="422"/>
      <c r="WJH140" s="422"/>
      <c r="WJI140" s="422"/>
      <c r="WJJ140" s="422"/>
      <c r="WJK140" s="422"/>
      <c r="WJL140" s="422"/>
      <c r="WJM140" s="422"/>
      <c r="WJN140" s="422"/>
      <c r="WJO140" s="422"/>
      <c r="WJP140" s="422"/>
      <c r="WJQ140" s="422"/>
      <c r="WJR140" s="422"/>
      <c r="WJS140" s="422"/>
      <c r="WJT140" s="422"/>
      <c r="WJU140" s="422"/>
      <c r="WJV140" s="422"/>
      <c r="WJW140" s="422"/>
      <c r="WJX140" s="422"/>
      <c r="WJY140" s="422"/>
      <c r="WJZ140" s="422"/>
      <c r="WKA140" s="422"/>
      <c r="WKB140" s="422"/>
      <c r="WKC140" s="422"/>
      <c r="WKD140" s="422"/>
      <c r="WKE140" s="422"/>
      <c r="WKF140" s="422"/>
      <c r="WKG140" s="422"/>
      <c r="WKH140" s="422"/>
      <c r="WKI140" s="422"/>
      <c r="WKJ140" s="422"/>
      <c r="WKK140" s="422"/>
      <c r="WKL140" s="422"/>
      <c r="WKM140" s="422"/>
      <c r="WKN140" s="422"/>
      <c r="WKO140" s="422"/>
      <c r="WKP140" s="422"/>
      <c r="WKQ140" s="422"/>
      <c r="WKR140" s="422"/>
      <c r="WKS140" s="422"/>
      <c r="WKT140" s="422"/>
      <c r="WKU140" s="422"/>
      <c r="WKV140" s="422"/>
      <c r="WKW140" s="422"/>
      <c r="WKX140" s="422"/>
      <c r="WKY140" s="422"/>
      <c r="WKZ140" s="422"/>
      <c r="WLA140" s="422"/>
      <c r="WLB140" s="422"/>
      <c r="WLC140" s="422"/>
      <c r="WLD140" s="422"/>
      <c r="WLE140" s="422"/>
      <c r="WLF140" s="422"/>
      <c r="WLG140" s="422"/>
      <c r="WLH140" s="422"/>
      <c r="WLI140" s="422"/>
      <c r="WLJ140" s="422"/>
      <c r="WLK140" s="422"/>
      <c r="WLL140" s="422"/>
      <c r="WLM140" s="422"/>
      <c r="WLN140" s="422"/>
      <c r="WLO140" s="422"/>
      <c r="WLP140" s="422"/>
      <c r="WLQ140" s="422"/>
      <c r="WLR140" s="422"/>
      <c r="WLS140" s="422"/>
      <c r="WLT140" s="422"/>
      <c r="WLU140" s="422"/>
      <c r="WLV140" s="422"/>
      <c r="WLW140" s="422"/>
      <c r="WLX140" s="422"/>
      <c r="WLY140" s="422"/>
      <c r="WLZ140" s="422"/>
      <c r="WMA140" s="422"/>
      <c r="WMB140" s="422"/>
      <c r="WMC140" s="422"/>
      <c r="WMD140" s="422"/>
      <c r="WME140" s="422"/>
      <c r="WMF140" s="422"/>
      <c r="WMG140" s="422"/>
      <c r="WMH140" s="422"/>
      <c r="WMI140" s="422"/>
      <c r="WMJ140" s="422"/>
      <c r="WMK140" s="422"/>
      <c r="WML140" s="422"/>
      <c r="WMM140" s="422"/>
      <c r="WMN140" s="422"/>
      <c r="WMO140" s="422"/>
      <c r="WMP140" s="422"/>
      <c r="WMQ140" s="422"/>
      <c r="WMR140" s="422"/>
      <c r="WMS140" s="422"/>
      <c r="WMT140" s="422"/>
      <c r="WMU140" s="422"/>
      <c r="WMV140" s="422"/>
      <c r="WMW140" s="422"/>
      <c r="WMX140" s="422"/>
      <c r="WMY140" s="422"/>
      <c r="WMZ140" s="422"/>
      <c r="WNA140" s="422"/>
      <c r="WNB140" s="422"/>
      <c r="WNC140" s="422"/>
      <c r="WND140" s="422"/>
      <c r="WNE140" s="422"/>
      <c r="WNF140" s="422"/>
      <c r="WNG140" s="422"/>
      <c r="WNH140" s="422"/>
      <c r="WNI140" s="422"/>
      <c r="WNJ140" s="422"/>
      <c r="WNK140" s="422"/>
      <c r="WNL140" s="422"/>
      <c r="WNM140" s="422"/>
      <c r="WNN140" s="422"/>
      <c r="WNO140" s="422"/>
      <c r="WNP140" s="422"/>
      <c r="WNQ140" s="422"/>
      <c r="WNR140" s="422"/>
      <c r="WNS140" s="422"/>
      <c r="WNT140" s="422"/>
      <c r="WNU140" s="422"/>
      <c r="WNV140" s="422"/>
      <c r="WNW140" s="422"/>
      <c r="WNX140" s="422"/>
      <c r="WNY140" s="422"/>
      <c r="WNZ140" s="422"/>
      <c r="WOA140" s="422"/>
      <c r="WOB140" s="422"/>
      <c r="WOC140" s="422"/>
      <c r="WOD140" s="422"/>
      <c r="WOE140" s="422"/>
      <c r="WOF140" s="422"/>
      <c r="WOG140" s="422"/>
      <c r="WOH140" s="422"/>
      <c r="WOI140" s="422"/>
      <c r="WOJ140" s="422"/>
      <c r="WOK140" s="422"/>
      <c r="WOL140" s="422"/>
      <c r="WOM140" s="422"/>
      <c r="WON140" s="422"/>
      <c r="WOO140" s="422"/>
      <c r="WOP140" s="422"/>
      <c r="WOQ140" s="422"/>
      <c r="WOR140" s="422"/>
      <c r="WOS140" s="422"/>
      <c r="WOT140" s="422"/>
      <c r="WOU140" s="422"/>
      <c r="WOV140" s="422"/>
      <c r="WOW140" s="422"/>
      <c r="WOX140" s="422"/>
      <c r="WOY140" s="422"/>
      <c r="WOZ140" s="422"/>
      <c r="WPA140" s="422"/>
      <c r="WPB140" s="422"/>
      <c r="WPC140" s="422"/>
      <c r="WPD140" s="422"/>
      <c r="WPE140" s="422"/>
      <c r="WPF140" s="422"/>
      <c r="WPG140" s="422"/>
      <c r="WPH140" s="422"/>
      <c r="WPI140" s="422"/>
      <c r="WPJ140" s="422"/>
      <c r="WPK140" s="422"/>
      <c r="WPL140" s="422"/>
      <c r="WPM140" s="422"/>
      <c r="WPN140" s="422"/>
      <c r="WPO140" s="422"/>
      <c r="WPP140" s="422"/>
      <c r="WPQ140" s="422"/>
      <c r="WPR140" s="422"/>
      <c r="WPS140" s="422"/>
      <c r="WPT140" s="422"/>
      <c r="WPU140" s="422"/>
      <c r="WPV140" s="422"/>
      <c r="WPW140" s="422"/>
      <c r="WPX140" s="422"/>
      <c r="WPY140" s="422"/>
      <c r="WPZ140" s="422"/>
      <c r="WQA140" s="422"/>
      <c r="WQB140" s="422"/>
      <c r="WQC140" s="422"/>
      <c r="WQD140" s="422"/>
      <c r="WQE140" s="422"/>
      <c r="WQF140" s="422"/>
      <c r="WQG140" s="422"/>
      <c r="WQH140" s="422"/>
      <c r="WQI140" s="422"/>
      <c r="WQJ140" s="422"/>
      <c r="WQK140" s="422"/>
      <c r="WQL140" s="422"/>
      <c r="WQM140" s="422"/>
      <c r="WQN140" s="422"/>
      <c r="WQO140" s="422"/>
      <c r="WQP140" s="422"/>
      <c r="WQQ140" s="422"/>
      <c r="WQR140" s="422"/>
      <c r="WQS140" s="422"/>
      <c r="WQT140" s="422"/>
      <c r="WQU140" s="422"/>
      <c r="WQV140" s="422"/>
      <c r="WQW140" s="422"/>
      <c r="WQX140" s="422"/>
      <c r="WQY140" s="422"/>
      <c r="WQZ140" s="422"/>
      <c r="WRA140" s="422"/>
      <c r="WRB140" s="422"/>
      <c r="WRC140" s="422"/>
      <c r="WRD140" s="422"/>
      <c r="WRE140" s="422"/>
      <c r="WRF140" s="422"/>
      <c r="WRG140" s="422"/>
      <c r="WRH140" s="422"/>
      <c r="WRI140" s="422"/>
      <c r="WRJ140" s="422"/>
      <c r="WRK140" s="422"/>
      <c r="WRL140" s="422"/>
      <c r="WRM140" s="422"/>
      <c r="WRN140" s="422"/>
      <c r="WRO140" s="422"/>
      <c r="WRP140" s="422"/>
      <c r="WRQ140" s="422"/>
      <c r="WRR140" s="422"/>
      <c r="WRS140" s="422"/>
      <c r="WRT140" s="422"/>
      <c r="WRU140" s="422"/>
      <c r="WRV140" s="422"/>
      <c r="WRW140" s="422"/>
      <c r="WRX140" s="422"/>
      <c r="WRY140" s="422"/>
      <c r="WRZ140" s="422"/>
      <c r="WSA140" s="422"/>
      <c r="WSB140" s="422"/>
      <c r="WSC140" s="422"/>
      <c r="WSD140" s="422"/>
      <c r="WSE140" s="422"/>
      <c r="WSF140" s="422"/>
      <c r="WSG140" s="422"/>
      <c r="WSH140" s="422"/>
      <c r="WSI140" s="422"/>
      <c r="WSJ140" s="422"/>
      <c r="WSK140" s="422"/>
      <c r="WSL140" s="422"/>
      <c r="WSM140" s="422"/>
      <c r="WSN140" s="422"/>
      <c r="WSO140" s="422"/>
      <c r="WSP140" s="422"/>
      <c r="WSQ140" s="422"/>
      <c r="WSR140" s="422"/>
      <c r="WSS140" s="422"/>
      <c r="WST140" s="422"/>
      <c r="WSU140" s="422"/>
      <c r="WSV140" s="422"/>
      <c r="WSW140" s="422"/>
      <c r="WSX140" s="422"/>
      <c r="WSY140" s="422"/>
      <c r="WSZ140" s="422"/>
      <c r="WTA140" s="422"/>
      <c r="WTB140" s="422"/>
      <c r="WTC140" s="422"/>
      <c r="WTD140" s="422"/>
      <c r="WTE140" s="422"/>
      <c r="WTF140" s="422"/>
      <c r="WTG140" s="422"/>
      <c r="WTH140" s="422"/>
      <c r="WTI140" s="422"/>
      <c r="WTJ140" s="422"/>
      <c r="WTK140" s="422"/>
      <c r="WTL140" s="422"/>
      <c r="WTM140" s="422"/>
      <c r="WTN140" s="422"/>
      <c r="WTO140" s="422"/>
      <c r="WTP140" s="422"/>
      <c r="WTQ140" s="422"/>
      <c r="WTR140" s="422"/>
      <c r="WTS140" s="422"/>
      <c r="WTT140" s="422"/>
      <c r="WTU140" s="422"/>
      <c r="WTV140" s="422"/>
      <c r="WTW140" s="422"/>
      <c r="WTX140" s="422"/>
      <c r="WTY140" s="422"/>
      <c r="WTZ140" s="422"/>
      <c r="WUA140" s="422"/>
      <c r="WUB140" s="422"/>
      <c r="WUC140" s="422"/>
      <c r="WUD140" s="422"/>
      <c r="WUE140" s="422"/>
      <c r="WUF140" s="422"/>
      <c r="WUG140" s="422"/>
      <c r="WUH140" s="422"/>
      <c r="WUI140" s="422"/>
      <c r="WUJ140" s="422"/>
      <c r="WUK140" s="422"/>
      <c r="WUL140" s="422"/>
      <c r="WUM140" s="422"/>
      <c r="WUN140" s="422"/>
      <c r="WUO140" s="422"/>
      <c r="WUP140" s="422"/>
      <c r="WUQ140" s="422"/>
      <c r="WUR140" s="422"/>
      <c r="WUS140" s="422"/>
      <c r="WUT140" s="422"/>
      <c r="WUU140" s="422"/>
      <c r="WUV140" s="422"/>
      <c r="WUW140" s="422"/>
      <c r="WUX140" s="422"/>
      <c r="WUY140" s="422"/>
      <c r="WUZ140" s="422"/>
      <c r="WVA140" s="422"/>
      <c r="WVB140" s="422"/>
      <c r="WVC140" s="422"/>
      <c r="WVD140" s="422"/>
      <c r="WVE140" s="422"/>
      <c r="WVF140" s="422"/>
      <c r="WVG140" s="422"/>
      <c r="WVH140" s="422"/>
      <c r="WVI140" s="422"/>
      <c r="WVJ140" s="422"/>
      <c r="WVK140" s="422"/>
      <c r="WVL140" s="422"/>
      <c r="WVM140" s="422"/>
      <c r="WVN140" s="422"/>
      <c r="WVO140" s="422"/>
      <c r="WVP140" s="422"/>
      <c r="WVQ140" s="422"/>
      <c r="WVR140" s="422"/>
      <c r="WVS140" s="422"/>
      <c r="WVT140" s="422"/>
      <c r="WVU140" s="422"/>
      <c r="WVV140" s="422"/>
      <c r="WVW140" s="422"/>
      <c r="WVX140" s="422"/>
      <c r="WVY140" s="422"/>
      <c r="WVZ140" s="422"/>
      <c r="WWA140" s="422"/>
      <c r="WWB140" s="422"/>
      <c r="WWC140" s="422"/>
      <c r="WWD140" s="422"/>
      <c r="WWE140" s="422"/>
      <c r="WWF140" s="422"/>
      <c r="WWG140" s="422"/>
      <c r="WWH140" s="422"/>
      <c r="WWI140" s="422"/>
      <c r="WWJ140" s="422"/>
      <c r="WWK140" s="422"/>
      <c r="WWL140" s="422"/>
      <c r="WWM140" s="422"/>
      <c r="WWN140" s="422"/>
      <c r="WWO140" s="422"/>
      <c r="WWP140" s="422"/>
      <c r="WWQ140" s="422"/>
      <c r="WWR140" s="422"/>
      <c r="WWS140" s="422"/>
      <c r="WWT140" s="422"/>
      <c r="WWU140" s="422"/>
      <c r="WWV140" s="422"/>
      <c r="WWW140" s="422"/>
      <c r="WWX140" s="422"/>
      <c r="WWY140" s="422"/>
      <c r="WWZ140" s="422"/>
      <c r="WXA140" s="422"/>
      <c r="WXB140" s="422"/>
      <c r="WXC140" s="422"/>
      <c r="WXD140" s="422"/>
      <c r="WXE140" s="422"/>
      <c r="WXF140" s="422"/>
      <c r="WXG140" s="422"/>
      <c r="WXH140" s="422"/>
      <c r="WXI140" s="422"/>
      <c r="WXJ140" s="422"/>
      <c r="WXK140" s="422"/>
      <c r="WXL140" s="422"/>
      <c r="WXM140" s="422"/>
      <c r="WXN140" s="422"/>
      <c r="WXO140" s="422"/>
      <c r="WXP140" s="422"/>
      <c r="WXQ140" s="422"/>
      <c r="WXR140" s="422"/>
      <c r="WXS140" s="422"/>
      <c r="WXT140" s="422"/>
      <c r="WXU140" s="422"/>
      <c r="WXV140" s="422"/>
      <c r="WXW140" s="422"/>
      <c r="WXX140" s="422"/>
      <c r="WXY140" s="422"/>
      <c r="WXZ140" s="422"/>
      <c r="WYA140" s="422"/>
      <c r="WYB140" s="422"/>
      <c r="WYC140" s="422"/>
      <c r="WYD140" s="422"/>
      <c r="WYE140" s="422"/>
      <c r="WYF140" s="422"/>
      <c r="WYG140" s="422"/>
      <c r="WYH140" s="422"/>
      <c r="WYI140" s="422"/>
      <c r="WYJ140" s="422"/>
      <c r="WYK140" s="422"/>
      <c r="WYL140" s="422"/>
      <c r="WYM140" s="422"/>
      <c r="WYN140" s="422"/>
      <c r="WYO140" s="422"/>
      <c r="WYP140" s="422"/>
      <c r="WYQ140" s="422"/>
      <c r="WYR140" s="422"/>
      <c r="WYS140" s="422"/>
      <c r="WYT140" s="422"/>
      <c r="WYU140" s="422"/>
      <c r="WYV140" s="422"/>
      <c r="WYW140" s="422"/>
      <c r="WYX140" s="422"/>
      <c r="WYY140" s="422"/>
      <c r="WYZ140" s="422"/>
      <c r="WZA140" s="422"/>
      <c r="WZB140" s="422"/>
      <c r="WZC140" s="422"/>
      <c r="WZD140" s="422"/>
      <c r="WZE140" s="422"/>
      <c r="WZF140" s="422"/>
      <c r="WZG140" s="422"/>
      <c r="WZH140" s="422"/>
      <c r="WZI140" s="422"/>
      <c r="WZJ140" s="422"/>
      <c r="WZK140" s="422"/>
      <c r="WZL140" s="422"/>
      <c r="WZM140" s="422"/>
      <c r="WZN140" s="422"/>
      <c r="WZO140" s="422"/>
      <c r="WZP140" s="422"/>
      <c r="WZQ140" s="422"/>
      <c r="WZR140" s="422"/>
      <c r="WZS140" s="422"/>
      <c r="WZT140" s="422"/>
      <c r="WZU140" s="422"/>
      <c r="WZV140" s="422"/>
      <c r="WZW140" s="422"/>
      <c r="WZX140" s="422"/>
      <c r="WZY140" s="422"/>
      <c r="WZZ140" s="422"/>
      <c r="XAA140" s="422"/>
      <c r="XAB140" s="422"/>
      <c r="XAC140" s="422"/>
      <c r="XAD140" s="422"/>
      <c r="XAE140" s="422"/>
      <c r="XAF140" s="422"/>
      <c r="XAG140" s="422"/>
      <c r="XAH140" s="422"/>
      <c r="XAI140" s="422"/>
      <c r="XAJ140" s="422"/>
      <c r="XAK140" s="422"/>
      <c r="XAL140" s="422"/>
      <c r="XAM140" s="422"/>
      <c r="XAN140" s="422"/>
      <c r="XAO140" s="422"/>
      <c r="XAP140" s="422"/>
      <c r="XAQ140" s="422"/>
      <c r="XAR140" s="422"/>
      <c r="XAS140" s="422"/>
      <c r="XAT140" s="422"/>
      <c r="XAU140" s="422"/>
      <c r="XAV140" s="422"/>
      <c r="XAW140" s="422"/>
      <c r="XAX140" s="422"/>
      <c r="XAY140" s="422"/>
      <c r="XAZ140" s="422"/>
      <c r="XBA140" s="422"/>
      <c r="XBB140" s="422"/>
      <c r="XBC140" s="422"/>
      <c r="XBD140" s="422"/>
      <c r="XBE140" s="422"/>
      <c r="XBF140" s="422"/>
      <c r="XBG140" s="422"/>
      <c r="XBH140" s="422"/>
      <c r="XBI140" s="422"/>
      <c r="XBJ140" s="422"/>
      <c r="XBK140" s="422"/>
      <c r="XBL140" s="422"/>
      <c r="XBM140" s="422"/>
      <c r="XBN140" s="422"/>
      <c r="XBO140" s="422"/>
      <c r="XBP140" s="422"/>
      <c r="XBQ140" s="422"/>
      <c r="XBR140" s="422"/>
      <c r="XBS140" s="422"/>
      <c r="XBT140" s="422"/>
      <c r="XBU140" s="422"/>
      <c r="XBV140" s="422"/>
      <c r="XBW140" s="422"/>
      <c r="XBX140" s="422"/>
      <c r="XBY140" s="422"/>
      <c r="XBZ140" s="422"/>
      <c r="XCA140" s="422"/>
      <c r="XCB140" s="422"/>
      <c r="XCC140" s="422"/>
      <c r="XCD140" s="422"/>
      <c r="XCE140" s="422"/>
      <c r="XCF140" s="422"/>
      <c r="XCG140" s="422"/>
      <c r="XCH140" s="422"/>
      <c r="XCI140" s="422"/>
      <c r="XCJ140" s="422"/>
      <c r="XCK140" s="422"/>
      <c r="XCL140" s="422"/>
      <c r="XCM140" s="422"/>
      <c r="XCN140" s="422"/>
      <c r="XCO140" s="422"/>
      <c r="XCP140" s="422"/>
      <c r="XCQ140" s="422"/>
      <c r="XCR140" s="422"/>
      <c r="XCS140" s="422"/>
      <c r="XCT140" s="422"/>
      <c r="XCU140" s="422"/>
      <c r="XCV140" s="422"/>
      <c r="XCW140" s="422"/>
      <c r="XCX140" s="422"/>
      <c r="XCY140" s="422"/>
      <c r="XCZ140" s="422"/>
      <c r="XDA140" s="422"/>
      <c r="XDB140" s="422"/>
      <c r="XDC140" s="422"/>
      <c r="XDD140" s="422"/>
      <c r="XDE140" s="422"/>
      <c r="XDF140" s="422"/>
      <c r="XDG140" s="422"/>
      <c r="XDH140" s="422"/>
      <c r="XDI140" s="422"/>
      <c r="XDJ140" s="422"/>
      <c r="XDK140" s="422"/>
      <c r="XDL140" s="422"/>
      <c r="XDM140" s="422"/>
      <c r="XDN140" s="422"/>
      <c r="XDO140" s="422"/>
      <c r="XDP140" s="422"/>
      <c r="XDQ140" s="422"/>
      <c r="XDR140" s="422"/>
      <c r="XDS140" s="422"/>
      <c r="XDT140" s="422"/>
      <c r="XDU140" s="422"/>
      <c r="XDV140" s="422"/>
      <c r="XDW140" s="422"/>
      <c r="XDX140" s="422"/>
      <c r="XDY140" s="422"/>
      <c r="XDZ140" s="422"/>
      <c r="XEA140" s="422"/>
      <c r="XEB140" s="422"/>
      <c r="XEC140" s="422"/>
      <c r="XED140" s="422"/>
      <c r="XEE140" s="422"/>
      <c r="XEF140" s="422"/>
      <c r="XEG140" s="422"/>
      <c r="XEH140" s="422"/>
      <c r="XEI140" s="422"/>
      <c r="XEJ140" s="422"/>
      <c r="XEK140" s="422"/>
      <c r="XEL140" s="422"/>
      <c r="XEM140" s="422"/>
      <c r="XEN140" s="422"/>
      <c r="XEO140" s="422"/>
      <c r="XEP140" s="422"/>
      <c r="XEQ140" s="422"/>
      <c r="XER140" s="422"/>
      <c r="XES140" s="422"/>
      <c r="XET140" s="422"/>
      <c r="XEU140" s="422"/>
      <c r="XEV140" s="422"/>
      <c r="XEW140" s="422"/>
      <c r="XEX140" s="422"/>
      <c r="XEY140" s="422"/>
      <c r="XEZ140" s="422"/>
      <c r="XFA140" s="422"/>
      <c r="XFB140" s="422"/>
    </row>
    <row r="141" spans="1:16382" customFormat="1" ht="13.2">
      <c r="A141" s="437" t="s">
        <v>696</v>
      </c>
      <c r="B141" s="480">
        <v>1E-3</v>
      </c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  <c r="AA141" s="422"/>
      <c r="AB141" s="422"/>
      <c r="AC141" s="422"/>
      <c r="AD141" s="422"/>
      <c r="AE141" s="422"/>
      <c r="AF141" s="422"/>
      <c r="AG141" s="422"/>
      <c r="AH141" s="422"/>
      <c r="AI141" s="422"/>
      <c r="AJ141" s="422"/>
      <c r="AK141" s="422"/>
      <c r="AL141" s="422"/>
      <c r="AM141" s="422"/>
      <c r="AN141" s="422"/>
      <c r="AO141" s="422"/>
      <c r="AP141" s="422"/>
      <c r="AQ141" s="422"/>
      <c r="AR141" s="422"/>
      <c r="AS141" s="422"/>
      <c r="AT141" s="422"/>
      <c r="AU141" s="422"/>
      <c r="AV141" s="422"/>
      <c r="AW141" s="422"/>
      <c r="AX141" s="422"/>
      <c r="AY141" s="422"/>
      <c r="AZ141" s="422"/>
      <c r="BA141" s="422"/>
      <c r="BB141" s="422"/>
      <c r="BC141" s="422"/>
      <c r="BD141" s="422"/>
      <c r="BE141" s="422"/>
      <c r="BF141" s="422"/>
      <c r="BG141" s="422"/>
      <c r="BH141" s="422"/>
      <c r="BI141" s="422"/>
      <c r="BJ141" s="422"/>
      <c r="BK141" s="422"/>
      <c r="BL141" s="422"/>
      <c r="BM141" s="422"/>
      <c r="BN141" s="422"/>
      <c r="BO141" s="422"/>
      <c r="BP141" s="422"/>
      <c r="BQ141" s="422"/>
      <c r="BR141" s="422"/>
      <c r="BS141" s="422"/>
      <c r="BT141" s="422"/>
      <c r="BU141" s="422"/>
      <c r="BV141" s="422"/>
      <c r="BW141" s="422"/>
      <c r="BX141" s="422"/>
      <c r="BY141" s="422"/>
      <c r="BZ141" s="422"/>
      <c r="CA141" s="422"/>
      <c r="CB141" s="422"/>
      <c r="CC141" s="422"/>
      <c r="CD141" s="422"/>
      <c r="CE141" s="422"/>
      <c r="CF141" s="422"/>
      <c r="CG141" s="422"/>
      <c r="CH141" s="422"/>
      <c r="CI141" s="422"/>
      <c r="CJ141" s="422"/>
      <c r="CK141" s="422"/>
      <c r="CL141" s="422"/>
      <c r="CM141" s="422"/>
      <c r="CN141" s="422"/>
      <c r="CO141" s="422"/>
      <c r="CP141" s="422"/>
      <c r="CQ141" s="422"/>
      <c r="CR141" s="422"/>
      <c r="CS141" s="422"/>
      <c r="CT141" s="422"/>
      <c r="CU141" s="422"/>
      <c r="CV141" s="422"/>
      <c r="CW141" s="422"/>
      <c r="CX141" s="422"/>
      <c r="CY141" s="422"/>
      <c r="CZ141" s="422"/>
      <c r="DA141" s="422"/>
      <c r="DB141" s="422"/>
      <c r="DC141" s="422"/>
      <c r="DD141" s="422"/>
      <c r="DE141" s="422"/>
      <c r="DF141" s="422"/>
      <c r="DG141" s="422"/>
      <c r="DH141" s="422"/>
      <c r="DI141" s="422"/>
      <c r="DJ141" s="422"/>
      <c r="DK141" s="422"/>
      <c r="DL141" s="422"/>
      <c r="DM141" s="422"/>
      <c r="DN141" s="422"/>
      <c r="DO141" s="422"/>
      <c r="DP141" s="422"/>
      <c r="DQ141" s="422"/>
      <c r="DR141" s="422"/>
      <c r="DS141" s="422"/>
      <c r="DT141" s="422"/>
      <c r="DU141" s="422"/>
      <c r="DV141" s="422"/>
      <c r="DW141" s="422"/>
      <c r="DX141" s="422"/>
      <c r="DY141" s="422"/>
      <c r="DZ141" s="422"/>
      <c r="EA141" s="422"/>
      <c r="EB141" s="422"/>
      <c r="EC141" s="422"/>
      <c r="ED141" s="422"/>
      <c r="EE141" s="422"/>
      <c r="EF141" s="422"/>
      <c r="EG141" s="422"/>
      <c r="EH141" s="422"/>
      <c r="EI141" s="422"/>
      <c r="EJ141" s="422"/>
      <c r="EK141" s="422"/>
      <c r="EL141" s="422"/>
      <c r="EM141" s="422"/>
      <c r="EN141" s="422"/>
      <c r="EO141" s="422"/>
      <c r="EP141" s="422"/>
      <c r="EQ141" s="422"/>
      <c r="ER141" s="422"/>
      <c r="ES141" s="422"/>
      <c r="ET141" s="422"/>
      <c r="EU141" s="422"/>
      <c r="EV141" s="422"/>
      <c r="EW141" s="422"/>
      <c r="EX141" s="422"/>
      <c r="EY141" s="422"/>
      <c r="EZ141" s="422"/>
      <c r="FA141" s="422"/>
      <c r="FB141" s="422"/>
      <c r="FC141" s="422"/>
      <c r="FD141" s="422"/>
      <c r="FE141" s="422"/>
      <c r="FF141" s="422"/>
      <c r="FG141" s="422"/>
      <c r="FH141" s="422"/>
      <c r="FI141" s="422"/>
      <c r="FJ141" s="422"/>
      <c r="FK141" s="422"/>
      <c r="FL141" s="422"/>
      <c r="FM141" s="422"/>
      <c r="FN141" s="422"/>
      <c r="FO141" s="422"/>
      <c r="FP141" s="422"/>
      <c r="FQ141" s="422"/>
      <c r="FR141" s="422"/>
      <c r="FS141" s="422"/>
      <c r="FT141" s="422"/>
      <c r="FU141" s="422"/>
      <c r="FV141" s="422"/>
      <c r="FW141" s="422"/>
      <c r="FX141" s="422"/>
      <c r="FY141" s="422"/>
      <c r="FZ141" s="422"/>
      <c r="GA141" s="422"/>
      <c r="GB141" s="422"/>
      <c r="GC141" s="422"/>
      <c r="GD141" s="422"/>
      <c r="GE141" s="422"/>
      <c r="GF141" s="422"/>
      <c r="GG141" s="422"/>
      <c r="GH141" s="422"/>
      <c r="GI141" s="422"/>
      <c r="GJ141" s="422"/>
      <c r="GK141" s="422"/>
      <c r="GL141" s="422"/>
      <c r="GM141" s="422"/>
      <c r="GN141" s="422"/>
      <c r="GO141" s="422"/>
      <c r="GP141" s="422"/>
      <c r="GQ141" s="422"/>
      <c r="GR141" s="422"/>
      <c r="GS141" s="422"/>
      <c r="GT141" s="422"/>
      <c r="GU141" s="422"/>
      <c r="GV141" s="422"/>
      <c r="GW141" s="422"/>
      <c r="GX141" s="422"/>
      <c r="GY141" s="422"/>
      <c r="GZ141" s="422"/>
      <c r="HA141" s="422"/>
      <c r="HB141" s="422"/>
      <c r="HC141" s="422"/>
      <c r="HD141" s="422"/>
      <c r="HE141" s="422"/>
      <c r="HF141" s="422"/>
      <c r="HG141" s="422"/>
      <c r="HH141" s="422"/>
      <c r="HI141" s="422"/>
      <c r="HJ141" s="422"/>
      <c r="HK141" s="422"/>
      <c r="HL141" s="422"/>
      <c r="HM141" s="422"/>
      <c r="HN141" s="422"/>
      <c r="HO141" s="422"/>
      <c r="HP141" s="422"/>
      <c r="HQ141" s="422"/>
      <c r="HR141" s="422"/>
      <c r="HS141" s="422"/>
      <c r="HT141" s="422"/>
      <c r="HU141" s="422"/>
      <c r="HV141" s="422"/>
      <c r="HW141" s="422"/>
      <c r="HX141" s="422"/>
      <c r="HY141" s="422"/>
      <c r="HZ141" s="422"/>
      <c r="IA141" s="422"/>
      <c r="IB141" s="422"/>
      <c r="IC141" s="422"/>
      <c r="ID141" s="422"/>
      <c r="IE141" s="422"/>
      <c r="IF141" s="422"/>
      <c r="IG141" s="422"/>
      <c r="IH141" s="422"/>
      <c r="II141" s="422"/>
      <c r="IJ141" s="422"/>
      <c r="IK141" s="422"/>
      <c r="IL141" s="422"/>
      <c r="IM141" s="422"/>
      <c r="IN141" s="422"/>
      <c r="IO141" s="422"/>
      <c r="IP141" s="422"/>
      <c r="IQ141" s="422"/>
      <c r="IR141" s="422"/>
      <c r="IS141" s="422"/>
      <c r="IT141" s="422"/>
      <c r="IU141" s="422"/>
      <c r="IV141" s="422"/>
      <c r="IW141" s="422"/>
      <c r="IX141" s="422"/>
      <c r="IY141" s="422"/>
      <c r="IZ141" s="422"/>
      <c r="JA141" s="422"/>
      <c r="JB141" s="422"/>
      <c r="JC141" s="422"/>
      <c r="JD141" s="422"/>
      <c r="JE141" s="422"/>
      <c r="JF141" s="422"/>
      <c r="JG141" s="422"/>
      <c r="JH141" s="422"/>
      <c r="JI141" s="422"/>
      <c r="JJ141" s="422"/>
      <c r="JK141" s="422"/>
      <c r="JL141" s="422"/>
      <c r="JM141" s="422"/>
      <c r="JN141" s="422"/>
      <c r="JO141" s="422"/>
      <c r="JP141" s="422"/>
      <c r="JQ141" s="422"/>
      <c r="JR141" s="422"/>
      <c r="JS141" s="422"/>
      <c r="JT141" s="422"/>
      <c r="JU141" s="422"/>
      <c r="JV141" s="422"/>
      <c r="JW141" s="422"/>
      <c r="JX141" s="422"/>
      <c r="JY141" s="422"/>
      <c r="JZ141" s="422"/>
      <c r="KA141" s="422"/>
      <c r="KB141" s="422"/>
      <c r="KC141" s="422"/>
      <c r="KD141" s="422"/>
      <c r="KE141" s="422"/>
      <c r="KF141" s="422"/>
      <c r="KG141" s="422"/>
      <c r="KH141" s="422"/>
      <c r="KI141" s="422"/>
      <c r="KJ141" s="422"/>
      <c r="KK141" s="422"/>
      <c r="KL141" s="422"/>
      <c r="KM141" s="422"/>
      <c r="KN141" s="422"/>
      <c r="KO141" s="422"/>
      <c r="KP141" s="422"/>
      <c r="KQ141" s="422"/>
      <c r="KR141" s="422"/>
      <c r="KS141" s="422"/>
      <c r="KT141" s="422"/>
      <c r="KU141" s="422"/>
      <c r="KV141" s="422"/>
      <c r="KW141" s="422"/>
      <c r="KX141" s="422"/>
      <c r="KY141" s="422"/>
      <c r="KZ141" s="422"/>
      <c r="LA141" s="422"/>
      <c r="LB141" s="422"/>
      <c r="LC141" s="422"/>
      <c r="LD141" s="422"/>
      <c r="LE141" s="422"/>
      <c r="LF141" s="422"/>
      <c r="LG141" s="422"/>
      <c r="LH141" s="422"/>
      <c r="LI141" s="422"/>
      <c r="LJ141" s="422"/>
      <c r="LK141" s="422"/>
      <c r="LL141" s="422"/>
      <c r="LM141" s="422"/>
      <c r="LN141" s="422"/>
      <c r="LO141" s="422"/>
      <c r="LP141" s="422"/>
      <c r="LQ141" s="422"/>
      <c r="LR141" s="422"/>
      <c r="LS141" s="422"/>
      <c r="LT141" s="422"/>
      <c r="LU141" s="422"/>
      <c r="LV141" s="422"/>
      <c r="LW141" s="422"/>
      <c r="LX141" s="422"/>
      <c r="LY141" s="422"/>
      <c r="LZ141" s="422"/>
      <c r="MA141" s="422"/>
      <c r="MB141" s="422"/>
      <c r="MC141" s="422"/>
      <c r="MD141" s="422"/>
      <c r="ME141" s="422"/>
      <c r="MF141" s="422"/>
      <c r="MG141" s="422"/>
      <c r="MH141" s="422"/>
      <c r="MI141" s="422"/>
      <c r="MJ141" s="422"/>
      <c r="MK141" s="422"/>
      <c r="ML141" s="422"/>
      <c r="MM141" s="422"/>
      <c r="MN141" s="422"/>
      <c r="MO141" s="422"/>
      <c r="MP141" s="422"/>
      <c r="MQ141" s="422"/>
      <c r="MR141" s="422"/>
      <c r="MS141" s="422"/>
      <c r="MT141" s="422"/>
      <c r="MU141" s="422"/>
      <c r="MV141" s="422"/>
      <c r="MW141" s="422"/>
      <c r="MX141" s="422"/>
      <c r="MY141" s="422"/>
      <c r="MZ141" s="422"/>
      <c r="NA141" s="422"/>
      <c r="NB141" s="422"/>
      <c r="NC141" s="422"/>
      <c r="ND141" s="422"/>
      <c r="NE141" s="422"/>
      <c r="NF141" s="422"/>
      <c r="NG141" s="422"/>
      <c r="NH141" s="422"/>
      <c r="NI141" s="422"/>
      <c r="NJ141" s="422"/>
      <c r="NK141" s="422"/>
      <c r="NL141" s="422"/>
      <c r="NM141" s="422"/>
      <c r="NN141" s="422"/>
      <c r="NO141" s="422"/>
      <c r="NP141" s="422"/>
      <c r="NQ141" s="422"/>
      <c r="NR141" s="422"/>
      <c r="NS141" s="422"/>
      <c r="NT141" s="422"/>
      <c r="NU141" s="422"/>
      <c r="NV141" s="422"/>
      <c r="NW141" s="422"/>
      <c r="NX141" s="422"/>
      <c r="NY141" s="422"/>
      <c r="NZ141" s="422"/>
      <c r="OA141" s="422"/>
      <c r="OB141" s="422"/>
      <c r="OC141" s="422"/>
      <c r="OD141" s="422"/>
      <c r="OE141" s="422"/>
      <c r="OF141" s="422"/>
      <c r="OG141" s="422"/>
      <c r="OH141" s="422"/>
      <c r="OI141" s="422"/>
      <c r="OJ141" s="422"/>
      <c r="OK141" s="422"/>
      <c r="OL141" s="422"/>
      <c r="OM141" s="422"/>
      <c r="ON141" s="422"/>
      <c r="OO141" s="422"/>
      <c r="OP141" s="422"/>
      <c r="OQ141" s="422"/>
      <c r="OR141" s="422"/>
      <c r="OS141" s="422"/>
      <c r="OT141" s="422"/>
      <c r="OU141" s="422"/>
      <c r="OV141" s="422"/>
      <c r="OW141" s="422"/>
      <c r="OX141" s="422"/>
      <c r="OY141" s="422"/>
      <c r="OZ141" s="422"/>
      <c r="PA141" s="422"/>
      <c r="PB141" s="422"/>
      <c r="PC141" s="422"/>
      <c r="PD141" s="422"/>
      <c r="PE141" s="422"/>
      <c r="PF141" s="422"/>
      <c r="PG141" s="422"/>
      <c r="PH141" s="422"/>
      <c r="PI141" s="422"/>
      <c r="PJ141" s="422"/>
      <c r="PK141" s="422"/>
      <c r="PL141" s="422"/>
      <c r="PM141" s="422"/>
      <c r="PN141" s="422"/>
      <c r="PO141" s="422"/>
      <c r="PP141" s="422"/>
      <c r="PQ141" s="422"/>
      <c r="PR141" s="422"/>
      <c r="PS141" s="422"/>
      <c r="PT141" s="422"/>
      <c r="PU141" s="422"/>
      <c r="PV141" s="422"/>
      <c r="PW141" s="422"/>
      <c r="PX141" s="422"/>
      <c r="PY141" s="422"/>
      <c r="PZ141" s="422"/>
      <c r="QA141" s="422"/>
      <c r="QB141" s="422"/>
      <c r="QC141" s="422"/>
      <c r="QD141" s="422"/>
      <c r="QE141" s="422"/>
      <c r="QF141" s="422"/>
      <c r="QG141" s="422"/>
      <c r="QH141" s="422"/>
      <c r="QI141" s="422"/>
      <c r="QJ141" s="422"/>
      <c r="QK141" s="422"/>
      <c r="QL141" s="422"/>
      <c r="QM141" s="422"/>
      <c r="QN141" s="422"/>
      <c r="QO141" s="422"/>
      <c r="QP141" s="422"/>
      <c r="QQ141" s="422"/>
      <c r="QR141" s="422"/>
      <c r="QS141" s="422"/>
      <c r="QT141" s="422"/>
      <c r="QU141" s="422"/>
      <c r="QV141" s="422"/>
      <c r="QW141" s="422"/>
      <c r="QX141" s="422"/>
      <c r="QY141" s="422"/>
      <c r="QZ141" s="422"/>
      <c r="RA141" s="422"/>
      <c r="RB141" s="422"/>
      <c r="RC141" s="422"/>
      <c r="RD141" s="422"/>
      <c r="RE141" s="422"/>
      <c r="RF141" s="422"/>
      <c r="RG141" s="422"/>
      <c r="RH141" s="422"/>
      <c r="RI141" s="422"/>
      <c r="RJ141" s="422"/>
      <c r="RK141" s="422"/>
      <c r="RL141" s="422"/>
      <c r="RM141" s="422"/>
      <c r="RN141" s="422"/>
      <c r="RO141" s="422"/>
      <c r="RP141" s="422"/>
      <c r="RQ141" s="422"/>
      <c r="RR141" s="422"/>
      <c r="RS141" s="422"/>
      <c r="RT141" s="422"/>
      <c r="RU141" s="422"/>
      <c r="RV141" s="422"/>
      <c r="RW141" s="422"/>
      <c r="RX141" s="422"/>
      <c r="RY141" s="422"/>
      <c r="RZ141" s="422"/>
      <c r="SA141" s="422"/>
      <c r="SB141" s="422"/>
      <c r="SC141" s="422"/>
      <c r="SD141" s="422"/>
      <c r="SE141" s="422"/>
      <c r="SF141" s="422"/>
      <c r="SG141" s="422"/>
      <c r="SH141" s="422"/>
      <c r="SI141" s="422"/>
      <c r="SJ141" s="422"/>
      <c r="SK141" s="422"/>
      <c r="SL141" s="422"/>
      <c r="SM141" s="422"/>
      <c r="SN141" s="422"/>
      <c r="SO141" s="422"/>
      <c r="SP141" s="422"/>
      <c r="SQ141" s="422"/>
      <c r="SR141" s="422"/>
      <c r="SS141" s="422"/>
      <c r="ST141" s="422"/>
      <c r="SU141" s="422"/>
      <c r="SV141" s="422"/>
      <c r="SW141" s="422"/>
      <c r="SX141" s="422"/>
      <c r="SY141" s="422"/>
      <c r="SZ141" s="422"/>
      <c r="TA141" s="422"/>
      <c r="TB141" s="422"/>
      <c r="TC141" s="422"/>
      <c r="TD141" s="422"/>
      <c r="TE141" s="422"/>
      <c r="TF141" s="422"/>
      <c r="TG141" s="422"/>
      <c r="TH141" s="422"/>
      <c r="TI141" s="422"/>
      <c r="TJ141" s="422"/>
      <c r="TK141" s="422"/>
      <c r="TL141" s="422"/>
      <c r="TM141" s="422"/>
      <c r="TN141" s="422"/>
      <c r="TO141" s="422"/>
      <c r="TP141" s="422"/>
      <c r="TQ141" s="422"/>
      <c r="TR141" s="422"/>
      <c r="TS141" s="422"/>
      <c r="TT141" s="422"/>
      <c r="TU141" s="422"/>
      <c r="TV141" s="422"/>
      <c r="TW141" s="422"/>
      <c r="TX141" s="422"/>
      <c r="TY141" s="422"/>
      <c r="TZ141" s="422"/>
      <c r="UA141" s="422"/>
      <c r="UB141" s="422"/>
      <c r="UC141" s="422"/>
      <c r="UD141" s="422"/>
      <c r="UE141" s="422"/>
      <c r="UF141" s="422"/>
      <c r="UG141" s="422"/>
      <c r="UH141" s="422"/>
      <c r="UI141" s="422"/>
      <c r="UJ141" s="422"/>
      <c r="UK141" s="422"/>
      <c r="UL141" s="422"/>
      <c r="UM141" s="422"/>
      <c r="UN141" s="422"/>
      <c r="UO141" s="422"/>
      <c r="UP141" s="422"/>
      <c r="UQ141" s="422"/>
      <c r="UR141" s="422"/>
      <c r="US141" s="422"/>
      <c r="UT141" s="422"/>
      <c r="UU141" s="422"/>
      <c r="UV141" s="422"/>
      <c r="UW141" s="422"/>
      <c r="UX141" s="422"/>
      <c r="UY141" s="422"/>
      <c r="UZ141" s="422"/>
      <c r="VA141" s="422"/>
      <c r="VB141" s="422"/>
      <c r="VC141" s="422"/>
      <c r="VD141" s="422"/>
      <c r="VE141" s="422"/>
      <c r="VF141" s="422"/>
      <c r="VG141" s="422"/>
      <c r="VH141" s="422"/>
      <c r="VI141" s="422"/>
      <c r="VJ141" s="422"/>
      <c r="VK141" s="422"/>
      <c r="VL141" s="422"/>
      <c r="VM141" s="422"/>
      <c r="VN141" s="422"/>
      <c r="VO141" s="422"/>
      <c r="VP141" s="422"/>
      <c r="VQ141" s="422"/>
      <c r="VR141" s="422"/>
      <c r="VS141" s="422"/>
      <c r="VT141" s="422"/>
      <c r="VU141" s="422"/>
      <c r="VV141" s="422"/>
      <c r="VW141" s="422"/>
      <c r="VX141" s="422"/>
      <c r="VY141" s="422"/>
      <c r="VZ141" s="422"/>
      <c r="WA141" s="422"/>
      <c r="WB141" s="422"/>
      <c r="WC141" s="422"/>
      <c r="WD141" s="422"/>
      <c r="WE141" s="422"/>
      <c r="WF141" s="422"/>
      <c r="WG141" s="422"/>
      <c r="WH141" s="422"/>
      <c r="WI141" s="422"/>
      <c r="WJ141" s="422"/>
      <c r="WK141" s="422"/>
      <c r="WL141" s="422"/>
      <c r="WM141" s="422"/>
      <c r="WN141" s="422"/>
      <c r="WO141" s="422"/>
      <c r="WP141" s="422"/>
      <c r="WQ141" s="422"/>
      <c r="WR141" s="422"/>
      <c r="WS141" s="422"/>
      <c r="WT141" s="422"/>
      <c r="WU141" s="422"/>
      <c r="WV141" s="422"/>
      <c r="WW141" s="422"/>
      <c r="WX141" s="422"/>
      <c r="WY141" s="422"/>
      <c r="WZ141" s="422"/>
      <c r="XA141" s="422"/>
      <c r="XB141" s="422"/>
      <c r="XC141" s="422"/>
      <c r="XD141" s="422"/>
      <c r="XE141" s="422"/>
      <c r="XF141" s="422"/>
      <c r="XG141" s="422"/>
      <c r="XH141" s="422"/>
      <c r="XI141" s="422"/>
      <c r="XJ141" s="422"/>
      <c r="XK141" s="422"/>
      <c r="XL141" s="422"/>
      <c r="XM141" s="422"/>
      <c r="XN141" s="422"/>
      <c r="XO141" s="422"/>
      <c r="XP141" s="422"/>
      <c r="XQ141" s="422"/>
      <c r="XR141" s="422"/>
      <c r="XS141" s="422"/>
      <c r="XT141" s="422"/>
      <c r="XU141" s="422"/>
      <c r="XV141" s="422"/>
      <c r="XW141" s="422"/>
      <c r="XX141" s="422"/>
      <c r="XY141" s="422"/>
      <c r="XZ141" s="422"/>
      <c r="YA141" s="422"/>
      <c r="YB141" s="422"/>
      <c r="YC141" s="422"/>
      <c r="YD141" s="422"/>
      <c r="YE141" s="422"/>
      <c r="YF141" s="422"/>
      <c r="YG141" s="422"/>
      <c r="YH141" s="422"/>
      <c r="YI141" s="422"/>
      <c r="YJ141" s="422"/>
      <c r="YK141" s="422"/>
      <c r="YL141" s="422"/>
      <c r="YM141" s="422"/>
      <c r="YN141" s="422"/>
      <c r="YO141" s="422"/>
      <c r="YP141" s="422"/>
      <c r="YQ141" s="422"/>
      <c r="YR141" s="422"/>
      <c r="YS141" s="422"/>
      <c r="YT141" s="422"/>
      <c r="YU141" s="422"/>
      <c r="YV141" s="422"/>
      <c r="YW141" s="422"/>
      <c r="YX141" s="422"/>
      <c r="YY141" s="422"/>
      <c r="YZ141" s="422"/>
      <c r="ZA141" s="422"/>
      <c r="ZB141" s="422"/>
      <c r="ZC141" s="422"/>
      <c r="ZD141" s="422"/>
      <c r="ZE141" s="422"/>
      <c r="ZF141" s="422"/>
      <c r="ZG141" s="422"/>
      <c r="ZH141" s="422"/>
      <c r="ZI141" s="422"/>
      <c r="ZJ141" s="422"/>
      <c r="ZK141" s="422"/>
      <c r="ZL141" s="422"/>
      <c r="ZM141" s="422"/>
      <c r="ZN141" s="422"/>
      <c r="ZO141" s="422"/>
      <c r="ZP141" s="422"/>
      <c r="ZQ141" s="422"/>
      <c r="ZR141" s="422"/>
      <c r="ZS141" s="422"/>
      <c r="ZT141" s="422"/>
      <c r="ZU141" s="422"/>
      <c r="ZV141" s="422"/>
      <c r="ZW141" s="422"/>
      <c r="ZX141" s="422"/>
      <c r="ZY141" s="422"/>
      <c r="ZZ141" s="422"/>
      <c r="AAA141" s="422"/>
      <c r="AAB141" s="422"/>
      <c r="AAC141" s="422"/>
      <c r="AAD141" s="422"/>
      <c r="AAE141" s="422"/>
      <c r="AAF141" s="422"/>
      <c r="AAG141" s="422"/>
      <c r="AAH141" s="422"/>
      <c r="AAI141" s="422"/>
      <c r="AAJ141" s="422"/>
      <c r="AAK141" s="422"/>
      <c r="AAL141" s="422"/>
      <c r="AAM141" s="422"/>
      <c r="AAN141" s="422"/>
      <c r="AAO141" s="422"/>
      <c r="AAP141" s="422"/>
      <c r="AAQ141" s="422"/>
      <c r="AAR141" s="422"/>
      <c r="AAS141" s="422"/>
      <c r="AAT141" s="422"/>
      <c r="AAU141" s="422"/>
      <c r="AAV141" s="422"/>
      <c r="AAW141" s="422"/>
      <c r="AAX141" s="422"/>
      <c r="AAY141" s="422"/>
      <c r="AAZ141" s="422"/>
      <c r="ABA141" s="422"/>
      <c r="ABB141" s="422"/>
      <c r="ABC141" s="422"/>
      <c r="ABD141" s="422"/>
      <c r="ABE141" s="422"/>
      <c r="ABF141" s="422"/>
      <c r="ABG141" s="422"/>
      <c r="ABH141" s="422"/>
      <c r="ABI141" s="422"/>
      <c r="ABJ141" s="422"/>
      <c r="ABK141" s="422"/>
      <c r="ABL141" s="422"/>
      <c r="ABM141" s="422"/>
      <c r="ABN141" s="422"/>
      <c r="ABO141" s="422"/>
      <c r="ABP141" s="422"/>
      <c r="ABQ141" s="422"/>
      <c r="ABR141" s="422"/>
      <c r="ABS141" s="422"/>
      <c r="ABT141" s="422"/>
      <c r="ABU141" s="422"/>
      <c r="ABV141" s="422"/>
      <c r="ABW141" s="422"/>
      <c r="ABX141" s="422"/>
      <c r="ABY141" s="422"/>
      <c r="ABZ141" s="422"/>
      <c r="ACA141" s="422"/>
      <c r="ACB141" s="422"/>
      <c r="ACC141" s="422"/>
      <c r="ACD141" s="422"/>
      <c r="ACE141" s="422"/>
      <c r="ACF141" s="422"/>
      <c r="ACG141" s="422"/>
      <c r="ACH141" s="422"/>
      <c r="ACI141" s="422"/>
      <c r="ACJ141" s="422"/>
      <c r="ACK141" s="422"/>
      <c r="ACL141" s="422"/>
      <c r="ACM141" s="422"/>
      <c r="ACN141" s="422"/>
      <c r="ACO141" s="422"/>
      <c r="ACP141" s="422"/>
      <c r="ACQ141" s="422"/>
      <c r="ACR141" s="422"/>
      <c r="ACS141" s="422"/>
      <c r="ACT141" s="422"/>
      <c r="ACU141" s="422"/>
      <c r="ACV141" s="422"/>
      <c r="ACW141" s="422"/>
      <c r="ACX141" s="422"/>
      <c r="ACY141" s="422"/>
      <c r="ACZ141" s="422"/>
      <c r="ADA141" s="422"/>
      <c r="ADB141" s="422"/>
      <c r="ADC141" s="422"/>
      <c r="ADD141" s="422"/>
      <c r="ADE141" s="422"/>
      <c r="ADF141" s="422"/>
      <c r="ADG141" s="422"/>
      <c r="ADH141" s="422"/>
      <c r="ADI141" s="422"/>
      <c r="ADJ141" s="422"/>
      <c r="ADK141" s="422"/>
      <c r="ADL141" s="422"/>
      <c r="ADM141" s="422"/>
      <c r="ADN141" s="422"/>
      <c r="ADO141" s="422"/>
      <c r="ADP141" s="422"/>
      <c r="ADQ141" s="422"/>
      <c r="ADR141" s="422"/>
      <c r="ADS141" s="422"/>
      <c r="ADT141" s="422"/>
      <c r="ADU141" s="422"/>
      <c r="ADV141" s="422"/>
      <c r="ADW141" s="422"/>
      <c r="ADX141" s="422"/>
      <c r="ADY141" s="422"/>
      <c r="ADZ141" s="422"/>
      <c r="AEA141" s="422"/>
      <c r="AEB141" s="422"/>
      <c r="AEC141" s="422"/>
      <c r="AED141" s="422"/>
      <c r="AEE141" s="422"/>
      <c r="AEF141" s="422"/>
      <c r="AEG141" s="422"/>
      <c r="AEH141" s="422"/>
      <c r="AEI141" s="422"/>
      <c r="AEJ141" s="422"/>
      <c r="AEK141" s="422"/>
      <c r="AEL141" s="422"/>
      <c r="AEM141" s="422"/>
      <c r="AEN141" s="422"/>
      <c r="AEO141" s="422"/>
      <c r="AEP141" s="422"/>
      <c r="AEQ141" s="422"/>
      <c r="AER141" s="422"/>
      <c r="AES141" s="422"/>
      <c r="AET141" s="422"/>
      <c r="AEU141" s="422"/>
      <c r="AEV141" s="422"/>
      <c r="AEW141" s="422"/>
      <c r="AEX141" s="422"/>
      <c r="AEY141" s="422"/>
      <c r="AEZ141" s="422"/>
      <c r="AFA141" s="422"/>
      <c r="AFB141" s="422"/>
      <c r="AFC141" s="422"/>
      <c r="AFD141" s="422"/>
      <c r="AFE141" s="422"/>
      <c r="AFF141" s="422"/>
      <c r="AFG141" s="422"/>
      <c r="AFH141" s="422"/>
      <c r="AFI141" s="422"/>
      <c r="AFJ141" s="422"/>
      <c r="AFK141" s="422"/>
      <c r="AFL141" s="422"/>
      <c r="AFM141" s="422"/>
      <c r="AFN141" s="422"/>
      <c r="AFO141" s="422"/>
      <c r="AFP141" s="422"/>
      <c r="AFQ141" s="422"/>
      <c r="AFR141" s="422"/>
      <c r="AFS141" s="422"/>
      <c r="AFT141" s="422"/>
      <c r="AFU141" s="422"/>
      <c r="AFV141" s="422"/>
      <c r="AFW141" s="422"/>
      <c r="AFX141" s="422"/>
      <c r="AFY141" s="422"/>
      <c r="AFZ141" s="422"/>
      <c r="AGA141" s="422"/>
      <c r="AGB141" s="422"/>
      <c r="AGC141" s="422"/>
      <c r="AGD141" s="422"/>
      <c r="AGE141" s="422"/>
      <c r="AGF141" s="422"/>
      <c r="AGG141" s="422"/>
      <c r="AGH141" s="422"/>
      <c r="AGI141" s="422"/>
      <c r="AGJ141" s="422"/>
      <c r="AGK141" s="422"/>
      <c r="AGL141" s="422"/>
      <c r="AGM141" s="422"/>
      <c r="AGN141" s="422"/>
      <c r="AGO141" s="422"/>
      <c r="AGP141" s="422"/>
      <c r="AGQ141" s="422"/>
      <c r="AGR141" s="422"/>
      <c r="AGS141" s="422"/>
      <c r="AGT141" s="422"/>
      <c r="AGU141" s="422"/>
      <c r="AGV141" s="422"/>
      <c r="AGW141" s="422"/>
      <c r="AGX141" s="422"/>
      <c r="AGY141" s="422"/>
      <c r="AGZ141" s="422"/>
      <c r="AHA141" s="422"/>
      <c r="AHB141" s="422"/>
      <c r="AHC141" s="422"/>
      <c r="AHD141" s="422"/>
      <c r="AHE141" s="422"/>
      <c r="AHF141" s="422"/>
      <c r="AHG141" s="422"/>
      <c r="AHH141" s="422"/>
      <c r="AHI141" s="422"/>
      <c r="AHJ141" s="422"/>
      <c r="AHK141" s="422"/>
      <c r="AHL141" s="422"/>
      <c r="AHM141" s="422"/>
      <c r="AHN141" s="422"/>
      <c r="AHO141" s="422"/>
      <c r="AHP141" s="422"/>
      <c r="AHQ141" s="422"/>
      <c r="AHR141" s="422"/>
      <c r="AHS141" s="422"/>
      <c r="AHT141" s="422"/>
      <c r="AHU141" s="422"/>
      <c r="AHV141" s="422"/>
      <c r="AHW141" s="422"/>
      <c r="AHX141" s="422"/>
      <c r="AHY141" s="422"/>
      <c r="AHZ141" s="422"/>
      <c r="AIA141" s="422"/>
      <c r="AIB141" s="422"/>
      <c r="AIC141" s="422"/>
      <c r="AID141" s="422"/>
      <c r="AIE141" s="422"/>
      <c r="AIF141" s="422"/>
      <c r="AIG141" s="422"/>
      <c r="AIH141" s="422"/>
      <c r="AII141" s="422"/>
      <c r="AIJ141" s="422"/>
      <c r="AIK141" s="422"/>
      <c r="AIL141" s="422"/>
      <c r="AIM141" s="422"/>
      <c r="AIN141" s="422"/>
      <c r="AIO141" s="422"/>
      <c r="AIP141" s="422"/>
      <c r="AIQ141" s="422"/>
      <c r="AIR141" s="422"/>
      <c r="AIS141" s="422"/>
      <c r="AIT141" s="422"/>
      <c r="AIU141" s="422"/>
      <c r="AIV141" s="422"/>
      <c r="AIW141" s="422"/>
      <c r="AIX141" s="422"/>
      <c r="AIY141" s="422"/>
      <c r="AIZ141" s="422"/>
      <c r="AJA141" s="422"/>
      <c r="AJB141" s="422"/>
      <c r="AJC141" s="422"/>
      <c r="AJD141" s="422"/>
      <c r="AJE141" s="422"/>
      <c r="AJF141" s="422"/>
      <c r="AJG141" s="422"/>
      <c r="AJH141" s="422"/>
      <c r="AJI141" s="422"/>
      <c r="AJJ141" s="422"/>
      <c r="AJK141" s="422"/>
      <c r="AJL141" s="422"/>
      <c r="AJM141" s="422"/>
      <c r="AJN141" s="422"/>
      <c r="AJO141" s="422"/>
      <c r="AJP141" s="422"/>
      <c r="AJQ141" s="422"/>
      <c r="AJR141" s="422"/>
      <c r="AJS141" s="422"/>
      <c r="AJT141" s="422"/>
      <c r="AJU141" s="422"/>
      <c r="AJV141" s="422"/>
      <c r="AJW141" s="422"/>
      <c r="AJX141" s="422"/>
      <c r="AJY141" s="422"/>
      <c r="AJZ141" s="422"/>
      <c r="AKA141" s="422"/>
      <c r="AKB141" s="422"/>
      <c r="AKC141" s="422"/>
      <c r="AKD141" s="422"/>
      <c r="AKE141" s="422"/>
      <c r="AKF141" s="422"/>
      <c r="AKG141" s="422"/>
      <c r="AKH141" s="422"/>
      <c r="AKI141" s="422"/>
      <c r="AKJ141" s="422"/>
      <c r="AKK141" s="422"/>
      <c r="AKL141" s="422"/>
      <c r="AKM141" s="422"/>
      <c r="AKN141" s="422"/>
      <c r="AKO141" s="422"/>
      <c r="AKP141" s="422"/>
      <c r="AKQ141" s="422"/>
      <c r="AKR141" s="422"/>
      <c r="AKS141" s="422"/>
      <c r="AKT141" s="422"/>
      <c r="AKU141" s="422"/>
      <c r="AKV141" s="422"/>
      <c r="AKW141" s="422"/>
      <c r="AKX141" s="422"/>
      <c r="AKY141" s="422"/>
      <c r="AKZ141" s="422"/>
      <c r="ALA141" s="422"/>
      <c r="ALB141" s="422"/>
      <c r="ALC141" s="422"/>
      <c r="ALD141" s="422"/>
      <c r="ALE141" s="422"/>
      <c r="ALF141" s="422"/>
      <c r="ALG141" s="422"/>
      <c r="ALH141" s="422"/>
      <c r="ALI141" s="422"/>
      <c r="ALJ141" s="422"/>
      <c r="ALK141" s="422"/>
      <c r="ALL141" s="422"/>
      <c r="ALM141" s="422"/>
      <c r="ALN141" s="422"/>
      <c r="ALO141" s="422"/>
      <c r="ALP141" s="422"/>
      <c r="ALQ141" s="422"/>
      <c r="ALR141" s="422"/>
      <c r="ALS141" s="422"/>
      <c r="ALT141" s="422"/>
      <c r="ALU141" s="422"/>
      <c r="ALV141" s="422"/>
      <c r="ALW141" s="422"/>
      <c r="ALX141" s="422"/>
      <c r="ALY141" s="422"/>
      <c r="ALZ141" s="422"/>
      <c r="AMA141" s="422"/>
      <c r="AMB141" s="422"/>
      <c r="AMC141" s="422"/>
      <c r="AMD141" s="422"/>
      <c r="AME141" s="422"/>
      <c r="AMF141" s="422"/>
      <c r="AMG141" s="422"/>
      <c r="AMH141" s="422"/>
      <c r="AMI141" s="422"/>
      <c r="AMJ141" s="422"/>
      <c r="AMK141" s="422"/>
      <c r="AML141" s="422"/>
      <c r="AMM141" s="422"/>
      <c r="AMN141" s="422"/>
      <c r="AMO141" s="422"/>
      <c r="AMP141" s="422"/>
      <c r="AMQ141" s="422"/>
      <c r="AMR141" s="422"/>
      <c r="AMS141" s="422"/>
      <c r="AMT141" s="422"/>
      <c r="AMU141" s="422"/>
      <c r="AMV141" s="422"/>
      <c r="AMW141" s="422"/>
      <c r="AMX141" s="422"/>
      <c r="AMY141" s="422"/>
      <c r="AMZ141" s="422"/>
      <c r="ANA141" s="422"/>
      <c r="ANB141" s="422"/>
      <c r="ANC141" s="422"/>
      <c r="AND141" s="422"/>
      <c r="ANE141" s="422"/>
      <c r="ANF141" s="422"/>
      <c r="ANG141" s="422"/>
      <c r="ANH141" s="422"/>
      <c r="ANI141" s="422"/>
      <c r="ANJ141" s="422"/>
      <c r="ANK141" s="422"/>
      <c r="ANL141" s="422"/>
      <c r="ANM141" s="422"/>
      <c r="ANN141" s="422"/>
      <c r="ANO141" s="422"/>
      <c r="ANP141" s="422"/>
      <c r="ANQ141" s="422"/>
      <c r="ANR141" s="422"/>
      <c r="ANS141" s="422"/>
      <c r="ANT141" s="422"/>
      <c r="ANU141" s="422"/>
      <c r="ANV141" s="422"/>
      <c r="ANW141" s="422"/>
      <c r="ANX141" s="422"/>
      <c r="ANY141" s="422"/>
      <c r="ANZ141" s="422"/>
      <c r="AOA141" s="422"/>
      <c r="AOB141" s="422"/>
      <c r="AOC141" s="422"/>
      <c r="AOD141" s="422"/>
      <c r="AOE141" s="422"/>
      <c r="AOF141" s="422"/>
      <c r="AOG141" s="422"/>
      <c r="AOH141" s="422"/>
      <c r="AOI141" s="422"/>
      <c r="AOJ141" s="422"/>
      <c r="AOK141" s="422"/>
      <c r="AOL141" s="422"/>
      <c r="AOM141" s="422"/>
      <c r="AON141" s="422"/>
      <c r="AOO141" s="422"/>
      <c r="AOP141" s="422"/>
      <c r="AOQ141" s="422"/>
      <c r="AOR141" s="422"/>
      <c r="AOS141" s="422"/>
      <c r="AOT141" s="422"/>
      <c r="AOU141" s="422"/>
      <c r="AOV141" s="422"/>
      <c r="AOW141" s="422"/>
      <c r="AOX141" s="422"/>
      <c r="AOY141" s="422"/>
      <c r="AOZ141" s="422"/>
      <c r="APA141" s="422"/>
      <c r="APB141" s="422"/>
      <c r="APC141" s="422"/>
      <c r="APD141" s="422"/>
      <c r="APE141" s="422"/>
      <c r="APF141" s="422"/>
      <c r="APG141" s="422"/>
      <c r="APH141" s="422"/>
      <c r="API141" s="422"/>
      <c r="APJ141" s="422"/>
      <c r="APK141" s="422"/>
      <c r="APL141" s="422"/>
      <c r="APM141" s="422"/>
      <c r="APN141" s="422"/>
      <c r="APO141" s="422"/>
      <c r="APP141" s="422"/>
      <c r="APQ141" s="422"/>
      <c r="APR141" s="422"/>
      <c r="APS141" s="422"/>
      <c r="APT141" s="422"/>
      <c r="APU141" s="422"/>
      <c r="APV141" s="422"/>
      <c r="APW141" s="422"/>
      <c r="APX141" s="422"/>
      <c r="APY141" s="422"/>
      <c r="APZ141" s="422"/>
      <c r="AQA141" s="422"/>
      <c r="AQB141" s="422"/>
      <c r="AQC141" s="422"/>
      <c r="AQD141" s="422"/>
      <c r="AQE141" s="422"/>
      <c r="AQF141" s="422"/>
      <c r="AQG141" s="422"/>
      <c r="AQH141" s="422"/>
      <c r="AQI141" s="422"/>
      <c r="AQJ141" s="422"/>
      <c r="AQK141" s="422"/>
      <c r="AQL141" s="422"/>
      <c r="AQM141" s="422"/>
      <c r="AQN141" s="422"/>
      <c r="AQO141" s="422"/>
      <c r="AQP141" s="422"/>
      <c r="AQQ141" s="422"/>
      <c r="AQR141" s="422"/>
      <c r="AQS141" s="422"/>
      <c r="AQT141" s="422"/>
      <c r="AQU141" s="422"/>
      <c r="AQV141" s="422"/>
      <c r="AQW141" s="422"/>
      <c r="AQX141" s="422"/>
      <c r="AQY141" s="422"/>
      <c r="AQZ141" s="422"/>
      <c r="ARA141" s="422"/>
      <c r="ARB141" s="422"/>
      <c r="ARC141" s="422"/>
      <c r="ARD141" s="422"/>
      <c r="ARE141" s="422"/>
      <c r="ARF141" s="422"/>
      <c r="ARG141" s="422"/>
      <c r="ARH141" s="422"/>
      <c r="ARI141" s="422"/>
      <c r="ARJ141" s="422"/>
      <c r="ARK141" s="422"/>
      <c r="ARL141" s="422"/>
      <c r="ARM141" s="422"/>
      <c r="ARN141" s="422"/>
      <c r="ARO141" s="422"/>
      <c r="ARP141" s="422"/>
      <c r="ARQ141" s="422"/>
      <c r="ARR141" s="422"/>
      <c r="ARS141" s="422"/>
      <c r="ART141" s="422"/>
      <c r="ARU141" s="422"/>
      <c r="ARV141" s="422"/>
      <c r="ARW141" s="422"/>
      <c r="ARX141" s="422"/>
      <c r="ARY141" s="422"/>
      <c r="ARZ141" s="422"/>
      <c r="ASA141" s="422"/>
      <c r="ASB141" s="422"/>
      <c r="ASC141" s="422"/>
      <c r="ASD141" s="422"/>
      <c r="ASE141" s="422"/>
      <c r="ASF141" s="422"/>
      <c r="ASG141" s="422"/>
      <c r="ASH141" s="422"/>
      <c r="ASI141" s="422"/>
      <c r="ASJ141" s="422"/>
      <c r="ASK141" s="422"/>
      <c r="ASL141" s="422"/>
      <c r="ASM141" s="422"/>
      <c r="ASN141" s="422"/>
      <c r="ASO141" s="422"/>
      <c r="ASP141" s="422"/>
      <c r="ASQ141" s="422"/>
      <c r="ASR141" s="422"/>
      <c r="ASS141" s="422"/>
      <c r="AST141" s="422"/>
      <c r="ASU141" s="422"/>
      <c r="ASV141" s="422"/>
      <c r="ASW141" s="422"/>
      <c r="ASX141" s="422"/>
      <c r="ASY141" s="422"/>
      <c r="ASZ141" s="422"/>
      <c r="ATA141" s="422"/>
      <c r="ATB141" s="422"/>
      <c r="ATC141" s="422"/>
      <c r="ATD141" s="422"/>
      <c r="ATE141" s="422"/>
      <c r="ATF141" s="422"/>
      <c r="ATG141" s="422"/>
      <c r="ATH141" s="422"/>
      <c r="ATI141" s="422"/>
      <c r="ATJ141" s="422"/>
      <c r="ATK141" s="422"/>
      <c r="ATL141" s="422"/>
      <c r="ATM141" s="422"/>
      <c r="ATN141" s="422"/>
      <c r="ATO141" s="422"/>
      <c r="ATP141" s="422"/>
      <c r="ATQ141" s="422"/>
      <c r="ATR141" s="422"/>
      <c r="ATS141" s="422"/>
      <c r="ATT141" s="422"/>
      <c r="ATU141" s="422"/>
      <c r="ATV141" s="422"/>
      <c r="ATW141" s="422"/>
      <c r="ATX141" s="422"/>
      <c r="ATY141" s="422"/>
      <c r="ATZ141" s="422"/>
      <c r="AUA141" s="422"/>
      <c r="AUB141" s="422"/>
      <c r="AUC141" s="422"/>
      <c r="AUD141" s="422"/>
      <c r="AUE141" s="422"/>
      <c r="AUF141" s="422"/>
      <c r="AUG141" s="422"/>
      <c r="AUH141" s="422"/>
      <c r="AUI141" s="422"/>
      <c r="AUJ141" s="422"/>
      <c r="AUK141" s="422"/>
      <c r="AUL141" s="422"/>
      <c r="AUM141" s="422"/>
      <c r="AUN141" s="422"/>
      <c r="AUO141" s="422"/>
      <c r="AUP141" s="422"/>
      <c r="AUQ141" s="422"/>
      <c r="AUR141" s="422"/>
      <c r="AUS141" s="422"/>
      <c r="AUT141" s="422"/>
      <c r="AUU141" s="422"/>
      <c r="AUV141" s="422"/>
      <c r="AUW141" s="422"/>
      <c r="AUX141" s="422"/>
      <c r="AUY141" s="422"/>
      <c r="AUZ141" s="422"/>
      <c r="AVA141" s="422"/>
      <c r="AVB141" s="422"/>
      <c r="AVC141" s="422"/>
      <c r="AVD141" s="422"/>
      <c r="AVE141" s="422"/>
      <c r="AVF141" s="422"/>
      <c r="AVG141" s="422"/>
      <c r="AVH141" s="422"/>
      <c r="AVI141" s="422"/>
      <c r="AVJ141" s="422"/>
      <c r="AVK141" s="422"/>
      <c r="AVL141" s="422"/>
      <c r="AVM141" s="422"/>
      <c r="AVN141" s="422"/>
      <c r="AVO141" s="422"/>
      <c r="AVP141" s="422"/>
      <c r="AVQ141" s="422"/>
      <c r="AVR141" s="422"/>
      <c r="AVS141" s="422"/>
      <c r="AVT141" s="422"/>
      <c r="AVU141" s="422"/>
      <c r="AVV141" s="422"/>
      <c r="AVW141" s="422"/>
      <c r="AVX141" s="422"/>
      <c r="AVY141" s="422"/>
      <c r="AVZ141" s="422"/>
      <c r="AWA141" s="422"/>
      <c r="AWB141" s="422"/>
      <c r="AWC141" s="422"/>
      <c r="AWD141" s="422"/>
      <c r="AWE141" s="422"/>
      <c r="AWF141" s="422"/>
      <c r="AWG141" s="422"/>
      <c r="AWH141" s="422"/>
      <c r="AWI141" s="422"/>
      <c r="AWJ141" s="422"/>
      <c r="AWK141" s="422"/>
      <c r="AWL141" s="422"/>
      <c r="AWM141" s="422"/>
      <c r="AWN141" s="422"/>
      <c r="AWO141" s="422"/>
      <c r="AWP141" s="422"/>
      <c r="AWQ141" s="422"/>
      <c r="AWR141" s="422"/>
      <c r="AWS141" s="422"/>
      <c r="AWT141" s="422"/>
      <c r="AWU141" s="422"/>
      <c r="AWV141" s="422"/>
      <c r="AWW141" s="422"/>
      <c r="AWX141" s="422"/>
      <c r="AWY141" s="422"/>
      <c r="AWZ141" s="422"/>
      <c r="AXA141" s="422"/>
      <c r="AXB141" s="422"/>
      <c r="AXC141" s="422"/>
      <c r="AXD141" s="422"/>
      <c r="AXE141" s="422"/>
      <c r="AXF141" s="422"/>
      <c r="AXG141" s="422"/>
      <c r="AXH141" s="422"/>
      <c r="AXI141" s="422"/>
      <c r="AXJ141" s="422"/>
      <c r="AXK141" s="422"/>
      <c r="AXL141" s="422"/>
      <c r="AXM141" s="422"/>
      <c r="AXN141" s="422"/>
      <c r="AXO141" s="422"/>
      <c r="AXP141" s="422"/>
      <c r="AXQ141" s="422"/>
      <c r="AXR141" s="422"/>
      <c r="AXS141" s="422"/>
      <c r="AXT141" s="422"/>
      <c r="AXU141" s="422"/>
      <c r="AXV141" s="422"/>
      <c r="AXW141" s="422"/>
      <c r="AXX141" s="422"/>
      <c r="AXY141" s="422"/>
      <c r="AXZ141" s="422"/>
      <c r="AYA141" s="422"/>
      <c r="AYB141" s="422"/>
      <c r="AYC141" s="422"/>
      <c r="AYD141" s="422"/>
      <c r="AYE141" s="422"/>
      <c r="AYF141" s="422"/>
      <c r="AYG141" s="422"/>
      <c r="AYH141" s="422"/>
      <c r="AYI141" s="422"/>
      <c r="AYJ141" s="422"/>
      <c r="AYK141" s="422"/>
      <c r="AYL141" s="422"/>
      <c r="AYM141" s="422"/>
      <c r="AYN141" s="422"/>
      <c r="AYO141" s="422"/>
      <c r="AYP141" s="422"/>
      <c r="AYQ141" s="422"/>
      <c r="AYR141" s="422"/>
      <c r="AYS141" s="422"/>
      <c r="AYT141" s="422"/>
      <c r="AYU141" s="422"/>
      <c r="AYV141" s="422"/>
      <c r="AYW141" s="422"/>
      <c r="AYX141" s="422"/>
      <c r="AYY141" s="422"/>
      <c r="AYZ141" s="422"/>
      <c r="AZA141" s="422"/>
      <c r="AZB141" s="422"/>
      <c r="AZC141" s="422"/>
      <c r="AZD141" s="422"/>
      <c r="AZE141" s="422"/>
      <c r="AZF141" s="422"/>
      <c r="AZG141" s="422"/>
      <c r="AZH141" s="422"/>
      <c r="AZI141" s="422"/>
      <c r="AZJ141" s="422"/>
      <c r="AZK141" s="422"/>
      <c r="AZL141" s="422"/>
      <c r="AZM141" s="422"/>
      <c r="AZN141" s="422"/>
      <c r="AZO141" s="422"/>
      <c r="AZP141" s="422"/>
      <c r="AZQ141" s="422"/>
      <c r="AZR141" s="422"/>
      <c r="AZS141" s="422"/>
      <c r="AZT141" s="422"/>
      <c r="AZU141" s="422"/>
      <c r="AZV141" s="422"/>
      <c r="AZW141" s="422"/>
      <c r="AZX141" s="422"/>
      <c r="AZY141" s="422"/>
      <c r="AZZ141" s="422"/>
      <c r="BAA141" s="422"/>
      <c r="BAB141" s="422"/>
      <c r="BAC141" s="422"/>
      <c r="BAD141" s="422"/>
      <c r="BAE141" s="422"/>
      <c r="BAF141" s="422"/>
      <c r="BAG141" s="422"/>
      <c r="BAH141" s="422"/>
      <c r="BAI141" s="422"/>
      <c r="BAJ141" s="422"/>
      <c r="BAK141" s="422"/>
      <c r="BAL141" s="422"/>
      <c r="BAM141" s="422"/>
      <c r="BAN141" s="422"/>
      <c r="BAO141" s="422"/>
      <c r="BAP141" s="422"/>
      <c r="BAQ141" s="422"/>
      <c r="BAR141" s="422"/>
      <c r="BAS141" s="422"/>
      <c r="BAT141" s="422"/>
      <c r="BAU141" s="422"/>
      <c r="BAV141" s="422"/>
      <c r="BAW141" s="422"/>
      <c r="BAX141" s="422"/>
      <c r="BAY141" s="422"/>
      <c r="BAZ141" s="422"/>
      <c r="BBA141" s="422"/>
      <c r="BBB141" s="422"/>
      <c r="BBC141" s="422"/>
      <c r="BBD141" s="422"/>
      <c r="BBE141" s="422"/>
      <c r="BBF141" s="422"/>
      <c r="BBG141" s="422"/>
      <c r="BBH141" s="422"/>
      <c r="BBI141" s="422"/>
      <c r="BBJ141" s="422"/>
      <c r="BBK141" s="422"/>
      <c r="BBL141" s="422"/>
      <c r="BBM141" s="422"/>
      <c r="BBN141" s="422"/>
      <c r="BBO141" s="422"/>
      <c r="BBP141" s="422"/>
      <c r="BBQ141" s="422"/>
      <c r="BBR141" s="422"/>
      <c r="BBS141" s="422"/>
      <c r="BBT141" s="422"/>
      <c r="BBU141" s="422"/>
      <c r="BBV141" s="422"/>
      <c r="BBW141" s="422"/>
      <c r="BBX141" s="422"/>
      <c r="BBY141" s="422"/>
      <c r="BBZ141" s="422"/>
      <c r="BCA141" s="422"/>
      <c r="BCB141" s="422"/>
      <c r="BCC141" s="422"/>
      <c r="BCD141" s="422"/>
      <c r="BCE141" s="422"/>
      <c r="BCF141" s="422"/>
      <c r="BCG141" s="422"/>
      <c r="BCH141" s="422"/>
      <c r="BCI141" s="422"/>
      <c r="BCJ141" s="422"/>
      <c r="BCK141" s="422"/>
      <c r="BCL141" s="422"/>
      <c r="BCM141" s="422"/>
      <c r="BCN141" s="422"/>
      <c r="BCO141" s="422"/>
      <c r="BCP141" s="422"/>
      <c r="BCQ141" s="422"/>
      <c r="BCR141" s="422"/>
      <c r="BCS141" s="422"/>
      <c r="BCT141" s="422"/>
      <c r="BCU141" s="422"/>
      <c r="BCV141" s="422"/>
      <c r="BCW141" s="422"/>
      <c r="BCX141" s="422"/>
      <c r="BCY141" s="422"/>
      <c r="BCZ141" s="422"/>
      <c r="BDA141" s="422"/>
      <c r="BDB141" s="422"/>
      <c r="BDC141" s="422"/>
      <c r="BDD141" s="422"/>
      <c r="BDE141" s="422"/>
      <c r="BDF141" s="422"/>
      <c r="BDG141" s="422"/>
      <c r="BDH141" s="422"/>
      <c r="BDI141" s="422"/>
      <c r="BDJ141" s="422"/>
      <c r="BDK141" s="422"/>
      <c r="BDL141" s="422"/>
      <c r="BDM141" s="422"/>
      <c r="BDN141" s="422"/>
      <c r="BDO141" s="422"/>
      <c r="BDP141" s="422"/>
      <c r="BDQ141" s="422"/>
      <c r="BDR141" s="422"/>
      <c r="BDS141" s="422"/>
      <c r="BDT141" s="422"/>
      <c r="BDU141" s="422"/>
      <c r="BDV141" s="422"/>
      <c r="BDW141" s="422"/>
      <c r="BDX141" s="422"/>
      <c r="BDY141" s="422"/>
      <c r="BDZ141" s="422"/>
      <c r="BEA141" s="422"/>
      <c r="BEB141" s="422"/>
      <c r="BEC141" s="422"/>
      <c r="BED141" s="422"/>
      <c r="BEE141" s="422"/>
      <c r="BEF141" s="422"/>
      <c r="BEG141" s="422"/>
      <c r="BEH141" s="422"/>
      <c r="BEI141" s="422"/>
      <c r="BEJ141" s="422"/>
      <c r="BEK141" s="422"/>
      <c r="BEL141" s="422"/>
      <c r="BEM141" s="422"/>
      <c r="BEN141" s="422"/>
      <c r="BEO141" s="422"/>
      <c r="BEP141" s="422"/>
      <c r="BEQ141" s="422"/>
      <c r="BER141" s="422"/>
      <c r="BES141" s="422"/>
      <c r="BET141" s="422"/>
      <c r="BEU141" s="422"/>
      <c r="BEV141" s="422"/>
      <c r="BEW141" s="422"/>
      <c r="BEX141" s="422"/>
      <c r="BEY141" s="422"/>
      <c r="BEZ141" s="422"/>
      <c r="BFA141" s="422"/>
      <c r="BFB141" s="422"/>
      <c r="BFC141" s="422"/>
      <c r="BFD141" s="422"/>
      <c r="BFE141" s="422"/>
      <c r="BFF141" s="422"/>
      <c r="BFG141" s="422"/>
      <c r="BFH141" s="422"/>
      <c r="BFI141" s="422"/>
      <c r="BFJ141" s="422"/>
      <c r="BFK141" s="422"/>
      <c r="BFL141" s="422"/>
      <c r="BFM141" s="422"/>
      <c r="BFN141" s="422"/>
      <c r="BFO141" s="422"/>
      <c r="BFP141" s="422"/>
      <c r="BFQ141" s="422"/>
      <c r="BFR141" s="422"/>
      <c r="BFS141" s="422"/>
      <c r="BFT141" s="422"/>
      <c r="BFU141" s="422"/>
      <c r="BFV141" s="422"/>
      <c r="BFW141" s="422"/>
      <c r="BFX141" s="422"/>
      <c r="BFY141" s="422"/>
      <c r="BFZ141" s="422"/>
      <c r="BGA141" s="422"/>
      <c r="BGB141" s="422"/>
      <c r="BGC141" s="422"/>
      <c r="BGD141" s="422"/>
      <c r="BGE141" s="422"/>
      <c r="BGF141" s="422"/>
      <c r="BGG141" s="422"/>
      <c r="BGH141" s="422"/>
      <c r="BGI141" s="422"/>
      <c r="BGJ141" s="422"/>
      <c r="BGK141" s="422"/>
      <c r="BGL141" s="422"/>
      <c r="BGM141" s="422"/>
      <c r="BGN141" s="422"/>
      <c r="BGO141" s="422"/>
      <c r="BGP141" s="422"/>
      <c r="BGQ141" s="422"/>
      <c r="BGR141" s="422"/>
      <c r="BGS141" s="422"/>
      <c r="BGT141" s="422"/>
      <c r="BGU141" s="422"/>
      <c r="BGV141" s="422"/>
      <c r="BGW141" s="422"/>
      <c r="BGX141" s="422"/>
      <c r="BGY141" s="422"/>
      <c r="BGZ141" s="422"/>
      <c r="BHA141" s="422"/>
      <c r="BHB141" s="422"/>
      <c r="BHC141" s="422"/>
      <c r="BHD141" s="422"/>
      <c r="BHE141" s="422"/>
      <c r="BHF141" s="422"/>
      <c r="BHG141" s="422"/>
      <c r="BHH141" s="422"/>
      <c r="BHI141" s="422"/>
      <c r="BHJ141" s="422"/>
      <c r="BHK141" s="422"/>
      <c r="BHL141" s="422"/>
      <c r="BHM141" s="422"/>
      <c r="BHN141" s="422"/>
      <c r="BHO141" s="422"/>
      <c r="BHP141" s="422"/>
      <c r="BHQ141" s="422"/>
      <c r="BHR141" s="422"/>
      <c r="BHS141" s="422"/>
      <c r="BHT141" s="422"/>
      <c r="BHU141" s="422"/>
      <c r="BHV141" s="422"/>
      <c r="BHW141" s="422"/>
      <c r="BHX141" s="422"/>
      <c r="BHY141" s="422"/>
      <c r="BHZ141" s="422"/>
      <c r="BIA141" s="422"/>
      <c r="BIB141" s="422"/>
      <c r="BIC141" s="422"/>
      <c r="BID141" s="422"/>
      <c r="BIE141" s="422"/>
      <c r="BIF141" s="422"/>
      <c r="BIG141" s="422"/>
      <c r="BIH141" s="422"/>
      <c r="BII141" s="422"/>
      <c r="BIJ141" s="422"/>
      <c r="BIK141" s="422"/>
      <c r="BIL141" s="422"/>
      <c r="BIM141" s="422"/>
      <c r="BIN141" s="422"/>
      <c r="BIO141" s="422"/>
      <c r="BIP141" s="422"/>
      <c r="BIQ141" s="422"/>
      <c r="BIR141" s="422"/>
      <c r="BIS141" s="422"/>
      <c r="BIT141" s="422"/>
      <c r="BIU141" s="422"/>
      <c r="BIV141" s="422"/>
      <c r="BIW141" s="422"/>
      <c r="BIX141" s="422"/>
      <c r="BIY141" s="422"/>
      <c r="BIZ141" s="422"/>
      <c r="BJA141" s="422"/>
      <c r="BJB141" s="422"/>
      <c r="BJC141" s="422"/>
      <c r="BJD141" s="422"/>
      <c r="BJE141" s="422"/>
      <c r="BJF141" s="422"/>
      <c r="BJG141" s="422"/>
      <c r="BJH141" s="422"/>
      <c r="BJI141" s="422"/>
      <c r="BJJ141" s="422"/>
      <c r="BJK141" s="422"/>
      <c r="BJL141" s="422"/>
      <c r="BJM141" s="422"/>
      <c r="BJN141" s="422"/>
      <c r="BJO141" s="422"/>
      <c r="BJP141" s="422"/>
      <c r="BJQ141" s="422"/>
      <c r="BJR141" s="422"/>
      <c r="BJS141" s="422"/>
      <c r="BJT141" s="422"/>
      <c r="BJU141" s="422"/>
      <c r="BJV141" s="422"/>
      <c r="BJW141" s="422"/>
      <c r="BJX141" s="422"/>
      <c r="BJY141" s="422"/>
      <c r="BJZ141" s="422"/>
      <c r="BKA141" s="422"/>
      <c r="BKB141" s="422"/>
      <c r="BKC141" s="422"/>
      <c r="BKD141" s="422"/>
      <c r="BKE141" s="422"/>
      <c r="BKF141" s="422"/>
      <c r="BKG141" s="422"/>
      <c r="BKH141" s="422"/>
      <c r="BKI141" s="422"/>
      <c r="BKJ141" s="422"/>
      <c r="BKK141" s="422"/>
      <c r="BKL141" s="422"/>
      <c r="BKM141" s="422"/>
      <c r="BKN141" s="422"/>
      <c r="BKO141" s="422"/>
      <c r="BKP141" s="422"/>
      <c r="BKQ141" s="422"/>
      <c r="BKR141" s="422"/>
      <c r="BKS141" s="422"/>
      <c r="BKT141" s="422"/>
      <c r="BKU141" s="422"/>
      <c r="BKV141" s="422"/>
      <c r="BKW141" s="422"/>
      <c r="BKX141" s="422"/>
      <c r="BKY141" s="422"/>
      <c r="BKZ141" s="422"/>
      <c r="BLA141" s="422"/>
      <c r="BLB141" s="422"/>
      <c r="BLC141" s="422"/>
      <c r="BLD141" s="422"/>
      <c r="BLE141" s="422"/>
      <c r="BLF141" s="422"/>
      <c r="BLG141" s="422"/>
      <c r="BLH141" s="422"/>
      <c r="BLI141" s="422"/>
      <c r="BLJ141" s="422"/>
      <c r="BLK141" s="422"/>
      <c r="BLL141" s="422"/>
      <c r="BLM141" s="422"/>
      <c r="BLN141" s="422"/>
      <c r="BLO141" s="422"/>
      <c r="BLP141" s="422"/>
      <c r="BLQ141" s="422"/>
      <c r="BLR141" s="422"/>
      <c r="BLS141" s="422"/>
      <c r="BLT141" s="422"/>
      <c r="BLU141" s="422"/>
      <c r="BLV141" s="422"/>
      <c r="BLW141" s="422"/>
      <c r="BLX141" s="422"/>
      <c r="BLY141" s="422"/>
      <c r="BLZ141" s="422"/>
      <c r="BMA141" s="422"/>
      <c r="BMB141" s="422"/>
      <c r="BMC141" s="422"/>
      <c r="BMD141" s="422"/>
      <c r="BME141" s="422"/>
      <c r="BMF141" s="422"/>
      <c r="BMG141" s="422"/>
      <c r="BMH141" s="422"/>
      <c r="BMI141" s="422"/>
      <c r="BMJ141" s="422"/>
      <c r="BMK141" s="422"/>
      <c r="BML141" s="422"/>
      <c r="BMM141" s="422"/>
      <c r="BMN141" s="422"/>
      <c r="BMO141" s="422"/>
      <c r="BMP141" s="422"/>
      <c r="BMQ141" s="422"/>
      <c r="BMR141" s="422"/>
      <c r="BMS141" s="422"/>
      <c r="BMT141" s="422"/>
      <c r="BMU141" s="422"/>
      <c r="BMV141" s="422"/>
      <c r="BMW141" s="422"/>
      <c r="BMX141" s="422"/>
      <c r="BMY141" s="422"/>
      <c r="BMZ141" s="422"/>
      <c r="BNA141" s="422"/>
      <c r="BNB141" s="422"/>
      <c r="BNC141" s="422"/>
      <c r="BND141" s="422"/>
      <c r="BNE141" s="422"/>
      <c r="BNF141" s="422"/>
      <c r="BNG141" s="422"/>
      <c r="BNH141" s="422"/>
      <c r="BNI141" s="422"/>
      <c r="BNJ141" s="422"/>
      <c r="BNK141" s="422"/>
      <c r="BNL141" s="422"/>
      <c r="BNM141" s="422"/>
      <c r="BNN141" s="422"/>
      <c r="BNO141" s="422"/>
      <c r="BNP141" s="422"/>
      <c r="BNQ141" s="422"/>
      <c r="BNR141" s="422"/>
      <c r="BNS141" s="422"/>
      <c r="BNT141" s="422"/>
      <c r="BNU141" s="422"/>
      <c r="BNV141" s="422"/>
      <c r="BNW141" s="422"/>
      <c r="BNX141" s="422"/>
      <c r="BNY141" s="422"/>
      <c r="BNZ141" s="422"/>
      <c r="BOA141" s="422"/>
      <c r="BOB141" s="422"/>
      <c r="BOC141" s="422"/>
      <c r="BOD141" s="422"/>
      <c r="BOE141" s="422"/>
      <c r="BOF141" s="422"/>
      <c r="BOG141" s="422"/>
      <c r="BOH141" s="422"/>
      <c r="BOI141" s="422"/>
      <c r="BOJ141" s="422"/>
      <c r="BOK141" s="422"/>
      <c r="BOL141" s="422"/>
      <c r="BOM141" s="422"/>
      <c r="BON141" s="422"/>
      <c r="BOO141" s="422"/>
      <c r="BOP141" s="422"/>
      <c r="BOQ141" s="422"/>
      <c r="BOR141" s="422"/>
      <c r="BOS141" s="422"/>
      <c r="BOT141" s="422"/>
      <c r="BOU141" s="422"/>
      <c r="BOV141" s="422"/>
      <c r="BOW141" s="422"/>
      <c r="BOX141" s="422"/>
      <c r="BOY141" s="422"/>
      <c r="BOZ141" s="422"/>
      <c r="BPA141" s="422"/>
      <c r="BPB141" s="422"/>
      <c r="BPC141" s="422"/>
      <c r="BPD141" s="422"/>
      <c r="BPE141" s="422"/>
      <c r="BPF141" s="422"/>
      <c r="BPG141" s="422"/>
      <c r="BPH141" s="422"/>
      <c r="BPI141" s="422"/>
      <c r="BPJ141" s="422"/>
      <c r="BPK141" s="422"/>
      <c r="BPL141" s="422"/>
      <c r="BPM141" s="422"/>
      <c r="BPN141" s="422"/>
      <c r="BPO141" s="422"/>
      <c r="BPP141" s="422"/>
      <c r="BPQ141" s="422"/>
      <c r="BPR141" s="422"/>
      <c r="BPS141" s="422"/>
      <c r="BPT141" s="422"/>
      <c r="BPU141" s="422"/>
      <c r="BPV141" s="422"/>
      <c r="BPW141" s="422"/>
      <c r="BPX141" s="422"/>
      <c r="BPY141" s="422"/>
      <c r="BPZ141" s="422"/>
      <c r="BQA141" s="422"/>
      <c r="BQB141" s="422"/>
      <c r="BQC141" s="422"/>
      <c r="BQD141" s="422"/>
      <c r="BQE141" s="422"/>
      <c r="BQF141" s="422"/>
      <c r="BQG141" s="422"/>
      <c r="BQH141" s="422"/>
      <c r="BQI141" s="422"/>
      <c r="BQJ141" s="422"/>
      <c r="BQK141" s="422"/>
      <c r="BQL141" s="422"/>
      <c r="BQM141" s="422"/>
      <c r="BQN141" s="422"/>
      <c r="BQO141" s="422"/>
      <c r="BQP141" s="422"/>
      <c r="BQQ141" s="422"/>
      <c r="BQR141" s="422"/>
      <c r="BQS141" s="422"/>
      <c r="BQT141" s="422"/>
      <c r="BQU141" s="422"/>
      <c r="BQV141" s="422"/>
      <c r="BQW141" s="422"/>
      <c r="BQX141" s="422"/>
      <c r="BQY141" s="422"/>
      <c r="BQZ141" s="422"/>
      <c r="BRA141" s="422"/>
      <c r="BRB141" s="422"/>
      <c r="BRC141" s="422"/>
      <c r="BRD141" s="422"/>
      <c r="BRE141" s="422"/>
      <c r="BRF141" s="422"/>
      <c r="BRG141" s="422"/>
      <c r="BRH141" s="422"/>
      <c r="BRI141" s="422"/>
      <c r="BRJ141" s="422"/>
      <c r="BRK141" s="422"/>
      <c r="BRL141" s="422"/>
      <c r="BRM141" s="422"/>
      <c r="BRN141" s="422"/>
      <c r="BRO141" s="422"/>
      <c r="BRP141" s="422"/>
      <c r="BRQ141" s="422"/>
      <c r="BRR141" s="422"/>
      <c r="BRS141" s="422"/>
      <c r="BRT141" s="422"/>
      <c r="BRU141" s="422"/>
      <c r="BRV141" s="422"/>
      <c r="BRW141" s="422"/>
      <c r="BRX141" s="422"/>
      <c r="BRY141" s="422"/>
      <c r="BRZ141" s="422"/>
      <c r="BSA141" s="422"/>
      <c r="BSB141" s="422"/>
      <c r="BSC141" s="422"/>
      <c r="BSD141" s="422"/>
      <c r="BSE141" s="422"/>
      <c r="BSF141" s="422"/>
      <c r="BSG141" s="422"/>
      <c r="BSH141" s="422"/>
      <c r="BSI141" s="422"/>
      <c r="BSJ141" s="422"/>
      <c r="BSK141" s="422"/>
      <c r="BSL141" s="422"/>
      <c r="BSM141" s="422"/>
      <c r="BSN141" s="422"/>
      <c r="BSO141" s="422"/>
      <c r="BSP141" s="422"/>
      <c r="BSQ141" s="422"/>
      <c r="BSR141" s="422"/>
      <c r="BSS141" s="422"/>
      <c r="BST141" s="422"/>
      <c r="BSU141" s="422"/>
      <c r="BSV141" s="422"/>
      <c r="BSW141" s="422"/>
      <c r="BSX141" s="422"/>
      <c r="BSY141" s="422"/>
      <c r="BSZ141" s="422"/>
      <c r="BTA141" s="422"/>
      <c r="BTB141" s="422"/>
      <c r="BTC141" s="422"/>
      <c r="BTD141" s="422"/>
      <c r="BTE141" s="422"/>
      <c r="BTF141" s="422"/>
      <c r="BTG141" s="422"/>
      <c r="BTH141" s="422"/>
      <c r="BTI141" s="422"/>
      <c r="BTJ141" s="422"/>
      <c r="BTK141" s="422"/>
      <c r="BTL141" s="422"/>
      <c r="BTM141" s="422"/>
      <c r="BTN141" s="422"/>
      <c r="BTO141" s="422"/>
      <c r="BTP141" s="422"/>
      <c r="BTQ141" s="422"/>
      <c r="BTR141" s="422"/>
      <c r="BTS141" s="422"/>
      <c r="BTT141" s="422"/>
      <c r="BTU141" s="422"/>
      <c r="BTV141" s="422"/>
      <c r="BTW141" s="422"/>
      <c r="BTX141" s="422"/>
      <c r="BTY141" s="422"/>
      <c r="BTZ141" s="422"/>
      <c r="BUA141" s="422"/>
      <c r="BUB141" s="422"/>
      <c r="BUC141" s="422"/>
      <c r="BUD141" s="422"/>
      <c r="BUE141" s="422"/>
      <c r="BUF141" s="422"/>
      <c r="BUG141" s="422"/>
      <c r="BUH141" s="422"/>
      <c r="BUI141" s="422"/>
      <c r="BUJ141" s="422"/>
      <c r="BUK141" s="422"/>
      <c r="BUL141" s="422"/>
      <c r="BUM141" s="422"/>
      <c r="BUN141" s="422"/>
      <c r="BUO141" s="422"/>
      <c r="BUP141" s="422"/>
      <c r="BUQ141" s="422"/>
      <c r="BUR141" s="422"/>
      <c r="BUS141" s="422"/>
      <c r="BUT141" s="422"/>
      <c r="BUU141" s="422"/>
      <c r="BUV141" s="422"/>
      <c r="BUW141" s="422"/>
      <c r="BUX141" s="422"/>
      <c r="BUY141" s="422"/>
      <c r="BUZ141" s="422"/>
      <c r="BVA141" s="422"/>
      <c r="BVB141" s="422"/>
      <c r="BVC141" s="422"/>
      <c r="BVD141" s="422"/>
      <c r="BVE141" s="422"/>
      <c r="BVF141" s="422"/>
      <c r="BVG141" s="422"/>
      <c r="BVH141" s="422"/>
      <c r="BVI141" s="422"/>
      <c r="BVJ141" s="422"/>
      <c r="BVK141" s="422"/>
      <c r="BVL141" s="422"/>
      <c r="BVM141" s="422"/>
      <c r="BVN141" s="422"/>
      <c r="BVO141" s="422"/>
      <c r="BVP141" s="422"/>
      <c r="BVQ141" s="422"/>
      <c r="BVR141" s="422"/>
      <c r="BVS141" s="422"/>
      <c r="BVT141" s="422"/>
      <c r="BVU141" s="422"/>
      <c r="BVV141" s="422"/>
      <c r="BVW141" s="422"/>
      <c r="BVX141" s="422"/>
      <c r="BVY141" s="422"/>
      <c r="BVZ141" s="422"/>
      <c r="BWA141" s="422"/>
      <c r="BWB141" s="422"/>
      <c r="BWC141" s="422"/>
      <c r="BWD141" s="422"/>
      <c r="BWE141" s="422"/>
      <c r="BWF141" s="422"/>
      <c r="BWG141" s="422"/>
      <c r="BWH141" s="422"/>
      <c r="BWI141" s="422"/>
      <c r="BWJ141" s="422"/>
      <c r="BWK141" s="422"/>
      <c r="BWL141" s="422"/>
      <c r="BWM141" s="422"/>
      <c r="BWN141" s="422"/>
      <c r="BWO141" s="422"/>
      <c r="BWP141" s="422"/>
      <c r="BWQ141" s="422"/>
      <c r="BWR141" s="422"/>
      <c r="BWS141" s="422"/>
      <c r="BWT141" s="422"/>
      <c r="BWU141" s="422"/>
      <c r="BWV141" s="422"/>
      <c r="BWW141" s="422"/>
      <c r="BWX141" s="422"/>
      <c r="BWY141" s="422"/>
      <c r="BWZ141" s="422"/>
      <c r="BXA141" s="422"/>
      <c r="BXB141" s="422"/>
      <c r="BXC141" s="422"/>
      <c r="BXD141" s="422"/>
      <c r="BXE141" s="422"/>
      <c r="BXF141" s="422"/>
      <c r="BXG141" s="422"/>
      <c r="BXH141" s="422"/>
      <c r="BXI141" s="422"/>
      <c r="BXJ141" s="422"/>
      <c r="BXK141" s="422"/>
      <c r="BXL141" s="422"/>
      <c r="BXM141" s="422"/>
      <c r="BXN141" s="422"/>
      <c r="BXO141" s="422"/>
      <c r="BXP141" s="422"/>
      <c r="BXQ141" s="422"/>
      <c r="BXR141" s="422"/>
      <c r="BXS141" s="422"/>
      <c r="BXT141" s="422"/>
      <c r="BXU141" s="422"/>
      <c r="BXV141" s="422"/>
      <c r="BXW141" s="422"/>
      <c r="BXX141" s="422"/>
      <c r="BXY141" s="422"/>
      <c r="BXZ141" s="422"/>
      <c r="BYA141" s="422"/>
      <c r="BYB141" s="422"/>
      <c r="BYC141" s="422"/>
      <c r="BYD141" s="422"/>
      <c r="BYE141" s="422"/>
      <c r="BYF141" s="422"/>
      <c r="BYG141" s="422"/>
      <c r="BYH141" s="422"/>
      <c r="BYI141" s="422"/>
      <c r="BYJ141" s="422"/>
      <c r="BYK141" s="422"/>
      <c r="BYL141" s="422"/>
      <c r="BYM141" s="422"/>
      <c r="BYN141" s="422"/>
      <c r="BYO141" s="422"/>
      <c r="BYP141" s="422"/>
      <c r="BYQ141" s="422"/>
      <c r="BYR141" s="422"/>
      <c r="BYS141" s="422"/>
      <c r="BYT141" s="422"/>
      <c r="BYU141" s="422"/>
      <c r="BYV141" s="422"/>
      <c r="BYW141" s="422"/>
      <c r="BYX141" s="422"/>
      <c r="BYY141" s="422"/>
      <c r="BYZ141" s="422"/>
      <c r="BZA141" s="422"/>
      <c r="BZB141" s="422"/>
      <c r="BZC141" s="422"/>
      <c r="BZD141" s="422"/>
      <c r="BZE141" s="422"/>
      <c r="BZF141" s="422"/>
      <c r="BZG141" s="422"/>
      <c r="BZH141" s="422"/>
      <c r="BZI141" s="422"/>
      <c r="BZJ141" s="422"/>
      <c r="BZK141" s="422"/>
      <c r="BZL141" s="422"/>
      <c r="BZM141" s="422"/>
      <c r="BZN141" s="422"/>
      <c r="BZO141" s="422"/>
      <c r="BZP141" s="422"/>
      <c r="BZQ141" s="422"/>
      <c r="BZR141" s="422"/>
      <c r="BZS141" s="422"/>
      <c r="BZT141" s="422"/>
      <c r="BZU141" s="422"/>
      <c r="BZV141" s="422"/>
      <c r="BZW141" s="422"/>
      <c r="BZX141" s="422"/>
      <c r="BZY141" s="422"/>
      <c r="BZZ141" s="422"/>
      <c r="CAA141" s="422"/>
      <c r="CAB141" s="422"/>
      <c r="CAC141" s="422"/>
      <c r="CAD141" s="422"/>
      <c r="CAE141" s="422"/>
      <c r="CAF141" s="422"/>
      <c r="CAG141" s="422"/>
      <c r="CAH141" s="422"/>
      <c r="CAI141" s="422"/>
      <c r="CAJ141" s="422"/>
      <c r="CAK141" s="422"/>
      <c r="CAL141" s="422"/>
      <c r="CAM141" s="422"/>
      <c r="CAN141" s="422"/>
      <c r="CAO141" s="422"/>
      <c r="CAP141" s="422"/>
      <c r="CAQ141" s="422"/>
      <c r="CAR141" s="422"/>
      <c r="CAS141" s="422"/>
      <c r="CAT141" s="422"/>
      <c r="CAU141" s="422"/>
      <c r="CAV141" s="422"/>
      <c r="CAW141" s="422"/>
      <c r="CAX141" s="422"/>
      <c r="CAY141" s="422"/>
      <c r="CAZ141" s="422"/>
      <c r="CBA141" s="422"/>
      <c r="CBB141" s="422"/>
      <c r="CBC141" s="422"/>
      <c r="CBD141" s="422"/>
      <c r="CBE141" s="422"/>
      <c r="CBF141" s="422"/>
      <c r="CBG141" s="422"/>
      <c r="CBH141" s="422"/>
      <c r="CBI141" s="422"/>
      <c r="CBJ141" s="422"/>
      <c r="CBK141" s="422"/>
      <c r="CBL141" s="422"/>
      <c r="CBM141" s="422"/>
      <c r="CBN141" s="422"/>
      <c r="CBO141" s="422"/>
      <c r="CBP141" s="422"/>
      <c r="CBQ141" s="422"/>
      <c r="CBR141" s="422"/>
      <c r="CBS141" s="422"/>
      <c r="CBT141" s="422"/>
      <c r="CBU141" s="422"/>
      <c r="CBV141" s="422"/>
      <c r="CBW141" s="422"/>
      <c r="CBX141" s="422"/>
      <c r="CBY141" s="422"/>
      <c r="CBZ141" s="422"/>
      <c r="CCA141" s="422"/>
      <c r="CCB141" s="422"/>
      <c r="CCC141" s="422"/>
      <c r="CCD141" s="422"/>
      <c r="CCE141" s="422"/>
      <c r="CCF141" s="422"/>
      <c r="CCG141" s="422"/>
      <c r="CCH141" s="422"/>
      <c r="CCI141" s="422"/>
      <c r="CCJ141" s="422"/>
      <c r="CCK141" s="422"/>
      <c r="CCL141" s="422"/>
      <c r="CCM141" s="422"/>
      <c r="CCN141" s="422"/>
      <c r="CCO141" s="422"/>
      <c r="CCP141" s="422"/>
      <c r="CCQ141" s="422"/>
      <c r="CCR141" s="422"/>
      <c r="CCS141" s="422"/>
      <c r="CCT141" s="422"/>
      <c r="CCU141" s="422"/>
      <c r="CCV141" s="422"/>
      <c r="CCW141" s="422"/>
      <c r="CCX141" s="422"/>
      <c r="CCY141" s="422"/>
      <c r="CCZ141" s="422"/>
      <c r="CDA141" s="422"/>
      <c r="CDB141" s="422"/>
      <c r="CDC141" s="422"/>
      <c r="CDD141" s="422"/>
      <c r="CDE141" s="422"/>
      <c r="CDF141" s="422"/>
      <c r="CDG141" s="422"/>
      <c r="CDH141" s="422"/>
      <c r="CDI141" s="422"/>
      <c r="CDJ141" s="422"/>
      <c r="CDK141" s="422"/>
      <c r="CDL141" s="422"/>
      <c r="CDM141" s="422"/>
      <c r="CDN141" s="422"/>
      <c r="CDO141" s="422"/>
      <c r="CDP141" s="422"/>
      <c r="CDQ141" s="422"/>
      <c r="CDR141" s="422"/>
      <c r="CDS141" s="422"/>
      <c r="CDT141" s="422"/>
      <c r="CDU141" s="422"/>
      <c r="CDV141" s="422"/>
      <c r="CDW141" s="422"/>
      <c r="CDX141" s="422"/>
      <c r="CDY141" s="422"/>
      <c r="CDZ141" s="422"/>
      <c r="CEA141" s="422"/>
      <c r="CEB141" s="422"/>
      <c r="CEC141" s="422"/>
      <c r="CED141" s="422"/>
      <c r="CEE141" s="422"/>
      <c r="CEF141" s="422"/>
      <c r="CEG141" s="422"/>
      <c r="CEH141" s="422"/>
      <c r="CEI141" s="422"/>
      <c r="CEJ141" s="422"/>
      <c r="CEK141" s="422"/>
      <c r="CEL141" s="422"/>
      <c r="CEM141" s="422"/>
      <c r="CEN141" s="422"/>
      <c r="CEO141" s="422"/>
      <c r="CEP141" s="422"/>
      <c r="CEQ141" s="422"/>
      <c r="CER141" s="422"/>
      <c r="CES141" s="422"/>
      <c r="CET141" s="422"/>
      <c r="CEU141" s="422"/>
      <c r="CEV141" s="422"/>
      <c r="CEW141" s="422"/>
      <c r="CEX141" s="422"/>
      <c r="CEY141" s="422"/>
      <c r="CEZ141" s="422"/>
      <c r="CFA141" s="422"/>
      <c r="CFB141" s="422"/>
      <c r="CFC141" s="422"/>
      <c r="CFD141" s="422"/>
      <c r="CFE141" s="422"/>
      <c r="CFF141" s="422"/>
      <c r="CFG141" s="422"/>
      <c r="CFH141" s="422"/>
      <c r="CFI141" s="422"/>
      <c r="CFJ141" s="422"/>
      <c r="CFK141" s="422"/>
      <c r="CFL141" s="422"/>
      <c r="CFM141" s="422"/>
      <c r="CFN141" s="422"/>
      <c r="CFO141" s="422"/>
      <c r="CFP141" s="422"/>
      <c r="CFQ141" s="422"/>
      <c r="CFR141" s="422"/>
      <c r="CFS141" s="422"/>
      <c r="CFT141" s="422"/>
      <c r="CFU141" s="422"/>
      <c r="CFV141" s="422"/>
      <c r="CFW141" s="422"/>
      <c r="CFX141" s="422"/>
      <c r="CFY141" s="422"/>
      <c r="CFZ141" s="422"/>
      <c r="CGA141" s="422"/>
      <c r="CGB141" s="422"/>
      <c r="CGC141" s="422"/>
      <c r="CGD141" s="422"/>
      <c r="CGE141" s="422"/>
      <c r="CGF141" s="422"/>
      <c r="CGG141" s="422"/>
      <c r="CGH141" s="422"/>
      <c r="CGI141" s="422"/>
      <c r="CGJ141" s="422"/>
      <c r="CGK141" s="422"/>
      <c r="CGL141" s="422"/>
      <c r="CGM141" s="422"/>
      <c r="CGN141" s="422"/>
      <c r="CGO141" s="422"/>
      <c r="CGP141" s="422"/>
      <c r="CGQ141" s="422"/>
      <c r="CGR141" s="422"/>
      <c r="CGS141" s="422"/>
      <c r="CGT141" s="422"/>
      <c r="CGU141" s="422"/>
      <c r="CGV141" s="422"/>
      <c r="CGW141" s="422"/>
      <c r="CGX141" s="422"/>
      <c r="CGY141" s="422"/>
      <c r="CGZ141" s="422"/>
      <c r="CHA141" s="422"/>
      <c r="CHB141" s="422"/>
      <c r="CHC141" s="422"/>
      <c r="CHD141" s="422"/>
      <c r="CHE141" s="422"/>
      <c r="CHF141" s="422"/>
      <c r="CHG141" s="422"/>
      <c r="CHH141" s="422"/>
      <c r="CHI141" s="422"/>
      <c r="CHJ141" s="422"/>
      <c r="CHK141" s="422"/>
      <c r="CHL141" s="422"/>
      <c r="CHM141" s="422"/>
      <c r="CHN141" s="422"/>
      <c r="CHO141" s="422"/>
      <c r="CHP141" s="422"/>
      <c r="CHQ141" s="422"/>
      <c r="CHR141" s="422"/>
      <c r="CHS141" s="422"/>
      <c r="CHT141" s="422"/>
      <c r="CHU141" s="422"/>
      <c r="CHV141" s="422"/>
      <c r="CHW141" s="422"/>
      <c r="CHX141" s="422"/>
      <c r="CHY141" s="422"/>
      <c r="CHZ141" s="422"/>
      <c r="CIA141" s="422"/>
      <c r="CIB141" s="422"/>
      <c r="CIC141" s="422"/>
      <c r="CID141" s="422"/>
      <c r="CIE141" s="422"/>
      <c r="CIF141" s="422"/>
      <c r="CIG141" s="422"/>
      <c r="CIH141" s="422"/>
      <c r="CII141" s="422"/>
      <c r="CIJ141" s="422"/>
      <c r="CIK141" s="422"/>
      <c r="CIL141" s="422"/>
      <c r="CIM141" s="422"/>
      <c r="CIN141" s="422"/>
      <c r="CIO141" s="422"/>
      <c r="CIP141" s="422"/>
      <c r="CIQ141" s="422"/>
      <c r="CIR141" s="422"/>
      <c r="CIS141" s="422"/>
      <c r="CIT141" s="422"/>
      <c r="CIU141" s="422"/>
      <c r="CIV141" s="422"/>
      <c r="CIW141" s="422"/>
      <c r="CIX141" s="422"/>
      <c r="CIY141" s="422"/>
      <c r="CIZ141" s="422"/>
      <c r="CJA141" s="422"/>
      <c r="CJB141" s="422"/>
      <c r="CJC141" s="422"/>
      <c r="CJD141" s="422"/>
      <c r="CJE141" s="422"/>
      <c r="CJF141" s="422"/>
      <c r="CJG141" s="422"/>
      <c r="CJH141" s="422"/>
      <c r="CJI141" s="422"/>
      <c r="CJJ141" s="422"/>
      <c r="CJK141" s="422"/>
      <c r="CJL141" s="422"/>
      <c r="CJM141" s="422"/>
      <c r="CJN141" s="422"/>
      <c r="CJO141" s="422"/>
      <c r="CJP141" s="422"/>
      <c r="CJQ141" s="422"/>
      <c r="CJR141" s="422"/>
      <c r="CJS141" s="422"/>
      <c r="CJT141" s="422"/>
      <c r="CJU141" s="422"/>
      <c r="CJV141" s="422"/>
      <c r="CJW141" s="422"/>
      <c r="CJX141" s="422"/>
      <c r="CJY141" s="422"/>
      <c r="CJZ141" s="422"/>
      <c r="CKA141" s="422"/>
      <c r="CKB141" s="422"/>
      <c r="CKC141" s="422"/>
      <c r="CKD141" s="422"/>
      <c r="CKE141" s="422"/>
      <c r="CKF141" s="422"/>
      <c r="CKG141" s="422"/>
      <c r="CKH141" s="422"/>
      <c r="CKI141" s="422"/>
      <c r="CKJ141" s="422"/>
      <c r="CKK141" s="422"/>
      <c r="CKL141" s="422"/>
      <c r="CKM141" s="422"/>
      <c r="CKN141" s="422"/>
      <c r="CKO141" s="422"/>
      <c r="CKP141" s="422"/>
      <c r="CKQ141" s="422"/>
      <c r="CKR141" s="422"/>
      <c r="CKS141" s="422"/>
      <c r="CKT141" s="422"/>
      <c r="CKU141" s="422"/>
      <c r="CKV141" s="422"/>
      <c r="CKW141" s="422"/>
      <c r="CKX141" s="422"/>
      <c r="CKY141" s="422"/>
      <c r="CKZ141" s="422"/>
      <c r="CLA141" s="422"/>
      <c r="CLB141" s="422"/>
      <c r="CLC141" s="422"/>
      <c r="CLD141" s="422"/>
      <c r="CLE141" s="422"/>
      <c r="CLF141" s="422"/>
      <c r="CLG141" s="422"/>
      <c r="CLH141" s="422"/>
      <c r="CLI141" s="422"/>
      <c r="CLJ141" s="422"/>
      <c r="CLK141" s="422"/>
      <c r="CLL141" s="422"/>
      <c r="CLM141" s="422"/>
      <c r="CLN141" s="422"/>
      <c r="CLO141" s="422"/>
      <c r="CLP141" s="422"/>
      <c r="CLQ141" s="422"/>
      <c r="CLR141" s="422"/>
      <c r="CLS141" s="422"/>
      <c r="CLT141" s="422"/>
      <c r="CLU141" s="422"/>
      <c r="CLV141" s="422"/>
      <c r="CLW141" s="422"/>
      <c r="CLX141" s="422"/>
      <c r="CLY141" s="422"/>
      <c r="CLZ141" s="422"/>
      <c r="CMA141" s="422"/>
      <c r="CMB141" s="422"/>
      <c r="CMC141" s="422"/>
      <c r="CMD141" s="422"/>
      <c r="CME141" s="422"/>
      <c r="CMF141" s="422"/>
      <c r="CMG141" s="422"/>
      <c r="CMH141" s="422"/>
      <c r="CMI141" s="422"/>
      <c r="CMJ141" s="422"/>
      <c r="CMK141" s="422"/>
      <c r="CML141" s="422"/>
      <c r="CMM141" s="422"/>
      <c r="CMN141" s="422"/>
      <c r="CMO141" s="422"/>
      <c r="CMP141" s="422"/>
      <c r="CMQ141" s="422"/>
      <c r="CMR141" s="422"/>
      <c r="CMS141" s="422"/>
      <c r="CMT141" s="422"/>
      <c r="CMU141" s="422"/>
      <c r="CMV141" s="422"/>
      <c r="CMW141" s="422"/>
      <c r="CMX141" s="422"/>
      <c r="CMY141" s="422"/>
      <c r="CMZ141" s="422"/>
      <c r="CNA141" s="422"/>
      <c r="CNB141" s="422"/>
      <c r="CNC141" s="422"/>
      <c r="CND141" s="422"/>
      <c r="CNE141" s="422"/>
      <c r="CNF141" s="422"/>
      <c r="CNG141" s="422"/>
      <c r="CNH141" s="422"/>
      <c r="CNI141" s="422"/>
      <c r="CNJ141" s="422"/>
      <c r="CNK141" s="422"/>
      <c r="CNL141" s="422"/>
      <c r="CNM141" s="422"/>
      <c r="CNN141" s="422"/>
      <c r="CNO141" s="422"/>
      <c r="CNP141" s="422"/>
      <c r="CNQ141" s="422"/>
      <c r="CNR141" s="422"/>
      <c r="CNS141" s="422"/>
      <c r="CNT141" s="422"/>
      <c r="CNU141" s="422"/>
      <c r="CNV141" s="422"/>
      <c r="CNW141" s="422"/>
      <c r="CNX141" s="422"/>
      <c r="CNY141" s="422"/>
      <c r="CNZ141" s="422"/>
      <c r="COA141" s="422"/>
      <c r="COB141" s="422"/>
      <c r="COC141" s="422"/>
      <c r="COD141" s="422"/>
      <c r="COE141" s="422"/>
      <c r="COF141" s="422"/>
      <c r="COG141" s="422"/>
      <c r="COH141" s="422"/>
      <c r="COI141" s="422"/>
      <c r="COJ141" s="422"/>
      <c r="COK141" s="422"/>
      <c r="COL141" s="422"/>
      <c r="COM141" s="422"/>
      <c r="CON141" s="422"/>
      <c r="COO141" s="422"/>
      <c r="COP141" s="422"/>
      <c r="COQ141" s="422"/>
      <c r="COR141" s="422"/>
      <c r="COS141" s="422"/>
      <c r="COT141" s="422"/>
      <c r="COU141" s="422"/>
      <c r="COV141" s="422"/>
      <c r="COW141" s="422"/>
      <c r="COX141" s="422"/>
      <c r="COY141" s="422"/>
      <c r="COZ141" s="422"/>
      <c r="CPA141" s="422"/>
      <c r="CPB141" s="422"/>
      <c r="CPC141" s="422"/>
      <c r="CPD141" s="422"/>
      <c r="CPE141" s="422"/>
      <c r="CPF141" s="422"/>
      <c r="CPG141" s="422"/>
      <c r="CPH141" s="422"/>
      <c r="CPI141" s="422"/>
      <c r="CPJ141" s="422"/>
      <c r="CPK141" s="422"/>
      <c r="CPL141" s="422"/>
      <c r="CPM141" s="422"/>
      <c r="CPN141" s="422"/>
      <c r="CPO141" s="422"/>
      <c r="CPP141" s="422"/>
      <c r="CPQ141" s="422"/>
      <c r="CPR141" s="422"/>
      <c r="CPS141" s="422"/>
      <c r="CPT141" s="422"/>
      <c r="CPU141" s="422"/>
      <c r="CPV141" s="422"/>
      <c r="CPW141" s="422"/>
      <c r="CPX141" s="422"/>
      <c r="CPY141" s="422"/>
      <c r="CPZ141" s="422"/>
      <c r="CQA141" s="422"/>
      <c r="CQB141" s="422"/>
      <c r="CQC141" s="422"/>
      <c r="CQD141" s="422"/>
      <c r="CQE141" s="422"/>
      <c r="CQF141" s="422"/>
      <c r="CQG141" s="422"/>
      <c r="CQH141" s="422"/>
      <c r="CQI141" s="422"/>
      <c r="CQJ141" s="422"/>
      <c r="CQK141" s="422"/>
      <c r="CQL141" s="422"/>
      <c r="CQM141" s="422"/>
      <c r="CQN141" s="422"/>
      <c r="CQO141" s="422"/>
      <c r="CQP141" s="422"/>
      <c r="CQQ141" s="422"/>
      <c r="CQR141" s="422"/>
      <c r="CQS141" s="422"/>
      <c r="CQT141" s="422"/>
      <c r="CQU141" s="422"/>
      <c r="CQV141" s="422"/>
      <c r="CQW141" s="422"/>
      <c r="CQX141" s="422"/>
      <c r="CQY141" s="422"/>
      <c r="CQZ141" s="422"/>
      <c r="CRA141" s="422"/>
      <c r="CRB141" s="422"/>
      <c r="CRC141" s="422"/>
      <c r="CRD141" s="422"/>
      <c r="CRE141" s="422"/>
      <c r="CRF141" s="422"/>
      <c r="CRG141" s="422"/>
      <c r="CRH141" s="422"/>
      <c r="CRI141" s="422"/>
      <c r="CRJ141" s="422"/>
      <c r="CRK141" s="422"/>
      <c r="CRL141" s="422"/>
      <c r="CRM141" s="422"/>
      <c r="CRN141" s="422"/>
      <c r="CRO141" s="422"/>
      <c r="CRP141" s="422"/>
      <c r="CRQ141" s="422"/>
      <c r="CRR141" s="422"/>
      <c r="CRS141" s="422"/>
      <c r="CRT141" s="422"/>
      <c r="CRU141" s="422"/>
      <c r="CRV141" s="422"/>
      <c r="CRW141" s="422"/>
      <c r="CRX141" s="422"/>
      <c r="CRY141" s="422"/>
      <c r="CRZ141" s="422"/>
      <c r="CSA141" s="422"/>
      <c r="CSB141" s="422"/>
      <c r="CSC141" s="422"/>
      <c r="CSD141" s="422"/>
      <c r="CSE141" s="422"/>
      <c r="CSF141" s="422"/>
      <c r="CSG141" s="422"/>
      <c r="CSH141" s="422"/>
      <c r="CSI141" s="422"/>
      <c r="CSJ141" s="422"/>
      <c r="CSK141" s="422"/>
      <c r="CSL141" s="422"/>
      <c r="CSM141" s="422"/>
      <c r="CSN141" s="422"/>
      <c r="CSO141" s="422"/>
      <c r="CSP141" s="422"/>
      <c r="CSQ141" s="422"/>
      <c r="CSR141" s="422"/>
      <c r="CSS141" s="422"/>
      <c r="CST141" s="422"/>
      <c r="CSU141" s="422"/>
      <c r="CSV141" s="422"/>
      <c r="CSW141" s="422"/>
      <c r="CSX141" s="422"/>
      <c r="CSY141" s="422"/>
      <c r="CSZ141" s="422"/>
      <c r="CTA141" s="422"/>
      <c r="CTB141" s="422"/>
      <c r="CTC141" s="422"/>
      <c r="CTD141" s="422"/>
      <c r="CTE141" s="422"/>
      <c r="CTF141" s="422"/>
      <c r="CTG141" s="422"/>
      <c r="CTH141" s="422"/>
      <c r="CTI141" s="422"/>
      <c r="CTJ141" s="422"/>
      <c r="CTK141" s="422"/>
      <c r="CTL141" s="422"/>
      <c r="CTM141" s="422"/>
      <c r="CTN141" s="422"/>
      <c r="CTO141" s="422"/>
      <c r="CTP141" s="422"/>
      <c r="CTQ141" s="422"/>
      <c r="CTR141" s="422"/>
      <c r="CTS141" s="422"/>
      <c r="CTT141" s="422"/>
      <c r="CTU141" s="422"/>
      <c r="CTV141" s="422"/>
      <c r="CTW141" s="422"/>
      <c r="CTX141" s="422"/>
      <c r="CTY141" s="422"/>
      <c r="CTZ141" s="422"/>
      <c r="CUA141" s="422"/>
      <c r="CUB141" s="422"/>
      <c r="CUC141" s="422"/>
      <c r="CUD141" s="422"/>
      <c r="CUE141" s="422"/>
      <c r="CUF141" s="422"/>
      <c r="CUG141" s="422"/>
      <c r="CUH141" s="422"/>
      <c r="CUI141" s="422"/>
      <c r="CUJ141" s="422"/>
      <c r="CUK141" s="422"/>
      <c r="CUL141" s="422"/>
      <c r="CUM141" s="422"/>
      <c r="CUN141" s="422"/>
      <c r="CUO141" s="422"/>
      <c r="CUP141" s="422"/>
      <c r="CUQ141" s="422"/>
      <c r="CUR141" s="422"/>
      <c r="CUS141" s="422"/>
      <c r="CUT141" s="422"/>
      <c r="CUU141" s="422"/>
      <c r="CUV141" s="422"/>
      <c r="CUW141" s="422"/>
      <c r="CUX141" s="422"/>
      <c r="CUY141" s="422"/>
      <c r="CUZ141" s="422"/>
      <c r="CVA141" s="422"/>
      <c r="CVB141" s="422"/>
      <c r="CVC141" s="422"/>
      <c r="CVD141" s="422"/>
      <c r="CVE141" s="422"/>
      <c r="CVF141" s="422"/>
      <c r="CVG141" s="422"/>
      <c r="CVH141" s="422"/>
      <c r="CVI141" s="422"/>
      <c r="CVJ141" s="422"/>
      <c r="CVK141" s="422"/>
      <c r="CVL141" s="422"/>
      <c r="CVM141" s="422"/>
      <c r="CVN141" s="422"/>
      <c r="CVO141" s="422"/>
      <c r="CVP141" s="422"/>
      <c r="CVQ141" s="422"/>
      <c r="CVR141" s="422"/>
      <c r="CVS141" s="422"/>
      <c r="CVT141" s="422"/>
      <c r="CVU141" s="422"/>
      <c r="CVV141" s="422"/>
      <c r="CVW141" s="422"/>
      <c r="CVX141" s="422"/>
      <c r="CVY141" s="422"/>
      <c r="CVZ141" s="422"/>
      <c r="CWA141" s="422"/>
      <c r="CWB141" s="422"/>
      <c r="CWC141" s="422"/>
      <c r="CWD141" s="422"/>
      <c r="CWE141" s="422"/>
      <c r="CWF141" s="422"/>
      <c r="CWG141" s="422"/>
      <c r="CWH141" s="422"/>
      <c r="CWI141" s="422"/>
      <c r="CWJ141" s="422"/>
      <c r="CWK141" s="422"/>
      <c r="CWL141" s="422"/>
      <c r="CWM141" s="422"/>
      <c r="CWN141" s="422"/>
      <c r="CWO141" s="422"/>
      <c r="CWP141" s="422"/>
      <c r="CWQ141" s="422"/>
      <c r="CWR141" s="422"/>
      <c r="CWS141" s="422"/>
      <c r="CWT141" s="422"/>
      <c r="CWU141" s="422"/>
      <c r="CWV141" s="422"/>
      <c r="CWW141" s="422"/>
      <c r="CWX141" s="422"/>
      <c r="CWY141" s="422"/>
      <c r="CWZ141" s="422"/>
      <c r="CXA141" s="422"/>
      <c r="CXB141" s="422"/>
      <c r="CXC141" s="422"/>
      <c r="CXD141" s="422"/>
      <c r="CXE141" s="422"/>
      <c r="CXF141" s="422"/>
      <c r="CXG141" s="422"/>
      <c r="CXH141" s="422"/>
      <c r="CXI141" s="422"/>
      <c r="CXJ141" s="422"/>
      <c r="CXK141" s="422"/>
      <c r="CXL141" s="422"/>
      <c r="CXM141" s="422"/>
      <c r="CXN141" s="422"/>
      <c r="CXO141" s="422"/>
      <c r="CXP141" s="422"/>
      <c r="CXQ141" s="422"/>
      <c r="CXR141" s="422"/>
      <c r="CXS141" s="422"/>
      <c r="CXT141" s="422"/>
      <c r="CXU141" s="422"/>
      <c r="CXV141" s="422"/>
      <c r="CXW141" s="422"/>
      <c r="CXX141" s="422"/>
      <c r="CXY141" s="422"/>
      <c r="CXZ141" s="422"/>
      <c r="CYA141" s="422"/>
      <c r="CYB141" s="422"/>
      <c r="CYC141" s="422"/>
      <c r="CYD141" s="422"/>
      <c r="CYE141" s="422"/>
      <c r="CYF141" s="422"/>
      <c r="CYG141" s="422"/>
      <c r="CYH141" s="422"/>
      <c r="CYI141" s="422"/>
      <c r="CYJ141" s="422"/>
      <c r="CYK141" s="422"/>
      <c r="CYL141" s="422"/>
      <c r="CYM141" s="422"/>
      <c r="CYN141" s="422"/>
      <c r="CYO141" s="422"/>
      <c r="CYP141" s="422"/>
      <c r="CYQ141" s="422"/>
      <c r="CYR141" s="422"/>
      <c r="CYS141" s="422"/>
      <c r="CYT141" s="422"/>
      <c r="CYU141" s="422"/>
      <c r="CYV141" s="422"/>
      <c r="CYW141" s="422"/>
      <c r="CYX141" s="422"/>
      <c r="CYY141" s="422"/>
      <c r="CYZ141" s="422"/>
      <c r="CZA141" s="422"/>
      <c r="CZB141" s="422"/>
      <c r="CZC141" s="422"/>
      <c r="CZD141" s="422"/>
      <c r="CZE141" s="422"/>
      <c r="CZF141" s="422"/>
      <c r="CZG141" s="422"/>
      <c r="CZH141" s="422"/>
      <c r="CZI141" s="422"/>
      <c r="CZJ141" s="422"/>
      <c r="CZK141" s="422"/>
      <c r="CZL141" s="422"/>
      <c r="CZM141" s="422"/>
      <c r="CZN141" s="422"/>
      <c r="CZO141" s="422"/>
      <c r="CZP141" s="422"/>
      <c r="CZQ141" s="422"/>
      <c r="CZR141" s="422"/>
      <c r="CZS141" s="422"/>
      <c r="CZT141" s="422"/>
      <c r="CZU141" s="422"/>
      <c r="CZV141" s="422"/>
      <c r="CZW141" s="422"/>
      <c r="CZX141" s="422"/>
      <c r="CZY141" s="422"/>
      <c r="CZZ141" s="422"/>
      <c r="DAA141" s="422"/>
      <c r="DAB141" s="422"/>
      <c r="DAC141" s="422"/>
      <c r="DAD141" s="422"/>
      <c r="DAE141" s="422"/>
      <c r="DAF141" s="422"/>
      <c r="DAG141" s="422"/>
      <c r="DAH141" s="422"/>
      <c r="DAI141" s="422"/>
      <c r="DAJ141" s="422"/>
      <c r="DAK141" s="422"/>
      <c r="DAL141" s="422"/>
      <c r="DAM141" s="422"/>
      <c r="DAN141" s="422"/>
      <c r="DAO141" s="422"/>
      <c r="DAP141" s="422"/>
      <c r="DAQ141" s="422"/>
      <c r="DAR141" s="422"/>
      <c r="DAS141" s="422"/>
      <c r="DAT141" s="422"/>
      <c r="DAU141" s="422"/>
      <c r="DAV141" s="422"/>
      <c r="DAW141" s="422"/>
      <c r="DAX141" s="422"/>
      <c r="DAY141" s="422"/>
      <c r="DAZ141" s="422"/>
      <c r="DBA141" s="422"/>
      <c r="DBB141" s="422"/>
      <c r="DBC141" s="422"/>
      <c r="DBD141" s="422"/>
      <c r="DBE141" s="422"/>
      <c r="DBF141" s="422"/>
      <c r="DBG141" s="422"/>
      <c r="DBH141" s="422"/>
      <c r="DBI141" s="422"/>
      <c r="DBJ141" s="422"/>
      <c r="DBK141" s="422"/>
      <c r="DBL141" s="422"/>
      <c r="DBM141" s="422"/>
      <c r="DBN141" s="422"/>
      <c r="DBO141" s="422"/>
      <c r="DBP141" s="422"/>
      <c r="DBQ141" s="422"/>
      <c r="DBR141" s="422"/>
      <c r="DBS141" s="422"/>
      <c r="DBT141" s="422"/>
      <c r="DBU141" s="422"/>
      <c r="DBV141" s="422"/>
      <c r="DBW141" s="422"/>
      <c r="DBX141" s="422"/>
      <c r="DBY141" s="422"/>
      <c r="DBZ141" s="422"/>
      <c r="DCA141" s="422"/>
      <c r="DCB141" s="422"/>
      <c r="DCC141" s="422"/>
      <c r="DCD141" s="422"/>
      <c r="DCE141" s="422"/>
      <c r="DCF141" s="422"/>
      <c r="DCG141" s="422"/>
      <c r="DCH141" s="422"/>
      <c r="DCI141" s="422"/>
      <c r="DCJ141" s="422"/>
      <c r="DCK141" s="422"/>
      <c r="DCL141" s="422"/>
      <c r="DCM141" s="422"/>
      <c r="DCN141" s="422"/>
      <c r="DCO141" s="422"/>
      <c r="DCP141" s="422"/>
      <c r="DCQ141" s="422"/>
      <c r="DCR141" s="422"/>
      <c r="DCS141" s="422"/>
      <c r="DCT141" s="422"/>
      <c r="DCU141" s="422"/>
      <c r="DCV141" s="422"/>
      <c r="DCW141" s="422"/>
      <c r="DCX141" s="422"/>
      <c r="DCY141" s="422"/>
      <c r="DCZ141" s="422"/>
      <c r="DDA141" s="422"/>
      <c r="DDB141" s="422"/>
      <c r="DDC141" s="422"/>
      <c r="DDD141" s="422"/>
      <c r="DDE141" s="422"/>
      <c r="DDF141" s="422"/>
      <c r="DDG141" s="422"/>
      <c r="DDH141" s="422"/>
      <c r="DDI141" s="422"/>
      <c r="DDJ141" s="422"/>
      <c r="DDK141" s="422"/>
      <c r="DDL141" s="422"/>
      <c r="DDM141" s="422"/>
      <c r="DDN141" s="422"/>
      <c r="DDO141" s="422"/>
      <c r="DDP141" s="422"/>
      <c r="DDQ141" s="422"/>
      <c r="DDR141" s="422"/>
      <c r="DDS141" s="422"/>
      <c r="DDT141" s="422"/>
      <c r="DDU141" s="422"/>
      <c r="DDV141" s="422"/>
      <c r="DDW141" s="422"/>
      <c r="DDX141" s="422"/>
      <c r="DDY141" s="422"/>
      <c r="DDZ141" s="422"/>
      <c r="DEA141" s="422"/>
      <c r="DEB141" s="422"/>
      <c r="DEC141" s="422"/>
      <c r="DED141" s="422"/>
      <c r="DEE141" s="422"/>
      <c r="DEF141" s="422"/>
      <c r="DEG141" s="422"/>
      <c r="DEH141" s="422"/>
      <c r="DEI141" s="422"/>
      <c r="DEJ141" s="422"/>
      <c r="DEK141" s="422"/>
      <c r="DEL141" s="422"/>
      <c r="DEM141" s="422"/>
      <c r="DEN141" s="422"/>
      <c r="DEO141" s="422"/>
      <c r="DEP141" s="422"/>
      <c r="DEQ141" s="422"/>
      <c r="DER141" s="422"/>
      <c r="DES141" s="422"/>
      <c r="DET141" s="422"/>
      <c r="DEU141" s="422"/>
      <c r="DEV141" s="422"/>
      <c r="DEW141" s="422"/>
      <c r="DEX141" s="422"/>
      <c r="DEY141" s="422"/>
      <c r="DEZ141" s="422"/>
      <c r="DFA141" s="422"/>
      <c r="DFB141" s="422"/>
      <c r="DFC141" s="422"/>
      <c r="DFD141" s="422"/>
      <c r="DFE141" s="422"/>
      <c r="DFF141" s="422"/>
      <c r="DFG141" s="422"/>
      <c r="DFH141" s="422"/>
      <c r="DFI141" s="422"/>
      <c r="DFJ141" s="422"/>
      <c r="DFK141" s="422"/>
      <c r="DFL141" s="422"/>
      <c r="DFM141" s="422"/>
      <c r="DFN141" s="422"/>
      <c r="DFO141" s="422"/>
      <c r="DFP141" s="422"/>
      <c r="DFQ141" s="422"/>
      <c r="DFR141" s="422"/>
      <c r="DFS141" s="422"/>
      <c r="DFT141" s="422"/>
      <c r="DFU141" s="422"/>
      <c r="DFV141" s="422"/>
      <c r="DFW141" s="422"/>
      <c r="DFX141" s="422"/>
      <c r="DFY141" s="422"/>
      <c r="DFZ141" s="422"/>
      <c r="DGA141" s="422"/>
      <c r="DGB141" s="422"/>
      <c r="DGC141" s="422"/>
      <c r="DGD141" s="422"/>
      <c r="DGE141" s="422"/>
      <c r="DGF141" s="422"/>
      <c r="DGG141" s="422"/>
      <c r="DGH141" s="422"/>
      <c r="DGI141" s="422"/>
      <c r="DGJ141" s="422"/>
      <c r="DGK141" s="422"/>
      <c r="DGL141" s="422"/>
      <c r="DGM141" s="422"/>
      <c r="DGN141" s="422"/>
      <c r="DGO141" s="422"/>
      <c r="DGP141" s="422"/>
      <c r="DGQ141" s="422"/>
      <c r="DGR141" s="422"/>
      <c r="DGS141" s="422"/>
      <c r="DGT141" s="422"/>
      <c r="DGU141" s="422"/>
      <c r="DGV141" s="422"/>
      <c r="DGW141" s="422"/>
      <c r="DGX141" s="422"/>
      <c r="DGY141" s="422"/>
      <c r="DGZ141" s="422"/>
      <c r="DHA141" s="422"/>
      <c r="DHB141" s="422"/>
      <c r="DHC141" s="422"/>
      <c r="DHD141" s="422"/>
      <c r="DHE141" s="422"/>
      <c r="DHF141" s="422"/>
      <c r="DHG141" s="422"/>
      <c r="DHH141" s="422"/>
      <c r="DHI141" s="422"/>
      <c r="DHJ141" s="422"/>
      <c r="DHK141" s="422"/>
      <c r="DHL141" s="422"/>
      <c r="DHM141" s="422"/>
      <c r="DHN141" s="422"/>
      <c r="DHO141" s="422"/>
      <c r="DHP141" s="422"/>
      <c r="DHQ141" s="422"/>
      <c r="DHR141" s="422"/>
      <c r="DHS141" s="422"/>
      <c r="DHT141" s="422"/>
      <c r="DHU141" s="422"/>
      <c r="DHV141" s="422"/>
      <c r="DHW141" s="422"/>
      <c r="DHX141" s="422"/>
      <c r="DHY141" s="422"/>
      <c r="DHZ141" s="422"/>
      <c r="DIA141" s="422"/>
      <c r="DIB141" s="422"/>
      <c r="DIC141" s="422"/>
      <c r="DID141" s="422"/>
      <c r="DIE141" s="422"/>
      <c r="DIF141" s="422"/>
      <c r="DIG141" s="422"/>
      <c r="DIH141" s="422"/>
      <c r="DII141" s="422"/>
      <c r="DIJ141" s="422"/>
      <c r="DIK141" s="422"/>
      <c r="DIL141" s="422"/>
      <c r="DIM141" s="422"/>
      <c r="DIN141" s="422"/>
      <c r="DIO141" s="422"/>
      <c r="DIP141" s="422"/>
      <c r="DIQ141" s="422"/>
      <c r="DIR141" s="422"/>
      <c r="DIS141" s="422"/>
      <c r="DIT141" s="422"/>
      <c r="DIU141" s="422"/>
      <c r="DIV141" s="422"/>
      <c r="DIW141" s="422"/>
      <c r="DIX141" s="422"/>
      <c r="DIY141" s="422"/>
      <c r="DIZ141" s="422"/>
      <c r="DJA141" s="422"/>
      <c r="DJB141" s="422"/>
      <c r="DJC141" s="422"/>
      <c r="DJD141" s="422"/>
      <c r="DJE141" s="422"/>
      <c r="DJF141" s="422"/>
      <c r="DJG141" s="422"/>
      <c r="DJH141" s="422"/>
      <c r="DJI141" s="422"/>
      <c r="DJJ141" s="422"/>
      <c r="DJK141" s="422"/>
      <c r="DJL141" s="422"/>
      <c r="DJM141" s="422"/>
      <c r="DJN141" s="422"/>
      <c r="DJO141" s="422"/>
      <c r="DJP141" s="422"/>
      <c r="DJQ141" s="422"/>
      <c r="DJR141" s="422"/>
      <c r="DJS141" s="422"/>
      <c r="DJT141" s="422"/>
      <c r="DJU141" s="422"/>
      <c r="DJV141" s="422"/>
      <c r="DJW141" s="422"/>
      <c r="DJX141" s="422"/>
      <c r="DJY141" s="422"/>
      <c r="DJZ141" s="422"/>
      <c r="DKA141" s="422"/>
      <c r="DKB141" s="422"/>
      <c r="DKC141" s="422"/>
      <c r="DKD141" s="422"/>
      <c r="DKE141" s="422"/>
      <c r="DKF141" s="422"/>
      <c r="DKG141" s="422"/>
      <c r="DKH141" s="422"/>
      <c r="DKI141" s="422"/>
      <c r="DKJ141" s="422"/>
      <c r="DKK141" s="422"/>
      <c r="DKL141" s="422"/>
      <c r="DKM141" s="422"/>
      <c r="DKN141" s="422"/>
      <c r="DKO141" s="422"/>
      <c r="DKP141" s="422"/>
      <c r="DKQ141" s="422"/>
      <c r="DKR141" s="422"/>
      <c r="DKS141" s="422"/>
      <c r="DKT141" s="422"/>
      <c r="DKU141" s="422"/>
      <c r="DKV141" s="422"/>
      <c r="DKW141" s="422"/>
      <c r="DKX141" s="422"/>
      <c r="DKY141" s="422"/>
      <c r="DKZ141" s="422"/>
      <c r="DLA141" s="422"/>
      <c r="DLB141" s="422"/>
      <c r="DLC141" s="422"/>
      <c r="DLD141" s="422"/>
      <c r="DLE141" s="422"/>
      <c r="DLF141" s="422"/>
      <c r="DLG141" s="422"/>
      <c r="DLH141" s="422"/>
      <c r="DLI141" s="422"/>
      <c r="DLJ141" s="422"/>
      <c r="DLK141" s="422"/>
      <c r="DLL141" s="422"/>
      <c r="DLM141" s="422"/>
      <c r="DLN141" s="422"/>
      <c r="DLO141" s="422"/>
      <c r="DLP141" s="422"/>
      <c r="DLQ141" s="422"/>
      <c r="DLR141" s="422"/>
      <c r="DLS141" s="422"/>
      <c r="DLT141" s="422"/>
      <c r="DLU141" s="422"/>
      <c r="DLV141" s="422"/>
      <c r="DLW141" s="422"/>
      <c r="DLX141" s="422"/>
      <c r="DLY141" s="422"/>
      <c r="DLZ141" s="422"/>
      <c r="DMA141" s="422"/>
      <c r="DMB141" s="422"/>
      <c r="DMC141" s="422"/>
      <c r="DMD141" s="422"/>
      <c r="DME141" s="422"/>
      <c r="DMF141" s="422"/>
      <c r="DMG141" s="422"/>
      <c r="DMH141" s="422"/>
      <c r="DMI141" s="422"/>
      <c r="DMJ141" s="422"/>
      <c r="DMK141" s="422"/>
      <c r="DML141" s="422"/>
      <c r="DMM141" s="422"/>
      <c r="DMN141" s="422"/>
      <c r="DMO141" s="422"/>
      <c r="DMP141" s="422"/>
      <c r="DMQ141" s="422"/>
      <c r="DMR141" s="422"/>
      <c r="DMS141" s="422"/>
      <c r="DMT141" s="422"/>
      <c r="DMU141" s="422"/>
      <c r="DMV141" s="422"/>
      <c r="DMW141" s="422"/>
      <c r="DMX141" s="422"/>
      <c r="DMY141" s="422"/>
      <c r="DMZ141" s="422"/>
      <c r="DNA141" s="422"/>
      <c r="DNB141" s="422"/>
      <c r="DNC141" s="422"/>
      <c r="DND141" s="422"/>
      <c r="DNE141" s="422"/>
      <c r="DNF141" s="422"/>
      <c r="DNG141" s="422"/>
      <c r="DNH141" s="422"/>
      <c r="DNI141" s="422"/>
      <c r="DNJ141" s="422"/>
      <c r="DNK141" s="422"/>
      <c r="DNL141" s="422"/>
      <c r="DNM141" s="422"/>
      <c r="DNN141" s="422"/>
      <c r="DNO141" s="422"/>
      <c r="DNP141" s="422"/>
      <c r="DNQ141" s="422"/>
      <c r="DNR141" s="422"/>
      <c r="DNS141" s="422"/>
      <c r="DNT141" s="422"/>
      <c r="DNU141" s="422"/>
      <c r="DNV141" s="422"/>
      <c r="DNW141" s="422"/>
      <c r="DNX141" s="422"/>
      <c r="DNY141" s="422"/>
      <c r="DNZ141" s="422"/>
      <c r="DOA141" s="422"/>
      <c r="DOB141" s="422"/>
      <c r="DOC141" s="422"/>
      <c r="DOD141" s="422"/>
      <c r="DOE141" s="422"/>
      <c r="DOF141" s="422"/>
      <c r="DOG141" s="422"/>
      <c r="DOH141" s="422"/>
      <c r="DOI141" s="422"/>
      <c r="DOJ141" s="422"/>
      <c r="DOK141" s="422"/>
      <c r="DOL141" s="422"/>
      <c r="DOM141" s="422"/>
      <c r="DON141" s="422"/>
      <c r="DOO141" s="422"/>
      <c r="DOP141" s="422"/>
      <c r="DOQ141" s="422"/>
      <c r="DOR141" s="422"/>
      <c r="DOS141" s="422"/>
      <c r="DOT141" s="422"/>
      <c r="DOU141" s="422"/>
      <c r="DOV141" s="422"/>
      <c r="DOW141" s="422"/>
      <c r="DOX141" s="422"/>
      <c r="DOY141" s="422"/>
      <c r="DOZ141" s="422"/>
      <c r="DPA141" s="422"/>
      <c r="DPB141" s="422"/>
      <c r="DPC141" s="422"/>
      <c r="DPD141" s="422"/>
      <c r="DPE141" s="422"/>
      <c r="DPF141" s="422"/>
      <c r="DPG141" s="422"/>
      <c r="DPH141" s="422"/>
      <c r="DPI141" s="422"/>
      <c r="DPJ141" s="422"/>
      <c r="DPK141" s="422"/>
      <c r="DPL141" s="422"/>
      <c r="DPM141" s="422"/>
      <c r="DPN141" s="422"/>
      <c r="DPO141" s="422"/>
      <c r="DPP141" s="422"/>
      <c r="DPQ141" s="422"/>
      <c r="DPR141" s="422"/>
      <c r="DPS141" s="422"/>
      <c r="DPT141" s="422"/>
      <c r="DPU141" s="422"/>
      <c r="DPV141" s="422"/>
      <c r="DPW141" s="422"/>
      <c r="DPX141" s="422"/>
      <c r="DPY141" s="422"/>
      <c r="DPZ141" s="422"/>
      <c r="DQA141" s="422"/>
      <c r="DQB141" s="422"/>
      <c r="DQC141" s="422"/>
      <c r="DQD141" s="422"/>
      <c r="DQE141" s="422"/>
      <c r="DQF141" s="422"/>
      <c r="DQG141" s="422"/>
      <c r="DQH141" s="422"/>
      <c r="DQI141" s="422"/>
      <c r="DQJ141" s="422"/>
      <c r="DQK141" s="422"/>
      <c r="DQL141" s="422"/>
      <c r="DQM141" s="422"/>
      <c r="DQN141" s="422"/>
      <c r="DQO141" s="422"/>
      <c r="DQP141" s="422"/>
      <c r="DQQ141" s="422"/>
      <c r="DQR141" s="422"/>
      <c r="DQS141" s="422"/>
      <c r="DQT141" s="422"/>
      <c r="DQU141" s="422"/>
      <c r="DQV141" s="422"/>
      <c r="DQW141" s="422"/>
      <c r="DQX141" s="422"/>
      <c r="DQY141" s="422"/>
      <c r="DQZ141" s="422"/>
      <c r="DRA141" s="422"/>
      <c r="DRB141" s="422"/>
      <c r="DRC141" s="422"/>
      <c r="DRD141" s="422"/>
      <c r="DRE141" s="422"/>
      <c r="DRF141" s="422"/>
      <c r="DRG141" s="422"/>
      <c r="DRH141" s="422"/>
      <c r="DRI141" s="422"/>
      <c r="DRJ141" s="422"/>
      <c r="DRK141" s="422"/>
      <c r="DRL141" s="422"/>
      <c r="DRM141" s="422"/>
      <c r="DRN141" s="422"/>
      <c r="DRO141" s="422"/>
      <c r="DRP141" s="422"/>
      <c r="DRQ141" s="422"/>
      <c r="DRR141" s="422"/>
      <c r="DRS141" s="422"/>
      <c r="DRT141" s="422"/>
      <c r="DRU141" s="422"/>
      <c r="DRV141" s="422"/>
      <c r="DRW141" s="422"/>
      <c r="DRX141" s="422"/>
      <c r="DRY141" s="422"/>
      <c r="DRZ141" s="422"/>
      <c r="DSA141" s="422"/>
      <c r="DSB141" s="422"/>
      <c r="DSC141" s="422"/>
      <c r="DSD141" s="422"/>
      <c r="DSE141" s="422"/>
      <c r="DSF141" s="422"/>
      <c r="DSG141" s="422"/>
      <c r="DSH141" s="422"/>
      <c r="DSI141" s="422"/>
      <c r="DSJ141" s="422"/>
      <c r="DSK141" s="422"/>
      <c r="DSL141" s="422"/>
      <c r="DSM141" s="422"/>
      <c r="DSN141" s="422"/>
      <c r="DSO141" s="422"/>
      <c r="DSP141" s="422"/>
      <c r="DSQ141" s="422"/>
      <c r="DSR141" s="422"/>
      <c r="DSS141" s="422"/>
      <c r="DST141" s="422"/>
      <c r="DSU141" s="422"/>
      <c r="DSV141" s="422"/>
      <c r="DSW141" s="422"/>
      <c r="DSX141" s="422"/>
      <c r="DSY141" s="422"/>
      <c r="DSZ141" s="422"/>
      <c r="DTA141" s="422"/>
      <c r="DTB141" s="422"/>
      <c r="DTC141" s="422"/>
      <c r="DTD141" s="422"/>
      <c r="DTE141" s="422"/>
      <c r="DTF141" s="422"/>
      <c r="DTG141" s="422"/>
      <c r="DTH141" s="422"/>
      <c r="DTI141" s="422"/>
      <c r="DTJ141" s="422"/>
      <c r="DTK141" s="422"/>
      <c r="DTL141" s="422"/>
      <c r="DTM141" s="422"/>
      <c r="DTN141" s="422"/>
      <c r="DTO141" s="422"/>
      <c r="DTP141" s="422"/>
      <c r="DTQ141" s="422"/>
      <c r="DTR141" s="422"/>
      <c r="DTS141" s="422"/>
      <c r="DTT141" s="422"/>
      <c r="DTU141" s="422"/>
      <c r="DTV141" s="422"/>
      <c r="DTW141" s="422"/>
      <c r="DTX141" s="422"/>
      <c r="DTY141" s="422"/>
      <c r="DTZ141" s="422"/>
      <c r="DUA141" s="422"/>
      <c r="DUB141" s="422"/>
      <c r="DUC141" s="422"/>
      <c r="DUD141" s="422"/>
      <c r="DUE141" s="422"/>
      <c r="DUF141" s="422"/>
      <c r="DUG141" s="422"/>
      <c r="DUH141" s="422"/>
      <c r="DUI141" s="422"/>
      <c r="DUJ141" s="422"/>
      <c r="DUK141" s="422"/>
      <c r="DUL141" s="422"/>
      <c r="DUM141" s="422"/>
      <c r="DUN141" s="422"/>
      <c r="DUO141" s="422"/>
      <c r="DUP141" s="422"/>
      <c r="DUQ141" s="422"/>
      <c r="DUR141" s="422"/>
      <c r="DUS141" s="422"/>
      <c r="DUT141" s="422"/>
      <c r="DUU141" s="422"/>
      <c r="DUV141" s="422"/>
      <c r="DUW141" s="422"/>
      <c r="DUX141" s="422"/>
      <c r="DUY141" s="422"/>
      <c r="DUZ141" s="422"/>
      <c r="DVA141" s="422"/>
      <c r="DVB141" s="422"/>
      <c r="DVC141" s="422"/>
      <c r="DVD141" s="422"/>
      <c r="DVE141" s="422"/>
      <c r="DVF141" s="422"/>
      <c r="DVG141" s="422"/>
      <c r="DVH141" s="422"/>
      <c r="DVI141" s="422"/>
      <c r="DVJ141" s="422"/>
      <c r="DVK141" s="422"/>
      <c r="DVL141" s="422"/>
      <c r="DVM141" s="422"/>
      <c r="DVN141" s="422"/>
      <c r="DVO141" s="422"/>
      <c r="DVP141" s="422"/>
      <c r="DVQ141" s="422"/>
      <c r="DVR141" s="422"/>
      <c r="DVS141" s="422"/>
      <c r="DVT141" s="422"/>
      <c r="DVU141" s="422"/>
      <c r="DVV141" s="422"/>
      <c r="DVW141" s="422"/>
      <c r="DVX141" s="422"/>
      <c r="DVY141" s="422"/>
      <c r="DVZ141" s="422"/>
      <c r="DWA141" s="422"/>
      <c r="DWB141" s="422"/>
      <c r="DWC141" s="422"/>
      <c r="DWD141" s="422"/>
      <c r="DWE141" s="422"/>
      <c r="DWF141" s="422"/>
      <c r="DWG141" s="422"/>
      <c r="DWH141" s="422"/>
      <c r="DWI141" s="422"/>
      <c r="DWJ141" s="422"/>
      <c r="DWK141" s="422"/>
      <c r="DWL141" s="422"/>
      <c r="DWM141" s="422"/>
      <c r="DWN141" s="422"/>
      <c r="DWO141" s="422"/>
      <c r="DWP141" s="422"/>
      <c r="DWQ141" s="422"/>
      <c r="DWR141" s="422"/>
      <c r="DWS141" s="422"/>
      <c r="DWT141" s="422"/>
      <c r="DWU141" s="422"/>
      <c r="DWV141" s="422"/>
      <c r="DWW141" s="422"/>
      <c r="DWX141" s="422"/>
      <c r="DWY141" s="422"/>
      <c r="DWZ141" s="422"/>
      <c r="DXA141" s="422"/>
      <c r="DXB141" s="422"/>
      <c r="DXC141" s="422"/>
      <c r="DXD141" s="422"/>
      <c r="DXE141" s="422"/>
      <c r="DXF141" s="422"/>
      <c r="DXG141" s="422"/>
      <c r="DXH141" s="422"/>
      <c r="DXI141" s="422"/>
      <c r="DXJ141" s="422"/>
      <c r="DXK141" s="422"/>
      <c r="DXL141" s="422"/>
      <c r="DXM141" s="422"/>
      <c r="DXN141" s="422"/>
      <c r="DXO141" s="422"/>
      <c r="DXP141" s="422"/>
      <c r="DXQ141" s="422"/>
      <c r="DXR141" s="422"/>
      <c r="DXS141" s="422"/>
      <c r="DXT141" s="422"/>
      <c r="DXU141" s="422"/>
      <c r="DXV141" s="422"/>
      <c r="DXW141" s="422"/>
      <c r="DXX141" s="422"/>
      <c r="DXY141" s="422"/>
      <c r="DXZ141" s="422"/>
      <c r="DYA141" s="422"/>
      <c r="DYB141" s="422"/>
      <c r="DYC141" s="422"/>
      <c r="DYD141" s="422"/>
      <c r="DYE141" s="422"/>
      <c r="DYF141" s="422"/>
      <c r="DYG141" s="422"/>
      <c r="DYH141" s="422"/>
      <c r="DYI141" s="422"/>
      <c r="DYJ141" s="422"/>
      <c r="DYK141" s="422"/>
      <c r="DYL141" s="422"/>
      <c r="DYM141" s="422"/>
      <c r="DYN141" s="422"/>
      <c r="DYO141" s="422"/>
      <c r="DYP141" s="422"/>
      <c r="DYQ141" s="422"/>
      <c r="DYR141" s="422"/>
      <c r="DYS141" s="422"/>
      <c r="DYT141" s="422"/>
      <c r="DYU141" s="422"/>
      <c r="DYV141" s="422"/>
      <c r="DYW141" s="422"/>
      <c r="DYX141" s="422"/>
      <c r="DYY141" s="422"/>
      <c r="DYZ141" s="422"/>
      <c r="DZA141" s="422"/>
      <c r="DZB141" s="422"/>
      <c r="DZC141" s="422"/>
      <c r="DZD141" s="422"/>
      <c r="DZE141" s="422"/>
      <c r="DZF141" s="422"/>
      <c r="DZG141" s="422"/>
      <c r="DZH141" s="422"/>
      <c r="DZI141" s="422"/>
      <c r="DZJ141" s="422"/>
      <c r="DZK141" s="422"/>
      <c r="DZL141" s="422"/>
      <c r="DZM141" s="422"/>
      <c r="DZN141" s="422"/>
      <c r="DZO141" s="422"/>
      <c r="DZP141" s="422"/>
      <c r="DZQ141" s="422"/>
      <c r="DZR141" s="422"/>
      <c r="DZS141" s="422"/>
      <c r="DZT141" s="422"/>
      <c r="DZU141" s="422"/>
      <c r="DZV141" s="422"/>
      <c r="DZW141" s="422"/>
      <c r="DZX141" s="422"/>
      <c r="DZY141" s="422"/>
      <c r="DZZ141" s="422"/>
      <c r="EAA141" s="422"/>
      <c r="EAB141" s="422"/>
      <c r="EAC141" s="422"/>
      <c r="EAD141" s="422"/>
      <c r="EAE141" s="422"/>
      <c r="EAF141" s="422"/>
      <c r="EAG141" s="422"/>
      <c r="EAH141" s="422"/>
      <c r="EAI141" s="422"/>
      <c r="EAJ141" s="422"/>
      <c r="EAK141" s="422"/>
      <c r="EAL141" s="422"/>
      <c r="EAM141" s="422"/>
      <c r="EAN141" s="422"/>
      <c r="EAO141" s="422"/>
      <c r="EAP141" s="422"/>
      <c r="EAQ141" s="422"/>
      <c r="EAR141" s="422"/>
      <c r="EAS141" s="422"/>
      <c r="EAT141" s="422"/>
      <c r="EAU141" s="422"/>
      <c r="EAV141" s="422"/>
      <c r="EAW141" s="422"/>
      <c r="EAX141" s="422"/>
      <c r="EAY141" s="422"/>
      <c r="EAZ141" s="422"/>
      <c r="EBA141" s="422"/>
      <c r="EBB141" s="422"/>
      <c r="EBC141" s="422"/>
      <c r="EBD141" s="422"/>
      <c r="EBE141" s="422"/>
      <c r="EBF141" s="422"/>
      <c r="EBG141" s="422"/>
      <c r="EBH141" s="422"/>
      <c r="EBI141" s="422"/>
      <c r="EBJ141" s="422"/>
      <c r="EBK141" s="422"/>
      <c r="EBL141" s="422"/>
      <c r="EBM141" s="422"/>
      <c r="EBN141" s="422"/>
      <c r="EBO141" s="422"/>
      <c r="EBP141" s="422"/>
      <c r="EBQ141" s="422"/>
      <c r="EBR141" s="422"/>
      <c r="EBS141" s="422"/>
      <c r="EBT141" s="422"/>
      <c r="EBU141" s="422"/>
      <c r="EBV141" s="422"/>
      <c r="EBW141" s="422"/>
      <c r="EBX141" s="422"/>
      <c r="EBY141" s="422"/>
      <c r="EBZ141" s="422"/>
      <c r="ECA141" s="422"/>
      <c r="ECB141" s="422"/>
      <c r="ECC141" s="422"/>
      <c r="ECD141" s="422"/>
      <c r="ECE141" s="422"/>
      <c r="ECF141" s="422"/>
      <c r="ECG141" s="422"/>
      <c r="ECH141" s="422"/>
      <c r="ECI141" s="422"/>
      <c r="ECJ141" s="422"/>
      <c r="ECK141" s="422"/>
      <c r="ECL141" s="422"/>
      <c r="ECM141" s="422"/>
      <c r="ECN141" s="422"/>
      <c r="ECO141" s="422"/>
      <c r="ECP141" s="422"/>
      <c r="ECQ141" s="422"/>
      <c r="ECR141" s="422"/>
      <c r="ECS141" s="422"/>
      <c r="ECT141" s="422"/>
      <c r="ECU141" s="422"/>
      <c r="ECV141" s="422"/>
      <c r="ECW141" s="422"/>
      <c r="ECX141" s="422"/>
      <c r="ECY141" s="422"/>
      <c r="ECZ141" s="422"/>
      <c r="EDA141" s="422"/>
      <c r="EDB141" s="422"/>
      <c r="EDC141" s="422"/>
      <c r="EDD141" s="422"/>
      <c r="EDE141" s="422"/>
      <c r="EDF141" s="422"/>
      <c r="EDG141" s="422"/>
      <c r="EDH141" s="422"/>
      <c r="EDI141" s="422"/>
      <c r="EDJ141" s="422"/>
      <c r="EDK141" s="422"/>
      <c r="EDL141" s="422"/>
      <c r="EDM141" s="422"/>
      <c r="EDN141" s="422"/>
      <c r="EDO141" s="422"/>
      <c r="EDP141" s="422"/>
      <c r="EDQ141" s="422"/>
      <c r="EDR141" s="422"/>
      <c r="EDS141" s="422"/>
      <c r="EDT141" s="422"/>
      <c r="EDU141" s="422"/>
      <c r="EDV141" s="422"/>
      <c r="EDW141" s="422"/>
      <c r="EDX141" s="422"/>
      <c r="EDY141" s="422"/>
      <c r="EDZ141" s="422"/>
      <c r="EEA141" s="422"/>
      <c r="EEB141" s="422"/>
      <c r="EEC141" s="422"/>
      <c r="EED141" s="422"/>
      <c r="EEE141" s="422"/>
      <c r="EEF141" s="422"/>
      <c r="EEG141" s="422"/>
      <c r="EEH141" s="422"/>
      <c r="EEI141" s="422"/>
      <c r="EEJ141" s="422"/>
      <c r="EEK141" s="422"/>
      <c r="EEL141" s="422"/>
      <c r="EEM141" s="422"/>
      <c r="EEN141" s="422"/>
      <c r="EEO141" s="422"/>
      <c r="EEP141" s="422"/>
      <c r="EEQ141" s="422"/>
      <c r="EER141" s="422"/>
      <c r="EES141" s="422"/>
      <c r="EET141" s="422"/>
      <c r="EEU141" s="422"/>
      <c r="EEV141" s="422"/>
      <c r="EEW141" s="422"/>
      <c r="EEX141" s="422"/>
      <c r="EEY141" s="422"/>
      <c r="EEZ141" s="422"/>
      <c r="EFA141" s="422"/>
      <c r="EFB141" s="422"/>
      <c r="EFC141" s="422"/>
      <c r="EFD141" s="422"/>
      <c r="EFE141" s="422"/>
      <c r="EFF141" s="422"/>
      <c r="EFG141" s="422"/>
      <c r="EFH141" s="422"/>
      <c r="EFI141" s="422"/>
      <c r="EFJ141" s="422"/>
      <c r="EFK141" s="422"/>
      <c r="EFL141" s="422"/>
      <c r="EFM141" s="422"/>
      <c r="EFN141" s="422"/>
      <c r="EFO141" s="422"/>
      <c r="EFP141" s="422"/>
      <c r="EFQ141" s="422"/>
      <c r="EFR141" s="422"/>
      <c r="EFS141" s="422"/>
      <c r="EFT141" s="422"/>
      <c r="EFU141" s="422"/>
      <c r="EFV141" s="422"/>
      <c r="EFW141" s="422"/>
      <c r="EFX141" s="422"/>
      <c r="EFY141" s="422"/>
      <c r="EFZ141" s="422"/>
      <c r="EGA141" s="422"/>
      <c r="EGB141" s="422"/>
      <c r="EGC141" s="422"/>
      <c r="EGD141" s="422"/>
      <c r="EGE141" s="422"/>
      <c r="EGF141" s="422"/>
      <c r="EGG141" s="422"/>
      <c r="EGH141" s="422"/>
      <c r="EGI141" s="422"/>
      <c r="EGJ141" s="422"/>
      <c r="EGK141" s="422"/>
      <c r="EGL141" s="422"/>
      <c r="EGM141" s="422"/>
      <c r="EGN141" s="422"/>
      <c r="EGO141" s="422"/>
      <c r="EGP141" s="422"/>
      <c r="EGQ141" s="422"/>
      <c r="EGR141" s="422"/>
      <c r="EGS141" s="422"/>
      <c r="EGT141" s="422"/>
      <c r="EGU141" s="422"/>
      <c r="EGV141" s="422"/>
      <c r="EGW141" s="422"/>
      <c r="EGX141" s="422"/>
      <c r="EGY141" s="422"/>
      <c r="EGZ141" s="422"/>
      <c r="EHA141" s="422"/>
      <c r="EHB141" s="422"/>
      <c r="EHC141" s="422"/>
      <c r="EHD141" s="422"/>
      <c r="EHE141" s="422"/>
      <c r="EHF141" s="422"/>
      <c r="EHG141" s="422"/>
      <c r="EHH141" s="422"/>
      <c r="EHI141" s="422"/>
      <c r="EHJ141" s="422"/>
      <c r="EHK141" s="422"/>
      <c r="EHL141" s="422"/>
      <c r="EHM141" s="422"/>
      <c r="EHN141" s="422"/>
      <c r="EHO141" s="422"/>
      <c r="EHP141" s="422"/>
      <c r="EHQ141" s="422"/>
      <c r="EHR141" s="422"/>
      <c r="EHS141" s="422"/>
      <c r="EHT141" s="422"/>
      <c r="EHU141" s="422"/>
      <c r="EHV141" s="422"/>
      <c r="EHW141" s="422"/>
      <c r="EHX141" s="422"/>
      <c r="EHY141" s="422"/>
      <c r="EHZ141" s="422"/>
      <c r="EIA141" s="422"/>
      <c r="EIB141" s="422"/>
      <c r="EIC141" s="422"/>
      <c r="EID141" s="422"/>
      <c r="EIE141" s="422"/>
      <c r="EIF141" s="422"/>
      <c r="EIG141" s="422"/>
      <c r="EIH141" s="422"/>
      <c r="EII141" s="422"/>
      <c r="EIJ141" s="422"/>
      <c r="EIK141" s="422"/>
      <c r="EIL141" s="422"/>
      <c r="EIM141" s="422"/>
      <c r="EIN141" s="422"/>
      <c r="EIO141" s="422"/>
      <c r="EIP141" s="422"/>
      <c r="EIQ141" s="422"/>
      <c r="EIR141" s="422"/>
      <c r="EIS141" s="422"/>
      <c r="EIT141" s="422"/>
      <c r="EIU141" s="422"/>
      <c r="EIV141" s="422"/>
      <c r="EIW141" s="422"/>
      <c r="EIX141" s="422"/>
      <c r="EIY141" s="422"/>
      <c r="EIZ141" s="422"/>
      <c r="EJA141" s="422"/>
      <c r="EJB141" s="422"/>
      <c r="EJC141" s="422"/>
      <c r="EJD141" s="422"/>
      <c r="EJE141" s="422"/>
      <c r="EJF141" s="422"/>
      <c r="EJG141" s="422"/>
      <c r="EJH141" s="422"/>
      <c r="EJI141" s="422"/>
      <c r="EJJ141" s="422"/>
      <c r="EJK141" s="422"/>
      <c r="EJL141" s="422"/>
      <c r="EJM141" s="422"/>
      <c r="EJN141" s="422"/>
      <c r="EJO141" s="422"/>
      <c r="EJP141" s="422"/>
      <c r="EJQ141" s="422"/>
      <c r="EJR141" s="422"/>
      <c r="EJS141" s="422"/>
      <c r="EJT141" s="422"/>
      <c r="EJU141" s="422"/>
      <c r="EJV141" s="422"/>
      <c r="EJW141" s="422"/>
      <c r="EJX141" s="422"/>
      <c r="EJY141" s="422"/>
      <c r="EJZ141" s="422"/>
      <c r="EKA141" s="422"/>
      <c r="EKB141" s="422"/>
      <c r="EKC141" s="422"/>
      <c r="EKD141" s="422"/>
      <c r="EKE141" s="422"/>
      <c r="EKF141" s="422"/>
      <c r="EKG141" s="422"/>
      <c r="EKH141" s="422"/>
      <c r="EKI141" s="422"/>
      <c r="EKJ141" s="422"/>
      <c r="EKK141" s="422"/>
      <c r="EKL141" s="422"/>
      <c r="EKM141" s="422"/>
      <c r="EKN141" s="422"/>
      <c r="EKO141" s="422"/>
      <c r="EKP141" s="422"/>
      <c r="EKQ141" s="422"/>
      <c r="EKR141" s="422"/>
      <c r="EKS141" s="422"/>
      <c r="EKT141" s="422"/>
      <c r="EKU141" s="422"/>
      <c r="EKV141" s="422"/>
      <c r="EKW141" s="422"/>
      <c r="EKX141" s="422"/>
      <c r="EKY141" s="422"/>
      <c r="EKZ141" s="422"/>
      <c r="ELA141" s="422"/>
      <c r="ELB141" s="422"/>
      <c r="ELC141" s="422"/>
      <c r="ELD141" s="422"/>
      <c r="ELE141" s="422"/>
      <c r="ELF141" s="422"/>
      <c r="ELG141" s="422"/>
      <c r="ELH141" s="422"/>
      <c r="ELI141" s="422"/>
      <c r="ELJ141" s="422"/>
      <c r="ELK141" s="422"/>
      <c r="ELL141" s="422"/>
      <c r="ELM141" s="422"/>
      <c r="ELN141" s="422"/>
      <c r="ELO141" s="422"/>
      <c r="ELP141" s="422"/>
      <c r="ELQ141" s="422"/>
      <c r="ELR141" s="422"/>
      <c r="ELS141" s="422"/>
      <c r="ELT141" s="422"/>
      <c r="ELU141" s="422"/>
      <c r="ELV141" s="422"/>
      <c r="ELW141" s="422"/>
      <c r="ELX141" s="422"/>
      <c r="ELY141" s="422"/>
      <c r="ELZ141" s="422"/>
      <c r="EMA141" s="422"/>
      <c r="EMB141" s="422"/>
      <c r="EMC141" s="422"/>
      <c r="EMD141" s="422"/>
      <c r="EME141" s="422"/>
      <c r="EMF141" s="422"/>
      <c r="EMG141" s="422"/>
      <c r="EMH141" s="422"/>
      <c r="EMI141" s="422"/>
      <c r="EMJ141" s="422"/>
      <c r="EMK141" s="422"/>
      <c r="EML141" s="422"/>
      <c r="EMM141" s="422"/>
      <c r="EMN141" s="422"/>
      <c r="EMO141" s="422"/>
      <c r="EMP141" s="422"/>
      <c r="EMQ141" s="422"/>
      <c r="EMR141" s="422"/>
      <c r="EMS141" s="422"/>
      <c r="EMT141" s="422"/>
      <c r="EMU141" s="422"/>
      <c r="EMV141" s="422"/>
      <c r="EMW141" s="422"/>
      <c r="EMX141" s="422"/>
      <c r="EMY141" s="422"/>
      <c r="EMZ141" s="422"/>
      <c r="ENA141" s="422"/>
      <c r="ENB141" s="422"/>
      <c r="ENC141" s="422"/>
      <c r="END141" s="422"/>
      <c r="ENE141" s="422"/>
      <c r="ENF141" s="422"/>
      <c r="ENG141" s="422"/>
      <c r="ENH141" s="422"/>
      <c r="ENI141" s="422"/>
      <c r="ENJ141" s="422"/>
      <c r="ENK141" s="422"/>
      <c r="ENL141" s="422"/>
      <c r="ENM141" s="422"/>
      <c r="ENN141" s="422"/>
      <c r="ENO141" s="422"/>
      <c r="ENP141" s="422"/>
      <c r="ENQ141" s="422"/>
      <c r="ENR141" s="422"/>
      <c r="ENS141" s="422"/>
      <c r="ENT141" s="422"/>
      <c r="ENU141" s="422"/>
      <c r="ENV141" s="422"/>
      <c r="ENW141" s="422"/>
      <c r="ENX141" s="422"/>
      <c r="ENY141" s="422"/>
      <c r="ENZ141" s="422"/>
      <c r="EOA141" s="422"/>
      <c r="EOB141" s="422"/>
      <c r="EOC141" s="422"/>
      <c r="EOD141" s="422"/>
      <c r="EOE141" s="422"/>
      <c r="EOF141" s="422"/>
      <c r="EOG141" s="422"/>
      <c r="EOH141" s="422"/>
      <c r="EOI141" s="422"/>
      <c r="EOJ141" s="422"/>
      <c r="EOK141" s="422"/>
      <c r="EOL141" s="422"/>
      <c r="EOM141" s="422"/>
      <c r="EON141" s="422"/>
      <c r="EOO141" s="422"/>
      <c r="EOP141" s="422"/>
      <c r="EOQ141" s="422"/>
      <c r="EOR141" s="422"/>
      <c r="EOS141" s="422"/>
      <c r="EOT141" s="422"/>
      <c r="EOU141" s="422"/>
      <c r="EOV141" s="422"/>
      <c r="EOW141" s="422"/>
      <c r="EOX141" s="422"/>
      <c r="EOY141" s="422"/>
      <c r="EOZ141" s="422"/>
      <c r="EPA141" s="422"/>
      <c r="EPB141" s="422"/>
      <c r="EPC141" s="422"/>
      <c r="EPD141" s="422"/>
      <c r="EPE141" s="422"/>
      <c r="EPF141" s="422"/>
      <c r="EPG141" s="422"/>
      <c r="EPH141" s="422"/>
      <c r="EPI141" s="422"/>
      <c r="EPJ141" s="422"/>
      <c r="EPK141" s="422"/>
      <c r="EPL141" s="422"/>
      <c r="EPM141" s="422"/>
      <c r="EPN141" s="422"/>
      <c r="EPO141" s="422"/>
      <c r="EPP141" s="422"/>
      <c r="EPQ141" s="422"/>
      <c r="EPR141" s="422"/>
      <c r="EPS141" s="422"/>
      <c r="EPT141" s="422"/>
      <c r="EPU141" s="422"/>
      <c r="EPV141" s="422"/>
      <c r="EPW141" s="422"/>
      <c r="EPX141" s="422"/>
      <c r="EPY141" s="422"/>
      <c r="EPZ141" s="422"/>
      <c r="EQA141" s="422"/>
      <c r="EQB141" s="422"/>
      <c r="EQC141" s="422"/>
      <c r="EQD141" s="422"/>
      <c r="EQE141" s="422"/>
      <c r="EQF141" s="422"/>
      <c r="EQG141" s="422"/>
      <c r="EQH141" s="422"/>
      <c r="EQI141" s="422"/>
      <c r="EQJ141" s="422"/>
      <c r="EQK141" s="422"/>
      <c r="EQL141" s="422"/>
      <c r="EQM141" s="422"/>
      <c r="EQN141" s="422"/>
      <c r="EQO141" s="422"/>
      <c r="EQP141" s="422"/>
      <c r="EQQ141" s="422"/>
      <c r="EQR141" s="422"/>
      <c r="EQS141" s="422"/>
      <c r="EQT141" s="422"/>
      <c r="EQU141" s="422"/>
      <c r="EQV141" s="422"/>
      <c r="EQW141" s="422"/>
      <c r="EQX141" s="422"/>
      <c r="EQY141" s="422"/>
      <c r="EQZ141" s="422"/>
      <c r="ERA141" s="422"/>
      <c r="ERB141" s="422"/>
      <c r="ERC141" s="422"/>
      <c r="ERD141" s="422"/>
      <c r="ERE141" s="422"/>
      <c r="ERF141" s="422"/>
      <c r="ERG141" s="422"/>
      <c r="ERH141" s="422"/>
      <c r="ERI141" s="422"/>
      <c r="ERJ141" s="422"/>
      <c r="ERK141" s="422"/>
      <c r="ERL141" s="422"/>
      <c r="ERM141" s="422"/>
      <c r="ERN141" s="422"/>
      <c r="ERO141" s="422"/>
      <c r="ERP141" s="422"/>
      <c r="ERQ141" s="422"/>
      <c r="ERR141" s="422"/>
      <c r="ERS141" s="422"/>
      <c r="ERT141" s="422"/>
      <c r="ERU141" s="422"/>
      <c r="ERV141" s="422"/>
      <c r="ERW141" s="422"/>
      <c r="ERX141" s="422"/>
      <c r="ERY141" s="422"/>
      <c r="ERZ141" s="422"/>
      <c r="ESA141" s="422"/>
      <c r="ESB141" s="422"/>
      <c r="ESC141" s="422"/>
      <c r="ESD141" s="422"/>
      <c r="ESE141" s="422"/>
      <c r="ESF141" s="422"/>
      <c r="ESG141" s="422"/>
      <c r="ESH141" s="422"/>
      <c r="ESI141" s="422"/>
      <c r="ESJ141" s="422"/>
      <c r="ESK141" s="422"/>
      <c r="ESL141" s="422"/>
      <c r="ESM141" s="422"/>
      <c r="ESN141" s="422"/>
      <c r="ESO141" s="422"/>
      <c r="ESP141" s="422"/>
      <c r="ESQ141" s="422"/>
      <c r="ESR141" s="422"/>
      <c r="ESS141" s="422"/>
      <c r="EST141" s="422"/>
      <c r="ESU141" s="422"/>
      <c r="ESV141" s="422"/>
      <c r="ESW141" s="422"/>
      <c r="ESX141" s="422"/>
      <c r="ESY141" s="422"/>
      <c r="ESZ141" s="422"/>
      <c r="ETA141" s="422"/>
      <c r="ETB141" s="422"/>
      <c r="ETC141" s="422"/>
      <c r="ETD141" s="422"/>
      <c r="ETE141" s="422"/>
      <c r="ETF141" s="422"/>
      <c r="ETG141" s="422"/>
      <c r="ETH141" s="422"/>
      <c r="ETI141" s="422"/>
      <c r="ETJ141" s="422"/>
      <c r="ETK141" s="422"/>
      <c r="ETL141" s="422"/>
      <c r="ETM141" s="422"/>
      <c r="ETN141" s="422"/>
      <c r="ETO141" s="422"/>
      <c r="ETP141" s="422"/>
      <c r="ETQ141" s="422"/>
      <c r="ETR141" s="422"/>
      <c r="ETS141" s="422"/>
      <c r="ETT141" s="422"/>
      <c r="ETU141" s="422"/>
      <c r="ETV141" s="422"/>
      <c r="ETW141" s="422"/>
      <c r="ETX141" s="422"/>
      <c r="ETY141" s="422"/>
      <c r="ETZ141" s="422"/>
      <c r="EUA141" s="422"/>
      <c r="EUB141" s="422"/>
      <c r="EUC141" s="422"/>
      <c r="EUD141" s="422"/>
      <c r="EUE141" s="422"/>
      <c r="EUF141" s="422"/>
      <c r="EUG141" s="422"/>
      <c r="EUH141" s="422"/>
      <c r="EUI141" s="422"/>
      <c r="EUJ141" s="422"/>
      <c r="EUK141" s="422"/>
      <c r="EUL141" s="422"/>
      <c r="EUM141" s="422"/>
      <c r="EUN141" s="422"/>
      <c r="EUO141" s="422"/>
      <c r="EUP141" s="422"/>
      <c r="EUQ141" s="422"/>
      <c r="EUR141" s="422"/>
      <c r="EUS141" s="422"/>
      <c r="EUT141" s="422"/>
      <c r="EUU141" s="422"/>
      <c r="EUV141" s="422"/>
      <c r="EUW141" s="422"/>
      <c r="EUX141" s="422"/>
      <c r="EUY141" s="422"/>
      <c r="EUZ141" s="422"/>
      <c r="EVA141" s="422"/>
      <c r="EVB141" s="422"/>
      <c r="EVC141" s="422"/>
      <c r="EVD141" s="422"/>
      <c r="EVE141" s="422"/>
      <c r="EVF141" s="422"/>
      <c r="EVG141" s="422"/>
      <c r="EVH141" s="422"/>
      <c r="EVI141" s="422"/>
      <c r="EVJ141" s="422"/>
      <c r="EVK141" s="422"/>
      <c r="EVL141" s="422"/>
      <c r="EVM141" s="422"/>
      <c r="EVN141" s="422"/>
      <c r="EVO141" s="422"/>
      <c r="EVP141" s="422"/>
      <c r="EVQ141" s="422"/>
      <c r="EVR141" s="422"/>
      <c r="EVS141" s="422"/>
      <c r="EVT141" s="422"/>
      <c r="EVU141" s="422"/>
      <c r="EVV141" s="422"/>
      <c r="EVW141" s="422"/>
      <c r="EVX141" s="422"/>
      <c r="EVY141" s="422"/>
      <c r="EVZ141" s="422"/>
      <c r="EWA141" s="422"/>
      <c r="EWB141" s="422"/>
      <c r="EWC141" s="422"/>
      <c r="EWD141" s="422"/>
      <c r="EWE141" s="422"/>
      <c r="EWF141" s="422"/>
      <c r="EWG141" s="422"/>
      <c r="EWH141" s="422"/>
      <c r="EWI141" s="422"/>
      <c r="EWJ141" s="422"/>
      <c r="EWK141" s="422"/>
      <c r="EWL141" s="422"/>
      <c r="EWM141" s="422"/>
      <c r="EWN141" s="422"/>
      <c r="EWO141" s="422"/>
      <c r="EWP141" s="422"/>
      <c r="EWQ141" s="422"/>
      <c r="EWR141" s="422"/>
      <c r="EWS141" s="422"/>
      <c r="EWT141" s="422"/>
      <c r="EWU141" s="422"/>
      <c r="EWV141" s="422"/>
      <c r="EWW141" s="422"/>
      <c r="EWX141" s="422"/>
      <c r="EWY141" s="422"/>
      <c r="EWZ141" s="422"/>
      <c r="EXA141" s="422"/>
      <c r="EXB141" s="422"/>
      <c r="EXC141" s="422"/>
      <c r="EXD141" s="422"/>
      <c r="EXE141" s="422"/>
      <c r="EXF141" s="422"/>
      <c r="EXG141" s="422"/>
      <c r="EXH141" s="422"/>
      <c r="EXI141" s="422"/>
      <c r="EXJ141" s="422"/>
      <c r="EXK141" s="422"/>
      <c r="EXL141" s="422"/>
      <c r="EXM141" s="422"/>
      <c r="EXN141" s="422"/>
      <c r="EXO141" s="422"/>
      <c r="EXP141" s="422"/>
      <c r="EXQ141" s="422"/>
      <c r="EXR141" s="422"/>
      <c r="EXS141" s="422"/>
      <c r="EXT141" s="422"/>
      <c r="EXU141" s="422"/>
      <c r="EXV141" s="422"/>
      <c r="EXW141" s="422"/>
      <c r="EXX141" s="422"/>
      <c r="EXY141" s="422"/>
      <c r="EXZ141" s="422"/>
      <c r="EYA141" s="422"/>
      <c r="EYB141" s="422"/>
      <c r="EYC141" s="422"/>
      <c r="EYD141" s="422"/>
      <c r="EYE141" s="422"/>
      <c r="EYF141" s="422"/>
      <c r="EYG141" s="422"/>
      <c r="EYH141" s="422"/>
      <c r="EYI141" s="422"/>
      <c r="EYJ141" s="422"/>
      <c r="EYK141" s="422"/>
      <c r="EYL141" s="422"/>
      <c r="EYM141" s="422"/>
      <c r="EYN141" s="422"/>
      <c r="EYO141" s="422"/>
      <c r="EYP141" s="422"/>
      <c r="EYQ141" s="422"/>
      <c r="EYR141" s="422"/>
      <c r="EYS141" s="422"/>
      <c r="EYT141" s="422"/>
      <c r="EYU141" s="422"/>
      <c r="EYV141" s="422"/>
      <c r="EYW141" s="422"/>
      <c r="EYX141" s="422"/>
      <c r="EYY141" s="422"/>
      <c r="EYZ141" s="422"/>
      <c r="EZA141" s="422"/>
      <c r="EZB141" s="422"/>
      <c r="EZC141" s="422"/>
      <c r="EZD141" s="422"/>
      <c r="EZE141" s="422"/>
      <c r="EZF141" s="422"/>
      <c r="EZG141" s="422"/>
      <c r="EZH141" s="422"/>
      <c r="EZI141" s="422"/>
      <c r="EZJ141" s="422"/>
      <c r="EZK141" s="422"/>
      <c r="EZL141" s="422"/>
      <c r="EZM141" s="422"/>
      <c r="EZN141" s="422"/>
      <c r="EZO141" s="422"/>
      <c r="EZP141" s="422"/>
      <c r="EZQ141" s="422"/>
      <c r="EZR141" s="422"/>
      <c r="EZS141" s="422"/>
      <c r="EZT141" s="422"/>
      <c r="EZU141" s="422"/>
      <c r="EZV141" s="422"/>
      <c r="EZW141" s="422"/>
      <c r="EZX141" s="422"/>
      <c r="EZY141" s="422"/>
      <c r="EZZ141" s="422"/>
      <c r="FAA141" s="422"/>
      <c r="FAB141" s="422"/>
      <c r="FAC141" s="422"/>
      <c r="FAD141" s="422"/>
      <c r="FAE141" s="422"/>
      <c r="FAF141" s="422"/>
      <c r="FAG141" s="422"/>
      <c r="FAH141" s="422"/>
      <c r="FAI141" s="422"/>
      <c r="FAJ141" s="422"/>
      <c r="FAK141" s="422"/>
      <c r="FAL141" s="422"/>
      <c r="FAM141" s="422"/>
      <c r="FAN141" s="422"/>
      <c r="FAO141" s="422"/>
      <c r="FAP141" s="422"/>
      <c r="FAQ141" s="422"/>
      <c r="FAR141" s="422"/>
      <c r="FAS141" s="422"/>
      <c r="FAT141" s="422"/>
      <c r="FAU141" s="422"/>
      <c r="FAV141" s="422"/>
      <c r="FAW141" s="422"/>
      <c r="FAX141" s="422"/>
      <c r="FAY141" s="422"/>
      <c r="FAZ141" s="422"/>
      <c r="FBA141" s="422"/>
      <c r="FBB141" s="422"/>
      <c r="FBC141" s="422"/>
      <c r="FBD141" s="422"/>
      <c r="FBE141" s="422"/>
      <c r="FBF141" s="422"/>
      <c r="FBG141" s="422"/>
      <c r="FBH141" s="422"/>
      <c r="FBI141" s="422"/>
      <c r="FBJ141" s="422"/>
      <c r="FBK141" s="422"/>
      <c r="FBL141" s="422"/>
      <c r="FBM141" s="422"/>
      <c r="FBN141" s="422"/>
      <c r="FBO141" s="422"/>
      <c r="FBP141" s="422"/>
      <c r="FBQ141" s="422"/>
      <c r="FBR141" s="422"/>
      <c r="FBS141" s="422"/>
      <c r="FBT141" s="422"/>
      <c r="FBU141" s="422"/>
      <c r="FBV141" s="422"/>
      <c r="FBW141" s="422"/>
      <c r="FBX141" s="422"/>
      <c r="FBY141" s="422"/>
      <c r="FBZ141" s="422"/>
      <c r="FCA141" s="422"/>
      <c r="FCB141" s="422"/>
      <c r="FCC141" s="422"/>
      <c r="FCD141" s="422"/>
      <c r="FCE141" s="422"/>
      <c r="FCF141" s="422"/>
      <c r="FCG141" s="422"/>
      <c r="FCH141" s="422"/>
      <c r="FCI141" s="422"/>
      <c r="FCJ141" s="422"/>
      <c r="FCK141" s="422"/>
      <c r="FCL141" s="422"/>
      <c r="FCM141" s="422"/>
      <c r="FCN141" s="422"/>
      <c r="FCO141" s="422"/>
      <c r="FCP141" s="422"/>
      <c r="FCQ141" s="422"/>
      <c r="FCR141" s="422"/>
      <c r="FCS141" s="422"/>
      <c r="FCT141" s="422"/>
      <c r="FCU141" s="422"/>
      <c r="FCV141" s="422"/>
      <c r="FCW141" s="422"/>
      <c r="FCX141" s="422"/>
      <c r="FCY141" s="422"/>
      <c r="FCZ141" s="422"/>
      <c r="FDA141" s="422"/>
      <c r="FDB141" s="422"/>
      <c r="FDC141" s="422"/>
      <c r="FDD141" s="422"/>
      <c r="FDE141" s="422"/>
      <c r="FDF141" s="422"/>
      <c r="FDG141" s="422"/>
      <c r="FDH141" s="422"/>
      <c r="FDI141" s="422"/>
      <c r="FDJ141" s="422"/>
      <c r="FDK141" s="422"/>
      <c r="FDL141" s="422"/>
      <c r="FDM141" s="422"/>
      <c r="FDN141" s="422"/>
      <c r="FDO141" s="422"/>
      <c r="FDP141" s="422"/>
      <c r="FDQ141" s="422"/>
      <c r="FDR141" s="422"/>
      <c r="FDS141" s="422"/>
      <c r="FDT141" s="422"/>
      <c r="FDU141" s="422"/>
      <c r="FDV141" s="422"/>
      <c r="FDW141" s="422"/>
      <c r="FDX141" s="422"/>
      <c r="FDY141" s="422"/>
      <c r="FDZ141" s="422"/>
      <c r="FEA141" s="422"/>
      <c r="FEB141" s="422"/>
      <c r="FEC141" s="422"/>
      <c r="FED141" s="422"/>
      <c r="FEE141" s="422"/>
      <c r="FEF141" s="422"/>
      <c r="FEG141" s="422"/>
      <c r="FEH141" s="422"/>
      <c r="FEI141" s="422"/>
      <c r="FEJ141" s="422"/>
      <c r="FEK141" s="422"/>
      <c r="FEL141" s="422"/>
      <c r="FEM141" s="422"/>
      <c r="FEN141" s="422"/>
      <c r="FEO141" s="422"/>
      <c r="FEP141" s="422"/>
      <c r="FEQ141" s="422"/>
      <c r="FER141" s="422"/>
      <c r="FES141" s="422"/>
      <c r="FET141" s="422"/>
      <c r="FEU141" s="422"/>
      <c r="FEV141" s="422"/>
      <c r="FEW141" s="422"/>
      <c r="FEX141" s="422"/>
      <c r="FEY141" s="422"/>
      <c r="FEZ141" s="422"/>
      <c r="FFA141" s="422"/>
      <c r="FFB141" s="422"/>
      <c r="FFC141" s="422"/>
      <c r="FFD141" s="422"/>
      <c r="FFE141" s="422"/>
      <c r="FFF141" s="422"/>
      <c r="FFG141" s="422"/>
      <c r="FFH141" s="422"/>
      <c r="FFI141" s="422"/>
      <c r="FFJ141" s="422"/>
      <c r="FFK141" s="422"/>
      <c r="FFL141" s="422"/>
      <c r="FFM141" s="422"/>
      <c r="FFN141" s="422"/>
      <c r="FFO141" s="422"/>
      <c r="FFP141" s="422"/>
      <c r="FFQ141" s="422"/>
      <c r="FFR141" s="422"/>
      <c r="FFS141" s="422"/>
      <c r="FFT141" s="422"/>
      <c r="FFU141" s="422"/>
      <c r="FFV141" s="422"/>
      <c r="FFW141" s="422"/>
      <c r="FFX141" s="422"/>
      <c r="FFY141" s="422"/>
      <c r="FFZ141" s="422"/>
      <c r="FGA141" s="422"/>
      <c r="FGB141" s="422"/>
      <c r="FGC141" s="422"/>
      <c r="FGD141" s="422"/>
      <c r="FGE141" s="422"/>
      <c r="FGF141" s="422"/>
      <c r="FGG141" s="422"/>
      <c r="FGH141" s="422"/>
      <c r="FGI141" s="422"/>
      <c r="FGJ141" s="422"/>
      <c r="FGK141" s="422"/>
      <c r="FGL141" s="422"/>
      <c r="FGM141" s="422"/>
      <c r="FGN141" s="422"/>
      <c r="FGO141" s="422"/>
      <c r="FGP141" s="422"/>
      <c r="FGQ141" s="422"/>
      <c r="FGR141" s="422"/>
      <c r="FGS141" s="422"/>
      <c r="FGT141" s="422"/>
      <c r="FGU141" s="422"/>
      <c r="FGV141" s="422"/>
      <c r="FGW141" s="422"/>
      <c r="FGX141" s="422"/>
      <c r="FGY141" s="422"/>
      <c r="FGZ141" s="422"/>
      <c r="FHA141" s="422"/>
      <c r="FHB141" s="422"/>
      <c r="FHC141" s="422"/>
      <c r="FHD141" s="422"/>
      <c r="FHE141" s="422"/>
      <c r="FHF141" s="422"/>
      <c r="FHG141" s="422"/>
      <c r="FHH141" s="422"/>
      <c r="FHI141" s="422"/>
      <c r="FHJ141" s="422"/>
      <c r="FHK141" s="422"/>
      <c r="FHL141" s="422"/>
      <c r="FHM141" s="422"/>
      <c r="FHN141" s="422"/>
      <c r="FHO141" s="422"/>
      <c r="FHP141" s="422"/>
      <c r="FHQ141" s="422"/>
      <c r="FHR141" s="422"/>
      <c r="FHS141" s="422"/>
      <c r="FHT141" s="422"/>
      <c r="FHU141" s="422"/>
      <c r="FHV141" s="422"/>
      <c r="FHW141" s="422"/>
      <c r="FHX141" s="422"/>
      <c r="FHY141" s="422"/>
      <c r="FHZ141" s="422"/>
      <c r="FIA141" s="422"/>
      <c r="FIB141" s="422"/>
      <c r="FIC141" s="422"/>
      <c r="FID141" s="422"/>
      <c r="FIE141" s="422"/>
      <c r="FIF141" s="422"/>
      <c r="FIG141" s="422"/>
      <c r="FIH141" s="422"/>
      <c r="FII141" s="422"/>
      <c r="FIJ141" s="422"/>
      <c r="FIK141" s="422"/>
      <c r="FIL141" s="422"/>
      <c r="FIM141" s="422"/>
      <c r="FIN141" s="422"/>
      <c r="FIO141" s="422"/>
      <c r="FIP141" s="422"/>
      <c r="FIQ141" s="422"/>
      <c r="FIR141" s="422"/>
      <c r="FIS141" s="422"/>
      <c r="FIT141" s="422"/>
      <c r="FIU141" s="422"/>
      <c r="FIV141" s="422"/>
      <c r="FIW141" s="422"/>
      <c r="FIX141" s="422"/>
      <c r="FIY141" s="422"/>
      <c r="FIZ141" s="422"/>
      <c r="FJA141" s="422"/>
      <c r="FJB141" s="422"/>
      <c r="FJC141" s="422"/>
      <c r="FJD141" s="422"/>
      <c r="FJE141" s="422"/>
      <c r="FJF141" s="422"/>
      <c r="FJG141" s="422"/>
      <c r="FJH141" s="422"/>
      <c r="FJI141" s="422"/>
      <c r="FJJ141" s="422"/>
      <c r="FJK141" s="422"/>
      <c r="FJL141" s="422"/>
      <c r="FJM141" s="422"/>
      <c r="FJN141" s="422"/>
      <c r="FJO141" s="422"/>
      <c r="FJP141" s="422"/>
      <c r="FJQ141" s="422"/>
      <c r="FJR141" s="422"/>
      <c r="FJS141" s="422"/>
      <c r="FJT141" s="422"/>
      <c r="FJU141" s="422"/>
      <c r="FJV141" s="422"/>
      <c r="FJW141" s="422"/>
      <c r="FJX141" s="422"/>
      <c r="FJY141" s="422"/>
      <c r="FJZ141" s="422"/>
      <c r="FKA141" s="422"/>
      <c r="FKB141" s="422"/>
      <c r="FKC141" s="422"/>
      <c r="FKD141" s="422"/>
      <c r="FKE141" s="422"/>
      <c r="FKF141" s="422"/>
      <c r="FKG141" s="422"/>
      <c r="FKH141" s="422"/>
      <c r="FKI141" s="422"/>
      <c r="FKJ141" s="422"/>
      <c r="FKK141" s="422"/>
      <c r="FKL141" s="422"/>
      <c r="FKM141" s="422"/>
      <c r="FKN141" s="422"/>
      <c r="FKO141" s="422"/>
      <c r="FKP141" s="422"/>
      <c r="FKQ141" s="422"/>
      <c r="FKR141" s="422"/>
      <c r="FKS141" s="422"/>
      <c r="FKT141" s="422"/>
      <c r="FKU141" s="422"/>
      <c r="FKV141" s="422"/>
      <c r="FKW141" s="422"/>
      <c r="FKX141" s="422"/>
      <c r="FKY141" s="422"/>
      <c r="FKZ141" s="422"/>
      <c r="FLA141" s="422"/>
      <c r="FLB141" s="422"/>
      <c r="FLC141" s="422"/>
      <c r="FLD141" s="422"/>
      <c r="FLE141" s="422"/>
      <c r="FLF141" s="422"/>
      <c r="FLG141" s="422"/>
      <c r="FLH141" s="422"/>
      <c r="FLI141" s="422"/>
      <c r="FLJ141" s="422"/>
      <c r="FLK141" s="422"/>
      <c r="FLL141" s="422"/>
      <c r="FLM141" s="422"/>
      <c r="FLN141" s="422"/>
      <c r="FLO141" s="422"/>
      <c r="FLP141" s="422"/>
      <c r="FLQ141" s="422"/>
      <c r="FLR141" s="422"/>
      <c r="FLS141" s="422"/>
      <c r="FLT141" s="422"/>
      <c r="FLU141" s="422"/>
      <c r="FLV141" s="422"/>
      <c r="FLW141" s="422"/>
      <c r="FLX141" s="422"/>
      <c r="FLY141" s="422"/>
      <c r="FLZ141" s="422"/>
      <c r="FMA141" s="422"/>
      <c r="FMB141" s="422"/>
      <c r="FMC141" s="422"/>
      <c r="FMD141" s="422"/>
      <c r="FME141" s="422"/>
      <c r="FMF141" s="422"/>
      <c r="FMG141" s="422"/>
      <c r="FMH141" s="422"/>
      <c r="FMI141" s="422"/>
      <c r="FMJ141" s="422"/>
      <c r="FMK141" s="422"/>
      <c r="FML141" s="422"/>
      <c r="FMM141" s="422"/>
      <c r="FMN141" s="422"/>
      <c r="FMO141" s="422"/>
      <c r="FMP141" s="422"/>
      <c r="FMQ141" s="422"/>
      <c r="FMR141" s="422"/>
      <c r="FMS141" s="422"/>
      <c r="FMT141" s="422"/>
      <c r="FMU141" s="422"/>
      <c r="FMV141" s="422"/>
      <c r="FMW141" s="422"/>
      <c r="FMX141" s="422"/>
      <c r="FMY141" s="422"/>
      <c r="FMZ141" s="422"/>
      <c r="FNA141" s="422"/>
      <c r="FNB141" s="422"/>
      <c r="FNC141" s="422"/>
      <c r="FND141" s="422"/>
      <c r="FNE141" s="422"/>
      <c r="FNF141" s="422"/>
      <c r="FNG141" s="422"/>
      <c r="FNH141" s="422"/>
      <c r="FNI141" s="422"/>
      <c r="FNJ141" s="422"/>
      <c r="FNK141" s="422"/>
      <c r="FNL141" s="422"/>
      <c r="FNM141" s="422"/>
      <c r="FNN141" s="422"/>
      <c r="FNO141" s="422"/>
      <c r="FNP141" s="422"/>
      <c r="FNQ141" s="422"/>
      <c r="FNR141" s="422"/>
      <c r="FNS141" s="422"/>
      <c r="FNT141" s="422"/>
      <c r="FNU141" s="422"/>
      <c r="FNV141" s="422"/>
      <c r="FNW141" s="422"/>
      <c r="FNX141" s="422"/>
      <c r="FNY141" s="422"/>
      <c r="FNZ141" s="422"/>
      <c r="FOA141" s="422"/>
      <c r="FOB141" s="422"/>
      <c r="FOC141" s="422"/>
      <c r="FOD141" s="422"/>
      <c r="FOE141" s="422"/>
      <c r="FOF141" s="422"/>
      <c r="FOG141" s="422"/>
      <c r="FOH141" s="422"/>
      <c r="FOI141" s="422"/>
      <c r="FOJ141" s="422"/>
      <c r="FOK141" s="422"/>
      <c r="FOL141" s="422"/>
      <c r="FOM141" s="422"/>
      <c r="FON141" s="422"/>
      <c r="FOO141" s="422"/>
      <c r="FOP141" s="422"/>
      <c r="FOQ141" s="422"/>
      <c r="FOR141" s="422"/>
      <c r="FOS141" s="422"/>
      <c r="FOT141" s="422"/>
      <c r="FOU141" s="422"/>
      <c r="FOV141" s="422"/>
      <c r="FOW141" s="422"/>
      <c r="FOX141" s="422"/>
      <c r="FOY141" s="422"/>
      <c r="FOZ141" s="422"/>
      <c r="FPA141" s="422"/>
      <c r="FPB141" s="422"/>
      <c r="FPC141" s="422"/>
      <c r="FPD141" s="422"/>
      <c r="FPE141" s="422"/>
      <c r="FPF141" s="422"/>
      <c r="FPG141" s="422"/>
      <c r="FPH141" s="422"/>
      <c r="FPI141" s="422"/>
      <c r="FPJ141" s="422"/>
      <c r="FPK141" s="422"/>
      <c r="FPL141" s="422"/>
      <c r="FPM141" s="422"/>
      <c r="FPN141" s="422"/>
      <c r="FPO141" s="422"/>
      <c r="FPP141" s="422"/>
      <c r="FPQ141" s="422"/>
      <c r="FPR141" s="422"/>
      <c r="FPS141" s="422"/>
      <c r="FPT141" s="422"/>
      <c r="FPU141" s="422"/>
      <c r="FPV141" s="422"/>
      <c r="FPW141" s="422"/>
      <c r="FPX141" s="422"/>
      <c r="FPY141" s="422"/>
      <c r="FPZ141" s="422"/>
      <c r="FQA141" s="422"/>
      <c r="FQB141" s="422"/>
      <c r="FQC141" s="422"/>
      <c r="FQD141" s="422"/>
      <c r="FQE141" s="422"/>
      <c r="FQF141" s="422"/>
      <c r="FQG141" s="422"/>
      <c r="FQH141" s="422"/>
      <c r="FQI141" s="422"/>
      <c r="FQJ141" s="422"/>
      <c r="FQK141" s="422"/>
      <c r="FQL141" s="422"/>
      <c r="FQM141" s="422"/>
      <c r="FQN141" s="422"/>
      <c r="FQO141" s="422"/>
      <c r="FQP141" s="422"/>
      <c r="FQQ141" s="422"/>
      <c r="FQR141" s="422"/>
      <c r="FQS141" s="422"/>
      <c r="FQT141" s="422"/>
      <c r="FQU141" s="422"/>
      <c r="FQV141" s="422"/>
      <c r="FQW141" s="422"/>
      <c r="FQX141" s="422"/>
      <c r="FQY141" s="422"/>
      <c r="FQZ141" s="422"/>
      <c r="FRA141" s="422"/>
      <c r="FRB141" s="422"/>
      <c r="FRC141" s="422"/>
      <c r="FRD141" s="422"/>
      <c r="FRE141" s="422"/>
      <c r="FRF141" s="422"/>
      <c r="FRG141" s="422"/>
      <c r="FRH141" s="422"/>
      <c r="FRI141" s="422"/>
      <c r="FRJ141" s="422"/>
      <c r="FRK141" s="422"/>
      <c r="FRL141" s="422"/>
      <c r="FRM141" s="422"/>
      <c r="FRN141" s="422"/>
      <c r="FRO141" s="422"/>
      <c r="FRP141" s="422"/>
      <c r="FRQ141" s="422"/>
      <c r="FRR141" s="422"/>
      <c r="FRS141" s="422"/>
      <c r="FRT141" s="422"/>
      <c r="FRU141" s="422"/>
      <c r="FRV141" s="422"/>
      <c r="FRW141" s="422"/>
      <c r="FRX141" s="422"/>
      <c r="FRY141" s="422"/>
      <c r="FRZ141" s="422"/>
      <c r="FSA141" s="422"/>
      <c r="FSB141" s="422"/>
      <c r="FSC141" s="422"/>
      <c r="FSD141" s="422"/>
      <c r="FSE141" s="422"/>
      <c r="FSF141" s="422"/>
      <c r="FSG141" s="422"/>
      <c r="FSH141" s="422"/>
      <c r="FSI141" s="422"/>
      <c r="FSJ141" s="422"/>
      <c r="FSK141" s="422"/>
      <c r="FSL141" s="422"/>
      <c r="FSM141" s="422"/>
      <c r="FSN141" s="422"/>
      <c r="FSO141" s="422"/>
      <c r="FSP141" s="422"/>
      <c r="FSQ141" s="422"/>
      <c r="FSR141" s="422"/>
      <c r="FSS141" s="422"/>
      <c r="FST141" s="422"/>
      <c r="FSU141" s="422"/>
      <c r="FSV141" s="422"/>
      <c r="FSW141" s="422"/>
      <c r="FSX141" s="422"/>
      <c r="FSY141" s="422"/>
      <c r="FSZ141" s="422"/>
      <c r="FTA141" s="422"/>
      <c r="FTB141" s="422"/>
      <c r="FTC141" s="422"/>
      <c r="FTD141" s="422"/>
      <c r="FTE141" s="422"/>
      <c r="FTF141" s="422"/>
      <c r="FTG141" s="422"/>
      <c r="FTH141" s="422"/>
      <c r="FTI141" s="422"/>
      <c r="FTJ141" s="422"/>
      <c r="FTK141" s="422"/>
      <c r="FTL141" s="422"/>
      <c r="FTM141" s="422"/>
      <c r="FTN141" s="422"/>
      <c r="FTO141" s="422"/>
      <c r="FTP141" s="422"/>
      <c r="FTQ141" s="422"/>
      <c r="FTR141" s="422"/>
      <c r="FTS141" s="422"/>
      <c r="FTT141" s="422"/>
      <c r="FTU141" s="422"/>
      <c r="FTV141" s="422"/>
      <c r="FTW141" s="422"/>
      <c r="FTX141" s="422"/>
      <c r="FTY141" s="422"/>
      <c r="FTZ141" s="422"/>
      <c r="FUA141" s="422"/>
      <c r="FUB141" s="422"/>
      <c r="FUC141" s="422"/>
      <c r="FUD141" s="422"/>
      <c r="FUE141" s="422"/>
      <c r="FUF141" s="422"/>
      <c r="FUG141" s="422"/>
      <c r="FUH141" s="422"/>
      <c r="FUI141" s="422"/>
      <c r="FUJ141" s="422"/>
      <c r="FUK141" s="422"/>
      <c r="FUL141" s="422"/>
      <c r="FUM141" s="422"/>
      <c r="FUN141" s="422"/>
      <c r="FUO141" s="422"/>
      <c r="FUP141" s="422"/>
      <c r="FUQ141" s="422"/>
      <c r="FUR141" s="422"/>
      <c r="FUS141" s="422"/>
      <c r="FUT141" s="422"/>
      <c r="FUU141" s="422"/>
      <c r="FUV141" s="422"/>
      <c r="FUW141" s="422"/>
      <c r="FUX141" s="422"/>
      <c r="FUY141" s="422"/>
      <c r="FUZ141" s="422"/>
      <c r="FVA141" s="422"/>
      <c r="FVB141" s="422"/>
      <c r="FVC141" s="422"/>
      <c r="FVD141" s="422"/>
      <c r="FVE141" s="422"/>
      <c r="FVF141" s="422"/>
      <c r="FVG141" s="422"/>
      <c r="FVH141" s="422"/>
      <c r="FVI141" s="422"/>
      <c r="FVJ141" s="422"/>
      <c r="FVK141" s="422"/>
      <c r="FVL141" s="422"/>
      <c r="FVM141" s="422"/>
      <c r="FVN141" s="422"/>
      <c r="FVO141" s="422"/>
      <c r="FVP141" s="422"/>
      <c r="FVQ141" s="422"/>
      <c r="FVR141" s="422"/>
      <c r="FVS141" s="422"/>
      <c r="FVT141" s="422"/>
      <c r="FVU141" s="422"/>
      <c r="FVV141" s="422"/>
      <c r="FVW141" s="422"/>
      <c r="FVX141" s="422"/>
      <c r="FVY141" s="422"/>
      <c r="FVZ141" s="422"/>
      <c r="FWA141" s="422"/>
      <c r="FWB141" s="422"/>
      <c r="FWC141" s="422"/>
      <c r="FWD141" s="422"/>
      <c r="FWE141" s="422"/>
      <c r="FWF141" s="422"/>
      <c r="FWG141" s="422"/>
      <c r="FWH141" s="422"/>
      <c r="FWI141" s="422"/>
      <c r="FWJ141" s="422"/>
      <c r="FWK141" s="422"/>
      <c r="FWL141" s="422"/>
      <c r="FWM141" s="422"/>
      <c r="FWN141" s="422"/>
      <c r="FWO141" s="422"/>
      <c r="FWP141" s="422"/>
      <c r="FWQ141" s="422"/>
      <c r="FWR141" s="422"/>
      <c r="FWS141" s="422"/>
      <c r="FWT141" s="422"/>
      <c r="FWU141" s="422"/>
      <c r="FWV141" s="422"/>
      <c r="FWW141" s="422"/>
      <c r="FWX141" s="422"/>
      <c r="FWY141" s="422"/>
      <c r="FWZ141" s="422"/>
      <c r="FXA141" s="422"/>
      <c r="FXB141" s="422"/>
      <c r="FXC141" s="422"/>
      <c r="FXD141" s="422"/>
      <c r="FXE141" s="422"/>
      <c r="FXF141" s="422"/>
      <c r="FXG141" s="422"/>
      <c r="FXH141" s="422"/>
      <c r="FXI141" s="422"/>
      <c r="FXJ141" s="422"/>
      <c r="FXK141" s="422"/>
      <c r="FXL141" s="422"/>
      <c r="FXM141" s="422"/>
      <c r="FXN141" s="422"/>
      <c r="FXO141" s="422"/>
      <c r="FXP141" s="422"/>
      <c r="FXQ141" s="422"/>
      <c r="FXR141" s="422"/>
      <c r="FXS141" s="422"/>
      <c r="FXT141" s="422"/>
      <c r="FXU141" s="422"/>
      <c r="FXV141" s="422"/>
      <c r="FXW141" s="422"/>
      <c r="FXX141" s="422"/>
      <c r="FXY141" s="422"/>
      <c r="FXZ141" s="422"/>
      <c r="FYA141" s="422"/>
      <c r="FYB141" s="422"/>
      <c r="FYC141" s="422"/>
      <c r="FYD141" s="422"/>
      <c r="FYE141" s="422"/>
      <c r="FYF141" s="422"/>
      <c r="FYG141" s="422"/>
      <c r="FYH141" s="422"/>
      <c r="FYI141" s="422"/>
      <c r="FYJ141" s="422"/>
      <c r="FYK141" s="422"/>
      <c r="FYL141" s="422"/>
      <c r="FYM141" s="422"/>
      <c r="FYN141" s="422"/>
      <c r="FYO141" s="422"/>
      <c r="FYP141" s="422"/>
      <c r="FYQ141" s="422"/>
      <c r="FYR141" s="422"/>
      <c r="FYS141" s="422"/>
      <c r="FYT141" s="422"/>
      <c r="FYU141" s="422"/>
      <c r="FYV141" s="422"/>
      <c r="FYW141" s="422"/>
      <c r="FYX141" s="422"/>
      <c r="FYY141" s="422"/>
      <c r="FYZ141" s="422"/>
      <c r="FZA141" s="422"/>
      <c r="FZB141" s="422"/>
      <c r="FZC141" s="422"/>
      <c r="FZD141" s="422"/>
      <c r="FZE141" s="422"/>
      <c r="FZF141" s="422"/>
      <c r="FZG141" s="422"/>
      <c r="FZH141" s="422"/>
      <c r="FZI141" s="422"/>
      <c r="FZJ141" s="422"/>
      <c r="FZK141" s="422"/>
      <c r="FZL141" s="422"/>
      <c r="FZM141" s="422"/>
      <c r="FZN141" s="422"/>
      <c r="FZO141" s="422"/>
      <c r="FZP141" s="422"/>
      <c r="FZQ141" s="422"/>
      <c r="FZR141" s="422"/>
      <c r="FZS141" s="422"/>
      <c r="FZT141" s="422"/>
      <c r="FZU141" s="422"/>
      <c r="FZV141" s="422"/>
      <c r="FZW141" s="422"/>
      <c r="FZX141" s="422"/>
      <c r="FZY141" s="422"/>
      <c r="FZZ141" s="422"/>
      <c r="GAA141" s="422"/>
      <c r="GAB141" s="422"/>
      <c r="GAC141" s="422"/>
      <c r="GAD141" s="422"/>
      <c r="GAE141" s="422"/>
      <c r="GAF141" s="422"/>
      <c r="GAG141" s="422"/>
      <c r="GAH141" s="422"/>
      <c r="GAI141" s="422"/>
      <c r="GAJ141" s="422"/>
      <c r="GAK141" s="422"/>
      <c r="GAL141" s="422"/>
      <c r="GAM141" s="422"/>
      <c r="GAN141" s="422"/>
      <c r="GAO141" s="422"/>
      <c r="GAP141" s="422"/>
      <c r="GAQ141" s="422"/>
      <c r="GAR141" s="422"/>
      <c r="GAS141" s="422"/>
      <c r="GAT141" s="422"/>
      <c r="GAU141" s="422"/>
      <c r="GAV141" s="422"/>
      <c r="GAW141" s="422"/>
      <c r="GAX141" s="422"/>
      <c r="GAY141" s="422"/>
      <c r="GAZ141" s="422"/>
      <c r="GBA141" s="422"/>
      <c r="GBB141" s="422"/>
      <c r="GBC141" s="422"/>
      <c r="GBD141" s="422"/>
      <c r="GBE141" s="422"/>
      <c r="GBF141" s="422"/>
      <c r="GBG141" s="422"/>
      <c r="GBH141" s="422"/>
      <c r="GBI141" s="422"/>
      <c r="GBJ141" s="422"/>
      <c r="GBK141" s="422"/>
      <c r="GBL141" s="422"/>
      <c r="GBM141" s="422"/>
      <c r="GBN141" s="422"/>
      <c r="GBO141" s="422"/>
      <c r="GBP141" s="422"/>
      <c r="GBQ141" s="422"/>
      <c r="GBR141" s="422"/>
      <c r="GBS141" s="422"/>
      <c r="GBT141" s="422"/>
      <c r="GBU141" s="422"/>
      <c r="GBV141" s="422"/>
      <c r="GBW141" s="422"/>
      <c r="GBX141" s="422"/>
      <c r="GBY141" s="422"/>
      <c r="GBZ141" s="422"/>
      <c r="GCA141" s="422"/>
      <c r="GCB141" s="422"/>
      <c r="GCC141" s="422"/>
      <c r="GCD141" s="422"/>
      <c r="GCE141" s="422"/>
      <c r="GCF141" s="422"/>
      <c r="GCG141" s="422"/>
      <c r="GCH141" s="422"/>
      <c r="GCI141" s="422"/>
      <c r="GCJ141" s="422"/>
      <c r="GCK141" s="422"/>
      <c r="GCL141" s="422"/>
      <c r="GCM141" s="422"/>
      <c r="GCN141" s="422"/>
      <c r="GCO141" s="422"/>
      <c r="GCP141" s="422"/>
      <c r="GCQ141" s="422"/>
      <c r="GCR141" s="422"/>
      <c r="GCS141" s="422"/>
      <c r="GCT141" s="422"/>
      <c r="GCU141" s="422"/>
      <c r="GCV141" s="422"/>
      <c r="GCW141" s="422"/>
      <c r="GCX141" s="422"/>
      <c r="GCY141" s="422"/>
      <c r="GCZ141" s="422"/>
      <c r="GDA141" s="422"/>
      <c r="GDB141" s="422"/>
      <c r="GDC141" s="422"/>
      <c r="GDD141" s="422"/>
      <c r="GDE141" s="422"/>
      <c r="GDF141" s="422"/>
      <c r="GDG141" s="422"/>
      <c r="GDH141" s="422"/>
      <c r="GDI141" s="422"/>
      <c r="GDJ141" s="422"/>
      <c r="GDK141" s="422"/>
      <c r="GDL141" s="422"/>
      <c r="GDM141" s="422"/>
      <c r="GDN141" s="422"/>
      <c r="GDO141" s="422"/>
      <c r="GDP141" s="422"/>
      <c r="GDQ141" s="422"/>
      <c r="GDR141" s="422"/>
      <c r="GDS141" s="422"/>
      <c r="GDT141" s="422"/>
      <c r="GDU141" s="422"/>
      <c r="GDV141" s="422"/>
      <c r="GDW141" s="422"/>
      <c r="GDX141" s="422"/>
      <c r="GDY141" s="422"/>
      <c r="GDZ141" s="422"/>
      <c r="GEA141" s="422"/>
      <c r="GEB141" s="422"/>
      <c r="GEC141" s="422"/>
      <c r="GED141" s="422"/>
      <c r="GEE141" s="422"/>
      <c r="GEF141" s="422"/>
      <c r="GEG141" s="422"/>
      <c r="GEH141" s="422"/>
      <c r="GEI141" s="422"/>
      <c r="GEJ141" s="422"/>
      <c r="GEK141" s="422"/>
      <c r="GEL141" s="422"/>
      <c r="GEM141" s="422"/>
      <c r="GEN141" s="422"/>
      <c r="GEO141" s="422"/>
      <c r="GEP141" s="422"/>
      <c r="GEQ141" s="422"/>
      <c r="GER141" s="422"/>
      <c r="GES141" s="422"/>
      <c r="GET141" s="422"/>
      <c r="GEU141" s="422"/>
      <c r="GEV141" s="422"/>
      <c r="GEW141" s="422"/>
      <c r="GEX141" s="422"/>
      <c r="GEY141" s="422"/>
      <c r="GEZ141" s="422"/>
      <c r="GFA141" s="422"/>
      <c r="GFB141" s="422"/>
      <c r="GFC141" s="422"/>
      <c r="GFD141" s="422"/>
      <c r="GFE141" s="422"/>
      <c r="GFF141" s="422"/>
      <c r="GFG141" s="422"/>
      <c r="GFH141" s="422"/>
      <c r="GFI141" s="422"/>
      <c r="GFJ141" s="422"/>
      <c r="GFK141" s="422"/>
      <c r="GFL141" s="422"/>
      <c r="GFM141" s="422"/>
      <c r="GFN141" s="422"/>
      <c r="GFO141" s="422"/>
      <c r="GFP141" s="422"/>
      <c r="GFQ141" s="422"/>
      <c r="GFR141" s="422"/>
      <c r="GFS141" s="422"/>
      <c r="GFT141" s="422"/>
      <c r="GFU141" s="422"/>
      <c r="GFV141" s="422"/>
      <c r="GFW141" s="422"/>
      <c r="GFX141" s="422"/>
      <c r="GFY141" s="422"/>
      <c r="GFZ141" s="422"/>
      <c r="GGA141" s="422"/>
      <c r="GGB141" s="422"/>
      <c r="GGC141" s="422"/>
      <c r="GGD141" s="422"/>
      <c r="GGE141" s="422"/>
      <c r="GGF141" s="422"/>
      <c r="GGG141" s="422"/>
      <c r="GGH141" s="422"/>
      <c r="GGI141" s="422"/>
      <c r="GGJ141" s="422"/>
      <c r="GGK141" s="422"/>
      <c r="GGL141" s="422"/>
      <c r="GGM141" s="422"/>
      <c r="GGN141" s="422"/>
      <c r="GGO141" s="422"/>
      <c r="GGP141" s="422"/>
      <c r="GGQ141" s="422"/>
      <c r="GGR141" s="422"/>
      <c r="GGS141" s="422"/>
      <c r="GGT141" s="422"/>
      <c r="GGU141" s="422"/>
      <c r="GGV141" s="422"/>
      <c r="GGW141" s="422"/>
      <c r="GGX141" s="422"/>
      <c r="GGY141" s="422"/>
      <c r="GGZ141" s="422"/>
      <c r="GHA141" s="422"/>
      <c r="GHB141" s="422"/>
      <c r="GHC141" s="422"/>
      <c r="GHD141" s="422"/>
      <c r="GHE141" s="422"/>
      <c r="GHF141" s="422"/>
      <c r="GHG141" s="422"/>
      <c r="GHH141" s="422"/>
      <c r="GHI141" s="422"/>
      <c r="GHJ141" s="422"/>
      <c r="GHK141" s="422"/>
      <c r="GHL141" s="422"/>
      <c r="GHM141" s="422"/>
      <c r="GHN141" s="422"/>
      <c r="GHO141" s="422"/>
      <c r="GHP141" s="422"/>
      <c r="GHQ141" s="422"/>
      <c r="GHR141" s="422"/>
      <c r="GHS141" s="422"/>
      <c r="GHT141" s="422"/>
      <c r="GHU141" s="422"/>
      <c r="GHV141" s="422"/>
      <c r="GHW141" s="422"/>
      <c r="GHX141" s="422"/>
      <c r="GHY141" s="422"/>
      <c r="GHZ141" s="422"/>
      <c r="GIA141" s="422"/>
      <c r="GIB141" s="422"/>
      <c r="GIC141" s="422"/>
      <c r="GID141" s="422"/>
      <c r="GIE141" s="422"/>
      <c r="GIF141" s="422"/>
      <c r="GIG141" s="422"/>
      <c r="GIH141" s="422"/>
      <c r="GII141" s="422"/>
      <c r="GIJ141" s="422"/>
      <c r="GIK141" s="422"/>
      <c r="GIL141" s="422"/>
      <c r="GIM141" s="422"/>
      <c r="GIN141" s="422"/>
      <c r="GIO141" s="422"/>
      <c r="GIP141" s="422"/>
      <c r="GIQ141" s="422"/>
      <c r="GIR141" s="422"/>
      <c r="GIS141" s="422"/>
      <c r="GIT141" s="422"/>
      <c r="GIU141" s="422"/>
      <c r="GIV141" s="422"/>
      <c r="GIW141" s="422"/>
      <c r="GIX141" s="422"/>
      <c r="GIY141" s="422"/>
      <c r="GIZ141" s="422"/>
      <c r="GJA141" s="422"/>
      <c r="GJB141" s="422"/>
      <c r="GJC141" s="422"/>
      <c r="GJD141" s="422"/>
      <c r="GJE141" s="422"/>
      <c r="GJF141" s="422"/>
      <c r="GJG141" s="422"/>
      <c r="GJH141" s="422"/>
      <c r="GJI141" s="422"/>
      <c r="GJJ141" s="422"/>
      <c r="GJK141" s="422"/>
      <c r="GJL141" s="422"/>
      <c r="GJM141" s="422"/>
      <c r="GJN141" s="422"/>
      <c r="GJO141" s="422"/>
      <c r="GJP141" s="422"/>
      <c r="GJQ141" s="422"/>
      <c r="GJR141" s="422"/>
      <c r="GJS141" s="422"/>
      <c r="GJT141" s="422"/>
      <c r="GJU141" s="422"/>
      <c r="GJV141" s="422"/>
      <c r="GJW141" s="422"/>
      <c r="GJX141" s="422"/>
      <c r="GJY141" s="422"/>
      <c r="GJZ141" s="422"/>
      <c r="GKA141" s="422"/>
      <c r="GKB141" s="422"/>
      <c r="GKC141" s="422"/>
      <c r="GKD141" s="422"/>
      <c r="GKE141" s="422"/>
      <c r="GKF141" s="422"/>
      <c r="GKG141" s="422"/>
      <c r="GKH141" s="422"/>
      <c r="GKI141" s="422"/>
      <c r="GKJ141" s="422"/>
      <c r="GKK141" s="422"/>
      <c r="GKL141" s="422"/>
      <c r="GKM141" s="422"/>
      <c r="GKN141" s="422"/>
      <c r="GKO141" s="422"/>
      <c r="GKP141" s="422"/>
      <c r="GKQ141" s="422"/>
      <c r="GKR141" s="422"/>
      <c r="GKS141" s="422"/>
      <c r="GKT141" s="422"/>
      <c r="GKU141" s="422"/>
      <c r="GKV141" s="422"/>
      <c r="GKW141" s="422"/>
      <c r="GKX141" s="422"/>
      <c r="GKY141" s="422"/>
      <c r="GKZ141" s="422"/>
      <c r="GLA141" s="422"/>
      <c r="GLB141" s="422"/>
      <c r="GLC141" s="422"/>
      <c r="GLD141" s="422"/>
      <c r="GLE141" s="422"/>
      <c r="GLF141" s="422"/>
      <c r="GLG141" s="422"/>
      <c r="GLH141" s="422"/>
      <c r="GLI141" s="422"/>
      <c r="GLJ141" s="422"/>
      <c r="GLK141" s="422"/>
      <c r="GLL141" s="422"/>
      <c r="GLM141" s="422"/>
      <c r="GLN141" s="422"/>
      <c r="GLO141" s="422"/>
      <c r="GLP141" s="422"/>
      <c r="GLQ141" s="422"/>
      <c r="GLR141" s="422"/>
      <c r="GLS141" s="422"/>
      <c r="GLT141" s="422"/>
      <c r="GLU141" s="422"/>
      <c r="GLV141" s="422"/>
      <c r="GLW141" s="422"/>
      <c r="GLX141" s="422"/>
      <c r="GLY141" s="422"/>
      <c r="GLZ141" s="422"/>
      <c r="GMA141" s="422"/>
      <c r="GMB141" s="422"/>
      <c r="GMC141" s="422"/>
      <c r="GMD141" s="422"/>
      <c r="GME141" s="422"/>
      <c r="GMF141" s="422"/>
      <c r="GMG141" s="422"/>
      <c r="GMH141" s="422"/>
      <c r="GMI141" s="422"/>
      <c r="GMJ141" s="422"/>
      <c r="GMK141" s="422"/>
      <c r="GML141" s="422"/>
      <c r="GMM141" s="422"/>
      <c r="GMN141" s="422"/>
      <c r="GMO141" s="422"/>
      <c r="GMP141" s="422"/>
      <c r="GMQ141" s="422"/>
      <c r="GMR141" s="422"/>
      <c r="GMS141" s="422"/>
      <c r="GMT141" s="422"/>
      <c r="GMU141" s="422"/>
      <c r="GMV141" s="422"/>
      <c r="GMW141" s="422"/>
      <c r="GMX141" s="422"/>
      <c r="GMY141" s="422"/>
      <c r="GMZ141" s="422"/>
      <c r="GNA141" s="422"/>
      <c r="GNB141" s="422"/>
      <c r="GNC141" s="422"/>
      <c r="GND141" s="422"/>
      <c r="GNE141" s="422"/>
      <c r="GNF141" s="422"/>
      <c r="GNG141" s="422"/>
      <c r="GNH141" s="422"/>
      <c r="GNI141" s="422"/>
      <c r="GNJ141" s="422"/>
      <c r="GNK141" s="422"/>
      <c r="GNL141" s="422"/>
      <c r="GNM141" s="422"/>
      <c r="GNN141" s="422"/>
      <c r="GNO141" s="422"/>
      <c r="GNP141" s="422"/>
      <c r="GNQ141" s="422"/>
      <c r="GNR141" s="422"/>
      <c r="GNS141" s="422"/>
      <c r="GNT141" s="422"/>
      <c r="GNU141" s="422"/>
      <c r="GNV141" s="422"/>
      <c r="GNW141" s="422"/>
      <c r="GNX141" s="422"/>
      <c r="GNY141" s="422"/>
      <c r="GNZ141" s="422"/>
      <c r="GOA141" s="422"/>
      <c r="GOB141" s="422"/>
      <c r="GOC141" s="422"/>
      <c r="GOD141" s="422"/>
      <c r="GOE141" s="422"/>
      <c r="GOF141" s="422"/>
      <c r="GOG141" s="422"/>
      <c r="GOH141" s="422"/>
      <c r="GOI141" s="422"/>
      <c r="GOJ141" s="422"/>
      <c r="GOK141" s="422"/>
      <c r="GOL141" s="422"/>
      <c r="GOM141" s="422"/>
      <c r="GON141" s="422"/>
      <c r="GOO141" s="422"/>
      <c r="GOP141" s="422"/>
      <c r="GOQ141" s="422"/>
      <c r="GOR141" s="422"/>
      <c r="GOS141" s="422"/>
      <c r="GOT141" s="422"/>
      <c r="GOU141" s="422"/>
      <c r="GOV141" s="422"/>
      <c r="GOW141" s="422"/>
      <c r="GOX141" s="422"/>
      <c r="GOY141" s="422"/>
      <c r="GOZ141" s="422"/>
      <c r="GPA141" s="422"/>
      <c r="GPB141" s="422"/>
      <c r="GPC141" s="422"/>
      <c r="GPD141" s="422"/>
      <c r="GPE141" s="422"/>
      <c r="GPF141" s="422"/>
      <c r="GPG141" s="422"/>
      <c r="GPH141" s="422"/>
      <c r="GPI141" s="422"/>
      <c r="GPJ141" s="422"/>
      <c r="GPK141" s="422"/>
      <c r="GPL141" s="422"/>
      <c r="GPM141" s="422"/>
      <c r="GPN141" s="422"/>
      <c r="GPO141" s="422"/>
      <c r="GPP141" s="422"/>
      <c r="GPQ141" s="422"/>
      <c r="GPR141" s="422"/>
      <c r="GPS141" s="422"/>
      <c r="GPT141" s="422"/>
      <c r="GPU141" s="422"/>
      <c r="GPV141" s="422"/>
      <c r="GPW141" s="422"/>
      <c r="GPX141" s="422"/>
      <c r="GPY141" s="422"/>
      <c r="GPZ141" s="422"/>
      <c r="GQA141" s="422"/>
      <c r="GQB141" s="422"/>
      <c r="GQC141" s="422"/>
      <c r="GQD141" s="422"/>
      <c r="GQE141" s="422"/>
      <c r="GQF141" s="422"/>
      <c r="GQG141" s="422"/>
      <c r="GQH141" s="422"/>
      <c r="GQI141" s="422"/>
      <c r="GQJ141" s="422"/>
      <c r="GQK141" s="422"/>
      <c r="GQL141" s="422"/>
      <c r="GQM141" s="422"/>
      <c r="GQN141" s="422"/>
      <c r="GQO141" s="422"/>
      <c r="GQP141" s="422"/>
      <c r="GQQ141" s="422"/>
      <c r="GQR141" s="422"/>
      <c r="GQS141" s="422"/>
      <c r="GQT141" s="422"/>
      <c r="GQU141" s="422"/>
      <c r="GQV141" s="422"/>
      <c r="GQW141" s="422"/>
      <c r="GQX141" s="422"/>
      <c r="GQY141" s="422"/>
      <c r="GQZ141" s="422"/>
      <c r="GRA141" s="422"/>
      <c r="GRB141" s="422"/>
      <c r="GRC141" s="422"/>
      <c r="GRD141" s="422"/>
      <c r="GRE141" s="422"/>
      <c r="GRF141" s="422"/>
      <c r="GRG141" s="422"/>
      <c r="GRH141" s="422"/>
      <c r="GRI141" s="422"/>
      <c r="GRJ141" s="422"/>
      <c r="GRK141" s="422"/>
      <c r="GRL141" s="422"/>
      <c r="GRM141" s="422"/>
      <c r="GRN141" s="422"/>
      <c r="GRO141" s="422"/>
      <c r="GRP141" s="422"/>
      <c r="GRQ141" s="422"/>
      <c r="GRR141" s="422"/>
      <c r="GRS141" s="422"/>
      <c r="GRT141" s="422"/>
      <c r="GRU141" s="422"/>
      <c r="GRV141" s="422"/>
      <c r="GRW141" s="422"/>
      <c r="GRX141" s="422"/>
      <c r="GRY141" s="422"/>
      <c r="GRZ141" s="422"/>
      <c r="GSA141" s="422"/>
      <c r="GSB141" s="422"/>
      <c r="GSC141" s="422"/>
      <c r="GSD141" s="422"/>
      <c r="GSE141" s="422"/>
      <c r="GSF141" s="422"/>
      <c r="GSG141" s="422"/>
      <c r="GSH141" s="422"/>
      <c r="GSI141" s="422"/>
      <c r="GSJ141" s="422"/>
      <c r="GSK141" s="422"/>
      <c r="GSL141" s="422"/>
      <c r="GSM141" s="422"/>
      <c r="GSN141" s="422"/>
      <c r="GSO141" s="422"/>
      <c r="GSP141" s="422"/>
      <c r="GSQ141" s="422"/>
      <c r="GSR141" s="422"/>
      <c r="GSS141" s="422"/>
      <c r="GST141" s="422"/>
      <c r="GSU141" s="422"/>
      <c r="GSV141" s="422"/>
      <c r="GSW141" s="422"/>
      <c r="GSX141" s="422"/>
      <c r="GSY141" s="422"/>
      <c r="GSZ141" s="422"/>
      <c r="GTA141" s="422"/>
      <c r="GTB141" s="422"/>
      <c r="GTC141" s="422"/>
      <c r="GTD141" s="422"/>
      <c r="GTE141" s="422"/>
      <c r="GTF141" s="422"/>
      <c r="GTG141" s="422"/>
      <c r="GTH141" s="422"/>
      <c r="GTI141" s="422"/>
      <c r="GTJ141" s="422"/>
      <c r="GTK141" s="422"/>
      <c r="GTL141" s="422"/>
      <c r="GTM141" s="422"/>
      <c r="GTN141" s="422"/>
      <c r="GTO141" s="422"/>
      <c r="GTP141" s="422"/>
      <c r="GTQ141" s="422"/>
      <c r="GTR141" s="422"/>
      <c r="GTS141" s="422"/>
      <c r="GTT141" s="422"/>
      <c r="GTU141" s="422"/>
      <c r="GTV141" s="422"/>
      <c r="GTW141" s="422"/>
      <c r="GTX141" s="422"/>
      <c r="GTY141" s="422"/>
      <c r="GTZ141" s="422"/>
      <c r="GUA141" s="422"/>
      <c r="GUB141" s="422"/>
      <c r="GUC141" s="422"/>
      <c r="GUD141" s="422"/>
      <c r="GUE141" s="422"/>
      <c r="GUF141" s="422"/>
      <c r="GUG141" s="422"/>
      <c r="GUH141" s="422"/>
      <c r="GUI141" s="422"/>
      <c r="GUJ141" s="422"/>
      <c r="GUK141" s="422"/>
      <c r="GUL141" s="422"/>
      <c r="GUM141" s="422"/>
      <c r="GUN141" s="422"/>
      <c r="GUO141" s="422"/>
      <c r="GUP141" s="422"/>
      <c r="GUQ141" s="422"/>
      <c r="GUR141" s="422"/>
      <c r="GUS141" s="422"/>
      <c r="GUT141" s="422"/>
      <c r="GUU141" s="422"/>
      <c r="GUV141" s="422"/>
      <c r="GUW141" s="422"/>
      <c r="GUX141" s="422"/>
      <c r="GUY141" s="422"/>
      <c r="GUZ141" s="422"/>
      <c r="GVA141" s="422"/>
      <c r="GVB141" s="422"/>
      <c r="GVC141" s="422"/>
      <c r="GVD141" s="422"/>
      <c r="GVE141" s="422"/>
      <c r="GVF141" s="422"/>
      <c r="GVG141" s="422"/>
      <c r="GVH141" s="422"/>
      <c r="GVI141" s="422"/>
      <c r="GVJ141" s="422"/>
      <c r="GVK141" s="422"/>
      <c r="GVL141" s="422"/>
      <c r="GVM141" s="422"/>
      <c r="GVN141" s="422"/>
      <c r="GVO141" s="422"/>
      <c r="GVP141" s="422"/>
      <c r="GVQ141" s="422"/>
      <c r="GVR141" s="422"/>
      <c r="GVS141" s="422"/>
      <c r="GVT141" s="422"/>
      <c r="GVU141" s="422"/>
      <c r="GVV141" s="422"/>
      <c r="GVW141" s="422"/>
      <c r="GVX141" s="422"/>
      <c r="GVY141" s="422"/>
      <c r="GVZ141" s="422"/>
      <c r="GWA141" s="422"/>
      <c r="GWB141" s="422"/>
      <c r="GWC141" s="422"/>
      <c r="GWD141" s="422"/>
      <c r="GWE141" s="422"/>
      <c r="GWF141" s="422"/>
      <c r="GWG141" s="422"/>
      <c r="GWH141" s="422"/>
      <c r="GWI141" s="422"/>
      <c r="GWJ141" s="422"/>
      <c r="GWK141" s="422"/>
      <c r="GWL141" s="422"/>
      <c r="GWM141" s="422"/>
      <c r="GWN141" s="422"/>
      <c r="GWO141" s="422"/>
      <c r="GWP141" s="422"/>
      <c r="GWQ141" s="422"/>
      <c r="GWR141" s="422"/>
      <c r="GWS141" s="422"/>
      <c r="GWT141" s="422"/>
      <c r="GWU141" s="422"/>
      <c r="GWV141" s="422"/>
      <c r="GWW141" s="422"/>
      <c r="GWX141" s="422"/>
      <c r="GWY141" s="422"/>
      <c r="GWZ141" s="422"/>
      <c r="GXA141" s="422"/>
      <c r="GXB141" s="422"/>
      <c r="GXC141" s="422"/>
      <c r="GXD141" s="422"/>
      <c r="GXE141" s="422"/>
      <c r="GXF141" s="422"/>
      <c r="GXG141" s="422"/>
      <c r="GXH141" s="422"/>
      <c r="GXI141" s="422"/>
      <c r="GXJ141" s="422"/>
      <c r="GXK141" s="422"/>
      <c r="GXL141" s="422"/>
      <c r="GXM141" s="422"/>
      <c r="GXN141" s="422"/>
      <c r="GXO141" s="422"/>
      <c r="GXP141" s="422"/>
      <c r="GXQ141" s="422"/>
      <c r="GXR141" s="422"/>
      <c r="GXS141" s="422"/>
      <c r="GXT141" s="422"/>
      <c r="GXU141" s="422"/>
      <c r="GXV141" s="422"/>
      <c r="GXW141" s="422"/>
      <c r="GXX141" s="422"/>
      <c r="GXY141" s="422"/>
      <c r="GXZ141" s="422"/>
      <c r="GYA141" s="422"/>
      <c r="GYB141" s="422"/>
      <c r="GYC141" s="422"/>
      <c r="GYD141" s="422"/>
      <c r="GYE141" s="422"/>
      <c r="GYF141" s="422"/>
      <c r="GYG141" s="422"/>
      <c r="GYH141" s="422"/>
      <c r="GYI141" s="422"/>
      <c r="GYJ141" s="422"/>
      <c r="GYK141" s="422"/>
      <c r="GYL141" s="422"/>
      <c r="GYM141" s="422"/>
      <c r="GYN141" s="422"/>
      <c r="GYO141" s="422"/>
      <c r="GYP141" s="422"/>
      <c r="GYQ141" s="422"/>
      <c r="GYR141" s="422"/>
      <c r="GYS141" s="422"/>
      <c r="GYT141" s="422"/>
      <c r="GYU141" s="422"/>
      <c r="GYV141" s="422"/>
      <c r="GYW141" s="422"/>
      <c r="GYX141" s="422"/>
      <c r="GYY141" s="422"/>
      <c r="GYZ141" s="422"/>
      <c r="GZA141" s="422"/>
      <c r="GZB141" s="422"/>
      <c r="GZC141" s="422"/>
      <c r="GZD141" s="422"/>
      <c r="GZE141" s="422"/>
      <c r="GZF141" s="422"/>
      <c r="GZG141" s="422"/>
      <c r="GZH141" s="422"/>
      <c r="GZI141" s="422"/>
      <c r="GZJ141" s="422"/>
      <c r="GZK141" s="422"/>
      <c r="GZL141" s="422"/>
      <c r="GZM141" s="422"/>
      <c r="GZN141" s="422"/>
      <c r="GZO141" s="422"/>
      <c r="GZP141" s="422"/>
      <c r="GZQ141" s="422"/>
      <c r="GZR141" s="422"/>
      <c r="GZS141" s="422"/>
      <c r="GZT141" s="422"/>
      <c r="GZU141" s="422"/>
      <c r="GZV141" s="422"/>
      <c r="GZW141" s="422"/>
      <c r="GZX141" s="422"/>
      <c r="GZY141" s="422"/>
      <c r="GZZ141" s="422"/>
      <c r="HAA141" s="422"/>
      <c r="HAB141" s="422"/>
      <c r="HAC141" s="422"/>
      <c r="HAD141" s="422"/>
      <c r="HAE141" s="422"/>
      <c r="HAF141" s="422"/>
      <c r="HAG141" s="422"/>
      <c r="HAH141" s="422"/>
      <c r="HAI141" s="422"/>
      <c r="HAJ141" s="422"/>
      <c r="HAK141" s="422"/>
      <c r="HAL141" s="422"/>
      <c r="HAM141" s="422"/>
      <c r="HAN141" s="422"/>
      <c r="HAO141" s="422"/>
      <c r="HAP141" s="422"/>
      <c r="HAQ141" s="422"/>
      <c r="HAR141" s="422"/>
      <c r="HAS141" s="422"/>
      <c r="HAT141" s="422"/>
      <c r="HAU141" s="422"/>
      <c r="HAV141" s="422"/>
      <c r="HAW141" s="422"/>
      <c r="HAX141" s="422"/>
      <c r="HAY141" s="422"/>
      <c r="HAZ141" s="422"/>
      <c r="HBA141" s="422"/>
      <c r="HBB141" s="422"/>
      <c r="HBC141" s="422"/>
      <c r="HBD141" s="422"/>
      <c r="HBE141" s="422"/>
      <c r="HBF141" s="422"/>
      <c r="HBG141" s="422"/>
      <c r="HBH141" s="422"/>
      <c r="HBI141" s="422"/>
      <c r="HBJ141" s="422"/>
      <c r="HBK141" s="422"/>
      <c r="HBL141" s="422"/>
      <c r="HBM141" s="422"/>
      <c r="HBN141" s="422"/>
      <c r="HBO141" s="422"/>
      <c r="HBP141" s="422"/>
      <c r="HBQ141" s="422"/>
      <c r="HBR141" s="422"/>
      <c r="HBS141" s="422"/>
      <c r="HBT141" s="422"/>
      <c r="HBU141" s="422"/>
      <c r="HBV141" s="422"/>
      <c r="HBW141" s="422"/>
      <c r="HBX141" s="422"/>
      <c r="HBY141" s="422"/>
      <c r="HBZ141" s="422"/>
      <c r="HCA141" s="422"/>
      <c r="HCB141" s="422"/>
      <c r="HCC141" s="422"/>
      <c r="HCD141" s="422"/>
      <c r="HCE141" s="422"/>
      <c r="HCF141" s="422"/>
      <c r="HCG141" s="422"/>
      <c r="HCH141" s="422"/>
      <c r="HCI141" s="422"/>
      <c r="HCJ141" s="422"/>
      <c r="HCK141" s="422"/>
      <c r="HCL141" s="422"/>
      <c r="HCM141" s="422"/>
      <c r="HCN141" s="422"/>
      <c r="HCO141" s="422"/>
      <c r="HCP141" s="422"/>
      <c r="HCQ141" s="422"/>
      <c r="HCR141" s="422"/>
      <c r="HCS141" s="422"/>
      <c r="HCT141" s="422"/>
      <c r="HCU141" s="422"/>
      <c r="HCV141" s="422"/>
      <c r="HCW141" s="422"/>
      <c r="HCX141" s="422"/>
      <c r="HCY141" s="422"/>
      <c r="HCZ141" s="422"/>
      <c r="HDA141" s="422"/>
      <c r="HDB141" s="422"/>
      <c r="HDC141" s="422"/>
      <c r="HDD141" s="422"/>
      <c r="HDE141" s="422"/>
      <c r="HDF141" s="422"/>
      <c r="HDG141" s="422"/>
      <c r="HDH141" s="422"/>
      <c r="HDI141" s="422"/>
      <c r="HDJ141" s="422"/>
      <c r="HDK141" s="422"/>
      <c r="HDL141" s="422"/>
      <c r="HDM141" s="422"/>
      <c r="HDN141" s="422"/>
      <c r="HDO141" s="422"/>
      <c r="HDP141" s="422"/>
      <c r="HDQ141" s="422"/>
      <c r="HDR141" s="422"/>
      <c r="HDS141" s="422"/>
      <c r="HDT141" s="422"/>
      <c r="HDU141" s="422"/>
      <c r="HDV141" s="422"/>
      <c r="HDW141" s="422"/>
      <c r="HDX141" s="422"/>
      <c r="HDY141" s="422"/>
      <c r="HDZ141" s="422"/>
      <c r="HEA141" s="422"/>
      <c r="HEB141" s="422"/>
      <c r="HEC141" s="422"/>
      <c r="HED141" s="422"/>
      <c r="HEE141" s="422"/>
      <c r="HEF141" s="422"/>
      <c r="HEG141" s="422"/>
      <c r="HEH141" s="422"/>
      <c r="HEI141" s="422"/>
      <c r="HEJ141" s="422"/>
      <c r="HEK141" s="422"/>
      <c r="HEL141" s="422"/>
      <c r="HEM141" s="422"/>
      <c r="HEN141" s="422"/>
      <c r="HEO141" s="422"/>
      <c r="HEP141" s="422"/>
      <c r="HEQ141" s="422"/>
      <c r="HER141" s="422"/>
      <c r="HES141" s="422"/>
      <c r="HET141" s="422"/>
      <c r="HEU141" s="422"/>
      <c r="HEV141" s="422"/>
      <c r="HEW141" s="422"/>
      <c r="HEX141" s="422"/>
      <c r="HEY141" s="422"/>
      <c r="HEZ141" s="422"/>
      <c r="HFA141" s="422"/>
      <c r="HFB141" s="422"/>
      <c r="HFC141" s="422"/>
      <c r="HFD141" s="422"/>
      <c r="HFE141" s="422"/>
      <c r="HFF141" s="422"/>
      <c r="HFG141" s="422"/>
      <c r="HFH141" s="422"/>
      <c r="HFI141" s="422"/>
      <c r="HFJ141" s="422"/>
      <c r="HFK141" s="422"/>
      <c r="HFL141" s="422"/>
      <c r="HFM141" s="422"/>
      <c r="HFN141" s="422"/>
      <c r="HFO141" s="422"/>
      <c r="HFP141" s="422"/>
      <c r="HFQ141" s="422"/>
      <c r="HFR141" s="422"/>
      <c r="HFS141" s="422"/>
      <c r="HFT141" s="422"/>
      <c r="HFU141" s="422"/>
      <c r="HFV141" s="422"/>
      <c r="HFW141" s="422"/>
      <c r="HFX141" s="422"/>
      <c r="HFY141" s="422"/>
      <c r="HFZ141" s="422"/>
      <c r="HGA141" s="422"/>
      <c r="HGB141" s="422"/>
      <c r="HGC141" s="422"/>
      <c r="HGD141" s="422"/>
      <c r="HGE141" s="422"/>
      <c r="HGF141" s="422"/>
      <c r="HGG141" s="422"/>
      <c r="HGH141" s="422"/>
      <c r="HGI141" s="422"/>
      <c r="HGJ141" s="422"/>
      <c r="HGK141" s="422"/>
      <c r="HGL141" s="422"/>
      <c r="HGM141" s="422"/>
      <c r="HGN141" s="422"/>
      <c r="HGO141" s="422"/>
      <c r="HGP141" s="422"/>
      <c r="HGQ141" s="422"/>
      <c r="HGR141" s="422"/>
      <c r="HGS141" s="422"/>
      <c r="HGT141" s="422"/>
      <c r="HGU141" s="422"/>
      <c r="HGV141" s="422"/>
      <c r="HGW141" s="422"/>
      <c r="HGX141" s="422"/>
      <c r="HGY141" s="422"/>
      <c r="HGZ141" s="422"/>
      <c r="HHA141" s="422"/>
      <c r="HHB141" s="422"/>
      <c r="HHC141" s="422"/>
      <c r="HHD141" s="422"/>
      <c r="HHE141" s="422"/>
      <c r="HHF141" s="422"/>
      <c r="HHG141" s="422"/>
      <c r="HHH141" s="422"/>
      <c r="HHI141" s="422"/>
      <c r="HHJ141" s="422"/>
      <c r="HHK141" s="422"/>
      <c r="HHL141" s="422"/>
      <c r="HHM141" s="422"/>
      <c r="HHN141" s="422"/>
      <c r="HHO141" s="422"/>
      <c r="HHP141" s="422"/>
      <c r="HHQ141" s="422"/>
      <c r="HHR141" s="422"/>
      <c r="HHS141" s="422"/>
      <c r="HHT141" s="422"/>
      <c r="HHU141" s="422"/>
      <c r="HHV141" s="422"/>
      <c r="HHW141" s="422"/>
      <c r="HHX141" s="422"/>
      <c r="HHY141" s="422"/>
      <c r="HHZ141" s="422"/>
      <c r="HIA141" s="422"/>
      <c r="HIB141" s="422"/>
      <c r="HIC141" s="422"/>
      <c r="HID141" s="422"/>
      <c r="HIE141" s="422"/>
      <c r="HIF141" s="422"/>
      <c r="HIG141" s="422"/>
      <c r="HIH141" s="422"/>
      <c r="HII141" s="422"/>
      <c r="HIJ141" s="422"/>
      <c r="HIK141" s="422"/>
      <c r="HIL141" s="422"/>
      <c r="HIM141" s="422"/>
      <c r="HIN141" s="422"/>
      <c r="HIO141" s="422"/>
      <c r="HIP141" s="422"/>
      <c r="HIQ141" s="422"/>
      <c r="HIR141" s="422"/>
      <c r="HIS141" s="422"/>
      <c r="HIT141" s="422"/>
      <c r="HIU141" s="422"/>
      <c r="HIV141" s="422"/>
      <c r="HIW141" s="422"/>
      <c r="HIX141" s="422"/>
      <c r="HIY141" s="422"/>
      <c r="HIZ141" s="422"/>
      <c r="HJA141" s="422"/>
      <c r="HJB141" s="422"/>
      <c r="HJC141" s="422"/>
      <c r="HJD141" s="422"/>
      <c r="HJE141" s="422"/>
      <c r="HJF141" s="422"/>
      <c r="HJG141" s="422"/>
      <c r="HJH141" s="422"/>
      <c r="HJI141" s="422"/>
      <c r="HJJ141" s="422"/>
      <c r="HJK141" s="422"/>
      <c r="HJL141" s="422"/>
      <c r="HJM141" s="422"/>
      <c r="HJN141" s="422"/>
      <c r="HJO141" s="422"/>
      <c r="HJP141" s="422"/>
      <c r="HJQ141" s="422"/>
      <c r="HJR141" s="422"/>
      <c r="HJS141" s="422"/>
      <c r="HJT141" s="422"/>
      <c r="HJU141" s="422"/>
      <c r="HJV141" s="422"/>
      <c r="HJW141" s="422"/>
      <c r="HJX141" s="422"/>
      <c r="HJY141" s="422"/>
      <c r="HJZ141" s="422"/>
      <c r="HKA141" s="422"/>
      <c r="HKB141" s="422"/>
      <c r="HKC141" s="422"/>
      <c r="HKD141" s="422"/>
      <c r="HKE141" s="422"/>
      <c r="HKF141" s="422"/>
      <c r="HKG141" s="422"/>
      <c r="HKH141" s="422"/>
      <c r="HKI141" s="422"/>
      <c r="HKJ141" s="422"/>
      <c r="HKK141" s="422"/>
      <c r="HKL141" s="422"/>
      <c r="HKM141" s="422"/>
      <c r="HKN141" s="422"/>
      <c r="HKO141" s="422"/>
      <c r="HKP141" s="422"/>
      <c r="HKQ141" s="422"/>
      <c r="HKR141" s="422"/>
      <c r="HKS141" s="422"/>
      <c r="HKT141" s="422"/>
      <c r="HKU141" s="422"/>
      <c r="HKV141" s="422"/>
      <c r="HKW141" s="422"/>
      <c r="HKX141" s="422"/>
      <c r="HKY141" s="422"/>
      <c r="HKZ141" s="422"/>
      <c r="HLA141" s="422"/>
      <c r="HLB141" s="422"/>
      <c r="HLC141" s="422"/>
      <c r="HLD141" s="422"/>
      <c r="HLE141" s="422"/>
      <c r="HLF141" s="422"/>
      <c r="HLG141" s="422"/>
      <c r="HLH141" s="422"/>
      <c r="HLI141" s="422"/>
      <c r="HLJ141" s="422"/>
      <c r="HLK141" s="422"/>
      <c r="HLL141" s="422"/>
      <c r="HLM141" s="422"/>
      <c r="HLN141" s="422"/>
      <c r="HLO141" s="422"/>
      <c r="HLP141" s="422"/>
      <c r="HLQ141" s="422"/>
      <c r="HLR141" s="422"/>
      <c r="HLS141" s="422"/>
      <c r="HLT141" s="422"/>
      <c r="HLU141" s="422"/>
      <c r="HLV141" s="422"/>
      <c r="HLW141" s="422"/>
      <c r="HLX141" s="422"/>
      <c r="HLY141" s="422"/>
      <c r="HLZ141" s="422"/>
      <c r="HMA141" s="422"/>
      <c r="HMB141" s="422"/>
      <c r="HMC141" s="422"/>
      <c r="HMD141" s="422"/>
      <c r="HME141" s="422"/>
      <c r="HMF141" s="422"/>
      <c r="HMG141" s="422"/>
      <c r="HMH141" s="422"/>
      <c r="HMI141" s="422"/>
      <c r="HMJ141" s="422"/>
      <c r="HMK141" s="422"/>
      <c r="HML141" s="422"/>
      <c r="HMM141" s="422"/>
      <c r="HMN141" s="422"/>
      <c r="HMO141" s="422"/>
      <c r="HMP141" s="422"/>
      <c r="HMQ141" s="422"/>
      <c r="HMR141" s="422"/>
      <c r="HMS141" s="422"/>
      <c r="HMT141" s="422"/>
      <c r="HMU141" s="422"/>
      <c r="HMV141" s="422"/>
      <c r="HMW141" s="422"/>
      <c r="HMX141" s="422"/>
      <c r="HMY141" s="422"/>
      <c r="HMZ141" s="422"/>
      <c r="HNA141" s="422"/>
      <c r="HNB141" s="422"/>
      <c r="HNC141" s="422"/>
      <c r="HND141" s="422"/>
      <c r="HNE141" s="422"/>
      <c r="HNF141" s="422"/>
      <c r="HNG141" s="422"/>
      <c r="HNH141" s="422"/>
      <c r="HNI141" s="422"/>
      <c r="HNJ141" s="422"/>
      <c r="HNK141" s="422"/>
      <c r="HNL141" s="422"/>
      <c r="HNM141" s="422"/>
      <c r="HNN141" s="422"/>
      <c r="HNO141" s="422"/>
      <c r="HNP141" s="422"/>
      <c r="HNQ141" s="422"/>
      <c r="HNR141" s="422"/>
      <c r="HNS141" s="422"/>
      <c r="HNT141" s="422"/>
      <c r="HNU141" s="422"/>
      <c r="HNV141" s="422"/>
      <c r="HNW141" s="422"/>
      <c r="HNX141" s="422"/>
      <c r="HNY141" s="422"/>
      <c r="HNZ141" s="422"/>
      <c r="HOA141" s="422"/>
      <c r="HOB141" s="422"/>
      <c r="HOC141" s="422"/>
      <c r="HOD141" s="422"/>
      <c r="HOE141" s="422"/>
      <c r="HOF141" s="422"/>
      <c r="HOG141" s="422"/>
      <c r="HOH141" s="422"/>
      <c r="HOI141" s="422"/>
      <c r="HOJ141" s="422"/>
      <c r="HOK141" s="422"/>
      <c r="HOL141" s="422"/>
      <c r="HOM141" s="422"/>
      <c r="HON141" s="422"/>
      <c r="HOO141" s="422"/>
      <c r="HOP141" s="422"/>
      <c r="HOQ141" s="422"/>
      <c r="HOR141" s="422"/>
      <c r="HOS141" s="422"/>
      <c r="HOT141" s="422"/>
      <c r="HOU141" s="422"/>
      <c r="HOV141" s="422"/>
      <c r="HOW141" s="422"/>
      <c r="HOX141" s="422"/>
      <c r="HOY141" s="422"/>
      <c r="HOZ141" s="422"/>
      <c r="HPA141" s="422"/>
      <c r="HPB141" s="422"/>
      <c r="HPC141" s="422"/>
      <c r="HPD141" s="422"/>
      <c r="HPE141" s="422"/>
      <c r="HPF141" s="422"/>
      <c r="HPG141" s="422"/>
      <c r="HPH141" s="422"/>
      <c r="HPI141" s="422"/>
      <c r="HPJ141" s="422"/>
      <c r="HPK141" s="422"/>
      <c r="HPL141" s="422"/>
      <c r="HPM141" s="422"/>
      <c r="HPN141" s="422"/>
      <c r="HPO141" s="422"/>
      <c r="HPP141" s="422"/>
      <c r="HPQ141" s="422"/>
      <c r="HPR141" s="422"/>
      <c r="HPS141" s="422"/>
      <c r="HPT141" s="422"/>
      <c r="HPU141" s="422"/>
      <c r="HPV141" s="422"/>
      <c r="HPW141" s="422"/>
      <c r="HPX141" s="422"/>
      <c r="HPY141" s="422"/>
      <c r="HPZ141" s="422"/>
      <c r="HQA141" s="422"/>
      <c r="HQB141" s="422"/>
      <c r="HQC141" s="422"/>
      <c r="HQD141" s="422"/>
      <c r="HQE141" s="422"/>
      <c r="HQF141" s="422"/>
      <c r="HQG141" s="422"/>
      <c r="HQH141" s="422"/>
      <c r="HQI141" s="422"/>
      <c r="HQJ141" s="422"/>
      <c r="HQK141" s="422"/>
      <c r="HQL141" s="422"/>
      <c r="HQM141" s="422"/>
      <c r="HQN141" s="422"/>
      <c r="HQO141" s="422"/>
      <c r="HQP141" s="422"/>
      <c r="HQQ141" s="422"/>
      <c r="HQR141" s="422"/>
      <c r="HQS141" s="422"/>
      <c r="HQT141" s="422"/>
      <c r="HQU141" s="422"/>
      <c r="HQV141" s="422"/>
      <c r="HQW141" s="422"/>
      <c r="HQX141" s="422"/>
      <c r="HQY141" s="422"/>
      <c r="HQZ141" s="422"/>
      <c r="HRA141" s="422"/>
      <c r="HRB141" s="422"/>
      <c r="HRC141" s="422"/>
      <c r="HRD141" s="422"/>
      <c r="HRE141" s="422"/>
      <c r="HRF141" s="422"/>
      <c r="HRG141" s="422"/>
      <c r="HRH141" s="422"/>
      <c r="HRI141" s="422"/>
      <c r="HRJ141" s="422"/>
      <c r="HRK141" s="422"/>
      <c r="HRL141" s="422"/>
      <c r="HRM141" s="422"/>
      <c r="HRN141" s="422"/>
      <c r="HRO141" s="422"/>
      <c r="HRP141" s="422"/>
      <c r="HRQ141" s="422"/>
      <c r="HRR141" s="422"/>
      <c r="HRS141" s="422"/>
      <c r="HRT141" s="422"/>
      <c r="HRU141" s="422"/>
      <c r="HRV141" s="422"/>
      <c r="HRW141" s="422"/>
      <c r="HRX141" s="422"/>
      <c r="HRY141" s="422"/>
      <c r="HRZ141" s="422"/>
      <c r="HSA141" s="422"/>
      <c r="HSB141" s="422"/>
      <c r="HSC141" s="422"/>
      <c r="HSD141" s="422"/>
      <c r="HSE141" s="422"/>
      <c r="HSF141" s="422"/>
      <c r="HSG141" s="422"/>
      <c r="HSH141" s="422"/>
      <c r="HSI141" s="422"/>
      <c r="HSJ141" s="422"/>
      <c r="HSK141" s="422"/>
      <c r="HSL141" s="422"/>
      <c r="HSM141" s="422"/>
      <c r="HSN141" s="422"/>
      <c r="HSO141" s="422"/>
      <c r="HSP141" s="422"/>
      <c r="HSQ141" s="422"/>
      <c r="HSR141" s="422"/>
      <c r="HSS141" s="422"/>
      <c r="HST141" s="422"/>
      <c r="HSU141" s="422"/>
      <c r="HSV141" s="422"/>
      <c r="HSW141" s="422"/>
      <c r="HSX141" s="422"/>
      <c r="HSY141" s="422"/>
      <c r="HSZ141" s="422"/>
      <c r="HTA141" s="422"/>
      <c r="HTB141" s="422"/>
      <c r="HTC141" s="422"/>
      <c r="HTD141" s="422"/>
      <c r="HTE141" s="422"/>
      <c r="HTF141" s="422"/>
      <c r="HTG141" s="422"/>
      <c r="HTH141" s="422"/>
      <c r="HTI141" s="422"/>
      <c r="HTJ141" s="422"/>
      <c r="HTK141" s="422"/>
      <c r="HTL141" s="422"/>
      <c r="HTM141" s="422"/>
      <c r="HTN141" s="422"/>
      <c r="HTO141" s="422"/>
      <c r="HTP141" s="422"/>
      <c r="HTQ141" s="422"/>
      <c r="HTR141" s="422"/>
      <c r="HTS141" s="422"/>
      <c r="HTT141" s="422"/>
      <c r="HTU141" s="422"/>
      <c r="HTV141" s="422"/>
      <c r="HTW141" s="422"/>
      <c r="HTX141" s="422"/>
      <c r="HTY141" s="422"/>
      <c r="HTZ141" s="422"/>
      <c r="HUA141" s="422"/>
      <c r="HUB141" s="422"/>
      <c r="HUC141" s="422"/>
      <c r="HUD141" s="422"/>
      <c r="HUE141" s="422"/>
      <c r="HUF141" s="422"/>
      <c r="HUG141" s="422"/>
      <c r="HUH141" s="422"/>
      <c r="HUI141" s="422"/>
      <c r="HUJ141" s="422"/>
      <c r="HUK141" s="422"/>
      <c r="HUL141" s="422"/>
      <c r="HUM141" s="422"/>
      <c r="HUN141" s="422"/>
      <c r="HUO141" s="422"/>
      <c r="HUP141" s="422"/>
      <c r="HUQ141" s="422"/>
      <c r="HUR141" s="422"/>
      <c r="HUS141" s="422"/>
      <c r="HUT141" s="422"/>
      <c r="HUU141" s="422"/>
      <c r="HUV141" s="422"/>
      <c r="HUW141" s="422"/>
      <c r="HUX141" s="422"/>
      <c r="HUY141" s="422"/>
      <c r="HUZ141" s="422"/>
      <c r="HVA141" s="422"/>
      <c r="HVB141" s="422"/>
      <c r="HVC141" s="422"/>
      <c r="HVD141" s="422"/>
      <c r="HVE141" s="422"/>
      <c r="HVF141" s="422"/>
      <c r="HVG141" s="422"/>
      <c r="HVH141" s="422"/>
      <c r="HVI141" s="422"/>
      <c r="HVJ141" s="422"/>
      <c r="HVK141" s="422"/>
      <c r="HVL141" s="422"/>
      <c r="HVM141" s="422"/>
      <c r="HVN141" s="422"/>
      <c r="HVO141" s="422"/>
      <c r="HVP141" s="422"/>
      <c r="HVQ141" s="422"/>
      <c r="HVR141" s="422"/>
      <c r="HVS141" s="422"/>
      <c r="HVT141" s="422"/>
      <c r="HVU141" s="422"/>
      <c r="HVV141" s="422"/>
      <c r="HVW141" s="422"/>
      <c r="HVX141" s="422"/>
      <c r="HVY141" s="422"/>
      <c r="HVZ141" s="422"/>
      <c r="HWA141" s="422"/>
      <c r="HWB141" s="422"/>
      <c r="HWC141" s="422"/>
      <c r="HWD141" s="422"/>
      <c r="HWE141" s="422"/>
      <c r="HWF141" s="422"/>
      <c r="HWG141" s="422"/>
      <c r="HWH141" s="422"/>
      <c r="HWI141" s="422"/>
      <c r="HWJ141" s="422"/>
      <c r="HWK141" s="422"/>
      <c r="HWL141" s="422"/>
      <c r="HWM141" s="422"/>
      <c r="HWN141" s="422"/>
      <c r="HWO141" s="422"/>
      <c r="HWP141" s="422"/>
      <c r="HWQ141" s="422"/>
      <c r="HWR141" s="422"/>
      <c r="HWS141" s="422"/>
      <c r="HWT141" s="422"/>
      <c r="HWU141" s="422"/>
      <c r="HWV141" s="422"/>
      <c r="HWW141" s="422"/>
      <c r="HWX141" s="422"/>
      <c r="HWY141" s="422"/>
      <c r="HWZ141" s="422"/>
      <c r="HXA141" s="422"/>
      <c r="HXB141" s="422"/>
      <c r="HXC141" s="422"/>
      <c r="HXD141" s="422"/>
      <c r="HXE141" s="422"/>
      <c r="HXF141" s="422"/>
      <c r="HXG141" s="422"/>
      <c r="HXH141" s="422"/>
      <c r="HXI141" s="422"/>
      <c r="HXJ141" s="422"/>
      <c r="HXK141" s="422"/>
      <c r="HXL141" s="422"/>
      <c r="HXM141" s="422"/>
      <c r="HXN141" s="422"/>
      <c r="HXO141" s="422"/>
      <c r="HXP141" s="422"/>
      <c r="HXQ141" s="422"/>
      <c r="HXR141" s="422"/>
      <c r="HXS141" s="422"/>
      <c r="HXT141" s="422"/>
      <c r="HXU141" s="422"/>
      <c r="HXV141" s="422"/>
      <c r="HXW141" s="422"/>
      <c r="HXX141" s="422"/>
      <c r="HXY141" s="422"/>
      <c r="HXZ141" s="422"/>
      <c r="HYA141" s="422"/>
      <c r="HYB141" s="422"/>
      <c r="HYC141" s="422"/>
      <c r="HYD141" s="422"/>
      <c r="HYE141" s="422"/>
      <c r="HYF141" s="422"/>
      <c r="HYG141" s="422"/>
      <c r="HYH141" s="422"/>
      <c r="HYI141" s="422"/>
      <c r="HYJ141" s="422"/>
      <c r="HYK141" s="422"/>
      <c r="HYL141" s="422"/>
      <c r="HYM141" s="422"/>
      <c r="HYN141" s="422"/>
      <c r="HYO141" s="422"/>
      <c r="HYP141" s="422"/>
      <c r="HYQ141" s="422"/>
      <c r="HYR141" s="422"/>
      <c r="HYS141" s="422"/>
      <c r="HYT141" s="422"/>
      <c r="HYU141" s="422"/>
      <c r="HYV141" s="422"/>
      <c r="HYW141" s="422"/>
      <c r="HYX141" s="422"/>
      <c r="HYY141" s="422"/>
      <c r="HYZ141" s="422"/>
      <c r="HZA141" s="422"/>
      <c r="HZB141" s="422"/>
      <c r="HZC141" s="422"/>
      <c r="HZD141" s="422"/>
      <c r="HZE141" s="422"/>
      <c r="HZF141" s="422"/>
      <c r="HZG141" s="422"/>
      <c r="HZH141" s="422"/>
      <c r="HZI141" s="422"/>
      <c r="HZJ141" s="422"/>
      <c r="HZK141" s="422"/>
      <c r="HZL141" s="422"/>
      <c r="HZM141" s="422"/>
      <c r="HZN141" s="422"/>
      <c r="HZO141" s="422"/>
      <c r="HZP141" s="422"/>
      <c r="HZQ141" s="422"/>
      <c r="HZR141" s="422"/>
      <c r="HZS141" s="422"/>
      <c r="HZT141" s="422"/>
      <c r="HZU141" s="422"/>
      <c r="HZV141" s="422"/>
      <c r="HZW141" s="422"/>
      <c r="HZX141" s="422"/>
      <c r="HZY141" s="422"/>
      <c r="HZZ141" s="422"/>
      <c r="IAA141" s="422"/>
      <c r="IAB141" s="422"/>
      <c r="IAC141" s="422"/>
      <c r="IAD141" s="422"/>
      <c r="IAE141" s="422"/>
      <c r="IAF141" s="422"/>
      <c r="IAG141" s="422"/>
      <c r="IAH141" s="422"/>
      <c r="IAI141" s="422"/>
      <c r="IAJ141" s="422"/>
      <c r="IAK141" s="422"/>
      <c r="IAL141" s="422"/>
      <c r="IAM141" s="422"/>
      <c r="IAN141" s="422"/>
      <c r="IAO141" s="422"/>
      <c r="IAP141" s="422"/>
      <c r="IAQ141" s="422"/>
      <c r="IAR141" s="422"/>
      <c r="IAS141" s="422"/>
      <c r="IAT141" s="422"/>
      <c r="IAU141" s="422"/>
      <c r="IAV141" s="422"/>
      <c r="IAW141" s="422"/>
      <c r="IAX141" s="422"/>
      <c r="IAY141" s="422"/>
      <c r="IAZ141" s="422"/>
      <c r="IBA141" s="422"/>
      <c r="IBB141" s="422"/>
      <c r="IBC141" s="422"/>
      <c r="IBD141" s="422"/>
      <c r="IBE141" s="422"/>
      <c r="IBF141" s="422"/>
      <c r="IBG141" s="422"/>
      <c r="IBH141" s="422"/>
      <c r="IBI141" s="422"/>
      <c r="IBJ141" s="422"/>
      <c r="IBK141" s="422"/>
      <c r="IBL141" s="422"/>
      <c r="IBM141" s="422"/>
      <c r="IBN141" s="422"/>
      <c r="IBO141" s="422"/>
      <c r="IBP141" s="422"/>
      <c r="IBQ141" s="422"/>
      <c r="IBR141" s="422"/>
      <c r="IBS141" s="422"/>
      <c r="IBT141" s="422"/>
      <c r="IBU141" s="422"/>
      <c r="IBV141" s="422"/>
      <c r="IBW141" s="422"/>
      <c r="IBX141" s="422"/>
      <c r="IBY141" s="422"/>
      <c r="IBZ141" s="422"/>
      <c r="ICA141" s="422"/>
      <c r="ICB141" s="422"/>
      <c r="ICC141" s="422"/>
      <c r="ICD141" s="422"/>
      <c r="ICE141" s="422"/>
      <c r="ICF141" s="422"/>
      <c r="ICG141" s="422"/>
      <c r="ICH141" s="422"/>
      <c r="ICI141" s="422"/>
      <c r="ICJ141" s="422"/>
      <c r="ICK141" s="422"/>
      <c r="ICL141" s="422"/>
      <c r="ICM141" s="422"/>
      <c r="ICN141" s="422"/>
      <c r="ICO141" s="422"/>
      <c r="ICP141" s="422"/>
      <c r="ICQ141" s="422"/>
      <c r="ICR141" s="422"/>
      <c r="ICS141" s="422"/>
      <c r="ICT141" s="422"/>
      <c r="ICU141" s="422"/>
      <c r="ICV141" s="422"/>
      <c r="ICW141" s="422"/>
      <c r="ICX141" s="422"/>
      <c r="ICY141" s="422"/>
      <c r="ICZ141" s="422"/>
      <c r="IDA141" s="422"/>
      <c r="IDB141" s="422"/>
      <c r="IDC141" s="422"/>
      <c r="IDD141" s="422"/>
      <c r="IDE141" s="422"/>
      <c r="IDF141" s="422"/>
      <c r="IDG141" s="422"/>
      <c r="IDH141" s="422"/>
      <c r="IDI141" s="422"/>
      <c r="IDJ141" s="422"/>
      <c r="IDK141" s="422"/>
      <c r="IDL141" s="422"/>
      <c r="IDM141" s="422"/>
      <c r="IDN141" s="422"/>
      <c r="IDO141" s="422"/>
      <c r="IDP141" s="422"/>
      <c r="IDQ141" s="422"/>
      <c r="IDR141" s="422"/>
      <c r="IDS141" s="422"/>
      <c r="IDT141" s="422"/>
      <c r="IDU141" s="422"/>
      <c r="IDV141" s="422"/>
      <c r="IDW141" s="422"/>
      <c r="IDX141" s="422"/>
      <c r="IDY141" s="422"/>
      <c r="IDZ141" s="422"/>
      <c r="IEA141" s="422"/>
      <c r="IEB141" s="422"/>
      <c r="IEC141" s="422"/>
      <c r="IED141" s="422"/>
      <c r="IEE141" s="422"/>
      <c r="IEF141" s="422"/>
      <c r="IEG141" s="422"/>
      <c r="IEH141" s="422"/>
      <c r="IEI141" s="422"/>
      <c r="IEJ141" s="422"/>
      <c r="IEK141" s="422"/>
      <c r="IEL141" s="422"/>
      <c r="IEM141" s="422"/>
      <c r="IEN141" s="422"/>
      <c r="IEO141" s="422"/>
      <c r="IEP141" s="422"/>
      <c r="IEQ141" s="422"/>
      <c r="IER141" s="422"/>
      <c r="IES141" s="422"/>
      <c r="IET141" s="422"/>
      <c r="IEU141" s="422"/>
      <c r="IEV141" s="422"/>
      <c r="IEW141" s="422"/>
      <c r="IEX141" s="422"/>
      <c r="IEY141" s="422"/>
      <c r="IEZ141" s="422"/>
      <c r="IFA141" s="422"/>
      <c r="IFB141" s="422"/>
      <c r="IFC141" s="422"/>
      <c r="IFD141" s="422"/>
      <c r="IFE141" s="422"/>
      <c r="IFF141" s="422"/>
      <c r="IFG141" s="422"/>
      <c r="IFH141" s="422"/>
      <c r="IFI141" s="422"/>
      <c r="IFJ141" s="422"/>
      <c r="IFK141" s="422"/>
      <c r="IFL141" s="422"/>
      <c r="IFM141" s="422"/>
      <c r="IFN141" s="422"/>
      <c r="IFO141" s="422"/>
      <c r="IFP141" s="422"/>
      <c r="IFQ141" s="422"/>
      <c r="IFR141" s="422"/>
      <c r="IFS141" s="422"/>
      <c r="IFT141" s="422"/>
      <c r="IFU141" s="422"/>
      <c r="IFV141" s="422"/>
      <c r="IFW141" s="422"/>
      <c r="IFX141" s="422"/>
      <c r="IFY141" s="422"/>
      <c r="IFZ141" s="422"/>
      <c r="IGA141" s="422"/>
      <c r="IGB141" s="422"/>
      <c r="IGC141" s="422"/>
      <c r="IGD141" s="422"/>
      <c r="IGE141" s="422"/>
      <c r="IGF141" s="422"/>
      <c r="IGG141" s="422"/>
      <c r="IGH141" s="422"/>
      <c r="IGI141" s="422"/>
      <c r="IGJ141" s="422"/>
      <c r="IGK141" s="422"/>
      <c r="IGL141" s="422"/>
      <c r="IGM141" s="422"/>
      <c r="IGN141" s="422"/>
      <c r="IGO141" s="422"/>
      <c r="IGP141" s="422"/>
      <c r="IGQ141" s="422"/>
      <c r="IGR141" s="422"/>
      <c r="IGS141" s="422"/>
      <c r="IGT141" s="422"/>
      <c r="IGU141" s="422"/>
      <c r="IGV141" s="422"/>
      <c r="IGW141" s="422"/>
      <c r="IGX141" s="422"/>
      <c r="IGY141" s="422"/>
      <c r="IGZ141" s="422"/>
      <c r="IHA141" s="422"/>
      <c r="IHB141" s="422"/>
      <c r="IHC141" s="422"/>
      <c r="IHD141" s="422"/>
      <c r="IHE141" s="422"/>
      <c r="IHF141" s="422"/>
      <c r="IHG141" s="422"/>
      <c r="IHH141" s="422"/>
      <c r="IHI141" s="422"/>
      <c r="IHJ141" s="422"/>
      <c r="IHK141" s="422"/>
      <c r="IHL141" s="422"/>
      <c r="IHM141" s="422"/>
      <c r="IHN141" s="422"/>
      <c r="IHO141" s="422"/>
      <c r="IHP141" s="422"/>
      <c r="IHQ141" s="422"/>
      <c r="IHR141" s="422"/>
      <c r="IHS141" s="422"/>
      <c r="IHT141" s="422"/>
      <c r="IHU141" s="422"/>
      <c r="IHV141" s="422"/>
      <c r="IHW141" s="422"/>
      <c r="IHX141" s="422"/>
      <c r="IHY141" s="422"/>
      <c r="IHZ141" s="422"/>
      <c r="IIA141" s="422"/>
      <c r="IIB141" s="422"/>
      <c r="IIC141" s="422"/>
      <c r="IID141" s="422"/>
      <c r="IIE141" s="422"/>
      <c r="IIF141" s="422"/>
      <c r="IIG141" s="422"/>
      <c r="IIH141" s="422"/>
      <c r="III141" s="422"/>
      <c r="IIJ141" s="422"/>
      <c r="IIK141" s="422"/>
      <c r="IIL141" s="422"/>
      <c r="IIM141" s="422"/>
      <c r="IIN141" s="422"/>
      <c r="IIO141" s="422"/>
      <c r="IIP141" s="422"/>
      <c r="IIQ141" s="422"/>
      <c r="IIR141" s="422"/>
      <c r="IIS141" s="422"/>
      <c r="IIT141" s="422"/>
      <c r="IIU141" s="422"/>
      <c r="IIV141" s="422"/>
      <c r="IIW141" s="422"/>
      <c r="IIX141" s="422"/>
      <c r="IIY141" s="422"/>
      <c r="IIZ141" s="422"/>
      <c r="IJA141" s="422"/>
      <c r="IJB141" s="422"/>
      <c r="IJC141" s="422"/>
      <c r="IJD141" s="422"/>
      <c r="IJE141" s="422"/>
      <c r="IJF141" s="422"/>
      <c r="IJG141" s="422"/>
      <c r="IJH141" s="422"/>
      <c r="IJI141" s="422"/>
      <c r="IJJ141" s="422"/>
      <c r="IJK141" s="422"/>
      <c r="IJL141" s="422"/>
      <c r="IJM141" s="422"/>
      <c r="IJN141" s="422"/>
      <c r="IJO141" s="422"/>
      <c r="IJP141" s="422"/>
      <c r="IJQ141" s="422"/>
      <c r="IJR141" s="422"/>
      <c r="IJS141" s="422"/>
      <c r="IJT141" s="422"/>
      <c r="IJU141" s="422"/>
      <c r="IJV141" s="422"/>
      <c r="IJW141" s="422"/>
      <c r="IJX141" s="422"/>
      <c r="IJY141" s="422"/>
      <c r="IJZ141" s="422"/>
      <c r="IKA141" s="422"/>
      <c r="IKB141" s="422"/>
      <c r="IKC141" s="422"/>
      <c r="IKD141" s="422"/>
      <c r="IKE141" s="422"/>
      <c r="IKF141" s="422"/>
      <c r="IKG141" s="422"/>
      <c r="IKH141" s="422"/>
      <c r="IKI141" s="422"/>
      <c r="IKJ141" s="422"/>
      <c r="IKK141" s="422"/>
      <c r="IKL141" s="422"/>
      <c r="IKM141" s="422"/>
      <c r="IKN141" s="422"/>
      <c r="IKO141" s="422"/>
      <c r="IKP141" s="422"/>
      <c r="IKQ141" s="422"/>
      <c r="IKR141" s="422"/>
      <c r="IKS141" s="422"/>
      <c r="IKT141" s="422"/>
      <c r="IKU141" s="422"/>
      <c r="IKV141" s="422"/>
      <c r="IKW141" s="422"/>
      <c r="IKX141" s="422"/>
      <c r="IKY141" s="422"/>
      <c r="IKZ141" s="422"/>
      <c r="ILA141" s="422"/>
      <c r="ILB141" s="422"/>
      <c r="ILC141" s="422"/>
      <c r="ILD141" s="422"/>
      <c r="ILE141" s="422"/>
      <c r="ILF141" s="422"/>
      <c r="ILG141" s="422"/>
      <c r="ILH141" s="422"/>
      <c r="ILI141" s="422"/>
      <c r="ILJ141" s="422"/>
      <c r="ILK141" s="422"/>
      <c r="ILL141" s="422"/>
      <c r="ILM141" s="422"/>
      <c r="ILN141" s="422"/>
      <c r="ILO141" s="422"/>
      <c r="ILP141" s="422"/>
      <c r="ILQ141" s="422"/>
      <c r="ILR141" s="422"/>
      <c r="ILS141" s="422"/>
      <c r="ILT141" s="422"/>
      <c r="ILU141" s="422"/>
      <c r="ILV141" s="422"/>
      <c r="ILW141" s="422"/>
      <c r="ILX141" s="422"/>
      <c r="ILY141" s="422"/>
      <c r="ILZ141" s="422"/>
      <c r="IMA141" s="422"/>
      <c r="IMB141" s="422"/>
      <c r="IMC141" s="422"/>
      <c r="IMD141" s="422"/>
      <c r="IME141" s="422"/>
      <c r="IMF141" s="422"/>
      <c r="IMG141" s="422"/>
      <c r="IMH141" s="422"/>
      <c r="IMI141" s="422"/>
      <c r="IMJ141" s="422"/>
      <c r="IMK141" s="422"/>
      <c r="IML141" s="422"/>
      <c r="IMM141" s="422"/>
      <c r="IMN141" s="422"/>
      <c r="IMO141" s="422"/>
      <c r="IMP141" s="422"/>
      <c r="IMQ141" s="422"/>
      <c r="IMR141" s="422"/>
      <c r="IMS141" s="422"/>
      <c r="IMT141" s="422"/>
      <c r="IMU141" s="422"/>
      <c r="IMV141" s="422"/>
      <c r="IMW141" s="422"/>
      <c r="IMX141" s="422"/>
      <c r="IMY141" s="422"/>
      <c r="IMZ141" s="422"/>
      <c r="INA141" s="422"/>
      <c r="INB141" s="422"/>
      <c r="INC141" s="422"/>
      <c r="IND141" s="422"/>
      <c r="INE141" s="422"/>
      <c r="INF141" s="422"/>
      <c r="ING141" s="422"/>
      <c r="INH141" s="422"/>
      <c r="INI141" s="422"/>
      <c r="INJ141" s="422"/>
      <c r="INK141" s="422"/>
      <c r="INL141" s="422"/>
      <c r="INM141" s="422"/>
      <c r="INN141" s="422"/>
      <c r="INO141" s="422"/>
      <c r="INP141" s="422"/>
      <c r="INQ141" s="422"/>
      <c r="INR141" s="422"/>
      <c r="INS141" s="422"/>
      <c r="INT141" s="422"/>
      <c r="INU141" s="422"/>
      <c r="INV141" s="422"/>
      <c r="INW141" s="422"/>
      <c r="INX141" s="422"/>
      <c r="INY141" s="422"/>
      <c r="INZ141" s="422"/>
      <c r="IOA141" s="422"/>
      <c r="IOB141" s="422"/>
      <c r="IOC141" s="422"/>
      <c r="IOD141" s="422"/>
      <c r="IOE141" s="422"/>
      <c r="IOF141" s="422"/>
      <c r="IOG141" s="422"/>
      <c r="IOH141" s="422"/>
      <c r="IOI141" s="422"/>
      <c r="IOJ141" s="422"/>
      <c r="IOK141" s="422"/>
      <c r="IOL141" s="422"/>
      <c r="IOM141" s="422"/>
      <c r="ION141" s="422"/>
      <c r="IOO141" s="422"/>
      <c r="IOP141" s="422"/>
      <c r="IOQ141" s="422"/>
      <c r="IOR141" s="422"/>
      <c r="IOS141" s="422"/>
      <c r="IOT141" s="422"/>
      <c r="IOU141" s="422"/>
      <c r="IOV141" s="422"/>
      <c r="IOW141" s="422"/>
      <c r="IOX141" s="422"/>
      <c r="IOY141" s="422"/>
      <c r="IOZ141" s="422"/>
      <c r="IPA141" s="422"/>
      <c r="IPB141" s="422"/>
      <c r="IPC141" s="422"/>
      <c r="IPD141" s="422"/>
      <c r="IPE141" s="422"/>
      <c r="IPF141" s="422"/>
      <c r="IPG141" s="422"/>
      <c r="IPH141" s="422"/>
      <c r="IPI141" s="422"/>
      <c r="IPJ141" s="422"/>
      <c r="IPK141" s="422"/>
      <c r="IPL141" s="422"/>
      <c r="IPM141" s="422"/>
      <c r="IPN141" s="422"/>
      <c r="IPO141" s="422"/>
      <c r="IPP141" s="422"/>
      <c r="IPQ141" s="422"/>
      <c r="IPR141" s="422"/>
      <c r="IPS141" s="422"/>
      <c r="IPT141" s="422"/>
      <c r="IPU141" s="422"/>
      <c r="IPV141" s="422"/>
      <c r="IPW141" s="422"/>
      <c r="IPX141" s="422"/>
      <c r="IPY141" s="422"/>
      <c r="IPZ141" s="422"/>
      <c r="IQA141" s="422"/>
      <c r="IQB141" s="422"/>
      <c r="IQC141" s="422"/>
      <c r="IQD141" s="422"/>
      <c r="IQE141" s="422"/>
      <c r="IQF141" s="422"/>
      <c r="IQG141" s="422"/>
      <c r="IQH141" s="422"/>
      <c r="IQI141" s="422"/>
      <c r="IQJ141" s="422"/>
      <c r="IQK141" s="422"/>
      <c r="IQL141" s="422"/>
      <c r="IQM141" s="422"/>
      <c r="IQN141" s="422"/>
      <c r="IQO141" s="422"/>
      <c r="IQP141" s="422"/>
      <c r="IQQ141" s="422"/>
      <c r="IQR141" s="422"/>
      <c r="IQS141" s="422"/>
      <c r="IQT141" s="422"/>
      <c r="IQU141" s="422"/>
      <c r="IQV141" s="422"/>
      <c r="IQW141" s="422"/>
      <c r="IQX141" s="422"/>
      <c r="IQY141" s="422"/>
      <c r="IQZ141" s="422"/>
      <c r="IRA141" s="422"/>
      <c r="IRB141" s="422"/>
      <c r="IRC141" s="422"/>
      <c r="IRD141" s="422"/>
      <c r="IRE141" s="422"/>
      <c r="IRF141" s="422"/>
      <c r="IRG141" s="422"/>
      <c r="IRH141" s="422"/>
      <c r="IRI141" s="422"/>
      <c r="IRJ141" s="422"/>
      <c r="IRK141" s="422"/>
      <c r="IRL141" s="422"/>
      <c r="IRM141" s="422"/>
      <c r="IRN141" s="422"/>
      <c r="IRO141" s="422"/>
      <c r="IRP141" s="422"/>
      <c r="IRQ141" s="422"/>
      <c r="IRR141" s="422"/>
      <c r="IRS141" s="422"/>
      <c r="IRT141" s="422"/>
      <c r="IRU141" s="422"/>
      <c r="IRV141" s="422"/>
      <c r="IRW141" s="422"/>
      <c r="IRX141" s="422"/>
      <c r="IRY141" s="422"/>
      <c r="IRZ141" s="422"/>
      <c r="ISA141" s="422"/>
      <c r="ISB141" s="422"/>
      <c r="ISC141" s="422"/>
      <c r="ISD141" s="422"/>
      <c r="ISE141" s="422"/>
      <c r="ISF141" s="422"/>
      <c r="ISG141" s="422"/>
      <c r="ISH141" s="422"/>
      <c r="ISI141" s="422"/>
      <c r="ISJ141" s="422"/>
      <c r="ISK141" s="422"/>
      <c r="ISL141" s="422"/>
      <c r="ISM141" s="422"/>
      <c r="ISN141" s="422"/>
      <c r="ISO141" s="422"/>
      <c r="ISP141" s="422"/>
      <c r="ISQ141" s="422"/>
      <c r="ISR141" s="422"/>
      <c r="ISS141" s="422"/>
      <c r="IST141" s="422"/>
      <c r="ISU141" s="422"/>
      <c r="ISV141" s="422"/>
      <c r="ISW141" s="422"/>
      <c r="ISX141" s="422"/>
      <c r="ISY141" s="422"/>
      <c r="ISZ141" s="422"/>
      <c r="ITA141" s="422"/>
      <c r="ITB141" s="422"/>
      <c r="ITC141" s="422"/>
      <c r="ITD141" s="422"/>
      <c r="ITE141" s="422"/>
      <c r="ITF141" s="422"/>
      <c r="ITG141" s="422"/>
      <c r="ITH141" s="422"/>
      <c r="ITI141" s="422"/>
      <c r="ITJ141" s="422"/>
      <c r="ITK141" s="422"/>
      <c r="ITL141" s="422"/>
      <c r="ITM141" s="422"/>
      <c r="ITN141" s="422"/>
      <c r="ITO141" s="422"/>
      <c r="ITP141" s="422"/>
      <c r="ITQ141" s="422"/>
      <c r="ITR141" s="422"/>
      <c r="ITS141" s="422"/>
      <c r="ITT141" s="422"/>
      <c r="ITU141" s="422"/>
      <c r="ITV141" s="422"/>
      <c r="ITW141" s="422"/>
      <c r="ITX141" s="422"/>
      <c r="ITY141" s="422"/>
      <c r="ITZ141" s="422"/>
      <c r="IUA141" s="422"/>
      <c r="IUB141" s="422"/>
      <c r="IUC141" s="422"/>
      <c r="IUD141" s="422"/>
      <c r="IUE141" s="422"/>
      <c r="IUF141" s="422"/>
      <c r="IUG141" s="422"/>
      <c r="IUH141" s="422"/>
      <c r="IUI141" s="422"/>
      <c r="IUJ141" s="422"/>
      <c r="IUK141" s="422"/>
      <c r="IUL141" s="422"/>
      <c r="IUM141" s="422"/>
      <c r="IUN141" s="422"/>
      <c r="IUO141" s="422"/>
      <c r="IUP141" s="422"/>
      <c r="IUQ141" s="422"/>
      <c r="IUR141" s="422"/>
      <c r="IUS141" s="422"/>
      <c r="IUT141" s="422"/>
      <c r="IUU141" s="422"/>
      <c r="IUV141" s="422"/>
      <c r="IUW141" s="422"/>
      <c r="IUX141" s="422"/>
      <c r="IUY141" s="422"/>
      <c r="IUZ141" s="422"/>
      <c r="IVA141" s="422"/>
      <c r="IVB141" s="422"/>
      <c r="IVC141" s="422"/>
      <c r="IVD141" s="422"/>
      <c r="IVE141" s="422"/>
      <c r="IVF141" s="422"/>
      <c r="IVG141" s="422"/>
      <c r="IVH141" s="422"/>
      <c r="IVI141" s="422"/>
      <c r="IVJ141" s="422"/>
      <c r="IVK141" s="422"/>
      <c r="IVL141" s="422"/>
      <c r="IVM141" s="422"/>
      <c r="IVN141" s="422"/>
      <c r="IVO141" s="422"/>
      <c r="IVP141" s="422"/>
      <c r="IVQ141" s="422"/>
      <c r="IVR141" s="422"/>
      <c r="IVS141" s="422"/>
      <c r="IVT141" s="422"/>
      <c r="IVU141" s="422"/>
      <c r="IVV141" s="422"/>
      <c r="IVW141" s="422"/>
      <c r="IVX141" s="422"/>
      <c r="IVY141" s="422"/>
      <c r="IVZ141" s="422"/>
      <c r="IWA141" s="422"/>
      <c r="IWB141" s="422"/>
      <c r="IWC141" s="422"/>
      <c r="IWD141" s="422"/>
      <c r="IWE141" s="422"/>
      <c r="IWF141" s="422"/>
      <c r="IWG141" s="422"/>
      <c r="IWH141" s="422"/>
      <c r="IWI141" s="422"/>
      <c r="IWJ141" s="422"/>
      <c r="IWK141" s="422"/>
      <c r="IWL141" s="422"/>
      <c r="IWM141" s="422"/>
      <c r="IWN141" s="422"/>
      <c r="IWO141" s="422"/>
      <c r="IWP141" s="422"/>
      <c r="IWQ141" s="422"/>
      <c r="IWR141" s="422"/>
      <c r="IWS141" s="422"/>
      <c r="IWT141" s="422"/>
      <c r="IWU141" s="422"/>
      <c r="IWV141" s="422"/>
      <c r="IWW141" s="422"/>
      <c r="IWX141" s="422"/>
      <c r="IWY141" s="422"/>
      <c r="IWZ141" s="422"/>
      <c r="IXA141" s="422"/>
      <c r="IXB141" s="422"/>
      <c r="IXC141" s="422"/>
      <c r="IXD141" s="422"/>
      <c r="IXE141" s="422"/>
      <c r="IXF141" s="422"/>
      <c r="IXG141" s="422"/>
      <c r="IXH141" s="422"/>
      <c r="IXI141" s="422"/>
      <c r="IXJ141" s="422"/>
      <c r="IXK141" s="422"/>
      <c r="IXL141" s="422"/>
      <c r="IXM141" s="422"/>
      <c r="IXN141" s="422"/>
      <c r="IXO141" s="422"/>
      <c r="IXP141" s="422"/>
      <c r="IXQ141" s="422"/>
      <c r="IXR141" s="422"/>
      <c r="IXS141" s="422"/>
      <c r="IXT141" s="422"/>
      <c r="IXU141" s="422"/>
      <c r="IXV141" s="422"/>
      <c r="IXW141" s="422"/>
      <c r="IXX141" s="422"/>
      <c r="IXY141" s="422"/>
      <c r="IXZ141" s="422"/>
      <c r="IYA141" s="422"/>
      <c r="IYB141" s="422"/>
      <c r="IYC141" s="422"/>
      <c r="IYD141" s="422"/>
      <c r="IYE141" s="422"/>
      <c r="IYF141" s="422"/>
      <c r="IYG141" s="422"/>
      <c r="IYH141" s="422"/>
      <c r="IYI141" s="422"/>
      <c r="IYJ141" s="422"/>
      <c r="IYK141" s="422"/>
      <c r="IYL141" s="422"/>
      <c r="IYM141" s="422"/>
      <c r="IYN141" s="422"/>
      <c r="IYO141" s="422"/>
      <c r="IYP141" s="422"/>
      <c r="IYQ141" s="422"/>
      <c r="IYR141" s="422"/>
      <c r="IYS141" s="422"/>
      <c r="IYT141" s="422"/>
      <c r="IYU141" s="422"/>
      <c r="IYV141" s="422"/>
      <c r="IYW141" s="422"/>
      <c r="IYX141" s="422"/>
      <c r="IYY141" s="422"/>
      <c r="IYZ141" s="422"/>
      <c r="IZA141" s="422"/>
      <c r="IZB141" s="422"/>
      <c r="IZC141" s="422"/>
      <c r="IZD141" s="422"/>
      <c r="IZE141" s="422"/>
      <c r="IZF141" s="422"/>
      <c r="IZG141" s="422"/>
      <c r="IZH141" s="422"/>
      <c r="IZI141" s="422"/>
      <c r="IZJ141" s="422"/>
      <c r="IZK141" s="422"/>
      <c r="IZL141" s="422"/>
      <c r="IZM141" s="422"/>
      <c r="IZN141" s="422"/>
      <c r="IZO141" s="422"/>
      <c r="IZP141" s="422"/>
      <c r="IZQ141" s="422"/>
      <c r="IZR141" s="422"/>
      <c r="IZS141" s="422"/>
      <c r="IZT141" s="422"/>
      <c r="IZU141" s="422"/>
      <c r="IZV141" s="422"/>
      <c r="IZW141" s="422"/>
      <c r="IZX141" s="422"/>
      <c r="IZY141" s="422"/>
      <c r="IZZ141" s="422"/>
      <c r="JAA141" s="422"/>
      <c r="JAB141" s="422"/>
      <c r="JAC141" s="422"/>
      <c r="JAD141" s="422"/>
      <c r="JAE141" s="422"/>
      <c r="JAF141" s="422"/>
      <c r="JAG141" s="422"/>
      <c r="JAH141" s="422"/>
      <c r="JAI141" s="422"/>
      <c r="JAJ141" s="422"/>
      <c r="JAK141" s="422"/>
      <c r="JAL141" s="422"/>
      <c r="JAM141" s="422"/>
      <c r="JAN141" s="422"/>
      <c r="JAO141" s="422"/>
      <c r="JAP141" s="422"/>
      <c r="JAQ141" s="422"/>
      <c r="JAR141" s="422"/>
      <c r="JAS141" s="422"/>
      <c r="JAT141" s="422"/>
      <c r="JAU141" s="422"/>
      <c r="JAV141" s="422"/>
      <c r="JAW141" s="422"/>
      <c r="JAX141" s="422"/>
      <c r="JAY141" s="422"/>
      <c r="JAZ141" s="422"/>
      <c r="JBA141" s="422"/>
      <c r="JBB141" s="422"/>
      <c r="JBC141" s="422"/>
      <c r="JBD141" s="422"/>
      <c r="JBE141" s="422"/>
      <c r="JBF141" s="422"/>
      <c r="JBG141" s="422"/>
      <c r="JBH141" s="422"/>
      <c r="JBI141" s="422"/>
      <c r="JBJ141" s="422"/>
      <c r="JBK141" s="422"/>
      <c r="JBL141" s="422"/>
      <c r="JBM141" s="422"/>
      <c r="JBN141" s="422"/>
      <c r="JBO141" s="422"/>
      <c r="JBP141" s="422"/>
      <c r="JBQ141" s="422"/>
      <c r="JBR141" s="422"/>
      <c r="JBS141" s="422"/>
      <c r="JBT141" s="422"/>
      <c r="JBU141" s="422"/>
      <c r="JBV141" s="422"/>
      <c r="JBW141" s="422"/>
      <c r="JBX141" s="422"/>
      <c r="JBY141" s="422"/>
      <c r="JBZ141" s="422"/>
      <c r="JCA141" s="422"/>
      <c r="JCB141" s="422"/>
      <c r="JCC141" s="422"/>
      <c r="JCD141" s="422"/>
      <c r="JCE141" s="422"/>
      <c r="JCF141" s="422"/>
      <c r="JCG141" s="422"/>
      <c r="JCH141" s="422"/>
      <c r="JCI141" s="422"/>
      <c r="JCJ141" s="422"/>
      <c r="JCK141" s="422"/>
      <c r="JCL141" s="422"/>
      <c r="JCM141" s="422"/>
      <c r="JCN141" s="422"/>
      <c r="JCO141" s="422"/>
      <c r="JCP141" s="422"/>
      <c r="JCQ141" s="422"/>
      <c r="JCR141" s="422"/>
      <c r="JCS141" s="422"/>
      <c r="JCT141" s="422"/>
      <c r="JCU141" s="422"/>
      <c r="JCV141" s="422"/>
      <c r="JCW141" s="422"/>
      <c r="JCX141" s="422"/>
      <c r="JCY141" s="422"/>
      <c r="JCZ141" s="422"/>
      <c r="JDA141" s="422"/>
      <c r="JDB141" s="422"/>
      <c r="JDC141" s="422"/>
      <c r="JDD141" s="422"/>
      <c r="JDE141" s="422"/>
      <c r="JDF141" s="422"/>
      <c r="JDG141" s="422"/>
      <c r="JDH141" s="422"/>
      <c r="JDI141" s="422"/>
      <c r="JDJ141" s="422"/>
      <c r="JDK141" s="422"/>
      <c r="JDL141" s="422"/>
      <c r="JDM141" s="422"/>
      <c r="JDN141" s="422"/>
      <c r="JDO141" s="422"/>
      <c r="JDP141" s="422"/>
      <c r="JDQ141" s="422"/>
      <c r="JDR141" s="422"/>
      <c r="JDS141" s="422"/>
      <c r="JDT141" s="422"/>
      <c r="JDU141" s="422"/>
      <c r="JDV141" s="422"/>
      <c r="JDW141" s="422"/>
      <c r="JDX141" s="422"/>
      <c r="JDY141" s="422"/>
      <c r="JDZ141" s="422"/>
      <c r="JEA141" s="422"/>
      <c r="JEB141" s="422"/>
      <c r="JEC141" s="422"/>
      <c r="JED141" s="422"/>
      <c r="JEE141" s="422"/>
      <c r="JEF141" s="422"/>
      <c r="JEG141" s="422"/>
      <c r="JEH141" s="422"/>
      <c r="JEI141" s="422"/>
      <c r="JEJ141" s="422"/>
      <c r="JEK141" s="422"/>
      <c r="JEL141" s="422"/>
      <c r="JEM141" s="422"/>
      <c r="JEN141" s="422"/>
      <c r="JEO141" s="422"/>
      <c r="JEP141" s="422"/>
      <c r="JEQ141" s="422"/>
      <c r="JER141" s="422"/>
      <c r="JES141" s="422"/>
      <c r="JET141" s="422"/>
      <c r="JEU141" s="422"/>
      <c r="JEV141" s="422"/>
      <c r="JEW141" s="422"/>
      <c r="JEX141" s="422"/>
      <c r="JEY141" s="422"/>
      <c r="JEZ141" s="422"/>
      <c r="JFA141" s="422"/>
      <c r="JFB141" s="422"/>
      <c r="JFC141" s="422"/>
      <c r="JFD141" s="422"/>
      <c r="JFE141" s="422"/>
      <c r="JFF141" s="422"/>
      <c r="JFG141" s="422"/>
      <c r="JFH141" s="422"/>
      <c r="JFI141" s="422"/>
      <c r="JFJ141" s="422"/>
      <c r="JFK141" s="422"/>
      <c r="JFL141" s="422"/>
      <c r="JFM141" s="422"/>
      <c r="JFN141" s="422"/>
      <c r="JFO141" s="422"/>
      <c r="JFP141" s="422"/>
      <c r="JFQ141" s="422"/>
      <c r="JFR141" s="422"/>
      <c r="JFS141" s="422"/>
      <c r="JFT141" s="422"/>
      <c r="JFU141" s="422"/>
      <c r="JFV141" s="422"/>
      <c r="JFW141" s="422"/>
      <c r="JFX141" s="422"/>
      <c r="JFY141" s="422"/>
      <c r="JFZ141" s="422"/>
      <c r="JGA141" s="422"/>
      <c r="JGB141" s="422"/>
      <c r="JGC141" s="422"/>
      <c r="JGD141" s="422"/>
      <c r="JGE141" s="422"/>
      <c r="JGF141" s="422"/>
      <c r="JGG141" s="422"/>
      <c r="JGH141" s="422"/>
      <c r="JGI141" s="422"/>
      <c r="JGJ141" s="422"/>
      <c r="JGK141" s="422"/>
      <c r="JGL141" s="422"/>
      <c r="JGM141" s="422"/>
      <c r="JGN141" s="422"/>
      <c r="JGO141" s="422"/>
      <c r="JGP141" s="422"/>
      <c r="JGQ141" s="422"/>
      <c r="JGR141" s="422"/>
      <c r="JGS141" s="422"/>
      <c r="JGT141" s="422"/>
      <c r="JGU141" s="422"/>
      <c r="JGV141" s="422"/>
      <c r="JGW141" s="422"/>
      <c r="JGX141" s="422"/>
      <c r="JGY141" s="422"/>
      <c r="JGZ141" s="422"/>
      <c r="JHA141" s="422"/>
      <c r="JHB141" s="422"/>
      <c r="JHC141" s="422"/>
      <c r="JHD141" s="422"/>
      <c r="JHE141" s="422"/>
      <c r="JHF141" s="422"/>
      <c r="JHG141" s="422"/>
      <c r="JHH141" s="422"/>
      <c r="JHI141" s="422"/>
      <c r="JHJ141" s="422"/>
      <c r="JHK141" s="422"/>
      <c r="JHL141" s="422"/>
      <c r="JHM141" s="422"/>
      <c r="JHN141" s="422"/>
      <c r="JHO141" s="422"/>
      <c r="JHP141" s="422"/>
      <c r="JHQ141" s="422"/>
      <c r="JHR141" s="422"/>
      <c r="JHS141" s="422"/>
      <c r="JHT141" s="422"/>
      <c r="JHU141" s="422"/>
      <c r="JHV141" s="422"/>
      <c r="JHW141" s="422"/>
      <c r="JHX141" s="422"/>
      <c r="JHY141" s="422"/>
      <c r="JHZ141" s="422"/>
      <c r="JIA141" s="422"/>
      <c r="JIB141" s="422"/>
      <c r="JIC141" s="422"/>
      <c r="JID141" s="422"/>
      <c r="JIE141" s="422"/>
      <c r="JIF141" s="422"/>
      <c r="JIG141" s="422"/>
      <c r="JIH141" s="422"/>
      <c r="JII141" s="422"/>
      <c r="JIJ141" s="422"/>
      <c r="JIK141" s="422"/>
      <c r="JIL141" s="422"/>
      <c r="JIM141" s="422"/>
      <c r="JIN141" s="422"/>
      <c r="JIO141" s="422"/>
      <c r="JIP141" s="422"/>
      <c r="JIQ141" s="422"/>
      <c r="JIR141" s="422"/>
      <c r="JIS141" s="422"/>
      <c r="JIT141" s="422"/>
      <c r="JIU141" s="422"/>
      <c r="JIV141" s="422"/>
      <c r="JIW141" s="422"/>
      <c r="JIX141" s="422"/>
      <c r="JIY141" s="422"/>
      <c r="JIZ141" s="422"/>
      <c r="JJA141" s="422"/>
      <c r="JJB141" s="422"/>
      <c r="JJC141" s="422"/>
      <c r="JJD141" s="422"/>
      <c r="JJE141" s="422"/>
      <c r="JJF141" s="422"/>
      <c r="JJG141" s="422"/>
      <c r="JJH141" s="422"/>
      <c r="JJI141" s="422"/>
      <c r="JJJ141" s="422"/>
      <c r="JJK141" s="422"/>
      <c r="JJL141" s="422"/>
      <c r="JJM141" s="422"/>
      <c r="JJN141" s="422"/>
      <c r="JJO141" s="422"/>
      <c r="JJP141" s="422"/>
      <c r="JJQ141" s="422"/>
      <c r="JJR141" s="422"/>
      <c r="JJS141" s="422"/>
      <c r="JJT141" s="422"/>
      <c r="JJU141" s="422"/>
      <c r="JJV141" s="422"/>
      <c r="JJW141" s="422"/>
      <c r="JJX141" s="422"/>
      <c r="JJY141" s="422"/>
      <c r="JJZ141" s="422"/>
      <c r="JKA141" s="422"/>
      <c r="JKB141" s="422"/>
      <c r="JKC141" s="422"/>
      <c r="JKD141" s="422"/>
      <c r="JKE141" s="422"/>
      <c r="JKF141" s="422"/>
      <c r="JKG141" s="422"/>
      <c r="JKH141" s="422"/>
      <c r="JKI141" s="422"/>
      <c r="JKJ141" s="422"/>
      <c r="JKK141" s="422"/>
      <c r="JKL141" s="422"/>
      <c r="JKM141" s="422"/>
      <c r="JKN141" s="422"/>
      <c r="JKO141" s="422"/>
      <c r="JKP141" s="422"/>
      <c r="JKQ141" s="422"/>
      <c r="JKR141" s="422"/>
      <c r="JKS141" s="422"/>
      <c r="JKT141" s="422"/>
      <c r="JKU141" s="422"/>
      <c r="JKV141" s="422"/>
      <c r="JKW141" s="422"/>
      <c r="JKX141" s="422"/>
      <c r="JKY141" s="422"/>
      <c r="JKZ141" s="422"/>
      <c r="JLA141" s="422"/>
      <c r="JLB141" s="422"/>
      <c r="JLC141" s="422"/>
      <c r="JLD141" s="422"/>
      <c r="JLE141" s="422"/>
      <c r="JLF141" s="422"/>
      <c r="JLG141" s="422"/>
      <c r="JLH141" s="422"/>
      <c r="JLI141" s="422"/>
      <c r="JLJ141" s="422"/>
      <c r="JLK141" s="422"/>
      <c r="JLL141" s="422"/>
      <c r="JLM141" s="422"/>
      <c r="JLN141" s="422"/>
      <c r="JLO141" s="422"/>
      <c r="JLP141" s="422"/>
      <c r="JLQ141" s="422"/>
      <c r="JLR141" s="422"/>
      <c r="JLS141" s="422"/>
      <c r="JLT141" s="422"/>
      <c r="JLU141" s="422"/>
      <c r="JLV141" s="422"/>
      <c r="JLW141" s="422"/>
      <c r="JLX141" s="422"/>
      <c r="JLY141" s="422"/>
      <c r="JLZ141" s="422"/>
      <c r="JMA141" s="422"/>
      <c r="JMB141" s="422"/>
      <c r="JMC141" s="422"/>
      <c r="JMD141" s="422"/>
      <c r="JME141" s="422"/>
      <c r="JMF141" s="422"/>
      <c r="JMG141" s="422"/>
      <c r="JMH141" s="422"/>
      <c r="JMI141" s="422"/>
      <c r="JMJ141" s="422"/>
      <c r="JMK141" s="422"/>
      <c r="JML141" s="422"/>
      <c r="JMM141" s="422"/>
      <c r="JMN141" s="422"/>
      <c r="JMO141" s="422"/>
      <c r="JMP141" s="422"/>
      <c r="JMQ141" s="422"/>
      <c r="JMR141" s="422"/>
      <c r="JMS141" s="422"/>
      <c r="JMT141" s="422"/>
      <c r="JMU141" s="422"/>
      <c r="JMV141" s="422"/>
      <c r="JMW141" s="422"/>
      <c r="JMX141" s="422"/>
      <c r="JMY141" s="422"/>
      <c r="JMZ141" s="422"/>
      <c r="JNA141" s="422"/>
      <c r="JNB141" s="422"/>
      <c r="JNC141" s="422"/>
      <c r="JND141" s="422"/>
      <c r="JNE141" s="422"/>
      <c r="JNF141" s="422"/>
      <c r="JNG141" s="422"/>
      <c r="JNH141" s="422"/>
      <c r="JNI141" s="422"/>
      <c r="JNJ141" s="422"/>
      <c r="JNK141" s="422"/>
      <c r="JNL141" s="422"/>
      <c r="JNM141" s="422"/>
      <c r="JNN141" s="422"/>
      <c r="JNO141" s="422"/>
      <c r="JNP141" s="422"/>
      <c r="JNQ141" s="422"/>
      <c r="JNR141" s="422"/>
      <c r="JNS141" s="422"/>
      <c r="JNT141" s="422"/>
      <c r="JNU141" s="422"/>
      <c r="JNV141" s="422"/>
      <c r="JNW141" s="422"/>
      <c r="JNX141" s="422"/>
      <c r="JNY141" s="422"/>
      <c r="JNZ141" s="422"/>
      <c r="JOA141" s="422"/>
      <c r="JOB141" s="422"/>
      <c r="JOC141" s="422"/>
      <c r="JOD141" s="422"/>
      <c r="JOE141" s="422"/>
      <c r="JOF141" s="422"/>
      <c r="JOG141" s="422"/>
      <c r="JOH141" s="422"/>
      <c r="JOI141" s="422"/>
      <c r="JOJ141" s="422"/>
      <c r="JOK141" s="422"/>
      <c r="JOL141" s="422"/>
      <c r="JOM141" s="422"/>
      <c r="JON141" s="422"/>
      <c r="JOO141" s="422"/>
      <c r="JOP141" s="422"/>
      <c r="JOQ141" s="422"/>
      <c r="JOR141" s="422"/>
      <c r="JOS141" s="422"/>
      <c r="JOT141" s="422"/>
      <c r="JOU141" s="422"/>
      <c r="JOV141" s="422"/>
      <c r="JOW141" s="422"/>
      <c r="JOX141" s="422"/>
      <c r="JOY141" s="422"/>
      <c r="JOZ141" s="422"/>
      <c r="JPA141" s="422"/>
      <c r="JPB141" s="422"/>
      <c r="JPC141" s="422"/>
      <c r="JPD141" s="422"/>
      <c r="JPE141" s="422"/>
      <c r="JPF141" s="422"/>
      <c r="JPG141" s="422"/>
      <c r="JPH141" s="422"/>
      <c r="JPI141" s="422"/>
      <c r="JPJ141" s="422"/>
      <c r="JPK141" s="422"/>
      <c r="JPL141" s="422"/>
      <c r="JPM141" s="422"/>
      <c r="JPN141" s="422"/>
      <c r="JPO141" s="422"/>
      <c r="JPP141" s="422"/>
      <c r="JPQ141" s="422"/>
      <c r="JPR141" s="422"/>
      <c r="JPS141" s="422"/>
      <c r="JPT141" s="422"/>
      <c r="JPU141" s="422"/>
      <c r="JPV141" s="422"/>
      <c r="JPW141" s="422"/>
      <c r="JPX141" s="422"/>
      <c r="JPY141" s="422"/>
      <c r="JPZ141" s="422"/>
      <c r="JQA141" s="422"/>
      <c r="JQB141" s="422"/>
      <c r="JQC141" s="422"/>
      <c r="JQD141" s="422"/>
      <c r="JQE141" s="422"/>
      <c r="JQF141" s="422"/>
      <c r="JQG141" s="422"/>
      <c r="JQH141" s="422"/>
      <c r="JQI141" s="422"/>
      <c r="JQJ141" s="422"/>
      <c r="JQK141" s="422"/>
      <c r="JQL141" s="422"/>
      <c r="JQM141" s="422"/>
      <c r="JQN141" s="422"/>
      <c r="JQO141" s="422"/>
      <c r="JQP141" s="422"/>
      <c r="JQQ141" s="422"/>
      <c r="JQR141" s="422"/>
      <c r="JQS141" s="422"/>
      <c r="JQT141" s="422"/>
      <c r="JQU141" s="422"/>
      <c r="JQV141" s="422"/>
      <c r="JQW141" s="422"/>
      <c r="JQX141" s="422"/>
      <c r="JQY141" s="422"/>
      <c r="JQZ141" s="422"/>
      <c r="JRA141" s="422"/>
      <c r="JRB141" s="422"/>
      <c r="JRC141" s="422"/>
      <c r="JRD141" s="422"/>
      <c r="JRE141" s="422"/>
      <c r="JRF141" s="422"/>
      <c r="JRG141" s="422"/>
      <c r="JRH141" s="422"/>
      <c r="JRI141" s="422"/>
      <c r="JRJ141" s="422"/>
      <c r="JRK141" s="422"/>
      <c r="JRL141" s="422"/>
      <c r="JRM141" s="422"/>
      <c r="JRN141" s="422"/>
      <c r="JRO141" s="422"/>
      <c r="JRP141" s="422"/>
      <c r="JRQ141" s="422"/>
      <c r="JRR141" s="422"/>
      <c r="JRS141" s="422"/>
      <c r="JRT141" s="422"/>
      <c r="JRU141" s="422"/>
      <c r="JRV141" s="422"/>
      <c r="JRW141" s="422"/>
      <c r="JRX141" s="422"/>
      <c r="JRY141" s="422"/>
      <c r="JRZ141" s="422"/>
      <c r="JSA141" s="422"/>
      <c r="JSB141" s="422"/>
      <c r="JSC141" s="422"/>
      <c r="JSD141" s="422"/>
      <c r="JSE141" s="422"/>
      <c r="JSF141" s="422"/>
      <c r="JSG141" s="422"/>
      <c r="JSH141" s="422"/>
      <c r="JSI141" s="422"/>
      <c r="JSJ141" s="422"/>
      <c r="JSK141" s="422"/>
      <c r="JSL141" s="422"/>
      <c r="JSM141" s="422"/>
      <c r="JSN141" s="422"/>
      <c r="JSO141" s="422"/>
      <c r="JSP141" s="422"/>
      <c r="JSQ141" s="422"/>
      <c r="JSR141" s="422"/>
      <c r="JSS141" s="422"/>
      <c r="JST141" s="422"/>
      <c r="JSU141" s="422"/>
      <c r="JSV141" s="422"/>
      <c r="JSW141" s="422"/>
      <c r="JSX141" s="422"/>
      <c r="JSY141" s="422"/>
      <c r="JSZ141" s="422"/>
      <c r="JTA141" s="422"/>
      <c r="JTB141" s="422"/>
      <c r="JTC141" s="422"/>
      <c r="JTD141" s="422"/>
      <c r="JTE141" s="422"/>
      <c r="JTF141" s="422"/>
      <c r="JTG141" s="422"/>
      <c r="JTH141" s="422"/>
      <c r="JTI141" s="422"/>
      <c r="JTJ141" s="422"/>
      <c r="JTK141" s="422"/>
      <c r="JTL141" s="422"/>
      <c r="JTM141" s="422"/>
      <c r="JTN141" s="422"/>
      <c r="JTO141" s="422"/>
      <c r="JTP141" s="422"/>
      <c r="JTQ141" s="422"/>
      <c r="JTR141" s="422"/>
      <c r="JTS141" s="422"/>
      <c r="JTT141" s="422"/>
      <c r="JTU141" s="422"/>
      <c r="JTV141" s="422"/>
      <c r="JTW141" s="422"/>
      <c r="JTX141" s="422"/>
      <c r="JTY141" s="422"/>
      <c r="JTZ141" s="422"/>
      <c r="JUA141" s="422"/>
      <c r="JUB141" s="422"/>
      <c r="JUC141" s="422"/>
      <c r="JUD141" s="422"/>
      <c r="JUE141" s="422"/>
      <c r="JUF141" s="422"/>
      <c r="JUG141" s="422"/>
      <c r="JUH141" s="422"/>
      <c r="JUI141" s="422"/>
      <c r="JUJ141" s="422"/>
      <c r="JUK141" s="422"/>
      <c r="JUL141" s="422"/>
      <c r="JUM141" s="422"/>
      <c r="JUN141" s="422"/>
      <c r="JUO141" s="422"/>
      <c r="JUP141" s="422"/>
      <c r="JUQ141" s="422"/>
      <c r="JUR141" s="422"/>
      <c r="JUS141" s="422"/>
      <c r="JUT141" s="422"/>
      <c r="JUU141" s="422"/>
      <c r="JUV141" s="422"/>
      <c r="JUW141" s="422"/>
      <c r="JUX141" s="422"/>
      <c r="JUY141" s="422"/>
      <c r="JUZ141" s="422"/>
      <c r="JVA141" s="422"/>
      <c r="JVB141" s="422"/>
      <c r="JVC141" s="422"/>
      <c r="JVD141" s="422"/>
      <c r="JVE141" s="422"/>
      <c r="JVF141" s="422"/>
      <c r="JVG141" s="422"/>
      <c r="JVH141" s="422"/>
      <c r="JVI141" s="422"/>
      <c r="JVJ141" s="422"/>
      <c r="JVK141" s="422"/>
      <c r="JVL141" s="422"/>
      <c r="JVM141" s="422"/>
      <c r="JVN141" s="422"/>
      <c r="JVO141" s="422"/>
      <c r="JVP141" s="422"/>
      <c r="JVQ141" s="422"/>
      <c r="JVR141" s="422"/>
      <c r="JVS141" s="422"/>
      <c r="JVT141" s="422"/>
      <c r="JVU141" s="422"/>
      <c r="JVV141" s="422"/>
      <c r="JVW141" s="422"/>
      <c r="JVX141" s="422"/>
      <c r="JVY141" s="422"/>
      <c r="JVZ141" s="422"/>
      <c r="JWA141" s="422"/>
      <c r="JWB141" s="422"/>
      <c r="JWC141" s="422"/>
      <c r="JWD141" s="422"/>
      <c r="JWE141" s="422"/>
      <c r="JWF141" s="422"/>
      <c r="JWG141" s="422"/>
      <c r="JWH141" s="422"/>
      <c r="JWI141" s="422"/>
      <c r="JWJ141" s="422"/>
      <c r="JWK141" s="422"/>
      <c r="JWL141" s="422"/>
      <c r="JWM141" s="422"/>
      <c r="JWN141" s="422"/>
      <c r="JWO141" s="422"/>
      <c r="JWP141" s="422"/>
      <c r="JWQ141" s="422"/>
      <c r="JWR141" s="422"/>
      <c r="JWS141" s="422"/>
      <c r="JWT141" s="422"/>
      <c r="JWU141" s="422"/>
      <c r="JWV141" s="422"/>
      <c r="JWW141" s="422"/>
      <c r="JWX141" s="422"/>
      <c r="JWY141" s="422"/>
      <c r="JWZ141" s="422"/>
      <c r="JXA141" s="422"/>
      <c r="JXB141" s="422"/>
      <c r="JXC141" s="422"/>
      <c r="JXD141" s="422"/>
      <c r="JXE141" s="422"/>
      <c r="JXF141" s="422"/>
      <c r="JXG141" s="422"/>
      <c r="JXH141" s="422"/>
      <c r="JXI141" s="422"/>
      <c r="JXJ141" s="422"/>
      <c r="JXK141" s="422"/>
      <c r="JXL141" s="422"/>
      <c r="JXM141" s="422"/>
      <c r="JXN141" s="422"/>
      <c r="JXO141" s="422"/>
      <c r="JXP141" s="422"/>
      <c r="JXQ141" s="422"/>
      <c r="JXR141" s="422"/>
      <c r="JXS141" s="422"/>
      <c r="JXT141" s="422"/>
      <c r="JXU141" s="422"/>
      <c r="JXV141" s="422"/>
      <c r="JXW141" s="422"/>
      <c r="JXX141" s="422"/>
      <c r="JXY141" s="422"/>
      <c r="JXZ141" s="422"/>
      <c r="JYA141" s="422"/>
      <c r="JYB141" s="422"/>
      <c r="JYC141" s="422"/>
      <c r="JYD141" s="422"/>
      <c r="JYE141" s="422"/>
      <c r="JYF141" s="422"/>
      <c r="JYG141" s="422"/>
      <c r="JYH141" s="422"/>
      <c r="JYI141" s="422"/>
      <c r="JYJ141" s="422"/>
      <c r="JYK141" s="422"/>
      <c r="JYL141" s="422"/>
      <c r="JYM141" s="422"/>
      <c r="JYN141" s="422"/>
      <c r="JYO141" s="422"/>
      <c r="JYP141" s="422"/>
      <c r="JYQ141" s="422"/>
      <c r="JYR141" s="422"/>
      <c r="JYS141" s="422"/>
      <c r="JYT141" s="422"/>
      <c r="JYU141" s="422"/>
      <c r="JYV141" s="422"/>
      <c r="JYW141" s="422"/>
      <c r="JYX141" s="422"/>
      <c r="JYY141" s="422"/>
      <c r="JYZ141" s="422"/>
      <c r="JZA141" s="422"/>
      <c r="JZB141" s="422"/>
      <c r="JZC141" s="422"/>
      <c r="JZD141" s="422"/>
      <c r="JZE141" s="422"/>
      <c r="JZF141" s="422"/>
      <c r="JZG141" s="422"/>
      <c r="JZH141" s="422"/>
      <c r="JZI141" s="422"/>
      <c r="JZJ141" s="422"/>
      <c r="JZK141" s="422"/>
      <c r="JZL141" s="422"/>
      <c r="JZM141" s="422"/>
      <c r="JZN141" s="422"/>
      <c r="JZO141" s="422"/>
      <c r="JZP141" s="422"/>
      <c r="JZQ141" s="422"/>
      <c r="JZR141" s="422"/>
      <c r="JZS141" s="422"/>
      <c r="JZT141" s="422"/>
      <c r="JZU141" s="422"/>
      <c r="JZV141" s="422"/>
      <c r="JZW141" s="422"/>
      <c r="JZX141" s="422"/>
      <c r="JZY141" s="422"/>
      <c r="JZZ141" s="422"/>
      <c r="KAA141" s="422"/>
      <c r="KAB141" s="422"/>
      <c r="KAC141" s="422"/>
      <c r="KAD141" s="422"/>
      <c r="KAE141" s="422"/>
      <c r="KAF141" s="422"/>
      <c r="KAG141" s="422"/>
      <c r="KAH141" s="422"/>
      <c r="KAI141" s="422"/>
      <c r="KAJ141" s="422"/>
      <c r="KAK141" s="422"/>
      <c r="KAL141" s="422"/>
      <c r="KAM141" s="422"/>
      <c r="KAN141" s="422"/>
      <c r="KAO141" s="422"/>
      <c r="KAP141" s="422"/>
      <c r="KAQ141" s="422"/>
      <c r="KAR141" s="422"/>
      <c r="KAS141" s="422"/>
      <c r="KAT141" s="422"/>
      <c r="KAU141" s="422"/>
      <c r="KAV141" s="422"/>
      <c r="KAW141" s="422"/>
      <c r="KAX141" s="422"/>
      <c r="KAY141" s="422"/>
      <c r="KAZ141" s="422"/>
      <c r="KBA141" s="422"/>
      <c r="KBB141" s="422"/>
      <c r="KBC141" s="422"/>
      <c r="KBD141" s="422"/>
      <c r="KBE141" s="422"/>
      <c r="KBF141" s="422"/>
      <c r="KBG141" s="422"/>
      <c r="KBH141" s="422"/>
      <c r="KBI141" s="422"/>
      <c r="KBJ141" s="422"/>
      <c r="KBK141" s="422"/>
      <c r="KBL141" s="422"/>
      <c r="KBM141" s="422"/>
      <c r="KBN141" s="422"/>
      <c r="KBO141" s="422"/>
      <c r="KBP141" s="422"/>
      <c r="KBQ141" s="422"/>
      <c r="KBR141" s="422"/>
      <c r="KBS141" s="422"/>
      <c r="KBT141" s="422"/>
      <c r="KBU141" s="422"/>
      <c r="KBV141" s="422"/>
      <c r="KBW141" s="422"/>
      <c r="KBX141" s="422"/>
      <c r="KBY141" s="422"/>
      <c r="KBZ141" s="422"/>
      <c r="KCA141" s="422"/>
      <c r="KCB141" s="422"/>
      <c r="KCC141" s="422"/>
      <c r="KCD141" s="422"/>
      <c r="KCE141" s="422"/>
      <c r="KCF141" s="422"/>
      <c r="KCG141" s="422"/>
      <c r="KCH141" s="422"/>
      <c r="KCI141" s="422"/>
      <c r="KCJ141" s="422"/>
      <c r="KCK141" s="422"/>
      <c r="KCL141" s="422"/>
      <c r="KCM141" s="422"/>
      <c r="KCN141" s="422"/>
      <c r="KCO141" s="422"/>
      <c r="KCP141" s="422"/>
      <c r="KCQ141" s="422"/>
      <c r="KCR141" s="422"/>
      <c r="KCS141" s="422"/>
      <c r="KCT141" s="422"/>
      <c r="KCU141" s="422"/>
      <c r="KCV141" s="422"/>
      <c r="KCW141" s="422"/>
      <c r="KCX141" s="422"/>
      <c r="KCY141" s="422"/>
      <c r="KCZ141" s="422"/>
      <c r="KDA141" s="422"/>
      <c r="KDB141" s="422"/>
      <c r="KDC141" s="422"/>
      <c r="KDD141" s="422"/>
      <c r="KDE141" s="422"/>
      <c r="KDF141" s="422"/>
      <c r="KDG141" s="422"/>
      <c r="KDH141" s="422"/>
      <c r="KDI141" s="422"/>
      <c r="KDJ141" s="422"/>
      <c r="KDK141" s="422"/>
      <c r="KDL141" s="422"/>
      <c r="KDM141" s="422"/>
      <c r="KDN141" s="422"/>
      <c r="KDO141" s="422"/>
      <c r="KDP141" s="422"/>
      <c r="KDQ141" s="422"/>
      <c r="KDR141" s="422"/>
      <c r="KDS141" s="422"/>
      <c r="KDT141" s="422"/>
      <c r="KDU141" s="422"/>
      <c r="KDV141" s="422"/>
      <c r="KDW141" s="422"/>
      <c r="KDX141" s="422"/>
      <c r="KDY141" s="422"/>
      <c r="KDZ141" s="422"/>
      <c r="KEA141" s="422"/>
      <c r="KEB141" s="422"/>
      <c r="KEC141" s="422"/>
      <c r="KED141" s="422"/>
      <c r="KEE141" s="422"/>
      <c r="KEF141" s="422"/>
      <c r="KEG141" s="422"/>
      <c r="KEH141" s="422"/>
      <c r="KEI141" s="422"/>
      <c r="KEJ141" s="422"/>
      <c r="KEK141" s="422"/>
      <c r="KEL141" s="422"/>
      <c r="KEM141" s="422"/>
      <c r="KEN141" s="422"/>
      <c r="KEO141" s="422"/>
      <c r="KEP141" s="422"/>
      <c r="KEQ141" s="422"/>
      <c r="KER141" s="422"/>
      <c r="KES141" s="422"/>
      <c r="KET141" s="422"/>
      <c r="KEU141" s="422"/>
      <c r="KEV141" s="422"/>
      <c r="KEW141" s="422"/>
      <c r="KEX141" s="422"/>
      <c r="KEY141" s="422"/>
      <c r="KEZ141" s="422"/>
      <c r="KFA141" s="422"/>
      <c r="KFB141" s="422"/>
      <c r="KFC141" s="422"/>
      <c r="KFD141" s="422"/>
      <c r="KFE141" s="422"/>
      <c r="KFF141" s="422"/>
      <c r="KFG141" s="422"/>
      <c r="KFH141" s="422"/>
      <c r="KFI141" s="422"/>
      <c r="KFJ141" s="422"/>
      <c r="KFK141" s="422"/>
      <c r="KFL141" s="422"/>
      <c r="KFM141" s="422"/>
      <c r="KFN141" s="422"/>
      <c r="KFO141" s="422"/>
      <c r="KFP141" s="422"/>
      <c r="KFQ141" s="422"/>
      <c r="KFR141" s="422"/>
      <c r="KFS141" s="422"/>
      <c r="KFT141" s="422"/>
      <c r="KFU141" s="422"/>
      <c r="KFV141" s="422"/>
      <c r="KFW141" s="422"/>
      <c r="KFX141" s="422"/>
      <c r="KFY141" s="422"/>
      <c r="KFZ141" s="422"/>
      <c r="KGA141" s="422"/>
      <c r="KGB141" s="422"/>
      <c r="KGC141" s="422"/>
      <c r="KGD141" s="422"/>
      <c r="KGE141" s="422"/>
      <c r="KGF141" s="422"/>
      <c r="KGG141" s="422"/>
      <c r="KGH141" s="422"/>
      <c r="KGI141" s="422"/>
      <c r="KGJ141" s="422"/>
      <c r="KGK141" s="422"/>
      <c r="KGL141" s="422"/>
      <c r="KGM141" s="422"/>
      <c r="KGN141" s="422"/>
      <c r="KGO141" s="422"/>
      <c r="KGP141" s="422"/>
      <c r="KGQ141" s="422"/>
      <c r="KGR141" s="422"/>
      <c r="KGS141" s="422"/>
      <c r="KGT141" s="422"/>
      <c r="KGU141" s="422"/>
      <c r="KGV141" s="422"/>
      <c r="KGW141" s="422"/>
      <c r="KGX141" s="422"/>
      <c r="KGY141" s="422"/>
      <c r="KGZ141" s="422"/>
      <c r="KHA141" s="422"/>
      <c r="KHB141" s="422"/>
      <c r="KHC141" s="422"/>
      <c r="KHD141" s="422"/>
      <c r="KHE141" s="422"/>
      <c r="KHF141" s="422"/>
      <c r="KHG141" s="422"/>
      <c r="KHH141" s="422"/>
      <c r="KHI141" s="422"/>
      <c r="KHJ141" s="422"/>
      <c r="KHK141" s="422"/>
      <c r="KHL141" s="422"/>
      <c r="KHM141" s="422"/>
      <c r="KHN141" s="422"/>
      <c r="KHO141" s="422"/>
      <c r="KHP141" s="422"/>
      <c r="KHQ141" s="422"/>
      <c r="KHR141" s="422"/>
      <c r="KHS141" s="422"/>
      <c r="KHT141" s="422"/>
      <c r="KHU141" s="422"/>
      <c r="KHV141" s="422"/>
      <c r="KHW141" s="422"/>
      <c r="KHX141" s="422"/>
      <c r="KHY141" s="422"/>
      <c r="KHZ141" s="422"/>
      <c r="KIA141" s="422"/>
      <c r="KIB141" s="422"/>
      <c r="KIC141" s="422"/>
      <c r="KID141" s="422"/>
      <c r="KIE141" s="422"/>
      <c r="KIF141" s="422"/>
      <c r="KIG141" s="422"/>
      <c r="KIH141" s="422"/>
      <c r="KII141" s="422"/>
      <c r="KIJ141" s="422"/>
      <c r="KIK141" s="422"/>
      <c r="KIL141" s="422"/>
      <c r="KIM141" s="422"/>
      <c r="KIN141" s="422"/>
      <c r="KIO141" s="422"/>
      <c r="KIP141" s="422"/>
      <c r="KIQ141" s="422"/>
      <c r="KIR141" s="422"/>
      <c r="KIS141" s="422"/>
      <c r="KIT141" s="422"/>
      <c r="KIU141" s="422"/>
      <c r="KIV141" s="422"/>
      <c r="KIW141" s="422"/>
      <c r="KIX141" s="422"/>
      <c r="KIY141" s="422"/>
      <c r="KIZ141" s="422"/>
      <c r="KJA141" s="422"/>
      <c r="KJB141" s="422"/>
      <c r="KJC141" s="422"/>
      <c r="KJD141" s="422"/>
      <c r="KJE141" s="422"/>
      <c r="KJF141" s="422"/>
      <c r="KJG141" s="422"/>
      <c r="KJH141" s="422"/>
      <c r="KJI141" s="422"/>
      <c r="KJJ141" s="422"/>
      <c r="KJK141" s="422"/>
      <c r="KJL141" s="422"/>
      <c r="KJM141" s="422"/>
      <c r="KJN141" s="422"/>
      <c r="KJO141" s="422"/>
      <c r="KJP141" s="422"/>
      <c r="KJQ141" s="422"/>
      <c r="KJR141" s="422"/>
      <c r="KJS141" s="422"/>
      <c r="KJT141" s="422"/>
      <c r="KJU141" s="422"/>
      <c r="KJV141" s="422"/>
      <c r="KJW141" s="422"/>
      <c r="KJX141" s="422"/>
      <c r="KJY141" s="422"/>
      <c r="KJZ141" s="422"/>
      <c r="KKA141" s="422"/>
      <c r="KKB141" s="422"/>
      <c r="KKC141" s="422"/>
      <c r="KKD141" s="422"/>
      <c r="KKE141" s="422"/>
      <c r="KKF141" s="422"/>
      <c r="KKG141" s="422"/>
      <c r="KKH141" s="422"/>
      <c r="KKI141" s="422"/>
      <c r="KKJ141" s="422"/>
      <c r="KKK141" s="422"/>
      <c r="KKL141" s="422"/>
      <c r="KKM141" s="422"/>
      <c r="KKN141" s="422"/>
      <c r="KKO141" s="422"/>
      <c r="KKP141" s="422"/>
      <c r="KKQ141" s="422"/>
      <c r="KKR141" s="422"/>
      <c r="KKS141" s="422"/>
      <c r="KKT141" s="422"/>
      <c r="KKU141" s="422"/>
      <c r="KKV141" s="422"/>
      <c r="KKW141" s="422"/>
      <c r="KKX141" s="422"/>
      <c r="KKY141" s="422"/>
      <c r="KKZ141" s="422"/>
      <c r="KLA141" s="422"/>
      <c r="KLB141" s="422"/>
      <c r="KLC141" s="422"/>
      <c r="KLD141" s="422"/>
      <c r="KLE141" s="422"/>
      <c r="KLF141" s="422"/>
      <c r="KLG141" s="422"/>
      <c r="KLH141" s="422"/>
      <c r="KLI141" s="422"/>
      <c r="KLJ141" s="422"/>
      <c r="KLK141" s="422"/>
      <c r="KLL141" s="422"/>
      <c r="KLM141" s="422"/>
      <c r="KLN141" s="422"/>
      <c r="KLO141" s="422"/>
      <c r="KLP141" s="422"/>
      <c r="KLQ141" s="422"/>
      <c r="KLR141" s="422"/>
      <c r="KLS141" s="422"/>
      <c r="KLT141" s="422"/>
      <c r="KLU141" s="422"/>
      <c r="KLV141" s="422"/>
      <c r="KLW141" s="422"/>
      <c r="KLX141" s="422"/>
      <c r="KLY141" s="422"/>
      <c r="KLZ141" s="422"/>
      <c r="KMA141" s="422"/>
      <c r="KMB141" s="422"/>
      <c r="KMC141" s="422"/>
      <c r="KMD141" s="422"/>
      <c r="KME141" s="422"/>
      <c r="KMF141" s="422"/>
      <c r="KMG141" s="422"/>
      <c r="KMH141" s="422"/>
      <c r="KMI141" s="422"/>
      <c r="KMJ141" s="422"/>
      <c r="KMK141" s="422"/>
      <c r="KML141" s="422"/>
      <c r="KMM141" s="422"/>
      <c r="KMN141" s="422"/>
      <c r="KMO141" s="422"/>
      <c r="KMP141" s="422"/>
      <c r="KMQ141" s="422"/>
      <c r="KMR141" s="422"/>
      <c r="KMS141" s="422"/>
      <c r="KMT141" s="422"/>
      <c r="KMU141" s="422"/>
      <c r="KMV141" s="422"/>
      <c r="KMW141" s="422"/>
      <c r="KMX141" s="422"/>
      <c r="KMY141" s="422"/>
      <c r="KMZ141" s="422"/>
      <c r="KNA141" s="422"/>
      <c r="KNB141" s="422"/>
      <c r="KNC141" s="422"/>
      <c r="KND141" s="422"/>
      <c r="KNE141" s="422"/>
      <c r="KNF141" s="422"/>
      <c r="KNG141" s="422"/>
      <c r="KNH141" s="422"/>
      <c r="KNI141" s="422"/>
      <c r="KNJ141" s="422"/>
      <c r="KNK141" s="422"/>
      <c r="KNL141" s="422"/>
      <c r="KNM141" s="422"/>
      <c r="KNN141" s="422"/>
      <c r="KNO141" s="422"/>
      <c r="KNP141" s="422"/>
      <c r="KNQ141" s="422"/>
      <c r="KNR141" s="422"/>
      <c r="KNS141" s="422"/>
      <c r="KNT141" s="422"/>
      <c r="KNU141" s="422"/>
      <c r="KNV141" s="422"/>
      <c r="KNW141" s="422"/>
      <c r="KNX141" s="422"/>
      <c r="KNY141" s="422"/>
      <c r="KNZ141" s="422"/>
      <c r="KOA141" s="422"/>
      <c r="KOB141" s="422"/>
      <c r="KOC141" s="422"/>
      <c r="KOD141" s="422"/>
      <c r="KOE141" s="422"/>
      <c r="KOF141" s="422"/>
      <c r="KOG141" s="422"/>
      <c r="KOH141" s="422"/>
      <c r="KOI141" s="422"/>
      <c r="KOJ141" s="422"/>
      <c r="KOK141" s="422"/>
      <c r="KOL141" s="422"/>
      <c r="KOM141" s="422"/>
      <c r="KON141" s="422"/>
      <c r="KOO141" s="422"/>
      <c r="KOP141" s="422"/>
      <c r="KOQ141" s="422"/>
      <c r="KOR141" s="422"/>
      <c r="KOS141" s="422"/>
      <c r="KOT141" s="422"/>
      <c r="KOU141" s="422"/>
      <c r="KOV141" s="422"/>
      <c r="KOW141" s="422"/>
      <c r="KOX141" s="422"/>
      <c r="KOY141" s="422"/>
      <c r="KOZ141" s="422"/>
      <c r="KPA141" s="422"/>
      <c r="KPB141" s="422"/>
      <c r="KPC141" s="422"/>
      <c r="KPD141" s="422"/>
      <c r="KPE141" s="422"/>
      <c r="KPF141" s="422"/>
      <c r="KPG141" s="422"/>
      <c r="KPH141" s="422"/>
      <c r="KPI141" s="422"/>
      <c r="KPJ141" s="422"/>
      <c r="KPK141" s="422"/>
      <c r="KPL141" s="422"/>
      <c r="KPM141" s="422"/>
      <c r="KPN141" s="422"/>
      <c r="KPO141" s="422"/>
      <c r="KPP141" s="422"/>
      <c r="KPQ141" s="422"/>
      <c r="KPR141" s="422"/>
      <c r="KPS141" s="422"/>
      <c r="KPT141" s="422"/>
      <c r="KPU141" s="422"/>
      <c r="KPV141" s="422"/>
      <c r="KPW141" s="422"/>
      <c r="KPX141" s="422"/>
      <c r="KPY141" s="422"/>
      <c r="KPZ141" s="422"/>
      <c r="KQA141" s="422"/>
      <c r="KQB141" s="422"/>
      <c r="KQC141" s="422"/>
      <c r="KQD141" s="422"/>
      <c r="KQE141" s="422"/>
      <c r="KQF141" s="422"/>
      <c r="KQG141" s="422"/>
      <c r="KQH141" s="422"/>
      <c r="KQI141" s="422"/>
      <c r="KQJ141" s="422"/>
      <c r="KQK141" s="422"/>
      <c r="KQL141" s="422"/>
      <c r="KQM141" s="422"/>
      <c r="KQN141" s="422"/>
      <c r="KQO141" s="422"/>
      <c r="KQP141" s="422"/>
      <c r="KQQ141" s="422"/>
      <c r="KQR141" s="422"/>
      <c r="KQS141" s="422"/>
      <c r="KQT141" s="422"/>
      <c r="KQU141" s="422"/>
      <c r="KQV141" s="422"/>
      <c r="KQW141" s="422"/>
      <c r="KQX141" s="422"/>
      <c r="KQY141" s="422"/>
      <c r="KQZ141" s="422"/>
      <c r="KRA141" s="422"/>
      <c r="KRB141" s="422"/>
      <c r="KRC141" s="422"/>
      <c r="KRD141" s="422"/>
      <c r="KRE141" s="422"/>
      <c r="KRF141" s="422"/>
      <c r="KRG141" s="422"/>
      <c r="KRH141" s="422"/>
      <c r="KRI141" s="422"/>
      <c r="KRJ141" s="422"/>
      <c r="KRK141" s="422"/>
      <c r="KRL141" s="422"/>
      <c r="KRM141" s="422"/>
      <c r="KRN141" s="422"/>
      <c r="KRO141" s="422"/>
      <c r="KRP141" s="422"/>
      <c r="KRQ141" s="422"/>
      <c r="KRR141" s="422"/>
      <c r="KRS141" s="422"/>
      <c r="KRT141" s="422"/>
      <c r="KRU141" s="422"/>
      <c r="KRV141" s="422"/>
      <c r="KRW141" s="422"/>
      <c r="KRX141" s="422"/>
      <c r="KRY141" s="422"/>
      <c r="KRZ141" s="422"/>
      <c r="KSA141" s="422"/>
      <c r="KSB141" s="422"/>
      <c r="KSC141" s="422"/>
      <c r="KSD141" s="422"/>
      <c r="KSE141" s="422"/>
      <c r="KSF141" s="422"/>
      <c r="KSG141" s="422"/>
      <c r="KSH141" s="422"/>
      <c r="KSI141" s="422"/>
      <c r="KSJ141" s="422"/>
      <c r="KSK141" s="422"/>
      <c r="KSL141" s="422"/>
      <c r="KSM141" s="422"/>
      <c r="KSN141" s="422"/>
      <c r="KSO141" s="422"/>
      <c r="KSP141" s="422"/>
      <c r="KSQ141" s="422"/>
      <c r="KSR141" s="422"/>
      <c r="KSS141" s="422"/>
      <c r="KST141" s="422"/>
      <c r="KSU141" s="422"/>
      <c r="KSV141" s="422"/>
      <c r="KSW141" s="422"/>
      <c r="KSX141" s="422"/>
      <c r="KSY141" s="422"/>
      <c r="KSZ141" s="422"/>
      <c r="KTA141" s="422"/>
      <c r="KTB141" s="422"/>
      <c r="KTC141" s="422"/>
      <c r="KTD141" s="422"/>
      <c r="KTE141" s="422"/>
      <c r="KTF141" s="422"/>
      <c r="KTG141" s="422"/>
      <c r="KTH141" s="422"/>
      <c r="KTI141" s="422"/>
      <c r="KTJ141" s="422"/>
      <c r="KTK141" s="422"/>
      <c r="KTL141" s="422"/>
      <c r="KTM141" s="422"/>
      <c r="KTN141" s="422"/>
      <c r="KTO141" s="422"/>
      <c r="KTP141" s="422"/>
      <c r="KTQ141" s="422"/>
      <c r="KTR141" s="422"/>
      <c r="KTS141" s="422"/>
      <c r="KTT141" s="422"/>
      <c r="KTU141" s="422"/>
      <c r="KTV141" s="422"/>
      <c r="KTW141" s="422"/>
      <c r="KTX141" s="422"/>
      <c r="KTY141" s="422"/>
      <c r="KTZ141" s="422"/>
      <c r="KUA141" s="422"/>
      <c r="KUB141" s="422"/>
      <c r="KUC141" s="422"/>
      <c r="KUD141" s="422"/>
      <c r="KUE141" s="422"/>
      <c r="KUF141" s="422"/>
      <c r="KUG141" s="422"/>
      <c r="KUH141" s="422"/>
      <c r="KUI141" s="422"/>
      <c r="KUJ141" s="422"/>
      <c r="KUK141" s="422"/>
      <c r="KUL141" s="422"/>
      <c r="KUM141" s="422"/>
      <c r="KUN141" s="422"/>
      <c r="KUO141" s="422"/>
      <c r="KUP141" s="422"/>
      <c r="KUQ141" s="422"/>
      <c r="KUR141" s="422"/>
      <c r="KUS141" s="422"/>
      <c r="KUT141" s="422"/>
      <c r="KUU141" s="422"/>
      <c r="KUV141" s="422"/>
      <c r="KUW141" s="422"/>
      <c r="KUX141" s="422"/>
      <c r="KUY141" s="422"/>
      <c r="KUZ141" s="422"/>
      <c r="KVA141" s="422"/>
      <c r="KVB141" s="422"/>
      <c r="KVC141" s="422"/>
      <c r="KVD141" s="422"/>
      <c r="KVE141" s="422"/>
      <c r="KVF141" s="422"/>
      <c r="KVG141" s="422"/>
      <c r="KVH141" s="422"/>
      <c r="KVI141" s="422"/>
      <c r="KVJ141" s="422"/>
      <c r="KVK141" s="422"/>
      <c r="KVL141" s="422"/>
      <c r="KVM141" s="422"/>
      <c r="KVN141" s="422"/>
      <c r="KVO141" s="422"/>
      <c r="KVP141" s="422"/>
      <c r="KVQ141" s="422"/>
      <c r="KVR141" s="422"/>
      <c r="KVS141" s="422"/>
      <c r="KVT141" s="422"/>
      <c r="KVU141" s="422"/>
      <c r="KVV141" s="422"/>
      <c r="KVW141" s="422"/>
      <c r="KVX141" s="422"/>
      <c r="KVY141" s="422"/>
      <c r="KVZ141" s="422"/>
      <c r="KWA141" s="422"/>
      <c r="KWB141" s="422"/>
      <c r="KWC141" s="422"/>
      <c r="KWD141" s="422"/>
      <c r="KWE141" s="422"/>
      <c r="KWF141" s="422"/>
      <c r="KWG141" s="422"/>
      <c r="KWH141" s="422"/>
      <c r="KWI141" s="422"/>
      <c r="KWJ141" s="422"/>
      <c r="KWK141" s="422"/>
      <c r="KWL141" s="422"/>
      <c r="KWM141" s="422"/>
      <c r="KWN141" s="422"/>
      <c r="KWO141" s="422"/>
      <c r="KWP141" s="422"/>
      <c r="KWQ141" s="422"/>
      <c r="KWR141" s="422"/>
      <c r="KWS141" s="422"/>
      <c r="KWT141" s="422"/>
      <c r="KWU141" s="422"/>
      <c r="KWV141" s="422"/>
      <c r="KWW141" s="422"/>
      <c r="KWX141" s="422"/>
      <c r="KWY141" s="422"/>
      <c r="KWZ141" s="422"/>
      <c r="KXA141" s="422"/>
      <c r="KXB141" s="422"/>
      <c r="KXC141" s="422"/>
      <c r="KXD141" s="422"/>
      <c r="KXE141" s="422"/>
      <c r="KXF141" s="422"/>
      <c r="KXG141" s="422"/>
      <c r="KXH141" s="422"/>
      <c r="KXI141" s="422"/>
      <c r="KXJ141" s="422"/>
      <c r="KXK141" s="422"/>
      <c r="KXL141" s="422"/>
      <c r="KXM141" s="422"/>
      <c r="KXN141" s="422"/>
      <c r="KXO141" s="422"/>
      <c r="KXP141" s="422"/>
      <c r="KXQ141" s="422"/>
      <c r="KXR141" s="422"/>
      <c r="KXS141" s="422"/>
      <c r="KXT141" s="422"/>
      <c r="KXU141" s="422"/>
      <c r="KXV141" s="422"/>
      <c r="KXW141" s="422"/>
      <c r="KXX141" s="422"/>
      <c r="KXY141" s="422"/>
      <c r="KXZ141" s="422"/>
      <c r="KYA141" s="422"/>
      <c r="KYB141" s="422"/>
      <c r="KYC141" s="422"/>
      <c r="KYD141" s="422"/>
      <c r="KYE141" s="422"/>
      <c r="KYF141" s="422"/>
      <c r="KYG141" s="422"/>
      <c r="KYH141" s="422"/>
      <c r="KYI141" s="422"/>
      <c r="KYJ141" s="422"/>
      <c r="KYK141" s="422"/>
      <c r="KYL141" s="422"/>
      <c r="KYM141" s="422"/>
      <c r="KYN141" s="422"/>
      <c r="KYO141" s="422"/>
      <c r="KYP141" s="422"/>
      <c r="KYQ141" s="422"/>
      <c r="KYR141" s="422"/>
      <c r="KYS141" s="422"/>
      <c r="KYT141" s="422"/>
      <c r="KYU141" s="422"/>
      <c r="KYV141" s="422"/>
      <c r="KYW141" s="422"/>
      <c r="KYX141" s="422"/>
      <c r="KYY141" s="422"/>
      <c r="KYZ141" s="422"/>
      <c r="KZA141" s="422"/>
      <c r="KZB141" s="422"/>
      <c r="KZC141" s="422"/>
      <c r="KZD141" s="422"/>
      <c r="KZE141" s="422"/>
      <c r="KZF141" s="422"/>
      <c r="KZG141" s="422"/>
      <c r="KZH141" s="422"/>
      <c r="KZI141" s="422"/>
      <c r="KZJ141" s="422"/>
      <c r="KZK141" s="422"/>
      <c r="KZL141" s="422"/>
      <c r="KZM141" s="422"/>
      <c r="KZN141" s="422"/>
      <c r="KZO141" s="422"/>
      <c r="KZP141" s="422"/>
      <c r="KZQ141" s="422"/>
      <c r="KZR141" s="422"/>
      <c r="KZS141" s="422"/>
      <c r="KZT141" s="422"/>
      <c r="KZU141" s="422"/>
      <c r="KZV141" s="422"/>
      <c r="KZW141" s="422"/>
      <c r="KZX141" s="422"/>
      <c r="KZY141" s="422"/>
      <c r="KZZ141" s="422"/>
      <c r="LAA141" s="422"/>
      <c r="LAB141" s="422"/>
      <c r="LAC141" s="422"/>
      <c r="LAD141" s="422"/>
      <c r="LAE141" s="422"/>
      <c r="LAF141" s="422"/>
      <c r="LAG141" s="422"/>
      <c r="LAH141" s="422"/>
      <c r="LAI141" s="422"/>
      <c r="LAJ141" s="422"/>
      <c r="LAK141" s="422"/>
      <c r="LAL141" s="422"/>
      <c r="LAM141" s="422"/>
      <c r="LAN141" s="422"/>
      <c r="LAO141" s="422"/>
      <c r="LAP141" s="422"/>
      <c r="LAQ141" s="422"/>
      <c r="LAR141" s="422"/>
      <c r="LAS141" s="422"/>
      <c r="LAT141" s="422"/>
      <c r="LAU141" s="422"/>
      <c r="LAV141" s="422"/>
      <c r="LAW141" s="422"/>
      <c r="LAX141" s="422"/>
      <c r="LAY141" s="422"/>
      <c r="LAZ141" s="422"/>
      <c r="LBA141" s="422"/>
      <c r="LBB141" s="422"/>
      <c r="LBC141" s="422"/>
      <c r="LBD141" s="422"/>
      <c r="LBE141" s="422"/>
      <c r="LBF141" s="422"/>
      <c r="LBG141" s="422"/>
      <c r="LBH141" s="422"/>
      <c r="LBI141" s="422"/>
      <c r="LBJ141" s="422"/>
      <c r="LBK141" s="422"/>
      <c r="LBL141" s="422"/>
      <c r="LBM141" s="422"/>
      <c r="LBN141" s="422"/>
      <c r="LBO141" s="422"/>
      <c r="LBP141" s="422"/>
      <c r="LBQ141" s="422"/>
      <c r="LBR141" s="422"/>
      <c r="LBS141" s="422"/>
      <c r="LBT141" s="422"/>
      <c r="LBU141" s="422"/>
      <c r="LBV141" s="422"/>
      <c r="LBW141" s="422"/>
      <c r="LBX141" s="422"/>
      <c r="LBY141" s="422"/>
      <c r="LBZ141" s="422"/>
      <c r="LCA141" s="422"/>
      <c r="LCB141" s="422"/>
      <c r="LCC141" s="422"/>
      <c r="LCD141" s="422"/>
      <c r="LCE141" s="422"/>
      <c r="LCF141" s="422"/>
      <c r="LCG141" s="422"/>
      <c r="LCH141" s="422"/>
      <c r="LCI141" s="422"/>
      <c r="LCJ141" s="422"/>
      <c r="LCK141" s="422"/>
      <c r="LCL141" s="422"/>
      <c r="LCM141" s="422"/>
      <c r="LCN141" s="422"/>
      <c r="LCO141" s="422"/>
      <c r="LCP141" s="422"/>
      <c r="LCQ141" s="422"/>
      <c r="LCR141" s="422"/>
      <c r="LCS141" s="422"/>
      <c r="LCT141" s="422"/>
      <c r="LCU141" s="422"/>
      <c r="LCV141" s="422"/>
      <c r="LCW141" s="422"/>
      <c r="LCX141" s="422"/>
      <c r="LCY141" s="422"/>
      <c r="LCZ141" s="422"/>
      <c r="LDA141" s="422"/>
      <c r="LDB141" s="422"/>
      <c r="LDC141" s="422"/>
      <c r="LDD141" s="422"/>
      <c r="LDE141" s="422"/>
      <c r="LDF141" s="422"/>
      <c r="LDG141" s="422"/>
      <c r="LDH141" s="422"/>
      <c r="LDI141" s="422"/>
      <c r="LDJ141" s="422"/>
      <c r="LDK141" s="422"/>
      <c r="LDL141" s="422"/>
      <c r="LDM141" s="422"/>
      <c r="LDN141" s="422"/>
      <c r="LDO141" s="422"/>
      <c r="LDP141" s="422"/>
      <c r="LDQ141" s="422"/>
      <c r="LDR141" s="422"/>
      <c r="LDS141" s="422"/>
      <c r="LDT141" s="422"/>
      <c r="LDU141" s="422"/>
      <c r="LDV141" s="422"/>
      <c r="LDW141" s="422"/>
      <c r="LDX141" s="422"/>
      <c r="LDY141" s="422"/>
      <c r="LDZ141" s="422"/>
      <c r="LEA141" s="422"/>
      <c r="LEB141" s="422"/>
      <c r="LEC141" s="422"/>
      <c r="LED141" s="422"/>
      <c r="LEE141" s="422"/>
      <c r="LEF141" s="422"/>
      <c r="LEG141" s="422"/>
      <c r="LEH141" s="422"/>
      <c r="LEI141" s="422"/>
      <c r="LEJ141" s="422"/>
      <c r="LEK141" s="422"/>
      <c r="LEL141" s="422"/>
      <c r="LEM141" s="422"/>
      <c r="LEN141" s="422"/>
      <c r="LEO141" s="422"/>
      <c r="LEP141" s="422"/>
      <c r="LEQ141" s="422"/>
      <c r="LER141" s="422"/>
      <c r="LES141" s="422"/>
      <c r="LET141" s="422"/>
      <c r="LEU141" s="422"/>
      <c r="LEV141" s="422"/>
      <c r="LEW141" s="422"/>
      <c r="LEX141" s="422"/>
      <c r="LEY141" s="422"/>
      <c r="LEZ141" s="422"/>
      <c r="LFA141" s="422"/>
      <c r="LFB141" s="422"/>
      <c r="LFC141" s="422"/>
      <c r="LFD141" s="422"/>
      <c r="LFE141" s="422"/>
      <c r="LFF141" s="422"/>
      <c r="LFG141" s="422"/>
      <c r="LFH141" s="422"/>
      <c r="LFI141" s="422"/>
      <c r="LFJ141" s="422"/>
      <c r="LFK141" s="422"/>
      <c r="LFL141" s="422"/>
      <c r="LFM141" s="422"/>
      <c r="LFN141" s="422"/>
      <c r="LFO141" s="422"/>
      <c r="LFP141" s="422"/>
      <c r="LFQ141" s="422"/>
      <c r="LFR141" s="422"/>
      <c r="LFS141" s="422"/>
      <c r="LFT141" s="422"/>
      <c r="LFU141" s="422"/>
      <c r="LFV141" s="422"/>
      <c r="LFW141" s="422"/>
      <c r="LFX141" s="422"/>
      <c r="LFY141" s="422"/>
      <c r="LFZ141" s="422"/>
      <c r="LGA141" s="422"/>
      <c r="LGB141" s="422"/>
      <c r="LGC141" s="422"/>
      <c r="LGD141" s="422"/>
      <c r="LGE141" s="422"/>
      <c r="LGF141" s="422"/>
      <c r="LGG141" s="422"/>
      <c r="LGH141" s="422"/>
      <c r="LGI141" s="422"/>
      <c r="LGJ141" s="422"/>
      <c r="LGK141" s="422"/>
      <c r="LGL141" s="422"/>
      <c r="LGM141" s="422"/>
      <c r="LGN141" s="422"/>
      <c r="LGO141" s="422"/>
      <c r="LGP141" s="422"/>
      <c r="LGQ141" s="422"/>
      <c r="LGR141" s="422"/>
      <c r="LGS141" s="422"/>
      <c r="LGT141" s="422"/>
      <c r="LGU141" s="422"/>
      <c r="LGV141" s="422"/>
      <c r="LGW141" s="422"/>
      <c r="LGX141" s="422"/>
      <c r="LGY141" s="422"/>
      <c r="LGZ141" s="422"/>
      <c r="LHA141" s="422"/>
      <c r="LHB141" s="422"/>
      <c r="LHC141" s="422"/>
      <c r="LHD141" s="422"/>
      <c r="LHE141" s="422"/>
      <c r="LHF141" s="422"/>
      <c r="LHG141" s="422"/>
      <c r="LHH141" s="422"/>
      <c r="LHI141" s="422"/>
      <c r="LHJ141" s="422"/>
      <c r="LHK141" s="422"/>
      <c r="LHL141" s="422"/>
      <c r="LHM141" s="422"/>
      <c r="LHN141" s="422"/>
      <c r="LHO141" s="422"/>
      <c r="LHP141" s="422"/>
      <c r="LHQ141" s="422"/>
      <c r="LHR141" s="422"/>
      <c r="LHS141" s="422"/>
      <c r="LHT141" s="422"/>
      <c r="LHU141" s="422"/>
      <c r="LHV141" s="422"/>
      <c r="LHW141" s="422"/>
      <c r="LHX141" s="422"/>
      <c r="LHY141" s="422"/>
      <c r="LHZ141" s="422"/>
      <c r="LIA141" s="422"/>
      <c r="LIB141" s="422"/>
      <c r="LIC141" s="422"/>
      <c r="LID141" s="422"/>
      <c r="LIE141" s="422"/>
      <c r="LIF141" s="422"/>
      <c r="LIG141" s="422"/>
      <c r="LIH141" s="422"/>
      <c r="LII141" s="422"/>
      <c r="LIJ141" s="422"/>
      <c r="LIK141" s="422"/>
      <c r="LIL141" s="422"/>
      <c r="LIM141" s="422"/>
      <c r="LIN141" s="422"/>
      <c r="LIO141" s="422"/>
      <c r="LIP141" s="422"/>
      <c r="LIQ141" s="422"/>
      <c r="LIR141" s="422"/>
      <c r="LIS141" s="422"/>
      <c r="LIT141" s="422"/>
      <c r="LIU141" s="422"/>
      <c r="LIV141" s="422"/>
      <c r="LIW141" s="422"/>
      <c r="LIX141" s="422"/>
      <c r="LIY141" s="422"/>
      <c r="LIZ141" s="422"/>
      <c r="LJA141" s="422"/>
      <c r="LJB141" s="422"/>
      <c r="LJC141" s="422"/>
      <c r="LJD141" s="422"/>
      <c r="LJE141" s="422"/>
      <c r="LJF141" s="422"/>
      <c r="LJG141" s="422"/>
      <c r="LJH141" s="422"/>
      <c r="LJI141" s="422"/>
      <c r="LJJ141" s="422"/>
      <c r="LJK141" s="422"/>
      <c r="LJL141" s="422"/>
      <c r="LJM141" s="422"/>
      <c r="LJN141" s="422"/>
      <c r="LJO141" s="422"/>
      <c r="LJP141" s="422"/>
      <c r="LJQ141" s="422"/>
      <c r="LJR141" s="422"/>
      <c r="LJS141" s="422"/>
      <c r="LJT141" s="422"/>
      <c r="LJU141" s="422"/>
      <c r="LJV141" s="422"/>
      <c r="LJW141" s="422"/>
      <c r="LJX141" s="422"/>
      <c r="LJY141" s="422"/>
      <c r="LJZ141" s="422"/>
      <c r="LKA141" s="422"/>
      <c r="LKB141" s="422"/>
      <c r="LKC141" s="422"/>
      <c r="LKD141" s="422"/>
      <c r="LKE141" s="422"/>
      <c r="LKF141" s="422"/>
      <c r="LKG141" s="422"/>
      <c r="LKH141" s="422"/>
      <c r="LKI141" s="422"/>
      <c r="LKJ141" s="422"/>
      <c r="LKK141" s="422"/>
      <c r="LKL141" s="422"/>
      <c r="LKM141" s="422"/>
      <c r="LKN141" s="422"/>
      <c r="LKO141" s="422"/>
      <c r="LKP141" s="422"/>
      <c r="LKQ141" s="422"/>
      <c r="LKR141" s="422"/>
      <c r="LKS141" s="422"/>
      <c r="LKT141" s="422"/>
      <c r="LKU141" s="422"/>
      <c r="LKV141" s="422"/>
      <c r="LKW141" s="422"/>
      <c r="LKX141" s="422"/>
      <c r="LKY141" s="422"/>
      <c r="LKZ141" s="422"/>
      <c r="LLA141" s="422"/>
      <c r="LLB141" s="422"/>
      <c r="LLC141" s="422"/>
      <c r="LLD141" s="422"/>
      <c r="LLE141" s="422"/>
      <c r="LLF141" s="422"/>
      <c r="LLG141" s="422"/>
      <c r="LLH141" s="422"/>
      <c r="LLI141" s="422"/>
      <c r="LLJ141" s="422"/>
      <c r="LLK141" s="422"/>
      <c r="LLL141" s="422"/>
      <c r="LLM141" s="422"/>
      <c r="LLN141" s="422"/>
      <c r="LLO141" s="422"/>
      <c r="LLP141" s="422"/>
      <c r="LLQ141" s="422"/>
      <c r="LLR141" s="422"/>
      <c r="LLS141" s="422"/>
      <c r="LLT141" s="422"/>
      <c r="LLU141" s="422"/>
      <c r="LLV141" s="422"/>
      <c r="LLW141" s="422"/>
      <c r="LLX141" s="422"/>
      <c r="LLY141" s="422"/>
      <c r="LLZ141" s="422"/>
      <c r="LMA141" s="422"/>
      <c r="LMB141" s="422"/>
      <c r="LMC141" s="422"/>
      <c r="LMD141" s="422"/>
      <c r="LME141" s="422"/>
      <c r="LMF141" s="422"/>
      <c r="LMG141" s="422"/>
      <c r="LMH141" s="422"/>
      <c r="LMI141" s="422"/>
      <c r="LMJ141" s="422"/>
      <c r="LMK141" s="422"/>
      <c r="LML141" s="422"/>
      <c r="LMM141" s="422"/>
      <c r="LMN141" s="422"/>
      <c r="LMO141" s="422"/>
      <c r="LMP141" s="422"/>
      <c r="LMQ141" s="422"/>
      <c r="LMR141" s="422"/>
      <c r="LMS141" s="422"/>
      <c r="LMT141" s="422"/>
      <c r="LMU141" s="422"/>
      <c r="LMV141" s="422"/>
      <c r="LMW141" s="422"/>
      <c r="LMX141" s="422"/>
      <c r="LMY141" s="422"/>
      <c r="LMZ141" s="422"/>
      <c r="LNA141" s="422"/>
      <c r="LNB141" s="422"/>
      <c r="LNC141" s="422"/>
      <c r="LND141" s="422"/>
      <c r="LNE141" s="422"/>
      <c r="LNF141" s="422"/>
      <c r="LNG141" s="422"/>
      <c r="LNH141" s="422"/>
      <c r="LNI141" s="422"/>
      <c r="LNJ141" s="422"/>
      <c r="LNK141" s="422"/>
      <c r="LNL141" s="422"/>
      <c r="LNM141" s="422"/>
      <c r="LNN141" s="422"/>
      <c r="LNO141" s="422"/>
      <c r="LNP141" s="422"/>
      <c r="LNQ141" s="422"/>
      <c r="LNR141" s="422"/>
      <c r="LNS141" s="422"/>
      <c r="LNT141" s="422"/>
      <c r="LNU141" s="422"/>
      <c r="LNV141" s="422"/>
      <c r="LNW141" s="422"/>
      <c r="LNX141" s="422"/>
      <c r="LNY141" s="422"/>
      <c r="LNZ141" s="422"/>
      <c r="LOA141" s="422"/>
      <c r="LOB141" s="422"/>
      <c r="LOC141" s="422"/>
      <c r="LOD141" s="422"/>
      <c r="LOE141" s="422"/>
      <c r="LOF141" s="422"/>
      <c r="LOG141" s="422"/>
      <c r="LOH141" s="422"/>
      <c r="LOI141" s="422"/>
      <c r="LOJ141" s="422"/>
      <c r="LOK141" s="422"/>
      <c r="LOL141" s="422"/>
      <c r="LOM141" s="422"/>
      <c r="LON141" s="422"/>
      <c r="LOO141" s="422"/>
      <c r="LOP141" s="422"/>
      <c r="LOQ141" s="422"/>
      <c r="LOR141" s="422"/>
      <c r="LOS141" s="422"/>
      <c r="LOT141" s="422"/>
      <c r="LOU141" s="422"/>
      <c r="LOV141" s="422"/>
      <c r="LOW141" s="422"/>
      <c r="LOX141" s="422"/>
      <c r="LOY141" s="422"/>
      <c r="LOZ141" s="422"/>
      <c r="LPA141" s="422"/>
      <c r="LPB141" s="422"/>
      <c r="LPC141" s="422"/>
      <c r="LPD141" s="422"/>
      <c r="LPE141" s="422"/>
      <c r="LPF141" s="422"/>
      <c r="LPG141" s="422"/>
      <c r="LPH141" s="422"/>
      <c r="LPI141" s="422"/>
      <c r="LPJ141" s="422"/>
      <c r="LPK141" s="422"/>
      <c r="LPL141" s="422"/>
      <c r="LPM141" s="422"/>
      <c r="LPN141" s="422"/>
      <c r="LPO141" s="422"/>
      <c r="LPP141" s="422"/>
      <c r="LPQ141" s="422"/>
      <c r="LPR141" s="422"/>
      <c r="LPS141" s="422"/>
      <c r="LPT141" s="422"/>
      <c r="LPU141" s="422"/>
      <c r="LPV141" s="422"/>
      <c r="LPW141" s="422"/>
      <c r="LPX141" s="422"/>
      <c r="LPY141" s="422"/>
      <c r="LPZ141" s="422"/>
      <c r="LQA141" s="422"/>
      <c r="LQB141" s="422"/>
      <c r="LQC141" s="422"/>
      <c r="LQD141" s="422"/>
      <c r="LQE141" s="422"/>
      <c r="LQF141" s="422"/>
      <c r="LQG141" s="422"/>
      <c r="LQH141" s="422"/>
      <c r="LQI141" s="422"/>
      <c r="LQJ141" s="422"/>
      <c r="LQK141" s="422"/>
      <c r="LQL141" s="422"/>
      <c r="LQM141" s="422"/>
      <c r="LQN141" s="422"/>
      <c r="LQO141" s="422"/>
      <c r="LQP141" s="422"/>
      <c r="LQQ141" s="422"/>
      <c r="LQR141" s="422"/>
      <c r="LQS141" s="422"/>
      <c r="LQT141" s="422"/>
      <c r="LQU141" s="422"/>
      <c r="LQV141" s="422"/>
      <c r="LQW141" s="422"/>
      <c r="LQX141" s="422"/>
      <c r="LQY141" s="422"/>
      <c r="LQZ141" s="422"/>
      <c r="LRA141" s="422"/>
      <c r="LRB141" s="422"/>
      <c r="LRC141" s="422"/>
      <c r="LRD141" s="422"/>
      <c r="LRE141" s="422"/>
      <c r="LRF141" s="422"/>
      <c r="LRG141" s="422"/>
      <c r="LRH141" s="422"/>
      <c r="LRI141" s="422"/>
      <c r="LRJ141" s="422"/>
      <c r="LRK141" s="422"/>
      <c r="LRL141" s="422"/>
      <c r="LRM141" s="422"/>
      <c r="LRN141" s="422"/>
      <c r="LRO141" s="422"/>
      <c r="LRP141" s="422"/>
      <c r="LRQ141" s="422"/>
      <c r="LRR141" s="422"/>
      <c r="LRS141" s="422"/>
      <c r="LRT141" s="422"/>
      <c r="LRU141" s="422"/>
      <c r="LRV141" s="422"/>
      <c r="LRW141" s="422"/>
      <c r="LRX141" s="422"/>
      <c r="LRY141" s="422"/>
      <c r="LRZ141" s="422"/>
      <c r="LSA141" s="422"/>
      <c r="LSB141" s="422"/>
      <c r="LSC141" s="422"/>
      <c r="LSD141" s="422"/>
      <c r="LSE141" s="422"/>
      <c r="LSF141" s="422"/>
      <c r="LSG141" s="422"/>
      <c r="LSH141" s="422"/>
      <c r="LSI141" s="422"/>
      <c r="LSJ141" s="422"/>
      <c r="LSK141" s="422"/>
      <c r="LSL141" s="422"/>
      <c r="LSM141" s="422"/>
      <c r="LSN141" s="422"/>
      <c r="LSO141" s="422"/>
      <c r="LSP141" s="422"/>
      <c r="LSQ141" s="422"/>
      <c r="LSR141" s="422"/>
      <c r="LSS141" s="422"/>
      <c r="LST141" s="422"/>
      <c r="LSU141" s="422"/>
      <c r="LSV141" s="422"/>
      <c r="LSW141" s="422"/>
      <c r="LSX141" s="422"/>
      <c r="LSY141" s="422"/>
      <c r="LSZ141" s="422"/>
      <c r="LTA141" s="422"/>
      <c r="LTB141" s="422"/>
      <c r="LTC141" s="422"/>
      <c r="LTD141" s="422"/>
      <c r="LTE141" s="422"/>
      <c r="LTF141" s="422"/>
      <c r="LTG141" s="422"/>
      <c r="LTH141" s="422"/>
      <c r="LTI141" s="422"/>
      <c r="LTJ141" s="422"/>
      <c r="LTK141" s="422"/>
      <c r="LTL141" s="422"/>
      <c r="LTM141" s="422"/>
      <c r="LTN141" s="422"/>
      <c r="LTO141" s="422"/>
      <c r="LTP141" s="422"/>
      <c r="LTQ141" s="422"/>
      <c r="LTR141" s="422"/>
      <c r="LTS141" s="422"/>
      <c r="LTT141" s="422"/>
      <c r="LTU141" s="422"/>
      <c r="LTV141" s="422"/>
      <c r="LTW141" s="422"/>
      <c r="LTX141" s="422"/>
      <c r="LTY141" s="422"/>
      <c r="LTZ141" s="422"/>
      <c r="LUA141" s="422"/>
      <c r="LUB141" s="422"/>
      <c r="LUC141" s="422"/>
      <c r="LUD141" s="422"/>
      <c r="LUE141" s="422"/>
      <c r="LUF141" s="422"/>
      <c r="LUG141" s="422"/>
      <c r="LUH141" s="422"/>
      <c r="LUI141" s="422"/>
      <c r="LUJ141" s="422"/>
      <c r="LUK141" s="422"/>
      <c r="LUL141" s="422"/>
      <c r="LUM141" s="422"/>
      <c r="LUN141" s="422"/>
      <c r="LUO141" s="422"/>
      <c r="LUP141" s="422"/>
      <c r="LUQ141" s="422"/>
      <c r="LUR141" s="422"/>
      <c r="LUS141" s="422"/>
      <c r="LUT141" s="422"/>
      <c r="LUU141" s="422"/>
      <c r="LUV141" s="422"/>
      <c r="LUW141" s="422"/>
      <c r="LUX141" s="422"/>
      <c r="LUY141" s="422"/>
      <c r="LUZ141" s="422"/>
      <c r="LVA141" s="422"/>
      <c r="LVB141" s="422"/>
      <c r="LVC141" s="422"/>
      <c r="LVD141" s="422"/>
      <c r="LVE141" s="422"/>
      <c r="LVF141" s="422"/>
      <c r="LVG141" s="422"/>
      <c r="LVH141" s="422"/>
      <c r="LVI141" s="422"/>
      <c r="LVJ141" s="422"/>
      <c r="LVK141" s="422"/>
      <c r="LVL141" s="422"/>
      <c r="LVM141" s="422"/>
      <c r="LVN141" s="422"/>
      <c r="LVO141" s="422"/>
      <c r="LVP141" s="422"/>
      <c r="LVQ141" s="422"/>
      <c r="LVR141" s="422"/>
      <c r="LVS141" s="422"/>
      <c r="LVT141" s="422"/>
      <c r="LVU141" s="422"/>
      <c r="LVV141" s="422"/>
      <c r="LVW141" s="422"/>
      <c r="LVX141" s="422"/>
      <c r="LVY141" s="422"/>
      <c r="LVZ141" s="422"/>
      <c r="LWA141" s="422"/>
      <c r="LWB141" s="422"/>
      <c r="LWC141" s="422"/>
      <c r="LWD141" s="422"/>
      <c r="LWE141" s="422"/>
      <c r="LWF141" s="422"/>
      <c r="LWG141" s="422"/>
      <c r="LWH141" s="422"/>
      <c r="LWI141" s="422"/>
      <c r="LWJ141" s="422"/>
      <c r="LWK141" s="422"/>
      <c r="LWL141" s="422"/>
      <c r="LWM141" s="422"/>
      <c r="LWN141" s="422"/>
      <c r="LWO141" s="422"/>
      <c r="LWP141" s="422"/>
      <c r="LWQ141" s="422"/>
      <c r="LWR141" s="422"/>
      <c r="LWS141" s="422"/>
      <c r="LWT141" s="422"/>
      <c r="LWU141" s="422"/>
      <c r="LWV141" s="422"/>
      <c r="LWW141" s="422"/>
      <c r="LWX141" s="422"/>
      <c r="LWY141" s="422"/>
      <c r="LWZ141" s="422"/>
      <c r="LXA141" s="422"/>
      <c r="LXB141" s="422"/>
      <c r="LXC141" s="422"/>
      <c r="LXD141" s="422"/>
      <c r="LXE141" s="422"/>
      <c r="LXF141" s="422"/>
      <c r="LXG141" s="422"/>
      <c r="LXH141" s="422"/>
      <c r="LXI141" s="422"/>
      <c r="LXJ141" s="422"/>
      <c r="LXK141" s="422"/>
      <c r="LXL141" s="422"/>
      <c r="LXM141" s="422"/>
      <c r="LXN141" s="422"/>
      <c r="LXO141" s="422"/>
      <c r="LXP141" s="422"/>
      <c r="LXQ141" s="422"/>
      <c r="LXR141" s="422"/>
      <c r="LXS141" s="422"/>
      <c r="LXT141" s="422"/>
      <c r="LXU141" s="422"/>
      <c r="LXV141" s="422"/>
      <c r="LXW141" s="422"/>
      <c r="LXX141" s="422"/>
      <c r="LXY141" s="422"/>
      <c r="LXZ141" s="422"/>
      <c r="LYA141" s="422"/>
      <c r="LYB141" s="422"/>
      <c r="LYC141" s="422"/>
      <c r="LYD141" s="422"/>
      <c r="LYE141" s="422"/>
      <c r="LYF141" s="422"/>
      <c r="LYG141" s="422"/>
      <c r="LYH141" s="422"/>
      <c r="LYI141" s="422"/>
      <c r="LYJ141" s="422"/>
      <c r="LYK141" s="422"/>
      <c r="LYL141" s="422"/>
      <c r="LYM141" s="422"/>
      <c r="LYN141" s="422"/>
      <c r="LYO141" s="422"/>
      <c r="LYP141" s="422"/>
      <c r="LYQ141" s="422"/>
      <c r="LYR141" s="422"/>
      <c r="LYS141" s="422"/>
      <c r="LYT141" s="422"/>
      <c r="LYU141" s="422"/>
      <c r="LYV141" s="422"/>
      <c r="LYW141" s="422"/>
      <c r="LYX141" s="422"/>
      <c r="LYY141" s="422"/>
      <c r="LYZ141" s="422"/>
      <c r="LZA141" s="422"/>
      <c r="LZB141" s="422"/>
      <c r="LZC141" s="422"/>
      <c r="LZD141" s="422"/>
      <c r="LZE141" s="422"/>
      <c r="LZF141" s="422"/>
      <c r="LZG141" s="422"/>
      <c r="LZH141" s="422"/>
      <c r="LZI141" s="422"/>
      <c r="LZJ141" s="422"/>
      <c r="LZK141" s="422"/>
      <c r="LZL141" s="422"/>
      <c r="LZM141" s="422"/>
      <c r="LZN141" s="422"/>
      <c r="LZO141" s="422"/>
      <c r="LZP141" s="422"/>
      <c r="LZQ141" s="422"/>
      <c r="LZR141" s="422"/>
      <c r="LZS141" s="422"/>
      <c r="LZT141" s="422"/>
      <c r="LZU141" s="422"/>
      <c r="LZV141" s="422"/>
      <c r="LZW141" s="422"/>
      <c r="LZX141" s="422"/>
      <c r="LZY141" s="422"/>
      <c r="LZZ141" s="422"/>
      <c r="MAA141" s="422"/>
      <c r="MAB141" s="422"/>
      <c r="MAC141" s="422"/>
      <c r="MAD141" s="422"/>
      <c r="MAE141" s="422"/>
      <c r="MAF141" s="422"/>
      <c r="MAG141" s="422"/>
      <c r="MAH141" s="422"/>
      <c r="MAI141" s="422"/>
      <c r="MAJ141" s="422"/>
      <c r="MAK141" s="422"/>
      <c r="MAL141" s="422"/>
      <c r="MAM141" s="422"/>
      <c r="MAN141" s="422"/>
      <c r="MAO141" s="422"/>
      <c r="MAP141" s="422"/>
      <c r="MAQ141" s="422"/>
      <c r="MAR141" s="422"/>
      <c r="MAS141" s="422"/>
      <c r="MAT141" s="422"/>
      <c r="MAU141" s="422"/>
      <c r="MAV141" s="422"/>
      <c r="MAW141" s="422"/>
      <c r="MAX141" s="422"/>
      <c r="MAY141" s="422"/>
      <c r="MAZ141" s="422"/>
      <c r="MBA141" s="422"/>
      <c r="MBB141" s="422"/>
      <c r="MBC141" s="422"/>
      <c r="MBD141" s="422"/>
      <c r="MBE141" s="422"/>
      <c r="MBF141" s="422"/>
      <c r="MBG141" s="422"/>
      <c r="MBH141" s="422"/>
      <c r="MBI141" s="422"/>
      <c r="MBJ141" s="422"/>
      <c r="MBK141" s="422"/>
      <c r="MBL141" s="422"/>
      <c r="MBM141" s="422"/>
      <c r="MBN141" s="422"/>
      <c r="MBO141" s="422"/>
      <c r="MBP141" s="422"/>
      <c r="MBQ141" s="422"/>
      <c r="MBR141" s="422"/>
      <c r="MBS141" s="422"/>
      <c r="MBT141" s="422"/>
      <c r="MBU141" s="422"/>
      <c r="MBV141" s="422"/>
      <c r="MBW141" s="422"/>
      <c r="MBX141" s="422"/>
      <c r="MBY141" s="422"/>
      <c r="MBZ141" s="422"/>
      <c r="MCA141" s="422"/>
      <c r="MCB141" s="422"/>
      <c r="MCC141" s="422"/>
      <c r="MCD141" s="422"/>
      <c r="MCE141" s="422"/>
      <c r="MCF141" s="422"/>
      <c r="MCG141" s="422"/>
      <c r="MCH141" s="422"/>
      <c r="MCI141" s="422"/>
      <c r="MCJ141" s="422"/>
      <c r="MCK141" s="422"/>
      <c r="MCL141" s="422"/>
      <c r="MCM141" s="422"/>
      <c r="MCN141" s="422"/>
      <c r="MCO141" s="422"/>
      <c r="MCP141" s="422"/>
      <c r="MCQ141" s="422"/>
      <c r="MCR141" s="422"/>
      <c r="MCS141" s="422"/>
      <c r="MCT141" s="422"/>
      <c r="MCU141" s="422"/>
      <c r="MCV141" s="422"/>
      <c r="MCW141" s="422"/>
      <c r="MCX141" s="422"/>
      <c r="MCY141" s="422"/>
      <c r="MCZ141" s="422"/>
      <c r="MDA141" s="422"/>
      <c r="MDB141" s="422"/>
      <c r="MDC141" s="422"/>
      <c r="MDD141" s="422"/>
      <c r="MDE141" s="422"/>
      <c r="MDF141" s="422"/>
      <c r="MDG141" s="422"/>
      <c r="MDH141" s="422"/>
      <c r="MDI141" s="422"/>
      <c r="MDJ141" s="422"/>
      <c r="MDK141" s="422"/>
      <c r="MDL141" s="422"/>
      <c r="MDM141" s="422"/>
      <c r="MDN141" s="422"/>
      <c r="MDO141" s="422"/>
      <c r="MDP141" s="422"/>
      <c r="MDQ141" s="422"/>
      <c r="MDR141" s="422"/>
      <c r="MDS141" s="422"/>
      <c r="MDT141" s="422"/>
      <c r="MDU141" s="422"/>
      <c r="MDV141" s="422"/>
      <c r="MDW141" s="422"/>
      <c r="MDX141" s="422"/>
      <c r="MDY141" s="422"/>
      <c r="MDZ141" s="422"/>
      <c r="MEA141" s="422"/>
      <c r="MEB141" s="422"/>
      <c r="MEC141" s="422"/>
      <c r="MED141" s="422"/>
      <c r="MEE141" s="422"/>
      <c r="MEF141" s="422"/>
      <c r="MEG141" s="422"/>
      <c r="MEH141" s="422"/>
      <c r="MEI141" s="422"/>
      <c r="MEJ141" s="422"/>
      <c r="MEK141" s="422"/>
      <c r="MEL141" s="422"/>
      <c r="MEM141" s="422"/>
      <c r="MEN141" s="422"/>
      <c r="MEO141" s="422"/>
      <c r="MEP141" s="422"/>
      <c r="MEQ141" s="422"/>
      <c r="MER141" s="422"/>
      <c r="MES141" s="422"/>
      <c r="MET141" s="422"/>
      <c r="MEU141" s="422"/>
      <c r="MEV141" s="422"/>
      <c r="MEW141" s="422"/>
      <c r="MEX141" s="422"/>
      <c r="MEY141" s="422"/>
      <c r="MEZ141" s="422"/>
      <c r="MFA141" s="422"/>
      <c r="MFB141" s="422"/>
      <c r="MFC141" s="422"/>
      <c r="MFD141" s="422"/>
      <c r="MFE141" s="422"/>
      <c r="MFF141" s="422"/>
      <c r="MFG141" s="422"/>
      <c r="MFH141" s="422"/>
      <c r="MFI141" s="422"/>
      <c r="MFJ141" s="422"/>
      <c r="MFK141" s="422"/>
      <c r="MFL141" s="422"/>
      <c r="MFM141" s="422"/>
      <c r="MFN141" s="422"/>
      <c r="MFO141" s="422"/>
      <c r="MFP141" s="422"/>
      <c r="MFQ141" s="422"/>
      <c r="MFR141" s="422"/>
      <c r="MFS141" s="422"/>
      <c r="MFT141" s="422"/>
      <c r="MFU141" s="422"/>
      <c r="MFV141" s="422"/>
      <c r="MFW141" s="422"/>
      <c r="MFX141" s="422"/>
      <c r="MFY141" s="422"/>
      <c r="MFZ141" s="422"/>
      <c r="MGA141" s="422"/>
      <c r="MGB141" s="422"/>
      <c r="MGC141" s="422"/>
      <c r="MGD141" s="422"/>
      <c r="MGE141" s="422"/>
      <c r="MGF141" s="422"/>
      <c r="MGG141" s="422"/>
      <c r="MGH141" s="422"/>
      <c r="MGI141" s="422"/>
      <c r="MGJ141" s="422"/>
      <c r="MGK141" s="422"/>
      <c r="MGL141" s="422"/>
      <c r="MGM141" s="422"/>
      <c r="MGN141" s="422"/>
      <c r="MGO141" s="422"/>
      <c r="MGP141" s="422"/>
      <c r="MGQ141" s="422"/>
      <c r="MGR141" s="422"/>
      <c r="MGS141" s="422"/>
      <c r="MGT141" s="422"/>
      <c r="MGU141" s="422"/>
      <c r="MGV141" s="422"/>
      <c r="MGW141" s="422"/>
      <c r="MGX141" s="422"/>
      <c r="MGY141" s="422"/>
      <c r="MGZ141" s="422"/>
      <c r="MHA141" s="422"/>
      <c r="MHB141" s="422"/>
      <c r="MHC141" s="422"/>
      <c r="MHD141" s="422"/>
      <c r="MHE141" s="422"/>
      <c r="MHF141" s="422"/>
      <c r="MHG141" s="422"/>
      <c r="MHH141" s="422"/>
      <c r="MHI141" s="422"/>
      <c r="MHJ141" s="422"/>
      <c r="MHK141" s="422"/>
      <c r="MHL141" s="422"/>
      <c r="MHM141" s="422"/>
      <c r="MHN141" s="422"/>
      <c r="MHO141" s="422"/>
      <c r="MHP141" s="422"/>
      <c r="MHQ141" s="422"/>
      <c r="MHR141" s="422"/>
      <c r="MHS141" s="422"/>
      <c r="MHT141" s="422"/>
      <c r="MHU141" s="422"/>
      <c r="MHV141" s="422"/>
      <c r="MHW141" s="422"/>
      <c r="MHX141" s="422"/>
      <c r="MHY141" s="422"/>
      <c r="MHZ141" s="422"/>
      <c r="MIA141" s="422"/>
      <c r="MIB141" s="422"/>
      <c r="MIC141" s="422"/>
      <c r="MID141" s="422"/>
      <c r="MIE141" s="422"/>
      <c r="MIF141" s="422"/>
      <c r="MIG141" s="422"/>
      <c r="MIH141" s="422"/>
      <c r="MII141" s="422"/>
      <c r="MIJ141" s="422"/>
      <c r="MIK141" s="422"/>
      <c r="MIL141" s="422"/>
      <c r="MIM141" s="422"/>
      <c r="MIN141" s="422"/>
      <c r="MIO141" s="422"/>
      <c r="MIP141" s="422"/>
      <c r="MIQ141" s="422"/>
      <c r="MIR141" s="422"/>
      <c r="MIS141" s="422"/>
      <c r="MIT141" s="422"/>
      <c r="MIU141" s="422"/>
      <c r="MIV141" s="422"/>
      <c r="MIW141" s="422"/>
      <c r="MIX141" s="422"/>
      <c r="MIY141" s="422"/>
      <c r="MIZ141" s="422"/>
      <c r="MJA141" s="422"/>
      <c r="MJB141" s="422"/>
      <c r="MJC141" s="422"/>
      <c r="MJD141" s="422"/>
      <c r="MJE141" s="422"/>
      <c r="MJF141" s="422"/>
      <c r="MJG141" s="422"/>
      <c r="MJH141" s="422"/>
      <c r="MJI141" s="422"/>
      <c r="MJJ141" s="422"/>
      <c r="MJK141" s="422"/>
      <c r="MJL141" s="422"/>
      <c r="MJM141" s="422"/>
      <c r="MJN141" s="422"/>
      <c r="MJO141" s="422"/>
      <c r="MJP141" s="422"/>
      <c r="MJQ141" s="422"/>
      <c r="MJR141" s="422"/>
      <c r="MJS141" s="422"/>
      <c r="MJT141" s="422"/>
      <c r="MJU141" s="422"/>
      <c r="MJV141" s="422"/>
      <c r="MJW141" s="422"/>
      <c r="MJX141" s="422"/>
      <c r="MJY141" s="422"/>
      <c r="MJZ141" s="422"/>
      <c r="MKA141" s="422"/>
      <c r="MKB141" s="422"/>
      <c r="MKC141" s="422"/>
      <c r="MKD141" s="422"/>
      <c r="MKE141" s="422"/>
      <c r="MKF141" s="422"/>
      <c r="MKG141" s="422"/>
      <c r="MKH141" s="422"/>
      <c r="MKI141" s="422"/>
      <c r="MKJ141" s="422"/>
      <c r="MKK141" s="422"/>
      <c r="MKL141" s="422"/>
      <c r="MKM141" s="422"/>
      <c r="MKN141" s="422"/>
      <c r="MKO141" s="422"/>
      <c r="MKP141" s="422"/>
      <c r="MKQ141" s="422"/>
      <c r="MKR141" s="422"/>
      <c r="MKS141" s="422"/>
      <c r="MKT141" s="422"/>
      <c r="MKU141" s="422"/>
      <c r="MKV141" s="422"/>
      <c r="MKW141" s="422"/>
      <c r="MKX141" s="422"/>
      <c r="MKY141" s="422"/>
      <c r="MKZ141" s="422"/>
      <c r="MLA141" s="422"/>
      <c r="MLB141" s="422"/>
      <c r="MLC141" s="422"/>
      <c r="MLD141" s="422"/>
      <c r="MLE141" s="422"/>
      <c r="MLF141" s="422"/>
      <c r="MLG141" s="422"/>
      <c r="MLH141" s="422"/>
      <c r="MLI141" s="422"/>
      <c r="MLJ141" s="422"/>
      <c r="MLK141" s="422"/>
      <c r="MLL141" s="422"/>
      <c r="MLM141" s="422"/>
      <c r="MLN141" s="422"/>
      <c r="MLO141" s="422"/>
      <c r="MLP141" s="422"/>
      <c r="MLQ141" s="422"/>
      <c r="MLR141" s="422"/>
      <c r="MLS141" s="422"/>
      <c r="MLT141" s="422"/>
      <c r="MLU141" s="422"/>
      <c r="MLV141" s="422"/>
      <c r="MLW141" s="422"/>
      <c r="MLX141" s="422"/>
      <c r="MLY141" s="422"/>
      <c r="MLZ141" s="422"/>
      <c r="MMA141" s="422"/>
      <c r="MMB141" s="422"/>
      <c r="MMC141" s="422"/>
      <c r="MMD141" s="422"/>
      <c r="MME141" s="422"/>
      <c r="MMF141" s="422"/>
      <c r="MMG141" s="422"/>
      <c r="MMH141" s="422"/>
      <c r="MMI141" s="422"/>
      <c r="MMJ141" s="422"/>
      <c r="MMK141" s="422"/>
      <c r="MML141" s="422"/>
      <c r="MMM141" s="422"/>
      <c r="MMN141" s="422"/>
      <c r="MMO141" s="422"/>
      <c r="MMP141" s="422"/>
      <c r="MMQ141" s="422"/>
      <c r="MMR141" s="422"/>
      <c r="MMS141" s="422"/>
      <c r="MMT141" s="422"/>
      <c r="MMU141" s="422"/>
      <c r="MMV141" s="422"/>
      <c r="MMW141" s="422"/>
      <c r="MMX141" s="422"/>
      <c r="MMY141" s="422"/>
      <c r="MMZ141" s="422"/>
      <c r="MNA141" s="422"/>
      <c r="MNB141" s="422"/>
      <c r="MNC141" s="422"/>
      <c r="MND141" s="422"/>
      <c r="MNE141" s="422"/>
      <c r="MNF141" s="422"/>
      <c r="MNG141" s="422"/>
      <c r="MNH141" s="422"/>
      <c r="MNI141" s="422"/>
      <c r="MNJ141" s="422"/>
      <c r="MNK141" s="422"/>
      <c r="MNL141" s="422"/>
      <c r="MNM141" s="422"/>
      <c r="MNN141" s="422"/>
      <c r="MNO141" s="422"/>
      <c r="MNP141" s="422"/>
      <c r="MNQ141" s="422"/>
      <c r="MNR141" s="422"/>
      <c r="MNS141" s="422"/>
      <c r="MNT141" s="422"/>
      <c r="MNU141" s="422"/>
      <c r="MNV141" s="422"/>
      <c r="MNW141" s="422"/>
      <c r="MNX141" s="422"/>
      <c r="MNY141" s="422"/>
      <c r="MNZ141" s="422"/>
      <c r="MOA141" s="422"/>
      <c r="MOB141" s="422"/>
      <c r="MOC141" s="422"/>
      <c r="MOD141" s="422"/>
      <c r="MOE141" s="422"/>
      <c r="MOF141" s="422"/>
      <c r="MOG141" s="422"/>
      <c r="MOH141" s="422"/>
      <c r="MOI141" s="422"/>
      <c r="MOJ141" s="422"/>
      <c r="MOK141" s="422"/>
      <c r="MOL141" s="422"/>
      <c r="MOM141" s="422"/>
      <c r="MON141" s="422"/>
      <c r="MOO141" s="422"/>
      <c r="MOP141" s="422"/>
      <c r="MOQ141" s="422"/>
      <c r="MOR141" s="422"/>
      <c r="MOS141" s="422"/>
      <c r="MOT141" s="422"/>
      <c r="MOU141" s="422"/>
      <c r="MOV141" s="422"/>
      <c r="MOW141" s="422"/>
      <c r="MOX141" s="422"/>
      <c r="MOY141" s="422"/>
      <c r="MOZ141" s="422"/>
      <c r="MPA141" s="422"/>
      <c r="MPB141" s="422"/>
      <c r="MPC141" s="422"/>
      <c r="MPD141" s="422"/>
      <c r="MPE141" s="422"/>
      <c r="MPF141" s="422"/>
      <c r="MPG141" s="422"/>
      <c r="MPH141" s="422"/>
      <c r="MPI141" s="422"/>
      <c r="MPJ141" s="422"/>
      <c r="MPK141" s="422"/>
      <c r="MPL141" s="422"/>
      <c r="MPM141" s="422"/>
      <c r="MPN141" s="422"/>
      <c r="MPO141" s="422"/>
      <c r="MPP141" s="422"/>
      <c r="MPQ141" s="422"/>
      <c r="MPR141" s="422"/>
      <c r="MPS141" s="422"/>
      <c r="MPT141" s="422"/>
      <c r="MPU141" s="422"/>
      <c r="MPV141" s="422"/>
      <c r="MPW141" s="422"/>
      <c r="MPX141" s="422"/>
      <c r="MPY141" s="422"/>
      <c r="MPZ141" s="422"/>
      <c r="MQA141" s="422"/>
      <c r="MQB141" s="422"/>
      <c r="MQC141" s="422"/>
      <c r="MQD141" s="422"/>
      <c r="MQE141" s="422"/>
      <c r="MQF141" s="422"/>
      <c r="MQG141" s="422"/>
      <c r="MQH141" s="422"/>
      <c r="MQI141" s="422"/>
      <c r="MQJ141" s="422"/>
      <c r="MQK141" s="422"/>
      <c r="MQL141" s="422"/>
      <c r="MQM141" s="422"/>
      <c r="MQN141" s="422"/>
      <c r="MQO141" s="422"/>
      <c r="MQP141" s="422"/>
      <c r="MQQ141" s="422"/>
      <c r="MQR141" s="422"/>
      <c r="MQS141" s="422"/>
      <c r="MQT141" s="422"/>
      <c r="MQU141" s="422"/>
      <c r="MQV141" s="422"/>
      <c r="MQW141" s="422"/>
      <c r="MQX141" s="422"/>
      <c r="MQY141" s="422"/>
      <c r="MQZ141" s="422"/>
      <c r="MRA141" s="422"/>
      <c r="MRB141" s="422"/>
      <c r="MRC141" s="422"/>
      <c r="MRD141" s="422"/>
      <c r="MRE141" s="422"/>
      <c r="MRF141" s="422"/>
      <c r="MRG141" s="422"/>
      <c r="MRH141" s="422"/>
      <c r="MRI141" s="422"/>
      <c r="MRJ141" s="422"/>
      <c r="MRK141" s="422"/>
      <c r="MRL141" s="422"/>
      <c r="MRM141" s="422"/>
      <c r="MRN141" s="422"/>
      <c r="MRO141" s="422"/>
      <c r="MRP141" s="422"/>
      <c r="MRQ141" s="422"/>
      <c r="MRR141" s="422"/>
      <c r="MRS141" s="422"/>
      <c r="MRT141" s="422"/>
      <c r="MRU141" s="422"/>
      <c r="MRV141" s="422"/>
      <c r="MRW141" s="422"/>
      <c r="MRX141" s="422"/>
      <c r="MRY141" s="422"/>
      <c r="MRZ141" s="422"/>
      <c r="MSA141" s="422"/>
      <c r="MSB141" s="422"/>
      <c r="MSC141" s="422"/>
      <c r="MSD141" s="422"/>
      <c r="MSE141" s="422"/>
      <c r="MSF141" s="422"/>
      <c r="MSG141" s="422"/>
      <c r="MSH141" s="422"/>
      <c r="MSI141" s="422"/>
      <c r="MSJ141" s="422"/>
      <c r="MSK141" s="422"/>
      <c r="MSL141" s="422"/>
      <c r="MSM141" s="422"/>
      <c r="MSN141" s="422"/>
      <c r="MSO141" s="422"/>
      <c r="MSP141" s="422"/>
      <c r="MSQ141" s="422"/>
      <c r="MSR141" s="422"/>
      <c r="MSS141" s="422"/>
      <c r="MST141" s="422"/>
      <c r="MSU141" s="422"/>
      <c r="MSV141" s="422"/>
      <c r="MSW141" s="422"/>
      <c r="MSX141" s="422"/>
      <c r="MSY141" s="422"/>
      <c r="MSZ141" s="422"/>
      <c r="MTA141" s="422"/>
      <c r="MTB141" s="422"/>
      <c r="MTC141" s="422"/>
      <c r="MTD141" s="422"/>
      <c r="MTE141" s="422"/>
      <c r="MTF141" s="422"/>
      <c r="MTG141" s="422"/>
      <c r="MTH141" s="422"/>
      <c r="MTI141" s="422"/>
      <c r="MTJ141" s="422"/>
      <c r="MTK141" s="422"/>
      <c r="MTL141" s="422"/>
      <c r="MTM141" s="422"/>
      <c r="MTN141" s="422"/>
      <c r="MTO141" s="422"/>
      <c r="MTP141" s="422"/>
      <c r="MTQ141" s="422"/>
      <c r="MTR141" s="422"/>
      <c r="MTS141" s="422"/>
      <c r="MTT141" s="422"/>
      <c r="MTU141" s="422"/>
      <c r="MTV141" s="422"/>
      <c r="MTW141" s="422"/>
      <c r="MTX141" s="422"/>
      <c r="MTY141" s="422"/>
      <c r="MTZ141" s="422"/>
      <c r="MUA141" s="422"/>
      <c r="MUB141" s="422"/>
      <c r="MUC141" s="422"/>
      <c r="MUD141" s="422"/>
      <c r="MUE141" s="422"/>
      <c r="MUF141" s="422"/>
      <c r="MUG141" s="422"/>
      <c r="MUH141" s="422"/>
      <c r="MUI141" s="422"/>
      <c r="MUJ141" s="422"/>
      <c r="MUK141" s="422"/>
      <c r="MUL141" s="422"/>
      <c r="MUM141" s="422"/>
      <c r="MUN141" s="422"/>
      <c r="MUO141" s="422"/>
      <c r="MUP141" s="422"/>
      <c r="MUQ141" s="422"/>
      <c r="MUR141" s="422"/>
      <c r="MUS141" s="422"/>
      <c r="MUT141" s="422"/>
      <c r="MUU141" s="422"/>
      <c r="MUV141" s="422"/>
      <c r="MUW141" s="422"/>
      <c r="MUX141" s="422"/>
      <c r="MUY141" s="422"/>
      <c r="MUZ141" s="422"/>
      <c r="MVA141" s="422"/>
      <c r="MVB141" s="422"/>
      <c r="MVC141" s="422"/>
      <c r="MVD141" s="422"/>
      <c r="MVE141" s="422"/>
      <c r="MVF141" s="422"/>
      <c r="MVG141" s="422"/>
      <c r="MVH141" s="422"/>
      <c r="MVI141" s="422"/>
      <c r="MVJ141" s="422"/>
      <c r="MVK141" s="422"/>
      <c r="MVL141" s="422"/>
      <c r="MVM141" s="422"/>
      <c r="MVN141" s="422"/>
      <c r="MVO141" s="422"/>
      <c r="MVP141" s="422"/>
      <c r="MVQ141" s="422"/>
      <c r="MVR141" s="422"/>
      <c r="MVS141" s="422"/>
      <c r="MVT141" s="422"/>
      <c r="MVU141" s="422"/>
      <c r="MVV141" s="422"/>
      <c r="MVW141" s="422"/>
      <c r="MVX141" s="422"/>
      <c r="MVY141" s="422"/>
      <c r="MVZ141" s="422"/>
      <c r="MWA141" s="422"/>
      <c r="MWB141" s="422"/>
      <c r="MWC141" s="422"/>
      <c r="MWD141" s="422"/>
      <c r="MWE141" s="422"/>
      <c r="MWF141" s="422"/>
      <c r="MWG141" s="422"/>
      <c r="MWH141" s="422"/>
      <c r="MWI141" s="422"/>
      <c r="MWJ141" s="422"/>
      <c r="MWK141" s="422"/>
      <c r="MWL141" s="422"/>
      <c r="MWM141" s="422"/>
      <c r="MWN141" s="422"/>
      <c r="MWO141" s="422"/>
      <c r="MWP141" s="422"/>
      <c r="MWQ141" s="422"/>
      <c r="MWR141" s="422"/>
      <c r="MWS141" s="422"/>
      <c r="MWT141" s="422"/>
      <c r="MWU141" s="422"/>
      <c r="MWV141" s="422"/>
      <c r="MWW141" s="422"/>
      <c r="MWX141" s="422"/>
      <c r="MWY141" s="422"/>
      <c r="MWZ141" s="422"/>
      <c r="MXA141" s="422"/>
      <c r="MXB141" s="422"/>
      <c r="MXC141" s="422"/>
      <c r="MXD141" s="422"/>
      <c r="MXE141" s="422"/>
      <c r="MXF141" s="422"/>
      <c r="MXG141" s="422"/>
      <c r="MXH141" s="422"/>
      <c r="MXI141" s="422"/>
      <c r="MXJ141" s="422"/>
      <c r="MXK141" s="422"/>
      <c r="MXL141" s="422"/>
      <c r="MXM141" s="422"/>
      <c r="MXN141" s="422"/>
      <c r="MXO141" s="422"/>
      <c r="MXP141" s="422"/>
      <c r="MXQ141" s="422"/>
      <c r="MXR141" s="422"/>
      <c r="MXS141" s="422"/>
      <c r="MXT141" s="422"/>
      <c r="MXU141" s="422"/>
      <c r="MXV141" s="422"/>
      <c r="MXW141" s="422"/>
      <c r="MXX141" s="422"/>
      <c r="MXY141" s="422"/>
      <c r="MXZ141" s="422"/>
      <c r="MYA141" s="422"/>
      <c r="MYB141" s="422"/>
      <c r="MYC141" s="422"/>
      <c r="MYD141" s="422"/>
      <c r="MYE141" s="422"/>
      <c r="MYF141" s="422"/>
      <c r="MYG141" s="422"/>
      <c r="MYH141" s="422"/>
      <c r="MYI141" s="422"/>
      <c r="MYJ141" s="422"/>
      <c r="MYK141" s="422"/>
      <c r="MYL141" s="422"/>
      <c r="MYM141" s="422"/>
      <c r="MYN141" s="422"/>
      <c r="MYO141" s="422"/>
      <c r="MYP141" s="422"/>
      <c r="MYQ141" s="422"/>
      <c r="MYR141" s="422"/>
      <c r="MYS141" s="422"/>
      <c r="MYT141" s="422"/>
      <c r="MYU141" s="422"/>
      <c r="MYV141" s="422"/>
      <c r="MYW141" s="422"/>
      <c r="MYX141" s="422"/>
      <c r="MYY141" s="422"/>
      <c r="MYZ141" s="422"/>
      <c r="MZA141" s="422"/>
      <c r="MZB141" s="422"/>
      <c r="MZC141" s="422"/>
      <c r="MZD141" s="422"/>
      <c r="MZE141" s="422"/>
      <c r="MZF141" s="422"/>
      <c r="MZG141" s="422"/>
      <c r="MZH141" s="422"/>
      <c r="MZI141" s="422"/>
      <c r="MZJ141" s="422"/>
      <c r="MZK141" s="422"/>
      <c r="MZL141" s="422"/>
      <c r="MZM141" s="422"/>
      <c r="MZN141" s="422"/>
      <c r="MZO141" s="422"/>
      <c r="MZP141" s="422"/>
      <c r="MZQ141" s="422"/>
      <c r="MZR141" s="422"/>
      <c r="MZS141" s="422"/>
      <c r="MZT141" s="422"/>
      <c r="MZU141" s="422"/>
      <c r="MZV141" s="422"/>
      <c r="MZW141" s="422"/>
      <c r="MZX141" s="422"/>
      <c r="MZY141" s="422"/>
      <c r="MZZ141" s="422"/>
      <c r="NAA141" s="422"/>
      <c r="NAB141" s="422"/>
      <c r="NAC141" s="422"/>
      <c r="NAD141" s="422"/>
      <c r="NAE141" s="422"/>
      <c r="NAF141" s="422"/>
      <c r="NAG141" s="422"/>
      <c r="NAH141" s="422"/>
      <c r="NAI141" s="422"/>
      <c r="NAJ141" s="422"/>
      <c r="NAK141" s="422"/>
      <c r="NAL141" s="422"/>
      <c r="NAM141" s="422"/>
      <c r="NAN141" s="422"/>
      <c r="NAO141" s="422"/>
      <c r="NAP141" s="422"/>
      <c r="NAQ141" s="422"/>
      <c r="NAR141" s="422"/>
      <c r="NAS141" s="422"/>
      <c r="NAT141" s="422"/>
      <c r="NAU141" s="422"/>
      <c r="NAV141" s="422"/>
      <c r="NAW141" s="422"/>
      <c r="NAX141" s="422"/>
      <c r="NAY141" s="422"/>
      <c r="NAZ141" s="422"/>
      <c r="NBA141" s="422"/>
      <c r="NBB141" s="422"/>
      <c r="NBC141" s="422"/>
      <c r="NBD141" s="422"/>
      <c r="NBE141" s="422"/>
      <c r="NBF141" s="422"/>
      <c r="NBG141" s="422"/>
      <c r="NBH141" s="422"/>
      <c r="NBI141" s="422"/>
      <c r="NBJ141" s="422"/>
      <c r="NBK141" s="422"/>
      <c r="NBL141" s="422"/>
      <c r="NBM141" s="422"/>
      <c r="NBN141" s="422"/>
      <c r="NBO141" s="422"/>
      <c r="NBP141" s="422"/>
      <c r="NBQ141" s="422"/>
      <c r="NBR141" s="422"/>
      <c r="NBS141" s="422"/>
      <c r="NBT141" s="422"/>
      <c r="NBU141" s="422"/>
      <c r="NBV141" s="422"/>
      <c r="NBW141" s="422"/>
      <c r="NBX141" s="422"/>
      <c r="NBY141" s="422"/>
      <c r="NBZ141" s="422"/>
      <c r="NCA141" s="422"/>
      <c r="NCB141" s="422"/>
      <c r="NCC141" s="422"/>
      <c r="NCD141" s="422"/>
      <c r="NCE141" s="422"/>
      <c r="NCF141" s="422"/>
      <c r="NCG141" s="422"/>
      <c r="NCH141" s="422"/>
      <c r="NCI141" s="422"/>
      <c r="NCJ141" s="422"/>
      <c r="NCK141" s="422"/>
      <c r="NCL141" s="422"/>
      <c r="NCM141" s="422"/>
      <c r="NCN141" s="422"/>
      <c r="NCO141" s="422"/>
      <c r="NCP141" s="422"/>
      <c r="NCQ141" s="422"/>
      <c r="NCR141" s="422"/>
      <c r="NCS141" s="422"/>
      <c r="NCT141" s="422"/>
      <c r="NCU141" s="422"/>
      <c r="NCV141" s="422"/>
      <c r="NCW141" s="422"/>
      <c r="NCX141" s="422"/>
      <c r="NCY141" s="422"/>
      <c r="NCZ141" s="422"/>
      <c r="NDA141" s="422"/>
      <c r="NDB141" s="422"/>
      <c r="NDC141" s="422"/>
      <c r="NDD141" s="422"/>
      <c r="NDE141" s="422"/>
      <c r="NDF141" s="422"/>
      <c r="NDG141" s="422"/>
      <c r="NDH141" s="422"/>
      <c r="NDI141" s="422"/>
      <c r="NDJ141" s="422"/>
      <c r="NDK141" s="422"/>
      <c r="NDL141" s="422"/>
      <c r="NDM141" s="422"/>
      <c r="NDN141" s="422"/>
      <c r="NDO141" s="422"/>
      <c r="NDP141" s="422"/>
      <c r="NDQ141" s="422"/>
      <c r="NDR141" s="422"/>
      <c r="NDS141" s="422"/>
      <c r="NDT141" s="422"/>
      <c r="NDU141" s="422"/>
      <c r="NDV141" s="422"/>
      <c r="NDW141" s="422"/>
      <c r="NDX141" s="422"/>
      <c r="NDY141" s="422"/>
      <c r="NDZ141" s="422"/>
      <c r="NEA141" s="422"/>
      <c r="NEB141" s="422"/>
      <c r="NEC141" s="422"/>
      <c r="NED141" s="422"/>
      <c r="NEE141" s="422"/>
      <c r="NEF141" s="422"/>
      <c r="NEG141" s="422"/>
      <c r="NEH141" s="422"/>
      <c r="NEI141" s="422"/>
      <c r="NEJ141" s="422"/>
      <c r="NEK141" s="422"/>
      <c r="NEL141" s="422"/>
      <c r="NEM141" s="422"/>
      <c r="NEN141" s="422"/>
      <c r="NEO141" s="422"/>
      <c r="NEP141" s="422"/>
      <c r="NEQ141" s="422"/>
      <c r="NER141" s="422"/>
      <c r="NES141" s="422"/>
      <c r="NET141" s="422"/>
      <c r="NEU141" s="422"/>
      <c r="NEV141" s="422"/>
      <c r="NEW141" s="422"/>
      <c r="NEX141" s="422"/>
      <c r="NEY141" s="422"/>
      <c r="NEZ141" s="422"/>
      <c r="NFA141" s="422"/>
      <c r="NFB141" s="422"/>
      <c r="NFC141" s="422"/>
      <c r="NFD141" s="422"/>
      <c r="NFE141" s="422"/>
      <c r="NFF141" s="422"/>
      <c r="NFG141" s="422"/>
      <c r="NFH141" s="422"/>
      <c r="NFI141" s="422"/>
      <c r="NFJ141" s="422"/>
      <c r="NFK141" s="422"/>
      <c r="NFL141" s="422"/>
      <c r="NFM141" s="422"/>
      <c r="NFN141" s="422"/>
      <c r="NFO141" s="422"/>
      <c r="NFP141" s="422"/>
      <c r="NFQ141" s="422"/>
      <c r="NFR141" s="422"/>
      <c r="NFS141" s="422"/>
      <c r="NFT141" s="422"/>
      <c r="NFU141" s="422"/>
      <c r="NFV141" s="422"/>
      <c r="NFW141" s="422"/>
      <c r="NFX141" s="422"/>
      <c r="NFY141" s="422"/>
      <c r="NFZ141" s="422"/>
      <c r="NGA141" s="422"/>
      <c r="NGB141" s="422"/>
      <c r="NGC141" s="422"/>
      <c r="NGD141" s="422"/>
      <c r="NGE141" s="422"/>
      <c r="NGF141" s="422"/>
      <c r="NGG141" s="422"/>
      <c r="NGH141" s="422"/>
      <c r="NGI141" s="422"/>
      <c r="NGJ141" s="422"/>
      <c r="NGK141" s="422"/>
      <c r="NGL141" s="422"/>
      <c r="NGM141" s="422"/>
      <c r="NGN141" s="422"/>
      <c r="NGO141" s="422"/>
      <c r="NGP141" s="422"/>
      <c r="NGQ141" s="422"/>
      <c r="NGR141" s="422"/>
      <c r="NGS141" s="422"/>
      <c r="NGT141" s="422"/>
      <c r="NGU141" s="422"/>
      <c r="NGV141" s="422"/>
      <c r="NGW141" s="422"/>
      <c r="NGX141" s="422"/>
      <c r="NGY141" s="422"/>
      <c r="NGZ141" s="422"/>
      <c r="NHA141" s="422"/>
      <c r="NHB141" s="422"/>
      <c r="NHC141" s="422"/>
      <c r="NHD141" s="422"/>
      <c r="NHE141" s="422"/>
      <c r="NHF141" s="422"/>
      <c r="NHG141" s="422"/>
      <c r="NHH141" s="422"/>
      <c r="NHI141" s="422"/>
      <c r="NHJ141" s="422"/>
      <c r="NHK141" s="422"/>
      <c r="NHL141" s="422"/>
      <c r="NHM141" s="422"/>
      <c r="NHN141" s="422"/>
      <c r="NHO141" s="422"/>
      <c r="NHP141" s="422"/>
      <c r="NHQ141" s="422"/>
      <c r="NHR141" s="422"/>
      <c r="NHS141" s="422"/>
      <c r="NHT141" s="422"/>
      <c r="NHU141" s="422"/>
      <c r="NHV141" s="422"/>
      <c r="NHW141" s="422"/>
      <c r="NHX141" s="422"/>
      <c r="NHY141" s="422"/>
      <c r="NHZ141" s="422"/>
      <c r="NIA141" s="422"/>
      <c r="NIB141" s="422"/>
      <c r="NIC141" s="422"/>
      <c r="NID141" s="422"/>
      <c r="NIE141" s="422"/>
      <c r="NIF141" s="422"/>
      <c r="NIG141" s="422"/>
      <c r="NIH141" s="422"/>
      <c r="NII141" s="422"/>
      <c r="NIJ141" s="422"/>
      <c r="NIK141" s="422"/>
      <c r="NIL141" s="422"/>
      <c r="NIM141" s="422"/>
      <c r="NIN141" s="422"/>
      <c r="NIO141" s="422"/>
      <c r="NIP141" s="422"/>
      <c r="NIQ141" s="422"/>
      <c r="NIR141" s="422"/>
      <c r="NIS141" s="422"/>
      <c r="NIT141" s="422"/>
      <c r="NIU141" s="422"/>
      <c r="NIV141" s="422"/>
      <c r="NIW141" s="422"/>
      <c r="NIX141" s="422"/>
      <c r="NIY141" s="422"/>
      <c r="NIZ141" s="422"/>
      <c r="NJA141" s="422"/>
      <c r="NJB141" s="422"/>
      <c r="NJC141" s="422"/>
      <c r="NJD141" s="422"/>
      <c r="NJE141" s="422"/>
      <c r="NJF141" s="422"/>
      <c r="NJG141" s="422"/>
      <c r="NJH141" s="422"/>
      <c r="NJI141" s="422"/>
      <c r="NJJ141" s="422"/>
      <c r="NJK141" s="422"/>
      <c r="NJL141" s="422"/>
      <c r="NJM141" s="422"/>
      <c r="NJN141" s="422"/>
      <c r="NJO141" s="422"/>
      <c r="NJP141" s="422"/>
      <c r="NJQ141" s="422"/>
      <c r="NJR141" s="422"/>
      <c r="NJS141" s="422"/>
      <c r="NJT141" s="422"/>
      <c r="NJU141" s="422"/>
      <c r="NJV141" s="422"/>
      <c r="NJW141" s="422"/>
      <c r="NJX141" s="422"/>
      <c r="NJY141" s="422"/>
      <c r="NJZ141" s="422"/>
      <c r="NKA141" s="422"/>
      <c r="NKB141" s="422"/>
      <c r="NKC141" s="422"/>
      <c r="NKD141" s="422"/>
      <c r="NKE141" s="422"/>
      <c r="NKF141" s="422"/>
      <c r="NKG141" s="422"/>
      <c r="NKH141" s="422"/>
      <c r="NKI141" s="422"/>
      <c r="NKJ141" s="422"/>
      <c r="NKK141" s="422"/>
      <c r="NKL141" s="422"/>
      <c r="NKM141" s="422"/>
      <c r="NKN141" s="422"/>
      <c r="NKO141" s="422"/>
      <c r="NKP141" s="422"/>
      <c r="NKQ141" s="422"/>
      <c r="NKR141" s="422"/>
      <c r="NKS141" s="422"/>
      <c r="NKT141" s="422"/>
      <c r="NKU141" s="422"/>
      <c r="NKV141" s="422"/>
      <c r="NKW141" s="422"/>
      <c r="NKX141" s="422"/>
      <c r="NKY141" s="422"/>
      <c r="NKZ141" s="422"/>
      <c r="NLA141" s="422"/>
      <c r="NLB141" s="422"/>
      <c r="NLC141" s="422"/>
      <c r="NLD141" s="422"/>
      <c r="NLE141" s="422"/>
      <c r="NLF141" s="422"/>
      <c r="NLG141" s="422"/>
      <c r="NLH141" s="422"/>
      <c r="NLI141" s="422"/>
      <c r="NLJ141" s="422"/>
      <c r="NLK141" s="422"/>
      <c r="NLL141" s="422"/>
      <c r="NLM141" s="422"/>
      <c r="NLN141" s="422"/>
      <c r="NLO141" s="422"/>
      <c r="NLP141" s="422"/>
      <c r="NLQ141" s="422"/>
      <c r="NLR141" s="422"/>
      <c r="NLS141" s="422"/>
      <c r="NLT141" s="422"/>
      <c r="NLU141" s="422"/>
      <c r="NLV141" s="422"/>
      <c r="NLW141" s="422"/>
      <c r="NLX141" s="422"/>
      <c r="NLY141" s="422"/>
      <c r="NLZ141" s="422"/>
      <c r="NMA141" s="422"/>
      <c r="NMB141" s="422"/>
      <c r="NMC141" s="422"/>
      <c r="NMD141" s="422"/>
      <c r="NME141" s="422"/>
      <c r="NMF141" s="422"/>
      <c r="NMG141" s="422"/>
      <c r="NMH141" s="422"/>
      <c r="NMI141" s="422"/>
      <c r="NMJ141" s="422"/>
      <c r="NMK141" s="422"/>
      <c r="NML141" s="422"/>
      <c r="NMM141" s="422"/>
      <c r="NMN141" s="422"/>
      <c r="NMO141" s="422"/>
      <c r="NMP141" s="422"/>
      <c r="NMQ141" s="422"/>
      <c r="NMR141" s="422"/>
      <c r="NMS141" s="422"/>
      <c r="NMT141" s="422"/>
      <c r="NMU141" s="422"/>
      <c r="NMV141" s="422"/>
      <c r="NMW141" s="422"/>
      <c r="NMX141" s="422"/>
      <c r="NMY141" s="422"/>
      <c r="NMZ141" s="422"/>
      <c r="NNA141" s="422"/>
      <c r="NNB141" s="422"/>
      <c r="NNC141" s="422"/>
      <c r="NND141" s="422"/>
      <c r="NNE141" s="422"/>
      <c r="NNF141" s="422"/>
      <c r="NNG141" s="422"/>
      <c r="NNH141" s="422"/>
      <c r="NNI141" s="422"/>
      <c r="NNJ141" s="422"/>
      <c r="NNK141" s="422"/>
      <c r="NNL141" s="422"/>
      <c r="NNM141" s="422"/>
      <c r="NNN141" s="422"/>
      <c r="NNO141" s="422"/>
      <c r="NNP141" s="422"/>
      <c r="NNQ141" s="422"/>
      <c r="NNR141" s="422"/>
      <c r="NNS141" s="422"/>
      <c r="NNT141" s="422"/>
      <c r="NNU141" s="422"/>
      <c r="NNV141" s="422"/>
      <c r="NNW141" s="422"/>
      <c r="NNX141" s="422"/>
      <c r="NNY141" s="422"/>
      <c r="NNZ141" s="422"/>
      <c r="NOA141" s="422"/>
      <c r="NOB141" s="422"/>
      <c r="NOC141" s="422"/>
      <c r="NOD141" s="422"/>
      <c r="NOE141" s="422"/>
      <c r="NOF141" s="422"/>
      <c r="NOG141" s="422"/>
      <c r="NOH141" s="422"/>
      <c r="NOI141" s="422"/>
      <c r="NOJ141" s="422"/>
      <c r="NOK141" s="422"/>
      <c r="NOL141" s="422"/>
      <c r="NOM141" s="422"/>
      <c r="NON141" s="422"/>
      <c r="NOO141" s="422"/>
      <c r="NOP141" s="422"/>
      <c r="NOQ141" s="422"/>
      <c r="NOR141" s="422"/>
      <c r="NOS141" s="422"/>
      <c r="NOT141" s="422"/>
      <c r="NOU141" s="422"/>
      <c r="NOV141" s="422"/>
      <c r="NOW141" s="422"/>
      <c r="NOX141" s="422"/>
      <c r="NOY141" s="422"/>
      <c r="NOZ141" s="422"/>
      <c r="NPA141" s="422"/>
      <c r="NPB141" s="422"/>
      <c r="NPC141" s="422"/>
      <c r="NPD141" s="422"/>
      <c r="NPE141" s="422"/>
      <c r="NPF141" s="422"/>
      <c r="NPG141" s="422"/>
      <c r="NPH141" s="422"/>
      <c r="NPI141" s="422"/>
      <c r="NPJ141" s="422"/>
      <c r="NPK141" s="422"/>
      <c r="NPL141" s="422"/>
      <c r="NPM141" s="422"/>
      <c r="NPN141" s="422"/>
      <c r="NPO141" s="422"/>
      <c r="NPP141" s="422"/>
      <c r="NPQ141" s="422"/>
      <c r="NPR141" s="422"/>
      <c r="NPS141" s="422"/>
      <c r="NPT141" s="422"/>
      <c r="NPU141" s="422"/>
      <c r="NPV141" s="422"/>
      <c r="NPW141" s="422"/>
      <c r="NPX141" s="422"/>
      <c r="NPY141" s="422"/>
      <c r="NPZ141" s="422"/>
      <c r="NQA141" s="422"/>
      <c r="NQB141" s="422"/>
      <c r="NQC141" s="422"/>
      <c r="NQD141" s="422"/>
      <c r="NQE141" s="422"/>
      <c r="NQF141" s="422"/>
      <c r="NQG141" s="422"/>
      <c r="NQH141" s="422"/>
      <c r="NQI141" s="422"/>
      <c r="NQJ141" s="422"/>
      <c r="NQK141" s="422"/>
      <c r="NQL141" s="422"/>
      <c r="NQM141" s="422"/>
      <c r="NQN141" s="422"/>
      <c r="NQO141" s="422"/>
      <c r="NQP141" s="422"/>
      <c r="NQQ141" s="422"/>
      <c r="NQR141" s="422"/>
      <c r="NQS141" s="422"/>
      <c r="NQT141" s="422"/>
      <c r="NQU141" s="422"/>
      <c r="NQV141" s="422"/>
      <c r="NQW141" s="422"/>
      <c r="NQX141" s="422"/>
      <c r="NQY141" s="422"/>
      <c r="NQZ141" s="422"/>
      <c r="NRA141" s="422"/>
      <c r="NRB141" s="422"/>
      <c r="NRC141" s="422"/>
      <c r="NRD141" s="422"/>
      <c r="NRE141" s="422"/>
      <c r="NRF141" s="422"/>
      <c r="NRG141" s="422"/>
      <c r="NRH141" s="422"/>
      <c r="NRI141" s="422"/>
      <c r="NRJ141" s="422"/>
      <c r="NRK141" s="422"/>
      <c r="NRL141" s="422"/>
      <c r="NRM141" s="422"/>
      <c r="NRN141" s="422"/>
      <c r="NRO141" s="422"/>
      <c r="NRP141" s="422"/>
      <c r="NRQ141" s="422"/>
      <c r="NRR141" s="422"/>
      <c r="NRS141" s="422"/>
      <c r="NRT141" s="422"/>
      <c r="NRU141" s="422"/>
      <c r="NRV141" s="422"/>
      <c r="NRW141" s="422"/>
      <c r="NRX141" s="422"/>
      <c r="NRY141" s="422"/>
      <c r="NRZ141" s="422"/>
      <c r="NSA141" s="422"/>
      <c r="NSB141" s="422"/>
      <c r="NSC141" s="422"/>
      <c r="NSD141" s="422"/>
      <c r="NSE141" s="422"/>
      <c r="NSF141" s="422"/>
      <c r="NSG141" s="422"/>
      <c r="NSH141" s="422"/>
      <c r="NSI141" s="422"/>
      <c r="NSJ141" s="422"/>
      <c r="NSK141" s="422"/>
      <c r="NSL141" s="422"/>
      <c r="NSM141" s="422"/>
      <c r="NSN141" s="422"/>
      <c r="NSO141" s="422"/>
      <c r="NSP141" s="422"/>
      <c r="NSQ141" s="422"/>
      <c r="NSR141" s="422"/>
      <c r="NSS141" s="422"/>
      <c r="NST141" s="422"/>
      <c r="NSU141" s="422"/>
      <c r="NSV141" s="422"/>
      <c r="NSW141" s="422"/>
      <c r="NSX141" s="422"/>
      <c r="NSY141" s="422"/>
      <c r="NSZ141" s="422"/>
      <c r="NTA141" s="422"/>
      <c r="NTB141" s="422"/>
      <c r="NTC141" s="422"/>
      <c r="NTD141" s="422"/>
      <c r="NTE141" s="422"/>
      <c r="NTF141" s="422"/>
      <c r="NTG141" s="422"/>
      <c r="NTH141" s="422"/>
      <c r="NTI141" s="422"/>
      <c r="NTJ141" s="422"/>
      <c r="NTK141" s="422"/>
      <c r="NTL141" s="422"/>
      <c r="NTM141" s="422"/>
      <c r="NTN141" s="422"/>
      <c r="NTO141" s="422"/>
      <c r="NTP141" s="422"/>
      <c r="NTQ141" s="422"/>
      <c r="NTR141" s="422"/>
      <c r="NTS141" s="422"/>
      <c r="NTT141" s="422"/>
      <c r="NTU141" s="422"/>
      <c r="NTV141" s="422"/>
      <c r="NTW141" s="422"/>
      <c r="NTX141" s="422"/>
      <c r="NTY141" s="422"/>
      <c r="NTZ141" s="422"/>
      <c r="NUA141" s="422"/>
      <c r="NUB141" s="422"/>
      <c r="NUC141" s="422"/>
      <c r="NUD141" s="422"/>
      <c r="NUE141" s="422"/>
      <c r="NUF141" s="422"/>
      <c r="NUG141" s="422"/>
      <c r="NUH141" s="422"/>
      <c r="NUI141" s="422"/>
      <c r="NUJ141" s="422"/>
      <c r="NUK141" s="422"/>
      <c r="NUL141" s="422"/>
      <c r="NUM141" s="422"/>
      <c r="NUN141" s="422"/>
      <c r="NUO141" s="422"/>
      <c r="NUP141" s="422"/>
      <c r="NUQ141" s="422"/>
      <c r="NUR141" s="422"/>
      <c r="NUS141" s="422"/>
      <c r="NUT141" s="422"/>
      <c r="NUU141" s="422"/>
      <c r="NUV141" s="422"/>
      <c r="NUW141" s="422"/>
      <c r="NUX141" s="422"/>
      <c r="NUY141" s="422"/>
      <c r="NUZ141" s="422"/>
      <c r="NVA141" s="422"/>
      <c r="NVB141" s="422"/>
      <c r="NVC141" s="422"/>
      <c r="NVD141" s="422"/>
      <c r="NVE141" s="422"/>
      <c r="NVF141" s="422"/>
      <c r="NVG141" s="422"/>
      <c r="NVH141" s="422"/>
      <c r="NVI141" s="422"/>
      <c r="NVJ141" s="422"/>
      <c r="NVK141" s="422"/>
      <c r="NVL141" s="422"/>
      <c r="NVM141" s="422"/>
      <c r="NVN141" s="422"/>
      <c r="NVO141" s="422"/>
      <c r="NVP141" s="422"/>
      <c r="NVQ141" s="422"/>
      <c r="NVR141" s="422"/>
      <c r="NVS141" s="422"/>
      <c r="NVT141" s="422"/>
      <c r="NVU141" s="422"/>
      <c r="NVV141" s="422"/>
      <c r="NVW141" s="422"/>
      <c r="NVX141" s="422"/>
      <c r="NVY141" s="422"/>
      <c r="NVZ141" s="422"/>
      <c r="NWA141" s="422"/>
      <c r="NWB141" s="422"/>
      <c r="NWC141" s="422"/>
      <c r="NWD141" s="422"/>
      <c r="NWE141" s="422"/>
      <c r="NWF141" s="422"/>
      <c r="NWG141" s="422"/>
      <c r="NWH141" s="422"/>
      <c r="NWI141" s="422"/>
      <c r="NWJ141" s="422"/>
      <c r="NWK141" s="422"/>
      <c r="NWL141" s="422"/>
      <c r="NWM141" s="422"/>
      <c r="NWN141" s="422"/>
      <c r="NWO141" s="422"/>
      <c r="NWP141" s="422"/>
      <c r="NWQ141" s="422"/>
      <c r="NWR141" s="422"/>
      <c r="NWS141" s="422"/>
      <c r="NWT141" s="422"/>
      <c r="NWU141" s="422"/>
      <c r="NWV141" s="422"/>
      <c r="NWW141" s="422"/>
      <c r="NWX141" s="422"/>
      <c r="NWY141" s="422"/>
      <c r="NWZ141" s="422"/>
      <c r="NXA141" s="422"/>
      <c r="NXB141" s="422"/>
      <c r="NXC141" s="422"/>
      <c r="NXD141" s="422"/>
      <c r="NXE141" s="422"/>
      <c r="NXF141" s="422"/>
      <c r="NXG141" s="422"/>
      <c r="NXH141" s="422"/>
      <c r="NXI141" s="422"/>
      <c r="NXJ141" s="422"/>
      <c r="NXK141" s="422"/>
      <c r="NXL141" s="422"/>
      <c r="NXM141" s="422"/>
      <c r="NXN141" s="422"/>
      <c r="NXO141" s="422"/>
      <c r="NXP141" s="422"/>
      <c r="NXQ141" s="422"/>
      <c r="NXR141" s="422"/>
      <c r="NXS141" s="422"/>
      <c r="NXT141" s="422"/>
      <c r="NXU141" s="422"/>
      <c r="NXV141" s="422"/>
      <c r="NXW141" s="422"/>
      <c r="NXX141" s="422"/>
      <c r="NXY141" s="422"/>
      <c r="NXZ141" s="422"/>
      <c r="NYA141" s="422"/>
      <c r="NYB141" s="422"/>
      <c r="NYC141" s="422"/>
      <c r="NYD141" s="422"/>
      <c r="NYE141" s="422"/>
      <c r="NYF141" s="422"/>
      <c r="NYG141" s="422"/>
      <c r="NYH141" s="422"/>
      <c r="NYI141" s="422"/>
      <c r="NYJ141" s="422"/>
      <c r="NYK141" s="422"/>
      <c r="NYL141" s="422"/>
      <c r="NYM141" s="422"/>
      <c r="NYN141" s="422"/>
      <c r="NYO141" s="422"/>
      <c r="NYP141" s="422"/>
      <c r="NYQ141" s="422"/>
      <c r="NYR141" s="422"/>
      <c r="NYS141" s="422"/>
      <c r="NYT141" s="422"/>
      <c r="NYU141" s="422"/>
      <c r="NYV141" s="422"/>
      <c r="NYW141" s="422"/>
      <c r="NYX141" s="422"/>
      <c r="NYY141" s="422"/>
      <c r="NYZ141" s="422"/>
      <c r="NZA141" s="422"/>
      <c r="NZB141" s="422"/>
      <c r="NZC141" s="422"/>
      <c r="NZD141" s="422"/>
      <c r="NZE141" s="422"/>
      <c r="NZF141" s="422"/>
      <c r="NZG141" s="422"/>
      <c r="NZH141" s="422"/>
      <c r="NZI141" s="422"/>
      <c r="NZJ141" s="422"/>
      <c r="NZK141" s="422"/>
      <c r="NZL141" s="422"/>
      <c r="NZM141" s="422"/>
      <c r="NZN141" s="422"/>
      <c r="NZO141" s="422"/>
      <c r="NZP141" s="422"/>
      <c r="NZQ141" s="422"/>
      <c r="NZR141" s="422"/>
      <c r="NZS141" s="422"/>
      <c r="NZT141" s="422"/>
      <c r="NZU141" s="422"/>
      <c r="NZV141" s="422"/>
      <c r="NZW141" s="422"/>
      <c r="NZX141" s="422"/>
      <c r="NZY141" s="422"/>
      <c r="NZZ141" s="422"/>
      <c r="OAA141" s="422"/>
      <c r="OAB141" s="422"/>
      <c r="OAC141" s="422"/>
      <c r="OAD141" s="422"/>
      <c r="OAE141" s="422"/>
      <c r="OAF141" s="422"/>
      <c r="OAG141" s="422"/>
      <c r="OAH141" s="422"/>
      <c r="OAI141" s="422"/>
      <c r="OAJ141" s="422"/>
      <c r="OAK141" s="422"/>
      <c r="OAL141" s="422"/>
      <c r="OAM141" s="422"/>
      <c r="OAN141" s="422"/>
      <c r="OAO141" s="422"/>
      <c r="OAP141" s="422"/>
      <c r="OAQ141" s="422"/>
      <c r="OAR141" s="422"/>
      <c r="OAS141" s="422"/>
      <c r="OAT141" s="422"/>
      <c r="OAU141" s="422"/>
      <c r="OAV141" s="422"/>
      <c r="OAW141" s="422"/>
      <c r="OAX141" s="422"/>
      <c r="OAY141" s="422"/>
      <c r="OAZ141" s="422"/>
      <c r="OBA141" s="422"/>
      <c r="OBB141" s="422"/>
      <c r="OBC141" s="422"/>
      <c r="OBD141" s="422"/>
      <c r="OBE141" s="422"/>
      <c r="OBF141" s="422"/>
      <c r="OBG141" s="422"/>
      <c r="OBH141" s="422"/>
      <c r="OBI141" s="422"/>
      <c r="OBJ141" s="422"/>
      <c r="OBK141" s="422"/>
      <c r="OBL141" s="422"/>
      <c r="OBM141" s="422"/>
      <c r="OBN141" s="422"/>
      <c r="OBO141" s="422"/>
      <c r="OBP141" s="422"/>
      <c r="OBQ141" s="422"/>
      <c r="OBR141" s="422"/>
      <c r="OBS141" s="422"/>
      <c r="OBT141" s="422"/>
      <c r="OBU141" s="422"/>
      <c r="OBV141" s="422"/>
      <c r="OBW141" s="422"/>
      <c r="OBX141" s="422"/>
      <c r="OBY141" s="422"/>
      <c r="OBZ141" s="422"/>
      <c r="OCA141" s="422"/>
      <c r="OCB141" s="422"/>
      <c r="OCC141" s="422"/>
      <c r="OCD141" s="422"/>
      <c r="OCE141" s="422"/>
      <c r="OCF141" s="422"/>
      <c r="OCG141" s="422"/>
      <c r="OCH141" s="422"/>
      <c r="OCI141" s="422"/>
      <c r="OCJ141" s="422"/>
      <c r="OCK141" s="422"/>
      <c r="OCL141" s="422"/>
      <c r="OCM141" s="422"/>
      <c r="OCN141" s="422"/>
      <c r="OCO141" s="422"/>
      <c r="OCP141" s="422"/>
      <c r="OCQ141" s="422"/>
      <c r="OCR141" s="422"/>
      <c r="OCS141" s="422"/>
      <c r="OCT141" s="422"/>
      <c r="OCU141" s="422"/>
      <c r="OCV141" s="422"/>
      <c r="OCW141" s="422"/>
      <c r="OCX141" s="422"/>
      <c r="OCY141" s="422"/>
      <c r="OCZ141" s="422"/>
      <c r="ODA141" s="422"/>
      <c r="ODB141" s="422"/>
      <c r="ODC141" s="422"/>
      <c r="ODD141" s="422"/>
      <c r="ODE141" s="422"/>
      <c r="ODF141" s="422"/>
      <c r="ODG141" s="422"/>
      <c r="ODH141" s="422"/>
      <c r="ODI141" s="422"/>
      <c r="ODJ141" s="422"/>
      <c r="ODK141" s="422"/>
      <c r="ODL141" s="422"/>
      <c r="ODM141" s="422"/>
      <c r="ODN141" s="422"/>
      <c r="ODO141" s="422"/>
      <c r="ODP141" s="422"/>
      <c r="ODQ141" s="422"/>
      <c r="ODR141" s="422"/>
      <c r="ODS141" s="422"/>
      <c r="ODT141" s="422"/>
      <c r="ODU141" s="422"/>
      <c r="ODV141" s="422"/>
      <c r="ODW141" s="422"/>
      <c r="ODX141" s="422"/>
      <c r="ODY141" s="422"/>
      <c r="ODZ141" s="422"/>
      <c r="OEA141" s="422"/>
      <c r="OEB141" s="422"/>
      <c r="OEC141" s="422"/>
      <c r="OED141" s="422"/>
      <c r="OEE141" s="422"/>
      <c r="OEF141" s="422"/>
      <c r="OEG141" s="422"/>
      <c r="OEH141" s="422"/>
      <c r="OEI141" s="422"/>
      <c r="OEJ141" s="422"/>
      <c r="OEK141" s="422"/>
      <c r="OEL141" s="422"/>
      <c r="OEM141" s="422"/>
      <c r="OEN141" s="422"/>
      <c r="OEO141" s="422"/>
      <c r="OEP141" s="422"/>
      <c r="OEQ141" s="422"/>
      <c r="OER141" s="422"/>
      <c r="OES141" s="422"/>
      <c r="OET141" s="422"/>
      <c r="OEU141" s="422"/>
      <c r="OEV141" s="422"/>
      <c r="OEW141" s="422"/>
      <c r="OEX141" s="422"/>
      <c r="OEY141" s="422"/>
      <c r="OEZ141" s="422"/>
      <c r="OFA141" s="422"/>
      <c r="OFB141" s="422"/>
      <c r="OFC141" s="422"/>
      <c r="OFD141" s="422"/>
      <c r="OFE141" s="422"/>
      <c r="OFF141" s="422"/>
      <c r="OFG141" s="422"/>
      <c r="OFH141" s="422"/>
      <c r="OFI141" s="422"/>
      <c r="OFJ141" s="422"/>
      <c r="OFK141" s="422"/>
      <c r="OFL141" s="422"/>
      <c r="OFM141" s="422"/>
      <c r="OFN141" s="422"/>
      <c r="OFO141" s="422"/>
      <c r="OFP141" s="422"/>
      <c r="OFQ141" s="422"/>
      <c r="OFR141" s="422"/>
      <c r="OFS141" s="422"/>
      <c r="OFT141" s="422"/>
      <c r="OFU141" s="422"/>
      <c r="OFV141" s="422"/>
      <c r="OFW141" s="422"/>
      <c r="OFX141" s="422"/>
      <c r="OFY141" s="422"/>
      <c r="OFZ141" s="422"/>
      <c r="OGA141" s="422"/>
      <c r="OGB141" s="422"/>
      <c r="OGC141" s="422"/>
      <c r="OGD141" s="422"/>
      <c r="OGE141" s="422"/>
      <c r="OGF141" s="422"/>
      <c r="OGG141" s="422"/>
      <c r="OGH141" s="422"/>
      <c r="OGI141" s="422"/>
      <c r="OGJ141" s="422"/>
      <c r="OGK141" s="422"/>
      <c r="OGL141" s="422"/>
      <c r="OGM141" s="422"/>
      <c r="OGN141" s="422"/>
      <c r="OGO141" s="422"/>
      <c r="OGP141" s="422"/>
      <c r="OGQ141" s="422"/>
      <c r="OGR141" s="422"/>
      <c r="OGS141" s="422"/>
      <c r="OGT141" s="422"/>
      <c r="OGU141" s="422"/>
      <c r="OGV141" s="422"/>
      <c r="OGW141" s="422"/>
      <c r="OGX141" s="422"/>
      <c r="OGY141" s="422"/>
      <c r="OGZ141" s="422"/>
      <c r="OHA141" s="422"/>
      <c r="OHB141" s="422"/>
      <c r="OHC141" s="422"/>
      <c r="OHD141" s="422"/>
      <c r="OHE141" s="422"/>
      <c r="OHF141" s="422"/>
      <c r="OHG141" s="422"/>
      <c r="OHH141" s="422"/>
      <c r="OHI141" s="422"/>
      <c r="OHJ141" s="422"/>
      <c r="OHK141" s="422"/>
      <c r="OHL141" s="422"/>
      <c r="OHM141" s="422"/>
      <c r="OHN141" s="422"/>
      <c r="OHO141" s="422"/>
      <c r="OHP141" s="422"/>
      <c r="OHQ141" s="422"/>
      <c r="OHR141" s="422"/>
      <c r="OHS141" s="422"/>
      <c r="OHT141" s="422"/>
      <c r="OHU141" s="422"/>
      <c r="OHV141" s="422"/>
      <c r="OHW141" s="422"/>
      <c r="OHX141" s="422"/>
      <c r="OHY141" s="422"/>
      <c r="OHZ141" s="422"/>
      <c r="OIA141" s="422"/>
      <c r="OIB141" s="422"/>
      <c r="OIC141" s="422"/>
      <c r="OID141" s="422"/>
      <c r="OIE141" s="422"/>
      <c r="OIF141" s="422"/>
      <c r="OIG141" s="422"/>
      <c r="OIH141" s="422"/>
      <c r="OII141" s="422"/>
      <c r="OIJ141" s="422"/>
      <c r="OIK141" s="422"/>
      <c r="OIL141" s="422"/>
      <c r="OIM141" s="422"/>
      <c r="OIN141" s="422"/>
      <c r="OIO141" s="422"/>
      <c r="OIP141" s="422"/>
      <c r="OIQ141" s="422"/>
      <c r="OIR141" s="422"/>
      <c r="OIS141" s="422"/>
      <c r="OIT141" s="422"/>
      <c r="OIU141" s="422"/>
      <c r="OIV141" s="422"/>
      <c r="OIW141" s="422"/>
      <c r="OIX141" s="422"/>
      <c r="OIY141" s="422"/>
      <c r="OIZ141" s="422"/>
      <c r="OJA141" s="422"/>
      <c r="OJB141" s="422"/>
      <c r="OJC141" s="422"/>
      <c r="OJD141" s="422"/>
      <c r="OJE141" s="422"/>
      <c r="OJF141" s="422"/>
      <c r="OJG141" s="422"/>
      <c r="OJH141" s="422"/>
      <c r="OJI141" s="422"/>
      <c r="OJJ141" s="422"/>
      <c r="OJK141" s="422"/>
      <c r="OJL141" s="422"/>
      <c r="OJM141" s="422"/>
      <c r="OJN141" s="422"/>
      <c r="OJO141" s="422"/>
      <c r="OJP141" s="422"/>
      <c r="OJQ141" s="422"/>
      <c r="OJR141" s="422"/>
      <c r="OJS141" s="422"/>
      <c r="OJT141" s="422"/>
      <c r="OJU141" s="422"/>
      <c r="OJV141" s="422"/>
      <c r="OJW141" s="422"/>
      <c r="OJX141" s="422"/>
      <c r="OJY141" s="422"/>
      <c r="OJZ141" s="422"/>
      <c r="OKA141" s="422"/>
      <c r="OKB141" s="422"/>
      <c r="OKC141" s="422"/>
      <c r="OKD141" s="422"/>
      <c r="OKE141" s="422"/>
      <c r="OKF141" s="422"/>
      <c r="OKG141" s="422"/>
      <c r="OKH141" s="422"/>
      <c r="OKI141" s="422"/>
      <c r="OKJ141" s="422"/>
      <c r="OKK141" s="422"/>
      <c r="OKL141" s="422"/>
      <c r="OKM141" s="422"/>
      <c r="OKN141" s="422"/>
      <c r="OKO141" s="422"/>
      <c r="OKP141" s="422"/>
      <c r="OKQ141" s="422"/>
      <c r="OKR141" s="422"/>
      <c r="OKS141" s="422"/>
      <c r="OKT141" s="422"/>
      <c r="OKU141" s="422"/>
      <c r="OKV141" s="422"/>
      <c r="OKW141" s="422"/>
      <c r="OKX141" s="422"/>
      <c r="OKY141" s="422"/>
      <c r="OKZ141" s="422"/>
      <c r="OLA141" s="422"/>
      <c r="OLB141" s="422"/>
      <c r="OLC141" s="422"/>
      <c r="OLD141" s="422"/>
      <c r="OLE141" s="422"/>
      <c r="OLF141" s="422"/>
      <c r="OLG141" s="422"/>
      <c r="OLH141" s="422"/>
      <c r="OLI141" s="422"/>
      <c r="OLJ141" s="422"/>
      <c r="OLK141" s="422"/>
      <c r="OLL141" s="422"/>
      <c r="OLM141" s="422"/>
      <c r="OLN141" s="422"/>
      <c r="OLO141" s="422"/>
      <c r="OLP141" s="422"/>
      <c r="OLQ141" s="422"/>
      <c r="OLR141" s="422"/>
      <c r="OLS141" s="422"/>
      <c r="OLT141" s="422"/>
      <c r="OLU141" s="422"/>
      <c r="OLV141" s="422"/>
      <c r="OLW141" s="422"/>
      <c r="OLX141" s="422"/>
      <c r="OLY141" s="422"/>
      <c r="OLZ141" s="422"/>
      <c r="OMA141" s="422"/>
      <c r="OMB141" s="422"/>
      <c r="OMC141" s="422"/>
      <c r="OMD141" s="422"/>
      <c r="OME141" s="422"/>
      <c r="OMF141" s="422"/>
      <c r="OMG141" s="422"/>
      <c r="OMH141" s="422"/>
      <c r="OMI141" s="422"/>
      <c r="OMJ141" s="422"/>
      <c r="OMK141" s="422"/>
      <c r="OML141" s="422"/>
      <c r="OMM141" s="422"/>
      <c r="OMN141" s="422"/>
      <c r="OMO141" s="422"/>
      <c r="OMP141" s="422"/>
      <c r="OMQ141" s="422"/>
      <c r="OMR141" s="422"/>
      <c r="OMS141" s="422"/>
      <c r="OMT141" s="422"/>
      <c r="OMU141" s="422"/>
      <c r="OMV141" s="422"/>
      <c r="OMW141" s="422"/>
      <c r="OMX141" s="422"/>
      <c r="OMY141" s="422"/>
      <c r="OMZ141" s="422"/>
      <c r="ONA141" s="422"/>
      <c r="ONB141" s="422"/>
      <c r="ONC141" s="422"/>
      <c r="OND141" s="422"/>
      <c r="ONE141" s="422"/>
      <c r="ONF141" s="422"/>
      <c r="ONG141" s="422"/>
      <c r="ONH141" s="422"/>
      <c r="ONI141" s="422"/>
      <c r="ONJ141" s="422"/>
      <c r="ONK141" s="422"/>
      <c r="ONL141" s="422"/>
      <c r="ONM141" s="422"/>
      <c r="ONN141" s="422"/>
      <c r="ONO141" s="422"/>
      <c r="ONP141" s="422"/>
      <c r="ONQ141" s="422"/>
      <c r="ONR141" s="422"/>
      <c r="ONS141" s="422"/>
      <c r="ONT141" s="422"/>
      <c r="ONU141" s="422"/>
      <c r="ONV141" s="422"/>
      <c r="ONW141" s="422"/>
      <c r="ONX141" s="422"/>
      <c r="ONY141" s="422"/>
      <c r="ONZ141" s="422"/>
      <c r="OOA141" s="422"/>
      <c r="OOB141" s="422"/>
      <c r="OOC141" s="422"/>
      <c r="OOD141" s="422"/>
      <c r="OOE141" s="422"/>
      <c r="OOF141" s="422"/>
      <c r="OOG141" s="422"/>
      <c r="OOH141" s="422"/>
      <c r="OOI141" s="422"/>
      <c r="OOJ141" s="422"/>
      <c r="OOK141" s="422"/>
      <c r="OOL141" s="422"/>
      <c r="OOM141" s="422"/>
      <c r="OON141" s="422"/>
      <c r="OOO141" s="422"/>
      <c r="OOP141" s="422"/>
      <c r="OOQ141" s="422"/>
      <c r="OOR141" s="422"/>
      <c r="OOS141" s="422"/>
      <c r="OOT141" s="422"/>
      <c r="OOU141" s="422"/>
      <c r="OOV141" s="422"/>
      <c r="OOW141" s="422"/>
      <c r="OOX141" s="422"/>
      <c r="OOY141" s="422"/>
      <c r="OOZ141" s="422"/>
      <c r="OPA141" s="422"/>
      <c r="OPB141" s="422"/>
      <c r="OPC141" s="422"/>
      <c r="OPD141" s="422"/>
      <c r="OPE141" s="422"/>
      <c r="OPF141" s="422"/>
      <c r="OPG141" s="422"/>
      <c r="OPH141" s="422"/>
      <c r="OPI141" s="422"/>
      <c r="OPJ141" s="422"/>
      <c r="OPK141" s="422"/>
      <c r="OPL141" s="422"/>
      <c r="OPM141" s="422"/>
      <c r="OPN141" s="422"/>
      <c r="OPO141" s="422"/>
      <c r="OPP141" s="422"/>
      <c r="OPQ141" s="422"/>
      <c r="OPR141" s="422"/>
      <c r="OPS141" s="422"/>
      <c r="OPT141" s="422"/>
      <c r="OPU141" s="422"/>
      <c r="OPV141" s="422"/>
      <c r="OPW141" s="422"/>
      <c r="OPX141" s="422"/>
      <c r="OPY141" s="422"/>
      <c r="OPZ141" s="422"/>
      <c r="OQA141" s="422"/>
      <c r="OQB141" s="422"/>
      <c r="OQC141" s="422"/>
      <c r="OQD141" s="422"/>
      <c r="OQE141" s="422"/>
      <c r="OQF141" s="422"/>
      <c r="OQG141" s="422"/>
      <c r="OQH141" s="422"/>
      <c r="OQI141" s="422"/>
      <c r="OQJ141" s="422"/>
      <c r="OQK141" s="422"/>
      <c r="OQL141" s="422"/>
      <c r="OQM141" s="422"/>
      <c r="OQN141" s="422"/>
      <c r="OQO141" s="422"/>
      <c r="OQP141" s="422"/>
      <c r="OQQ141" s="422"/>
      <c r="OQR141" s="422"/>
      <c r="OQS141" s="422"/>
      <c r="OQT141" s="422"/>
      <c r="OQU141" s="422"/>
      <c r="OQV141" s="422"/>
      <c r="OQW141" s="422"/>
      <c r="OQX141" s="422"/>
      <c r="OQY141" s="422"/>
      <c r="OQZ141" s="422"/>
      <c r="ORA141" s="422"/>
      <c r="ORB141" s="422"/>
      <c r="ORC141" s="422"/>
      <c r="ORD141" s="422"/>
      <c r="ORE141" s="422"/>
      <c r="ORF141" s="422"/>
      <c r="ORG141" s="422"/>
      <c r="ORH141" s="422"/>
      <c r="ORI141" s="422"/>
      <c r="ORJ141" s="422"/>
      <c r="ORK141" s="422"/>
      <c r="ORL141" s="422"/>
      <c r="ORM141" s="422"/>
      <c r="ORN141" s="422"/>
      <c r="ORO141" s="422"/>
      <c r="ORP141" s="422"/>
      <c r="ORQ141" s="422"/>
      <c r="ORR141" s="422"/>
      <c r="ORS141" s="422"/>
      <c r="ORT141" s="422"/>
      <c r="ORU141" s="422"/>
      <c r="ORV141" s="422"/>
      <c r="ORW141" s="422"/>
      <c r="ORX141" s="422"/>
      <c r="ORY141" s="422"/>
      <c r="ORZ141" s="422"/>
      <c r="OSA141" s="422"/>
      <c r="OSB141" s="422"/>
      <c r="OSC141" s="422"/>
      <c r="OSD141" s="422"/>
      <c r="OSE141" s="422"/>
      <c r="OSF141" s="422"/>
      <c r="OSG141" s="422"/>
      <c r="OSH141" s="422"/>
      <c r="OSI141" s="422"/>
      <c r="OSJ141" s="422"/>
      <c r="OSK141" s="422"/>
      <c r="OSL141" s="422"/>
      <c r="OSM141" s="422"/>
      <c r="OSN141" s="422"/>
      <c r="OSO141" s="422"/>
      <c r="OSP141" s="422"/>
      <c r="OSQ141" s="422"/>
      <c r="OSR141" s="422"/>
      <c r="OSS141" s="422"/>
      <c r="OST141" s="422"/>
      <c r="OSU141" s="422"/>
      <c r="OSV141" s="422"/>
      <c r="OSW141" s="422"/>
      <c r="OSX141" s="422"/>
      <c r="OSY141" s="422"/>
      <c r="OSZ141" s="422"/>
      <c r="OTA141" s="422"/>
      <c r="OTB141" s="422"/>
      <c r="OTC141" s="422"/>
      <c r="OTD141" s="422"/>
      <c r="OTE141" s="422"/>
      <c r="OTF141" s="422"/>
      <c r="OTG141" s="422"/>
      <c r="OTH141" s="422"/>
      <c r="OTI141" s="422"/>
      <c r="OTJ141" s="422"/>
      <c r="OTK141" s="422"/>
      <c r="OTL141" s="422"/>
      <c r="OTM141" s="422"/>
      <c r="OTN141" s="422"/>
      <c r="OTO141" s="422"/>
      <c r="OTP141" s="422"/>
      <c r="OTQ141" s="422"/>
      <c r="OTR141" s="422"/>
      <c r="OTS141" s="422"/>
      <c r="OTT141" s="422"/>
      <c r="OTU141" s="422"/>
      <c r="OTV141" s="422"/>
      <c r="OTW141" s="422"/>
      <c r="OTX141" s="422"/>
      <c r="OTY141" s="422"/>
      <c r="OTZ141" s="422"/>
      <c r="OUA141" s="422"/>
      <c r="OUB141" s="422"/>
      <c r="OUC141" s="422"/>
      <c r="OUD141" s="422"/>
      <c r="OUE141" s="422"/>
      <c r="OUF141" s="422"/>
      <c r="OUG141" s="422"/>
      <c r="OUH141" s="422"/>
      <c r="OUI141" s="422"/>
      <c r="OUJ141" s="422"/>
      <c r="OUK141" s="422"/>
      <c r="OUL141" s="422"/>
      <c r="OUM141" s="422"/>
      <c r="OUN141" s="422"/>
      <c r="OUO141" s="422"/>
      <c r="OUP141" s="422"/>
      <c r="OUQ141" s="422"/>
      <c r="OUR141" s="422"/>
      <c r="OUS141" s="422"/>
      <c r="OUT141" s="422"/>
      <c r="OUU141" s="422"/>
      <c r="OUV141" s="422"/>
      <c r="OUW141" s="422"/>
      <c r="OUX141" s="422"/>
      <c r="OUY141" s="422"/>
      <c r="OUZ141" s="422"/>
      <c r="OVA141" s="422"/>
      <c r="OVB141" s="422"/>
      <c r="OVC141" s="422"/>
      <c r="OVD141" s="422"/>
      <c r="OVE141" s="422"/>
      <c r="OVF141" s="422"/>
      <c r="OVG141" s="422"/>
      <c r="OVH141" s="422"/>
      <c r="OVI141" s="422"/>
      <c r="OVJ141" s="422"/>
      <c r="OVK141" s="422"/>
      <c r="OVL141" s="422"/>
      <c r="OVM141" s="422"/>
      <c r="OVN141" s="422"/>
      <c r="OVO141" s="422"/>
      <c r="OVP141" s="422"/>
      <c r="OVQ141" s="422"/>
      <c r="OVR141" s="422"/>
      <c r="OVS141" s="422"/>
      <c r="OVT141" s="422"/>
      <c r="OVU141" s="422"/>
      <c r="OVV141" s="422"/>
      <c r="OVW141" s="422"/>
      <c r="OVX141" s="422"/>
      <c r="OVY141" s="422"/>
      <c r="OVZ141" s="422"/>
      <c r="OWA141" s="422"/>
      <c r="OWB141" s="422"/>
      <c r="OWC141" s="422"/>
      <c r="OWD141" s="422"/>
      <c r="OWE141" s="422"/>
      <c r="OWF141" s="422"/>
      <c r="OWG141" s="422"/>
      <c r="OWH141" s="422"/>
      <c r="OWI141" s="422"/>
      <c r="OWJ141" s="422"/>
      <c r="OWK141" s="422"/>
      <c r="OWL141" s="422"/>
      <c r="OWM141" s="422"/>
      <c r="OWN141" s="422"/>
      <c r="OWO141" s="422"/>
      <c r="OWP141" s="422"/>
      <c r="OWQ141" s="422"/>
      <c r="OWR141" s="422"/>
      <c r="OWS141" s="422"/>
      <c r="OWT141" s="422"/>
      <c r="OWU141" s="422"/>
      <c r="OWV141" s="422"/>
      <c r="OWW141" s="422"/>
      <c r="OWX141" s="422"/>
      <c r="OWY141" s="422"/>
      <c r="OWZ141" s="422"/>
      <c r="OXA141" s="422"/>
      <c r="OXB141" s="422"/>
      <c r="OXC141" s="422"/>
      <c r="OXD141" s="422"/>
      <c r="OXE141" s="422"/>
      <c r="OXF141" s="422"/>
      <c r="OXG141" s="422"/>
      <c r="OXH141" s="422"/>
      <c r="OXI141" s="422"/>
      <c r="OXJ141" s="422"/>
      <c r="OXK141" s="422"/>
      <c r="OXL141" s="422"/>
      <c r="OXM141" s="422"/>
      <c r="OXN141" s="422"/>
      <c r="OXO141" s="422"/>
      <c r="OXP141" s="422"/>
      <c r="OXQ141" s="422"/>
      <c r="OXR141" s="422"/>
      <c r="OXS141" s="422"/>
      <c r="OXT141" s="422"/>
      <c r="OXU141" s="422"/>
      <c r="OXV141" s="422"/>
      <c r="OXW141" s="422"/>
      <c r="OXX141" s="422"/>
      <c r="OXY141" s="422"/>
      <c r="OXZ141" s="422"/>
      <c r="OYA141" s="422"/>
      <c r="OYB141" s="422"/>
      <c r="OYC141" s="422"/>
      <c r="OYD141" s="422"/>
      <c r="OYE141" s="422"/>
      <c r="OYF141" s="422"/>
      <c r="OYG141" s="422"/>
      <c r="OYH141" s="422"/>
      <c r="OYI141" s="422"/>
      <c r="OYJ141" s="422"/>
      <c r="OYK141" s="422"/>
      <c r="OYL141" s="422"/>
      <c r="OYM141" s="422"/>
      <c r="OYN141" s="422"/>
      <c r="OYO141" s="422"/>
      <c r="OYP141" s="422"/>
      <c r="OYQ141" s="422"/>
      <c r="OYR141" s="422"/>
      <c r="OYS141" s="422"/>
      <c r="OYT141" s="422"/>
      <c r="OYU141" s="422"/>
      <c r="OYV141" s="422"/>
      <c r="OYW141" s="422"/>
      <c r="OYX141" s="422"/>
      <c r="OYY141" s="422"/>
      <c r="OYZ141" s="422"/>
      <c r="OZA141" s="422"/>
      <c r="OZB141" s="422"/>
      <c r="OZC141" s="422"/>
      <c r="OZD141" s="422"/>
      <c r="OZE141" s="422"/>
      <c r="OZF141" s="422"/>
      <c r="OZG141" s="422"/>
      <c r="OZH141" s="422"/>
      <c r="OZI141" s="422"/>
      <c r="OZJ141" s="422"/>
      <c r="OZK141" s="422"/>
      <c r="OZL141" s="422"/>
      <c r="OZM141" s="422"/>
      <c r="OZN141" s="422"/>
      <c r="OZO141" s="422"/>
      <c r="OZP141" s="422"/>
      <c r="OZQ141" s="422"/>
      <c r="OZR141" s="422"/>
      <c r="OZS141" s="422"/>
      <c r="OZT141" s="422"/>
      <c r="OZU141" s="422"/>
      <c r="OZV141" s="422"/>
      <c r="OZW141" s="422"/>
      <c r="OZX141" s="422"/>
      <c r="OZY141" s="422"/>
      <c r="OZZ141" s="422"/>
      <c r="PAA141" s="422"/>
      <c r="PAB141" s="422"/>
      <c r="PAC141" s="422"/>
      <c r="PAD141" s="422"/>
      <c r="PAE141" s="422"/>
      <c r="PAF141" s="422"/>
      <c r="PAG141" s="422"/>
      <c r="PAH141" s="422"/>
      <c r="PAI141" s="422"/>
      <c r="PAJ141" s="422"/>
      <c r="PAK141" s="422"/>
      <c r="PAL141" s="422"/>
      <c r="PAM141" s="422"/>
      <c r="PAN141" s="422"/>
      <c r="PAO141" s="422"/>
      <c r="PAP141" s="422"/>
      <c r="PAQ141" s="422"/>
      <c r="PAR141" s="422"/>
      <c r="PAS141" s="422"/>
      <c r="PAT141" s="422"/>
      <c r="PAU141" s="422"/>
      <c r="PAV141" s="422"/>
      <c r="PAW141" s="422"/>
      <c r="PAX141" s="422"/>
      <c r="PAY141" s="422"/>
      <c r="PAZ141" s="422"/>
      <c r="PBA141" s="422"/>
      <c r="PBB141" s="422"/>
      <c r="PBC141" s="422"/>
      <c r="PBD141" s="422"/>
      <c r="PBE141" s="422"/>
      <c r="PBF141" s="422"/>
      <c r="PBG141" s="422"/>
      <c r="PBH141" s="422"/>
      <c r="PBI141" s="422"/>
      <c r="PBJ141" s="422"/>
      <c r="PBK141" s="422"/>
      <c r="PBL141" s="422"/>
      <c r="PBM141" s="422"/>
      <c r="PBN141" s="422"/>
      <c r="PBO141" s="422"/>
      <c r="PBP141" s="422"/>
      <c r="PBQ141" s="422"/>
      <c r="PBR141" s="422"/>
      <c r="PBS141" s="422"/>
      <c r="PBT141" s="422"/>
      <c r="PBU141" s="422"/>
      <c r="PBV141" s="422"/>
      <c r="PBW141" s="422"/>
      <c r="PBX141" s="422"/>
      <c r="PBY141" s="422"/>
      <c r="PBZ141" s="422"/>
      <c r="PCA141" s="422"/>
      <c r="PCB141" s="422"/>
      <c r="PCC141" s="422"/>
      <c r="PCD141" s="422"/>
      <c r="PCE141" s="422"/>
      <c r="PCF141" s="422"/>
      <c r="PCG141" s="422"/>
      <c r="PCH141" s="422"/>
      <c r="PCI141" s="422"/>
      <c r="PCJ141" s="422"/>
      <c r="PCK141" s="422"/>
      <c r="PCL141" s="422"/>
      <c r="PCM141" s="422"/>
      <c r="PCN141" s="422"/>
      <c r="PCO141" s="422"/>
      <c r="PCP141" s="422"/>
      <c r="PCQ141" s="422"/>
      <c r="PCR141" s="422"/>
      <c r="PCS141" s="422"/>
      <c r="PCT141" s="422"/>
      <c r="PCU141" s="422"/>
      <c r="PCV141" s="422"/>
      <c r="PCW141" s="422"/>
      <c r="PCX141" s="422"/>
      <c r="PCY141" s="422"/>
      <c r="PCZ141" s="422"/>
      <c r="PDA141" s="422"/>
      <c r="PDB141" s="422"/>
      <c r="PDC141" s="422"/>
      <c r="PDD141" s="422"/>
      <c r="PDE141" s="422"/>
      <c r="PDF141" s="422"/>
      <c r="PDG141" s="422"/>
      <c r="PDH141" s="422"/>
      <c r="PDI141" s="422"/>
      <c r="PDJ141" s="422"/>
      <c r="PDK141" s="422"/>
      <c r="PDL141" s="422"/>
      <c r="PDM141" s="422"/>
      <c r="PDN141" s="422"/>
      <c r="PDO141" s="422"/>
      <c r="PDP141" s="422"/>
      <c r="PDQ141" s="422"/>
      <c r="PDR141" s="422"/>
      <c r="PDS141" s="422"/>
      <c r="PDT141" s="422"/>
      <c r="PDU141" s="422"/>
      <c r="PDV141" s="422"/>
      <c r="PDW141" s="422"/>
      <c r="PDX141" s="422"/>
      <c r="PDY141" s="422"/>
      <c r="PDZ141" s="422"/>
      <c r="PEA141" s="422"/>
      <c r="PEB141" s="422"/>
      <c r="PEC141" s="422"/>
      <c r="PED141" s="422"/>
      <c r="PEE141" s="422"/>
      <c r="PEF141" s="422"/>
      <c r="PEG141" s="422"/>
      <c r="PEH141" s="422"/>
      <c r="PEI141" s="422"/>
      <c r="PEJ141" s="422"/>
      <c r="PEK141" s="422"/>
      <c r="PEL141" s="422"/>
      <c r="PEM141" s="422"/>
      <c r="PEN141" s="422"/>
      <c r="PEO141" s="422"/>
      <c r="PEP141" s="422"/>
      <c r="PEQ141" s="422"/>
      <c r="PER141" s="422"/>
      <c r="PES141" s="422"/>
      <c r="PET141" s="422"/>
      <c r="PEU141" s="422"/>
      <c r="PEV141" s="422"/>
      <c r="PEW141" s="422"/>
      <c r="PEX141" s="422"/>
      <c r="PEY141" s="422"/>
      <c r="PEZ141" s="422"/>
      <c r="PFA141" s="422"/>
      <c r="PFB141" s="422"/>
      <c r="PFC141" s="422"/>
      <c r="PFD141" s="422"/>
      <c r="PFE141" s="422"/>
      <c r="PFF141" s="422"/>
      <c r="PFG141" s="422"/>
      <c r="PFH141" s="422"/>
      <c r="PFI141" s="422"/>
      <c r="PFJ141" s="422"/>
      <c r="PFK141" s="422"/>
      <c r="PFL141" s="422"/>
      <c r="PFM141" s="422"/>
      <c r="PFN141" s="422"/>
      <c r="PFO141" s="422"/>
      <c r="PFP141" s="422"/>
      <c r="PFQ141" s="422"/>
      <c r="PFR141" s="422"/>
      <c r="PFS141" s="422"/>
      <c r="PFT141" s="422"/>
      <c r="PFU141" s="422"/>
      <c r="PFV141" s="422"/>
      <c r="PFW141" s="422"/>
      <c r="PFX141" s="422"/>
      <c r="PFY141" s="422"/>
      <c r="PFZ141" s="422"/>
      <c r="PGA141" s="422"/>
      <c r="PGB141" s="422"/>
      <c r="PGC141" s="422"/>
      <c r="PGD141" s="422"/>
      <c r="PGE141" s="422"/>
      <c r="PGF141" s="422"/>
      <c r="PGG141" s="422"/>
      <c r="PGH141" s="422"/>
      <c r="PGI141" s="422"/>
      <c r="PGJ141" s="422"/>
      <c r="PGK141" s="422"/>
      <c r="PGL141" s="422"/>
      <c r="PGM141" s="422"/>
      <c r="PGN141" s="422"/>
      <c r="PGO141" s="422"/>
      <c r="PGP141" s="422"/>
      <c r="PGQ141" s="422"/>
      <c r="PGR141" s="422"/>
      <c r="PGS141" s="422"/>
      <c r="PGT141" s="422"/>
      <c r="PGU141" s="422"/>
      <c r="PGV141" s="422"/>
      <c r="PGW141" s="422"/>
      <c r="PGX141" s="422"/>
      <c r="PGY141" s="422"/>
      <c r="PGZ141" s="422"/>
      <c r="PHA141" s="422"/>
      <c r="PHB141" s="422"/>
      <c r="PHC141" s="422"/>
      <c r="PHD141" s="422"/>
      <c r="PHE141" s="422"/>
      <c r="PHF141" s="422"/>
      <c r="PHG141" s="422"/>
      <c r="PHH141" s="422"/>
      <c r="PHI141" s="422"/>
      <c r="PHJ141" s="422"/>
      <c r="PHK141" s="422"/>
      <c r="PHL141" s="422"/>
      <c r="PHM141" s="422"/>
      <c r="PHN141" s="422"/>
      <c r="PHO141" s="422"/>
      <c r="PHP141" s="422"/>
      <c r="PHQ141" s="422"/>
      <c r="PHR141" s="422"/>
      <c r="PHS141" s="422"/>
      <c r="PHT141" s="422"/>
      <c r="PHU141" s="422"/>
      <c r="PHV141" s="422"/>
      <c r="PHW141" s="422"/>
      <c r="PHX141" s="422"/>
      <c r="PHY141" s="422"/>
      <c r="PHZ141" s="422"/>
      <c r="PIA141" s="422"/>
      <c r="PIB141" s="422"/>
      <c r="PIC141" s="422"/>
      <c r="PID141" s="422"/>
      <c r="PIE141" s="422"/>
      <c r="PIF141" s="422"/>
      <c r="PIG141" s="422"/>
      <c r="PIH141" s="422"/>
      <c r="PII141" s="422"/>
      <c r="PIJ141" s="422"/>
      <c r="PIK141" s="422"/>
      <c r="PIL141" s="422"/>
      <c r="PIM141" s="422"/>
      <c r="PIN141" s="422"/>
      <c r="PIO141" s="422"/>
      <c r="PIP141" s="422"/>
      <c r="PIQ141" s="422"/>
      <c r="PIR141" s="422"/>
      <c r="PIS141" s="422"/>
      <c r="PIT141" s="422"/>
      <c r="PIU141" s="422"/>
      <c r="PIV141" s="422"/>
      <c r="PIW141" s="422"/>
      <c r="PIX141" s="422"/>
      <c r="PIY141" s="422"/>
      <c r="PIZ141" s="422"/>
      <c r="PJA141" s="422"/>
      <c r="PJB141" s="422"/>
      <c r="PJC141" s="422"/>
      <c r="PJD141" s="422"/>
      <c r="PJE141" s="422"/>
      <c r="PJF141" s="422"/>
      <c r="PJG141" s="422"/>
      <c r="PJH141" s="422"/>
      <c r="PJI141" s="422"/>
      <c r="PJJ141" s="422"/>
      <c r="PJK141" s="422"/>
      <c r="PJL141" s="422"/>
      <c r="PJM141" s="422"/>
      <c r="PJN141" s="422"/>
      <c r="PJO141" s="422"/>
      <c r="PJP141" s="422"/>
      <c r="PJQ141" s="422"/>
      <c r="PJR141" s="422"/>
      <c r="PJS141" s="422"/>
      <c r="PJT141" s="422"/>
      <c r="PJU141" s="422"/>
      <c r="PJV141" s="422"/>
      <c r="PJW141" s="422"/>
      <c r="PJX141" s="422"/>
      <c r="PJY141" s="422"/>
      <c r="PJZ141" s="422"/>
      <c r="PKA141" s="422"/>
      <c r="PKB141" s="422"/>
      <c r="PKC141" s="422"/>
      <c r="PKD141" s="422"/>
      <c r="PKE141" s="422"/>
      <c r="PKF141" s="422"/>
      <c r="PKG141" s="422"/>
      <c r="PKH141" s="422"/>
      <c r="PKI141" s="422"/>
      <c r="PKJ141" s="422"/>
      <c r="PKK141" s="422"/>
      <c r="PKL141" s="422"/>
      <c r="PKM141" s="422"/>
      <c r="PKN141" s="422"/>
      <c r="PKO141" s="422"/>
      <c r="PKP141" s="422"/>
      <c r="PKQ141" s="422"/>
      <c r="PKR141" s="422"/>
      <c r="PKS141" s="422"/>
      <c r="PKT141" s="422"/>
      <c r="PKU141" s="422"/>
      <c r="PKV141" s="422"/>
      <c r="PKW141" s="422"/>
      <c r="PKX141" s="422"/>
      <c r="PKY141" s="422"/>
      <c r="PKZ141" s="422"/>
      <c r="PLA141" s="422"/>
      <c r="PLB141" s="422"/>
      <c r="PLC141" s="422"/>
      <c r="PLD141" s="422"/>
      <c r="PLE141" s="422"/>
      <c r="PLF141" s="422"/>
      <c r="PLG141" s="422"/>
      <c r="PLH141" s="422"/>
      <c r="PLI141" s="422"/>
      <c r="PLJ141" s="422"/>
      <c r="PLK141" s="422"/>
      <c r="PLL141" s="422"/>
      <c r="PLM141" s="422"/>
      <c r="PLN141" s="422"/>
      <c r="PLO141" s="422"/>
      <c r="PLP141" s="422"/>
      <c r="PLQ141" s="422"/>
      <c r="PLR141" s="422"/>
      <c r="PLS141" s="422"/>
      <c r="PLT141" s="422"/>
      <c r="PLU141" s="422"/>
      <c r="PLV141" s="422"/>
      <c r="PLW141" s="422"/>
      <c r="PLX141" s="422"/>
      <c r="PLY141" s="422"/>
      <c r="PLZ141" s="422"/>
      <c r="PMA141" s="422"/>
      <c r="PMB141" s="422"/>
      <c r="PMC141" s="422"/>
      <c r="PMD141" s="422"/>
      <c r="PME141" s="422"/>
      <c r="PMF141" s="422"/>
      <c r="PMG141" s="422"/>
      <c r="PMH141" s="422"/>
      <c r="PMI141" s="422"/>
      <c r="PMJ141" s="422"/>
      <c r="PMK141" s="422"/>
      <c r="PML141" s="422"/>
      <c r="PMM141" s="422"/>
      <c r="PMN141" s="422"/>
      <c r="PMO141" s="422"/>
      <c r="PMP141" s="422"/>
      <c r="PMQ141" s="422"/>
      <c r="PMR141" s="422"/>
      <c r="PMS141" s="422"/>
      <c r="PMT141" s="422"/>
      <c r="PMU141" s="422"/>
      <c r="PMV141" s="422"/>
      <c r="PMW141" s="422"/>
      <c r="PMX141" s="422"/>
      <c r="PMY141" s="422"/>
      <c r="PMZ141" s="422"/>
      <c r="PNA141" s="422"/>
      <c r="PNB141" s="422"/>
      <c r="PNC141" s="422"/>
      <c r="PND141" s="422"/>
      <c r="PNE141" s="422"/>
      <c r="PNF141" s="422"/>
      <c r="PNG141" s="422"/>
      <c r="PNH141" s="422"/>
      <c r="PNI141" s="422"/>
      <c r="PNJ141" s="422"/>
      <c r="PNK141" s="422"/>
      <c r="PNL141" s="422"/>
      <c r="PNM141" s="422"/>
      <c r="PNN141" s="422"/>
      <c r="PNO141" s="422"/>
      <c r="PNP141" s="422"/>
      <c r="PNQ141" s="422"/>
      <c r="PNR141" s="422"/>
      <c r="PNS141" s="422"/>
      <c r="PNT141" s="422"/>
      <c r="PNU141" s="422"/>
      <c r="PNV141" s="422"/>
      <c r="PNW141" s="422"/>
      <c r="PNX141" s="422"/>
      <c r="PNY141" s="422"/>
      <c r="PNZ141" s="422"/>
      <c r="POA141" s="422"/>
      <c r="POB141" s="422"/>
      <c r="POC141" s="422"/>
      <c r="POD141" s="422"/>
      <c r="POE141" s="422"/>
      <c r="POF141" s="422"/>
      <c r="POG141" s="422"/>
      <c r="POH141" s="422"/>
      <c r="POI141" s="422"/>
      <c r="POJ141" s="422"/>
      <c r="POK141" s="422"/>
      <c r="POL141" s="422"/>
      <c r="POM141" s="422"/>
      <c r="PON141" s="422"/>
      <c r="POO141" s="422"/>
      <c r="POP141" s="422"/>
      <c r="POQ141" s="422"/>
      <c r="POR141" s="422"/>
      <c r="POS141" s="422"/>
      <c r="POT141" s="422"/>
      <c r="POU141" s="422"/>
      <c r="POV141" s="422"/>
      <c r="POW141" s="422"/>
      <c r="POX141" s="422"/>
      <c r="POY141" s="422"/>
      <c r="POZ141" s="422"/>
      <c r="PPA141" s="422"/>
      <c r="PPB141" s="422"/>
      <c r="PPC141" s="422"/>
      <c r="PPD141" s="422"/>
      <c r="PPE141" s="422"/>
      <c r="PPF141" s="422"/>
      <c r="PPG141" s="422"/>
      <c r="PPH141" s="422"/>
      <c r="PPI141" s="422"/>
      <c r="PPJ141" s="422"/>
      <c r="PPK141" s="422"/>
      <c r="PPL141" s="422"/>
      <c r="PPM141" s="422"/>
      <c r="PPN141" s="422"/>
      <c r="PPO141" s="422"/>
      <c r="PPP141" s="422"/>
      <c r="PPQ141" s="422"/>
      <c r="PPR141" s="422"/>
      <c r="PPS141" s="422"/>
      <c r="PPT141" s="422"/>
      <c r="PPU141" s="422"/>
      <c r="PPV141" s="422"/>
      <c r="PPW141" s="422"/>
      <c r="PPX141" s="422"/>
      <c r="PPY141" s="422"/>
      <c r="PPZ141" s="422"/>
      <c r="PQA141" s="422"/>
      <c r="PQB141" s="422"/>
      <c r="PQC141" s="422"/>
      <c r="PQD141" s="422"/>
      <c r="PQE141" s="422"/>
      <c r="PQF141" s="422"/>
      <c r="PQG141" s="422"/>
      <c r="PQH141" s="422"/>
      <c r="PQI141" s="422"/>
      <c r="PQJ141" s="422"/>
      <c r="PQK141" s="422"/>
      <c r="PQL141" s="422"/>
      <c r="PQM141" s="422"/>
      <c r="PQN141" s="422"/>
      <c r="PQO141" s="422"/>
      <c r="PQP141" s="422"/>
      <c r="PQQ141" s="422"/>
      <c r="PQR141" s="422"/>
      <c r="PQS141" s="422"/>
      <c r="PQT141" s="422"/>
      <c r="PQU141" s="422"/>
      <c r="PQV141" s="422"/>
      <c r="PQW141" s="422"/>
      <c r="PQX141" s="422"/>
      <c r="PQY141" s="422"/>
      <c r="PQZ141" s="422"/>
      <c r="PRA141" s="422"/>
      <c r="PRB141" s="422"/>
      <c r="PRC141" s="422"/>
      <c r="PRD141" s="422"/>
      <c r="PRE141" s="422"/>
      <c r="PRF141" s="422"/>
      <c r="PRG141" s="422"/>
      <c r="PRH141" s="422"/>
      <c r="PRI141" s="422"/>
      <c r="PRJ141" s="422"/>
      <c r="PRK141" s="422"/>
      <c r="PRL141" s="422"/>
      <c r="PRM141" s="422"/>
      <c r="PRN141" s="422"/>
      <c r="PRO141" s="422"/>
      <c r="PRP141" s="422"/>
      <c r="PRQ141" s="422"/>
      <c r="PRR141" s="422"/>
      <c r="PRS141" s="422"/>
      <c r="PRT141" s="422"/>
      <c r="PRU141" s="422"/>
      <c r="PRV141" s="422"/>
      <c r="PRW141" s="422"/>
      <c r="PRX141" s="422"/>
      <c r="PRY141" s="422"/>
      <c r="PRZ141" s="422"/>
      <c r="PSA141" s="422"/>
      <c r="PSB141" s="422"/>
      <c r="PSC141" s="422"/>
      <c r="PSD141" s="422"/>
      <c r="PSE141" s="422"/>
      <c r="PSF141" s="422"/>
      <c r="PSG141" s="422"/>
      <c r="PSH141" s="422"/>
      <c r="PSI141" s="422"/>
      <c r="PSJ141" s="422"/>
      <c r="PSK141" s="422"/>
      <c r="PSL141" s="422"/>
      <c r="PSM141" s="422"/>
      <c r="PSN141" s="422"/>
      <c r="PSO141" s="422"/>
      <c r="PSP141" s="422"/>
      <c r="PSQ141" s="422"/>
      <c r="PSR141" s="422"/>
      <c r="PSS141" s="422"/>
      <c r="PST141" s="422"/>
      <c r="PSU141" s="422"/>
      <c r="PSV141" s="422"/>
      <c r="PSW141" s="422"/>
      <c r="PSX141" s="422"/>
      <c r="PSY141" s="422"/>
      <c r="PSZ141" s="422"/>
      <c r="PTA141" s="422"/>
      <c r="PTB141" s="422"/>
      <c r="PTC141" s="422"/>
      <c r="PTD141" s="422"/>
      <c r="PTE141" s="422"/>
      <c r="PTF141" s="422"/>
      <c r="PTG141" s="422"/>
      <c r="PTH141" s="422"/>
      <c r="PTI141" s="422"/>
      <c r="PTJ141" s="422"/>
      <c r="PTK141" s="422"/>
      <c r="PTL141" s="422"/>
      <c r="PTM141" s="422"/>
      <c r="PTN141" s="422"/>
      <c r="PTO141" s="422"/>
      <c r="PTP141" s="422"/>
      <c r="PTQ141" s="422"/>
      <c r="PTR141" s="422"/>
      <c r="PTS141" s="422"/>
      <c r="PTT141" s="422"/>
      <c r="PTU141" s="422"/>
      <c r="PTV141" s="422"/>
      <c r="PTW141" s="422"/>
      <c r="PTX141" s="422"/>
      <c r="PTY141" s="422"/>
      <c r="PTZ141" s="422"/>
      <c r="PUA141" s="422"/>
      <c r="PUB141" s="422"/>
      <c r="PUC141" s="422"/>
      <c r="PUD141" s="422"/>
      <c r="PUE141" s="422"/>
      <c r="PUF141" s="422"/>
      <c r="PUG141" s="422"/>
      <c r="PUH141" s="422"/>
      <c r="PUI141" s="422"/>
      <c r="PUJ141" s="422"/>
      <c r="PUK141" s="422"/>
      <c r="PUL141" s="422"/>
      <c r="PUM141" s="422"/>
      <c r="PUN141" s="422"/>
      <c r="PUO141" s="422"/>
      <c r="PUP141" s="422"/>
      <c r="PUQ141" s="422"/>
      <c r="PUR141" s="422"/>
      <c r="PUS141" s="422"/>
      <c r="PUT141" s="422"/>
      <c r="PUU141" s="422"/>
      <c r="PUV141" s="422"/>
      <c r="PUW141" s="422"/>
      <c r="PUX141" s="422"/>
      <c r="PUY141" s="422"/>
      <c r="PUZ141" s="422"/>
      <c r="PVA141" s="422"/>
      <c r="PVB141" s="422"/>
      <c r="PVC141" s="422"/>
      <c r="PVD141" s="422"/>
      <c r="PVE141" s="422"/>
      <c r="PVF141" s="422"/>
      <c r="PVG141" s="422"/>
      <c r="PVH141" s="422"/>
      <c r="PVI141" s="422"/>
      <c r="PVJ141" s="422"/>
      <c r="PVK141" s="422"/>
      <c r="PVL141" s="422"/>
      <c r="PVM141" s="422"/>
      <c r="PVN141" s="422"/>
      <c r="PVO141" s="422"/>
      <c r="PVP141" s="422"/>
      <c r="PVQ141" s="422"/>
      <c r="PVR141" s="422"/>
      <c r="PVS141" s="422"/>
      <c r="PVT141" s="422"/>
      <c r="PVU141" s="422"/>
      <c r="PVV141" s="422"/>
      <c r="PVW141" s="422"/>
      <c r="PVX141" s="422"/>
      <c r="PVY141" s="422"/>
      <c r="PVZ141" s="422"/>
      <c r="PWA141" s="422"/>
      <c r="PWB141" s="422"/>
      <c r="PWC141" s="422"/>
      <c r="PWD141" s="422"/>
      <c r="PWE141" s="422"/>
      <c r="PWF141" s="422"/>
      <c r="PWG141" s="422"/>
      <c r="PWH141" s="422"/>
      <c r="PWI141" s="422"/>
      <c r="PWJ141" s="422"/>
      <c r="PWK141" s="422"/>
      <c r="PWL141" s="422"/>
      <c r="PWM141" s="422"/>
      <c r="PWN141" s="422"/>
      <c r="PWO141" s="422"/>
      <c r="PWP141" s="422"/>
      <c r="PWQ141" s="422"/>
      <c r="PWR141" s="422"/>
      <c r="PWS141" s="422"/>
      <c r="PWT141" s="422"/>
      <c r="PWU141" s="422"/>
      <c r="PWV141" s="422"/>
      <c r="PWW141" s="422"/>
      <c r="PWX141" s="422"/>
      <c r="PWY141" s="422"/>
      <c r="PWZ141" s="422"/>
      <c r="PXA141" s="422"/>
      <c r="PXB141" s="422"/>
      <c r="PXC141" s="422"/>
      <c r="PXD141" s="422"/>
      <c r="PXE141" s="422"/>
      <c r="PXF141" s="422"/>
      <c r="PXG141" s="422"/>
      <c r="PXH141" s="422"/>
      <c r="PXI141" s="422"/>
      <c r="PXJ141" s="422"/>
      <c r="PXK141" s="422"/>
      <c r="PXL141" s="422"/>
      <c r="PXM141" s="422"/>
      <c r="PXN141" s="422"/>
      <c r="PXO141" s="422"/>
      <c r="PXP141" s="422"/>
      <c r="PXQ141" s="422"/>
      <c r="PXR141" s="422"/>
      <c r="PXS141" s="422"/>
      <c r="PXT141" s="422"/>
      <c r="PXU141" s="422"/>
      <c r="PXV141" s="422"/>
      <c r="PXW141" s="422"/>
      <c r="PXX141" s="422"/>
      <c r="PXY141" s="422"/>
      <c r="PXZ141" s="422"/>
      <c r="PYA141" s="422"/>
      <c r="PYB141" s="422"/>
      <c r="PYC141" s="422"/>
      <c r="PYD141" s="422"/>
      <c r="PYE141" s="422"/>
      <c r="PYF141" s="422"/>
      <c r="PYG141" s="422"/>
      <c r="PYH141" s="422"/>
      <c r="PYI141" s="422"/>
      <c r="PYJ141" s="422"/>
      <c r="PYK141" s="422"/>
      <c r="PYL141" s="422"/>
      <c r="PYM141" s="422"/>
      <c r="PYN141" s="422"/>
      <c r="PYO141" s="422"/>
      <c r="PYP141" s="422"/>
      <c r="PYQ141" s="422"/>
      <c r="PYR141" s="422"/>
      <c r="PYS141" s="422"/>
      <c r="PYT141" s="422"/>
      <c r="PYU141" s="422"/>
      <c r="PYV141" s="422"/>
      <c r="PYW141" s="422"/>
      <c r="PYX141" s="422"/>
      <c r="PYY141" s="422"/>
      <c r="PYZ141" s="422"/>
      <c r="PZA141" s="422"/>
      <c r="PZB141" s="422"/>
      <c r="PZC141" s="422"/>
      <c r="PZD141" s="422"/>
      <c r="PZE141" s="422"/>
      <c r="PZF141" s="422"/>
      <c r="PZG141" s="422"/>
      <c r="PZH141" s="422"/>
      <c r="PZI141" s="422"/>
      <c r="PZJ141" s="422"/>
      <c r="PZK141" s="422"/>
      <c r="PZL141" s="422"/>
      <c r="PZM141" s="422"/>
      <c r="PZN141" s="422"/>
      <c r="PZO141" s="422"/>
      <c r="PZP141" s="422"/>
      <c r="PZQ141" s="422"/>
      <c r="PZR141" s="422"/>
      <c r="PZS141" s="422"/>
      <c r="PZT141" s="422"/>
      <c r="PZU141" s="422"/>
      <c r="PZV141" s="422"/>
      <c r="PZW141" s="422"/>
      <c r="PZX141" s="422"/>
      <c r="PZY141" s="422"/>
      <c r="PZZ141" s="422"/>
      <c r="QAA141" s="422"/>
      <c r="QAB141" s="422"/>
      <c r="QAC141" s="422"/>
      <c r="QAD141" s="422"/>
      <c r="QAE141" s="422"/>
      <c r="QAF141" s="422"/>
      <c r="QAG141" s="422"/>
      <c r="QAH141" s="422"/>
      <c r="QAI141" s="422"/>
      <c r="QAJ141" s="422"/>
      <c r="QAK141" s="422"/>
      <c r="QAL141" s="422"/>
      <c r="QAM141" s="422"/>
      <c r="QAN141" s="422"/>
      <c r="QAO141" s="422"/>
      <c r="QAP141" s="422"/>
      <c r="QAQ141" s="422"/>
      <c r="QAR141" s="422"/>
      <c r="QAS141" s="422"/>
      <c r="QAT141" s="422"/>
      <c r="QAU141" s="422"/>
      <c r="QAV141" s="422"/>
      <c r="QAW141" s="422"/>
      <c r="QAX141" s="422"/>
      <c r="QAY141" s="422"/>
      <c r="QAZ141" s="422"/>
      <c r="QBA141" s="422"/>
      <c r="QBB141" s="422"/>
      <c r="QBC141" s="422"/>
      <c r="QBD141" s="422"/>
      <c r="QBE141" s="422"/>
      <c r="QBF141" s="422"/>
      <c r="QBG141" s="422"/>
      <c r="QBH141" s="422"/>
      <c r="QBI141" s="422"/>
      <c r="QBJ141" s="422"/>
      <c r="QBK141" s="422"/>
      <c r="QBL141" s="422"/>
      <c r="QBM141" s="422"/>
      <c r="QBN141" s="422"/>
      <c r="QBO141" s="422"/>
      <c r="QBP141" s="422"/>
      <c r="QBQ141" s="422"/>
      <c r="QBR141" s="422"/>
      <c r="QBS141" s="422"/>
      <c r="QBT141" s="422"/>
      <c r="QBU141" s="422"/>
      <c r="QBV141" s="422"/>
      <c r="QBW141" s="422"/>
      <c r="QBX141" s="422"/>
      <c r="QBY141" s="422"/>
      <c r="QBZ141" s="422"/>
      <c r="QCA141" s="422"/>
      <c r="QCB141" s="422"/>
      <c r="QCC141" s="422"/>
      <c r="QCD141" s="422"/>
      <c r="QCE141" s="422"/>
      <c r="QCF141" s="422"/>
      <c r="QCG141" s="422"/>
      <c r="QCH141" s="422"/>
      <c r="QCI141" s="422"/>
      <c r="QCJ141" s="422"/>
      <c r="QCK141" s="422"/>
      <c r="QCL141" s="422"/>
      <c r="QCM141" s="422"/>
      <c r="QCN141" s="422"/>
      <c r="QCO141" s="422"/>
      <c r="QCP141" s="422"/>
      <c r="QCQ141" s="422"/>
      <c r="QCR141" s="422"/>
      <c r="QCS141" s="422"/>
      <c r="QCT141" s="422"/>
      <c r="QCU141" s="422"/>
      <c r="QCV141" s="422"/>
      <c r="QCW141" s="422"/>
      <c r="QCX141" s="422"/>
      <c r="QCY141" s="422"/>
      <c r="QCZ141" s="422"/>
      <c r="QDA141" s="422"/>
      <c r="QDB141" s="422"/>
      <c r="QDC141" s="422"/>
      <c r="QDD141" s="422"/>
      <c r="QDE141" s="422"/>
      <c r="QDF141" s="422"/>
      <c r="QDG141" s="422"/>
      <c r="QDH141" s="422"/>
      <c r="QDI141" s="422"/>
      <c r="QDJ141" s="422"/>
      <c r="QDK141" s="422"/>
      <c r="QDL141" s="422"/>
      <c r="QDM141" s="422"/>
      <c r="QDN141" s="422"/>
      <c r="QDO141" s="422"/>
      <c r="QDP141" s="422"/>
      <c r="QDQ141" s="422"/>
      <c r="QDR141" s="422"/>
      <c r="QDS141" s="422"/>
      <c r="QDT141" s="422"/>
      <c r="QDU141" s="422"/>
      <c r="QDV141" s="422"/>
      <c r="QDW141" s="422"/>
      <c r="QDX141" s="422"/>
      <c r="QDY141" s="422"/>
      <c r="QDZ141" s="422"/>
      <c r="QEA141" s="422"/>
      <c r="QEB141" s="422"/>
      <c r="QEC141" s="422"/>
      <c r="QED141" s="422"/>
      <c r="QEE141" s="422"/>
      <c r="QEF141" s="422"/>
      <c r="QEG141" s="422"/>
      <c r="QEH141" s="422"/>
      <c r="QEI141" s="422"/>
      <c r="QEJ141" s="422"/>
      <c r="QEK141" s="422"/>
      <c r="QEL141" s="422"/>
      <c r="QEM141" s="422"/>
      <c r="QEN141" s="422"/>
      <c r="QEO141" s="422"/>
      <c r="QEP141" s="422"/>
      <c r="QEQ141" s="422"/>
      <c r="QER141" s="422"/>
      <c r="QES141" s="422"/>
      <c r="QET141" s="422"/>
      <c r="QEU141" s="422"/>
      <c r="QEV141" s="422"/>
      <c r="QEW141" s="422"/>
      <c r="QEX141" s="422"/>
      <c r="QEY141" s="422"/>
      <c r="QEZ141" s="422"/>
      <c r="QFA141" s="422"/>
      <c r="QFB141" s="422"/>
      <c r="QFC141" s="422"/>
      <c r="QFD141" s="422"/>
      <c r="QFE141" s="422"/>
      <c r="QFF141" s="422"/>
      <c r="QFG141" s="422"/>
      <c r="QFH141" s="422"/>
      <c r="QFI141" s="422"/>
      <c r="QFJ141" s="422"/>
      <c r="QFK141" s="422"/>
      <c r="QFL141" s="422"/>
      <c r="QFM141" s="422"/>
      <c r="QFN141" s="422"/>
      <c r="QFO141" s="422"/>
      <c r="QFP141" s="422"/>
      <c r="QFQ141" s="422"/>
      <c r="QFR141" s="422"/>
      <c r="QFS141" s="422"/>
      <c r="QFT141" s="422"/>
      <c r="QFU141" s="422"/>
      <c r="QFV141" s="422"/>
      <c r="QFW141" s="422"/>
      <c r="QFX141" s="422"/>
      <c r="QFY141" s="422"/>
      <c r="QFZ141" s="422"/>
      <c r="QGA141" s="422"/>
      <c r="QGB141" s="422"/>
      <c r="QGC141" s="422"/>
      <c r="QGD141" s="422"/>
      <c r="QGE141" s="422"/>
      <c r="QGF141" s="422"/>
      <c r="QGG141" s="422"/>
      <c r="QGH141" s="422"/>
      <c r="QGI141" s="422"/>
      <c r="QGJ141" s="422"/>
      <c r="QGK141" s="422"/>
      <c r="QGL141" s="422"/>
      <c r="QGM141" s="422"/>
      <c r="QGN141" s="422"/>
      <c r="QGO141" s="422"/>
      <c r="QGP141" s="422"/>
      <c r="QGQ141" s="422"/>
      <c r="QGR141" s="422"/>
      <c r="QGS141" s="422"/>
      <c r="QGT141" s="422"/>
      <c r="QGU141" s="422"/>
      <c r="QGV141" s="422"/>
      <c r="QGW141" s="422"/>
      <c r="QGX141" s="422"/>
      <c r="QGY141" s="422"/>
      <c r="QGZ141" s="422"/>
      <c r="QHA141" s="422"/>
      <c r="QHB141" s="422"/>
      <c r="QHC141" s="422"/>
      <c r="QHD141" s="422"/>
      <c r="QHE141" s="422"/>
      <c r="QHF141" s="422"/>
      <c r="QHG141" s="422"/>
      <c r="QHH141" s="422"/>
      <c r="QHI141" s="422"/>
      <c r="QHJ141" s="422"/>
      <c r="QHK141" s="422"/>
      <c r="QHL141" s="422"/>
      <c r="QHM141" s="422"/>
      <c r="QHN141" s="422"/>
      <c r="QHO141" s="422"/>
      <c r="QHP141" s="422"/>
      <c r="QHQ141" s="422"/>
      <c r="QHR141" s="422"/>
      <c r="QHS141" s="422"/>
      <c r="QHT141" s="422"/>
      <c r="QHU141" s="422"/>
      <c r="QHV141" s="422"/>
      <c r="QHW141" s="422"/>
      <c r="QHX141" s="422"/>
      <c r="QHY141" s="422"/>
      <c r="QHZ141" s="422"/>
      <c r="QIA141" s="422"/>
      <c r="QIB141" s="422"/>
      <c r="QIC141" s="422"/>
      <c r="QID141" s="422"/>
      <c r="QIE141" s="422"/>
      <c r="QIF141" s="422"/>
      <c r="QIG141" s="422"/>
      <c r="QIH141" s="422"/>
      <c r="QII141" s="422"/>
      <c r="QIJ141" s="422"/>
      <c r="QIK141" s="422"/>
      <c r="QIL141" s="422"/>
      <c r="QIM141" s="422"/>
      <c r="QIN141" s="422"/>
      <c r="QIO141" s="422"/>
      <c r="QIP141" s="422"/>
      <c r="QIQ141" s="422"/>
      <c r="QIR141" s="422"/>
      <c r="QIS141" s="422"/>
      <c r="QIT141" s="422"/>
      <c r="QIU141" s="422"/>
      <c r="QIV141" s="422"/>
      <c r="QIW141" s="422"/>
      <c r="QIX141" s="422"/>
      <c r="QIY141" s="422"/>
      <c r="QIZ141" s="422"/>
      <c r="QJA141" s="422"/>
      <c r="QJB141" s="422"/>
      <c r="QJC141" s="422"/>
      <c r="QJD141" s="422"/>
      <c r="QJE141" s="422"/>
      <c r="QJF141" s="422"/>
      <c r="QJG141" s="422"/>
      <c r="QJH141" s="422"/>
      <c r="QJI141" s="422"/>
      <c r="QJJ141" s="422"/>
      <c r="QJK141" s="422"/>
      <c r="QJL141" s="422"/>
      <c r="QJM141" s="422"/>
      <c r="QJN141" s="422"/>
      <c r="QJO141" s="422"/>
      <c r="QJP141" s="422"/>
      <c r="QJQ141" s="422"/>
      <c r="QJR141" s="422"/>
      <c r="QJS141" s="422"/>
      <c r="QJT141" s="422"/>
      <c r="QJU141" s="422"/>
      <c r="QJV141" s="422"/>
      <c r="QJW141" s="422"/>
      <c r="QJX141" s="422"/>
      <c r="QJY141" s="422"/>
      <c r="QJZ141" s="422"/>
      <c r="QKA141" s="422"/>
      <c r="QKB141" s="422"/>
      <c r="QKC141" s="422"/>
      <c r="QKD141" s="422"/>
      <c r="QKE141" s="422"/>
      <c r="QKF141" s="422"/>
      <c r="QKG141" s="422"/>
      <c r="QKH141" s="422"/>
      <c r="QKI141" s="422"/>
      <c r="QKJ141" s="422"/>
      <c r="QKK141" s="422"/>
      <c r="QKL141" s="422"/>
      <c r="QKM141" s="422"/>
      <c r="QKN141" s="422"/>
      <c r="QKO141" s="422"/>
      <c r="QKP141" s="422"/>
      <c r="QKQ141" s="422"/>
      <c r="QKR141" s="422"/>
      <c r="QKS141" s="422"/>
      <c r="QKT141" s="422"/>
      <c r="QKU141" s="422"/>
      <c r="QKV141" s="422"/>
      <c r="QKW141" s="422"/>
      <c r="QKX141" s="422"/>
      <c r="QKY141" s="422"/>
      <c r="QKZ141" s="422"/>
      <c r="QLA141" s="422"/>
      <c r="QLB141" s="422"/>
      <c r="QLC141" s="422"/>
      <c r="QLD141" s="422"/>
      <c r="QLE141" s="422"/>
      <c r="QLF141" s="422"/>
      <c r="QLG141" s="422"/>
      <c r="QLH141" s="422"/>
      <c r="QLI141" s="422"/>
      <c r="QLJ141" s="422"/>
      <c r="QLK141" s="422"/>
      <c r="QLL141" s="422"/>
      <c r="QLM141" s="422"/>
      <c r="QLN141" s="422"/>
      <c r="QLO141" s="422"/>
      <c r="QLP141" s="422"/>
      <c r="QLQ141" s="422"/>
      <c r="QLR141" s="422"/>
      <c r="QLS141" s="422"/>
      <c r="QLT141" s="422"/>
      <c r="QLU141" s="422"/>
      <c r="QLV141" s="422"/>
      <c r="QLW141" s="422"/>
      <c r="QLX141" s="422"/>
      <c r="QLY141" s="422"/>
      <c r="QLZ141" s="422"/>
      <c r="QMA141" s="422"/>
      <c r="QMB141" s="422"/>
      <c r="QMC141" s="422"/>
      <c r="QMD141" s="422"/>
      <c r="QME141" s="422"/>
      <c r="QMF141" s="422"/>
      <c r="QMG141" s="422"/>
      <c r="QMH141" s="422"/>
      <c r="QMI141" s="422"/>
      <c r="QMJ141" s="422"/>
      <c r="QMK141" s="422"/>
      <c r="QML141" s="422"/>
      <c r="QMM141" s="422"/>
      <c r="QMN141" s="422"/>
      <c r="QMO141" s="422"/>
      <c r="QMP141" s="422"/>
      <c r="QMQ141" s="422"/>
      <c r="QMR141" s="422"/>
      <c r="QMS141" s="422"/>
      <c r="QMT141" s="422"/>
      <c r="QMU141" s="422"/>
      <c r="QMV141" s="422"/>
      <c r="QMW141" s="422"/>
      <c r="QMX141" s="422"/>
      <c r="QMY141" s="422"/>
      <c r="QMZ141" s="422"/>
      <c r="QNA141" s="422"/>
      <c r="QNB141" s="422"/>
      <c r="QNC141" s="422"/>
      <c r="QND141" s="422"/>
      <c r="QNE141" s="422"/>
      <c r="QNF141" s="422"/>
      <c r="QNG141" s="422"/>
      <c r="QNH141" s="422"/>
      <c r="QNI141" s="422"/>
      <c r="QNJ141" s="422"/>
      <c r="QNK141" s="422"/>
      <c r="QNL141" s="422"/>
      <c r="QNM141" s="422"/>
      <c r="QNN141" s="422"/>
      <c r="QNO141" s="422"/>
      <c r="QNP141" s="422"/>
      <c r="QNQ141" s="422"/>
      <c r="QNR141" s="422"/>
      <c r="QNS141" s="422"/>
      <c r="QNT141" s="422"/>
      <c r="QNU141" s="422"/>
      <c r="QNV141" s="422"/>
      <c r="QNW141" s="422"/>
      <c r="QNX141" s="422"/>
      <c r="QNY141" s="422"/>
      <c r="QNZ141" s="422"/>
      <c r="QOA141" s="422"/>
      <c r="QOB141" s="422"/>
      <c r="QOC141" s="422"/>
      <c r="QOD141" s="422"/>
      <c r="QOE141" s="422"/>
      <c r="QOF141" s="422"/>
      <c r="QOG141" s="422"/>
      <c r="QOH141" s="422"/>
      <c r="QOI141" s="422"/>
      <c r="QOJ141" s="422"/>
      <c r="QOK141" s="422"/>
      <c r="QOL141" s="422"/>
      <c r="QOM141" s="422"/>
      <c r="QON141" s="422"/>
      <c r="QOO141" s="422"/>
      <c r="QOP141" s="422"/>
      <c r="QOQ141" s="422"/>
      <c r="QOR141" s="422"/>
      <c r="QOS141" s="422"/>
      <c r="QOT141" s="422"/>
      <c r="QOU141" s="422"/>
      <c r="QOV141" s="422"/>
      <c r="QOW141" s="422"/>
      <c r="QOX141" s="422"/>
      <c r="QOY141" s="422"/>
      <c r="QOZ141" s="422"/>
      <c r="QPA141" s="422"/>
      <c r="QPB141" s="422"/>
      <c r="QPC141" s="422"/>
      <c r="QPD141" s="422"/>
      <c r="QPE141" s="422"/>
      <c r="QPF141" s="422"/>
      <c r="QPG141" s="422"/>
      <c r="QPH141" s="422"/>
      <c r="QPI141" s="422"/>
      <c r="QPJ141" s="422"/>
      <c r="QPK141" s="422"/>
      <c r="QPL141" s="422"/>
      <c r="QPM141" s="422"/>
      <c r="QPN141" s="422"/>
      <c r="QPO141" s="422"/>
      <c r="QPP141" s="422"/>
      <c r="QPQ141" s="422"/>
      <c r="QPR141" s="422"/>
      <c r="QPS141" s="422"/>
      <c r="QPT141" s="422"/>
      <c r="QPU141" s="422"/>
      <c r="QPV141" s="422"/>
      <c r="QPW141" s="422"/>
      <c r="QPX141" s="422"/>
      <c r="QPY141" s="422"/>
      <c r="QPZ141" s="422"/>
      <c r="QQA141" s="422"/>
      <c r="QQB141" s="422"/>
      <c r="QQC141" s="422"/>
      <c r="QQD141" s="422"/>
      <c r="QQE141" s="422"/>
      <c r="QQF141" s="422"/>
      <c r="QQG141" s="422"/>
      <c r="QQH141" s="422"/>
      <c r="QQI141" s="422"/>
      <c r="QQJ141" s="422"/>
      <c r="QQK141" s="422"/>
      <c r="QQL141" s="422"/>
      <c r="QQM141" s="422"/>
      <c r="QQN141" s="422"/>
      <c r="QQO141" s="422"/>
      <c r="QQP141" s="422"/>
      <c r="QQQ141" s="422"/>
      <c r="QQR141" s="422"/>
      <c r="QQS141" s="422"/>
      <c r="QQT141" s="422"/>
      <c r="QQU141" s="422"/>
      <c r="QQV141" s="422"/>
      <c r="QQW141" s="422"/>
      <c r="QQX141" s="422"/>
      <c r="QQY141" s="422"/>
      <c r="QQZ141" s="422"/>
      <c r="QRA141" s="422"/>
      <c r="QRB141" s="422"/>
      <c r="QRC141" s="422"/>
      <c r="QRD141" s="422"/>
      <c r="QRE141" s="422"/>
      <c r="QRF141" s="422"/>
      <c r="QRG141" s="422"/>
      <c r="QRH141" s="422"/>
      <c r="QRI141" s="422"/>
      <c r="QRJ141" s="422"/>
      <c r="QRK141" s="422"/>
      <c r="QRL141" s="422"/>
      <c r="QRM141" s="422"/>
      <c r="QRN141" s="422"/>
      <c r="QRO141" s="422"/>
      <c r="QRP141" s="422"/>
      <c r="QRQ141" s="422"/>
      <c r="QRR141" s="422"/>
      <c r="QRS141" s="422"/>
      <c r="QRT141" s="422"/>
      <c r="QRU141" s="422"/>
      <c r="QRV141" s="422"/>
      <c r="QRW141" s="422"/>
      <c r="QRX141" s="422"/>
      <c r="QRY141" s="422"/>
      <c r="QRZ141" s="422"/>
      <c r="QSA141" s="422"/>
      <c r="QSB141" s="422"/>
      <c r="QSC141" s="422"/>
      <c r="QSD141" s="422"/>
      <c r="QSE141" s="422"/>
      <c r="QSF141" s="422"/>
      <c r="QSG141" s="422"/>
      <c r="QSH141" s="422"/>
      <c r="QSI141" s="422"/>
      <c r="QSJ141" s="422"/>
      <c r="QSK141" s="422"/>
      <c r="QSL141" s="422"/>
      <c r="QSM141" s="422"/>
      <c r="QSN141" s="422"/>
      <c r="QSO141" s="422"/>
      <c r="QSP141" s="422"/>
      <c r="QSQ141" s="422"/>
      <c r="QSR141" s="422"/>
      <c r="QSS141" s="422"/>
      <c r="QST141" s="422"/>
      <c r="QSU141" s="422"/>
      <c r="QSV141" s="422"/>
      <c r="QSW141" s="422"/>
      <c r="QSX141" s="422"/>
      <c r="QSY141" s="422"/>
      <c r="QSZ141" s="422"/>
      <c r="QTA141" s="422"/>
      <c r="QTB141" s="422"/>
      <c r="QTC141" s="422"/>
      <c r="QTD141" s="422"/>
      <c r="QTE141" s="422"/>
      <c r="QTF141" s="422"/>
      <c r="QTG141" s="422"/>
      <c r="QTH141" s="422"/>
      <c r="QTI141" s="422"/>
      <c r="QTJ141" s="422"/>
      <c r="QTK141" s="422"/>
      <c r="QTL141" s="422"/>
      <c r="QTM141" s="422"/>
      <c r="QTN141" s="422"/>
      <c r="QTO141" s="422"/>
      <c r="QTP141" s="422"/>
      <c r="QTQ141" s="422"/>
      <c r="QTR141" s="422"/>
      <c r="QTS141" s="422"/>
      <c r="QTT141" s="422"/>
      <c r="QTU141" s="422"/>
      <c r="QTV141" s="422"/>
      <c r="QTW141" s="422"/>
      <c r="QTX141" s="422"/>
      <c r="QTY141" s="422"/>
      <c r="QTZ141" s="422"/>
      <c r="QUA141" s="422"/>
      <c r="QUB141" s="422"/>
      <c r="QUC141" s="422"/>
      <c r="QUD141" s="422"/>
      <c r="QUE141" s="422"/>
      <c r="QUF141" s="422"/>
      <c r="QUG141" s="422"/>
      <c r="QUH141" s="422"/>
      <c r="QUI141" s="422"/>
      <c r="QUJ141" s="422"/>
      <c r="QUK141" s="422"/>
      <c r="QUL141" s="422"/>
      <c r="QUM141" s="422"/>
      <c r="QUN141" s="422"/>
      <c r="QUO141" s="422"/>
      <c r="QUP141" s="422"/>
      <c r="QUQ141" s="422"/>
      <c r="QUR141" s="422"/>
      <c r="QUS141" s="422"/>
      <c r="QUT141" s="422"/>
      <c r="QUU141" s="422"/>
      <c r="QUV141" s="422"/>
      <c r="QUW141" s="422"/>
      <c r="QUX141" s="422"/>
      <c r="QUY141" s="422"/>
      <c r="QUZ141" s="422"/>
      <c r="QVA141" s="422"/>
      <c r="QVB141" s="422"/>
      <c r="QVC141" s="422"/>
      <c r="QVD141" s="422"/>
      <c r="QVE141" s="422"/>
      <c r="QVF141" s="422"/>
      <c r="QVG141" s="422"/>
      <c r="QVH141" s="422"/>
      <c r="QVI141" s="422"/>
      <c r="QVJ141" s="422"/>
      <c r="QVK141" s="422"/>
      <c r="QVL141" s="422"/>
      <c r="QVM141" s="422"/>
      <c r="QVN141" s="422"/>
      <c r="QVO141" s="422"/>
      <c r="QVP141" s="422"/>
      <c r="QVQ141" s="422"/>
      <c r="QVR141" s="422"/>
      <c r="QVS141" s="422"/>
      <c r="QVT141" s="422"/>
      <c r="QVU141" s="422"/>
      <c r="QVV141" s="422"/>
      <c r="QVW141" s="422"/>
      <c r="QVX141" s="422"/>
      <c r="QVY141" s="422"/>
      <c r="QVZ141" s="422"/>
      <c r="QWA141" s="422"/>
      <c r="QWB141" s="422"/>
      <c r="QWC141" s="422"/>
      <c r="QWD141" s="422"/>
      <c r="QWE141" s="422"/>
      <c r="QWF141" s="422"/>
      <c r="QWG141" s="422"/>
      <c r="QWH141" s="422"/>
      <c r="QWI141" s="422"/>
      <c r="QWJ141" s="422"/>
      <c r="QWK141" s="422"/>
      <c r="QWL141" s="422"/>
      <c r="QWM141" s="422"/>
      <c r="QWN141" s="422"/>
      <c r="QWO141" s="422"/>
      <c r="QWP141" s="422"/>
      <c r="QWQ141" s="422"/>
      <c r="QWR141" s="422"/>
      <c r="QWS141" s="422"/>
      <c r="QWT141" s="422"/>
      <c r="QWU141" s="422"/>
      <c r="QWV141" s="422"/>
      <c r="QWW141" s="422"/>
      <c r="QWX141" s="422"/>
      <c r="QWY141" s="422"/>
      <c r="QWZ141" s="422"/>
      <c r="QXA141" s="422"/>
      <c r="QXB141" s="422"/>
      <c r="QXC141" s="422"/>
      <c r="QXD141" s="422"/>
      <c r="QXE141" s="422"/>
      <c r="QXF141" s="422"/>
      <c r="QXG141" s="422"/>
      <c r="QXH141" s="422"/>
      <c r="QXI141" s="422"/>
      <c r="QXJ141" s="422"/>
      <c r="QXK141" s="422"/>
      <c r="QXL141" s="422"/>
      <c r="QXM141" s="422"/>
      <c r="QXN141" s="422"/>
      <c r="QXO141" s="422"/>
      <c r="QXP141" s="422"/>
      <c r="QXQ141" s="422"/>
      <c r="QXR141" s="422"/>
      <c r="QXS141" s="422"/>
      <c r="QXT141" s="422"/>
      <c r="QXU141" s="422"/>
      <c r="QXV141" s="422"/>
      <c r="QXW141" s="422"/>
      <c r="QXX141" s="422"/>
      <c r="QXY141" s="422"/>
      <c r="QXZ141" s="422"/>
      <c r="QYA141" s="422"/>
      <c r="QYB141" s="422"/>
      <c r="QYC141" s="422"/>
      <c r="QYD141" s="422"/>
      <c r="QYE141" s="422"/>
      <c r="QYF141" s="422"/>
      <c r="QYG141" s="422"/>
      <c r="QYH141" s="422"/>
      <c r="QYI141" s="422"/>
      <c r="QYJ141" s="422"/>
      <c r="QYK141" s="422"/>
      <c r="QYL141" s="422"/>
      <c r="QYM141" s="422"/>
      <c r="QYN141" s="422"/>
      <c r="QYO141" s="422"/>
      <c r="QYP141" s="422"/>
      <c r="QYQ141" s="422"/>
      <c r="QYR141" s="422"/>
      <c r="QYS141" s="422"/>
      <c r="QYT141" s="422"/>
      <c r="QYU141" s="422"/>
      <c r="QYV141" s="422"/>
      <c r="QYW141" s="422"/>
      <c r="QYX141" s="422"/>
      <c r="QYY141" s="422"/>
      <c r="QYZ141" s="422"/>
      <c r="QZA141" s="422"/>
      <c r="QZB141" s="422"/>
      <c r="QZC141" s="422"/>
      <c r="QZD141" s="422"/>
      <c r="QZE141" s="422"/>
      <c r="QZF141" s="422"/>
      <c r="QZG141" s="422"/>
      <c r="QZH141" s="422"/>
      <c r="QZI141" s="422"/>
      <c r="QZJ141" s="422"/>
      <c r="QZK141" s="422"/>
      <c r="QZL141" s="422"/>
      <c r="QZM141" s="422"/>
      <c r="QZN141" s="422"/>
      <c r="QZO141" s="422"/>
      <c r="QZP141" s="422"/>
      <c r="QZQ141" s="422"/>
      <c r="QZR141" s="422"/>
      <c r="QZS141" s="422"/>
      <c r="QZT141" s="422"/>
      <c r="QZU141" s="422"/>
      <c r="QZV141" s="422"/>
      <c r="QZW141" s="422"/>
      <c r="QZX141" s="422"/>
      <c r="QZY141" s="422"/>
      <c r="QZZ141" s="422"/>
      <c r="RAA141" s="422"/>
      <c r="RAB141" s="422"/>
      <c r="RAC141" s="422"/>
      <c r="RAD141" s="422"/>
      <c r="RAE141" s="422"/>
      <c r="RAF141" s="422"/>
      <c r="RAG141" s="422"/>
      <c r="RAH141" s="422"/>
      <c r="RAI141" s="422"/>
      <c r="RAJ141" s="422"/>
      <c r="RAK141" s="422"/>
      <c r="RAL141" s="422"/>
      <c r="RAM141" s="422"/>
      <c r="RAN141" s="422"/>
      <c r="RAO141" s="422"/>
      <c r="RAP141" s="422"/>
      <c r="RAQ141" s="422"/>
      <c r="RAR141" s="422"/>
      <c r="RAS141" s="422"/>
      <c r="RAT141" s="422"/>
      <c r="RAU141" s="422"/>
      <c r="RAV141" s="422"/>
      <c r="RAW141" s="422"/>
      <c r="RAX141" s="422"/>
      <c r="RAY141" s="422"/>
      <c r="RAZ141" s="422"/>
      <c r="RBA141" s="422"/>
      <c r="RBB141" s="422"/>
      <c r="RBC141" s="422"/>
      <c r="RBD141" s="422"/>
      <c r="RBE141" s="422"/>
      <c r="RBF141" s="422"/>
      <c r="RBG141" s="422"/>
      <c r="RBH141" s="422"/>
      <c r="RBI141" s="422"/>
      <c r="RBJ141" s="422"/>
      <c r="RBK141" s="422"/>
      <c r="RBL141" s="422"/>
      <c r="RBM141" s="422"/>
      <c r="RBN141" s="422"/>
      <c r="RBO141" s="422"/>
      <c r="RBP141" s="422"/>
      <c r="RBQ141" s="422"/>
      <c r="RBR141" s="422"/>
      <c r="RBS141" s="422"/>
      <c r="RBT141" s="422"/>
      <c r="RBU141" s="422"/>
      <c r="RBV141" s="422"/>
      <c r="RBW141" s="422"/>
      <c r="RBX141" s="422"/>
      <c r="RBY141" s="422"/>
      <c r="RBZ141" s="422"/>
      <c r="RCA141" s="422"/>
      <c r="RCB141" s="422"/>
      <c r="RCC141" s="422"/>
      <c r="RCD141" s="422"/>
      <c r="RCE141" s="422"/>
      <c r="RCF141" s="422"/>
      <c r="RCG141" s="422"/>
      <c r="RCH141" s="422"/>
      <c r="RCI141" s="422"/>
      <c r="RCJ141" s="422"/>
      <c r="RCK141" s="422"/>
      <c r="RCL141" s="422"/>
      <c r="RCM141" s="422"/>
      <c r="RCN141" s="422"/>
      <c r="RCO141" s="422"/>
      <c r="RCP141" s="422"/>
      <c r="RCQ141" s="422"/>
      <c r="RCR141" s="422"/>
      <c r="RCS141" s="422"/>
      <c r="RCT141" s="422"/>
      <c r="RCU141" s="422"/>
      <c r="RCV141" s="422"/>
      <c r="RCW141" s="422"/>
      <c r="RCX141" s="422"/>
      <c r="RCY141" s="422"/>
      <c r="RCZ141" s="422"/>
      <c r="RDA141" s="422"/>
      <c r="RDB141" s="422"/>
      <c r="RDC141" s="422"/>
      <c r="RDD141" s="422"/>
      <c r="RDE141" s="422"/>
      <c r="RDF141" s="422"/>
      <c r="RDG141" s="422"/>
      <c r="RDH141" s="422"/>
      <c r="RDI141" s="422"/>
      <c r="RDJ141" s="422"/>
      <c r="RDK141" s="422"/>
      <c r="RDL141" s="422"/>
      <c r="RDM141" s="422"/>
      <c r="RDN141" s="422"/>
      <c r="RDO141" s="422"/>
      <c r="RDP141" s="422"/>
      <c r="RDQ141" s="422"/>
      <c r="RDR141" s="422"/>
      <c r="RDS141" s="422"/>
      <c r="RDT141" s="422"/>
      <c r="RDU141" s="422"/>
      <c r="RDV141" s="422"/>
      <c r="RDW141" s="422"/>
      <c r="RDX141" s="422"/>
      <c r="RDY141" s="422"/>
      <c r="RDZ141" s="422"/>
      <c r="REA141" s="422"/>
      <c r="REB141" s="422"/>
      <c r="REC141" s="422"/>
      <c r="RED141" s="422"/>
      <c r="REE141" s="422"/>
      <c r="REF141" s="422"/>
      <c r="REG141" s="422"/>
      <c r="REH141" s="422"/>
      <c r="REI141" s="422"/>
      <c r="REJ141" s="422"/>
      <c r="REK141" s="422"/>
      <c r="REL141" s="422"/>
      <c r="REM141" s="422"/>
      <c r="REN141" s="422"/>
      <c r="REO141" s="422"/>
      <c r="REP141" s="422"/>
      <c r="REQ141" s="422"/>
      <c r="RER141" s="422"/>
      <c r="RES141" s="422"/>
      <c r="RET141" s="422"/>
      <c r="REU141" s="422"/>
      <c r="REV141" s="422"/>
      <c r="REW141" s="422"/>
      <c r="REX141" s="422"/>
      <c r="REY141" s="422"/>
      <c r="REZ141" s="422"/>
      <c r="RFA141" s="422"/>
      <c r="RFB141" s="422"/>
      <c r="RFC141" s="422"/>
      <c r="RFD141" s="422"/>
      <c r="RFE141" s="422"/>
      <c r="RFF141" s="422"/>
      <c r="RFG141" s="422"/>
      <c r="RFH141" s="422"/>
      <c r="RFI141" s="422"/>
      <c r="RFJ141" s="422"/>
      <c r="RFK141" s="422"/>
      <c r="RFL141" s="422"/>
      <c r="RFM141" s="422"/>
      <c r="RFN141" s="422"/>
      <c r="RFO141" s="422"/>
      <c r="RFP141" s="422"/>
      <c r="RFQ141" s="422"/>
      <c r="RFR141" s="422"/>
      <c r="RFS141" s="422"/>
      <c r="RFT141" s="422"/>
      <c r="RFU141" s="422"/>
      <c r="RFV141" s="422"/>
      <c r="RFW141" s="422"/>
      <c r="RFX141" s="422"/>
      <c r="RFY141" s="422"/>
      <c r="RFZ141" s="422"/>
      <c r="RGA141" s="422"/>
      <c r="RGB141" s="422"/>
      <c r="RGC141" s="422"/>
      <c r="RGD141" s="422"/>
      <c r="RGE141" s="422"/>
      <c r="RGF141" s="422"/>
      <c r="RGG141" s="422"/>
      <c r="RGH141" s="422"/>
      <c r="RGI141" s="422"/>
      <c r="RGJ141" s="422"/>
      <c r="RGK141" s="422"/>
      <c r="RGL141" s="422"/>
      <c r="RGM141" s="422"/>
      <c r="RGN141" s="422"/>
      <c r="RGO141" s="422"/>
      <c r="RGP141" s="422"/>
      <c r="RGQ141" s="422"/>
      <c r="RGR141" s="422"/>
      <c r="RGS141" s="422"/>
      <c r="RGT141" s="422"/>
      <c r="RGU141" s="422"/>
      <c r="RGV141" s="422"/>
      <c r="RGW141" s="422"/>
      <c r="RGX141" s="422"/>
      <c r="RGY141" s="422"/>
      <c r="RGZ141" s="422"/>
      <c r="RHA141" s="422"/>
      <c r="RHB141" s="422"/>
      <c r="RHC141" s="422"/>
      <c r="RHD141" s="422"/>
      <c r="RHE141" s="422"/>
      <c r="RHF141" s="422"/>
      <c r="RHG141" s="422"/>
      <c r="RHH141" s="422"/>
      <c r="RHI141" s="422"/>
      <c r="RHJ141" s="422"/>
      <c r="RHK141" s="422"/>
      <c r="RHL141" s="422"/>
      <c r="RHM141" s="422"/>
      <c r="RHN141" s="422"/>
      <c r="RHO141" s="422"/>
      <c r="RHP141" s="422"/>
      <c r="RHQ141" s="422"/>
      <c r="RHR141" s="422"/>
      <c r="RHS141" s="422"/>
      <c r="RHT141" s="422"/>
      <c r="RHU141" s="422"/>
      <c r="RHV141" s="422"/>
      <c r="RHW141" s="422"/>
      <c r="RHX141" s="422"/>
      <c r="RHY141" s="422"/>
      <c r="RHZ141" s="422"/>
      <c r="RIA141" s="422"/>
      <c r="RIB141" s="422"/>
      <c r="RIC141" s="422"/>
      <c r="RID141" s="422"/>
      <c r="RIE141" s="422"/>
      <c r="RIF141" s="422"/>
      <c r="RIG141" s="422"/>
      <c r="RIH141" s="422"/>
      <c r="RII141" s="422"/>
      <c r="RIJ141" s="422"/>
      <c r="RIK141" s="422"/>
      <c r="RIL141" s="422"/>
      <c r="RIM141" s="422"/>
      <c r="RIN141" s="422"/>
      <c r="RIO141" s="422"/>
      <c r="RIP141" s="422"/>
      <c r="RIQ141" s="422"/>
      <c r="RIR141" s="422"/>
      <c r="RIS141" s="422"/>
      <c r="RIT141" s="422"/>
      <c r="RIU141" s="422"/>
      <c r="RIV141" s="422"/>
      <c r="RIW141" s="422"/>
      <c r="RIX141" s="422"/>
      <c r="RIY141" s="422"/>
      <c r="RIZ141" s="422"/>
      <c r="RJA141" s="422"/>
      <c r="RJB141" s="422"/>
      <c r="RJC141" s="422"/>
      <c r="RJD141" s="422"/>
      <c r="RJE141" s="422"/>
      <c r="RJF141" s="422"/>
      <c r="RJG141" s="422"/>
      <c r="RJH141" s="422"/>
      <c r="RJI141" s="422"/>
      <c r="RJJ141" s="422"/>
      <c r="RJK141" s="422"/>
      <c r="RJL141" s="422"/>
      <c r="RJM141" s="422"/>
      <c r="RJN141" s="422"/>
      <c r="RJO141" s="422"/>
      <c r="RJP141" s="422"/>
      <c r="RJQ141" s="422"/>
      <c r="RJR141" s="422"/>
      <c r="RJS141" s="422"/>
      <c r="RJT141" s="422"/>
      <c r="RJU141" s="422"/>
      <c r="RJV141" s="422"/>
      <c r="RJW141" s="422"/>
      <c r="RJX141" s="422"/>
      <c r="RJY141" s="422"/>
      <c r="RJZ141" s="422"/>
      <c r="RKA141" s="422"/>
      <c r="RKB141" s="422"/>
      <c r="RKC141" s="422"/>
      <c r="RKD141" s="422"/>
      <c r="RKE141" s="422"/>
      <c r="RKF141" s="422"/>
      <c r="RKG141" s="422"/>
      <c r="RKH141" s="422"/>
      <c r="RKI141" s="422"/>
      <c r="RKJ141" s="422"/>
      <c r="RKK141" s="422"/>
      <c r="RKL141" s="422"/>
      <c r="RKM141" s="422"/>
      <c r="RKN141" s="422"/>
      <c r="RKO141" s="422"/>
      <c r="RKP141" s="422"/>
      <c r="RKQ141" s="422"/>
      <c r="RKR141" s="422"/>
      <c r="RKS141" s="422"/>
      <c r="RKT141" s="422"/>
      <c r="RKU141" s="422"/>
      <c r="RKV141" s="422"/>
      <c r="RKW141" s="422"/>
      <c r="RKX141" s="422"/>
      <c r="RKY141" s="422"/>
      <c r="RKZ141" s="422"/>
      <c r="RLA141" s="422"/>
      <c r="RLB141" s="422"/>
      <c r="RLC141" s="422"/>
      <c r="RLD141" s="422"/>
      <c r="RLE141" s="422"/>
      <c r="RLF141" s="422"/>
      <c r="RLG141" s="422"/>
      <c r="RLH141" s="422"/>
      <c r="RLI141" s="422"/>
      <c r="RLJ141" s="422"/>
      <c r="RLK141" s="422"/>
      <c r="RLL141" s="422"/>
      <c r="RLM141" s="422"/>
      <c r="RLN141" s="422"/>
      <c r="RLO141" s="422"/>
      <c r="RLP141" s="422"/>
      <c r="RLQ141" s="422"/>
      <c r="RLR141" s="422"/>
      <c r="RLS141" s="422"/>
      <c r="RLT141" s="422"/>
      <c r="RLU141" s="422"/>
      <c r="RLV141" s="422"/>
      <c r="RLW141" s="422"/>
      <c r="RLX141" s="422"/>
      <c r="RLY141" s="422"/>
      <c r="RLZ141" s="422"/>
      <c r="RMA141" s="422"/>
      <c r="RMB141" s="422"/>
      <c r="RMC141" s="422"/>
      <c r="RMD141" s="422"/>
      <c r="RME141" s="422"/>
      <c r="RMF141" s="422"/>
      <c r="RMG141" s="422"/>
      <c r="RMH141" s="422"/>
      <c r="RMI141" s="422"/>
      <c r="RMJ141" s="422"/>
      <c r="RMK141" s="422"/>
      <c r="RML141" s="422"/>
      <c r="RMM141" s="422"/>
      <c r="RMN141" s="422"/>
      <c r="RMO141" s="422"/>
      <c r="RMP141" s="422"/>
      <c r="RMQ141" s="422"/>
      <c r="RMR141" s="422"/>
      <c r="RMS141" s="422"/>
      <c r="RMT141" s="422"/>
      <c r="RMU141" s="422"/>
      <c r="RMV141" s="422"/>
      <c r="RMW141" s="422"/>
      <c r="RMX141" s="422"/>
      <c r="RMY141" s="422"/>
      <c r="RMZ141" s="422"/>
      <c r="RNA141" s="422"/>
      <c r="RNB141" s="422"/>
      <c r="RNC141" s="422"/>
      <c r="RND141" s="422"/>
      <c r="RNE141" s="422"/>
      <c r="RNF141" s="422"/>
      <c r="RNG141" s="422"/>
      <c r="RNH141" s="422"/>
      <c r="RNI141" s="422"/>
      <c r="RNJ141" s="422"/>
      <c r="RNK141" s="422"/>
      <c r="RNL141" s="422"/>
      <c r="RNM141" s="422"/>
      <c r="RNN141" s="422"/>
      <c r="RNO141" s="422"/>
      <c r="RNP141" s="422"/>
      <c r="RNQ141" s="422"/>
      <c r="RNR141" s="422"/>
      <c r="RNS141" s="422"/>
      <c r="RNT141" s="422"/>
      <c r="RNU141" s="422"/>
      <c r="RNV141" s="422"/>
      <c r="RNW141" s="422"/>
      <c r="RNX141" s="422"/>
      <c r="RNY141" s="422"/>
      <c r="RNZ141" s="422"/>
      <c r="ROA141" s="422"/>
      <c r="ROB141" s="422"/>
      <c r="ROC141" s="422"/>
      <c r="ROD141" s="422"/>
      <c r="ROE141" s="422"/>
      <c r="ROF141" s="422"/>
      <c r="ROG141" s="422"/>
      <c r="ROH141" s="422"/>
      <c r="ROI141" s="422"/>
      <c r="ROJ141" s="422"/>
      <c r="ROK141" s="422"/>
      <c r="ROL141" s="422"/>
      <c r="ROM141" s="422"/>
      <c r="RON141" s="422"/>
      <c r="ROO141" s="422"/>
      <c r="ROP141" s="422"/>
      <c r="ROQ141" s="422"/>
      <c r="ROR141" s="422"/>
      <c r="ROS141" s="422"/>
      <c r="ROT141" s="422"/>
      <c r="ROU141" s="422"/>
      <c r="ROV141" s="422"/>
      <c r="ROW141" s="422"/>
      <c r="ROX141" s="422"/>
      <c r="ROY141" s="422"/>
      <c r="ROZ141" s="422"/>
      <c r="RPA141" s="422"/>
      <c r="RPB141" s="422"/>
      <c r="RPC141" s="422"/>
      <c r="RPD141" s="422"/>
      <c r="RPE141" s="422"/>
      <c r="RPF141" s="422"/>
      <c r="RPG141" s="422"/>
      <c r="RPH141" s="422"/>
      <c r="RPI141" s="422"/>
      <c r="RPJ141" s="422"/>
      <c r="RPK141" s="422"/>
      <c r="RPL141" s="422"/>
      <c r="RPM141" s="422"/>
      <c r="RPN141" s="422"/>
      <c r="RPO141" s="422"/>
      <c r="RPP141" s="422"/>
      <c r="RPQ141" s="422"/>
      <c r="RPR141" s="422"/>
      <c r="RPS141" s="422"/>
      <c r="RPT141" s="422"/>
      <c r="RPU141" s="422"/>
      <c r="RPV141" s="422"/>
      <c r="RPW141" s="422"/>
      <c r="RPX141" s="422"/>
      <c r="RPY141" s="422"/>
      <c r="RPZ141" s="422"/>
      <c r="RQA141" s="422"/>
      <c r="RQB141" s="422"/>
      <c r="RQC141" s="422"/>
      <c r="RQD141" s="422"/>
      <c r="RQE141" s="422"/>
      <c r="RQF141" s="422"/>
      <c r="RQG141" s="422"/>
      <c r="RQH141" s="422"/>
      <c r="RQI141" s="422"/>
      <c r="RQJ141" s="422"/>
      <c r="RQK141" s="422"/>
      <c r="RQL141" s="422"/>
      <c r="RQM141" s="422"/>
      <c r="RQN141" s="422"/>
      <c r="RQO141" s="422"/>
      <c r="RQP141" s="422"/>
      <c r="RQQ141" s="422"/>
      <c r="RQR141" s="422"/>
      <c r="RQS141" s="422"/>
      <c r="RQT141" s="422"/>
      <c r="RQU141" s="422"/>
      <c r="RQV141" s="422"/>
      <c r="RQW141" s="422"/>
      <c r="RQX141" s="422"/>
      <c r="RQY141" s="422"/>
      <c r="RQZ141" s="422"/>
      <c r="RRA141" s="422"/>
      <c r="RRB141" s="422"/>
      <c r="RRC141" s="422"/>
      <c r="RRD141" s="422"/>
      <c r="RRE141" s="422"/>
      <c r="RRF141" s="422"/>
      <c r="RRG141" s="422"/>
      <c r="RRH141" s="422"/>
      <c r="RRI141" s="422"/>
      <c r="RRJ141" s="422"/>
      <c r="RRK141" s="422"/>
      <c r="RRL141" s="422"/>
      <c r="RRM141" s="422"/>
      <c r="RRN141" s="422"/>
      <c r="RRO141" s="422"/>
      <c r="RRP141" s="422"/>
      <c r="RRQ141" s="422"/>
      <c r="RRR141" s="422"/>
      <c r="RRS141" s="422"/>
      <c r="RRT141" s="422"/>
      <c r="RRU141" s="422"/>
      <c r="RRV141" s="422"/>
      <c r="RRW141" s="422"/>
      <c r="RRX141" s="422"/>
      <c r="RRY141" s="422"/>
      <c r="RRZ141" s="422"/>
      <c r="RSA141" s="422"/>
      <c r="RSB141" s="422"/>
      <c r="RSC141" s="422"/>
      <c r="RSD141" s="422"/>
      <c r="RSE141" s="422"/>
      <c r="RSF141" s="422"/>
      <c r="RSG141" s="422"/>
      <c r="RSH141" s="422"/>
      <c r="RSI141" s="422"/>
      <c r="RSJ141" s="422"/>
      <c r="RSK141" s="422"/>
      <c r="RSL141" s="422"/>
      <c r="RSM141" s="422"/>
      <c r="RSN141" s="422"/>
      <c r="RSO141" s="422"/>
      <c r="RSP141" s="422"/>
      <c r="RSQ141" s="422"/>
      <c r="RSR141" s="422"/>
      <c r="RSS141" s="422"/>
      <c r="RST141" s="422"/>
      <c r="RSU141" s="422"/>
      <c r="RSV141" s="422"/>
      <c r="RSW141" s="422"/>
      <c r="RSX141" s="422"/>
      <c r="RSY141" s="422"/>
      <c r="RSZ141" s="422"/>
      <c r="RTA141" s="422"/>
      <c r="RTB141" s="422"/>
      <c r="RTC141" s="422"/>
      <c r="RTD141" s="422"/>
      <c r="RTE141" s="422"/>
      <c r="RTF141" s="422"/>
      <c r="RTG141" s="422"/>
      <c r="RTH141" s="422"/>
      <c r="RTI141" s="422"/>
      <c r="RTJ141" s="422"/>
      <c r="RTK141" s="422"/>
      <c r="RTL141" s="422"/>
      <c r="RTM141" s="422"/>
      <c r="RTN141" s="422"/>
      <c r="RTO141" s="422"/>
      <c r="RTP141" s="422"/>
      <c r="RTQ141" s="422"/>
      <c r="RTR141" s="422"/>
      <c r="RTS141" s="422"/>
      <c r="RTT141" s="422"/>
      <c r="RTU141" s="422"/>
      <c r="RTV141" s="422"/>
      <c r="RTW141" s="422"/>
      <c r="RTX141" s="422"/>
      <c r="RTY141" s="422"/>
      <c r="RTZ141" s="422"/>
      <c r="RUA141" s="422"/>
      <c r="RUB141" s="422"/>
      <c r="RUC141" s="422"/>
      <c r="RUD141" s="422"/>
      <c r="RUE141" s="422"/>
      <c r="RUF141" s="422"/>
      <c r="RUG141" s="422"/>
      <c r="RUH141" s="422"/>
      <c r="RUI141" s="422"/>
      <c r="RUJ141" s="422"/>
      <c r="RUK141" s="422"/>
      <c r="RUL141" s="422"/>
      <c r="RUM141" s="422"/>
      <c r="RUN141" s="422"/>
      <c r="RUO141" s="422"/>
      <c r="RUP141" s="422"/>
      <c r="RUQ141" s="422"/>
      <c r="RUR141" s="422"/>
      <c r="RUS141" s="422"/>
      <c r="RUT141" s="422"/>
      <c r="RUU141" s="422"/>
      <c r="RUV141" s="422"/>
      <c r="RUW141" s="422"/>
      <c r="RUX141" s="422"/>
      <c r="RUY141" s="422"/>
      <c r="RUZ141" s="422"/>
      <c r="RVA141" s="422"/>
      <c r="RVB141" s="422"/>
      <c r="RVC141" s="422"/>
      <c r="RVD141" s="422"/>
      <c r="RVE141" s="422"/>
      <c r="RVF141" s="422"/>
      <c r="RVG141" s="422"/>
      <c r="RVH141" s="422"/>
      <c r="RVI141" s="422"/>
      <c r="RVJ141" s="422"/>
      <c r="RVK141" s="422"/>
      <c r="RVL141" s="422"/>
      <c r="RVM141" s="422"/>
      <c r="RVN141" s="422"/>
      <c r="RVO141" s="422"/>
      <c r="RVP141" s="422"/>
      <c r="RVQ141" s="422"/>
      <c r="RVR141" s="422"/>
      <c r="RVS141" s="422"/>
      <c r="RVT141" s="422"/>
      <c r="RVU141" s="422"/>
      <c r="RVV141" s="422"/>
      <c r="RVW141" s="422"/>
      <c r="RVX141" s="422"/>
      <c r="RVY141" s="422"/>
      <c r="RVZ141" s="422"/>
      <c r="RWA141" s="422"/>
      <c r="RWB141" s="422"/>
      <c r="RWC141" s="422"/>
      <c r="RWD141" s="422"/>
      <c r="RWE141" s="422"/>
      <c r="RWF141" s="422"/>
      <c r="RWG141" s="422"/>
      <c r="RWH141" s="422"/>
      <c r="RWI141" s="422"/>
      <c r="RWJ141" s="422"/>
      <c r="RWK141" s="422"/>
      <c r="RWL141" s="422"/>
      <c r="RWM141" s="422"/>
      <c r="RWN141" s="422"/>
      <c r="RWO141" s="422"/>
      <c r="RWP141" s="422"/>
      <c r="RWQ141" s="422"/>
      <c r="RWR141" s="422"/>
      <c r="RWS141" s="422"/>
      <c r="RWT141" s="422"/>
      <c r="RWU141" s="422"/>
      <c r="RWV141" s="422"/>
      <c r="RWW141" s="422"/>
      <c r="RWX141" s="422"/>
      <c r="RWY141" s="422"/>
      <c r="RWZ141" s="422"/>
      <c r="RXA141" s="422"/>
      <c r="RXB141" s="422"/>
      <c r="RXC141" s="422"/>
      <c r="RXD141" s="422"/>
      <c r="RXE141" s="422"/>
      <c r="RXF141" s="422"/>
      <c r="RXG141" s="422"/>
      <c r="RXH141" s="422"/>
      <c r="RXI141" s="422"/>
      <c r="RXJ141" s="422"/>
      <c r="RXK141" s="422"/>
      <c r="RXL141" s="422"/>
      <c r="RXM141" s="422"/>
      <c r="RXN141" s="422"/>
      <c r="RXO141" s="422"/>
      <c r="RXP141" s="422"/>
      <c r="RXQ141" s="422"/>
      <c r="RXR141" s="422"/>
      <c r="RXS141" s="422"/>
      <c r="RXT141" s="422"/>
      <c r="RXU141" s="422"/>
      <c r="RXV141" s="422"/>
      <c r="RXW141" s="422"/>
      <c r="RXX141" s="422"/>
      <c r="RXY141" s="422"/>
      <c r="RXZ141" s="422"/>
      <c r="RYA141" s="422"/>
      <c r="RYB141" s="422"/>
      <c r="RYC141" s="422"/>
      <c r="RYD141" s="422"/>
      <c r="RYE141" s="422"/>
      <c r="RYF141" s="422"/>
      <c r="RYG141" s="422"/>
      <c r="RYH141" s="422"/>
      <c r="RYI141" s="422"/>
      <c r="RYJ141" s="422"/>
      <c r="RYK141" s="422"/>
      <c r="RYL141" s="422"/>
      <c r="RYM141" s="422"/>
      <c r="RYN141" s="422"/>
      <c r="RYO141" s="422"/>
      <c r="RYP141" s="422"/>
      <c r="RYQ141" s="422"/>
      <c r="RYR141" s="422"/>
      <c r="RYS141" s="422"/>
      <c r="RYT141" s="422"/>
      <c r="RYU141" s="422"/>
      <c r="RYV141" s="422"/>
      <c r="RYW141" s="422"/>
      <c r="RYX141" s="422"/>
      <c r="RYY141" s="422"/>
      <c r="RYZ141" s="422"/>
      <c r="RZA141" s="422"/>
      <c r="RZB141" s="422"/>
      <c r="RZC141" s="422"/>
      <c r="RZD141" s="422"/>
      <c r="RZE141" s="422"/>
      <c r="RZF141" s="422"/>
      <c r="RZG141" s="422"/>
      <c r="RZH141" s="422"/>
      <c r="RZI141" s="422"/>
      <c r="RZJ141" s="422"/>
      <c r="RZK141" s="422"/>
      <c r="RZL141" s="422"/>
      <c r="RZM141" s="422"/>
      <c r="RZN141" s="422"/>
      <c r="RZO141" s="422"/>
      <c r="RZP141" s="422"/>
      <c r="RZQ141" s="422"/>
      <c r="RZR141" s="422"/>
      <c r="RZS141" s="422"/>
      <c r="RZT141" s="422"/>
      <c r="RZU141" s="422"/>
      <c r="RZV141" s="422"/>
      <c r="RZW141" s="422"/>
      <c r="RZX141" s="422"/>
      <c r="RZY141" s="422"/>
      <c r="RZZ141" s="422"/>
      <c r="SAA141" s="422"/>
      <c r="SAB141" s="422"/>
      <c r="SAC141" s="422"/>
      <c r="SAD141" s="422"/>
      <c r="SAE141" s="422"/>
      <c r="SAF141" s="422"/>
      <c r="SAG141" s="422"/>
      <c r="SAH141" s="422"/>
      <c r="SAI141" s="422"/>
      <c r="SAJ141" s="422"/>
      <c r="SAK141" s="422"/>
      <c r="SAL141" s="422"/>
      <c r="SAM141" s="422"/>
      <c r="SAN141" s="422"/>
      <c r="SAO141" s="422"/>
      <c r="SAP141" s="422"/>
      <c r="SAQ141" s="422"/>
      <c r="SAR141" s="422"/>
      <c r="SAS141" s="422"/>
      <c r="SAT141" s="422"/>
      <c r="SAU141" s="422"/>
      <c r="SAV141" s="422"/>
      <c r="SAW141" s="422"/>
      <c r="SAX141" s="422"/>
      <c r="SAY141" s="422"/>
      <c r="SAZ141" s="422"/>
      <c r="SBA141" s="422"/>
      <c r="SBB141" s="422"/>
      <c r="SBC141" s="422"/>
      <c r="SBD141" s="422"/>
      <c r="SBE141" s="422"/>
      <c r="SBF141" s="422"/>
      <c r="SBG141" s="422"/>
      <c r="SBH141" s="422"/>
      <c r="SBI141" s="422"/>
      <c r="SBJ141" s="422"/>
      <c r="SBK141" s="422"/>
      <c r="SBL141" s="422"/>
      <c r="SBM141" s="422"/>
      <c r="SBN141" s="422"/>
      <c r="SBO141" s="422"/>
      <c r="SBP141" s="422"/>
      <c r="SBQ141" s="422"/>
      <c r="SBR141" s="422"/>
      <c r="SBS141" s="422"/>
      <c r="SBT141" s="422"/>
      <c r="SBU141" s="422"/>
      <c r="SBV141" s="422"/>
      <c r="SBW141" s="422"/>
      <c r="SBX141" s="422"/>
      <c r="SBY141" s="422"/>
      <c r="SBZ141" s="422"/>
      <c r="SCA141" s="422"/>
      <c r="SCB141" s="422"/>
      <c r="SCC141" s="422"/>
      <c r="SCD141" s="422"/>
      <c r="SCE141" s="422"/>
      <c r="SCF141" s="422"/>
      <c r="SCG141" s="422"/>
      <c r="SCH141" s="422"/>
      <c r="SCI141" s="422"/>
      <c r="SCJ141" s="422"/>
      <c r="SCK141" s="422"/>
      <c r="SCL141" s="422"/>
      <c r="SCM141" s="422"/>
      <c r="SCN141" s="422"/>
      <c r="SCO141" s="422"/>
      <c r="SCP141" s="422"/>
      <c r="SCQ141" s="422"/>
      <c r="SCR141" s="422"/>
      <c r="SCS141" s="422"/>
      <c r="SCT141" s="422"/>
      <c r="SCU141" s="422"/>
      <c r="SCV141" s="422"/>
      <c r="SCW141" s="422"/>
      <c r="SCX141" s="422"/>
      <c r="SCY141" s="422"/>
      <c r="SCZ141" s="422"/>
      <c r="SDA141" s="422"/>
      <c r="SDB141" s="422"/>
      <c r="SDC141" s="422"/>
      <c r="SDD141" s="422"/>
      <c r="SDE141" s="422"/>
      <c r="SDF141" s="422"/>
      <c r="SDG141" s="422"/>
      <c r="SDH141" s="422"/>
      <c r="SDI141" s="422"/>
      <c r="SDJ141" s="422"/>
      <c r="SDK141" s="422"/>
      <c r="SDL141" s="422"/>
      <c r="SDM141" s="422"/>
      <c r="SDN141" s="422"/>
      <c r="SDO141" s="422"/>
      <c r="SDP141" s="422"/>
      <c r="SDQ141" s="422"/>
      <c r="SDR141" s="422"/>
      <c r="SDS141" s="422"/>
      <c r="SDT141" s="422"/>
      <c r="SDU141" s="422"/>
      <c r="SDV141" s="422"/>
      <c r="SDW141" s="422"/>
      <c r="SDX141" s="422"/>
      <c r="SDY141" s="422"/>
      <c r="SDZ141" s="422"/>
      <c r="SEA141" s="422"/>
      <c r="SEB141" s="422"/>
      <c r="SEC141" s="422"/>
      <c r="SED141" s="422"/>
      <c r="SEE141" s="422"/>
      <c r="SEF141" s="422"/>
      <c r="SEG141" s="422"/>
      <c r="SEH141" s="422"/>
      <c r="SEI141" s="422"/>
      <c r="SEJ141" s="422"/>
      <c r="SEK141" s="422"/>
      <c r="SEL141" s="422"/>
      <c r="SEM141" s="422"/>
      <c r="SEN141" s="422"/>
      <c r="SEO141" s="422"/>
      <c r="SEP141" s="422"/>
      <c r="SEQ141" s="422"/>
      <c r="SER141" s="422"/>
      <c r="SES141" s="422"/>
      <c r="SET141" s="422"/>
      <c r="SEU141" s="422"/>
      <c r="SEV141" s="422"/>
      <c r="SEW141" s="422"/>
      <c r="SEX141" s="422"/>
      <c r="SEY141" s="422"/>
      <c r="SEZ141" s="422"/>
      <c r="SFA141" s="422"/>
      <c r="SFB141" s="422"/>
      <c r="SFC141" s="422"/>
      <c r="SFD141" s="422"/>
      <c r="SFE141" s="422"/>
      <c r="SFF141" s="422"/>
      <c r="SFG141" s="422"/>
      <c r="SFH141" s="422"/>
      <c r="SFI141" s="422"/>
      <c r="SFJ141" s="422"/>
      <c r="SFK141" s="422"/>
      <c r="SFL141" s="422"/>
      <c r="SFM141" s="422"/>
      <c r="SFN141" s="422"/>
      <c r="SFO141" s="422"/>
      <c r="SFP141" s="422"/>
      <c r="SFQ141" s="422"/>
      <c r="SFR141" s="422"/>
      <c r="SFS141" s="422"/>
      <c r="SFT141" s="422"/>
      <c r="SFU141" s="422"/>
      <c r="SFV141" s="422"/>
      <c r="SFW141" s="422"/>
      <c r="SFX141" s="422"/>
      <c r="SFY141" s="422"/>
      <c r="SFZ141" s="422"/>
      <c r="SGA141" s="422"/>
      <c r="SGB141" s="422"/>
      <c r="SGC141" s="422"/>
      <c r="SGD141" s="422"/>
      <c r="SGE141" s="422"/>
      <c r="SGF141" s="422"/>
      <c r="SGG141" s="422"/>
      <c r="SGH141" s="422"/>
      <c r="SGI141" s="422"/>
      <c r="SGJ141" s="422"/>
      <c r="SGK141" s="422"/>
      <c r="SGL141" s="422"/>
      <c r="SGM141" s="422"/>
      <c r="SGN141" s="422"/>
      <c r="SGO141" s="422"/>
      <c r="SGP141" s="422"/>
      <c r="SGQ141" s="422"/>
      <c r="SGR141" s="422"/>
      <c r="SGS141" s="422"/>
      <c r="SGT141" s="422"/>
      <c r="SGU141" s="422"/>
      <c r="SGV141" s="422"/>
      <c r="SGW141" s="422"/>
      <c r="SGX141" s="422"/>
      <c r="SGY141" s="422"/>
      <c r="SGZ141" s="422"/>
      <c r="SHA141" s="422"/>
      <c r="SHB141" s="422"/>
      <c r="SHC141" s="422"/>
      <c r="SHD141" s="422"/>
      <c r="SHE141" s="422"/>
      <c r="SHF141" s="422"/>
      <c r="SHG141" s="422"/>
      <c r="SHH141" s="422"/>
      <c r="SHI141" s="422"/>
      <c r="SHJ141" s="422"/>
      <c r="SHK141" s="422"/>
      <c r="SHL141" s="422"/>
      <c r="SHM141" s="422"/>
      <c r="SHN141" s="422"/>
      <c r="SHO141" s="422"/>
      <c r="SHP141" s="422"/>
      <c r="SHQ141" s="422"/>
      <c r="SHR141" s="422"/>
      <c r="SHS141" s="422"/>
      <c r="SHT141" s="422"/>
      <c r="SHU141" s="422"/>
      <c r="SHV141" s="422"/>
      <c r="SHW141" s="422"/>
      <c r="SHX141" s="422"/>
      <c r="SHY141" s="422"/>
      <c r="SHZ141" s="422"/>
      <c r="SIA141" s="422"/>
      <c r="SIB141" s="422"/>
      <c r="SIC141" s="422"/>
      <c r="SID141" s="422"/>
      <c r="SIE141" s="422"/>
      <c r="SIF141" s="422"/>
      <c r="SIG141" s="422"/>
      <c r="SIH141" s="422"/>
      <c r="SII141" s="422"/>
      <c r="SIJ141" s="422"/>
      <c r="SIK141" s="422"/>
      <c r="SIL141" s="422"/>
      <c r="SIM141" s="422"/>
      <c r="SIN141" s="422"/>
      <c r="SIO141" s="422"/>
      <c r="SIP141" s="422"/>
      <c r="SIQ141" s="422"/>
      <c r="SIR141" s="422"/>
      <c r="SIS141" s="422"/>
      <c r="SIT141" s="422"/>
      <c r="SIU141" s="422"/>
      <c r="SIV141" s="422"/>
      <c r="SIW141" s="422"/>
      <c r="SIX141" s="422"/>
      <c r="SIY141" s="422"/>
      <c r="SIZ141" s="422"/>
      <c r="SJA141" s="422"/>
      <c r="SJB141" s="422"/>
      <c r="SJC141" s="422"/>
      <c r="SJD141" s="422"/>
      <c r="SJE141" s="422"/>
      <c r="SJF141" s="422"/>
      <c r="SJG141" s="422"/>
      <c r="SJH141" s="422"/>
      <c r="SJI141" s="422"/>
      <c r="SJJ141" s="422"/>
      <c r="SJK141" s="422"/>
      <c r="SJL141" s="422"/>
      <c r="SJM141" s="422"/>
      <c r="SJN141" s="422"/>
      <c r="SJO141" s="422"/>
      <c r="SJP141" s="422"/>
      <c r="SJQ141" s="422"/>
      <c r="SJR141" s="422"/>
      <c r="SJS141" s="422"/>
      <c r="SJT141" s="422"/>
      <c r="SJU141" s="422"/>
      <c r="SJV141" s="422"/>
      <c r="SJW141" s="422"/>
      <c r="SJX141" s="422"/>
      <c r="SJY141" s="422"/>
      <c r="SJZ141" s="422"/>
      <c r="SKA141" s="422"/>
      <c r="SKB141" s="422"/>
      <c r="SKC141" s="422"/>
      <c r="SKD141" s="422"/>
      <c r="SKE141" s="422"/>
      <c r="SKF141" s="422"/>
      <c r="SKG141" s="422"/>
      <c r="SKH141" s="422"/>
      <c r="SKI141" s="422"/>
      <c r="SKJ141" s="422"/>
      <c r="SKK141" s="422"/>
      <c r="SKL141" s="422"/>
      <c r="SKM141" s="422"/>
      <c r="SKN141" s="422"/>
      <c r="SKO141" s="422"/>
      <c r="SKP141" s="422"/>
      <c r="SKQ141" s="422"/>
      <c r="SKR141" s="422"/>
      <c r="SKS141" s="422"/>
      <c r="SKT141" s="422"/>
      <c r="SKU141" s="422"/>
      <c r="SKV141" s="422"/>
      <c r="SKW141" s="422"/>
      <c r="SKX141" s="422"/>
      <c r="SKY141" s="422"/>
      <c r="SKZ141" s="422"/>
      <c r="SLA141" s="422"/>
      <c r="SLB141" s="422"/>
      <c r="SLC141" s="422"/>
      <c r="SLD141" s="422"/>
      <c r="SLE141" s="422"/>
      <c r="SLF141" s="422"/>
      <c r="SLG141" s="422"/>
      <c r="SLH141" s="422"/>
      <c r="SLI141" s="422"/>
      <c r="SLJ141" s="422"/>
      <c r="SLK141" s="422"/>
      <c r="SLL141" s="422"/>
      <c r="SLM141" s="422"/>
      <c r="SLN141" s="422"/>
      <c r="SLO141" s="422"/>
      <c r="SLP141" s="422"/>
      <c r="SLQ141" s="422"/>
      <c r="SLR141" s="422"/>
      <c r="SLS141" s="422"/>
      <c r="SLT141" s="422"/>
      <c r="SLU141" s="422"/>
      <c r="SLV141" s="422"/>
      <c r="SLW141" s="422"/>
      <c r="SLX141" s="422"/>
      <c r="SLY141" s="422"/>
      <c r="SLZ141" s="422"/>
      <c r="SMA141" s="422"/>
      <c r="SMB141" s="422"/>
      <c r="SMC141" s="422"/>
      <c r="SMD141" s="422"/>
      <c r="SME141" s="422"/>
      <c r="SMF141" s="422"/>
      <c r="SMG141" s="422"/>
      <c r="SMH141" s="422"/>
      <c r="SMI141" s="422"/>
      <c r="SMJ141" s="422"/>
      <c r="SMK141" s="422"/>
      <c r="SML141" s="422"/>
      <c r="SMM141" s="422"/>
      <c r="SMN141" s="422"/>
      <c r="SMO141" s="422"/>
      <c r="SMP141" s="422"/>
      <c r="SMQ141" s="422"/>
      <c r="SMR141" s="422"/>
      <c r="SMS141" s="422"/>
      <c r="SMT141" s="422"/>
      <c r="SMU141" s="422"/>
      <c r="SMV141" s="422"/>
      <c r="SMW141" s="422"/>
      <c r="SMX141" s="422"/>
      <c r="SMY141" s="422"/>
      <c r="SMZ141" s="422"/>
      <c r="SNA141" s="422"/>
      <c r="SNB141" s="422"/>
      <c r="SNC141" s="422"/>
      <c r="SND141" s="422"/>
      <c r="SNE141" s="422"/>
      <c r="SNF141" s="422"/>
      <c r="SNG141" s="422"/>
      <c r="SNH141" s="422"/>
      <c r="SNI141" s="422"/>
      <c r="SNJ141" s="422"/>
      <c r="SNK141" s="422"/>
      <c r="SNL141" s="422"/>
      <c r="SNM141" s="422"/>
      <c r="SNN141" s="422"/>
      <c r="SNO141" s="422"/>
      <c r="SNP141" s="422"/>
      <c r="SNQ141" s="422"/>
      <c r="SNR141" s="422"/>
      <c r="SNS141" s="422"/>
      <c r="SNT141" s="422"/>
      <c r="SNU141" s="422"/>
      <c r="SNV141" s="422"/>
      <c r="SNW141" s="422"/>
      <c r="SNX141" s="422"/>
      <c r="SNY141" s="422"/>
      <c r="SNZ141" s="422"/>
      <c r="SOA141" s="422"/>
      <c r="SOB141" s="422"/>
      <c r="SOC141" s="422"/>
      <c r="SOD141" s="422"/>
      <c r="SOE141" s="422"/>
      <c r="SOF141" s="422"/>
      <c r="SOG141" s="422"/>
      <c r="SOH141" s="422"/>
      <c r="SOI141" s="422"/>
      <c r="SOJ141" s="422"/>
      <c r="SOK141" s="422"/>
      <c r="SOL141" s="422"/>
      <c r="SOM141" s="422"/>
      <c r="SON141" s="422"/>
      <c r="SOO141" s="422"/>
      <c r="SOP141" s="422"/>
      <c r="SOQ141" s="422"/>
      <c r="SOR141" s="422"/>
      <c r="SOS141" s="422"/>
      <c r="SOT141" s="422"/>
      <c r="SOU141" s="422"/>
      <c r="SOV141" s="422"/>
      <c r="SOW141" s="422"/>
      <c r="SOX141" s="422"/>
      <c r="SOY141" s="422"/>
      <c r="SOZ141" s="422"/>
      <c r="SPA141" s="422"/>
      <c r="SPB141" s="422"/>
      <c r="SPC141" s="422"/>
      <c r="SPD141" s="422"/>
      <c r="SPE141" s="422"/>
      <c r="SPF141" s="422"/>
      <c r="SPG141" s="422"/>
      <c r="SPH141" s="422"/>
      <c r="SPI141" s="422"/>
      <c r="SPJ141" s="422"/>
      <c r="SPK141" s="422"/>
      <c r="SPL141" s="422"/>
      <c r="SPM141" s="422"/>
      <c r="SPN141" s="422"/>
      <c r="SPO141" s="422"/>
      <c r="SPP141" s="422"/>
      <c r="SPQ141" s="422"/>
      <c r="SPR141" s="422"/>
      <c r="SPS141" s="422"/>
      <c r="SPT141" s="422"/>
      <c r="SPU141" s="422"/>
      <c r="SPV141" s="422"/>
      <c r="SPW141" s="422"/>
      <c r="SPX141" s="422"/>
      <c r="SPY141" s="422"/>
      <c r="SPZ141" s="422"/>
      <c r="SQA141" s="422"/>
      <c r="SQB141" s="422"/>
      <c r="SQC141" s="422"/>
      <c r="SQD141" s="422"/>
      <c r="SQE141" s="422"/>
      <c r="SQF141" s="422"/>
      <c r="SQG141" s="422"/>
      <c r="SQH141" s="422"/>
      <c r="SQI141" s="422"/>
      <c r="SQJ141" s="422"/>
      <c r="SQK141" s="422"/>
      <c r="SQL141" s="422"/>
      <c r="SQM141" s="422"/>
      <c r="SQN141" s="422"/>
      <c r="SQO141" s="422"/>
      <c r="SQP141" s="422"/>
      <c r="SQQ141" s="422"/>
      <c r="SQR141" s="422"/>
      <c r="SQS141" s="422"/>
      <c r="SQT141" s="422"/>
      <c r="SQU141" s="422"/>
      <c r="SQV141" s="422"/>
      <c r="SQW141" s="422"/>
      <c r="SQX141" s="422"/>
      <c r="SQY141" s="422"/>
      <c r="SQZ141" s="422"/>
      <c r="SRA141" s="422"/>
      <c r="SRB141" s="422"/>
      <c r="SRC141" s="422"/>
      <c r="SRD141" s="422"/>
      <c r="SRE141" s="422"/>
      <c r="SRF141" s="422"/>
      <c r="SRG141" s="422"/>
      <c r="SRH141" s="422"/>
      <c r="SRI141" s="422"/>
      <c r="SRJ141" s="422"/>
      <c r="SRK141" s="422"/>
      <c r="SRL141" s="422"/>
      <c r="SRM141" s="422"/>
      <c r="SRN141" s="422"/>
      <c r="SRO141" s="422"/>
      <c r="SRP141" s="422"/>
      <c r="SRQ141" s="422"/>
      <c r="SRR141" s="422"/>
      <c r="SRS141" s="422"/>
      <c r="SRT141" s="422"/>
      <c r="SRU141" s="422"/>
      <c r="SRV141" s="422"/>
      <c r="SRW141" s="422"/>
      <c r="SRX141" s="422"/>
      <c r="SRY141" s="422"/>
      <c r="SRZ141" s="422"/>
      <c r="SSA141" s="422"/>
      <c r="SSB141" s="422"/>
      <c r="SSC141" s="422"/>
      <c r="SSD141" s="422"/>
      <c r="SSE141" s="422"/>
      <c r="SSF141" s="422"/>
      <c r="SSG141" s="422"/>
      <c r="SSH141" s="422"/>
      <c r="SSI141" s="422"/>
      <c r="SSJ141" s="422"/>
      <c r="SSK141" s="422"/>
      <c r="SSL141" s="422"/>
      <c r="SSM141" s="422"/>
      <c r="SSN141" s="422"/>
      <c r="SSO141" s="422"/>
      <c r="SSP141" s="422"/>
      <c r="SSQ141" s="422"/>
      <c r="SSR141" s="422"/>
      <c r="SSS141" s="422"/>
      <c r="SST141" s="422"/>
      <c r="SSU141" s="422"/>
      <c r="SSV141" s="422"/>
      <c r="SSW141" s="422"/>
      <c r="SSX141" s="422"/>
      <c r="SSY141" s="422"/>
      <c r="SSZ141" s="422"/>
      <c r="STA141" s="422"/>
      <c r="STB141" s="422"/>
      <c r="STC141" s="422"/>
      <c r="STD141" s="422"/>
      <c r="STE141" s="422"/>
      <c r="STF141" s="422"/>
      <c r="STG141" s="422"/>
      <c r="STH141" s="422"/>
      <c r="STI141" s="422"/>
      <c r="STJ141" s="422"/>
      <c r="STK141" s="422"/>
      <c r="STL141" s="422"/>
      <c r="STM141" s="422"/>
      <c r="STN141" s="422"/>
      <c r="STO141" s="422"/>
      <c r="STP141" s="422"/>
      <c r="STQ141" s="422"/>
      <c r="STR141" s="422"/>
      <c r="STS141" s="422"/>
      <c r="STT141" s="422"/>
      <c r="STU141" s="422"/>
      <c r="STV141" s="422"/>
      <c r="STW141" s="422"/>
      <c r="STX141" s="422"/>
      <c r="STY141" s="422"/>
      <c r="STZ141" s="422"/>
      <c r="SUA141" s="422"/>
      <c r="SUB141" s="422"/>
      <c r="SUC141" s="422"/>
      <c r="SUD141" s="422"/>
      <c r="SUE141" s="422"/>
      <c r="SUF141" s="422"/>
      <c r="SUG141" s="422"/>
      <c r="SUH141" s="422"/>
      <c r="SUI141" s="422"/>
      <c r="SUJ141" s="422"/>
      <c r="SUK141" s="422"/>
      <c r="SUL141" s="422"/>
      <c r="SUM141" s="422"/>
      <c r="SUN141" s="422"/>
      <c r="SUO141" s="422"/>
      <c r="SUP141" s="422"/>
      <c r="SUQ141" s="422"/>
      <c r="SUR141" s="422"/>
      <c r="SUS141" s="422"/>
      <c r="SUT141" s="422"/>
      <c r="SUU141" s="422"/>
      <c r="SUV141" s="422"/>
      <c r="SUW141" s="422"/>
      <c r="SUX141" s="422"/>
      <c r="SUY141" s="422"/>
      <c r="SUZ141" s="422"/>
      <c r="SVA141" s="422"/>
      <c r="SVB141" s="422"/>
      <c r="SVC141" s="422"/>
      <c r="SVD141" s="422"/>
      <c r="SVE141" s="422"/>
      <c r="SVF141" s="422"/>
      <c r="SVG141" s="422"/>
      <c r="SVH141" s="422"/>
      <c r="SVI141" s="422"/>
      <c r="SVJ141" s="422"/>
      <c r="SVK141" s="422"/>
      <c r="SVL141" s="422"/>
      <c r="SVM141" s="422"/>
      <c r="SVN141" s="422"/>
      <c r="SVO141" s="422"/>
      <c r="SVP141" s="422"/>
      <c r="SVQ141" s="422"/>
      <c r="SVR141" s="422"/>
      <c r="SVS141" s="422"/>
      <c r="SVT141" s="422"/>
      <c r="SVU141" s="422"/>
      <c r="SVV141" s="422"/>
      <c r="SVW141" s="422"/>
      <c r="SVX141" s="422"/>
      <c r="SVY141" s="422"/>
      <c r="SVZ141" s="422"/>
      <c r="SWA141" s="422"/>
      <c r="SWB141" s="422"/>
      <c r="SWC141" s="422"/>
      <c r="SWD141" s="422"/>
      <c r="SWE141" s="422"/>
      <c r="SWF141" s="422"/>
      <c r="SWG141" s="422"/>
      <c r="SWH141" s="422"/>
      <c r="SWI141" s="422"/>
      <c r="SWJ141" s="422"/>
      <c r="SWK141" s="422"/>
      <c r="SWL141" s="422"/>
      <c r="SWM141" s="422"/>
      <c r="SWN141" s="422"/>
      <c r="SWO141" s="422"/>
      <c r="SWP141" s="422"/>
      <c r="SWQ141" s="422"/>
      <c r="SWR141" s="422"/>
      <c r="SWS141" s="422"/>
      <c r="SWT141" s="422"/>
      <c r="SWU141" s="422"/>
      <c r="SWV141" s="422"/>
      <c r="SWW141" s="422"/>
      <c r="SWX141" s="422"/>
      <c r="SWY141" s="422"/>
      <c r="SWZ141" s="422"/>
      <c r="SXA141" s="422"/>
      <c r="SXB141" s="422"/>
      <c r="SXC141" s="422"/>
      <c r="SXD141" s="422"/>
      <c r="SXE141" s="422"/>
      <c r="SXF141" s="422"/>
      <c r="SXG141" s="422"/>
      <c r="SXH141" s="422"/>
      <c r="SXI141" s="422"/>
      <c r="SXJ141" s="422"/>
      <c r="SXK141" s="422"/>
      <c r="SXL141" s="422"/>
      <c r="SXM141" s="422"/>
      <c r="SXN141" s="422"/>
      <c r="SXO141" s="422"/>
      <c r="SXP141" s="422"/>
      <c r="SXQ141" s="422"/>
      <c r="SXR141" s="422"/>
      <c r="SXS141" s="422"/>
      <c r="SXT141" s="422"/>
      <c r="SXU141" s="422"/>
      <c r="SXV141" s="422"/>
      <c r="SXW141" s="422"/>
      <c r="SXX141" s="422"/>
      <c r="SXY141" s="422"/>
      <c r="SXZ141" s="422"/>
      <c r="SYA141" s="422"/>
      <c r="SYB141" s="422"/>
      <c r="SYC141" s="422"/>
      <c r="SYD141" s="422"/>
      <c r="SYE141" s="422"/>
      <c r="SYF141" s="422"/>
      <c r="SYG141" s="422"/>
      <c r="SYH141" s="422"/>
      <c r="SYI141" s="422"/>
      <c r="SYJ141" s="422"/>
      <c r="SYK141" s="422"/>
      <c r="SYL141" s="422"/>
      <c r="SYM141" s="422"/>
      <c r="SYN141" s="422"/>
      <c r="SYO141" s="422"/>
      <c r="SYP141" s="422"/>
      <c r="SYQ141" s="422"/>
      <c r="SYR141" s="422"/>
      <c r="SYS141" s="422"/>
      <c r="SYT141" s="422"/>
      <c r="SYU141" s="422"/>
      <c r="SYV141" s="422"/>
      <c r="SYW141" s="422"/>
      <c r="SYX141" s="422"/>
      <c r="SYY141" s="422"/>
      <c r="SYZ141" s="422"/>
      <c r="SZA141" s="422"/>
      <c r="SZB141" s="422"/>
      <c r="SZC141" s="422"/>
      <c r="SZD141" s="422"/>
      <c r="SZE141" s="422"/>
      <c r="SZF141" s="422"/>
      <c r="SZG141" s="422"/>
      <c r="SZH141" s="422"/>
      <c r="SZI141" s="422"/>
      <c r="SZJ141" s="422"/>
      <c r="SZK141" s="422"/>
      <c r="SZL141" s="422"/>
      <c r="SZM141" s="422"/>
      <c r="SZN141" s="422"/>
      <c r="SZO141" s="422"/>
      <c r="SZP141" s="422"/>
      <c r="SZQ141" s="422"/>
      <c r="SZR141" s="422"/>
      <c r="SZS141" s="422"/>
      <c r="SZT141" s="422"/>
      <c r="SZU141" s="422"/>
      <c r="SZV141" s="422"/>
      <c r="SZW141" s="422"/>
      <c r="SZX141" s="422"/>
      <c r="SZY141" s="422"/>
      <c r="SZZ141" s="422"/>
      <c r="TAA141" s="422"/>
      <c r="TAB141" s="422"/>
      <c r="TAC141" s="422"/>
      <c r="TAD141" s="422"/>
      <c r="TAE141" s="422"/>
      <c r="TAF141" s="422"/>
      <c r="TAG141" s="422"/>
      <c r="TAH141" s="422"/>
      <c r="TAI141" s="422"/>
      <c r="TAJ141" s="422"/>
      <c r="TAK141" s="422"/>
      <c r="TAL141" s="422"/>
      <c r="TAM141" s="422"/>
      <c r="TAN141" s="422"/>
      <c r="TAO141" s="422"/>
      <c r="TAP141" s="422"/>
      <c r="TAQ141" s="422"/>
      <c r="TAR141" s="422"/>
      <c r="TAS141" s="422"/>
      <c r="TAT141" s="422"/>
      <c r="TAU141" s="422"/>
      <c r="TAV141" s="422"/>
      <c r="TAW141" s="422"/>
      <c r="TAX141" s="422"/>
      <c r="TAY141" s="422"/>
      <c r="TAZ141" s="422"/>
      <c r="TBA141" s="422"/>
      <c r="TBB141" s="422"/>
      <c r="TBC141" s="422"/>
      <c r="TBD141" s="422"/>
      <c r="TBE141" s="422"/>
      <c r="TBF141" s="422"/>
      <c r="TBG141" s="422"/>
      <c r="TBH141" s="422"/>
      <c r="TBI141" s="422"/>
      <c r="TBJ141" s="422"/>
      <c r="TBK141" s="422"/>
      <c r="TBL141" s="422"/>
      <c r="TBM141" s="422"/>
      <c r="TBN141" s="422"/>
      <c r="TBO141" s="422"/>
      <c r="TBP141" s="422"/>
      <c r="TBQ141" s="422"/>
      <c r="TBR141" s="422"/>
      <c r="TBS141" s="422"/>
      <c r="TBT141" s="422"/>
      <c r="TBU141" s="422"/>
      <c r="TBV141" s="422"/>
      <c r="TBW141" s="422"/>
      <c r="TBX141" s="422"/>
      <c r="TBY141" s="422"/>
      <c r="TBZ141" s="422"/>
      <c r="TCA141" s="422"/>
      <c r="TCB141" s="422"/>
      <c r="TCC141" s="422"/>
      <c r="TCD141" s="422"/>
      <c r="TCE141" s="422"/>
      <c r="TCF141" s="422"/>
      <c r="TCG141" s="422"/>
      <c r="TCH141" s="422"/>
      <c r="TCI141" s="422"/>
      <c r="TCJ141" s="422"/>
      <c r="TCK141" s="422"/>
      <c r="TCL141" s="422"/>
      <c r="TCM141" s="422"/>
      <c r="TCN141" s="422"/>
      <c r="TCO141" s="422"/>
      <c r="TCP141" s="422"/>
      <c r="TCQ141" s="422"/>
      <c r="TCR141" s="422"/>
      <c r="TCS141" s="422"/>
      <c r="TCT141" s="422"/>
      <c r="TCU141" s="422"/>
      <c r="TCV141" s="422"/>
      <c r="TCW141" s="422"/>
      <c r="TCX141" s="422"/>
      <c r="TCY141" s="422"/>
      <c r="TCZ141" s="422"/>
      <c r="TDA141" s="422"/>
      <c r="TDB141" s="422"/>
      <c r="TDC141" s="422"/>
      <c r="TDD141" s="422"/>
      <c r="TDE141" s="422"/>
      <c r="TDF141" s="422"/>
      <c r="TDG141" s="422"/>
      <c r="TDH141" s="422"/>
      <c r="TDI141" s="422"/>
      <c r="TDJ141" s="422"/>
      <c r="TDK141" s="422"/>
      <c r="TDL141" s="422"/>
      <c r="TDM141" s="422"/>
      <c r="TDN141" s="422"/>
      <c r="TDO141" s="422"/>
      <c r="TDP141" s="422"/>
      <c r="TDQ141" s="422"/>
      <c r="TDR141" s="422"/>
      <c r="TDS141" s="422"/>
      <c r="TDT141" s="422"/>
      <c r="TDU141" s="422"/>
      <c r="TDV141" s="422"/>
      <c r="TDW141" s="422"/>
      <c r="TDX141" s="422"/>
      <c r="TDY141" s="422"/>
      <c r="TDZ141" s="422"/>
      <c r="TEA141" s="422"/>
      <c r="TEB141" s="422"/>
      <c r="TEC141" s="422"/>
      <c r="TED141" s="422"/>
      <c r="TEE141" s="422"/>
      <c r="TEF141" s="422"/>
      <c r="TEG141" s="422"/>
      <c r="TEH141" s="422"/>
      <c r="TEI141" s="422"/>
      <c r="TEJ141" s="422"/>
      <c r="TEK141" s="422"/>
      <c r="TEL141" s="422"/>
      <c r="TEM141" s="422"/>
      <c r="TEN141" s="422"/>
      <c r="TEO141" s="422"/>
      <c r="TEP141" s="422"/>
      <c r="TEQ141" s="422"/>
      <c r="TER141" s="422"/>
      <c r="TES141" s="422"/>
      <c r="TET141" s="422"/>
      <c r="TEU141" s="422"/>
      <c r="TEV141" s="422"/>
      <c r="TEW141" s="422"/>
      <c r="TEX141" s="422"/>
      <c r="TEY141" s="422"/>
      <c r="TEZ141" s="422"/>
      <c r="TFA141" s="422"/>
      <c r="TFB141" s="422"/>
      <c r="TFC141" s="422"/>
      <c r="TFD141" s="422"/>
      <c r="TFE141" s="422"/>
      <c r="TFF141" s="422"/>
      <c r="TFG141" s="422"/>
      <c r="TFH141" s="422"/>
      <c r="TFI141" s="422"/>
      <c r="TFJ141" s="422"/>
      <c r="TFK141" s="422"/>
      <c r="TFL141" s="422"/>
      <c r="TFM141" s="422"/>
      <c r="TFN141" s="422"/>
      <c r="TFO141" s="422"/>
      <c r="TFP141" s="422"/>
      <c r="TFQ141" s="422"/>
      <c r="TFR141" s="422"/>
      <c r="TFS141" s="422"/>
      <c r="TFT141" s="422"/>
      <c r="TFU141" s="422"/>
      <c r="TFV141" s="422"/>
      <c r="TFW141" s="422"/>
      <c r="TFX141" s="422"/>
      <c r="TFY141" s="422"/>
      <c r="TFZ141" s="422"/>
      <c r="TGA141" s="422"/>
      <c r="TGB141" s="422"/>
      <c r="TGC141" s="422"/>
      <c r="TGD141" s="422"/>
      <c r="TGE141" s="422"/>
      <c r="TGF141" s="422"/>
      <c r="TGG141" s="422"/>
      <c r="TGH141" s="422"/>
      <c r="TGI141" s="422"/>
      <c r="TGJ141" s="422"/>
      <c r="TGK141" s="422"/>
      <c r="TGL141" s="422"/>
      <c r="TGM141" s="422"/>
      <c r="TGN141" s="422"/>
      <c r="TGO141" s="422"/>
      <c r="TGP141" s="422"/>
      <c r="TGQ141" s="422"/>
      <c r="TGR141" s="422"/>
      <c r="TGS141" s="422"/>
      <c r="TGT141" s="422"/>
      <c r="TGU141" s="422"/>
      <c r="TGV141" s="422"/>
      <c r="TGW141" s="422"/>
      <c r="TGX141" s="422"/>
      <c r="TGY141" s="422"/>
      <c r="TGZ141" s="422"/>
      <c r="THA141" s="422"/>
      <c r="THB141" s="422"/>
      <c r="THC141" s="422"/>
      <c r="THD141" s="422"/>
      <c r="THE141" s="422"/>
      <c r="THF141" s="422"/>
      <c r="THG141" s="422"/>
      <c r="THH141" s="422"/>
      <c r="THI141" s="422"/>
      <c r="THJ141" s="422"/>
      <c r="THK141" s="422"/>
      <c r="THL141" s="422"/>
      <c r="THM141" s="422"/>
      <c r="THN141" s="422"/>
      <c r="THO141" s="422"/>
      <c r="THP141" s="422"/>
      <c r="THQ141" s="422"/>
      <c r="THR141" s="422"/>
      <c r="THS141" s="422"/>
      <c r="THT141" s="422"/>
      <c r="THU141" s="422"/>
      <c r="THV141" s="422"/>
      <c r="THW141" s="422"/>
      <c r="THX141" s="422"/>
      <c r="THY141" s="422"/>
      <c r="THZ141" s="422"/>
      <c r="TIA141" s="422"/>
      <c r="TIB141" s="422"/>
      <c r="TIC141" s="422"/>
      <c r="TID141" s="422"/>
      <c r="TIE141" s="422"/>
      <c r="TIF141" s="422"/>
      <c r="TIG141" s="422"/>
      <c r="TIH141" s="422"/>
      <c r="TII141" s="422"/>
      <c r="TIJ141" s="422"/>
      <c r="TIK141" s="422"/>
      <c r="TIL141" s="422"/>
      <c r="TIM141" s="422"/>
      <c r="TIN141" s="422"/>
      <c r="TIO141" s="422"/>
      <c r="TIP141" s="422"/>
      <c r="TIQ141" s="422"/>
      <c r="TIR141" s="422"/>
      <c r="TIS141" s="422"/>
      <c r="TIT141" s="422"/>
      <c r="TIU141" s="422"/>
      <c r="TIV141" s="422"/>
      <c r="TIW141" s="422"/>
      <c r="TIX141" s="422"/>
      <c r="TIY141" s="422"/>
      <c r="TIZ141" s="422"/>
      <c r="TJA141" s="422"/>
      <c r="TJB141" s="422"/>
      <c r="TJC141" s="422"/>
      <c r="TJD141" s="422"/>
      <c r="TJE141" s="422"/>
      <c r="TJF141" s="422"/>
      <c r="TJG141" s="422"/>
      <c r="TJH141" s="422"/>
      <c r="TJI141" s="422"/>
      <c r="TJJ141" s="422"/>
      <c r="TJK141" s="422"/>
      <c r="TJL141" s="422"/>
      <c r="TJM141" s="422"/>
      <c r="TJN141" s="422"/>
      <c r="TJO141" s="422"/>
      <c r="TJP141" s="422"/>
      <c r="TJQ141" s="422"/>
      <c r="TJR141" s="422"/>
      <c r="TJS141" s="422"/>
      <c r="TJT141" s="422"/>
      <c r="TJU141" s="422"/>
      <c r="TJV141" s="422"/>
      <c r="TJW141" s="422"/>
      <c r="TJX141" s="422"/>
      <c r="TJY141" s="422"/>
      <c r="TJZ141" s="422"/>
      <c r="TKA141" s="422"/>
      <c r="TKB141" s="422"/>
      <c r="TKC141" s="422"/>
      <c r="TKD141" s="422"/>
      <c r="TKE141" s="422"/>
      <c r="TKF141" s="422"/>
      <c r="TKG141" s="422"/>
      <c r="TKH141" s="422"/>
      <c r="TKI141" s="422"/>
      <c r="TKJ141" s="422"/>
      <c r="TKK141" s="422"/>
      <c r="TKL141" s="422"/>
      <c r="TKM141" s="422"/>
      <c r="TKN141" s="422"/>
      <c r="TKO141" s="422"/>
      <c r="TKP141" s="422"/>
      <c r="TKQ141" s="422"/>
      <c r="TKR141" s="422"/>
      <c r="TKS141" s="422"/>
      <c r="TKT141" s="422"/>
      <c r="TKU141" s="422"/>
      <c r="TKV141" s="422"/>
      <c r="TKW141" s="422"/>
      <c r="TKX141" s="422"/>
      <c r="TKY141" s="422"/>
      <c r="TKZ141" s="422"/>
      <c r="TLA141" s="422"/>
      <c r="TLB141" s="422"/>
      <c r="TLC141" s="422"/>
      <c r="TLD141" s="422"/>
      <c r="TLE141" s="422"/>
      <c r="TLF141" s="422"/>
      <c r="TLG141" s="422"/>
      <c r="TLH141" s="422"/>
      <c r="TLI141" s="422"/>
      <c r="TLJ141" s="422"/>
      <c r="TLK141" s="422"/>
      <c r="TLL141" s="422"/>
      <c r="TLM141" s="422"/>
      <c r="TLN141" s="422"/>
      <c r="TLO141" s="422"/>
      <c r="TLP141" s="422"/>
      <c r="TLQ141" s="422"/>
      <c r="TLR141" s="422"/>
      <c r="TLS141" s="422"/>
      <c r="TLT141" s="422"/>
      <c r="TLU141" s="422"/>
      <c r="TLV141" s="422"/>
      <c r="TLW141" s="422"/>
      <c r="TLX141" s="422"/>
      <c r="TLY141" s="422"/>
      <c r="TLZ141" s="422"/>
      <c r="TMA141" s="422"/>
      <c r="TMB141" s="422"/>
      <c r="TMC141" s="422"/>
      <c r="TMD141" s="422"/>
      <c r="TME141" s="422"/>
      <c r="TMF141" s="422"/>
      <c r="TMG141" s="422"/>
      <c r="TMH141" s="422"/>
      <c r="TMI141" s="422"/>
      <c r="TMJ141" s="422"/>
      <c r="TMK141" s="422"/>
      <c r="TML141" s="422"/>
      <c r="TMM141" s="422"/>
      <c r="TMN141" s="422"/>
      <c r="TMO141" s="422"/>
      <c r="TMP141" s="422"/>
      <c r="TMQ141" s="422"/>
      <c r="TMR141" s="422"/>
      <c r="TMS141" s="422"/>
      <c r="TMT141" s="422"/>
      <c r="TMU141" s="422"/>
      <c r="TMV141" s="422"/>
      <c r="TMW141" s="422"/>
      <c r="TMX141" s="422"/>
      <c r="TMY141" s="422"/>
      <c r="TMZ141" s="422"/>
      <c r="TNA141" s="422"/>
      <c r="TNB141" s="422"/>
      <c r="TNC141" s="422"/>
      <c r="TND141" s="422"/>
      <c r="TNE141" s="422"/>
      <c r="TNF141" s="422"/>
      <c r="TNG141" s="422"/>
      <c r="TNH141" s="422"/>
      <c r="TNI141" s="422"/>
      <c r="TNJ141" s="422"/>
      <c r="TNK141" s="422"/>
      <c r="TNL141" s="422"/>
      <c r="TNM141" s="422"/>
      <c r="TNN141" s="422"/>
      <c r="TNO141" s="422"/>
      <c r="TNP141" s="422"/>
      <c r="TNQ141" s="422"/>
      <c r="TNR141" s="422"/>
      <c r="TNS141" s="422"/>
      <c r="TNT141" s="422"/>
      <c r="TNU141" s="422"/>
      <c r="TNV141" s="422"/>
      <c r="TNW141" s="422"/>
      <c r="TNX141" s="422"/>
      <c r="TNY141" s="422"/>
      <c r="TNZ141" s="422"/>
      <c r="TOA141" s="422"/>
      <c r="TOB141" s="422"/>
      <c r="TOC141" s="422"/>
      <c r="TOD141" s="422"/>
      <c r="TOE141" s="422"/>
      <c r="TOF141" s="422"/>
      <c r="TOG141" s="422"/>
      <c r="TOH141" s="422"/>
      <c r="TOI141" s="422"/>
      <c r="TOJ141" s="422"/>
      <c r="TOK141" s="422"/>
      <c r="TOL141" s="422"/>
      <c r="TOM141" s="422"/>
      <c r="TON141" s="422"/>
      <c r="TOO141" s="422"/>
      <c r="TOP141" s="422"/>
      <c r="TOQ141" s="422"/>
      <c r="TOR141" s="422"/>
      <c r="TOS141" s="422"/>
      <c r="TOT141" s="422"/>
      <c r="TOU141" s="422"/>
      <c r="TOV141" s="422"/>
      <c r="TOW141" s="422"/>
      <c r="TOX141" s="422"/>
      <c r="TOY141" s="422"/>
      <c r="TOZ141" s="422"/>
      <c r="TPA141" s="422"/>
      <c r="TPB141" s="422"/>
      <c r="TPC141" s="422"/>
      <c r="TPD141" s="422"/>
      <c r="TPE141" s="422"/>
      <c r="TPF141" s="422"/>
      <c r="TPG141" s="422"/>
      <c r="TPH141" s="422"/>
      <c r="TPI141" s="422"/>
      <c r="TPJ141" s="422"/>
      <c r="TPK141" s="422"/>
      <c r="TPL141" s="422"/>
      <c r="TPM141" s="422"/>
      <c r="TPN141" s="422"/>
      <c r="TPO141" s="422"/>
      <c r="TPP141" s="422"/>
      <c r="TPQ141" s="422"/>
      <c r="TPR141" s="422"/>
      <c r="TPS141" s="422"/>
      <c r="TPT141" s="422"/>
      <c r="TPU141" s="422"/>
      <c r="TPV141" s="422"/>
      <c r="TPW141" s="422"/>
      <c r="TPX141" s="422"/>
      <c r="TPY141" s="422"/>
      <c r="TPZ141" s="422"/>
      <c r="TQA141" s="422"/>
      <c r="TQB141" s="422"/>
      <c r="TQC141" s="422"/>
      <c r="TQD141" s="422"/>
      <c r="TQE141" s="422"/>
      <c r="TQF141" s="422"/>
      <c r="TQG141" s="422"/>
      <c r="TQH141" s="422"/>
      <c r="TQI141" s="422"/>
      <c r="TQJ141" s="422"/>
      <c r="TQK141" s="422"/>
      <c r="TQL141" s="422"/>
      <c r="TQM141" s="422"/>
      <c r="TQN141" s="422"/>
      <c r="TQO141" s="422"/>
      <c r="TQP141" s="422"/>
      <c r="TQQ141" s="422"/>
      <c r="TQR141" s="422"/>
      <c r="TQS141" s="422"/>
      <c r="TQT141" s="422"/>
      <c r="TQU141" s="422"/>
      <c r="TQV141" s="422"/>
      <c r="TQW141" s="422"/>
      <c r="TQX141" s="422"/>
      <c r="TQY141" s="422"/>
      <c r="TQZ141" s="422"/>
      <c r="TRA141" s="422"/>
      <c r="TRB141" s="422"/>
      <c r="TRC141" s="422"/>
      <c r="TRD141" s="422"/>
      <c r="TRE141" s="422"/>
      <c r="TRF141" s="422"/>
      <c r="TRG141" s="422"/>
      <c r="TRH141" s="422"/>
      <c r="TRI141" s="422"/>
      <c r="TRJ141" s="422"/>
      <c r="TRK141" s="422"/>
      <c r="TRL141" s="422"/>
      <c r="TRM141" s="422"/>
      <c r="TRN141" s="422"/>
      <c r="TRO141" s="422"/>
      <c r="TRP141" s="422"/>
      <c r="TRQ141" s="422"/>
      <c r="TRR141" s="422"/>
      <c r="TRS141" s="422"/>
      <c r="TRT141" s="422"/>
      <c r="TRU141" s="422"/>
      <c r="TRV141" s="422"/>
      <c r="TRW141" s="422"/>
      <c r="TRX141" s="422"/>
      <c r="TRY141" s="422"/>
      <c r="TRZ141" s="422"/>
      <c r="TSA141" s="422"/>
      <c r="TSB141" s="422"/>
      <c r="TSC141" s="422"/>
      <c r="TSD141" s="422"/>
      <c r="TSE141" s="422"/>
      <c r="TSF141" s="422"/>
      <c r="TSG141" s="422"/>
      <c r="TSH141" s="422"/>
      <c r="TSI141" s="422"/>
      <c r="TSJ141" s="422"/>
      <c r="TSK141" s="422"/>
      <c r="TSL141" s="422"/>
      <c r="TSM141" s="422"/>
      <c r="TSN141" s="422"/>
      <c r="TSO141" s="422"/>
      <c r="TSP141" s="422"/>
      <c r="TSQ141" s="422"/>
      <c r="TSR141" s="422"/>
      <c r="TSS141" s="422"/>
      <c r="TST141" s="422"/>
      <c r="TSU141" s="422"/>
      <c r="TSV141" s="422"/>
      <c r="TSW141" s="422"/>
      <c r="TSX141" s="422"/>
      <c r="TSY141" s="422"/>
      <c r="TSZ141" s="422"/>
      <c r="TTA141" s="422"/>
      <c r="TTB141" s="422"/>
      <c r="TTC141" s="422"/>
      <c r="TTD141" s="422"/>
      <c r="TTE141" s="422"/>
      <c r="TTF141" s="422"/>
      <c r="TTG141" s="422"/>
      <c r="TTH141" s="422"/>
      <c r="TTI141" s="422"/>
      <c r="TTJ141" s="422"/>
      <c r="TTK141" s="422"/>
      <c r="TTL141" s="422"/>
      <c r="TTM141" s="422"/>
      <c r="TTN141" s="422"/>
      <c r="TTO141" s="422"/>
      <c r="TTP141" s="422"/>
      <c r="TTQ141" s="422"/>
      <c r="TTR141" s="422"/>
      <c r="TTS141" s="422"/>
      <c r="TTT141" s="422"/>
      <c r="TTU141" s="422"/>
      <c r="TTV141" s="422"/>
      <c r="TTW141" s="422"/>
      <c r="TTX141" s="422"/>
      <c r="TTY141" s="422"/>
      <c r="TTZ141" s="422"/>
      <c r="TUA141" s="422"/>
      <c r="TUB141" s="422"/>
      <c r="TUC141" s="422"/>
      <c r="TUD141" s="422"/>
      <c r="TUE141" s="422"/>
      <c r="TUF141" s="422"/>
      <c r="TUG141" s="422"/>
      <c r="TUH141" s="422"/>
      <c r="TUI141" s="422"/>
      <c r="TUJ141" s="422"/>
      <c r="TUK141" s="422"/>
      <c r="TUL141" s="422"/>
      <c r="TUM141" s="422"/>
      <c r="TUN141" s="422"/>
      <c r="TUO141" s="422"/>
      <c r="TUP141" s="422"/>
      <c r="TUQ141" s="422"/>
      <c r="TUR141" s="422"/>
      <c r="TUS141" s="422"/>
      <c r="TUT141" s="422"/>
      <c r="TUU141" s="422"/>
      <c r="TUV141" s="422"/>
      <c r="TUW141" s="422"/>
      <c r="TUX141" s="422"/>
      <c r="TUY141" s="422"/>
      <c r="TUZ141" s="422"/>
      <c r="TVA141" s="422"/>
      <c r="TVB141" s="422"/>
      <c r="TVC141" s="422"/>
      <c r="TVD141" s="422"/>
      <c r="TVE141" s="422"/>
      <c r="TVF141" s="422"/>
      <c r="TVG141" s="422"/>
      <c r="TVH141" s="422"/>
      <c r="TVI141" s="422"/>
      <c r="TVJ141" s="422"/>
      <c r="TVK141" s="422"/>
      <c r="TVL141" s="422"/>
      <c r="TVM141" s="422"/>
      <c r="TVN141" s="422"/>
      <c r="TVO141" s="422"/>
      <c r="TVP141" s="422"/>
      <c r="TVQ141" s="422"/>
      <c r="TVR141" s="422"/>
      <c r="TVS141" s="422"/>
      <c r="TVT141" s="422"/>
      <c r="TVU141" s="422"/>
      <c r="TVV141" s="422"/>
      <c r="TVW141" s="422"/>
      <c r="TVX141" s="422"/>
      <c r="TVY141" s="422"/>
      <c r="TVZ141" s="422"/>
      <c r="TWA141" s="422"/>
      <c r="TWB141" s="422"/>
      <c r="TWC141" s="422"/>
      <c r="TWD141" s="422"/>
      <c r="TWE141" s="422"/>
      <c r="TWF141" s="422"/>
      <c r="TWG141" s="422"/>
      <c r="TWH141" s="422"/>
      <c r="TWI141" s="422"/>
      <c r="TWJ141" s="422"/>
      <c r="TWK141" s="422"/>
      <c r="TWL141" s="422"/>
      <c r="TWM141" s="422"/>
      <c r="TWN141" s="422"/>
      <c r="TWO141" s="422"/>
      <c r="TWP141" s="422"/>
      <c r="TWQ141" s="422"/>
      <c r="TWR141" s="422"/>
      <c r="TWS141" s="422"/>
      <c r="TWT141" s="422"/>
      <c r="TWU141" s="422"/>
      <c r="TWV141" s="422"/>
      <c r="TWW141" s="422"/>
      <c r="TWX141" s="422"/>
      <c r="TWY141" s="422"/>
      <c r="TWZ141" s="422"/>
      <c r="TXA141" s="422"/>
      <c r="TXB141" s="422"/>
      <c r="TXC141" s="422"/>
      <c r="TXD141" s="422"/>
      <c r="TXE141" s="422"/>
      <c r="TXF141" s="422"/>
      <c r="TXG141" s="422"/>
      <c r="TXH141" s="422"/>
      <c r="TXI141" s="422"/>
      <c r="TXJ141" s="422"/>
      <c r="TXK141" s="422"/>
      <c r="TXL141" s="422"/>
      <c r="TXM141" s="422"/>
      <c r="TXN141" s="422"/>
      <c r="TXO141" s="422"/>
      <c r="TXP141" s="422"/>
      <c r="TXQ141" s="422"/>
      <c r="TXR141" s="422"/>
      <c r="TXS141" s="422"/>
      <c r="TXT141" s="422"/>
      <c r="TXU141" s="422"/>
      <c r="TXV141" s="422"/>
      <c r="TXW141" s="422"/>
      <c r="TXX141" s="422"/>
      <c r="TXY141" s="422"/>
      <c r="TXZ141" s="422"/>
      <c r="TYA141" s="422"/>
      <c r="TYB141" s="422"/>
      <c r="TYC141" s="422"/>
      <c r="TYD141" s="422"/>
      <c r="TYE141" s="422"/>
      <c r="TYF141" s="422"/>
      <c r="TYG141" s="422"/>
      <c r="TYH141" s="422"/>
      <c r="TYI141" s="422"/>
      <c r="TYJ141" s="422"/>
      <c r="TYK141" s="422"/>
      <c r="TYL141" s="422"/>
      <c r="TYM141" s="422"/>
      <c r="TYN141" s="422"/>
      <c r="TYO141" s="422"/>
      <c r="TYP141" s="422"/>
      <c r="TYQ141" s="422"/>
      <c r="TYR141" s="422"/>
      <c r="TYS141" s="422"/>
      <c r="TYT141" s="422"/>
      <c r="TYU141" s="422"/>
      <c r="TYV141" s="422"/>
      <c r="TYW141" s="422"/>
      <c r="TYX141" s="422"/>
      <c r="TYY141" s="422"/>
      <c r="TYZ141" s="422"/>
      <c r="TZA141" s="422"/>
      <c r="TZB141" s="422"/>
      <c r="TZC141" s="422"/>
      <c r="TZD141" s="422"/>
      <c r="TZE141" s="422"/>
      <c r="TZF141" s="422"/>
      <c r="TZG141" s="422"/>
      <c r="TZH141" s="422"/>
      <c r="TZI141" s="422"/>
      <c r="TZJ141" s="422"/>
      <c r="TZK141" s="422"/>
      <c r="TZL141" s="422"/>
      <c r="TZM141" s="422"/>
      <c r="TZN141" s="422"/>
      <c r="TZO141" s="422"/>
      <c r="TZP141" s="422"/>
      <c r="TZQ141" s="422"/>
      <c r="TZR141" s="422"/>
      <c r="TZS141" s="422"/>
      <c r="TZT141" s="422"/>
      <c r="TZU141" s="422"/>
      <c r="TZV141" s="422"/>
      <c r="TZW141" s="422"/>
      <c r="TZX141" s="422"/>
      <c r="TZY141" s="422"/>
      <c r="TZZ141" s="422"/>
      <c r="UAA141" s="422"/>
      <c r="UAB141" s="422"/>
      <c r="UAC141" s="422"/>
      <c r="UAD141" s="422"/>
      <c r="UAE141" s="422"/>
      <c r="UAF141" s="422"/>
      <c r="UAG141" s="422"/>
      <c r="UAH141" s="422"/>
      <c r="UAI141" s="422"/>
      <c r="UAJ141" s="422"/>
      <c r="UAK141" s="422"/>
      <c r="UAL141" s="422"/>
      <c r="UAM141" s="422"/>
      <c r="UAN141" s="422"/>
      <c r="UAO141" s="422"/>
      <c r="UAP141" s="422"/>
      <c r="UAQ141" s="422"/>
      <c r="UAR141" s="422"/>
      <c r="UAS141" s="422"/>
      <c r="UAT141" s="422"/>
      <c r="UAU141" s="422"/>
      <c r="UAV141" s="422"/>
      <c r="UAW141" s="422"/>
      <c r="UAX141" s="422"/>
      <c r="UAY141" s="422"/>
      <c r="UAZ141" s="422"/>
      <c r="UBA141" s="422"/>
      <c r="UBB141" s="422"/>
      <c r="UBC141" s="422"/>
      <c r="UBD141" s="422"/>
      <c r="UBE141" s="422"/>
      <c r="UBF141" s="422"/>
      <c r="UBG141" s="422"/>
      <c r="UBH141" s="422"/>
      <c r="UBI141" s="422"/>
      <c r="UBJ141" s="422"/>
      <c r="UBK141" s="422"/>
      <c r="UBL141" s="422"/>
      <c r="UBM141" s="422"/>
      <c r="UBN141" s="422"/>
      <c r="UBO141" s="422"/>
      <c r="UBP141" s="422"/>
      <c r="UBQ141" s="422"/>
      <c r="UBR141" s="422"/>
      <c r="UBS141" s="422"/>
      <c r="UBT141" s="422"/>
      <c r="UBU141" s="422"/>
      <c r="UBV141" s="422"/>
      <c r="UBW141" s="422"/>
      <c r="UBX141" s="422"/>
      <c r="UBY141" s="422"/>
      <c r="UBZ141" s="422"/>
      <c r="UCA141" s="422"/>
      <c r="UCB141" s="422"/>
      <c r="UCC141" s="422"/>
      <c r="UCD141" s="422"/>
      <c r="UCE141" s="422"/>
      <c r="UCF141" s="422"/>
      <c r="UCG141" s="422"/>
      <c r="UCH141" s="422"/>
      <c r="UCI141" s="422"/>
      <c r="UCJ141" s="422"/>
      <c r="UCK141" s="422"/>
      <c r="UCL141" s="422"/>
      <c r="UCM141" s="422"/>
      <c r="UCN141" s="422"/>
      <c r="UCO141" s="422"/>
      <c r="UCP141" s="422"/>
      <c r="UCQ141" s="422"/>
      <c r="UCR141" s="422"/>
      <c r="UCS141" s="422"/>
      <c r="UCT141" s="422"/>
      <c r="UCU141" s="422"/>
      <c r="UCV141" s="422"/>
      <c r="UCW141" s="422"/>
      <c r="UCX141" s="422"/>
      <c r="UCY141" s="422"/>
      <c r="UCZ141" s="422"/>
      <c r="UDA141" s="422"/>
      <c r="UDB141" s="422"/>
      <c r="UDC141" s="422"/>
      <c r="UDD141" s="422"/>
      <c r="UDE141" s="422"/>
      <c r="UDF141" s="422"/>
      <c r="UDG141" s="422"/>
      <c r="UDH141" s="422"/>
      <c r="UDI141" s="422"/>
      <c r="UDJ141" s="422"/>
      <c r="UDK141" s="422"/>
      <c r="UDL141" s="422"/>
      <c r="UDM141" s="422"/>
      <c r="UDN141" s="422"/>
      <c r="UDO141" s="422"/>
      <c r="UDP141" s="422"/>
      <c r="UDQ141" s="422"/>
      <c r="UDR141" s="422"/>
      <c r="UDS141" s="422"/>
      <c r="UDT141" s="422"/>
      <c r="UDU141" s="422"/>
      <c r="UDV141" s="422"/>
      <c r="UDW141" s="422"/>
      <c r="UDX141" s="422"/>
      <c r="UDY141" s="422"/>
      <c r="UDZ141" s="422"/>
      <c r="UEA141" s="422"/>
      <c r="UEB141" s="422"/>
      <c r="UEC141" s="422"/>
      <c r="UED141" s="422"/>
      <c r="UEE141" s="422"/>
      <c r="UEF141" s="422"/>
      <c r="UEG141" s="422"/>
      <c r="UEH141" s="422"/>
      <c r="UEI141" s="422"/>
      <c r="UEJ141" s="422"/>
      <c r="UEK141" s="422"/>
      <c r="UEL141" s="422"/>
      <c r="UEM141" s="422"/>
      <c r="UEN141" s="422"/>
      <c r="UEO141" s="422"/>
      <c r="UEP141" s="422"/>
      <c r="UEQ141" s="422"/>
      <c r="UER141" s="422"/>
      <c r="UES141" s="422"/>
      <c r="UET141" s="422"/>
      <c r="UEU141" s="422"/>
      <c r="UEV141" s="422"/>
      <c r="UEW141" s="422"/>
      <c r="UEX141" s="422"/>
      <c r="UEY141" s="422"/>
      <c r="UEZ141" s="422"/>
      <c r="UFA141" s="422"/>
      <c r="UFB141" s="422"/>
      <c r="UFC141" s="422"/>
      <c r="UFD141" s="422"/>
      <c r="UFE141" s="422"/>
      <c r="UFF141" s="422"/>
      <c r="UFG141" s="422"/>
      <c r="UFH141" s="422"/>
      <c r="UFI141" s="422"/>
      <c r="UFJ141" s="422"/>
      <c r="UFK141" s="422"/>
      <c r="UFL141" s="422"/>
      <c r="UFM141" s="422"/>
      <c r="UFN141" s="422"/>
      <c r="UFO141" s="422"/>
      <c r="UFP141" s="422"/>
      <c r="UFQ141" s="422"/>
      <c r="UFR141" s="422"/>
      <c r="UFS141" s="422"/>
      <c r="UFT141" s="422"/>
      <c r="UFU141" s="422"/>
      <c r="UFV141" s="422"/>
      <c r="UFW141" s="422"/>
      <c r="UFX141" s="422"/>
      <c r="UFY141" s="422"/>
      <c r="UFZ141" s="422"/>
      <c r="UGA141" s="422"/>
      <c r="UGB141" s="422"/>
      <c r="UGC141" s="422"/>
      <c r="UGD141" s="422"/>
      <c r="UGE141" s="422"/>
      <c r="UGF141" s="422"/>
      <c r="UGG141" s="422"/>
      <c r="UGH141" s="422"/>
      <c r="UGI141" s="422"/>
      <c r="UGJ141" s="422"/>
      <c r="UGK141" s="422"/>
      <c r="UGL141" s="422"/>
      <c r="UGM141" s="422"/>
      <c r="UGN141" s="422"/>
      <c r="UGO141" s="422"/>
      <c r="UGP141" s="422"/>
      <c r="UGQ141" s="422"/>
      <c r="UGR141" s="422"/>
      <c r="UGS141" s="422"/>
      <c r="UGT141" s="422"/>
      <c r="UGU141" s="422"/>
      <c r="UGV141" s="422"/>
      <c r="UGW141" s="422"/>
      <c r="UGX141" s="422"/>
      <c r="UGY141" s="422"/>
      <c r="UGZ141" s="422"/>
      <c r="UHA141" s="422"/>
      <c r="UHB141" s="422"/>
      <c r="UHC141" s="422"/>
      <c r="UHD141" s="422"/>
      <c r="UHE141" s="422"/>
      <c r="UHF141" s="422"/>
      <c r="UHG141" s="422"/>
      <c r="UHH141" s="422"/>
      <c r="UHI141" s="422"/>
      <c r="UHJ141" s="422"/>
      <c r="UHK141" s="422"/>
      <c r="UHL141" s="422"/>
      <c r="UHM141" s="422"/>
      <c r="UHN141" s="422"/>
      <c r="UHO141" s="422"/>
      <c r="UHP141" s="422"/>
      <c r="UHQ141" s="422"/>
      <c r="UHR141" s="422"/>
      <c r="UHS141" s="422"/>
      <c r="UHT141" s="422"/>
      <c r="UHU141" s="422"/>
      <c r="UHV141" s="422"/>
      <c r="UHW141" s="422"/>
      <c r="UHX141" s="422"/>
      <c r="UHY141" s="422"/>
      <c r="UHZ141" s="422"/>
      <c r="UIA141" s="422"/>
      <c r="UIB141" s="422"/>
      <c r="UIC141" s="422"/>
      <c r="UID141" s="422"/>
      <c r="UIE141" s="422"/>
      <c r="UIF141" s="422"/>
      <c r="UIG141" s="422"/>
      <c r="UIH141" s="422"/>
      <c r="UII141" s="422"/>
      <c r="UIJ141" s="422"/>
      <c r="UIK141" s="422"/>
      <c r="UIL141" s="422"/>
      <c r="UIM141" s="422"/>
      <c r="UIN141" s="422"/>
      <c r="UIO141" s="422"/>
      <c r="UIP141" s="422"/>
      <c r="UIQ141" s="422"/>
      <c r="UIR141" s="422"/>
      <c r="UIS141" s="422"/>
      <c r="UIT141" s="422"/>
      <c r="UIU141" s="422"/>
      <c r="UIV141" s="422"/>
      <c r="UIW141" s="422"/>
      <c r="UIX141" s="422"/>
      <c r="UIY141" s="422"/>
      <c r="UIZ141" s="422"/>
      <c r="UJA141" s="422"/>
      <c r="UJB141" s="422"/>
      <c r="UJC141" s="422"/>
      <c r="UJD141" s="422"/>
      <c r="UJE141" s="422"/>
      <c r="UJF141" s="422"/>
      <c r="UJG141" s="422"/>
      <c r="UJH141" s="422"/>
      <c r="UJI141" s="422"/>
      <c r="UJJ141" s="422"/>
      <c r="UJK141" s="422"/>
      <c r="UJL141" s="422"/>
      <c r="UJM141" s="422"/>
      <c r="UJN141" s="422"/>
      <c r="UJO141" s="422"/>
      <c r="UJP141" s="422"/>
      <c r="UJQ141" s="422"/>
      <c r="UJR141" s="422"/>
      <c r="UJS141" s="422"/>
      <c r="UJT141" s="422"/>
      <c r="UJU141" s="422"/>
      <c r="UJV141" s="422"/>
      <c r="UJW141" s="422"/>
      <c r="UJX141" s="422"/>
      <c r="UJY141" s="422"/>
      <c r="UJZ141" s="422"/>
      <c r="UKA141" s="422"/>
      <c r="UKB141" s="422"/>
      <c r="UKC141" s="422"/>
      <c r="UKD141" s="422"/>
      <c r="UKE141" s="422"/>
      <c r="UKF141" s="422"/>
      <c r="UKG141" s="422"/>
      <c r="UKH141" s="422"/>
      <c r="UKI141" s="422"/>
      <c r="UKJ141" s="422"/>
      <c r="UKK141" s="422"/>
      <c r="UKL141" s="422"/>
      <c r="UKM141" s="422"/>
      <c r="UKN141" s="422"/>
      <c r="UKO141" s="422"/>
      <c r="UKP141" s="422"/>
      <c r="UKQ141" s="422"/>
      <c r="UKR141" s="422"/>
      <c r="UKS141" s="422"/>
      <c r="UKT141" s="422"/>
      <c r="UKU141" s="422"/>
      <c r="UKV141" s="422"/>
      <c r="UKW141" s="422"/>
      <c r="UKX141" s="422"/>
      <c r="UKY141" s="422"/>
      <c r="UKZ141" s="422"/>
      <c r="ULA141" s="422"/>
      <c r="ULB141" s="422"/>
      <c r="ULC141" s="422"/>
      <c r="ULD141" s="422"/>
      <c r="ULE141" s="422"/>
      <c r="ULF141" s="422"/>
      <c r="ULG141" s="422"/>
      <c r="ULH141" s="422"/>
      <c r="ULI141" s="422"/>
      <c r="ULJ141" s="422"/>
      <c r="ULK141" s="422"/>
      <c r="ULL141" s="422"/>
      <c r="ULM141" s="422"/>
      <c r="ULN141" s="422"/>
      <c r="ULO141" s="422"/>
      <c r="ULP141" s="422"/>
      <c r="ULQ141" s="422"/>
      <c r="ULR141" s="422"/>
      <c r="ULS141" s="422"/>
      <c r="ULT141" s="422"/>
      <c r="ULU141" s="422"/>
      <c r="ULV141" s="422"/>
      <c r="ULW141" s="422"/>
      <c r="ULX141" s="422"/>
      <c r="ULY141" s="422"/>
      <c r="ULZ141" s="422"/>
      <c r="UMA141" s="422"/>
      <c r="UMB141" s="422"/>
      <c r="UMC141" s="422"/>
      <c r="UMD141" s="422"/>
      <c r="UME141" s="422"/>
      <c r="UMF141" s="422"/>
      <c r="UMG141" s="422"/>
      <c r="UMH141" s="422"/>
      <c r="UMI141" s="422"/>
      <c r="UMJ141" s="422"/>
      <c r="UMK141" s="422"/>
      <c r="UML141" s="422"/>
      <c r="UMM141" s="422"/>
      <c r="UMN141" s="422"/>
      <c r="UMO141" s="422"/>
      <c r="UMP141" s="422"/>
      <c r="UMQ141" s="422"/>
      <c r="UMR141" s="422"/>
      <c r="UMS141" s="422"/>
      <c r="UMT141" s="422"/>
      <c r="UMU141" s="422"/>
      <c r="UMV141" s="422"/>
      <c r="UMW141" s="422"/>
      <c r="UMX141" s="422"/>
      <c r="UMY141" s="422"/>
      <c r="UMZ141" s="422"/>
      <c r="UNA141" s="422"/>
      <c r="UNB141" s="422"/>
      <c r="UNC141" s="422"/>
      <c r="UND141" s="422"/>
      <c r="UNE141" s="422"/>
      <c r="UNF141" s="422"/>
      <c r="UNG141" s="422"/>
      <c r="UNH141" s="422"/>
      <c r="UNI141" s="422"/>
      <c r="UNJ141" s="422"/>
      <c r="UNK141" s="422"/>
      <c r="UNL141" s="422"/>
      <c r="UNM141" s="422"/>
      <c r="UNN141" s="422"/>
      <c r="UNO141" s="422"/>
      <c r="UNP141" s="422"/>
      <c r="UNQ141" s="422"/>
      <c r="UNR141" s="422"/>
      <c r="UNS141" s="422"/>
      <c r="UNT141" s="422"/>
      <c r="UNU141" s="422"/>
      <c r="UNV141" s="422"/>
      <c r="UNW141" s="422"/>
      <c r="UNX141" s="422"/>
      <c r="UNY141" s="422"/>
      <c r="UNZ141" s="422"/>
      <c r="UOA141" s="422"/>
      <c r="UOB141" s="422"/>
      <c r="UOC141" s="422"/>
      <c r="UOD141" s="422"/>
      <c r="UOE141" s="422"/>
      <c r="UOF141" s="422"/>
      <c r="UOG141" s="422"/>
      <c r="UOH141" s="422"/>
      <c r="UOI141" s="422"/>
      <c r="UOJ141" s="422"/>
      <c r="UOK141" s="422"/>
      <c r="UOL141" s="422"/>
      <c r="UOM141" s="422"/>
      <c r="UON141" s="422"/>
      <c r="UOO141" s="422"/>
      <c r="UOP141" s="422"/>
      <c r="UOQ141" s="422"/>
      <c r="UOR141" s="422"/>
      <c r="UOS141" s="422"/>
      <c r="UOT141" s="422"/>
      <c r="UOU141" s="422"/>
      <c r="UOV141" s="422"/>
      <c r="UOW141" s="422"/>
      <c r="UOX141" s="422"/>
      <c r="UOY141" s="422"/>
      <c r="UOZ141" s="422"/>
      <c r="UPA141" s="422"/>
      <c r="UPB141" s="422"/>
      <c r="UPC141" s="422"/>
      <c r="UPD141" s="422"/>
      <c r="UPE141" s="422"/>
      <c r="UPF141" s="422"/>
      <c r="UPG141" s="422"/>
      <c r="UPH141" s="422"/>
      <c r="UPI141" s="422"/>
      <c r="UPJ141" s="422"/>
      <c r="UPK141" s="422"/>
      <c r="UPL141" s="422"/>
      <c r="UPM141" s="422"/>
      <c r="UPN141" s="422"/>
      <c r="UPO141" s="422"/>
      <c r="UPP141" s="422"/>
      <c r="UPQ141" s="422"/>
      <c r="UPR141" s="422"/>
      <c r="UPS141" s="422"/>
      <c r="UPT141" s="422"/>
      <c r="UPU141" s="422"/>
      <c r="UPV141" s="422"/>
      <c r="UPW141" s="422"/>
      <c r="UPX141" s="422"/>
      <c r="UPY141" s="422"/>
      <c r="UPZ141" s="422"/>
      <c r="UQA141" s="422"/>
      <c r="UQB141" s="422"/>
      <c r="UQC141" s="422"/>
      <c r="UQD141" s="422"/>
      <c r="UQE141" s="422"/>
      <c r="UQF141" s="422"/>
      <c r="UQG141" s="422"/>
      <c r="UQH141" s="422"/>
      <c r="UQI141" s="422"/>
      <c r="UQJ141" s="422"/>
      <c r="UQK141" s="422"/>
      <c r="UQL141" s="422"/>
      <c r="UQM141" s="422"/>
      <c r="UQN141" s="422"/>
      <c r="UQO141" s="422"/>
      <c r="UQP141" s="422"/>
      <c r="UQQ141" s="422"/>
      <c r="UQR141" s="422"/>
      <c r="UQS141" s="422"/>
      <c r="UQT141" s="422"/>
      <c r="UQU141" s="422"/>
      <c r="UQV141" s="422"/>
      <c r="UQW141" s="422"/>
      <c r="UQX141" s="422"/>
      <c r="UQY141" s="422"/>
      <c r="UQZ141" s="422"/>
      <c r="URA141" s="422"/>
      <c r="URB141" s="422"/>
      <c r="URC141" s="422"/>
      <c r="URD141" s="422"/>
      <c r="URE141" s="422"/>
      <c r="URF141" s="422"/>
      <c r="URG141" s="422"/>
      <c r="URH141" s="422"/>
      <c r="URI141" s="422"/>
      <c r="URJ141" s="422"/>
      <c r="URK141" s="422"/>
      <c r="URL141" s="422"/>
      <c r="URM141" s="422"/>
      <c r="URN141" s="422"/>
      <c r="URO141" s="422"/>
      <c r="URP141" s="422"/>
      <c r="URQ141" s="422"/>
      <c r="URR141" s="422"/>
      <c r="URS141" s="422"/>
      <c r="URT141" s="422"/>
      <c r="URU141" s="422"/>
      <c r="URV141" s="422"/>
      <c r="URW141" s="422"/>
      <c r="URX141" s="422"/>
      <c r="URY141" s="422"/>
      <c r="URZ141" s="422"/>
      <c r="USA141" s="422"/>
      <c r="USB141" s="422"/>
      <c r="USC141" s="422"/>
      <c r="USD141" s="422"/>
      <c r="USE141" s="422"/>
      <c r="USF141" s="422"/>
      <c r="USG141" s="422"/>
      <c r="USH141" s="422"/>
      <c r="USI141" s="422"/>
      <c r="USJ141" s="422"/>
      <c r="USK141" s="422"/>
      <c r="USL141" s="422"/>
      <c r="USM141" s="422"/>
      <c r="USN141" s="422"/>
      <c r="USO141" s="422"/>
      <c r="USP141" s="422"/>
      <c r="USQ141" s="422"/>
      <c r="USR141" s="422"/>
      <c r="USS141" s="422"/>
      <c r="UST141" s="422"/>
      <c r="USU141" s="422"/>
      <c r="USV141" s="422"/>
      <c r="USW141" s="422"/>
      <c r="USX141" s="422"/>
      <c r="USY141" s="422"/>
      <c r="USZ141" s="422"/>
      <c r="UTA141" s="422"/>
      <c r="UTB141" s="422"/>
      <c r="UTC141" s="422"/>
      <c r="UTD141" s="422"/>
      <c r="UTE141" s="422"/>
      <c r="UTF141" s="422"/>
      <c r="UTG141" s="422"/>
      <c r="UTH141" s="422"/>
      <c r="UTI141" s="422"/>
      <c r="UTJ141" s="422"/>
      <c r="UTK141" s="422"/>
      <c r="UTL141" s="422"/>
      <c r="UTM141" s="422"/>
      <c r="UTN141" s="422"/>
      <c r="UTO141" s="422"/>
      <c r="UTP141" s="422"/>
      <c r="UTQ141" s="422"/>
      <c r="UTR141" s="422"/>
      <c r="UTS141" s="422"/>
      <c r="UTT141" s="422"/>
      <c r="UTU141" s="422"/>
      <c r="UTV141" s="422"/>
      <c r="UTW141" s="422"/>
      <c r="UTX141" s="422"/>
      <c r="UTY141" s="422"/>
      <c r="UTZ141" s="422"/>
      <c r="UUA141" s="422"/>
      <c r="UUB141" s="422"/>
      <c r="UUC141" s="422"/>
      <c r="UUD141" s="422"/>
      <c r="UUE141" s="422"/>
      <c r="UUF141" s="422"/>
      <c r="UUG141" s="422"/>
      <c r="UUH141" s="422"/>
      <c r="UUI141" s="422"/>
      <c r="UUJ141" s="422"/>
      <c r="UUK141" s="422"/>
      <c r="UUL141" s="422"/>
      <c r="UUM141" s="422"/>
      <c r="UUN141" s="422"/>
      <c r="UUO141" s="422"/>
      <c r="UUP141" s="422"/>
      <c r="UUQ141" s="422"/>
      <c r="UUR141" s="422"/>
      <c r="UUS141" s="422"/>
      <c r="UUT141" s="422"/>
      <c r="UUU141" s="422"/>
      <c r="UUV141" s="422"/>
      <c r="UUW141" s="422"/>
      <c r="UUX141" s="422"/>
      <c r="UUY141" s="422"/>
      <c r="UUZ141" s="422"/>
      <c r="UVA141" s="422"/>
      <c r="UVB141" s="422"/>
      <c r="UVC141" s="422"/>
      <c r="UVD141" s="422"/>
      <c r="UVE141" s="422"/>
      <c r="UVF141" s="422"/>
      <c r="UVG141" s="422"/>
      <c r="UVH141" s="422"/>
      <c r="UVI141" s="422"/>
      <c r="UVJ141" s="422"/>
      <c r="UVK141" s="422"/>
      <c r="UVL141" s="422"/>
      <c r="UVM141" s="422"/>
      <c r="UVN141" s="422"/>
      <c r="UVO141" s="422"/>
      <c r="UVP141" s="422"/>
      <c r="UVQ141" s="422"/>
      <c r="UVR141" s="422"/>
      <c r="UVS141" s="422"/>
      <c r="UVT141" s="422"/>
      <c r="UVU141" s="422"/>
      <c r="UVV141" s="422"/>
      <c r="UVW141" s="422"/>
      <c r="UVX141" s="422"/>
      <c r="UVY141" s="422"/>
      <c r="UVZ141" s="422"/>
      <c r="UWA141" s="422"/>
      <c r="UWB141" s="422"/>
      <c r="UWC141" s="422"/>
      <c r="UWD141" s="422"/>
      <c r="UWE141" s="422"/>
      <c r="UWF141" s="422"/>
      <c r="UWG141" s="422"/>
      <c r="UWH141" s="422"/>
      <c r="UWI141" s="422"/>
      <c r="UWJ141" s="422"/>
      <c r="UWK141" s="422"/>
      <c r="UWL141" s="422"/>
      <c r="UWM141" s="422"/>
      <c r="UWN141" s="422"/>
      <c r="UWO141" s="422"/>
      <c r="UWP141" s="422"/>
      <c r="UWQ141" s="422"/>
      <c r="UWR141" s="422"/>
      <c r="UWS141" s="422"/>
      <c r="UWT141" s="422"/>
      <c r="UWU141" s="422"/>
      <c r="UWV141" s="422"/>
      <c r="UWW141" s="422"/>
      <c r="UWX141" s="422"/>
      <c r="UWY141" s="422"/>
      <c r="UWZ141" s="422"/>
      <c r="UXA141" s="422"/>
      <c r="UXB141" s="422"/>
      <c r="UXC141" s="422"/>
      <c r="UXD141" s="422"/>
      <c r="UXE141" s="422"/>
      <c r="UXF141" s="422"/>
      <c r="UXG141" s="422"/>
      <c r="UXH141" s="422"/>
      <c r="UXI141" s="422"/>
      <c r="UXJ141" s="422"/>
      <c r="UXK141" s="422"/>
      <c r="UXL141" s="422"/>
      <c r="UXM141" s="422"/>
      <c r="UXN141" s="422"/>
      <c r="UXO141" s="422"/>
      <c r="UXP141" s="422"/>
      <c r="UXQ141" s="422"/>
      <c r="UXR141" s="422"/>
      <c r="UXS141" s="422"/>
      <c r="UXT141" s="422"/>
      <c r="UXU141" s="422"/>
      <c r="UXV141" s="422"/>
      <c r="UXW141" s="422"/>
      <c r="UXX141" s="422"/>
      <c r="UXY141" s="422"/>
      <c r="UXZ141" s="422"/>
      <c r="UYA141" s="422"/>
      <c r="UYB141" s="422"/>
      <c r="UYC141" s="422"/>
      <c r="UYD141" s="422"/>
      <c r="UYE141" s="422"/>
      <c r="UYF141" s="422"/>
      <c r="UYG141" s="422"/>
      <c r="UYH141" s="422"/>
      <c r="UYI141" s="422"/>
      <c r="UYJ141" s="422"/>
      <c r="UYK141" s="422"/>
      <c r="UYL141" s="422"/>
      <c r="UYM141" s="422"/>
      <c r="UYN141" s="422"/>
      <c r="UYO141" s="422"/>
      <c r="UYP141" s="422"/>
      <c r="UYQ141" s="422"/>
      <c r="UYR141" s="422"/>
      <c r="UYS141" s="422"/>
      <c r="UYT141" s="422"/>
      <c r="UYU141" s="422"/>
      <c r="UYV141" s="422"/>
      <c r="UYW141" s="422"/>
      <c r="UYX141" s="422"/>
      <c r="UYY141" s="422"/>
      <c r="UYZ141" s="422"/>
      <c r="UZA141" s="422"/>
      <c r="UZB141" s="422"/>
      <c r="UZC141" s="422"/>
      <c r="UZD141" s="422"/>
      <c r="UZE141" s="422"/>
      <c r="UZF141" s="422"/>
      <c r="UZG141" s="422"/>
      <c r="UZH141" s="422"/>
      <c r="UZI141" s="422"/>
      <c r="UZJ141" s="422"/>
      <c r="UZK141" s="422"/>
      <c r="UZL141" s="422"/>
      <c r="UZM141" s="422"/>
      <c r="UZN141" s="422"/>
      <c r="UZO141" s="422"/>
      <c r="UZP141" s="422"/>
      <c r="UZQ141" s="422"/>
      <c r="UZR141" s="422"/>
      <c r="UZS141" s="422"/>
      <c r="UZT141" s="422"/>
      <c r="UZU141" s="422"/>
      <c r="UZV141" s="422"/>
      <c r="UZW141" s="422"/>
      <c r="UZX141" s="422"/>
      <c r="UZY141" s="422"/>
      <c r="UZZ141" s="422"/>
      <c r="VAA141" s="422"/>
      <c r="VAB141" s="422"/>
      <c r="VAC141" s="422"/>
      <c r="VAD141" s="422"/>
      <c r="VAE141" s="422"/>
      <c r="VAF141" s="422"/>
      <c r="VAG141" s="422"/>
      <c r="VAH141" s="422"/>
      <c r="VAI141" s="422"/>
      <c r="VAJ141" s="422"/>
      <c r="VAK141" s="422"/>
      <c r="VAL141" s="422"/>
      <c r="VAM141" s="422"/>
      <c r="VAN141" s="422"/>
      <c r="VAO141" s="422"/>
      <c r="VAP141" s="422"/>
      <c r="VAQ141" s="422"/>
      <c r="VAR141" s="422"/>
      <c r="VAS141" s="422"/>
      <c r="VAT141" s="422"/>
      <c r="VAU141" s="422"/>
      <c r="VAV141" s="422"/>
      <c r="VAW141" s="422"/>
      <c r="VAX141" s="422"/>
      <c r="VAY141" s="422"/>
      <c r="VAZ141" s="422"/>
      <c r="VBA141" s="422"/>
      <c r="VBB141" s="422"/>
      <c r="VBC141" s="422"/>
      <c r="VBD141" s="422"/>
      <c r="VBE141" s="422"/>
      <c r="VBF141" s="422"/>
      <c r="VBG141" s="422"/>
      <c r="VBH141" s="422"/>
      <c r="VBI141" s="422"/>
      <c r="VBJ141" s="422"/>
      <c r="VBK141" s="422"/>
      <c r="VBL141" s="422"/>
      <c r="VBM141" s="422"/>
      <c r="VBN141" s="422"/>
      <c r="VBO141" s="422"/>
      <c r="VBP141" s="422"/>
      <c r="VBQ141" s="422"/>
      <c r="VBR141" s="422"/>
      <c r="VBS141" s="422"/>
      <c r="VBT141" s="422"/>
      <c r="VBU141" s="422"/>
      <c r="VBV141" s="422"/>
      <c r="VBW141" s="422"/>
      <c r="VBX141" s="422"/>
      <c r="VBY141" s="422"/>
      <c r="VBZ141" s="422"/>
      <c r="VCA141" s="422"/>
      <c r="VCB141" s="422"/>
      <c r="VCC141" s="422"/>
      <c r="VCD141" s="422"/>
      <c r="VCE141" s="422"/>
      <c r="VCF141" s="422"/>
      <c r="VCG141" s="422"/>
      <c r="VCH141" s="422"/>
      <c r="VCI141" s="422"/>
      <c r="VCJ141" s="422"/>
      <c r="VCK141" s="422"/>
      <c r="VCL141" s="422"/>
      <c r="VCM141" s="422"/>
      <c r="VCN141" s="422"/>
      <c r="VCO141" s="422"/>
      <c r="VCP141" s="422"/>
      <c r="VCQ141" s="422"/>
      <c r="VCR141" s="422"/>
      <c r="VCS141" s="422"/>
      <c r="VCT141" s="422"/>
      <c r="VCU141" s="422"/>
      <c r="VCV141" s="422"/>
      <c r="VCW141" s="422"/>
      <c r="VCX141" s="422"/>
      <c r="VCY141" s="422"/>
      <c r="VCZ141" s="422"/>
      <c r="VDA141" s="422"/>
      <c r="VDB141" s="422"/>
      <c r="VDC141" s="422"/>
      <c r="VDD141" s="422"/>
      <c r="VDE141" s="422"/>
      <c r="VDF141" s="422"/>
      <c r="VDG141" s="422"/>
      <c r="VDH141" s="422"/>
      <c r="VDI141" s="422"/>
      <c r="VDJ141" s="422"/>
      <c r="VDK141" s="422"/>
      <c r="VDL141" s="422"/>
      <c r="VDM141" s="422"/>
      <c r="VDN141" s="422"/>
      <c r="VDO141" s="422"/>
      <c r="VDP141" s="422"/>
      <c r="VDQ141" s="422"/>
      <c r="VDR141" s="422"/>
      <c r="VDS141" s="422"/>
      <c r="VDT141" s="422"/>
      <c r="VDU141" s="422"/>
      <c r="VDV141" s="422"/>
      <c r="VDW141" s="422"/>
      <c r="VDX141" s="422"/>
      <c r="VDY141" s="422"/>
      <c r="VDZ141" s="422"/>
      <c r="VEA141" s="422"/>
      <c r="VEB141" s="422"/>
      <c r="VEC141" s="422"/>
      <c r="VED141" s="422"/>
      <c r="VEE141" s="422"/>
      <c r="VEF141" s="422"/>
      <c r="VEG141" s="422"/>
      <c r="VEH141" s="422"/>
      <c r="VEI141" s="422"/>
      <c r="VEJ141" s="422"/>
      <c r="VEK141" s="422"/>
      <c r="VEL141" s="422"/>
      <c r="VEM141" s="422"/>
      <c r="VEN141" s="422"/>
      <c r="VEO141" s="422"/>
      <c r="VEP141" s="422"/>
      <c r="VEQ141" s="422"/>
      <c r="VER141" s="422"/>
      <c r="VES141" s="422"/>
      <c r="VET141" s="422"/>
      <c r="VEU141" s="422"/>
      <c r="VEV141" s="422"/>
      <c r="VEW141" s="422"/>
      <c r="VEX141" s="422"/>
      <c r="VEY141" s="422"/>
      <c r="VEZ141" s="422"/>
      <c r="VFA141" s="422"/>
      <c r="VFB141" s="422"/>
      <c r="VFC141" s="422"/>
      <c r="VFD141" s="422"/>
      <c r="VFE141" s="422"/>
      <c r="VFF141" s="422"/>
      <c r="VFG141" s="422"/>
      <c r="VFH141" s="422"/>
      <c r="VFI141" s="422"/>
      <c r="VFJ141" s="422"/>
      <c r="VFK141" s="422"/>
      <c r="VFL141" s="422"/>
      <c r="VFM141" s="422"/>
      <c r="VFN141" s="422"/>
      <c r="VFO141" s="422"/>
      <c r="VFP141" s="422"/>
      <c r="VFQ141" s="422"/>
      <c r="VFR141" s="422"/>
      <c r="VFS141" s="422"/>
      <c r="VFT141" s="422"/>
      <c r="VFU141" s="422"/>
      <c r="VFV141" s="422"/>
      <c r="VFW141" s="422"/>
      <c r="VFX141" s="422"/>
      <c r="VFY141" s="422"/>
      <c r="VFZ141" s="422"/>
      <c r="VGA141" s="422"/>
      <c r="VGB141" s="422"/>
      <c r="VGC141" s="422"/>
      <c r="VGD141" s="422"/>
      <c r="VGE141" s="422"/>
      <c r="VGF141" s="422"/>
      <c r="VGG141" s="422"/>
      <c r="VGH141" s="422"/>
      <c r="VGI141" s="422"/>
      <c r="VGJ141" s="422"/>
      <c r="VGK141" s="422"/>
      <c r="VGL141" s="422"/>
      <c r="VGM141" s="422"/>
      <c r="VGN141" s="422"/>
      <c r="VGO141" s="422"/>
      <c r="VGP141" s="422"/>
      <c r="VGQ141" s="422"/>
      <c r="VGR141" s="422"/>
      <c r="VGS141" s="422"/>
      <c r="VGT141" s="422"/>
      <c r="VGU141" s="422"/>
      <c r="VGV141" s="422"/>
      <c r="VGW141" s="422"/>
      <c r="VGX141" s="422"/>
      <c r="VGY141" s="422"/>
      <c r="VGZ141" s="422"/>
      <c r="VHA141" s="422"/>
      <c r="VHB141" s="422"/>
      <c r="VHC141" s="422"/>
      <c r="VHD141" s="422"/>
      <c r="VHE141" s="422"/>
      <c r="VHF141" s="422"/>
      <c r="VHG141" s="422"/>
      <c r="VHH141" s="422"/>
      <c r="VHI141" s="422"/>
      <c r="VHJ141" s="422"/>
      <c r="VHK141" s="422"/>
      <c r="VHL141" s="422"/>
      <c r="VHM141" s="422"/>
      <c r="VHN141" s="422"/>
      <c r="VHO141" s="422"/>
      <c r="VHP141" s="422"/>
      <c r="VHQ141" s="422"/>
      <c r="VHR141" s="422"/>
      <c r="VHS141" s="422"/>
      <c r="VHT141" s="422"/>
      <c r="VHU141" s="422"/>
      <c r="VHV141" s="422"/>
      <c r="VHW141" s="422"/>
      <c r="VHX141" s="422"/>
      <c r="VHY141" s="422"/>
      <c r="VHZ141" s="422"/>
      <c r="VIA141" s="422"/>
      <c r="VIB141" s="422"/>
      <c r="VIC141" s="422"/>
      <c r="VID141" s="422"/>
      <c r="VIE141" s="422"/>
      <c r="VIF141" s="422"/>
      <c r="VIG141" s="422"/>
      <c r="VIH141" s="422"/>
      <c r="VII141" s="422"/>
      <c r="VIJ141" s="422"/>
      <c r="VIK141" s="422"/>
      <c r="VIL141" s="422"/>
      <c r="VIM141" s="422"/>
      <c r="VIN141" s="422"/>
      <c r="VIO141" s="422"/>
      <c r="VIP141" s="422"/>
      <c r="VIQ141" s="422"/>
      <c r="VIR141" s="422"/>
      <c r="VIS141" s="422"/>
      <c r="VIT141" s="422"/>
      <c r="VIU141" s="422"/>
      <c r="VIV141" s="422"/>
      <c r="VIW141" s="422"/>
      <c r="VIX141" s="422"/>
      <c r="VIY141" s="422"/>
      <c r="VIZ141" s="422"/>
      <c r="VJA141" s="422"/>
      <c r="VJB141" s="422"/>
      <c r="VJC141" s="422"/>
      <c r="VJD141" s="422"/>
      <c r="VJE141" s="422"/>
      <c r="VJF141" s="422"/>
      <c r="VJG141" s="422"/>
      <c r="VJH141" s="422"/>
      <c r="VJI141" s="422"/>
      <c r="VJJ141" s="422"/>
      <c r="VJK141" s="422"/>
      <c r="VJL141" s="422"/>
      <c r="VJM141" s="422"/>
      <c r="VJN141" s="422"/>
      <c r="VJO141" s="422"/>
      <c r="VJP141" s="422"/>
      <c r="VJQ141" s="422"/>
      <c r="VJR141" s="422"/>
      <c r="VJS141" s="422"/>
      <c r="VJT141" s="422"/>
      <c r="VJU141" s="422"/>
      <c r="VJV141" s="422"/>
      <c r="VJW141" s="422"/>
      <c r="VJX141" s="422"/>
      <c r="VJY141" s="422"/>
      <c r="VJZ141" s="422"/>
      <c r="VKA141" s="422"/>
      <c r="VKB141" s="422"/>
      <c r="VKC141" s="422"/>
      <c r="VKD141" s="422"/>
      <c r="VKE141" s="422"/>
      <c r="VKF141" s="422"/>
      <c r="VKG141" s="422"/>
      <c r="VKH141" s="422"/>
      <c r="VKI141" s="422"/>
      <c r="VKJ141" s="422"/>
      <c r="VKK141" s="422"/>
      <c r="VKL141" s="422"/>
      <c r="VKM141" s="422"/>
      <c r="VKN141" s="422"/>
      <c r="VKO141" s="422"/>
      <c r="VKP141" s="422"/>
      <c r="VKQ141" s="422"/>
      <c r="VKR141" s="422"/>
      <c r="VKS141" s="422"/>
      <c r="VKT141" s="422"/>
      <c r="VKU141" s="422"/>
      <c r="VKV141" s="422"/>
      <c r="VKW141" s="422"/>
      <c r="VKX141" s="422"/>
      <c r="VKY141" s="422"/>
      <c r="VKZ141" s="422"/>
      <c r="VLA141" s="422"/>
      <c r="VLB141" s="422"/>
      <c r="VLC141" s="422"/>
      <c r="VLD141" s="422"/>
      <c r="VLE141" s="422"/>
      <c r="VLF141" s="422"/>
      <c r="VLG141" s="422"/>
      <c r="VLH141" s="422"/>
      <c r="VLI141" s="422"/>
      <c r="VLJ141" s="422"/>
      <c r="VLK141" s="422"/>
      <c r="VLL141" s="422"/>
      <c r="VLM141" s="422"/>
      <c r="VLN141" s="422"/>
      <c r="VLO141" s="422"/>
      <c r="VLP141" s="422"/>
      <c r="VLQ141" s="422"/>
      <c r="VLR141" s="422"/>
      <c r="VLS141" s="422"/>
      <c r="VLT141" s="422"/>
      <c r="VLU141" s="422"/>
      <c r="VLV141" s="422"/>
      <c r="VLW141" s="422"/>
      <c r="VLX141" s="422"/>
      <c r="VLY141" s="422"/>
      <c r="VLZ141" s="422"/>
      <c r="VMA141" s="422"/>
      <c r="VMB141" s="422"/>
      <c r="VMC141" s="422"/>
      <c r="VMD141" s="422"/>
      <c r="VME141" s="422"/>
      <c r="VMF141" s="422"/>
      <c r="VMG141" s="422"/>
      <c r="VMH141" s="422"/>
      <c r="VMI141" s="422"/>
      <c r="VMJ141" s="422"/>
      <c r="VMK141" s="422"/>
      <c r="VML141" s="422"/>
      <c r="VMM141" s="422"/>
      <c r="VMN141" s="422"/>
      <c r="VMO141" s="422"/>
      <c r="VMP141" s="422"/>
      <c r="VMQ141" s="422"/>
      <c r="VMR141" s="422"/>
      <c r="VMS141" s="422"/>
      <c r="VMT141" s="422"/>
      <c r="VMU141" s="422"/>
      <c r="VMV141" s="422"/>
      <c r="VMW141" s="422"/>
      <c r="VMX141" s="422"/>
      <c r="VMY141" s="422"/>
      <c r="VMZ141" s="422"/>
      <c r="VNA141" s="422"/>
      <c r="VNB141" s="422"/>
      <c r="VNC141" s="422"/>
      <c r="VND141" s="422"/>
      <c r="VNE141" s="422"/>
      <c r="VNF141" s="422"/>
      <c r="VNG141" s="422"/>
      <c r="VNH141" s="422"/>
      <c r="VNI141" s="422"/>
      <c r="VNJ141" s="422"/>
      <c r="VNK141" s="422"/>
      <c r="VNL141" s="422"/>
      <c r="VNM141" s="422"/>
      <c r="VNN141" s="422"/>
      <c r="VNO141" s="422"/>
      <c r="VNP141" s="422"/>
      <c r="VNQ141" s="422"/>
      <c r="VNR141" s="422"/>
      <c r="VNS141" s="422"/>
      <c r="VNT141" s="422"/>
      <c r="VNU141" s="422"/>
      <c r="VNV141" s="422"/>
      <c r="VNW141" s="422"/>
      <c r="VNX141" s="422"/>
      <c r="VNY141" s="422"/>
      <c r="VNZ141" s="422"/>
      <c r="VOA141" s="422"/>
      <c r="VOB141" s="422"/>
      <c r="VOC141" s="422"/>
      <c r="VOD141" s="422"/>
      <c r="VOE141" s="422"/>
      <c r="VOF141" s="422"/>
      <c r="VOG141" s="422"/>
      <c r="VOH141" s="422"/>
      <c r="VOI141" s="422"/>
      <c r="VOJ141" s="422"/>
      <c r="VOK141" s="422"/>
      <c r="VOL141" s="422"/>
      <c r="VOM141" s="422"/>
      <c r="VON141" s="422"/>
      <c r="VOO141" s="422"/>
      <c r="VOP141" s="422"/>
      <c r="VOQ141" s="422"/>
      <c r="VOR141" s="422"/>
      <c r="VOS141" s="422"/>
      <c r="VOT141" s="422"/>
      <c r="VOU141" s="422"/>
      <c r="VOV141" s="422"/>
      <c r="VOW141" s="422"/>
      <c r="VOX141" s="422"/>
      <c r="VOY141" s="422"/>
      <c r="VOZ141" s="422"/>
      <c r="VPA141" s="422"/>
      <c r="VPB141" s="422"/>
      <c r="VPC141" s="422"/>
      <c r="VPD141" s="422"/>
      <c r="VPE141" s="422"/>
      <c r="VPF141" s="422"/>
      <c r="VPG141" s="422"/>
      <c r="VPH141" s="422"/>
      <c r="VPI141" s="422"/>
      <c r="VPJ141" s="422"/>
      <c r="VPK141" s="422"/>
      <c r="VPL141" s="422"/>
      <c r="VPM141" s="422"/>
      <c r="VPN141" s="422"/>
      <c r="VPO141" s="422"/>
      <c r="VPP141" s="422"/>
      <c r="VPQ141" s="422"/>
      <c r="VPR141" s="422"/>
      <c r="VPS141" s="422"/>
      <c r="VPT141" s="422"/>
      <c r="VPU141" s="422"/>
      <c r="VPV141" s="422"/>
      <c r="VPW141" s="422"/>
      <c r="VPX141" s="422"/>
      <c r="VPY141" s="422"/>
      <c r="VPZ141" s="422"/>
      <c r="VQA141" s="422"/>
      <c r="VQB141" s="422"/>
      <c r="VQC141" s="422"/>
      <c r="VQD141" s="422"/>
      <c r="VQE141" s="422"/>
      <c r="VQF141" s="422"/>
      <c r="VQG141" s="422"/>
      <c r="VQH141" s="422"/>
      <c r="VQI141" s="422"/>
      <c r="VQJ141" s="422"/>
      <c r="VQK141" s="422"/>
      <c r="VQL141" s="422"/>
      <c r="VQM141" s="422"/>
      <c r="VQN141" s="422"/>
      <c r="VQO141" s="422"/>
      <c r="VQP141" s="422"/>
      <c r="VQQ141" s="422"/>
      <c r="VQR141" s="422"/>
      <c r="VQS141" s="422"/>
      <c r="VQT141" s="422"/>
      <c r="VQU141" s="422"/>
      <c r="VQV141" s="422"/>
      <c r="VQW141" s="422"/>
      <c r="VQX141" s="422"/>
      <c r="VQY141" s="422"/>
      <c r="VQZ141" s="422"/>
      <c r="VRA141" s="422"/>
      <c r="VRB141" s="422"/>
      <c r="VRC141" s="422"/>
      <c r="VRD141" s="422"/>
      <c r="VRE141" s="422"/>
      <c r="VRF141" s="422"/>
      <c r="VRG141" s="422"/>
      <c r="VRH141" s="422"/>
      <c r="VRI141" s="422"/>
      <c r="VRJ141" s="422"/>
      <c r="VRK141" s="422"/>
      <c r="VRL141" s="422"/>
      <c r="VRM141" s="422"/>
      <c r="VRN141" s="422"/>
      <c r="VRO141" s="422"/>
      <c r="VRP141" s="422"/>
      <c r="VRQ141" s="422"/>
      <c r="VRR141" s="422"/>
      <c r="VRS141" s="422"/>
      <c r="VRT141" s="422"/>
      <c r="VRU141" s="422"/>
      <c r="VRV141" s="422"/>
      <c r="VRW141" s="422"/>
      <c r="VRX141" s="422"/>
      <c r="VRY141" s="422"/>
      <c r="VRZ141" s="422"/>
      <c r="VSA141" s="422"/>
      <c r="VSB141" s="422"/>
      <c r="VSC141" s="422"/>
      <c r="VSD141" s="422"/>
      <c r="VSE141" s="422"/>
      <c r="VSF141" s="422"/>
      <c r="VSG141" s="422"/>
      <c r="VSH141" s="422"/>
      <c r="VSI141" s="422"/>
      <c r="VSJ141" s="422"/>
      <c r="VSK141" s="422"/>
      <c r="VSL141" s="422"/>
      <c r="VSM141" s="422"/>
      <c r="VSN141" s="422"/>
      <c r="VSO141" s="422"/>
      <c r="VSP141" s="422"/>
      <c r="VSQ141" s="422"/>
      <c r="VSR141" s="422"/>
      <c r="VSS141" s="422"/>
      <c r="VST141" s="422"/>
      <c r="VSU141" s="422"/>
      <c r="VSV141" s="422"/>
      <c r="VSW141" s="422"/>
      <c r="VSX141" s="422"/>
      <c r="VSY141" s="422"/>
      <c r="VSZ141" s="422"/>
      <c r="VTA141" s="422"/>
      <c r="VTB141" s="422"/>
      <c r="VTC141" s="422"/>
      <c r="VTD141" s="422"/>
      <c r="VTE141" s="422"/>
      <c r="VTF141" s="422"/>
      <c r="VTG141" s="422"/>
      <c r="VTH141" s="422"/>
      <c r="VTI141" s="422"/>
      <c r="VTJ141" s="422"/>
      <c r="VTK141" s="422"/>
      <c r="VTL141" s="422"/>
      <c r="VTM141" s="422"/>
      <c r="VTN141" s="422"/>
      <c r="VTO141" s="422"/>
      <c r="VTP141" s="422"/>
      <c r="VTQ141" s="422"/>
      <c r="VTR141" s="422"/>
      <c r="VTS141" s="422"/>
      <c r="VTT141" s="422"/>
      <c r="VTU141" s="422"/>
      <c r="VTV141" s="422"/>
      <c r="VTW141" s="422"/>
      <c r="VTX141" s="422"/>
      <c r="VTY141" s="422"/>
      <c r="VTZ141" s="422"/>
      <c r="VUA141" s="422"/>
      <c r="VUB141" s="422"/>
      <c r="VUC141" s="422"/>
      <c r="VUD141" s="422"/>
      <c r="VUE141" s="422"/>
      <c r="VUF141" s="422"/>
      <c r="VUG141" s="422"/>
      <c r="VUH141" s="422"/>
      <c r="VUI141" s="422"/>
      <c r="VUJ141" s="422"/>
      <c r="VUK141" s="422"/>
      <c r="VUL141" s="422"/>
      <c r="VUM141" s="422"/>
      <c r="VUN141" s="422"/>
      <c r="VUO141" s="422"/>
      <c r="VUP141" s="422"/>
      <c r="VUQ141" s="422"/>
      <c r="VUR141" s="422"/>
      <c r="VUS141" s="422"/>
      <c r="VUT141" s="422"/>
      <c r="VUU141" s="422"/>
      <c r="VUV141" s="422"/>
      <c r="VUW141" s="422"/>
      <c r="VUX141" s="422"/>
      <c r="VUY141" s="422"/>
      <c r="VUZ141" s="422"/>
      <c r="VVA141" s="422"/>
      <c r="VVB141" s="422"/>
      <c r="VVC141" s="422"/>
      <c r="VVD141" s="422"/>
      <c r="VVE141" s="422"/>
      <c r="VVF141" s="422"/>
      <c r="VVG141" s="422"/>
      <c r="VVH141" s="422"/>
      <c r="VVI141" s="422"/>
      <c r="VVJ141" s="422"/>
      <c r="VVK141" s="422"/>
      <c r="VVL141" s="422"/>
      <c r="VVM141" s="422"/>
      <c r="VVN141" s="422"/>
      <c r="VVO141" s="422"/>
      <c r="VVP141" s="422"/>
      <c r="VVQ141" s="422"/>
      <c r="VVR141" s="422"/>
      <c r="VVS141" s="422"/>
      <c r="VVT141" s="422"/>
      <c r="VVU141" s="422"/>
      <c r="VVV141" s="422"/>
      <c r="VVW141" s="422"/>
      <c r="VVX141" s="422"/>
      <c r="VVY141" s="422"/>
      <c r="VVZ141" s="422"/>
      <c r="VWA141" s="422"/>
      <c r="VWB141" s="422"/>
      <c r="VWC141" s="422"/>
      <c r="VWD141" s="422"/>
      <c r="VWE141" s="422"/>
      <c r="VWF141" s="422"/>
      <c r="VWG141" s="422"/>
      <c r="VWH141" s="422"/>
      <c r="VWI141" s="422"/>
      <c r="VWJ141" s="422"/>
      <c r="VWK141" s="422"/>
      <c r="VWL141" s="422"/>
      <c r="VWM141" s="422"/>
      <c r="VWN141" s="422"/>
      <c r="VWO141" s="422"/>
      <c r="VWP141" s="422"/>
      <c r="VWQ141" s="422"/>
      <c r="VWR141" s="422"/>
      <c r="VWS141" s="422"/>
      <c r="VWT141" s="422"/>
      <c r="VWU141" s="422"/>
      <c r="VWV141" s="422"/>
      <c r="VWW141" s="422"/>
      <c r="VWX141" s="422"/>
      <c r="VWY141" s="422"/>
      <c r="VWZ141" s="422"/>
      <c r="VXA141" s="422"/>
      <c r="VXB141" s="422"/>
      <c r="VXC141" s="422"/>
      <c r="VXD141" s="422"/>
      <c r="VXE141" s="422"/>
      <c r="VXF141" s="422"/>
      <c r="VXG141" s="422"/>
      <c r="VXH141" s="422"/>
      <c r="VXI141" s="422"/>
      <c r="VXJ141" s="422"/>
      <c r="VXK141" s="422"/>
      <c r="VXL141" s="422"/>
      <c r="VXM141" s="422"/>
      <c r="VXN141" s="422"/>
      <c r="VXO141" s="422"/>
      <c r="VXP141" s="422"/>
      <c r="VXQ141" s="422"/>
      <c r="VXR141" s="422"/>
      <c r="VXS141" s="422"/>
      <c r="VXT141" s="422"/>
      <c r="VXU141" s="422"/>
      <c r="VXV141" s="422"/>
      <c r="VXW141" s="422"/>
      <c r="VXX141" s="422"/>
      <c r="VXY141" s="422"/>
      <c r="VXZ141" s="422"/>
      <c r="VYA141" s="422"/>
      <c r="VYB141" s="422"/>
      <c r="VYC141" s="422"/>
      <c r="VYD141" s="422"/>
      <c r="VYE141" s="422"/>
      <c r="VYF141" s="422"/>
      <c r="VYG141" s="422"/>
      <c r="VYH141" s="422"/>
      <c r="VYI141" s="422"/>
      <c r="VYJ141" s="422"/>
      <c r="VYK141" s="422"/>
      <c r="VYL141" s="422"/>
      <c r="VYM141" s="422"/>
      <c r="VYN141" s="422"/>
      <c r="VYO141" s="422"/>
      <c r="VYP141" s="422"/>
      <c r="VYQ141" s="422"/>
      <c r="VYR141" s="422"/>
      <c r="VYS141" s="422"/>
      <c r="VYT141" s="422"/>
      <c r="VYU141" s="422"/>
      <c r="VYV141" s="422"/>
      <c r="VYW141" s="422"/>
      <c r="VYX141" s="422"/>
      <c r="VYY141" s="422"/>
      <c r="VYZ141" s="422"/>
      <c r="VZA141" s="422"/>
      <c r="VZB141" s="422"/>
      <c r="VZC141" s="422"/>
      <c r="VZD141" s="422"/>
      <c r="VZE141" s="422"/>
      <c r="VZF141" s="422"/>
      <c r="VZG141" s="422"/>
      <c r="VZH141" s="422"/>
      <c r="VZI141" s="422"/>
      <c r="VZJ141" s="422"/>
      <c r="VZK141" s="422"/>
      <c r="VZL141" s="422"/>
      <c r="VZM141" s="422"/>
      <c r="VZN141" s="422"/>
      <c r="VZO141" s="422"/>
      <c r="VZP141" s="422"/>
      <c r="VZQ141" s="422"/>
      <c r="VZR141" s="422"/>
      <c r="VZS141" s="422"/>
      <c r="VZT141" s="422"/>
      <c r="VZU141" s="422"/>
      <c r="VZV141" s="422"/>
      <c r="VZW141" s="422"/>
      <c r="VZX141" s="422"/>
      <c r="VZY141" s="422"/>
      <c r="VZZ141" s="422"/>
      <c r="WAA141" s="422"/>
      <c r="WAB141" s="422"/>
      <c r="WAC141" s="422"/>
      <c r="WAD141" s="422"/>
      <c r="WAE141" s="422"/>
      <c r="WAF141" s="422"/>
      <c r="WAG141" s="422"/>
      <c r="WAH141" s="422"/>
      <c r="WAI141" s="422"/>
      <c r="WAJ141" s="422"/>
      <c r="WAK141" s="422"/>
      <c r="WAL141" s="422"/>
      <c r="WAM141" s="422"/>
      <c r="WAN141" s="422"/>
      <c r="WAO141" s="422"/>
      <c r="WAP141" s="422"/>
      <c r="WAQ141" s="422"/>
      <c r="WAR141" s="422"/>
      <c r="WAS141" s="422"/>
      <c r="WAT141" s="422"/>
      <c r="WAU141" s="422"/>
      <c r="WAV141" s="422"/>
      <c r="WAW141" s="422"/>
      <c r="WAX141" s="422"/>
      <c r="WAY141" s="422"/>
      <c r="WAZ141" s="422"/>
      <c r="WBA141" s="422"/>
      <c r="WBB141" s="422"/>
      <c r="WBC141" s="422"/>
      <c r="WBD141" s="422"/>
      <c r="WBE141" s="422"/>
      <c r="WBF141" s="422"/>
      <c r="WBG141" s="422"/>
      <c r="WBH141" s="422"/>
      <c r="WBI141" s="422"/>
      <c r="WBJ141" s="422"/>
      <c r="WBK141" s="422"/>
      <c r="WBL141" s="422"/>
      <c r="WBM141" s="422"/>
      <c r="WBN141" s="422"/>
      <c r="WBO141" s="422"/>
      <c r="WBP141" s="422"/>
      <c r="WBQ141" s="422"/>
      <c r="WBR141" s="422"/>
      <c r="WBS141" s="422"/>
      <c r="WBT141" s="422"/>
      <c r="WBU141" s="422"/>
      <c r="WBV141" s="422"/>
      <c r="WBW141" s="422"/>
      <c r="WBX141" s="422"/>
      <c r="WBY141" s="422"/>
      <c r="WBZ141" s="422"/>
      <c r="WCA141" s="422"/>
      <c r="WCB141" s="422"/>
      <c r="WCC141" s="422"/>
      <c r="WCD141" s="422"/>
      <c r="WCE141" s="422"/>
      <c r="WCF141" s="422"/>
      <c r="WCG141" s="422"/>
      <c r="WCH141" s="422"/>
      <c r="WCI141" s="422"/>
      <c r="WCJ141" s="422"/>
      <c r="WCK141" s="422"/>
      <c r="WCL141" s="422"/>
      <c r="WCM141" s="422"/>
      <c r="WCN141" s="422"/>
      <c r="WCO141" s="422"/>
      <c r="WCP141" s="422"/>
      <c r="WCQ141" s="422"/>
      <c r="WCR141" s="422"/>
      <c r="WCS141" s="422"/>
      <c r="WCT141" s="422"/>
      <c r="WCU141" s="422"/>
      <c r="WCV141" s="422"/>
      <c r="WCW141" s="422"/>
      <c r="WCX141" s="422"/>
      <c r="WCY141" s="422"/>
      <c r="WCZ141" s="422"/>
      <c r="WDA141" s="422"/>
      <c r="WDB141" s="422"/>
      <c r="WDC141" s="422"/>
      <c r="WDD141" s="422"/>
      <c r="WDE141" s="422"/>
      <c r="WDF141" s="422"/>
      <c r="WDG141" s="422"/>
      <c r="WDH141" s="422"/>
      <c r="WDI141" s="422"/>
      <c r="WDJ141" s="422"/>
      <c r="WDK141" s="422"/>
      <c r="WDL141" s="422"/>
      <c r="WDM141" s="422"/>
      <c r="WDN141" s="422"/>
      <c r="WDO141" s="422"/>
      <c r="WDP141" s="422"/>
      <c r="WDQ141" s="422"/>
      <c r="WDR141" s="422"/>
      <c r="WDS141" s="422"/>
      <c r="WDT141" s="422"/>
      <c r="WDU141" s="422"/>
      <c r="WDV141" s="422"/>
      <c r="WDW141" s="422"/>
      <c r="WDX141" s="422"/>
      <c r="WDY141" s="422"/>
      <c r="WDZ141" s="422"/>
      <c r="WEA141" s="422"/>
      <c r="WEB141" s="422"/>
      <c r="WEC141" s="422"/>
      <c r="WED141" s="422"/>
      <c r="WEE141" s="422"/>
      <c r="WEF141" s="422"/>
      <c r="WEG141" s="422"/>
      <c r="WEH141" s="422"/>
      <c r="WEI141" s="422"/>
      <c r="WEJ141" s="422"/>
      <c r="WEK141" s="422"/>
      <c r="WEL141" s="422"/>
      <c r="WEM141" s="422"/>
      <c r="WEN141" s="422"/>
      <c r="WEO141" s="422"/>
      <c r="WEP141" s="422"/>
      <c r="WEQ141" s="422"/>
      <c r="WER141" s="422"/>
      <c r="WES141" s="422"/>
      <c r="WET141" s="422"/>
      <c r="WEU141" s="422"/>
      <c r="WEV141" s="422"/>
      <c r="WEW141" s="422"/>
      <c r="WEX141" s="422"/>
      <c r="WEY141" s="422"/>
      <c r="WEZ141" s="422"/>
      <c r="WFA141" s="422"/>
      <c r="WFB141" s="422"/>
      <c r="WFC141" s="422"/>
      <c r="WFD141" s="422"/>
      <c r="WFE141" s="422"/>
      <c r="WFF141" s="422"/>
      <c r="WFG141" s="422"/>
      <c r="WFH141" s="422"/>
      <c r="WFI141" s="422"/>
      <c r="WFJ141" s="422"/>
      <c r="WFK141" s="422"/>
      <c r="WFL141" s="422"/>
      <c r="WFM141" s="422"/>
      <c r="WFN141" s="422"/>
      <c r="WFO141" s="422"/>
      <c r="WFP141" s="422"/>
      <c r="WFQ141" s="422"/>
      <c r="WFR141" s="422"/>
      <c r="WFS141" s="422"/>
      <c r="WFT141" s="422"/>
      <c r="WFU141" s="422"/>
      <c r="WFV141" s="422"/>
      <c r="WFW141" s="422"/>
      <c r="WFX141" s="422"/>
      <c r="WFY141" s="422"/>
      <c r="WFZ141" s="422"/>
      <c r="WGA141" s="422"/>
      <c r="WGB141" s="422"/>
      <c r="WGC141" s="422"/>
      <c r="WGD141" s="422"/>
      <c r="WGE141" s="422"/>
      <c r="WGF141" s="422"/>
      <c r="WGG141" s="422"/>
      <c r="WGH141" s="422"/>
      <c r="WGI141" s="422"/>
      <c r="WGJ141" s="422"/>
      <c r="WGK141" s="422"/>
      <c r="WGL141" s="422"/>
      <c r="WGM141" s="422"/>
      <c r="WGN141" s="422"/>
      <c r="WGO141" s="422"/>
      <c r="WGP141" s="422"/>
      <c r="WGQ141" s="422"/>
      <c r="WGR141" s="422"/>
      <c r="WGS141" s="422"/>
      <c r="WGT141" s="422"/>
      <c r="WGU141" s="422"/>
      <c r="WGV141" s="422"/>
      <c r="WGW141" s="422"/>
      <c r="WGX141" s="422"/>
      <c r="WGY141" s="422"/>
      <c r="WGZ141" s="422"/>
      <c r="WHA141" s="422"/>
      <c r="WHB141" s="422"/>
      <c r="WHC141" s="422"/>
      <c r="WHD141" s="422"/>
      <c r="WHE141" s="422"/>
      <c r="WHF141" s="422"/>
      <c r="WHG141" s="422"/>
      <c r="WHH141" s="422"/>
      <c r="WHI141" s="422"/>
      <c r="WHJ141" s="422"/>
      <c r="WHK141" s="422"/>
      <c r="WHL141" s="422"/>
      <c r="WHM141" s="422"/>
      <c r="WHN141" s="422"/>
      <c r="WHO141" s="422"/>
      <c r="WHP141" s="422"/>
      <c r="WHQ141" s="422"/>
      <c r="WHR141" s="422"/>
      <c r="WHS141" s="422"/>
      <c r="WHT141" s="422"/>
      <c r="WHU141" s="422"/>
      <c r="WHV141" s="422"/>
      <c r="WHW141" s="422"/>
      <c r="WHX141" s="422"/>
      <c r="WHY141" s="422"/>
      <c r="WHZ141" s="422"/>
      <c r="WIA141" s="422"/>
      <c r="WIB141" s="422"/>
      <c r="WIC141" s="422"/>
      <c r="WID141" s="422"/>
      <c r="WIE141" s="422"/>
      <c r="WIF141" s="422"/>
      <c r="WIG141" s="422"/>
      <c r="WIH141" s="422"/>
      <c r="WII141" s="422"/>
      <c r="WIJ141" s="422"/>
      <c r="WIK141" s="422"/>
      <c r="WIL141" s="422"/>
      <c r="WIM141" s="422"/>
      <c r="WIN141" s="422"/>
      <c r="WIO141" s="422"/>
      <c r="WIP141" s="422"/>
      <c r="WIQ141" s="422"/>
      <c r="WIR141" s="422"/>
      <c r="WIS141" s="422"/>
      <c r="WIT141" s="422"/>
      <c r="WIU141" s="422"/>
      <c r="WIV141" s="422"/>
      <c r="WIW141" s="422"/>
      <c r="WIX141" s="422"/>
      <c r="WIY141" s="422"/>
      <c r="WIZ141" s="422"/>
      <c r="WJA141" s="422"/>
      <c r="WJB141" s="422"/>
      <c r="WJC141" s="422"/>
      <c r="WJD141" s="422"/>
      <c r="WJE141" s="422"/>
      <c r="WJF141" s="422"/>
      <c r="WJG141" s="422"/>
      <c r="WJH141" s="422"/>
      <c r="WJI141" s="422"/>
      <c r="WJJ141" s="422"/>
      <c r="WJK141" s="422"/>
      <c r="WJL141" s="422"/>
      <c r="WJM141" s="422"/>
      <c r="WJN141" s="422"/>
      <c r="WJO141" s="422"/>
      <c r="WJP141" s="422"/>
      <c r="WJQ141" s="422"/>
      <c r="WJR141" s="422"/>
      <c r="WJS141" s="422"/>
      <c r="WJT141" s="422"/>
      <c r="WJU141" s="422"/>
      <c r="WJV141" s="422"/>
      <c r="WJW141" s="422"/>
      <c r="WJX141" s="422"/>
      <c r="WJY141" s="422"/>
      <c r="WJZ141" s="422"/>
      <c r="WKA141" s="422"/>
      <c r="WKB141" s="422"/>
      <c r="WKC141" s="422"/>
      <c r="WKD141" s="422"/>
      <c r="WKE141" s="422"/>
      <c r="WKF141" s="422"/>
      <c r="WKG141" s="422"/>
      <c r="WKH141" s="422"/>
      <c r="WKI141" s="422"/>
      <c r="WKJ141" s="422"/>
      <c r="WKK141" s="422"/>
      <c r="WKL141" s="422"/>
      <c r="WKM141" s="422"/>
      <c r="WKN141" s="422"/>
      <c r="WKO141" s="422"/>
      <c r="WKP141" s="422"/>
      <c r="WKQ141" s="422"/>
      <c r="WKR141" s="422"/>
      <c r="WKS141" s="422"/>
      <c r="WKT141" s="422"/>
      <c r="WKU141" s="422"/>
      <c r="WKV141" s="422"/>
      <c r="WKW141" s="422"/>
      <c r="WKX141" s="422"/>
      <c r="WKY141" s="422"/>
      <c r="WKZ141" s="422"/>
      <c r="WLA141" s="422"/>
      <c r="WLB141" s="422"/>
      <c r="WLC141" s="422"/>
      <c r="WLD141" s="422"/>
      <c r="WLE141" s="422"/>
      <c r="WLF141" s="422"/>
      <c r="WLG141" s="422"/>
      <c r="WLH141" s="422"/>
      <c r="WLI141" s="422"/>
      <c r="WLJ141" s="422"/>
      <c r="WLK141" s="422"/>
      <c r="WLL141" s="422"/>
      <c r="WLM141" s="422"/>
      <c r="WLN141" s="422"/>
      <c r="WLO141" s="422"/>
      <c r="WLP141" s="422"/>
      <c r="WLQ141" s="422"/>
      <c r="WLR141" s="422"/>
      <c r="WLS141" s="422"/>
      <c r="WLT141" s="422"/>
      <c r="WLU141" s="422"/>
      <c r="WLV141" s="422"/>
      <c r="WLW141" s="422"/>
      <c r="WLX141" s="422"/>
      <c r="WLY141" s="422"/>
      <c r="WLZ141" s="422"/>
      <c r="WMA141" s="422"/>
      <c r="WMB141" s="422"/>
      <c r="WMC141" s="422"/>
      <c r="WMD141" s="422"/>
      <c r="WME141" s="422"/>
      <c r="WMF141" s="422"/>
      <c r="WMG141" s="422"/>
      <c r="WMH141" s="422"/>
      <c r="WMI141" s="422"/>
      <c r="WMJ141" s="422"/>
      <c r="WMK141" s="422"/>
      <c r="WML141" s="422"/>
      <c r="WMM141" s="422"/>
      <c r="WMN141" s="422"/>
      <c r="WMO141" s="422"/>
      <c r="WMP141" s="422"/>
      <c r="WMQ141" s="422"/>
      <c r="WMR141" s="422"/>
      <c r="WMS141" s="422"/>
      <c r="WMT141" s="422"/>
      <c r="WMU141" s="422"/>
      <c r="WMV141" s="422"/>
      <c r="WMW141" s="422"/>
      <c r="WMX141" s="422"/>
      <c r="WMY141" s="422"/>
      <c r="WMZ141" s="422"/>
      <c r="WNA141" s="422"/>
      <c r="WNB141" s="422"/>
      <c r="WNC141" s="422"/>
      <c r="WND141" s="422"/>
      <c r="WNE141" s="422"/>
      <c r="WNF141" s="422"/>
      <c r="WNG141" s="422"/>
      <c r="WNH141" s="422"/>
      <c r="WNI141" s="422"/>
      <c r="WNJ141" s="422"/>
      <c r="WNK141" s="422"/>
      <c r="WNL141" s="422"/>
      <c r="WNM141" s="422"/>
      <c r="WNN141" s="422"/>
      <c r="WNO141" s="422"/>
      <c r="WNP141" s="422"/>
      <c r="WNQ141" s="422"/>
      <c r="WNR141" s="422"/>
      <c r="WNS141" s="422"/>
      <c r="WNT141" s="422"/>
      <c r="WNU141" s="422"/>
      <c r="WNV141" s="422"/>
      <c r="WNW141" s="422"/>
      <c r="WNX141" s="422"/>
      <c r="WNY141" s="422"/>
      <c r="WNZ141" s="422"/>
      <c r="WOA141" s="422"/>
      <c r="WOB141" s="422"/>
      <c r="WOC141" s="422"/>
      <c r="WOD141" s="422"/>
      <c r="WOE141" s="422"/>
      <c r="WOF141" s="422"/>
      <c r="WOG141" s="422"/>
      <c r="WOH141" s="422"/>
      <c r="WOI141" s="422"/>
      <c r="WOJ141" s="422"/>
      <c r="WOK141" s="422"/>
      <c r="WOL141" s="422"/>
      <c r="WOM141" s="422"/>
      <c r="WON141" s="422"/>
      <c r="WOO141" s="422"/>
      <c r="WOP141" s="422"/>
      <c r="WOQ141" s="422"/>
      <c r="WOR141" s="422"/>
      <c r="WOS141" s="422"/>
      <c r="WOT141" s="422"/>
      <c r="WOU141" s="422"/>
      <c r="WOV141" s="422"/>
      <c r="WOW141" s="422"/>
      <c r="WOX141" s="422"/>
      <c r="WOY141" s="422"/>
      <c r="WOZ141" s="422"/>
      <c r="WPA141" s="422"/>
      <c r="WPB141" s="422"/>
      <c r="WPC141" s="422"/>
      <c r="WPD141" s="422"/>
      <c r="WPE141" s="422"/>
      <c r="WPF141" s="422"/>
      <c r="WPG141" s="422"/>
      <c r="WPH141" s="422"/>
      <c r="WPI141" s="422"/>
      <c r="WPJ141" s="422"/>
      <c r="WPK141" s="422"/>
      <c r="WPL141" s="422"/>
      <c r="WPM141" s="422"/>
      <c r="WPN141" s="422"/>
      <c r="WPO141" s="422"/>
      <c r="WPP141" s="422"/>
      <c r="WPQ141" s="422"/>
      <c r="WPR141" s="422"/>
      <c r="WPS141" s="422"/>
      <c r="WPT141" s="422"/>
      <c r="WPU141" s="422"/>
      <c r="WPV141" s="422"/>
      <c r="WPW141" s="422"/>
      <c r="WPX141" s="422"/>
      <c r="WPY141" s="422"/>
      <c r="WPZ141" s="422"/>
      <c r="WQA141" s="422"/>
      <c r="WQB141" s="422"/>
      <c r="WQC141" s="422"/>
      <c r="WQD141" s="422"/>
      <c r="WQE141" s="422"/>
      <c r="WQF141" s="422"/>
      <c r="WQG141" s="422"/>
      <c r="WQH141" s="422"/>
      <c r="WQI141" s="422"/>
      <c r="WQJ141" s="422"/>
      <c r="WQK141" s="422"/>
      <c r="WQL141" s="422"/>
      <c r="WQM141" s="422"/>
      <c r="WQN141" s="422"/>
      <c r="WQO141" s="422"/>
      <c r="WQP141" s="422"/>
      <c r="WQQ141" s="422"/>
      <c r="WQR141" s="422"/>
      <c r="WQS141" s="422"/>
      <c r="WQT141" s="422"/>
      <c r="WQU141" s="422"/>
      <c r="WQV141" s="422"/>
      <c r="WQW141" s="422"/>
      <c r="WQX141" s="422"/>
      <c r="WQY141" s="422"/>
      <c r="WQZ141" s="422"/>
      <c r="WRA141" s="422"/>
      <c r="WRB141" s="422"/>
      <c r="WRC141" s="422"/>
      <c r="WRD141" s="422"/>
      <c r="WRE141" s="422"/>
      <c r="WRF141" s="422"/>
      <c r="WRG141" s="422"/>
      <c r="WRH141" s="422"/>
      <c r="WRI141" s="422"/>
      <c r="WRJ141" s="422"/>
      <c r="WRK141" s="422"/>
      <c r="WRL141" s="422"/>
      <c r="WRM141" s="422"/>
      <c r="WRN141" s="422"/>
      <c r="WRO141" s="422"/>
      <c r="WRP141" s="422"/>
      <c r="WRQ141" s="422"/>
      <c r="WRR141" s="422"/>
      <c r="WRS141" s="422"/>
      <c r="WRT141" s="422"/>
      <c r="WRU141" s="422"/>
      <c r="WRV141" s="422"/>
      <c r="WRW141" s="422"/>
      <c r="WRX141" s="422"/>
      <c r="WRY141" s="422"/>
      <c r="WRZ141" s="422"/>
      <c r="WSA141" s="422"/>
      <c r="WSB141" s="422"/>
      <c r="WSC141" s="422"/>
      <c r="WSD141" s="422"/>
      <c r="WSE141" s="422"/>
      <c r="WSF141" s="422"/>
      <c r="WSG141" s="422"/>
      <c r="WSH141" s="422"/>
      <c r="WSI141" s="422"/>
      <c r="WSJ141" s="422"/>
      <c r="WSK141" s="422"/>
      <c r="WSL141" s="422"/>
      <c r="WSM141" s="422"/>
      <c r="WSN141" s="422"/>
      <c r="WSO141" s="422"/>
      <c r="WSP141" s="422"/>
      <c r="WSQ141" s="422"/>
      <c r="WSR141" s="422"/>
      <c r="WSS141" s="422"/>
      <c r="WST141" s="422"/>
      <c r="WSU141" s="422"/>
      <c r="WSV141" s="422"/>
      <c r="WSW141" s="422"/>
      <c r="WSX141" s="422"/>
      <c r="WSY141" s="422"/>
      <c r="WSZ141" s="422"/>
      <c r="WTA141" s="422"/>
      <c r="WTB141" s="422"/>
      <c r="WTC141" s="422"/>
      <c r="WTD141" s="422"/>
      <c r="WTE141" s="422"/>
      <c r="WTF141" s="422"/>
      <c r="WTG141" s="422"/>
      <c r="WTH141" s="422"/>
      <c r="WTI141" s="422"/>
      <c r="WTJ141" s="422"/>
      <c r="WTK141" s="422"/>
      <c r="WTL141" s="422"/>
      <c r="WTM141" s="422"/>
      <c r="WTN141" s="422"/>
      <c r="WTO141" s="422"/>
      <c r="WTP141" s="422"/>
      <c r="WTQ141" s="422"/>
      <c r="WTR141" s="422"/>
      <c r="WTS141" s="422"/>
      <c r="WTT141" s="422"/>
      <c r="WTU141" s="422"/>
      <c r="WTV141" s="422"/>
      <c r="WTW141" s="422"/>
      <c r="WTX141" s="422"/>
      <c r="WTY141" s="422"/>
      <c r="WTZ141" s="422"/>
      <c r="WUA141" s="422"/>
      <c r="WUB141" s="422"/>
      <c r="WUC141" s="422"/>
      <c r="WUD141" s="422"/>
      <c r="WUE141" s="422"/>
      <c r="WUF141" s="422"/>
      <c r="WUG141" s="422"/>
      <c r="WUH141" s="422"/>
      <c r="WUI141" s="422"/>
      <c r="WUJ141" s="422"/>
      <c r="WUK141" s="422"/>
      <c r="WUL141" s="422"/>
      <c r="WUM141" s="422"/>
      <c r="WUN141" s="422"/>
      <c r="WUO141" s="422"/>
      <c r="WUP141" s="422"/>
      <c r="WUQ141" s="422"/>
      <c r="WUR141" s="422"/>
      <c r="WUS141" s="422"/>
      <c r="WUT141" s="422"/>
      <c r="WUU141" s="422"/>
      <c r="WUV141" s="422"/>
      <c r="WUW141" s="422"/>
      <c r="WUX141" s="422"/>
      <c r="WUY141" s="422"/>
      <c r="WUZ141" s="422"/>
      <c r="WVA141" s="422"/>
      <c r="WVB141" s="422"/>
      <c r="WVC141" s="422"/>
      <c r="WVD141" s="422"/>
      <c r="WVE141" s="422"/>
      <c r="WVF141" s="422"/>
      <c r="WVG141" s="422"/>
      <c r="WVH141" s="422"/>
      <c r="WVI141" s="422"/>
      <c r="WVJ141" s="422"/>
      <c r="WVK141" s="422"/>
      <c r="WVL141" s="422"/>
      <c r="WVM141" s="422"/>
      <c r="WVN141" s="422"/>
      <c r="WVO141" s="422"/>
      <c r="WVP141" s="422"/>
      <c r="WVQ141" s="422"/>
      <c r="WVR141" s="422"/>
      <c r="WVS141" s="422"/>
      <c r="WVT141" s="422"/>
      <c r="WVU141" s="422"/>
      <c r="WVV141" s="422"/>
      <c r="WVW141" s="422"/>
      <c r="WVX141" s="422"/>
      <c r="WVY141" s="422"/>
      <c r="WVZ141" s="422"/>
      <c r="WWA141" s="422"/>
      <c r="WWB141" s="422"/>
      <c r="WWC141" s="422"/>
      <c r="WWD141" s="422"/>
      <c r="WWE141" s="422"/>
      <c r="WWF141" s="422"/>
      <c r="WWG141" s="422"/>
      <c r="WWH141" s="422"/>
      <c r="WWI141" s="422"/>
      <c r="WWJ141" s="422"/>
      <c r="WWK141" s="422"/>
      <c r="WWL141" s="422"/>
      <c r="WWM141" s="422"/>
      <c r="WWN141" s="422"/>
      <c r="WWO141" s="422"/>
      <c r="WWP141" s="422"/>
      <c r="WWQ141" s="422"/>
      <c r="WWR141" s="422"/>
      <c r="WWS141" s="422"/>
      <c r="WWT141" s="422"/>
      <c r="WWU141" s="422"/>
      <c r="WWV141" s="422"/>
      <c r="WWW141" s="422"/>
      <c r="WWX141" s="422"/>
      <c r="WWY141" s="422"/>
      <c r="WWZ141" s="422"/>
      <c r="WXA141" s="422"/>
      <c r="WXB141" s="422"/>
      <c r="WXC141" s="422"/>
      <c r="WXD141" s="422"/>
      <c r="WXE141" s="422"/>
      <c r="WXF141" s="422"/>
      <c r="WXG141" s="422"/>
      <c r="WXH141" s="422"/>
      <c r="WXI141" s="422"/>
      <c r="WXJ141" s="422"/>
      <c r="WXK141" s="422"/>
      <c r="WXL141" s="422"/>
      <c r="WXM141" s="422"/>
      <c r="WXN141" s="422"/>
      <c r="WXO141" s="422"/>
      <c r="WXP141" s="422"/>
      <c r="WXQ141" s="422"/>
      <c r="WXR141" s="422"/>
      <c r="WXS141" s="422"/>
      <c r="WXT141" s="422"/>
      <c r="WXU141" s="422"/>
      <c r="WXV141" s="422"/>
      <c r="WXW141" s="422"/>
      <c r="WXX141" s="422"/>
      <c r="WXY141" s="422"/>
      <c r="WXZ141" s="422"/>
      <c r="WYA141" s="422"/>
      <c r="WYB141" s="422"/>
      <c r="WYC141" s="422"/>
      <c r="WYD141" s="422"/>
      <c r="WYE141" s="422"/>
      <c r="WYF141" s="422"/>
      <c r="WYG141" s="422"/>
      <c r="WYH141" s="422"/>
      <c r="WYI141" s="422"/>
      <c r="WYJ141" s="422"/>
      <c r="WYK141" s="422"/>
      <c r="WYL141" s="422"/>
      <c r="WYM141" s="422"/>
      <c r="WYN141" s="422"/>
      <c r="WYO141" s="422"/>
      <c r="WYP141" s="422"/>
      <c r="WYQ141" s="422"/>
      <c r="WYR141" s="422"/>
      <c r="WYS141" s="422"/>
      <c r="WYT141" s="422"/>
      <c r="WYU141" s="422"/>
      <c r="WYV141" s="422"/>
      <c r="WYW141" s="422"/>
      <c r="WYX141" s="422"/>
      <c r="WYY141" s="422"/>
      <c r="WYZ141" s="422"/>
      <c r="WZA141" s="422"/>
      <c r="WZB141" s="422"/>
      <c r="WZC141" s="422"/>
      <c r="WZD141" s="422"/>
      <c r="WZE141" s="422"/>
      <c r="WZF141" s="422"/>
      <c r="WZG141" s="422"/>
      <c r="WZH141" s="422"/>
      <c r="WZI141" s="422"/>
      <c r="WZJ141" s="422"/>
      <c r="WZK141" s="422"/>
      <c r="WZL141" s="422"/>
      <c r="WZM141" s="422"/>
      <c r="WZN141" s="422"/>
      <c r="WZO141" s="422"/>
      <c r="WZP141" s="422"/>
      <c r="WZQ141" s="422"/>
      <c r="WZR141" s="422"/>
      <c r="WZS141" s="422"/>
      <c r="WZT141" s="422"/>
      <c r="WZU141" s="422"/>
      <c r="WZV141" s="422"/>
      <c r="WZW141" s="422"/>
      <c r="WZX141" s="422"/>
      <c r="WZY141" s="422"/>
      <c r="WZZ141" s="422"/>
      <c r="XAA141" s="422"/>
      <c r="XAB141" s="422"/>
      <c r="XAC141" s="422"/>
      <c r="XAD141" s="422"/>
      <c r="XAE141" s="422"/>
      <c r="XAF141" s="422"/>
      <c r="XAG141" s="422"/>
      <c r="XAH141" s="422"/>
      <c r="XAI141" s="422"/>
      <c r="XAJ141" s="422"/>
      <c r="XAK141" s="422"/>
      <c r="XAL141" s="422"/>
      <c r="XAM141" s="422"/>
      <c r="XAN141" s="422"/>
      <c r="XAO141" s="422"/>
      <c r="XAP141" s="422"/>
      <c r="XAQ141" s="422"/>
      <c r="XAR141" s="422"/>
      <c r="XAS141" s="422"/>
      <c r="XAT141" s="422"/>
      <c r="XAU141" s="422"/>
      <c r="XAV141" s="422"/>
      <c r="XAW141" s="422"/>
      <c r="XAX141" s="422"/>
      <c r="XAY141" s="422"/>
      <c r="XAZ141" s="422"/>
      <c r="XBA141" s="422"/>
      <c r="XBB141" s="422"/>
      <c r="XBC141" s="422"/>
      <c r="XBD141" s="422"/>
      <c r="XBE141" s="422"/>
      <c r="XBF141" s="422"/>
      <c r="XBG141" s="422"/>
      <c r="XBH141" s="422"/>
      <c r="XBI141" s="422"/>
      <c r="XBJ141" s="422"/>
      <c r="XBK141" s="422"/>
      <c r="XBL141" s="422"/>
      <c r="XBM141" s="422"/>
      <c r="XBN141" s="422"/>
      <c r="XBO141" s="422"/>
      <c r="XBP141" s="422"/>
      <c r="XBQ141" s="422"/>
      <c r="XBR141" s="422"/>
      <c r="XBS141" s="422"/>
      <c r="XBT141" s="422"/>
      <c r="XBU141" s="422"/>
      <c r="XBV141" s="422"/>
      <c r="XBW141" s="422"/>
      <c r="XBX141" s="422"/>
      <c r="XBY141" s="422"/>
      <c r="XBZ141" s="422"/>
      <c r="XCA141" s="422"/>
      <c r="XCB141" s="422"/>
      <c r="XCC141" s="422"/>
      <c r="XCD141" s="422"/>
      <c r="XCE141" s="422"/>
      <c r="XCF141" s="422"/>
      <c r="XCG141" s="422"/>
      <c r="XCH141" s="422"/>
      <c r="XCI141" s="422"/>
      <c r="XCJ141" s="422"/>
      <c r="XCK141" s="422"/>
      <c r="XCL141" s="422"/>
      <c r="XCM141" s="422"/>
      <c r="XCN141" s="422"/>
      <c r="XCO141" s="422"/>
      <c r="XCP141" s="422"/>
      <c r="XCQ141" s="422"/>
      <c r="XCR141" s="422"/>
      <c r="XCS141" s="422"/>
      <c r="XCT141" s="422"/>
      <c r="XCU141" s="422"/>
      <c r="XCV141" s="422"/>
      <c r="XCW141" s="422"/>
      <c r="XCX141" s="422"/>
      <c r="XCY141" s="422"/>
      <c r="XCZ141" s="422"/>
      <c r="XDA141" s="422"/>
      <c r="XDB141" s="422"/>
      <c r="XDC141" s="422"/>
      <c r="XDD141" s="422"/>
      <c r="XDE141" s="422"/>
      <c r="XDF141" s="422"/>
      <c r="XDG141" s="422"/>
      <c r="XDH141" s="422"/>
      <c r="XDI141" s="422"/>
      <c r="XDJ141" s="422"/>
      <c r="XDK141" s="422"/>
      <c r="XDL141" s="422"/>
      <c r="XDM141" s="422"/>
      <c r="XDN141" s="422"/>
      <c r="XDO141" s="422"/>
      <c r="XDP141" s="422"/>
      <c r="XDQ141" s="422"/>
      <c r="XDR141" s="422"/>
      <c r="XDS141" s="422"/>
      <c r="XDT141" s="422"/>
      <c r="XDU141" s="422"/>
      <c r="XDV141" s="422"/>
      <c r="XDW141" s="422"/>
      <c r="XDX141" s="422"/>
      <c r="XDY141" s="422"/>
      <c r="XDZ141" s="422"/>
      <c r="XEA141" s="422"/>
      <c r="XEB141" s="422"/>
      <c r="XEC141" s="422"/>
      <c r="XED141" s="422"/>
      <c r="XEE141" s="422"/>
      <c r="XEF141" s="422"/>
      <c r="XEG141" s="422"/>
      <c r="XEH141" s="422"/>
      <c r="XEI141" s="422"/>
      <c r="XEJ141" s="422"/>
      <c r="XEK141" s="422"/>
      <c r="XEL141" s="422"/>
      <c r="XEM141" s="422"/>
      <c r="XEN141" s="422"/>
      <c r="XEO141" s="422"/>
      <c r="XEP141" s="422"/>
      <c r="XEQ141" s="422"/>
      <c r="XER141" s="422"/>
      <c r="XES141" s="422"/>
      <c r="XET141" s="422"/>
      <c r="XEU141" s="422"/>
      <c r="XEV141" s="422"/>
      <c r="XEW141" s="422"/>
      <c r="XEX141" s="422"/>
      <c r="XEY141" s="422"/>
      <c r="XEZ141" s="422"/>
      <c r="XFA141" s="422"/>
      <c r="XFB141" s="422"/>
    </row>
    <row r="142" spans="1:16382">
      <c r="A142" s="437" t="s">
        <v>697</v>
      </c>
      <c r="B142" s="480">
        <v>40000</v>
      </c>
      <c r="C142" s="422" t="s">
        <v>65</v>
      </c>
    </row>
    <row r="143" spans="1:16382">
      <c r="A143" s="437" t="s">
        <v>1193</v>
      </c>
      <c r="B143" s="480">
        <v>20000</v>
      </c>
    </row>
    <row r="144" spans="1:16382">
      <c r="A144" s="869" t="s">
        <v>1252</v>
      </c>
      <c r="B144" s="874">
        <v>3.5000000000000003E-2</v>
      </c>
    </row>
  </sheetData>
  <mergeCells count="9">
    <mergeCell ref="A132:B132"/>
    <mergeCell ref="A136:B136"/>
    <mergeCell ref="A1:B1"/>
    <mergeCell ref="G1:I1"/>
    <mergeCell ref="G2:I2"/>
    <mergeCell ref="D3:D4"/>
    <mergeCell ref="A80:B80"/>
    <mergeCell ref="A116:B116"/>
    <mergeCell ref="A129:B129"/>
  </mergeCells>
  <phoneticPr fontId="288" type="noConversion"/>
  <pageMargins left="0.511811024" right="0.511811024" top="0.78740157499999996" bottom="0.78740157499999996" header="0.31496062000000002" footer="0.31496062000000002"/>
  <pageSetup paperSize="9" orientation="portrait" horizontalDpi="360" verticalDpi="36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  <pageSetUpPr fitToPage="1"/>
  </sheetPr>
  <dimension ref="A1:AM90"/>
  <sheetViews>
    <sheetView showGridLines="0" topLeftCell="A9" zoomScale="115" zoomScaleNormal="115" zoomScaleSheetLayoutView="70" zoomScalePageLayoutView="60" workbookViewId="0">
      <selection activeCell="D18" sqref="D18"/>
    </sheetView>
  </sheetViews>
  <sheetFormatPr defaultColWidth="9.109375" defaultRowHeight="13.2"/>
  <cols>
    <col min="1" max="1" width="7" style="84" customWidth="1"/>
    <col min="2" max="2" width="87.44140625" style="84" customWidth="1"/>
    <col min="3" max="3" width="21.77734375" style="84" customWidth="1"/>
    <col min="4" max="4" width="18.109375" style="85" bestFit="1" customWidth="1"/>
    <col min="5" max="5" width="15.44140625" style="85" bestFit="1" customWidth="1"/>
    <col min="6" max="6" width="14.77734375" style="85" customWidth="1"/>
    <col min="7" max="33" width="14.44140625" style="85" customWidth="1"/>
    <col min="34" max="38" width="14.44140625" style="85" hidden="1" customWidth="1"/>
    <col min="39" max="16384" width="9.109375" style="84"/>
  </cols>
  <sheetData>
    <row r="1" spans="1:38" ht="40.049999999999997" customHeight="1">
      <c r="A1" s="1040" t="s">
        <v>223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  <c r="W1" s="1041"/>
      <c r="X1" s="1041"/>
      <c r="Y1" s="1041"/>
      <c r="Z1" s="1041"/>
      <c r="AA1" s="1041"/>
      <c r="AB1" s="1041"/>
      <c r="AC1" s="1041"/>
      <c r="AD1" s="1041"/>
      <c r="AE1" s="1041"/>
      <c r="AF1" s="1041"/>
      <c r="AG1" s="1041"/>
      <c r="AH1" s="1041"/>
      <c r="AI1" s="1041"/>
      <c r="AJ1" s="1041"/>
      <c r="AK1" s="1041"/>
      <c r="AL1" s="1041"/>
    </row>
    <row r="2" spans="1:38" ht="15.75" customHeight="1"/>
    <row r="3" spans="1:38" ht="15.75" customHeight="1">
      <c r="A3" s="1038" t="s">
        <v>1008</v>
      </c>
      <c r="B3" s="1039"/>
      <c r="C3" s="146" t="s">
        <v>4</v>
      </c>
      <c r="D3" s="146">
        <v>1</v>
      </c>
      <c r="E3" s="146">
        <f t="shared" ref="E3:AG3" si="0" xml:space="preserve"> ( ( D3 ) + ( 1 ) )</f>
        <v>2</v>
      </c>
      <c r="F3" s="146">
        <f t="shared" si="0"/>
        <v>3</v>
      </c>
      <c r="G3" s="146">
        <f t="shared" si="0"/>
        <v>4</v>
      </c>
      <c r="H3" s="146">
        <f t="shared" si="0"/>
        <v>5</v>
      </c>
      <c r="I3" s="146">
        <f t="shared" si="0"/>
        <v>6</v>
      </c>
      <c r="J3" s="146">
        <f t="shared" si="0"/>
        <v>7</v>
      </c>
      <c r="K3" s="146">
        <f t="shared" si="0"/>
        <v>8</v>
      </c>
      <c r="L3" s="146">
        <f t="shared" si="0"/>
        <v>9</v>
      </c>
      <c r="M3" s="146">
        <f t="shared" si="0"/>
        <v>10</v>
      </c>
      <c r="N3" s="146">
        <f t="shared" si="0"/>
        <v>11</v>
      </c>
      <c r="O3" s="146">
        <f t="shared" si="0"/>
        <v>12</v>
      </c>
      <c r="P3" s="146">
        <f t="shared" si="0"/>
        <v>13</v>
      </c>
      <c r="Q3" s="146">
        <f t="shared" si="0"/>
        <v>14</v>
      </c>
      <c r="R3" s="146">
        <f t="shared" si="0"/>
        <v>15</v>
      </c>
      <c r="S3" s="146">
        <f t="shared" si="0"/>
        <v>16</v>
      </c>
      <c r="T3" s="146">
        <f t="shared" si="0"/>
        <v>17</v>
      </c>
      <c r="U3" s="146">
        <f t="shared" si="0"/>
        <v>18</v>
      </c>
      <c r="V3" s="146">
        <f t="shared" si="0"/>
        <v>19</v>
      </c>
      <c r="W3" s="146">
        <f t="shared" si="0"/>
        <v>20</v>
      </c>
      <c r="X3" s="146">
        <f t="shared" si="0"/>
        <v>21</v>
      </c>
      <c r="Y3" s="146">
        <f t="shared" si="0"/>
        <v>22</v>
      </c>
      <c r="Z3" s="146">
        <f t="shared" si="0"/>
        <v>23</v>
      </c>
      <c r="AA3" s="146">
        <f t="shared" si="0"/>
        <v>24</v>
      </c>
      <c r="AB3" s="146">
        <f t="shared" si="0"/>
        <v>25</v>
      </c>
      <c r="AC3" s="146">
        <f t="shared" si="0"/>
        <v>26</v>
      </c>
      <c r="AD3" s="146">
        <f t="shared" si="0"/>
        <v>27</v>
      </c>
      <c r="AE3" s="146">
        <f t="shared" si="0"/>
        <v>28</v>
      </c>
      <c r="AF3" s="146">
        <f t="shared" si="0"/>
        <v>29</v>
      </c>
      <c r="AG3" s="146">
        <f t="shared" si="0"/>
        <v>30</v>
      </c>
      <c r="AH3" s="11">
        <f xml:space="preserve"> ( ( AG3 ) + ( 1 ) )</f>
        <v>31</v>
      </c>
      <c r="AI3" s="11">
        <f xml:space="preserve"> ( ( AH3 ) + ( 1 ) )</f>
        <v>32</v>
      </c>
      <c r="AJ3" s="11">
        <f xml:space="preserve"> ( ( AI3 ) + ( 1 ) )</f>
        <v>33</v>
      </c>
      <c r="AK3" s="11">
        <f xml:space="preserve"> ( ( AJ3 ) + ( 1 ) )</f>
        <v>34</v>
      </c>
      <c r="AL3" s="11">
        <f xml:space="preserve"> ( ( AK3 ) + ( 1 ) )</f>
        <v>35</v>
      </c>
    </row>
    <row r="4" spans="1:38" ht="15.75" customHeight="1">
      <c r="A4" s="1038" t="s">
        <v>137</v>
      </c>
      <c r="B4" s="1039"/>
      <c r="C4" s="146">
        <f>SUM(D4:AG4)</f>
        <v>578775588.14027297</v>
      </c>
      <c r="D4" s="146">
        <f xml:space="preserve"> SUM( D$5:D$7 )</f>
        <v>9108799.0352727864</v>
      </c>
      <c r="E4" s="146">
        <f t="shared" ref="E4:AL4" si="1" xml:space="preserve"> SUM( E$5:E$7 )</f>
        <v>8671659.2949999999</v>
      </c>
      <c r="F4" s="146">
        <f t="shared" si="1"/>
        <v>87631913.355000004</v>
      </c>
      <c r="G4" s="146">
        <f t="shared" si="1"/>
        <v>61103204.379999995</v>
      </c>
      <c r="H4" s="146">
        <f t="shared" si="1"/>
        <v>59957174.640000001</v>
      </c>
      <c r="I4" s="146">
        <f t="shared" si="1"/>
        <v>93976055.175000012</v>
      </c>
      <c r="J4" s="146">
        <f t="shared" si="1"/>
        <v>56355816.505000003</v>
      </c>
      <c r="K4" s="146">
        <f xml:space="preserve"> SUM( K$5:K$7 )</f>
        <v>57576149.625</v>
      </c>
      <c r="L4" s="146">
        <f t="shared" si="1"/>
        <v>79777476.835000008</v>
      </c>
      <c r="M4" s="146">
        <f t="shared" si="1"/>
        <v>4916440.7</v>
      </c>
      <c r="N4" s="146">
        <f t="shared" si="1"/>
        <v>4899337.34</v>
      </c>
      <c r="O4" s="146">
        <f t="shared" si="1"/>
        <v>2740582.5100000002</v>
      </c>
      <c r="P4" s="146">
        <f t="shared" si="1"/>
        <v>2734416.5150000006</v>
      </c>
      <c r="Q4" s="146">
        <f t="shared" si="1"/>
        <v>2739203.8900000006</v>
      </c>
      <c r="R4" s="146">
        <f t="shared" si="1"/>
        <v>2776440.9750000001</v>
      </c>
      <c r="S4" s="146">
        <f t="shared" si="1"/>
        <v>2738521.8250000002</v>
      </c>
      <c r="T4" s="146">
        <f t="shared" si="1"/>
        <v>2734931.9450000003</v>
      </c>
      <c r="U4" s="146">
        <f t="shared" si="1"/>
        <v>2747928.9400000004</v>
      </c>
      <c r="V4" s="146">
        <f t="shared" si="1"/>
        <v>2758668.1</v>
      </c>
      <c r="W4" s="146">
        <f t="shared" si="1"/>
        <v>2818905.9550000001</v>
      </c>
      <c r="X4" s="146">
        <f t="shared" si="1"/>
        <v>2792069.085</v>
      </c>
      <c r="Y4" s="146">
        <f t="shared" si="1"/>
        <v>2804770.6050000004</v>
      </c>
      <c r="Z4" s="146">
        <f t="shared" si="1"/>
        <v>2816304.6450000005</v>
      </c>
      <c r="AA4" s="146">
        <f t="shared" si="1"/>
        <v>2832750.7949999999</v>
      </c>
      <c r="AB4" s="146">
        <f t="shared" si="1"/>
        <v>2898359.7650000001</v>
      </c>
      <c r="AC4" s="146">
        <f t="shared" si="1"/>
        <v>2862853.2350000003</v>
      </c>
      <c r="AD4" s="146">
        <f t="shared" si="1"/>
        <v>4221274.1749999998</v>
      </c>
      <c r="AE4" s="146">
        <f t="shared" si="1"/>
        <v>2903925.1050000004</v>
      </c>
      <c r="AF4" s="146">
        <f t="shared" si="1"/>
        <v>2909276.5900000003</v>
      </c>
      <c r="AG4" s="146">
        <f t="shared" si="1"/>
        <v>2970376.6</v>
      </c>
      <c r="AH4" s="146" t="e">
        <f t="shared" si="1"/>
        <v>#REF!</v>
      </c>
      <c r="AI4" s="146" t="e">
        <f t="shared" si="1"/>
        <v>#REF!</v>
      </c>
      <c r="AJ4" s="146" t="e">
        <f t="shared" si="1"/>
        <v>#REF!</v>
      </c>
      <c r="AK4" s="146" t="e">
        <f t="shared" si="1"/>
        <v>#REF!</v>
      </c>
      <c r="AL4" s="146" t="e">
        <f t="shared" si="1"/>
        <v>#REF!</v>
      </c>
    </row>
    <row r="5" spans="1:38" ht="15.75" customHeight="1">
      <c r="A5" s="183">
        <v>1</v>
      </c>
      <c r="B5" s="7" t="s">
        <v>313</v>
      </c>
      <c r="C5" s="171">
        <f t="shared" ref="C5:C7" si="2" xml:space="preserve"> SUM( $D5:$AL5 )</f>
        <v>87937084.49027279</v>
      </c>
      <c r="D5" s="171">
        <f>D12</f>
        <v>6465501.3452727869</v>
      </c>
      <c r="E5" s="171">
        <f t="shared" ref="E5:AG5" si="3">E12</f>
        <v>5628361.6050000004</v>
      </c>
      <c r="F5" s="171">
        <f t="shared" si="3"/>
        <v>12195088.605</v>
      </c>
      <c r="G5" s="171">
        <f t="shared" si="3"/>
        <v>5218020.6050000004</v>
      </c>
      <c r="H5" s="171">
        <f t="shared" si="3"/>
        <v>3754221.915</v>
      </c>
      <c r="I5" s="171">
        <f t="shared" si="3"/>
        <v>6057401.4000000004</v>
      </c>
      <c r="J5" s="171">
        <f t="shared" si="3"/>
        <v>3567654.915</v>
      </c>
      <c r="K5" s="171">
        <f t="shared" si="3"/>
        <v>3595734.915</v>
      </c>
      <c r="L5" s="171">
        <f t="shared" si="3"/>
        <v>3623814.915</v>
      </c>
      <c r="M5" s="171">
        <f t="shared" si="3"/>
        <v>3651894.915</v>
      </c>
      <c r="N5" s="171">
        <f t="shared" si="3"/>
        <v>3679071.78</v>
      </c>
      <c r="O5" s="171">
        <f t="shared" si="3"/>
        <v>1514766.7800000003</v>
      </c>
      <c r="P5" s="171">
        <f t="shared" si="3"/>
        <v>1514766.7800000003</v>
      </c>
      <c r="Q5" s="171">
        <f t="shared" si="3"/>
        <v>1514042.2800000003</v>
      </c>
      <c r="R5" s="171">
        <f t="shared" si="3"/>
        <v>1515521.2950000002</v>
      </c>
      <c r="S5" s="171">
        <f t="shared" si="3"/>
        <v>1514776.0950000002</v>
      </c>
      <c r="T5" s="171">
        <f t="shared" si="3"/>
        <v>1514012.2650000001</v>
      </c>
      <c r="U5" s="171">
        <f t="shared" si="3"/>
        <v>1517664.7800000003</v>
      </c>
      <c r="V5" s="171">
        <f t="shared" si="3"/>
        <v>1521386.6400000001</v>
      </c>
      <c r="W5" s="171">
        <f t="shared" si="3"/>
        <v>1525164.3900000001</v>
      </c>
      <c r="X5" s="171">
        <f t="shared" si="3"/>
        <v>1530390.105</v>
      </c>
      <c r="Y5" s="171">
        <f t="shared" si="3"/>
        <v>1533451.6350000002</v>
      </c>
      <c r="Z5" s="171">
        <f t="shared" si="3"/>
        <v>1538707.3650000002</v>
      </c>
      <c r="AA5" s="171">
        <f t="shared" si="3"/>
        <v>1543942.395</v>
      </c>
      <c r="AB5" s="171">
        <f t="shared" si="3"/>
        <v>1548461.2050000001</v>
      </c>
      <c r="AC5" s="171">
        <f t="shared" si="3"/>
        <v>1552226.5350000001</v>
      </c>
      <c r="AD5" s="171">
        <f t="shared" si="3"/>
        <v>2901503.25</v>
      </c>
      <c r="AE5" s="171">
        <f t="shared" si="3"/>
        <v>1562002.11</v>
      </c>
      <c r="AF5" s="171">
        <f t="shared" si="3"/>
        <v>1565766.4050000003</v>
      </c>
      <c r="AG5" s="171">
        <f t="shared" si="3"/>
        <v>1571765.2650000001</v>
      </c>
      <c r="AH5" s="171"/>
      <c r="AI5" s="171"/>
      <c r="AJ5" s="171"/>
      <c r="AK5" s="171"/>
      <c r="AL5" s="171"/>
    </row>
    <row r="6" spans="1:38" ht="15.75" customHeight="1">
      <c r="A6" s="183">
        <v>2</v>
      </c>
      <c r="B6" s="7" t="s">
        <v>314</v>
      </c>
      <c r="C6" s="171">
        <f>SUM(D6:AG6)</f>
        <v>483397508.2700001</v>
      </c>
      <c r="D6" s="199">
        <f>D34</f>
        <v>82800</v>
      </c>
      <c r="E6" s="199">
        <f t="shared" ref="E6:AG6" si="4">E34</f>
        <v>82800</v>
      </c>
      <c r="F6" s="199">
        <f t="shared" si="4"/>
        <v>75376824.75</v>
      </c>
      <c r="G6" s="199">
        <f t="shared" si="4"/>
        <v>55825183.774999999</v>
      </c>
      <c r="H6" s="199">
        <f t="shared" si="4"/>
        <v>56102952.725000001</v>
      </c>
      <c r="I6" s="199">
        <f t="shared" si="4"/>
        <v>87858653.775000006</v>
      </c>
      <c r="J6" s="199">
        <f t="shared" si="4"/>
        <v>52728161.590000004</v>
      </c>
      <c r="K6" s="199">
        <f t="shared" si="4"/>
        <v>53920414.710000001</v>
      </c>
      <c r="L6" s="199">
        <f t="shared" si="4"/>
        <v>76093661.920000002</v>
      </c>
      <c r="M6" s="199">
        <f t="shared" si="4"/>
        <v>1164545.7849999999</v>
      </c>
      <c r="N6" s="199">
        <f t="shared" si="4"/>
        <v>1160265.56</v>
      </c>
      <c r="O6" s="199">
        <f t="shared" si="4"/>
        <v>1165815.73</v>
      </c>
      <c r="P6" s="199">
        <f t="shared" si="4"/>
        <v>1159649.7350000001</v>
      </c>
      <c r="Q6" s="199">
        <f t="shared" si="4"/>
        <v>1165161.6100000001</v>
      </c>
      <c r="R6" s="199">
        <f t="shared" si="4"/>
        <v>1160919.68</v>
      </c>
      <c r="S6" s="199">
        <f t="shared" si="4"/>
        <v>1163745.73</v>
      </c>
      <c r="T6" s="199">
        <f t="shared" si="4"/>
        <v>1160919.68</v>
      </c>
      <c r="U6" s="199">
        <f t="shared" si="4"/>
        <v>1170264.1599999999</v>
      </c>
      <c r="V6" s="199">
        <f t="shared" si="4"/>
        <v>1177281.46</v>
      </c>
      <c r="W6" s="199">
        <f t="shared" si="4"/>
        <v>1193741.5649999999</v>
      </c>
      <c r="X6" s="199">
        <f t="shared" si="4"/>
        <v>1201678.98</v>
      </c>
      <c r="Y6" s="199">
        <f t="shared" si="4"/>
        <v>1211318.97</v>
      </c>
      <c r="Z6" s="199">
        <f t="shared" si="4"/>
        <v>1217597.28</v>
      </c>
      <c r="AA6" s="199">
        <f t="shared" si="4"/>
        <v>1228808.3999999999</v>
      </c>
      <c r="AB6" s="199">
        <f t="shared" si="4"/>
        <v>1249898.56</v>
      </c>
      <c r="AC6" s="199">
        <f t="shared" si="4"/>
        <v>1250626.7</v>
      </c>
      <c r="AD6" s="199">
        <f t="shared" si="4"/>
        <v>1259770.925</v>
      </c>
      <c r="AE6" s="199">
        <f t="shared" si="4"/>
        <v>1281922.9950000001</v>
      </c>
      <c r="AF6" s="199">
        <f t="shared" si="4"/>
        <v>1283510.1850000001</v>
      </c>
      <c r="AG6" s="199">
        <f t="shared" si="4"/>
        <v>1298611.335</v>
      </c>
      <c r="AH6" s="199" t="e">
        <f>AH34+#REF!+#REF!</f>
        <v>#REF!</v>
      </c>
      <c r="AI6" s="199" t="e">
        <f>AI34+#REF!+#REF!</f>
        <v>#REF!</v>
      </c>
      <c r="AJ6" s="199" t="e">
        <f>AJ34+#REF!+#REF!</f>
        <v>#REF!</v>
      </c>
      <c r="AK6" s="199" t="e">
        <f>AK34+#REF!+#REF!</f>
        <v>#REF!</v>
      </c>
      <c r="AL6" s="199" t="e">
        <f>AL34+#REF!+#REF!</f>
        <v>#REF!</v>
      </c>
    </row>
    <row r="7" spans="1:38" ht="15.75" customHeight="1">
      <c r="A7" s="183">
        <v>3</v>
      </c>
      <c r="B7" s="7" t="s">
        <v>363</v>
      </c>
      <c r="C7" s="171">
        <f t="shared" si="2"/>
        <v>7440995.3799999999</v>
      </c>
      <c r="D7" s="199">
        <f>D52</f>
        <v>2560497.69</v>
      </c>
      <c r="E7" s="199">
        <f t="shared" ref="E7:AG7" si="5">E52</f>
        <v>2960497.69</v>
      </c>
      <c r="F7" s="199">
        <f t="shared" si="5"/>
        <v>60000</v>
      </c>
      <c r="G7" s="199">
        <f t="shared" si="5"/>
        <v>60000</v>
      </c>
      <c r="H7" s="199">
        <f t="shared" si="5"/>
        <v>100000</v>
      </c>
      <c r="I7" s="199">
        <f t="shared" si="5"/>
        <v>60000</v>
      </c>
      <c r="J7" s="199">
        <f t="shared" si="5"/>
        <v>60000</v>
      </c>
      <c r="K7" s="199">
        <f t="shared" si="5"/>
        <v>60000</v>
      </c>
      <c r="L7" s="199">
        <f t="shared" si="5"/>
        <v>60000</v>
      </c>
      <c r="M7" s="199">
        <f t="shared" si="5"/>
        <v>100000</v>
      </c>
      <c r="N7" s="199">
        <f t="shared" si="5"/>
        <v>60000</v>
      </c>
      <c r="O7" s="199">
        <f t="shared" si="5"/>
        <v>60000</v>
      </c>
      <c r="P7" s="199">
        <f t="shared" si="5"/>
        <v>60000</v>
      </c>
      <c r="Q7" s="199">
        <f t="shared" si="5"/>
        <v>60000</v>
      </c>
      <c r="R7" s="199">
        <f t="shared" si="5"/>
        <v>100000</v>
      </c>
      <c r="S7" s="199">
        <f t="shared" si="5"/>
        <v>60000</v>
      </c>
      <c r="T7" s="199">
        <f t="shared" si="5"/>
        <v>60000</v>
      </c>
      <c r="U7" s="199">
        <f t="shared" si="5"/>
        <v>60000</v>
      </c>
      <c r="V7" s="199">
        <f t="shared" si="5"/>
        <v>60000</v>
      </c>
      <c r="W7" s="199">
        <f t="shared" si="5"/>
        <v>100000</v>
      </c>
      <c r="X7" s="199">
        <f t="shared" si="5"/>
        <v>60000</v>
      </c>
      <c r="Y7" s="199">
        <f t="shared" si="5"/>
        <v>60000</v>
      </c>
      <c r="Z7" s="199">
        <f t="shared" si="5"/>
        <v>60000</v>
      </c>
      <c r="AA7" s="199">
        <f t="shared" si="5"/>
        <v>60000</v>
      </c>
      <c r="AB7" s="199">
        <f t="shared" si="5"/>
        <v>100000</v>
      </c>
      <c r="AC7" s="199">
        <f t="shared" si="5"/>
        <v>60000</v>
      </c>
      <c r="AD7" s="199">
        <f t="shared" si="5"/>
        <v>60000</v>
      </c>
      <c r="AE7" s="199">
        <f t="shared" si="5"/>
        <v>60000</v>
      </c>
      <c r="AF7" s="199">
        <f t="shared" si="5"/>
        <v>60000</v>
      </c>
      <c r="AG7" s="199">
        <f t="shared" si="5"/>
        <v>100000</v>
      </c>
      <c r="AH7" s="199"/>
      <c r="AI7" s="199">
        <f>AI52</f>
        <v>0</v>
      </c>
      <c r="AJ7" s="199">
        <f>AJ52</f>
        <v>0</v>
      </c>
      <c r="AK7" s="199">
        <f>AK52</f>
        <v>0</v>
      </c>
      <c r="AL7" s="199">
        <f>AL52</f>
        <v>0</v>
      </c>
    </row>
    <row r="8" spans="1:38" s="88" customFormat="1" ht="15.75" customHeight="1">
      <c r="A8" s="1042" t="s">
        <v>38</v>
      </c>
      <c r="B8" s="1042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</row>
    <row r="9" spans="1:38" ht="15.75" customHeight="1">
      <c r="C9" s="879"/>
      <c r="D9" s="89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1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</row>
    <row r="10" spans="1:38" s="88" customFormat="1" ht="15.75" customHeight="1">
      <c r="A10" s="186"/>
      <c r="B10" s="193" t="s">
        <v>1235</v>
      </c>
      <c r="C10" s="193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</row>
    <row r="11" spans="1:38" s="88" customFormat="1" ht="15.75" customHeight="1">
      <c r="A11" s="1026">
        <v>1</v>
      </c>
      <c r="B11" s="1020" t="s">
        <v>313</v>
      </c>
      <c r="C11" s="193" t="s">
        <v>4</v>
      </c>
      <c r="D11" s="194" t="s">
        <v>39</v>
      </c>
      <c r="E11" s="194" t="s">
        <v>40</v>
      </c>
      <c r="F11" s="194" t="s">
        <v>41</v>
      </c>
      <c r="G11" s="194" t="s">
        <v>42</v>
      </c>
      <c r="H11" s="194" t="s">
        <v>43</v>
      </c>
      <c r="I11" s="194" t="s">
        <v>44</v>
      </c>
      <c r="J11" s="194" t="s">
        <v>45</v>
      </c>
      <c r="K11" s="194" t="s">
        <v>46</v>
      </c>
      <c r="L11" s="194" t="s">
        <v>47</v>
      </c>
      <c r="M11" s="194" t="s">
        <v>9</v>
      </c>
      <c r="N11" s="194" t="s">
        <v>10</v>
      </c>
      <c r="O11" s="194" t="s">
        <v>11</v>
      </c>
      <c r="P11" s="194" t="s">
        <v>12</v>
      </c>
      <c r="Q11" s="194" t="s">
        <v>13</v>
      </c>
      <c r="R11" s="194" t="s">
        <v>14</v>
      </c>
      <c r="S11" s="194" t="s">
        <v>15</v>
      </c>
      <c r="T11" s="194" t="s">
        <v>16</v>
      </c>
      <c r="U11" s="194" t="s">
        <v>17</v>
      </c>
      <c r="V11" s="194" t="s">
        <v>18</v>
      </c>
      <c r="W11" s="194" t="s">
        <v>19</v>
      </c>
      <c r="X11" s="194" t="s">
        <v>20</v>
      </c>
      <c r="Y11" s="194" t="s">
        <v>21</v>
      </c>
      <c r="Z11" s="194" t="s">
        <v>22</v>
      </c>
      <c r="AA11" s="194" t="s">
        <v>23</v>
      </c>
      <c r="AB11" s="194" t="s">
        <v>24</v>
      </c>
      <c r="AC11" s="194" t="s">
        <v>25</v>
      </c>
      <c r="AD11" s="194" t="s">
        <v>26</v>
      </c>
      <c r="AE11" s="194" t="s">
        <v>27</v>
      </c>
      <c r="AF11" s="194" t="s">
        <v>28</v>
      </c>
      <c r="AG11" s="194" t="s">
        <v>29</v>
      </c>
      <c r="AH11" s="194"/>
      <c r="AI11" s="194"/>
      <c r="AJ11" s="194"/>
      <c r="AK11" s="194"/>
      <c r="AL11" s="194"/>
    </row>
    <row r="12" spans="1:38" s="88" customFormat="1" ht="15.75" customHeight="1">
      <c r="A12" s="1027"/>
      <c r="B12" s="1021"/>
      <c r="C12" s="189">
        <f>SUM(D12:AG12)</f>
        <v>87937084.49027279</v>
      </c>
      <c r="D12" s="189">
        <f>D13+D24</f>
        <v>6465501.3452727869</v>
      </c>
      <c r="E12" s="189">
        <f t="shared" ref="E12:AG12" si="6">E13+E24</f>
        <v>5628361.6050000004</v>
      </c>
      <c r="F12" s="189">
        <f t="shared" si="6"/>
        <v>12195088.605</v>
      </c>
      <c r="G12" s="189">
        <f t="shared" si="6"/>
        <v>5218020.6050000004</v>
      </c>
      <c r="H12" s="189">
        <f t="shared" si="6"/>
        <v>3754221.915</v>
      </c>
      <c r="I12" s="189">
        <f t="shared" si="6"/>
        <v>6057401.4000000004</v>
      </c>
      <c r="J12" s="189">
        <f t="shared" si="6"/>
        <v>3567654.915</v>
      </c>
      <c r="K12" s="189">
        <f t="shared" si="6"/>
        <v>3595734.915</v>
      </c>
      <c r="L12" s="189">
        <f t="shared" si="6"/>
        <v>3623814.915</v>
      </c>
      <c r="M12" s="189">
        <f t="shared" si="6"/>
        <v>3651894.915</v>
      </c>
      <c r="N12" s="189">
        <f t="shared" si="6"/>
        <v>3679071.78</v>
      </c>
      <c r="O12" s="189">
        <f t="shared" si="6"/>
        <v>1514766.7800000003</v>
      </c>
      <c r="P12" s="189">
        <f t="shared" si="6"/>
        <v>1514766.7800000003</v>
      </c>
      <c r="Q12" s="189">
        <f t="shared" si="6"/>
        <v>1514042.2800000003</v>
      </c>
      <c r="R12" s="189">
        <f t="shared" si="6"/>
        <v>1515521.2950000002</v>
      </c>
      <c r="S12" s="189">
        <f t="shared" si="6"/>
        <v>1514776.0950000002</v>
      </c>
      <c r="T12" s="189">
        <f t="shared" si="6"/>
        <v>1514012.2650000001</v>
      </c>
      <c r="U12" s="189">
        <f t="shared" si="6"/>
        <v>1517664.7800000003</v>
      </c>
      <c r="V12" s="189">
        <f t="shared" si="6"/>
        <v>1521386.6400000001</v>
      </c>
      <c r="W12" s="189">
        <f t="shared" si="6"/>
        <v>1525164.3900000001</v>
      </c>
      <c r="X12" s="189">
        <f t="shared" si="6"/>
        <v>1530390.105</v>
      </c>
      <c r="Y12" s="189">
        <f t="shared" si="6"/>
        <v>1533451.6350000002</v>
      </c>
      <c r="Z12" s="189">
        <f t="shared" si="6"/>
        <v>1538707.3650000002</v>
      </c>
      <c r="AA12" s="189">
        <f t="shared" si="6"/>
        <v>1543942.395</v>
      </c>
      <c r="AB12" s="189">
        <f t="shared" si="6"/>
        <v>1548461.2050000001</v>
      </c>
      <c r="AC12" s="189">
        <f t="shared" si="6"/>
        <v>1552226.5350000001</v>
      </c>
      <c r="AD12" s="189">
        <f t="shared" si="6"/>
        <v>2901503.25</v>
      </c>
      <c r="AE12" s="189">
        <f t="shared" si="6"/>
        <v>1562002.11</v>
      </c>
      <c r="AF12" s="189">
        <f t="shared" si="6"/>
        <v>1565766.4050000003</v>
      </c>
      <c r="AG12" s="189">
        <f t="shared" si="6"/>
        <v>1571765.2650000001</v>
      </c>
      <c r="AH12" s="189"/>
      <c r="AI12" s="189"/>
      <c r="AJ12" s="189"/>
      <c r="AK12" s="189"/>
      <c r="AL12" s="189"/>
    </row>
    <row r="13" spans="1:38" s="88" customFormat="1" ht="15.75" customHeight="1">
      <c r="A13" s="183" t="s">
        <v>315</v>
      </c>
      <c r="B13" s="190" t="s">
        <v>208</v>
      </c>
      <c r="C13" s="189">
        <f xml:space="preserve"> SUM( $D13:$AL13 )</f>
        <v>56325568.49027279</v>
      </c>
      <c r="D13" s="189">
        <f>SUM(D14:D23)</f>
        <v>5931132.3452727869</v>
      </c>
      <c r="E13" s="189">
        <f t="shared" ref="E13:AG13" si="7">SUM(E14:E23)</f>
        <v>3642658.605</v>
      </c>
      <c r="F13" s="189">
        <f t="shared" si="7"/>
        <v>3902185.605</v>
      </c>
      <c r="G13" s="189">
        <f t="shared" si="7"/>
        <v>3217917.605</v>
      </c>
      <c r="H13" s="189">
        <f t="shared" si="7"/>
        <v>3198252.915</v>
      </c>
      <c r="I13" s="189">
        <f t="shared" si="7"/>
        <v>3057761.4</v>
      </c>
      <c r="J13" s="189">
        <f t="shared" si="7"/>
        <v>3000885.915</v>
      </c>
      <c r="K13" s="189">
        <f t="shared" si="7"/>
        <v>3028965.915</v>
      </c>
      <c r="L13" s="189">
        <f t="shared" si="7"/>
        <v>3057045.915</v>
      </c>
      <c r="M13" s="189">
        <f t="shared" si="7"/>
        <v>3085125.915</v>
      </c>
      <c r="N13" s="189">
        <f t="shared" si="7"/>
        <v>3113363.78</v>
      </c>
      <c r="O13" s="189">
        <f t="shared" si="7"/>
        <v>949058.78000000014</v>
      </c>
      <c r="P13" s="189">
        <f t="shared" si="7"/>
        <v>949058.78000000014</v>
      </c>
      <c r="Q13" s="189">
        <f t="shared" si="7"/>
        <v>949034.28000000014</v>
      </c>
      <c r="R13" s="189">
        <f t="shared" si="7"/>
        <v>949084.29500000016</v>
      </c>
      <c r="S13" s="189">
        <f t="shared" si="7"/>
        <v>949059.09500000009</v>
      </c>
      <c r="T13" s="189">
        <f t="shared" si="7"/>
        <v>949033.26500000013</v>
      </c>
      <c r="U13" s="189">
        <f t="shared" si="7"/>
        <v>949156.78000000014</v>
      </c>
      <c r="V13" s="189">
        <f t="shared" si="7"/>
        <v>949282.64000000013</v>
      </c>
      <c r="W13" s="189">
        <f t="shared" si="7"/>
        <v>949410.39000000013</v>
      </c>
      <c r="X13" s="189">
        <f t="shared" si="7"/>
        <v>949587.1050000001</v>
      </c>
      <c r="Y13" s="189">
        <f t="shared" si="7"/>
        <v>949690.63500000013</v>
      </c>
      <c r="Z13" s="189">
        <f t="shared" si="7"/>
        <v>949868.36500000011</v>
      </c>
      <c r="AA13" s="189">
        <f t="shared" si="7"/>
        <v>950045.39500000014</v>
      </c>
      <c r="AB13" s="189">
        <f t="shared" si="7"/>
        <v>950198.20500000007</v>
      </c>
      <c r="AC13" s="189">
        <f t="shared" si="7"/>
        <v>950325.53500000015</v>
      </c>
      <c r="AD13" s="189">
        <f t="shared" si="7"/>
        <v>995953.25000000012</v>
      </c>
      <c r="AE13" s="189">
        <f t="shared" si="7"/>
        <v>950656.1100000001</v>
      </c>
      <c r="AF13" s="189">
        <f t="shared" si="7"/>
        <v>950783.40500000014</v>
      </c>
      <c r="AG13" s="189">
        <f t="shared" si="7"/>
        <v>950986.26500000013</v>
      </c>
      <c r="AH13" s="189"/>
      <c r="AI13" s="189"/>
      <c r="AJ13" s="189"/>
      <c r="AK13" s="189"/>
      <c r="AL13" s="189"/>
    </row>
    <row r="14" spans="1:38" ht="15.75" customHeight="1">
      <c r="A14" s="185" t="s">
        <v>320</v>
      </c>
      <c r="B14" s="184" t="str">
        <f>'Cronograma Físico das Obras'!B8</f>
        <v>Substituição de Hidrômetros ( 20% anos 1 a 30)</v>
      </c>
      <c r="C14" s="189">
        <f xml:space="preserve"> SUM( $D14:$AL14 )</f>
        <v>27877770</v>
      </c>
      <c r="D14" s="139">
        <f>ROUND('Cronograma Físico das Obras'!E8*'Preços Unitários'!$D$83,0)</f>
        <v>929259</v>
      </c>
      <c r="E14" s="139">
        <f>ROUND('Cronograma Físico das Obras'!F8*'Preços Unitários'!$D$83,0)</f>
        <v>929259</v>
      </c>
      <c r="F14" s="139">
        <f>ROUND('Cronograma Físico das Obras'!G8*'Preços Unitários'!$D$83,0)</f>
        <v>929259</v>
      </c>
      <c r="G14" s="139">
        <f>'Cronograma Físico das Obras'!H8*'Preços Unitários'!$D$83</f>
        <v>929259.00000000012</v>
      </c>
      <c r="H14" s="139">
        <f>'Cronograma Físico das Obras'!I8*'Preços Unitários'!$D$83</f>
        <v>929259.00000000012</v>
      </c>
      <c r="I14" s="139">
        <f>'Cronograma Físico das Obras'!J8*'Preços Unitários'!$D$83</f>
        <v>929259.00000000012</v>
      </c>
      <c r="J14" s="139">
        <f>'Cronograma Físico das Obras'!K8*'Preços Unitários'!$D$83</f>
        <v>929259.00000000012</v>
      </c>
      <c r="K14" s="139">
        <f>'Cronograma Físico das Obras'!L8*'Preços Unitários'!$D$83</f>
        <v>929259.00000000012</v>
      </c>
      <c r="L14" s="139">
        <f>'Cronograma Físico das Obras'!M8*'Preços Unitários'!$D$83</f>
        <v>929259.00000000012</v>
      </c>
      <c r="M14" s="139">
        <f>'Cronograma Físico das Obras'!N8*'Preços Unitários'!$D$83</f>
        <v>929259.00000000012</v>
      </c>
      <c r="N14" s="139">
        <f>'Cronograma Físico das Obras'!O8*'Preços Unitários'!$D$83</f>
        <v>929259.00000000012</v>
      </c>
      <c r="O14" s="139">
        <f>'Cronograma Físico das Obras'!P8*'Preços Unitários'!$D$83</f>
        <v>929259.00000000012</v>
      </c>
      <c r="P14" s="139">
        <f>'Cronograma Físico das Obras'!Q8*'Preços Unitários'!$D$83</f>
        <v>929259.00000000012</v>
      </c>
      <c r="Q14" s="139">
        <f>'Cronograma Físico das Obras'!R8*'Preços Unitários'!$D$83</f>
        <v>929259.00000000012</v>
      </c>
      <c r="R14" s="139">
        <f>'Cronograma Físico das Obras'!S8*'Preços Unitários'!$D$83</f>
        <v>929259.00000000012</v>
      </c>
      <c r="S14" s="139">
        <f>'Cronograma Físico das Obras'!T8*'Preços Unitários'!$D$83</f>
        <v>929259.00000000012</v>
      </c>
      <c r="T14" s="139">
        <f>'Cronograma Físico das Obras'!U8*'Preços Unitários'!$D$83</f>
        <v>929259.00000000012</v>
      </c>
      <c r="U14" s="139">
        <f>'Cronograma Físico das Obras'!V8*'Preços Unitários'!$D$83</f>
        <v>929259.00000000012</v>
      </c>
      <c r="V14" s="139">
        <f>'Cronograma Físico das Obras'!W8*'Preços Unitários'!$D$83</f>
        <v>929259.00000000012</v>
      </c>
      <c r="W14" s="139">
        <f>'Cronograma Físico das Obras'!X8*'Preços Unitários'!$D$83</f>
        <v>929259.00000000012</v>
      </c>
      <c r="X14" s="139">
        <f>'Cronograma Físico das Obras'!Y8*'Preços Unitários'!$D$83</f>
        <v>929259.00000000012</v>
      </c>
      <c r="Y14" s="139">
        <f>'Cronograma Físico das Obras'!Z8*'Preços Unitários'!$D$83</f>
        <v>929259.00000000012</v>
      </c>
      <c r="Z14" s="139">
        <f>'Cronograma Físico das Obras'!AA8*'Preços Unitários'!$D$83</f>
        <v>929259.00000000012</v>
      </c>
      <c r="AA14" s="139">
        <f>'Cronograma Físico das Obras'!AB8*'Preços Unitários'!$D$83</f>
        <v>929259.00000000012</v>
      </c>
      <c r="AB14" s="139">
        <f>'Cronograma Físico das Obras'!AC8*'Preços Unitários'!$D$83</f>
        <v>929259.00000000012</v>
      </c>
      <c r="AC14" s="139">
        <f>'Cronograma Físico das Obras'!AD8*'Preços Unitários'!$D$83</f>
        <v>929259.00000000012</v>
      </c>
      <c r="AD14" s="139">
        <f>'Cronograma Físico das Obras'!AE8*'Preços Unitários'!$D$83</f>
        <v>929259.00000000012</v>
      </c>
      <c r="AE14" s="139">
        <f>'Cronograma Físico das Obras'!AF8*'Preços Unitários'!$D$83</f>
        <v>929259.00000000012</v>
      </c>
      <c r="AF14" s="139">
        <f>'Cronograma Físico das Obras'!AG8*'Preços Unitários'!$D$83</f>
        <v>929259.00000000012</v>
      </c>
      <c r="AG14" s="139">
        <f>'Cronograma Físico das Obras'!AH8*'Preços Unitários'!$D$83</f>
        <v>929259.00000000012</v>
      </c>
      <c r="AH14" s="139"/>
      <c r="AI14" s="139"/>
      <c r="AJ14" s="139"/>
      <c r="AK14" s="139"/>
      <c r="AL14" s="139"/>
    </row>
    <row r="15" spans="1:38" ht="15.75" customHeight="1">
      <c r="A15" s="185" t="s">
        <v>321</v>
      </c>
      <c r="B15" s="184" t="str">
        <f>'Cronograma Físico das Obras'!B9</f>
        <v>Substituição de Ligações de água (2% anos 2 e 3)</v>
      </c>
      <c r="C15" s="189">
        <f>SUM(D15:AG15)</f>
        <v>984200</v>
      </c>
      <c r="D15" s="12">
        <f>'Cronograma Físico das Obras'!E9*'Preços Unitários'!$D$81</f>
        <v>0</v>
      </c>
      <c r="E15" s="12">
        <f>ROUND('Cronograma Físico das Obras'!F9*'Preços Unitários'!$D$81,0)</f>
        <v>488600</v>
      </c>
      <c r="F15" s="12">
        <f>ROUND('Cronograma Físico das Obras'!G9*'Preços Unitários'!$D$81,0)</f>
        <v>495600</v>
      </c>
      <c r="G15" s="12">
        <f>'Cronograma Físico das Obras'!H9*'Preços Unitários'!$D$81</f>
        <v>0</v>
      </c>
      <c r="H15" s="12">
        <f>'Cronograma Físico das Obras'!I9*'Preços Unitários'!$D$81</f>
        <v>0</v>
      </c>
      <c r="I15" s="12">
        <f>'Cronograma Físico das Obras'!J9*'Preços Unitários'!$D$81</f>
        <v>0</v>
      </c>
      <c r="J15" s="12">
        <f>'Cronograma Físico das Obras'!K9*'Preços Unitários'!$D$81</f>
        <v>0</v>
      </c>
      <c r="K15" s="12">
        <f>'Cronograma Físico das Obras'!L9*'Preços Unitários'!$D$81</f>
        <v>0</v>
      </c>
      <c r="L15" s="12">
        <f>'Cronograma Físico das Obras'!M9*'Preços Unitários'!$D$81</f>
        <v>0</v>
      </c>
      <c r="M15" s="12">
        <f>'Cronograma Físico das Obras'!N9*'Preços Unitários'!$D$81</f>
        <v>0</v>
      </c>
      <c r="N15" s="12">
        <f>'Cronograma Físico das Obras'!O9*'Preços Unitários'!$D$81</f>
        <v>0</v>
      </c>
      <c r="O15" s="12">
        <f>'Cronograma Físico das Obras'!P9*'Preços Unitários'!$D$81</f>
        <v>0</v>
      </c>
      <c r="P15" s="12">
        <f>'Cronograma Físico das Obras'!Q9*'Preços Unitários'!$D$81</f>
        <v>0</v>
      </c>
      <c r="Q15" s="12">
        <f>'Cronograma Físico das Obras'!R9*'Preços Unitários'!$D$81</f>
        <v>0</v>
      </c>
      <c r="R15" s="12">
        <f>'Cronograma Físico das Obras'!S9*'Preços Unitários'!$D$81</f>
        <v>0</v>
      </c>
      <c r="S15" s="12">
        <f>'Cronograma Físico das Obras'!T9*'Preços Unitários'!$D$81</f>
        <v>0</v>
      </c>
      <c r="T15" s="12">
        <f>'Cronograma Físico das Obras'!U9*'Preços Unitários'!$D$81</f>
        <v>0</v>
      </c>
      <c r="U15" s="12">
        <f>'Cronograma Físico das Obras'!V9*'Preços Unitários'!$D$81</f>
        <v>0</v>
      </c>
      <c r="V15" s="12">
        <f>'Cronograma Físico das Obras'!W9*'Preços Unitários'!$D$81</f>
        <v>0</v>
      </c>
      <c r="W15" s="12">
        <f>'Cronograma Físico das Obras'!X9*'Preços Unitários'!$D$81</f>
        <v>0</v>
      </c>
      <c r="X15" s="12">
        <f>'Cronograma Físico das Obras'!Y9*'Preços Unitários'!$D$81</f>
        <v>0</v>
      </c>
      <c r="Y15" s="12">
        <f>'Cronograma Físico das Obras'!Z9*'Preços Unitários'!$D$81</f>
        <v>0</v>
      </c>
      <c r="Z15" s="12">
        <f>'Cronograma Físico das Obras'!AA9*'Preços Unitários'!$D$81</f>
        <v>0</v>
      </c>
      <c r="AA15" s="12">
        <f>'Cronograma Físico das Obras'!AB9*'Preços Unitários'!$D$81</f>
        <v>0</v>
      </c>
      <c r="AB15" s="12">
        <f>'Cronograma Físico das Obras'!AC9*'Preços Unitários'!$D$81</f>
        <v>0</v>
      </c>
      <c r="AC15" s="12">
        <f>'Cronograma Físico das Obras'!AD9*'Preços Unitários'!$D$81</f>
        <v>0</v>
      </c>
      <c r="AD15" s="12">
        <f>'Cronograma Físico das Obras'!AE9*'Preços Unitários'!$D$81</f>
        <v>0</v>
      </c>
      <c r="AE15" s="12">
        <f>'Cronograma Físico das Obras'!AF9*'Preços Unitários'!$D$81</f>
        <v>0</v>
      </c>
      <c r="AF15" s="12">
        <f>'Cronograma Físico das Obras'!AG9*'Preços Unitários'!$D$81</f>
        <v>0</v>
      </c>
      <c r="AG15" s="12">
        <f>'Cronograma Físico das Obras'!AH9*'Preços Unitários'!$D$81</f>
        <v>0</v>
      </c>
      <c r="AH15" s="12" t="e">
        <f>'Cronograma Físico das Obras'!#REF!*'Preços Unitários'!$D$81</f>
        <v>#REF!</v>
      </c>
      <c r="AI15" s="12" t="e">
        <f>'Cronograma Físico das Obras'!#REF!*'Preços Unitários'!$D$81</f>
        <v>#REF!</v>
      </c>
      <c r="AJ15" s="12"/>
      <c r="AK15" s="12"/>
      <c r="AL15" s="12"/>
    </row>
    <row r="16" spans="1:38" ht="15" customHeight="1">
      <c r="A16" s="185" t="s">
        <v>322</v>
      </c>
      <c r="B16" s="184" t="str">
        <f>'Cronograma Físico das Obras'!B10</f>
        <v>Substituição de Padrão de Ligação de água (1% ao ano, anos 1 a 5)</v>
      </c>
      <c r="C16" s="189">
        <f t="shared" ref="C16:C22" si="8">SUM(D16:AG16)</f>
        <v>1238300</v>
      </c>
      <c r="D16" s="139">
        <f>ROUND('Cronograma Físico das Obras'!E10*'Preços Unitários'!$D$81,0)</f>
        <v>240800</v>
      </c>
      <c r="E16" s="139">
        <f>ROUND('Cronograma Físico das Obras'!F10*'Preços Unitários'!$D$81,0)</f>
        <v>244300</v>
      </c>
      <c r="F16" s="139">
        <f>ROUND('Cronograma Físico das Obras'!G10*'Preços Unitários'!$D$81,0)</f>
        <v>247800</v>
      </c>
      <c r="G16" s="139">
        <f>ROUND('Cronograma Físico das Obras'!H10*'Preços Unitários'!$D$81,0)</f>
        <v>251300</v>
      </c>
      <c r="H16" s="139">
        <f>ROUND('Cronograma Físico das Obras'!I10*'Preços Unitários'!$D$81,0)</f>
        <v>254100</v>
      </c>
      <c r="I16" s="139">
        <f>'Cronograma Físico das Obras'!J10*'Preços Unitários'!$D$82</f>
        <v>0</v>
      </c>
      <c r="J16" s="139">
        <f>'Cronograma Físico das Obras'!K10*'Preços Unitários'!$D$82</f>
        <v>0</v>
      </c>
      <c r="K16" s="139">
        <f>'Cronograma Físico das Obras'!L10*'Preços Unitários'!$D$82</f>
        <v>0</v>
      </c>
      <c r="L16" s="139">
        <f>'Cronograma Físico das Obras'!M10*'Preços Unitários'!$D$82</f>
        <v>0</v>
      </c>
      <c r="M16" s="139">
        <f>'Cronograma Físico das Obras'!N10*'Preços Unitários'!$D$82</f>
        <v>0</v>
      </c>
      <c r="N16" s="139">
        <f>'Cronograma Físico das Obras'!O10*'Preços Unitários'!$D$82</f>
        <v>0</v>
      </c>
      <c r="O16" s="139">
        <f>'Cronograma Físico das Obras'!P10*'Preços Unitários'!$D$82</f>
        <v>0</v>
      </c>
      <c r="P16" s="139">
        <f>'Cronograma Físico das Obras'!Q10*'Preços Unitários'!$D$82</f>
        <v>0</v>
      </c>
      <c r="Q16" s="139">
        <f>'Cronograma Físico das Obras'!R10*'Preços Unitários'!$D$82</f>
        <v>0</v>
      </c>
      <c r="R16" s="139">
        <f>'Cronograma Físico das Obras'!S10*'Preços Unitários'!$D$82</f>
        <v>0</v>
      </c>
      <c r="S16" s="139">
        <f>'Cronograma Físico das Obras'!T10*'Preços Unitários'!$D$82</f>
        <v>0</v>
      </c>
      <c r="T16" s="139">
        <f>'Cronograma Físico das Obras'!U10*'Preços Unitários'!$D$82</f>
        <v>0</v>
      </c>
      <c r="U16" s="139">
        <f>'Cronograma Físico das Obras'!V10*'Preços Unitários'!$D$82</f>
        <v>0</v>
      </c>
      <c r="V16" s="139">
        <f>'Cronograma Físico das Obras'!W10*'Preços Unitários'!$D$82</f>
        <v>0</v>
      </c>
      <c r="W16" s="139">
        <f>'Cronograma Físico das Obras'!X10*'Preços Unitários'!$D$82</f>
        <v>0</v>
      </c>
      <c r="X16" s="139">
        <f>'Cronograma Físico das Obras'!Y10*'Preços Unitários'!$D$82</f>
        <v>0</v>
      </c>
      <c r="Y16" s="139">
        <f>'Cronograma Físico das Obras'!Z10*'Preços Unitários'!$D$82</f>
        <v>0</v>
      </c>
      <c r="Z16" s="139">
        <f>'Cronograma Físico das Obras'!AA10*'Preços Unitários'!$D$82</f>
        <v>0</v>
      </c>
      <c r="AA16" s="139">
        <f>'Cronograma Físico das Obras'!AB10*'Preços Unitários'!$D$82</f>
        <v>0</v>
      </c>
      <c r="AB16" s="139">
        <f>'Cronograma Físico das Obras'!AC10*'Preços Unitários'!$D$82</f>
        <v>0</v>
      </c>
      <c r="AC16" s="139">
        <f>'Cronograma Físico das Obras'!AD10*'Preços Unitários'!$D$82</f>
        <v>0</v>
      </c>
      <c r="AD16" s="139">
        <f>'Cronograma Físico das Obras'!AE10*'Preços Unitários'!$D$82</f>
        <v>0</v>
      </c>
      <c r="AE16" s="139">
        <f>'Cronograma Físico das Obras'!AF10*'Preços Unitários'!$D$82</f>
        <v>0</v>
      </c>
      <c r="AF16" s="139">
        <f>'Cronograma Físico das Obras'!AG10*'Preços Unitários'!$D$82</f>
        <v>0</v>
      </c>
      <c r="AG16" s="139">
        <f>'Cronograma Físico das Obras'!AH10*'Preços Unitários'!$D$82</f>
        <v>0</v>
      </c>
      <c r="AH16" s="139" t="e">
        <f>'Cronograma Físico das Obras'!#REF!*'Preços Unitários'!$D$82</f>
        <v>#REF!</v>
      </c>
      <c r="AI16" s="139" t="e">
        <f>'Cronograma Físico das Obras'!#REF!*'Preços Unitários'!$D$82</f>
        <v>#REF!</v>
      </c>
      <c r="AJ16" s="139" t="e">
        <f>'Cronograma Físico das Obras'!#REF!*'Preços Unitários'!$D$82</f>
        <v>#REF!</v>
      </c>
      <c r="AK16" s="139" t="e">
        <f>'Cronograma Físico das Obras'!#REF!*'Preços Unitários'!$D$82</f>
        <v>#REF!</v>
      </c>
      <c r="AL16" s="139" t="e">
        <f>'Cronograma Físico das Obras'!#REF!*'Preços Unitários'!$D$82</f>
        <v>#REF!</v>
      </c>
    </row>
    <row r="17" spans="1:38" ht="15.75" customHeight="1">
      <c r="A17" s="185" t="s">
        <v>323</v>
      </c>
      <c r="B17" s="184" t="str">
        <f>'Cronograma Físico das Obras'!B11</f>
        <v>Substituição de Redes de água (2% ao ano. Anos 2 a 11)</v>
      </c>
      <c r="C17" s="189">
        <f t="shared" si="8"/>
        <v>20376525</v>
      </c>
      <c r="D17" s="139">
        <f>'Cronograma Físico das Obras'!E11*'Preços Unitários'!$D$84</f>
        <v>0</v>
      </c>
      <c r="E17" s="139">
        <f>ROUND('Cronograma Físico das Obras'!F11*'Preços Unitários'!$D$84,0)</f>
        <v>1911000</v>
      </c>
      <c r="F17" s="139">
        <f>ROUND('Cronograma Físico das Obras'!G11*'Preços Unitários'!$D$84,0)</f>
        <v>1939275</v>
      </c>
      <c r="G17" s="139">
        <f>ROUND('Cronograma Físico das Obras'!H11*'Preços Unitários'!$D$84,0)</f>
        <v>1967355</v>
      </c>
      <c r="H17" s="139">
        <f>ROUND('Cronograma Físico das Obras'!I11*'Preços Unitários'!$D$84,0)</f>
        <v>1995435</v>
      </c>
      <c r="I17" s="139">
        <f>ROUND('Cronograma Físico das Obras'!J11*'Preços Unitários'!$D$84,0)</f>
        <v>2023515</v>
      </c>
      <c r="J17" s="139">
        <f>ROUND('Cronograma Físico das Obras'!K11*'Preços Unitários'!$D$84,0)</f>
        <v>2051790</v>
      </c>
      <c r="K17" s="139">
        <f>ROUND('Cronograma Físico das Obras'!L11*'Preços Unitários'!$D$84,0)</f>
        <v>2079870</v>
      </c>
      <c r="L17" s="139">
        <f>ROUND('Cronograma Físico das Obras'!M11*'Preços Unitários'!$D$84,0)</f>
        <v>2107950</v>
      </c>
      <c r="M17" s="139">
        <f>ROUND('Cronograma Físico das Obras'!N11*'Preços Unitários'!$D$84,0)</f>
        <v>2136030</v>
      </c>
      <c r="N17" s="139">
        <f>ROUND('Cronograma Físico das Obras'!O11*'Preços Unitários'!$D$84,0)</f>
        <v>2164305</v>
      </c>
      <c r="O17" s="139">
        <f>'Cronograma Físico das Obras'!P11*'Preços Unitários'!$D$84</f>
        <v>0</v>
      </c>
      <c r="P17" s="139">
        <f>'Cronograma Físico das Obras'!Q11*'Preços Unitários'!$D$84</f>
        <v>0</v>
      </c>
      <c r="Q17" s="139">
        <f>'Cronograma Físico das Obras'!R11*'Preços Unitários'!$D$84</f>
        <v>0</v>
      </c>
      <c r="R17" s="139">
        <f>'Cronograma Físico das Obras'!S11*'Preços Unitários'!$D$84</f>
        <v>0</v>
      </c>
      <c r="S17" s="139">
        <f>'Cronograma Físico das Obras'!T11*'Preços Unitários'!$D$84</f>
        <v>0</v>
      </c>
      <c r="T17" s="139">
        <f>'Cronograma Físico das Obras'!U11*'Preços Unitários'!$D$84</f>
        <v>0</v>
      </c>
      <c r="U17" s="139">
        <f>'Cronograma Físico das Obras'!V11*'Preços Unitários'!$D$84</f>
        <v>0</v>
      </c>
      <c r="V17" s="139">
        <f>'Cronograma Físico das Obras'!W11*'Preços Unitários'!$D$84</f>
        <v>0</v>
      </c>
      <c r="W17" s="139">
        <f>'Cronograma Físico das Obras'!X11*'Preços Unitários'!$D$84</f>
        <v>0</v>
      </c>
      <c r="X17" s="139">
        <f>'Cronograma Físico das Obras'!Y11*'Preços Unitários'!$D$84</f>
        <v>0</v>
      </c>
      <c r="Y17" s="139">
        <f>'Cronograma Físico das Obras'!Z11*'Preços Unitários'!$D$84</f>
        <v>0</v>
      </c>
      <c r="Z17" s="139">
        <f>'Cronograma Físico das Obras'!AA11*'Preços Unitários'!$D$84</f>
        <v>0</v>
      </c>
      <c r="AA17" s="139">
        <f>'Cronograma Físico das Obras'!AB11*'Preços Unitários'!$D$84</f>
        <v>0</v>
      </c>
      <c r="AB17" s="139">
        <f>'Cronograma Físico das Obras'!AC11*'Preços Unitários'!$D$84</f>
        <v>0</v>
      </c>
      <c r="AC17" s="139">
        <f>'Cronograma Físico das Obras'!AD11*'Preços Unitários'!$D$84</f>
        <v>0</v>
      </c>
      <c r="AD17" s="139">
        <f>'Cronograma Físico das Obras'!AE11*'Preços Unitários'!$D$84</f>
        <v>0</v>
      </c>
      <c r="AE17" s="139">
        <f>'Cronograma Físico das Obras'!AF11*'Preços Unitários'!$D$84</f>
        <v>0</v>
      </c>
      <c r="AF17" s="139">
        <f>'Cronograma Físico das Obras'!AG11*'Preços Unitários'!$D$84</f>
        <v>0</v>
      </c>
      <c r="AG17" s="139">
        <f>'Cronograma Físico das Obras'!AH11*'Preços Unitários'!$D$84</f>
        <v>0</v>
      </c>
      <c r="AH17" s="139" t="e">
        <f>'Cronograma Físico das Obras'!#REF!*'Preços Unitários'!$D$84</f>
        <v>#REF!</v>
      </c>
      <c r="AI17" s="139" t="e">
        <f>'Cronograma Físico das Obras'!#REF!*'Preços Unitários'!$D$84</f>
        <v>#REF!</v>
      </c>
      <c r="AJ17" s="139" t="e">
        <f>'Cronograma Físico das Obras'!#REF!*'Preços Unitários'!$D$84</f>
        <v>#REF!</v>
      </c>
      <c r="AK17" s="139" t="e">
        <f>'Cronograma Físico das Obras'!#REF!*'Preços Unitários'!$D$84</f>
        <v>#REF!</v>
      </c>
      <c r="AL17" s="139" t="e">
        <f>'Cronograma Físico das Obras'!#REF!*'Preços Unitários'!$D$84</f>
        <v>#REF!</v>
      </c>
    </row>
    <row r="18" spans="1:38" ht="15.75" customHeight="1">
      <c r="A18" s="185" t="s">
        <v>324</v>
      </c>
      <c r="B18" s="184" t="str">
        <f>'Cronograma Físico das Obras'!B12</f>
        <v>Melhorias imediatas em captações de água bruta</v>
      </c>
      <c r="C18" s="189">
        <f t="shared" si="8"/>
        <v>726793.62151999993</v>
      </c>
      <c r="D18" s="139">
        <f>'Cronograma Físico das Obras'!E12*('Diagnóstico - Ativos'!X11+'Diagnóstico - Ativos'!X13+'Diagnóstico - Ativos'!X15)</f>
        <v>726793.62151999993</v>
      </c>
      <c r="E18" s="12"/>
      <c r="F18" s="12">
        <f>'Cronograma Físico das Obras'!G12*'Diagnóstico - Ativos'!$X$15</f>
        <v>0</v>
      </c>
      <c r="G18" s="12">
        <f>'Cronograma Físico das Obras'!H12*'Diagnóstico - Ativos'!$X$15</f>
        <v>0</v>
      </c>
      <c r="H18" s="12">
        <f>'Cronograma Físico das Obras'!I12*'Diagnóstico - Ativos'!$X$15</f>
        <v>0</v>
      </c>
      <c r="I18" s="12">
        <f>'Cronograma Físico das Obras'!J12*'Diagnóstico - Ativos'!$X$15</f>
        <v>0</v>
      </c>
      <c r="J18" s="12">
        <f>'Cronograma Físico das Obras'!K12*'Diagnóstico - Ativos'!$X$15</f>
        <v>0</v>
      </c>
      <c r="K18" s="12">
        <f>'Cronograma Físico das Obras'!L12*'Diagnóstico - Ativos'!$X$15</f>
        <v>0</v>
      </c>
      <c r="L18" s="12">
        <f>'Cronograma Físico das Obras'!M12*'Diagnóstico - Ativos'!$X$15</f>
        <v>0</v>
      </c>
      <c r="M18" s="12">
        <f>'Cronograma Físico das Obras'!N12*'Diagnóstico - Ativos'!$X$15</f>
        <v>0</v>
      </c>
      <c r="N18" s="12">
        <f>'Cronograma Físico das Obras'!O12*'Diagnóstico - Ativos'!$X$15</f>
        <v>0</v>
      </c>
      <c r="O18" s="12">
        <f>'Cronograma Físico das Obras'!P12*'Diagnóstico - Ativos'!$X$15</f>
        <v>0</v>
      </c>
      <c r="P18" s="12">
        <f>'Cronograma Físico das Obras'!Q12*'Diagnóstico - Ativos'!$X$15</f>
        <v>0</v>
      </c>
      <c r="Q18" s="12">
        <f>'Cronograma Físico das Obras'!R12*'Diagnóstico - Ativos'!$X$15</f>
        <v>0</v>
      </c>
      <c r="R18" s="12">
        <f>'Cronograma Físico das Obras'!S12*'Diagnóstico - Ativos'!$X$15</f>
        <v>0</v>
      </c>
      <c r="S18" s="12">
        <f>'Cronograma Físico das Obras'!T12*'Diagnóstico - Ativos'!$X$15</f>
        <v>0</v>
      </c>
      <c r="T18" s="12">
        <f>'Cronograma Físico das Obras'!U12*'Diagnóstico - Ativos'!$X$15</f>
        <v>0</v>
      </c>
      <c r="U18" s="12">
        <f>'Cronograma Físico das Obras'!V12*'Diagnóstico - Ativos'!$X$15</f>
        <v>0</v>
      </c>
      <c r="V18" s="12">
        <f>'Cronograma Físico das Obras'!W12*'Diagnóstico - Ativos'!$X$15</f>
        <v>0</v>
      </c>
      <c r="W18" s="12">
        <f>'Cronograma Físico das Obras'!X12*'Diagnóstico - Ativos'!$X$15</f>
        <v>0</v>
      </c>
      <c r="X18" s="12">
        <f>'Cronograma Físico das Obras'!Y12*'Diagnóstico - Ativos'!$X$15</f>
        <v>0</v>
      </c>
      <c r="Y18" s="12">
        <f>'Cronograma Físico das Obras'!Z12*'Diagnóstico - Ativos'!$X$15</f>
        <v>0</v>
      </c>
      <c r="Z18" s="12">
        <f>'Cronograma Físico das Obras'!AA12*'Diagnóstico - Ativos'!$X$15</f>
        <v>0</v>
      </c>
      <c r="AA18" s="12">
        <f>'Cronograma Físico das Obras'!AB12*'Diagnóstico - Ativos'!$X$15</f>
        <v>0</v>
      </c>
      <c r="AB18" s="12">
        <f>'Cronograma Físico das Obras'!AC12*'Diagnóstico - Ativos'!$X$15</f>
        <v>0</v>
      </c>
      <c r="AC18" s="12">
        <f>'Cronograma Físico das Obras'!AD12*'Diagnóstico - Ativos'!$X$15</f>
        <v>0</v>
      </c>
      <c r="AD18" s="12">
        <f>'Cronograma Físico das Obras'!AE12*'Diagnóstico - Ativos'!$X$15</f>
        <v>0</v>
      </c>
      <c r="AE18" s="12">
        <f>'Cronograma Físico das Obras'!AF12*'Diagnóstico - Ativos'!$X$15</f>
        <v>0</v>
      </c>
      <c r="AF18" s="12">
        <f>'Cronograma Físico das Obras'!AG12*'Diagnóstico - Ativos'!$X$15</f>
        <v>0</v>
      </c>
      <c r="AG18" s="12">
        <f>'Cronograma Físico das Obras'!AH12*'Diagnóstico - Ativos'!$X$15</f>
        <v>0</v>
      </c>
      <c r="AH18" s="12" t="e">
        <f>'Cronograma Físico das Obras'!#REF!*'RECUPERAÇÃO DE ATIVOS'!$S$6</f>
        <v>#REF!</v>
      </c>
      <c r="AI18" s="12" t="e">
        <f>'Cronograma Físico das Obras'!#REF!*'RECUPERAÇÃO DE ATIVOS'!$S$6</f>
        <v>#REF!</v>
      </c>
      <c r="AJ18" s="12" t="e">
        <f>'Cronograma Físico das Obras'!#REF!*'RECUPERAÇÃO DE ATIVOS'!$S$6</f>
        <v>#REF!</v>
      </c>
      <c r="AK18" s="12" t="e">
        <f>'Cronograma Físico das Obras'!#REF!*'RECUPERAÇÃO DE ATIVOS'!$S$6</f>
        <v>#REF!</v>
      </c>
      <c r="AL18" s="12" t="e">
        <f>'Cronograma Físico das Obras'!#REF!*'RECUPERAÇÃO DE ATIVOS'!$S$6</f>
        <v>#REF!</v>
      </c>
    </row>
    <row r="19" spans="1:38" ht="15.75" customHeight="1">
      <c r="A19" s="185" t="s">
        <v>325</v>
      </c>
      <c r="B19" s="184" t="str">
        <f>'Cronograma Físico das Obras'!B13</f>
        <v>Melhorias em Dispositivos de Proteção</v>
      </c>
      <c r="C19" s="189">
        <f t="shared" si="8"/>
        <v>109739.50934999998</v>
      </c>
      <c r="D19" s="139">
        <f>'Cronograma Físico das Obras'!E13*'Diagnóstico - Ativos'!X125</f>
        <v>109739.50934999998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 t="e">
        <f>'Cronograma Físico das Obras'!#REF!*'RECUPERAÇÃO DE ATIVOS'!$S$10</f>
        <v>#REF!</v>
      </c>
      <c r="AI19" s="12" t="e">
        <f>'Cronograma Físico das Obras'!#REF!*'RECUPERAÇÃO DE ATIVOS'!$S$10</f>
        <v>#REF!</v>
      </c>
      <c r="AJ19" s="12" t="e">
        <f>'Cronograma Físico das Obras'!#REF!*'RECUPERAÇÃO DE ATIVOS'!$S$10</f>
        <v>#REF!</v>
      </c>
      <c r="AK19" s="12" t="e">
        <f>'Cronograma Físico das Obras'!#REF!*'RECUPERAÇÃO DE ATIVOS'!$S$10</f>
        <v>#REF!</v>
      </c>
      <c r="AL19" s="12" t="e">
        <f>'Cronograma Físico das Obras'!#REF!*'RECUPERAÇÃO DE ATIVOS'!$S$10</f>
        <v>#REF!</v>
      </c>
    </row>
    <row r="20" spans="1:38" ht="15.75" customHeight="1">
      <c r="A20" s="185" t="s">
        <v>326</v>
      </c>
      <c r="B20" s="184" t="str">
        <f>'Cronograma Físico das Obras'!B14</f>
        <v>Melhorias Imediatas em ETAs</v>
      </c>
      <c r="C20" s="189">
        <f t="shared" si="8"/>
        <v>1228500</v>
      </c>
      <c r="D20" s="139">
        <f>'Cronograma Físico das Obras'!E14*('Diagnóstico - Ativos'!X121)</f>
        <v>1228500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 t="e">
        <f>'Cronograma Físico das Obras'!#REF!*'RECUPERAÇÃO DE ATIVOS'!$S$12</f>
        <v>#REF!</v>
      </c>
      <c r="AI20" s="12" t="e">
        <f>'Cronograma Físico das Obras'!#REF!*'RECUPERAÇÃO DE ATIVOS'!$S$12</f>
        <v>#REF!</v>
      </c>
      <c r="AJ20" s="12" t="e">
        <f>'Cronograma Físico das Obras'!#REF!*'RECUPERAÇÃO DE ATIVOS'!$S$12</f>
        <v>#REF!</v>
      </c>
      <c r="AK20" s="12" t="e">
        <f>'Cronograma Físico das Obras'!#REF!*'RECUPERAÇÃO DE ATIVOS'!$S$12</f>
        <v>#REF!</v>
      </c>
      <c r="AL20" s="12" t="e">
        <f>'Cronograma Físico das Obras'!#REF!*'RECUPERAÇÃO DE ATIVOS'!$S$12</f>
        <v>#REF!</v>
      </c>
    </row>
    <row r="21" spans="1:38" ht="15.75" customHeight="1">
      <c r="A21" s="185" t="s">
        <v>343</v>
      </c>
      <c r="B21" s="184" t="str">
        <f>'Cronograma Físico das Obras'!B15</f>
        <v xml:space="preserve">Melhorias imediatas em Booster e Elevatórias </v>
      </c>
      <c r="C21" s="189">
        <f t="shared" si="8"/>
        <v>1500400</v>
      </c>
      <c r="D21" s="139">
        <f>'Cronograma Físico das Obras'!E15*'Diagnóstico - Ativos'!X96</f>
        <v>1500400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 t="e">
        <f>'Cronograma Físico das Obras'!#REF!</f>
        <v>#REF!</v>
      </c>
      <c r="AI21" s="12" t="e">
        <f>'Cronograma Físico das Obras'!#REF!</f>
        <v>#REF!</v>
      </c>
      <c r="AJ21" s="12" t="e">
        <f>'Cronograma Físico das Obras'!#REF!</f>
        <v>#REF!</v>
      </c>
      <c r="AK21" s="12" t="e">
        <f>'Cronograma Físico das Obras'!#REF!</f>
        <v>#REF!</v>
      </c>
      <c r="AL21" s="12" t="e">
        <f>'Cronograma Físico das Obras'!#REF!</f>
        <v>#REF!</v>
      </c>
    </row>
    <row r="22" spans="1:38" ht="15.75" customHeight="1">
      <c r="A22" s="185" t="s">
        <v>344</v>
      </c>
      <c r="B22" s="184" t="str">
        <f>'Cronograma Físico das Obras'!B16</f>
        <v xml:space="preserve">Melhorias imediatas em Reservatórios (Reforma) </v>
      </c>
      <c r="C22" s="189">
        <f t="shared" si="8"/>
        <v>1016567.2848525</v>
      </c>
      <c r="D22" s="139">
        <f>'Cronograma Físico das Obras'!E16*('Diagnóstico - Ativos'!X114+'Diagnóstico - Ativos'!X116+'Diagnóstico - Ativos'!X118)</f>
        <v>1016567.2848525</v>
      </c>
      <c r="E22" s="12"/>
      <c r="F22" s="12">
        <f>'Cronograma Físico das Obras'!G16*'Diagnóstico - Ativos'!$X$121</f>
        <v>0</v>
      </c>
      <c r="G22" s="12">
        <f>'Cronograma Físico das Obras'!H16*'Diagnóstico - Ativos'!$X$121</f>
        <v>0</v>
      </c>
      <c r="H22" s="12">
        <f>'Cronograma Físico das Obras'!I16*'Diagnóstico - Ativos'!$X$121</f>
        <v>0</v>
      </c>
      <c r="I22" s="12">
        <f>'Cronograma Físico das Obras'!J16*'Diagnóstico - Ativos'!$X$121</f>
        <v>0</v>
      </c>
      <c r="J22" s="12">
        <f>'Cronograma Físico das Obras'!K16*'Diagnóstico - Ativos'!$X$121</f>
        <v>0</v>
      </c>
      <c r="K22" s="12">
        <f>'Cronograma Físico das Obras'!L16*'Diagnóstico - Ativos'!$X$121</f>
        <v>0</v>
      </c>
      <c r="L22" s="12">
        <f>'Cronograma Físico das Obras'!M16*'Diagnóstico - Ativos'!$X$121</f>
        <v>0</v>
      </c>
      <c r="M22" s="12">
        <f>'Cronograma Físico das Obras'!N16*'Diagnóstico - Ativos'!$X$121</f>
        <v>0</v>
      </c>
      <c r="N22" s="12">
        <f>'Cronograma Físico das Obras'!O16*'Diagnóstico - Ativos'!$X$121</f>
        <v>0</v>
      </c>
      <c r="O22" s="12">
        <f>'Cronograma Físico das Obras'!P16*'Diagnóstico - Ativos'!$X$121</f>
        <v>0</v>
      </c>
      <c r="P22" s="12">
        <f>'Cronograma Físico das Obras'!Q16*'Diagnóstico - Ativos'!$X$121</f>
        <v>0</v>
      </c>
      <c r="Q22" s="12">
        <f>'Cronograma Físico das Obras'!R16*'Diagnóstico - Ativos'!$X$121</f>
        <v>0</v>
      </c>
      <c r="R22" s="12">
        <f>'Cronograma Físico das Obras'!S16*'Diagnóstico - Ativos'!$X$121</f>
        <v>0</v>
      </c>
      <c r="S22" s="12">
        <f>'Cronograma Físico das Obras'!T16*'Diagnóstico - Ativos'!$X$121</f>
        <v>0</v>
      </c>
      <c r="T22" s="12">
        <f>'Cronograma Físico das Obras'!U16*'Diagnóstico - Ativos'!$X$121</f>
        <v>0</v>
      </c>
      <c r="U22" s="12">
        <f>'Cronograma Físico das Obras'!V16*'Diagnóstico - Ativos'!$X$121</f>
        <v>0</v>
      </c>
      <c r="V22" s="12">
        <f>'Cronograma Físico das Obras'!W16*'Diagnóstico - Ativos'!$X$121</f>
        <v>0</v>
      </c>
      <c r="W22" s="12">
        <f>'Cronograma Físico das Obras'!X16*'Diagnóstico - Ativos'!$X$121</f>
        <v>0</v>
      </c>
      <c r="X22" s="12">
        <f>'Cronograma Físico das Obras'!Y16*'Diagnóstico - Ativos'!$X$121</f>
        <v>0</v>
      </c>
      <c r="Y22" s="12">
        <f>'Cronograma Físico das Obras'!Z16*'Diagnóstico - Ativos'!$X$121</f>
        <v>0</v>
      </c>
      <c r="Z22" s="12">
        <f>'Cronograma Físico das Obras'!AA16*'Diagnóstico - Ativos'!$X$121</f>
        <v>0</v>
      </c>
      <c r="AA22" s="12">
        <f>'Cronograma Físico das Obras'!AB16*'Diagnóstico - Ativos'!$X$121</f>
        <v>0</v>
      </c>
      <c r="AB22" s="12">
        <f>'Cronograma Físico das Obras'!AC16*'Diagnóstico - Ativos'!$X$121</f>
        <v>0</v>
      </c>
      <c r="AC22" s="12">
        <f>'Cronograma Físico das Obras'!AD16*'Diagnóstico - Ativos'!$X$121</f>
        <v>0</v>
      </c>
      <c r="AD22" s="12">
        <f>'Cronograma Físico das Obras'!AE16*'Diagnóstico - Ativos'!$X$121</f>
        <v>0</v>
      </c>
      <c r="AE22" s="12">
        <f>'Cronograma Físico das Obras'!AF16*'Diagnóstico - Ativos'!$X$121</f>
        <v>0</v>
      </c>
      <c r="AF22" s="12">
        <f>'Cronograma Físico das Obras'!AG16*'Diagnóstico - Ativos'!$X$121</f>
        <v>0</v>
      </c>
      <c r="AG22" s="12">
        <f>'Cronograma Físico das Obras'!AH16*'Diagnóstico - Ativos'!$X$121</f>
        <v>0</v>
      </c>
      <c r="AH22" s="12" t="e">
        <f>'Cronograma Físico das Obras'!#REF!*'RECUPERAÇÃO DE ATIVOS'!$S$23</f>
        <v>#REF!</v>
      </c>
      <c r="AI22" s="12" t="e">
        <f>'Cronograma Físico das Obras'!#REF!*'RECUPERAÇÃO DE ATIVOS'!$S$23</f>
        <v>#REF!</v>
      </c>
      <c r="AJ22" s="12" t="e">
        <f>'Cronograma Físico das Obras'!#REF!*'RECUPERAÇÃO DE ATIVOS'!$S$23</f>
        <v>#REF!</v>
      </c>
      <c r="AK22" s="12" t="e">
        <f>'Cronograma Físico das Obras'!#REF!*'RECUPERAÇÃO DE ATIVOS'!$S$23</f>
        <v>#REF!</v>
      </c>
      <c r="AL22" s="12" t="e">
        <f>'Cronograma Físico das Obras'!#REF!*'RECUPERAÇÃO DE ATIVOS'!$S$23</f>
        <v>#REF!</v>
      </c>
    </row>
    <row r="23" spans="1:38" s="92" customFormat="1" ht="15.75" customHeight="1">
      <c r="A23" s="870" t="s">
        <v>1253</v>
      </c>
      <c r="B23" s="871" t="s">
        <v>1254</v>
      </c>
      <c r="C23" s="872">
        <f>SUM(D23:AG23)</f>
        <v>1266773.0745502878</v>
      </c>
      <c r="D23" s="873">
        <f>(SUM(D18:D22)+SUM(D25:D32))*'Preços Unitários'!$B$144</f>
        <v>179072.92955028752</v>
      </c>
      <c r="E23" s="873">
        <f>(SUM(E18:E22)+SUM(E25:E32))*'Preços Unitários'!$B$144</f>
        <v>69499.60500000001</v>
      </c>
      <c r="F23" s="873">
        <f>(SUM(F18:F22)+SUM(F25:F32))*'Preços Unitários'!$B$144</f>
        <v>290251.60500000004</v>
      </c>
      <c r="G23" s="873">
        <f>(SUM(G18:G22)+SUM(G25:G32))*'Preços Unitários'!$B$144</f>
        <v>70003.60500000001</v>
      </c>
      <c r="H23" s="873">
        <f>(SUM(H18:H22)+SUM(H25:H32))*'Preços Unitários'!$B$144</f>
        <v>19458.915000000001</v>
      </c>
      <c r="I23" s="873">
        <f>(SUM(I18:I22)+SUM(I25:I32))*'Preços Unitários'!$B$144</f>
        <v>104987.40000000001</v>
      </c>
      <c r="J23" s="873">
        <f>(SUM(J18:J22)+SUM(J25:J32))*'Preços Unitários'!$B$144</f>
        <v>19836.915000000001</v>
      </c>
      <c r="K23" s="873">
        <f>(SUM(K18:K22)+SUM(K25:K32))*'Preços Unitários'!$B$144</f>
        <v>19836.915000000001</v>
      </c>
      <c r="L23" s="873">
        <f>(SUM(L18:L22)+SUM(L25:L32))*'Preços Unitários'!$B$144</f>
        <v>19836.915000000001</v>
      </c>
      <c r="M23" s="873">
        <f>(SUM(M18:M22)+SUM(M25:M32))*'Preços Unitários'!$B$144</f>
        <v>19836.915000000001</v>
      </c>
      <c r="N23" s="873">
        <f>(SUM(N18:N22)+SUM(N25:N32))*'Preços Unitários'!$B$144</f>
        <v>19799.780000000002</v>
      </c>
      <c r="O23" s="873">
        <f>(SUM(O18:O22)+SUM(O25:O32))*'Preços Unitários'!$B$144</f>
        <v>19799.780000000002</v>
      </c>
      <c r="P23" s="873">
        <f>(SUM(P18:P22)+SUM(P25:P32))*'Preços Unitários'!$B$144</f>
        <v>19799.780000000002</v>
      </c>
      <c r="Q23" s="873">
        <f>(SUM(Q18:Q22)+SUM(Q25:Q32))*'Preços Unitários'!$B$144</f>
        <v>19775.280000000002</v>
      </c>
      <c r="R23" s="873">
        <f>(SUM(R18:R22)+SUM(R25:R32))*'Preços Unitários'!$B$144</f>
        <v>19825.295000000002</v>
      </c>
      <c r="S23" s="873">
        <f>(SUM(S18:S22)+SUM(S25:S32))*'Preços Unitários'!$B$144</f>
        <v>19800.095000000001</v>
      </c>
      <c r="T23" s="873">
        <f>(SUM(T18:T22)+SUM(T25:T32))*'Preços Unitários'!$B$144</f>
        <v>19774.265000000003</v>
      </c>
      <c r="U23" s="873">
        <f>(SUM(U18:U22)+SUM(U25:U32))*'Preços Unitários'!$B$144</f>
        <v>19897.780000000002</v>
      </c>
      <c r="V23" s="873">
        <f>(SUM(V18:V22)+SUM(V25:V32))*'Preços Unitários'!$B$144</f>
        <v>20023.640000000003</v>
      </c>
      <c r="W23" s="873">
        <f>(SUM(W18:W22)+SUM(W25:W32))*'Preços Unitários'!$B$144</f>
        <v>20151.390000000003</v>
      </c>
      <c r="X23" s="873">
        <f>(SUM(X18:X22)+SUM(X25:X32))*'Preços Unitários'!$B$144</f>
        <v>20328.105000000003</v>
      </c>
      <c r="Y23" s="873">
        <f>(SUM(Y18:Y22)+SUM(Y25:Y32))*'Preços Unitários'!$B$144</f>
        <v>20431.635000000002</v>
      </c>
      <c r="Z23" s="873">
        <f>(SUM(Z18:Z22)+SUM(Z25:Z32))*'Preços Unitários'!$B$144</f>
        <v>20609.365000000002</v>
      </c>
      <c r="AA23" s="873">
        <f>(SUM(AA18:AA22)+SUM(AA25:AA32))*'Preços Unitários'!$B$144</f>
        <v>20786.395</v>
      </c>
      <c r="AB23" s="873">
        <f>(SUM(AB18:AB22)+SUM(AB25:AB32))*'Preços Unitários'!$B$144</f>
        <v>20939.205000000002</v>
      </c>
      <c r="AC23" s="873">
        <f>(SUM(AC18:AC22)+SUM(AC25:AC32))*'Preços Unitários'!$B$144</f>
        <v>21066.535000000003</v>
      </c>
      <c r="AD23" s="873">
        <f>(SUM(AD18:AD22)+SUM(AD25:AD32))*'Preços Unitários'!$B$144</f>
        <v>66694.25</v>
      </c>
      <c r="AE23" s="873">
        <f>(SUM(AE18:AE22)+SUM(AE25:AE32))*'Preços Unitários'!$B$144</f>
        <v>21397.11</v>
      </c>
      <c r="AF23" s="873">
        <f>(SUM(AF18:AF22)+SUM(AF25:AF32))*'Preços Unitários'!$B$144</f>
        <v>21524.405000000002</v>
      </c>
      <c r="AG23" s="873">
        <f>(SUM(AG18:AG22)+SUM(AG25:AG32))*'Preços Unitários'!$B$144</f>
        <v>21727.265000000003</v>
      </c>
      <c r="AH23" s="319"/>
      <c r="AI23" s="319"/>
      <c r="AJ23" s="319"/>
      <c r="AK23" s="319"/>
      <c r="AL23" s="319"/>
    </row>
    <row r="24" spans="1:38" s="88" customFormat="1" ht="16.05" customHeight="1">
      <c r="A24" s="183" t="s">
        <v>316</v>
      </c>
      <c r="B24" s="190" t="s">
        <v>318</v>
      </c>
      <c r="C24" s="189">
        <f>SUM(D24:AG24)</f>
        <v>31611516</v>
      </c>
      <c r="D24" s="189">
        <f>SUM(D25:D32)</f>
        <v>534369</v>
      </c>
      <c r="E24" s="189">
        <f t="shared" ref="E24:AG24" si="9">SUM(E25:E32)</f>
        <v>1985703</v>
      </c>
      <c r="F24" s="189">
        <f t="shared" si="9"/>
        <v>8292903</v>
      </c>
      <c r="G24" s="189">
        <f t="shared" si="9"/>
        <v>2000103</v>
      </c>
      <c r="H24" s="189">
        <f t="shared" si="9"/>
        <v>555969</v>
      </c>
      <c r="I24" s="189">
        <f t="shared" si="9"/>
        <v>2999640</v>
      </c>
      <c r="J24" s="189">
        <f t="shared" si="9"/>
        <v>566769</v>
      </c>
      <c r="K24" s="189">
        <f t="shared" si="9"/>
        <v>566769</v>
      </c>
      <c r="L24" s="189">
        <f t="shared" si="9"/>
        <v>566769</v>
      </c>
      <c r="M24" s="189">
        <f t="shared" si="9"/>
        <v>566769</v>
      </c>
      <c r="N24" s="189">
        <f t="shared" si="9"/>
        <v>565708</v>
      </c>
      <c r="O24" s="189">
        <f t="shared" si="9"/>
        <v>565708</v>
      </c>
      <c r="P24" s="189">
        <f t="shared" si="9"/>
        <v>565708</v>
      </c>
      <c r="Q24" s="189">
        <f t="shared" si="9"/>
        <v>565008</v>
      </c>
      <c r="R24" s="189">
        <f t="shared" si="9"/>
        <v>566437</v>
      </c>
      <c r="S24" s="189">
        <f t="shared" si="9"/>
        <v>565717</v>
      </c>
      <c r="T24" s="189">
        <f t="shared" si="9"/>
        <v>564979</v>
      </c>
      <c r="U24" s="189">
        <f t="shared" si="9"/>
        <v>568508</v>
      </c>
      <c r="V24" s="189">
        <f t="shared" si="9"/>
        <v>572104</v>
      </c>
      <c r="W24" s="189">
        <f t="shared" si="9"/>
        <v>575754</v>
      </c>
      <c r="X24" s="189">
        <f t="shared" si="9"/>
        <v>580803</v>
      </c>
      <c r="Y24" s="189">
        <f t="shared" si="9"/>
        <v>583761</v>
      </c>
      <c r="Z24" s="189">
        <f t="shared" si="9"/>
        <v>588839</v>
      </c>
      <c r="AA24" s="189">
        <f t="shared" si="9"/>
        <v>593897</v>
      </c>
      <c r="AB24" s="189">
        <f t="shared" si="9"/>
        <v>598263</v>
      </c>
      <c r="AC24" s="189">
        <f t="shared" si="9"/>
        <v>601901</v>
      </c>
      <c r="AD24" s="189">
        <f t="shared" si="9"/>
        <v>1905550</v>
      </c>
      <c r="AE24" s="189">
        <f t="shared" si="9"/>
        <v>611346</v>
      </c>
      <c r="AF24" s="189">
        <f t="shared" si="9"/>
        <v>614983</v>
      </c>
      <c r="AG24" s="189">
        <f t="shared" si="9"/>
        <v>620779</v>
      </c>
      <c r="AH24" s="189" t="e">
        <f t="shared" ref="AH24:AL24" si="10" xml:space="preserve"> SUMIF($A$25:$A$32,$A24&amp;"."&amp;"*",AH25:AH32)</f>
        <v>#REF!</v>
      </c>
      <c r="AI24" s="189" t="e">
        <f t="shared" si="10"/>
        <v>#REF!</v>
      </c>
      <c r="AJ24" s="189" t="e">
        <f t="shared" si="10"/>
        <v>#REF!</v>
      </c>
      <c r="AK24" s="189" t="e">
        <f t="shared" si="10"/>
        <v>#REF!</v>
      </c>
      <c r="AL24" s="189" t="e">
        <f t="shared" si="10"/>
        <v>#REF!</v>
      </c>
    </row>
    <row r="25" spans="1:38" s="88" customFormat="1" ht="15.75" customHeight="1">
      <c r="A25" s="185" t="s">
        <v>327</v>
      </c>
      <c r="B25" s="184" t="str">
        <f>'Cronograma Físico das Obras'!B18</f>
        <v>Regularização de Vazão (Reservatório de água bruta) (m3)</v>
      </c>
      <c r="C25" s="189">
        <f t="shared" ref="C25:C26" si="11" xml:space="preserve"> SUM( $D25:$AL25 )</f>
        <v>0</v>
      </c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</row>
    <row r="26" spans="1:38" s="149" customFormat="1" ht="15.75" customHeight="1">
      <c r="A26" s="185" t="s">
        <v>328</v>
      </c>
      <c r="B26" s="184" t="str">
        <f>'Cronograma Físico das Obras'!B19</f>
        <v>Ampliação de captações de água</v>
      </c>
      <c r="C26" s="189">
        <f t="shared" si="11"/>
        <v>0</v>
      </c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</row>
    <row r="27" spans="1:38" s="149" customFormat="1" ht="15.75" customHeight="1">
      <c r="A27" s="185" t="s">
        <v>329</v>
      </c>
      <c r="B27" s="184" t="str">
        <f>'Cronograma Físico das Obras'!B20</f>
        <v xml:space="preserve">Ampliação das Ligações de água </v>
      </c>
      <c r="C27" s="189">
        <f>SUM(D27:AG27)</f>
        <v>10450300</v>
      </c>
      <c r="D27" s="148">
        <f>ROUND('Cronograma Físico das Obras'!E20*'Preços Unitários'!$D$81,0)</f>
        <v>336700</v>
      </c>
      <c r="E27" s="148">
        <f>ROUND('Cronograma Físico das Obras'!F20*'Preços Unitários'!$D$81,0)</f>
        <v>336700</v>
      </c>
      <c r="F27" s="148">
        <f>ROUND('Cronograma Físico das Obras'!G20*'Preços Unitários'!$D$81,0)</f>
        <v>336700</v>
      </c>
      <c r="G27" s="148">
        <f>ROUND('Cronograma Físico das Obras'!H20*'Preços Unitários'!$D$81,0)</f>
        <v>336700</v>
      </c>
      <c r="H27" s="148">
        <f>ROUND('Cronograma Físico das Obras'!I20*'Preços Unitários'!$D$81,0)</f>
        <v>336700</v>
      </c>
      <c r="I27" s="148">
        <f>ROUND('Cronograma Físico das Obras'!J20*'Preços Unitários'!$D$81,0)</f>
        <v>336000</v>
      </c>
      <c r="J27" s="148">
        <f>ROUND('Cronograma Físico das Obras'!K20*'Preços Unitários'!$D$81,0)</f>
        <v>336700</v>
      </c>
      <c r="K27" s="148">
        <f>ROUND('Cronograma Físico das Obras'!L20*'Preços Unitários'!$D$81,0)</f>
        <v>336700</v>
      </c>
      <c r="L27" s="148">
        <f>ROUND('Cronograma Físico das Obras'!M20*'Preços Unitários'!$D$81,0)</f>
        <v>336700</v>
      </c>
      <c r="M27" s="148">
        <f>ROUND('Cronograma Físico das Obras'!N20*'Preços Unitários'!$D$81,0)</f>
        <v>336700</v>
      </c>
      <c r="N27" s="148">
        <f>ROUND('Cronograma Físico das Obras'!O20*'Preços Unitários'!$D$81,0)</f>
        <v>336700</v>
      </c>
      <c r="O27" s="148">
        <f>ROUND('Cronograma Físico das Obras'!P20*'Preços Unitários'!$D$81,0)</f>
        <v>336700</v>
      </c>
      <c r="P27" s="148">
        <f>ROUND('Cronograma Físico das Obras'!Q20*'Preços Unitários'!$D$81,0)</f>
        <v>336700</v>
      </c>
      <c r="Q27" s="148">
        <f>ROUND('Cronograma Físico das Obras'!R20*'Preços Unitários'!$D$81,0)</f>
        <v>336000</v>
      </c>
      <c r="R27" s="148">
        <f>ROUND('Cronograma Físico das Obras'!S20*'Preços Unitários'!$D$81,0)</f>
        <v>337400</v>
      </c>
      <c r="S27" s="148">
        <f>ROUND('Cronograma Físico das Obras'!T20*'Preços Unitários'!$D$81,0)</f>
        <v>336700</v>
      </c>
      <c r="T27" s="148">
        <f>ROUND('Cronograma Físico das Obras'!U20*'Preços Unitários'!$D$81,0)</f>
        <v>336000</v>
      </c>
      <c r="U27" s="148">
        <f>ROUND('Cronograma Físico das Obras'!V20*'Preços Unitários'!$D$81,0)</f>
        <v>339500</v>
      </c>
      <c r="V27" s="148">
        <f>ROUND('Cronograma Físico das Obras'!W20*'Preços Unitários'!$D$81,0)</f>
        <v>343000</v>
      </c>
      <c r="W27" s="148">
        <f>ROUND('Cronograma Físico das Obras'!X20*'Preços Unitários'!$D$81,0)</f>
        <v>346500</v>
      </c>
      <c r="X27" s="148">
        <f>ROUND('Cronograma Físico das Obras'!Y20*'Preços Unitários'!$D$81,0)</f>
        <v>351400</v>
      </c>
      <c r="Y27" s="148">
        <f>ROUND('Cronograma Físico das Obras'!Z20*'Preços Unitários'!$D$81,0)</f>
        <v>354200</v>
      </c>
      <c r="Z27" s="148">
        <f>ROUND('Cronograma Físico das Obras'!AA20*'Preços Unitários'!$D$81,0)</f>
        <v>359100</v>
      </c>
      <c r="AA27" s="148">
        <f>ROUND('Cronograma Físico das Obras'!AB20*'Preços Unitários'!$D$81,0)</f>
        <v>364000</v>
      </c>
      <c r="AB27" s="148">
        <f>ROUND('Cronograma Físico das Obras'!AC20*'Preços Unitários'!$D$81,0)</f>
        <v>368200</v>
      </c>
      <c r="AC27" s="148">
        <f>ROUND('Cronograma Físico das Obras'!AD20*'Preços Unitários'!$D$81,0)</f>
        <v>371700</v>
      </c>
      <c r="AD27" s="148">
        <f>ROUND('Cronograma Físico das Obras'!AE20*'Preços Unitários'!$D$81,0)</f>
        <v>375200</v>
      </c>
      <c r="AE27" s="148">
        <f>ROUND('Cronograma Físico das Obras'!AF20*'Preços Unitários'!$D$81,0)</f>
        <v>380800</v>
      </c>
      <c r="AF27" s="148">
        <f>ROUND('Cronograma Físico das Obras'!AG20*'Preços Unitários'!$D$81,0)</f>
        <v>384300</v>
      </c>
      <c r="AG27" s="148">
        <f>ROUND('Cronograma Físico das Obras'!AH20*'Preços Unitários'!$D$81,0)</f>
        <v>389900</v>
      </c>
      <c r="AH27" s="148">
        <f>SUM(D27:AG27)</f>
        <v>10450300</v>
      </c>
      <c r="AI27" s="148" t="e">
        <f>'Cronograma Físico das Obras'!#REF!*'Preços Unitários'!$D$82</f>
        <v>#REF!</v>
      </c>
      <c r="AJ27" s="148" t="e">
        <f>'Cronograma Físico das Obras'!#REF!*'Preços Unitários'!$D$82</f>
        <v>#REF!</v>
      </c>
      <c r="AK27" s="148" t="e">
        <f>'Cronograma Físico das Obras'!#REF!*'Preços Unitários'!$D$82</f>
        <v>#REF!</v>
      </c>
      <c r="AL27" s="148" t="e">
        <f>'Cronograma Físico das Obras'!#REF!*'Preços Unitários'!$D$82</f>
        <v>#REF!</v>
      </c>
    </row>
    <row r="28" spans="1:38" s="149" customFormat="1" ht="15.75" customHeight="1">
      <c r="A28" s="185" t="s">
        <v>330</v>
      </c>
      <c r="B28" s="184" t="str">
        <f>'Cronograma Físico das Obras'!B21</f>
        <v>Ampliação de Redes de abastecimento</v>
      </c>
      <c r="C28" s="189">
        <f t="shared" ref="C28:C32" si="12">SUM(D28:AG28)</f>
        <v>412414</v>
      </c>
      <c r="D28" s="148">
        <f>ROUND('Cronograma Físico das Obras'!E21*'Preços Unitários'!$D$84,0)</f>
        <v>14069</v>
      </c>
      <c r="E28" s="148">
        <f>ROUND('Cronograma Físico das Obras'!F21*'Preços Unitários'!$D$84,0)</f>
        <v>14069</v>
      </c>
      <c r="F28" s="148">
        <f>ROUND('Cronograma Físico das Obras'!G21*'Preços Unitários'!$D$84,0)</f>
        <v>14069</v>
      </c>
      <c r="G28" s="148">
        <f>ROUND('Cronograma Físico das Obras'!H21*'Preços Unitários'!$D$84,0)</f>
        <v>14069</v>
      </c>
      <c r="H28" s="148">
        <f>ROUND('Cronograma Físico das Obras'!I21*'Preços Unitários'!$D$84,0)</f>
        <v>14069</v>
      </c>
      <c r="I28" s="148">
        <f>ROUND('Cronograma Físico das Obras'!J21*'Preços Unitários'!$D$84,0)</f>
        <v>14040</v>
      </c>
      <c r="J28" s="148">
        <f>ROUND('Cronograma Físico das Obras'!K21*'Preços Unitários'!$D$84,0)</f>
        <v>14069</v>
      </c>
      <c r="K28" s="148">
        <f>ROUND('Cronograma Físico das Obras'!L21*'Preços Unitários'!$D$84,0)</f>
        <v>14069</v>
      </c>
      <c r="L28" s="148">
        <f>ROUND('Cronograma Físico das Obras'!M21*'Preços Unitários'!$D$84,0)</f>
        <v>14069</v>
      </c>
      <c r="M28" s="148">
        <f>ROUND('Cronograma Físico das Obras'!N21*'Preços Unitários'!$D$84,0)</f>
        <v>14069</v>
      </c>
      <c r="N28" s="148">
        <f>ROUND('Cronograma Físico das Obras'!O21*'Preços Unitários'!$D$84,0)</f>
        <v>13008</v>
      </c>
      <c r="O28" s="148">
        <f>ROUND('Cronograma Físico das Obras'!P21*'Preços Unitários'!$D$84,0)</f>
        <v>13008</v>
      </c>
      <c r="P28" s="148">
        <f>ROUND('Cronograma Físico das Obras'!Q21*'Preços Unitários'!$D$84,0)</f>
        <v>13008</v>
      </c>
      <c r="Q28" s="148">
        <f>ROUND('Cronograma Físico das Obras'!R21*'Preços Unitários'!$D$84,0)</f>
        <v>13008</v>
      </c>
      <c r="R28" s="148">
        <f>ROUND('Cronograma Físico das Obras'!S21*'Preços Unitários'!$D$84,0)</f>
        <v>13037</v>
      </c>
      <c r="S28" s="148">
        <f>ROUND('Cronograma Físico das Obras'!T21*'Preços Unitários'!$D$84,0)</f>
        <v>13017</v>
      </c>
      <c r="T28" s="148">
        <f>ROUND('Cronograma Físico das Obras'!U21*'Preços Unitários'!$D$84,0)</f>
        <v>12979</v>
      </c>
      <c r="U28" s="148">
        <f>ROUND('Cronograma Físico das Obras'!V21*'Preços Unitários'!$D$84,0)</f>
        <v>13008</v>
      </c>
      <c r="V28" s="148">
        <f>ROUND('Cronograma Físico das Obras'!W21*'Preços Unitários'!$D$84,0)</f>
        <v>13104</v>
      </c>
      <c r="W28" s="148">
        <f>ROUND('Cronograma Físico das Obras'!X21*'Preços Unitários'!$D$84,0)</f>
        <v>13254</v>
      </c>
      <c r="X28" s="148">
        <f>ROUND('Cronograma Físico das Obras'!Y21*'Preços Unitários'!$D$84,0)</f>
        <v>13403</v>
      </c>
      <c r="Y28" s="148">
        <f>ROUND('Cronograma Físico das Obras'!Z21*'Preços Unitários'!$D$84,0)</f>
        <v>13561</v>
      </c>
      <c r="Z28" s="148">
        <f>ROUND('Cronograma Físico das Obras'!AA21*'Preços Unitários'!$D$84,0)</f>
        <v>13739</v>
      </c>
      <c r="AA28" s="148">
        <f>ROUND('Cronograma Físico das Obras'!AB21*'Preços Unitários'!$D$84,0)</f>
        <v>13897</v>
      </c>
      <c r="AB28" s="148">
        <f>ROUND('Cronograma Físico das Obras'!AC21*'Preços Unitários'!$D$84,0)</f>
        <v>14063</v>
      </c>
      <c r="AC28" s="148">
        <f>ROUND('Cronograma Físico das Obras'!AD21*'Preços Unitários'!$D$84,0)</f>
        <v>14201</v>
      </c>
      <c r="AD28" s="148">
        <f>ROUND('Cronograma Físico das Obras'!AE21*'Preços Unitários'!$D$84,0)</f>
        <v>14350</v>
      </c>
      <c r="AE28" s="148">
        <f>ROUND('Cronograma Físico das Obras'!AF21*'Preços Unitários'!$D$84,0)</f>
        <v>14546</v>
      </c>
      <c r="AF28" s="148">
        <f>ROUND('Cronograma Físico das Obras'!AG21*'Preços Unitários'!$D$84,0)</f>
        <v>14683</v>
      </c>
      <c r="AG28" s="148">
        <f>ROUND('Cronograma Físico das Obras'!AH21*'Preços Unitários'!$D$84,0)</f>
        <v>14879</v>
      </c>
      <c r="AH28" s="148"/>
      <c r="AI28" s="148"/>
      <c r="AJ28" s="148"/>
      <c r="AK28" s="148"/>
      <c r="AL28" s="148"/>
    </row>
    <row r="29" spans="1:38" s="92" customFormat="1" ht="15.75" customHeight="1">
      <c r="A29" s="185" t="s">
        <v>331</v>
      </c>
      <c r="B29" s="184" t="str">
        <f>'Cronograma Físico das Obras'!B22</f>
        <v>Ampliação de Reservatórios de distribuição</v>
      </c>
      <c r="C29" s="189">
        <f t="shared" si="12"/>
        <v>8733600</v>
      </c>
      <c r="D29" s="148">
        <f>'Cronograma Físico das Obras'!E22*'Preços Unitários'!$D$38</f>
        <v>0</v>
      </c>
      <c r="E29" s="148">
        <f>'Cronograma Físico das Obras'!F22*'Preços Unitários'!$D$38</f>
        <v>0</v>
      </c>
      <c r="F29" s="148">
        <f>ROUND('Cronograma Físico das Obras'!G22*'Preços Unitários'!$D$39,0)</f>
        <v>6300000</v>
      </c>
      <c r="G29" s="148">
        <f>'Cronograma Físico das Obras'!H22*'Preços Unitários'!$D$38</f>
        <v>0</v>
      </c>
      <c r="H29" s="148">
        <f>'Cronograma Físico das Obras'!I22*'Preços Unitários'!$D$38</f>
        <v>0</v>
      </c>
      <c r="I29" s="148">
        <f>'Cronograma Físico das Obras'!J22*'Preços Unitários'!$D$38</f>
        <v>2433600</v>
      </c>
      <c r="J29" s="148">
        <f>'Cronograma Físico das Obras'!K22*'Preços Unitários'!$D$38</f>
        <v>0</v>
      </c>
      <c r="K29" s="148">
        <f>'Cronograma Físico das Obras'!L22*'Preços Unitários'!$D$38</f>
        <v>0</v>
      </c>
      <c r="L29" s="148">
        <f>'Cronograma Físico das Obras'!M22*'Preços Unitários'!$D$38</f>
        <v>0</v>
      </c>
      <c r="M29" s="148">
        <f>ROUND('Cronograma Físico das Obras'!N22*'Preços Unitários'!$D$38,0)</f>
        <v>0</v>
      </c>
      <c r="N29" s="148">
        <f>'Cronograma Físico das Obras'!O22*'Preços Unitários'!$D$38</f>
        <v>0</v>
      </c>
      <c r="O29" s="148">
        <f>'Cronograma Físico das Obras'!P22*'Preços Unitários'!$D$38</f>
        <v>0</v>
      </c>
      <c r="P29" s="148">
        <f>'Cronograma Físico das Obras'!Q22*'Preços Unitários'!$D$38</f>
        <v>0</v>
      </c>
      <c r="Q29" s="148">
        <f>'Cronograma Físico das Obras'!R22*'Preços Unitários'!$D$38</f>
        <v>0</v>
      </c>
      <c r="R29" s="148">
        <f>'Cronograma Físico das Obras'!S22*'Preços Unitários'!$D$38</f>
        <v>0</v>
      </c>
      <c r="S29" s="148">
        <f>'Cronograma Físico das Obras'!T22*'Preços Unitários'!$D$38</f>
        <v>0</v>
      </c>
      <c r="T29" s="148">
        <f>ROUND('Cronograma Físico das Obras'!U22*'Preços Unitários'!$D$38,0)</f>
        <v>0</v>
      </c>
      <c r="U29" s="148">
        <f>'Cronograma Físico das Obras'!V22*'Preços Unitários'!$D$38</f>
        <v>0</v>
      </c>
      <c r="V29" s="148">
        <f>'Cronograma Físico das Obras'!W22*'Preços Unitários'!$D$38</f>
        <v>0</v>
      </c>
      <c r="W29" s="148">
        <f>'Cronograma Físico das Obras'!X22*'Preços Unitários'!$D$38</f>
        <v>0</v>
      </c>
      <c r="X29" s="148">
        <f>'Cronograma Físico das Obras'!Y22*'Preços Unitários'!$D$38</f>
        <v>0</v>
      </c>
      <c r="Y29" s="148">
        <f>'Cronograma Físico das Obras'!Z22*'Preços Unitários'!$D$38</f>
        <v>0</v>
      </c>
      <c r="Z29" s="148">
        <f>'Cronograma Físico das Obras'!AA22*'Preços Unitários'!$D$38</f>
        <v>0</v>
      </c>
      <c r="AA29" s="148">
        <f>ROUND('Cronograma Físico das Obras'!AB22*'Preços Unitários'!$D$38,0)</f>
        <v>0</v>
      </c>
      <c r="AB29" s="148">
        <f>'Cronograma Físico das Obras'!AC22*'Preços Unitários'!$D$38</f>
        <v>0</v>
      </c>
      <c r="AC29" s="148">
        <f>'Cronograma Físico das Obras'!AD22*'Preços Unitários'!$D$38</f>
        <v>0</v>
      </c>
      <c r="AD29" s="148">
        <f>'Cronograma Físico das Obras'!AE22*'Preços Unitários'!$D$38</f>
        <v>0</v>
      </c>
      <c r="AE29" s="148">
        <f>'Cronograma Físico das Obras'!AF22*'Preços Unitários'!$D$38</f>
        <v>0</v>
      </c>
      <c r="AF29" s="148">
        <f>'Cronograma Físico das Obras'!AG22*'Preços Unitários'!$D$38</f>
        <v>0</v>
      </c>
      <c r="AG29" s="148">
        <f>'Cronograma Físico das Obras'!AH22*'Preços Unitários'!$D$38</f>
        <v>0</v>
      </c>
      <c r="AH29" s="148"/>
      <c r="AI29" s="148" t="e">
        <f>'Cronograma Físico das Obras'!#REF!*'Preços Unitários'!$D$38</f>
        <v>#REF!</v>
      </c>
      <c r="AJ29" s="148" t="e">
        <f>'Cronograma Físico das Obras'!#REF!*'Preços Unitários'!$D$38</f>
        <v>#REF!</v>
      </c>
      <c r="AK29" s="148" t="e">
        <f>'Cronograma Físico das Obras'!#REF!*'Preços Unitários'!$D$38</f>
        <v>#REF!</v>
      </c>
      <c r="AL29" s="148" t="e">
        <f>'Cronograma Físico das Obras'!#REF!*'Preços Unitários'!$D$38</f>
        <v>#REF!</v>
      </c>
    </row>
    <row r="30" spans="1:38" s="92" customFormat="1" ht="15.75" customHeight="1">
      <c r="A30" s="185" t="s">
        <v>332</v>
      </c>
      <c r="B30" s="184" t="str">
        <f>'Cronograma Físico das Obras'!B23</f>
        <v>Ampliação de Produção (L/s)</v>
      </c>
      <c r="C30" s="189">
        <f t="shared" si="12"/>
        <v>1300000</v>
      </c>
      <c r="D30" s="12">
        <f>'Cronograma Físico das Obras'!E23*'Preços Unitários'!$D$24</f>
        <v>0</v>
      </c>
      <c r="E30" s="12">
        <f>'Cronograma Físico das Obras'!F23*'Preços Unitários'!$D$24</f>
        <v>0</v>
      </c>
      <c r="F30" s="12">
        <f>'Cronograma Físico das Obras'!G23*'Preços Unitários'!$D$24</f>
        <v>0</v>
      </c>
      <c r="G30" s="12">
        <f>'Cronograma Físico das Obras'!H23*'Preços Unitários'!$D$24</f>
        <v>0</v>
      </c>
      <c r="H30" s="12">
        <f>'Cronograma Físico das Obras'!I23*'Preços Unitários'!$D$24</f>
        <v>0</v>
      </c>
      <c r="I30" s="12">
        <f>'Cronograma Físico das Obras'!J23*'Preços Unitários'!$D$24</f>
        <v>0</v>
      </c>
      <c r="J30" s="12">
        <f>'Cronograma Físico das Obras'!K23*'Preços Unitários'!$D$24</f>
        <v>0</v>
      </c>
      <c r="K30" s="12">
        <f>'Cronograma Físico das Obras'!L23*'Preços Unitários'!$D$24</f>
        <v>0</v>
      </c>
      <c r="L30" s="12">
        <f>'Cronograma Físico das Obras'!M23*'Preços Unitários'!$D$24</f>
        <v>0</v>
      </c>
      <c r="M30" s="12">
        <f>'Cronograma Físico das Obras'!N23*'Preços Unitários'!$D$24</f>
        <v>0</v>
      </c>
      <c r="N30" s="12">
        <f>'Cronograma Físico das Obras'!O23*'Preços Unitários'!$D$24</f>
        <v>0</v>
      </c>
      <c r="O30" s="12">
        <f>'Cronograma Físico das Obras'!P23*'Preços Unitários'!$D$24</f>
        <v>0</v>
      </c>
      <c r="P30" s="12">
        <f>'Cronograma Físico das Obras'!Q23*'Preços Unitários'!$D$24</f>
        <v>0</v>
      </c>
      <c r="Q30" s="12">
        <f>'Cronograma Físico das Obras'!R23*'Preços Unitários'!$D$24</f>
        <v>0</v>
      </c>
      <c r="R30" s="12">
        <f>'Cronograma Físico das Obras'!S23*'Preços Unitários'!$D$24</f>
        <v>0</v>
      </c>
      <c r="S30" s="12">
        <f>'Cronograma Físico das Obras'!T23*'Preços Unitários'!$D$24</f>
        <v>0</v>
      </c>
      <c r="T30" s="12">
        <f>'Cronograma Físico das Obras'!U23*'Preços Unitários'!$D$24</f>
        <v>0</v>
      </c>
      <c r="U30" s="12">
        <f>'Cronograma Físico das Obras'!V23*'Preços Unitários'!$D$24</f>
        <v>0</v>
      </c>
      <c r="V30" s="12">
        <f>'Cronograma Físico das Obras'!W23*'Preços Unitários'!$D$24</f>
        <v>0</v>
      </c>
      <c r="W30" s="12">
        <f>'Cronograma Físico das Obras'!X23*'Preços Unitários'!$D$24</f>
        <v>0</v>
      </c>
      <c r="X30" s="12">
        <f>'Cronograma Físico das Obras'!Y23*'Preços Unitários'!$D$24</f>
        <v>0</v>
      </c>
      <c r="Y30" s="12">
        <f>'Cronograma Físico das Obras'!Z23*'Preços Unitários'!$D$24</f>
        <v>0</v>
      </c>
      <c r="Z30" s="12">
        <f>'Cronograma Físico das Obras'!AA23*'Preços Unitários'!$D$24</f>
        <v>0</v>
      </c>
      <c r="AA30" s="12">
        <f>'Cronograma Físico das Obras'!AB23*'Preços Unitários'!$D$24</f>
        <v>0</v>
      </c>
      <c r="AB30" s="12">
        <f>'Cronograma Físico das Obras'!AC23*'Preços Unitários'!$D$24</f>
        <v>0</v>
      </c>
      <c r="AC30" s="12">
        <f>'Cronograma Físico das Obras'!AD23*'Preços Unitários'!$D$24</f>
        <v>0</v>
      </c>
      <c r="AD30" s="12">
        <f>'Cronograma Físico das Obras'!AE23*'Preços Unitários'!$D$25</f>
        <v>1300000</v>
      </c>
      <c r="AE30" s="12">
        <f>'Cronograma Físico das Obras'!AF23*'Preços Unitários'!$D$24</f>
        <v>0</v>
      </c>
      <c r="AF30" s="12">
        <f>'Cronograma Físico das Obras'!AG23*'Preços Unitários'!$D$24</f>
        <v>0</v>
      </c>
      <c r="AG30" s="12">
        <f>'Cronograma Físico das Obras'!AH23*'Preços Unitários'!$D$24</f>
        <v>0</v>
      </c>
      <c r="AH30" s="11"/>
      <c r="AI30" s="11" t="e">
        <f>'Cronograma Físico das Obras'!#REF!*Investimento!#REF!</f>
        <v>#REF!</v>
      </c>
      <c r="AJ30" s="11" t="e">
        <f>'Cronograma Físico das Obras'!#REF!*Investimento!#REF!</f>
        <v>#REF!</v>
      </c>
      <c r="AK30" s="11" t="e">
        <f>'Cronograma Físico das Obras'!#REF!*Investimento!#REF!</f>
        <v>#REF!</v>
      </c>
      <c r="AL30" s="11" t="e">
        <f>'Cronograma Físico das Obras'!#REF!*Investimento!#REF!</f>
        <v>#REF!</v>
      </c>
    </row>
    <row r="31" spans="1:38" s="92" customFormat="1" ht="15.45" customHeight="1">
      <c r="A31" s="185" t="s">
        <v>333</v>
      </c>
      <c r="B31" s="184" t="str">
        <f>'Cronograma Físico das Obras'!B24</f>
        <v>Automação e Telemetria</v>
      </c>
      <c r="C31" s="189">
        <f t="shared" si="12"/>
        <v>6361200</v>
      </c>
      <c r="D31" s="139">
        <f>ROUND('Cronograma Físico das Obras'!E24*'Preços Unitários'!$B$138,0)</f>
        <v>183600</v>
      </c>
      <c r="E31" s="139">
        <f>ROUND('Cronograma Físico das Obras'!F24*'Preços Unitários'!$B$138,0)</f>
        <v>183600</v>
      </c>
      <c r="F31" s="139">
        <f>ROUND('Cronograma Físico das Obras'!G24*'Preços Unitários'!$B$138,0)</f>
        <v>190800</v>
      </c>
      <c r="G31" s="139">
        <f>ROUND('Cronograma Físico das Obras'!H24*'Preços Unitários'!$B$138,0)</f>
        <v>198000</v>
      </c>
      <c r="H31" s="139">
        <f>ROUND('Cronograma Físico das Obras'!I24*'Preços Unitários'!$B$138,0)</f>
        <v>205200</v>
      </c>
      <c r="I31" s="139">
        <f>ROUND('Cronograma Físico das Obras'!J24*'Preços Unitários'!$B$138,0)</f>
        <v>216000</v>
      </c>
      <c r="J31" s="139">
        <f>ROUND('Cronograma Físico das Obras'!K24*'Preços Unitários'!$B$138,0)</f>
        <v>216000</v>
      </c>
      <c r="K31" s="139">
        <f>ROUND('Cronograma Físico das Obras'!L24*'Preços Unitários'!$B$138,0)</f>
        <v>216000</v>
      </c>
      <c r="L31" s="139">
        <f>ROUND('Cronograma Físico das Obras'!M24*'Preços Unitários'!$B$138,0)</f>
        <v>216000</v>
      </c>
      <c r="M31" s="139">
        <f>ROUND('Cronograma Físico das Obras'!N24*'Preços Unitários'!$B$138,0)</f>
        <v>216000</v>
      </c>
      <c r="N31" s="139">
        <f>ROUND('Cronograma Físico das Obras'!O24*'Preços Unitários'!$B$138,0)</f>
        <v>216000</v>
      </c>
      <c r="O31" s="139">
        <f>ROUND('Cronograma Físico das Obras'!P24*'Preços Unitários'!$B$138,0)</f>
        <v>216000</v>
      </c>
      <c r="P31" s="139">
        <f>ROUND('Cronograma Físico das Obras'!Q24*'Preços Unitários'!$B$138,0)</f>
        <v>216000</v>
      </c>
      <c r="Q31" s="139">
        <f>ROUND('Cronograma Físico das Obras'!R24*'Preços Unitários'!$B$138,0)</f>
        <v>216000</v>
      </c>
      <c r="R31" s="139">
        <f>ROUND('Cronograma Físico das Obras'!S24*'Preços Unitários'!$B$138,0)</f>
        <v>216000</v>
      </c>
      <c r="S31" s="139">
        <f>ROUND('Cronograma Físico das Obras'!T24*'Preços Unitários'!$B$138,0)</f>
        <v>216000</v>
      </c>
      <c r="T31" s="139">
        <f>ROUND('Cronograma Físico das Obras'!U24*'Preços Unitários'!$B$138,0)</f>
        <v>216000</v>
      </c>
      <c r="U31" s="139">
        <f>ROUND('Cronograma Físico das Obras'!V24*'Preços Unitários'!$B$138,0)</f>
        <v>216000</v>
      </c>
      <c r="V31" s="139">
        <f>ROUND('Cronograma Físico das Obras'!W24*'Preços Unitários'!$B$138,0)</f>
        <v>216000</v>
      </c>
      <c r="W31" s="139">
        <f>ROUND('Cronograma Físico das Obras'!X24*'Preços Unitários'!$B$138,0)</f>
        <v>216000</v>
      </c>
      <c r="X31" s="139">
        <f>ROUND('Cronograma Físico das Obras'!Y24*'Preços Unitários'!$B$138,0)</f>
        <v>216000</v>
      </c>
      <c r="Y31" s="139">
        <f>ROUND('Cronograma Físico das Obras'!Z24*'Preços Unitários'!$B$138,0)</f>
        <v>216000</v>
      </c>
      <c r="Z31" s="139">
        <f>ROUND('Cronograma Físico das Obras'!AA24*'Preços Unitários'!$B$138,0)</f>
        <v>216000</v>
      </c>
      <c r="AA31" s="139">
        <f>ROUND('Cronograma Físico das Obras'!AB24*'Preços Unitários'!$B$138,0)</f>
        <v>216000</v>
      </c>
      <c r="AB31" s="139">
        <f>ROUND('Cronograma Físico das Obras'!AC24*'Preços Unitários'!$B$138,0)</f>
        <v>216000</v>
      </c>
      <c r="AC31" s="139">
        <f>ROUND('Cronograma Físico das Obras'!AD24*'Preços Unitários'!$B$138,0)</f>
        <v>216000</v>
      </c>
      <c r="AD31" s="139">
        <f>ROUND('Cronograma Físico das Obras'!AE24*'Preços Unitários'!$B$138,0)</f>
        <v>216000</v>
      </c>
      <c r="AE31" s="139">
        <f>ROUND('Cronograma Físico das Obras'!AF24*'Preços Unitários'!$B$138,0)</f>
        <v>216000</v>
      </c>
      <c r="AF31" s="139">
        <f>ROUND('Cronograma Físico das Obras'!AG24*'Preços Unitários'!$B$138,0)</f>
        <v>216000</v>
      </c>
      <c r="AG31" s="139">
        <f>ROUND('Cronograma Físico das Obras'!AH24*'Preços Unitários'!$B$138,0)</f>
        <v>216000</v>
      </c>
      <c r="AH31" s="139" t="e">
        <f>'Cronograma Físico das Obras'!#REF!*'Preços Unitários'!$B$138</f>
        <v>#REF!</v>
      </c>
      <c r="AI31" s="139" t="e">
        <f>'Cronograma Físico das Obras'!#REF!*'Preços Unitários'!$B$138</f>
        <v>#REF!</v>
      </c>
      <c r="AJ31" s="139" t="e">
        <f>'Cronograma Físico das Obras'!#REF!*'Preços Unitários'!$B$138</f>
        <v>#REF!</v>
      </c>
      <c r="AK31" s="139" t="e">
        <f>'Cronograma Físico das Obras'!#REF!*'Preços Unitários'!$B$138</f>
        <v>#REF!</v>
      </c>
      <c r="AL31" s="139" t="e">
        <f>'Cronograma Físico das Obras'!#REF!*'Preços Unitários'!$B$138</f>
        <v>#REF!</v>
      </c>
    </row>
    <row r="32" spans="1:38" s="92" customFormat="1" ht="15.75" customHeight="1">
      <c r="A32" s="185" t="s">
        <v>345</v>
      </c>
      <c r="B32" s="184" t="str">
        <f>'Cronograma Físico das Obras'!B25</f>
        <v>Setorização (18 setores) Ano 2 e Ano 4</v>
      </c>
      <c r="C32" s="189">
        <f t="shared" si="12"/>
        <v>4354002</v>
      </c>
      <c r="D32" s="12">
        <f>'Cronograma Físico das Obras'!E25*'Preços Unitários'!$B$139</f>
        <v>0</v>
      </c>
      <c r="E32" s="12">
        <f>ROUND('Cronograma Físico das Obras'!F25*'Preços Unitários'!$B$139,0)</f>
        <v>1451334</v>
      </c>
      <c r="F32" s="12">
        <f>ROUND('Cronograma Físico das Obras'!G25*'Preços Unitários'!$B$139,0)</f>
        <v>1451334</v>
      </c>
      <c r="G32" s="12">
        <f>ROUND('Cronograma Físico das Obras'!H25*'Preços Unitários'!$B$139,0)</f>
        <v>1451334</v>
      </c>
      <c r="H32" s="12">
        <f>'Cronograma Físico das Obras'!I25*'Preços Unitários'!$B$139</f>
        <v>0</v>
      </c>
      <c r="I32" s="12">
        <f>'Cronograma Físico das Obras'!J25*'Preços Unitários'!$B$139</f>
        <v>0</v>
      </c>
      <c r="J32" s="12">
        <f>'Cronograma Físico das Obras'!K25*'Preços Unitários'!$B$139</f>
        <v>0</v>
      </c>
      <c r="K32" s="12">
        <f>'Cronograma Físico das Obras'!L25*'Preços Unitários'!$B$139</f>
        <v>0</v>
      </c>
      <c r="L32" s="12">
        <f>'Cronograma Físico das Obras'!M25*'Preços Unitários'!$B$139</f>
        <v>0</v>
      </c>
      <c r="M32" s="12">
        <f>'Cronograma Físico das Obras'!N25*'Preços Unitários'!$B$139</f>
        <v>0</v>
      </c>
      <c r="N32" s="12">
        <f>'Cronograma Físico das Obras'!O25*'Preços Unitários'!$B$139</f>
        <v>0</v>
      </c>
      <c r="O32" s="12">
        <f>'Cronograma Físico das Obras'!P25*'Preços Unitários'!$B$139</f>
        <v>0</v>
      </c>
      <c r="P32" s="12">
        <f>'Cronograma Físico das Obras'!Q25*'Preços Unitários'!$B$139</f>
        <v>0</v>
      </c>
      <c r="Q32" s="12">
        <f>'Cronograma Físico das Obras'!R25*'Preços Unitários'!$B$139</f>
        <v>0</v>
      </c>
      <c r="R32" s="12">
        <f>'Cronograma Físico das Obras'!S25*'Preços Unitários'!$B$139</f>
        <v>0</v>
      </c>
      <c r="S32" s="12">
        <f>'Cronograma Físico das Obras'!T25*'Preços Unitários'!$B$139</f>
        <v>0</v>
      </c>
      <c r="T32" s="12">
        <f>'Cronograma Físico das Obras'!U25*'Preços Unitários'!$B$139</f>
        <v>0</v>
      </c>
      <c r="U32" s="12">
        <f>'Cronograma Físico das Obras'!V25*'Preços Unitários'!$B$139</f>
        <v>0</v>
      </c>
      <c r="V32" s="12">
        <f>'Cronograma Físico das Obras'!W25*'Preços Unitários'!$B$139</f>
        <v>0</v>
      </c>
      <c r="W32" s="12">
        <f>'Cronograma Físico das Obras'!X25*'Preços Unitários'!$B$139</f>
        <v>0</v>
      </c>
      <c r="X32" s="12">
        <f>'Cronograma Físico das Obras'!Y25*'Preços Unitários'!$B$139</f>
        <v>0</v>
      </c>
      <c r="Y32" s="12">
        <f>'Cronograma Físico das Obras'!Z25*'Preços Unitários'!$B$139</f>
        <v>0</v>
      </c>
      <c r="Z32" s="12">
        <f>'Cronograma Físico das Obras'!AA25*'Preços Unitários'!$B$139</f>
        <v>0</v>
      </c>
      <c r="AA32" s="12">
        <f>'Cronograma Físico das Obras'!AB25*'Preços Unitários'!$B$139</f>
        <v>0</v>
      </c>
      <c r="AB32" s="12">
        <f>'Cronograma Físico das Obras'!AC25*'Preços Unitários'!$B$139</f>
        <v>0</v>
      </c>
      <c r="AC32" s="12">
        <f>'Cronograma Físico das Obras'!AD25*'Preços Unitários'!$B$139</f>
        <v>0</v>
      </c>
      <c r="AD32" s="12">
        <f>'Cronograma Físico das Obras'!AE25*'Preços Unitários'!$B$139</f>
        <v>0</v>
      </c>
      <c r="AE32" s="12">
        <f>'Cronograma Físico das Obras'!AF25*'Preços Unitários'!$B$139</f>
        <v>0</v>
      </c>
      <c r="AF32" s="12">
        <f>'Cronograma Físico das Obras'!AG25*'Preços Unitários'!$B$139</f>
        <v>0</v>
      </c>
      <c r="AG32" s="12">
        <f>'Cronograma Físico das Obras'!AH25*'Preços Unitários'!$B$139</f>
        <v>0</v>
      </c>
      <c r="AH32" s="12" t="e">
        <f>'Cronograma Físico das Obras'!#REF!*'Preços Unitários'!#REF!</f>
        <v>#REF!</v>
      </c>
      <c r="AI32" s="12" t="e">
        <f>'Cronograma Físico das Obras'!#REF!*'Preços Unitários'!#REF!</f>
        <v>#REF!</v>
      </c>
      <c r="AJ32" s="12" t="e">
        <f>'Cronograma Físico das Obras'!#REF!*'Preços Unitários'!#REF!</f>
        <v>#REF!</v>
      </c>
      <c r="AK32" s="12" t="e">
        <f>'Cronograma Físico das Obras'!#REF!*'Preços Unitários'!#REF!</f>
        <v>#REF!</v>
      </c>
      <c r="AL32" s="12" t="e">
        <f>'Cronograma Físico das Obras'!#REF!*'Preços Unitários'!#REF!</f>
        <v>#REF!</v>
      </c>
    </row>
    <row r="33" spans="1:38" s="88" customFormat="1" ht="15.75" customHeight="1">
      <c r="A33" s="1043">
        <v>2</v>
      </c>
      <c r="B33" s="1020" t="s">
        <v>314</v>
      </c>
      <c r="C33" s="202" t="s">
        <v>4</v>
      </c>
      <c r="D33" s="194" t="s">
        <v>39</v>
      </c>
      <c r="E33" s="194" t="s">
        <v>40</v>
      </c>
      <c r="F33" s="194" t="s">
        <v>41</v>
      </c>
      <c r="G33" s="194" t="s">
        <v>42</v>
      </c>
      <c r="H33" s="194" t="s">
        <v>43</v>
      </c>
      <c r="I33" s="194" t="s">
        <v>44</v>
      </c>
      <c r="J33" s="194" t="s">
        <v>45</v>
      </c>
      <c r="K33" s="194" t="s">
        <v>46</v>
      </c>
      <c r="L33" s="194" t="s">
        <v>47</v>
      </c>
      <c r="M33" s="194" t="s">
        <v>9</v>
      </c>
      <c r="N33" s="194" t="s">
        <v>10</v>
      </c>
      <c r="O33" s="194" t="s">
        <v>11</v>
      </c>
      <c r="P33" s="194" t="s">
        <v>12</v>
      </c>
      <c r="Q33" s="194" t="s">
        <v>13</v>
      </c>
      <c r="R33" s="194" t="s">
        <v>14</v>
      </c>
      <c r="S33" s="194" t="s">
        <v>15</v>
      </c>
      <c r="T33" s="194" t="s">
        <v>16</v>
      </c>
      <c r="U33" s="194" t="s">
        <v>17</v>
      </c>
      <c r="V33" s="194" t="s">
        <v>18</v>
      </c>
      <c r="W33" s="194" t="s">
        <v>19</v>
      </c>
      <c r="X33" s="194" t="s">
        <v>20</v>
      </c>
      <c r="Y33" s="194" t="s">
        <v>21</v>
      </c>
      <c r="Z33" s="194" t="s">
        <v>22</v>
      </c>
      <c r="AA33" s="194" t="s">
        <v>23</v>
      </c>
      <c r="AB33" s="194" t="s">
        <v>24</v>
      </c>
      <c r="AC33" s="194" t="s">
        <v>25</v>
      </c>
      <c r="AD33" s="194" t="s">
        <v>26</v>
      </c>
      <c r="AE33" s="194" t="s">
        <v>27</v>
      </c>
      <c r="AF33" s="194" t="s">
        <v>28</v>
      </c>
      <c r="AG33" s="194" t="s">
        <v>29</v>
      </c>
      <c r="AH33" s="194"/>
      <c r="AI33" s="194"/>
      <c r="AJ33" s="194"/>
      <c r="AK33" s="194"/>
      <c r="AL33" s="194"/>
    </row>
    <row r="34" spans="1:38" s="88" customFormat="1" ht="15.75" customHeight="1">
      <c r="A34" s="1044"/>
      <c r="B34" s="1021"/>
      <c r="C34" s="189">
        <f>SUM(D34:AG34)</f>
        <v>483397508.2700001</v>
      </c>
      <c r="D34" s="189">
        <f>D35+D42</f>
        <v>82800</v>
      </c>
      <c r="E34" s="189">
        <f>E35+E42</f>
        <v>82800</v>
      </c>
      <c r="F34" s="189">
        <f t="shared" ref="F34:AG34" si="13">F35+F42</f>
        <v>75376824.75</v>
      </c>
      <c r="G34" s="189">
        <f t="shared" si="13"/>
        <v>55825183.774999999</v>
      </c>
      <c r="H34" s="189">
        <f t="shared" si="13"/>
        <v>56102952.725000001</v>
      </c>
      <c r="I34" s="189">
        <f>I35+I42</f>
        <v>87858653.775000006</v>
      </c>
      <c r="J34" s="189">
        <f t="shared" si="13"/>
        <v>52728161.590000004</v>
      </c>
      <c r="K34" s="189">
        <f>K35+K42</f>
        <v>53920414.710000001</v>
      </c>
      <c r="L34" s="189">
        <f t="shared" si="13"/>
        <v>76093661.920000002</v>
      </c>
      <c r="M34" s="189">
        <f t="shared" si="13"/>
        <v>1164545.7849999999</v>
      </c>
      <c r="N34" s="189">
        <f t="shared" si="13"/>
        <v>1160265.56</v>
      </c>
      <c r="O34" s="189">
        <f t="shared" si="13"/>
        <v>1165815.73</v>
      </c>
      <c r="P34" s="189">
        <f t="shared" si="13"/>
        <v>1159649.7350000001</v>
      </c>
      <c r="Q34" s="189">
        <f t="shared" si="13"/>
        <v>1165161.6100000001</v>
      </c>
      <c r="R34" s="189">
        <f t="shared" si="13"/>
        <v>1160919.68</v>
      </c>
      <c r="S34" s="189">
        <f t="shared" si="13"/>
        <v>1163745.73</v>
      </c>
      <c r="T34" s="189">
        <f t="shared" si="13"/>
        <v>1160919.68</v>
      </c>
      <c r="U34" s="189">
        <f t="shared" si="13"/>
        <v>1170264.1599999999</v>
      </c>
      <c r="V34" s="189">
        <f t="shared" si="13"/>
        <v>1177281.46</v>
      </c>
      <c r="W34" s="189">
        <f t="shared" si="13"/>
        <v>1193741.5649999999</v>
      </c>
      <c r="X34" s="189">
        <f t="shared" si="13"/>
        <v>1201678.98</v>
      </c>
      <c r="Y34" s="189">
        <f t="shared" si="13"/>
        <v>1211318.97</v>
      </c>
      <c r="Z34" s="189">
        <f t="shared" si="13"/>
        <v>1217597.28</v>
      </c>
      <c r="AA34" s="189">
        <f t="shared" si="13"/>
        <v>1228808.3999999999</v>
      </c>
      <c r="AB34" s="189">
        <f t="shared" si="13"/>
        <v>1249898.56</v>
      </c>
      <c r="AC34" s="189">
        <f t="shared" si="13"/>
        <v>1250626.7</v>
      </c>
      <c r="AD34" s="189">
        <f t="shared" si="13"/>
        <v>1259770.925</v>
      </c>
      <c r="AE34" s="189">
        <f t="shared" si="13"/>
        <v>1281922.9950000001</v>
      </c>
      <c r="AF34" s="189">
        <f t="shared" si="13"/>
        <v>1283510.1850000001</v>
      </c>
      <c r="AG34" s="189">
        <f t="shared" si="13"/>
        <v>1298611.335</v>
      </c>
      <c r="AH34" s="189"/>
      <c r="AI34" s="189"/>
      <c r="AJ34" s="189" t="e">
        <f t="shared" ref="AJ34:AL34" si="14">AJ35+AJ42</f>
        <v>#REF!</v>
      </c>
      <c r="AK34" s="189" t="e">
        <f t="shared" si="14"/>
        <v>#REF!</v>
      </c>
      <c r="AL34" s="189" t="e">
        <f t="shared" si="14"/>
        <v>#REF!</v>
      </c>
    </row>
    <row r="35" spans="1:38" s="88" customFormat="1" ht="15.75" customHeight="1">
      <c r="A35" s="195" t="s">
        <v>319</v>
      </c>
      <c r="B35" s="190" t="s">
        <v>334</v>
      </c>
      <c r="C35" s="189">
        <f>SUM(D35:AG35)</f>
        <v>14909486.270000003</v>
      </c>
      <c r="D35" s="189">
        <f>SUM(D36:D41)</f>
        <v>2800.0000000000005</v>
      </c>
      <c r="E35" s="189">
        <f t="shared" ref="E35:AG35" si="15">SUM(E36:E41)</f>
        <v>2800.0000000000005</v>
      </c>
      <c r="F35" s="189">
        <f t="shared" si="15"/>
        <v>2548974.7500000005</v>
      </c>
      <c r="G35" s="189">
        <f t="shared" si="15"/>
        <v>1621618.7750000001</v>
      </c>
      <c r="H35" s="189">
        <f t="shared" si="15"/>
        <v>1628617.7250000001</v>
      </c>
      <c r="I35" s="189">
        <f t="shared" si="15"/>
        <v>2699688.7750000004</v>
      </c>
      <c r="J35" s="189">
        <f t="shared" si="15"/>
        <v>1558587.59</v>
      </c>
      <c r="K35" s="189">
        <f t="shared" si="15"/>
        <v>1597508.7100000002</v>
      </c>
      <c r="L35" s="189">
        <f t="shared" si="15"/>
        <v>2517749.9200000004</v>
      </c>
      <c r="M35" s="189">
        <f t="shared" si="15"/>
        <v>33594.785000000003</v>
      </c>
      <c r="N35" s="189">
        <f t="shared" si="15"/>
        <v>33649.560000000005</v>
      </c>
      <c r="O35" s="189">
        <f t="shared" si="15"/>
        <v>33637.730000000003</v>
      </c>
      <c r="P35" s="189">
        <f t="shared" si="15"/>
        <v>33628.735000000001</v>
      </c>
      <c r="Q35" s="189">
        <f t="shared" si="15"/>
        <v>33615.61</v>
      </c>
      <c r="R35" s="189">
        <f t="shared" si="15"/>
        <v>33671.68</v>
      </c>
      <c r="S35" s="189">
        <f t="shared" si="15"/>
        <v>33567.730000000003</v>
      </c>
      <c r="T35" s="189">
        <f t="shared" si="15"/>
        <v>33671.68</v>
      </c>
      <c r="U35" s="189">
        <f t="shared" si="15"/>
        <v>33788.160000000003</v>
      </c>
      <c r="V35" s="189">
        <f t="shared" si="15"/>
        <v>34025.460000000006</v>
      </c>
      <c r="W35" s="189">
        <f t="shared" si="15"/>
        <v>34382.565000000002</v>
      </c>
      <c r="X35" s="189">
        <f t="shared" si="15"/>
        <v>34650.980000000003</v>
      </c>
      <c r="Y35" s="189">
        <f t="shared" si="15"/>
        <v>34976.97</v>
      </c>
      <c r="Z35" s="189">
        <f t="shared" si="15"/>
        <v>35189.280000000006</v>
      </c>
      <c r="AA35" s="189">
        <f t="shared" si="15"/>
        <v>35568.400000000001</v>
      </c>
      <c r="AB35" s="189">
        <f t="shared" si="15"/>
        <v>35882.560000000005</v>
      </c>
      <c r="AC35" s="189">
        <f t="shared" si="15"/>
        <v>36106.700000000004</v>
      </c>
      <c r="AD35" s="189">
        <f t="shared" si="15"/>
        <v>36415.925000000003</v>
      </c>
      <c r="AE35" s="189">
        <f t="shared" si="15"/>
        <v>36765.995000000003</v>
      </c>
      <c r="AF35" s="189">
        <f t="shared" si="15"/>
        <v>37019.185000000005</v>
      </c>
      <c r="AG35" s="189">
        <f t="shared" si="15"/>
        <v>37330.335000000006</v>
      </c>
      <c r="AH35" s="189" t="e">
        <f t="shared" ref="AH35:AL35" si="16">SUM(AH36:AH40)</f>
        <v>#REF!</v>
      </c>
      <c r="AI35" s="189" t="e">
        <f t="shared" si="16"/>
        <v>#REF!</v>
      </c>
      <c r="AJ35" s="189" t="e">
        <f t="shared" si="16"/>
        <v>#REF!</v>
      </c>
      <c r="AK35" s="189" t="e">
        <f t="shared" si="16"/>
        <v>#REF!</v>
      </c>
      <c r="AL35" s="189" t="e">
        <f t="shared" si="16"/>
        <v>#REF!</v>
      </c>
    </row>
    <row r="36" spans="1:38" ht="15.75" customHeight="1">
      <c r="A36" s="185" t="s">
        <v>338</v>
      </c>
      <c r="B36" s="184" t="str">
        <f>'Cronograma Físico das Obras'!B29</f>
        <v>Substituição de Ligações de esgoto (5% anos 1 e 2 e 2% anos 3 em diante)</v>
      </c>
      <c r="C36" s="189">
        <f>SUM(D36:AG36)</f>
        <v>0</v>
      </c>
      <c r="D36" s="139">
        <f>'Cronograma Físico das Obras'!E29*'Preços Unitários'!$D$117</f>
        <v>0</v>
      </c>
      <c r="E36" s="139">
        <f>'Cronograma Físico das Obras'!F29*'Preços Unitários'!$D$117</f>
        <v>0</v>
      </c>
      <c r="F36" s="139">
        <f>'Cronograma Físico das Obras'!G29*'Preços Unitários'!$D$117</f>
        <v>0</v>
      </c>
      <c r="G36" s="139">
        <f>'Cronograma Físico das Obras'!H29*'Preços Unitários'!$D$117</f>
        <v>0</v>
      </c>
      <c r="H36" s="139">
        <f>'Cronograma Físico das Obras'!I29*'Preços Unitários'!$D$117</f>
        <v>0</v>
      </c>
      <c r="I36" s="139">
        <f>'Cronograma Físico das Obras'!J29*'Preços Unitários'!$D$117</f>
        <v>0</v>
      </c>
      <c r="J36" s="139">
        <f>'Cronograma Físico das Obras'!K29*'Preços Unitários'!$D$117</f>
        <v>0</v>
      </c>
      <c r="K36" s="139">
        <f>'Cronograma Físico das Obras'!L29*'Preços Unitários'!$D$117</f>
        <v>0</v>
      </c>
      <c r="L36" s="139">
        <f>'Cronograma Físico das Obras'!M29*'Preços Unitários'!$D$117</f>
        <v>0</v>
      </c>
      <c r="M36" s="139">
        <f>'Cronograma Físico das Obras'!N29*'Preços Unitários'!$D$117</f>
        <v>0</v>
      </c>
      <c r="N36" s="139">
        <f>'Cronograma Físico das Obras'!O29*'Preços Unitários'!$D$117</f>
        <v>0</v>
      </c>
      <c r="O36" s="139">
        <f>'Cronograma Físico das Obras'!P29*'Preços Unitários'!$D$117</f>
        <v>0</v>
      </c>
      <c r="P36" s="139">
        <f>'Cronograma Físico das Obras'!Q29*'Preços Unitários'!$D$117</f>
        <v>0</v>
      </c>
      <c r="Q36" s="139">
        <f>'Cronograma Físico das Obras'!R29*'Preços Unitários'!$D$117</f>
        <v>0</v>
      </c>
      <c r="R36" s="139">
        <f>'Cronograma Físico das Obras'!S29*'Preços Unitários'!$D$117</f>
        <v>0</v>
      </c>
      <c r="S36" s="139">
        <f>'Cronograma Físico das Obras'!T29*'Preços Unitários'!$D$117</f>
        <v>0</v>
      </c>
      <c r="T36" s="139">
        <f>'Cronograma Físico das Obras'!U29*'Preços Unitários'!$D$117</f>
        <v>0</v>
      </c>
      <c r="U36" s="139">
        <f>'Cronograma Físico das Obras'!V29*'Preços Unitários'!$D$117</f>
        <v>0</v>
      </c>
      <c r="V36" s="139">
        <f>'Cronograma Físico das Obras'!W29*'Preços Unitários'!$D$117</f>
        <v>0</v>
      </c>
      <c r="W36" s="139">
        <f>'Cronograma Físico das Obras'!X29*'Preços Unitários'!$D$117</f>
        <v>0</v>
      </c>
      <c r="X36" s="139">
        <f>'Cronograma Físico das Obras'!Y29*'Preços Unitários'!$D$117</f>
        <v>0</v>
      </c>
      <c r="Y36" s="139">
        <f>'Cronograma Físico das Obras'!Z29*'Preços Unitários'!$D$117</f>
        <v>0</v>
      </c>
      <c r="Z36" s="139">
        <f>'Cronograma Físico das Obras'!AA29*'Preços Unitários'!$D$117</f>
        <v>0</v>
      </c>
      <c r="AA36" s="139">
        <f>'Cronograma Físico das Obras'!AB29*'Preços Unitários'!$D$117</f>
        <v>0</v>
      </c>
      <c r="AB36" s="139">
        <f>'Cronograma Físico das Obras'!AC29*'Preços Unitários'!$D$117</f>
        <v>0</v>
      </c>
      <c r="AC36" s="139">
        <f>'Cronograma Físico das Obras'!AD29*'Preços Unitários'!$D$117</f>
        <v>0</v>
      </c>
      <c r="AD36" s="139">
        <f>'Cronograma Físico das Obras'!AE29*'Preços Unitários'!$D$117</f>
        <v>0</v>
      </c>
      <c r="AE36" s="139">
        <f>'Cronograma Físico das Obras'!AF29*'Preços Unitários'!$D$117</f>
        <v>0</v>
      </c>
      <c r="AF36" s="139">
        <f>'Cronograma Físico das Obras'!AG29*'Preços Unitários'!$D$117</f>
        <v>0</v>
      </c>
      <c r="AG36" s="139">
        <f>'Cronograma Físico das Obras'!AH29*'Preços Unitários'!$D$117</f>
        <v>0</v>
      </c>
      <c r="AH36" s="139" t="e">
        <f>'Cronograma Físico das Obras'!#REF!*'Preços Unitários'!$D$117</f>
        <v>#REF!</v>
      </c>
      <c r="AI36" s="139" t="e">
        <f>'Cronograma Físico das Obras'!#REF!*'Preços Unitários'!$D$117</f>
        <v>#REF!</v>
      </c>
      <c r="AJ36" s="139" t="e">
        <f>'Cronograma Físico das Obras'!#REF!*'Preços Unitários'!$D$117</f>
        <v>#REF!</v>
      </c>
      <c r="AK36" s="139" t="e">
        <f>'Cronograma Físico das Obras'!#REF!*'Preços Unitários'!$D$117</f>
        <v>#REF!</v>
      </c>
      <c r="AL36" s="139" t="e">
        <f>'Cronograma Físico das Obras'!#REF!*'Preços Unitários'!$D$117</f>
        <v>#REF!</v>
      </c>
    </row>
    <row r="37" spans="1:38" ht="15.75" customHeight="1">
      <c r="A37" s="185" t="s">
        <v>339</v>
      </c>
      <c r="B37" s="184" t="str">
        <f>'Cronograma Físico das Obras'!B30</f>
        <v>Substituição de Redes de esgoto (2% do ano 1 a 5 e 0,5% ao ano após ano 5)</v>
      </c>
      <c r="C37" s="189">
        <f t="shared" ref="C37:C40" si="17">SUM(D37:AG37)</f>
        <v>0</v>
      </c>
      <c r="D37" s="139">
        <f>'Cronograma Físico das Obras'!E30*'Preços Unitários'!$D$117</f>
        <v>0</v>
      </c>
      <c r="E37" s="139">
        <f>'Cronograma Físico das Obras'!F30*'Preços Unitários'!$D$117</f>
        <v>0</v>
      </c>
      <c r="F37" s="139">
        <f>'Cronograma Físico das Obras'!G30*'Preços Unitários'!$D$117</f>
        <v>0</v>
      </c>
      <c r="G37" s="139">
        <f>'Cronograma Físico das Obras'!H30*'Preços Unitários'!$D$117</f>
        <v>0</v>
      </c>
      <c r="H37" s="139">
        <f>'Cronograma Físico das Obras'!I30*'Preços Unitários'!$D$117</f>
        <v>0</v>
      </c>
      <c r="I37" s="139">
        <f>'Cronograma Físico das Obras'!J30*'Preços Unitários'!$D$117</f>
        <v>0</v>
      </c>
      <c r="J37" s="139">
        <f>'Cronograma Físico das Obras'!K30*'Preços Unitários'!$D$117</f>
        <v>0</v>
      </c>
      <c r="K37" s="139">
        <f>'Cronograma Físico das Obras'!L30*'Preços Unitários'!$D$117</f>
        <v>0</v>
      </c>
      <c r="L37" s="139">
        <f>'Cronograma Físico das Obras'!M30*'Preços Unitários'!$D$117</f>
        <v>0</v>
      </c>
      <c r="M37" s="139">
        <f>'Cronograma Físico das Obras'!N30*'Preços Unitários'!$D$117</f>
        <v>0</v>
      </c>
      <c r="N37" s="139">
        <f>'Cronograma Físico das Obras'!O30*'Preços Unitários'!$D$117</f>
        <v>0</v>
      </c>
      <c r="O37" s="139">
        <f>'Cronograma Físico das Obras'!P30*'Preços Unitários'!$D$117</f>
        <v>0</v>
      </c>
      <c r="P37" s="139">
        <f>'Cronograma Físico das Obras'!Q30*'Preços Unitários'!$D$117</f>
        <v>0</v>
      </c>
      <c r="Q37" s="139">
        <f>'Cronograma Físico das Obras'!R30*'Preços Unitários'!$D$117</f>
        <v>0</v>
      </c>
      <c r="R37" s="139">
        <f>'Cronograma Físico das Obras'!S30*'Preços Unitários'!$D$117</f>
        <v>0</v>
      </c>
      <c r="S37" s="139">
        <f>'Cronograma Físico das Obras'!T30*'Preços Unitários'!$D$117</f>
        <v>0</v>
      </c>
      <c r="T37" s="139">
        <f>'Cronograma Físico das Obras'!U30*'Preços Unitários'!$D$117</f>
        <v>0</v>
      </c>
      <c r="U37" s="139">
        <f>'Cronograma Físico das Obras'!V30*'Preços Unitários'!$D$117</f>
        <v>0</v>
      </c>
      <c r="V37" s="139">
        <f>'Cronograma Físico das Obras'!W30*'Preços Unitários'!$D$117</f>
        <v>0</v>
      </c>
      <c r="W37" s="139">
        <f>'Cronograma Físico das Obras'!X30*'Preços Unitários'!$D$117</f>
        <v>0</v>
      </c>
      <c r="X37" s="139">
        <f>'Cronograma Físico das Obras'!Y30*'Preços Unitários'!$D$117</f>
        <v>0</v>
      </c>
      <c r="Y37" s="139">
        <f>'Cronograma Físico das Obras'!Z30*'Preços Unitários'!$D$117</f>
        <v>0</v>
      </c>
      <c r="Z37" s="139">
        <f>'Cronograma Físico das Obras'!AA30*'Preços Unitários'!$D$117</f>
        <v>0</v>
      </c>
      <c r="AA37" s="139">
        <f>'Cronograma Físico das Obras'!AB30*'Preços Unitários'!$D$117</f>
        <v>0</v>
      </c>
      <c r="AB37" s="139">
        <f>'Cronograma Físico das Obras'!AC30*'Preços Unitários'!$D$117</f>
        <v>0</v>
      </c>
      <c r="AC37" s="139">
        <f>'Cronograma Físico das Obras'!AD30*'Preços Unitários'!$D$117</f>
        <v>0</v>
      </c>
      <c r="AD37" s="139">
        <f>'Cronograma Físico das Obras'!AE30*'Preços Unitários'!$D$117</f>
        <v>0</v>
      </c>
      <c r="AE37" s="139">
        <f>'Cronograma Físico das Obras'!AF30*'Preços Unitários'!$D$117</f>
        <v>0</v>
      </c>
      <c r="AF37" s="139">
        <f>'Cronograma Físico das Obras'!AG30*'Preços Unitários'!$D$117</f>
        <v>0</v>
      </c>
      <c r="AG37" s="139">
        <f>'Cronograma Físico das Obras'!AH30*'Preços Unitários'!$D$117</f>
        <v>0</v>
      </c>
      <c r="AH37" s="139" t="e">
        <f>'Cronograma Físico das Obras'!#REF!*'Preços Unitários'!$D$118</f>
        <v>#REF!</v>
      </c>
      <c r="AI37" s="139" t="e">
        <f>'Cronograma Físico das Obras'!#REF!*'Preços Unitários'!$D$118</f>
        <v>#REF!</v>
      </c>
      <c r="AJ37" s="139" t="e">
        <f>'Cronograma Físico das Obras'!#REF!*'Preços Unitários'!$D$118</f>
        <v>#REF!</v>
      </c>
      <c r="AK37" s="139" t="e">
        <f>'Cronograma Físico das Obras'!#REF!*'Preços Unitários'!$D$118</f>
        <v>#REF!</v>
      </c>
      <c r="AL37" s="139" t="e">
        <f>'Cronograma Físico das Obras'!#REF!*'Preços Unitários'!$D$118</f>
        <v>#REF!</v>
      </c>
    </row>
    <row r="38" spans="1:38" ht="15.75" customHeight="1">
      <c r="A38" s="185" t="s">
        <v>340</v>
      </c>
      <c r="B38" s="184" t="s">
        <v>346</v>
      </c>
      <c r="C38" s="189">
        <f t="shared" si="17"/>
        <v>0</v>
      </c>
      <c r="D38" s="139"/>
      <c r="E38" s="139">
        <f>'Cronograma Físico das Obras'!F31*'Preços Unitários'!$D$117</f>
        <v>0</v>
      </c>
      <c r="F38" s="139">
        <f>'Cronograma Físico das Obras'!G31*'Preços Unitários'!$D$117</f>
        <v>0</v>
      </c>
      <c r="G38" s="139">
        <f>'Cronograma Físico das Obras'!H31*'Preços Unitários'!$D$117</f>
        <v>0</v>
      </c>
      <c r="H38" s="139">
        <f>'Cronograma Físico das Obras'!I31*'Preços Unitários'!$D$117</f>
        <v>0</v>
      </c>
      <c r="I38" s="139">
        <f>'Cronograma Físico das Obras'!J31*'Preços Unitários'!$D$117</f>
        <v>0</v>
      </c>
      <c r="J38" s="139">
        <f>'Cronograma Físico das Obras'!K31*'Preços Unitários'!$D$117</f>
        <v>0</v>
      </c>
      <c r="K38" s="139">
        <f>'Cronograma Físico das Obras'!L31*'Preços Unitários'!$D$117</f>
        <v>0</v>
      </c>
      <c r="L38" s="139">
        <f>'Cronograma Físico das Obras'!M31*'Preços Unitários'!$D$117</f>
        <v>0</v>
      </c>
      <c r="M38" s="139">
        <f>'Cronograma Físico das Obras'!N31*'Preços Unitários'!$D$117</f>
        <v>0</v>
      </c>
      <c r="N38" s="139">
        <f>'Cronograma Físico das Obras'!O31*'Preços Unitários'!$D$117</f>
        <v>0</v>
      </c>
      <c r="O38" s="139">
        <f>'Cronograma Físico das Obras'!P31*'Preços Unitários'!$D$117</f>
        <v>0</v>
      </c>
      <c r="P38" s="139">
        <f>'Cronograma Físico das Obras'!Q31*'Preços Unitários'!$D$117</f>
        <v>0</v>
      </c>
      <c r="Q38" s="139">
        <f>'Cronograma Físico das Obras'!R31*'Preços Unitários'!$D$117</f>
        <v>0</v>
      </c>
      <c r="R38" s="139">
        <f>'Cronograma Físico das Obras'!S31*'Preços Unitários'!$D$117</f>
        <v>0</v>
      </c>
      <c r="S38" s="139">
        <f>'Cronograma Físico das Obras'!T31*'Preços Unitários'!$D$117</f>
        <v>0</v>
      </c>
      <c r="T38" s="139">
        <f>'Cronograma Físico das Obras'!U31*'Preços Unitários'!$D$117</f>
        <v>0</v>
      </c>
      <c r="U38" s="139">
        <f>'Cronograma Físico das Obras'!V31*'Preços Unitários'!$D$117</f>
        <v>0</v>
      </c>
      <c r="V38" s="139">
        <f>'Cronograma Físico das Obras'!W31*'Preços Unitários'!$D$117</f>
        <v>0</v>
      </c>
      <c r="W38" s="139">
        <f>'Cronograma Físico das Obras'!X31*'Preços Unitários'!$D$117</f>
        <v>0</v>
      </c>
      <c r="X38" s="139">
        <f>'Cronograma Físico das Obras'!Y31*'Preços Unitários'!$D$117</f>
        <v>0</v>
      </c>
      <c r="Y38" s="139">
        <f>'Cronograma Físico das Obras'!Z31*'Preços Unitários'!$D$117</f>
        <v>0</v>
      </c>
      <c r="Z38" s="139">
        <f>'Cronograma Físico das Obras'!AA31*'Preços Unitários'!$D$117</f>
        <v>0</v>
      </c>
      <c r="AA38" s="139">
        <f>'Cronograma Físico das Obras'!AB31*'Preços Unitários'!$D$117</f>
        <v>0</v>
      </c>
      <c r="AB38" s="139">
        <f>'Cronograma Físico das Obras'!AC31*'Preços Unitários'!$D$117</f>
        <v>0</v>
      </c>
      <c r="AC38" s="139">
        <f>'Cronograma Físico das Obras'!AD31*'Preços Unitários'!$D$117</f>
        <v>0</v>
      </c>
      <c r="AD38" s="139">
        <f>'Cronograma Físico das Obras'!AE31*'Preços Unitários'!$D$117</f>
        <v>0</v>
      </c>
      <c r="AE38" s="139">
        <f>'Cronograma Físico das Obras'!AF31*'Preços Unitários'!$D$117</f>
        <v>0</v>
      </c>
      <c r="AF38" s="139">
        <f>'Cronograma Físico das Obras'!AG31*'Preços Unitários'!$D$117</f>
        <v>0</v>
      </c>
      <c r="AG38" s="139">
        <f>'Cronograma Físico das Obras'!AH31*'Preços Unitários'!$D$117</f>
        <v>0</v>
      </c>
      <c r="AH38" s="12"/>
      <c r="AI38" s="12"/>
      <c r="AJ38" s="12"/>
      <c r="AK38" s="12"/>
      <c r="AL38" s="12"/>
    </row>
    <row r="39" spans="1:38" ht="15.75" customHeight="1">
      <c r="A39" s="185" t="s">
        <v>341</v>
      </c>
      <c r="B39" s="184" t="s">
        <v>1250</v>
      </c>
      <c r="C39" s="189">
        <f t="shared" si="17"/>
        <v>0</v>
      </c>
      <c r="D39" s="139"/>
      <c r="E39" s="139">
        <f>'Cronograma Físico das Obras'!F32*'Preços Unitários'!$D$117</f>
        <v>0</v>
      </c>
      <c r="F39" s="139">
        <f>'Cronograma Físico das Obras'!G32*'Preços Unitários'!$D$117</f>
        <v>0</v>
      </c>
      <c r="G39" s="139">
        <f>'Cronograma Físico das Obras'!H32*'Preços Unitários'!$D$117</f>
        <v>0</v>
      </c>
      <c r="H39" s="139">
        <f>'Cronograma Físico das Obras'!I32*'Preços Unitários'!$D$117</f>
        <v>0</v>
      </c>
      <c r="I39" s="139">
        <f>'Cronograma Físico das Obras'!J32*'Preços Unitários'!$D$117</f>
        <v>0</v>
      </c>
      <c r="J39" s="139">
        <f>'Cronograma Físico das Obras'!K32*'Preços Unitários'!$D$117</f>
        <v>0</v>
      </c>
      <c r="K39" s="139">
        <f>'Cronograma Físico das Obras'!L32*'Preços Unitários'!$D$117</f>
        <v>0</v>
      </c>
      <c r="L39" s="139">
        <f>'Cronograma Físico das Obras'!M32*'Preços Unitários'!$D$117</f>
        <v>0</v>
      </c>
      <c r="M39" s="139">
        <f>'Cronograma Físico das Obras'!N32*'Preços Unitários'!$D$117</f>
        <v>0</v>
      </c>
      <c r="N39" s="139">
        <f>'Cronograma Físico das Obras'!O32*'Preços Unitários'!$D$117</f>
        <v>0</v>
      </c>
      <c r="O39" s="139">
        <f>'Cronograma Físico das Obras'!P32*'Preços Unitários'!$D$117</f>
        <v>0</v>
      </c>
      <c r="P39" s="139">
        <f>'Cronograma Físico das Obras'!Q32*'Preços Unitários'!$D$117</f>
        <v>0</v>
      </c>
      <c r="Q39" s="139">
        <f>'Cronograma Físico das Obras'!R32*'Preços Unitários'!$D$117</f>
        <v>0</v>
      </c>
      <c r="R39" s="139">
        <f>'Cronograma Físico das Obras'!S32*'Preços Unitários'!$D$117</f>
        <v>0</v>
      </c>
      <c r="S39" s="139">
        <f>'Cronograma Físico das Obras'!T32*'Preços Unitários'!$D$117</f>
        <v>0</v>
      </c>
      <c r="T39" s="139">
        <f>'Cronograma Físico das Obras'!U32*'Preços Unitários'!$D$117</f>
        <v>0</v>
      </c>
      <c r="U39" s="139">
        <f>'Cronograma Físico das Obras'!V32*'Preços Unitários'!$D$117</f>
        <v>0</v>
      </c>
      <c r="V39" s="139">
        <f>'Cronograma Físico das Obras'!W32*'Preços Unitários'!$D$117</f>
        <v>0</v>
      </c>
      <c r="W39" s="139">
        <f>'Cronograma Físico das Obras'!X32*'Preços Unitários'!$D$117</f>
        <v>0</v>
      </c>
      <c r="X39" s="139">
        <f>'Cronograma Físico das Obras'!Y32*'Preços Unitários'!$D$117</f>
        <v>0</v>
      </c>
      <c r="Y39" s="139">
        <f>'Cronograma Físico das Obras'!Z32*'Preços Unitários'!$D$117</f>
        <v>0</v>
      </c>
      <c r="Z39" s="139">
        <f>'Cronograma Físico das Obras'!AA32*'Preços Unitários'!$D$117</f>
        <v>0</v>
      </c>
      <c r="AA39" s="139">
        <f>'Cronograma Físico das Obras'!AB32*'Preços Unitários'!$D$117</f>
        <v>0</v>
      </c>
      <c r="AB39" s="139">
        <f>'Cronograma Físico das Obras'!AC32*'Preços Unitários'!$D$117</f>
        <v>0</v>
      </c>
      <c r="AC39" s="139">
        <f>'Cronograma Físico das Obras'!AD32*'Preços Unitários'!$D$117</f>
        <v>0</v>
      </c>
      <c r="AD39" s="139">
        <f>'Cronograma Físico das Obras'!AE32*'Preços Unitários'!$D$117</f>
        <v>0</v>
      </c>
      <c r="AE39" s="139">
        <f>'Cronograma Físico das Obras'!AF32*'Preços Unitários'!$D$117</f>
        <v>0</v>
      </c>
      <c r="AF39" s="139">
        <f>'Cronograma Físico das Obras'!AG32*'Preços Unitários'!$D$117</f>
        <v>0</v>
      </c>
      <c r="AG39" s="139">
        <f>'Cronograma Físico das Obras'!AH32*'Preços Unitários'!$D$117</f>
        <v>0</v>
      </c>
      <c r="AH39" s="12" t="e">
        <f>'Cronograma Físico das Obras'!#REF!*'RECUPERAÇÃO DE ATIVOS'!$S$28</f>
        <v>#REF!</v>
      </c>
      <c r="AI39" s="12" t="e">
        <f>'Cronograma Físico das Obras'!#REF!*'RECUPERAÇÃO DE ATIVOS'!$S$28</f>
        <v>#REF!</v>
      </c>
      <c r="AJ39" s="12" t="e">
        <f>'Cronograma Físico das Obras'!#REF!*'RECUPERAÇÃO DE ATIVOS'!$S$28</f>
        <v>#REF!</v>
      </c>
      <c r="AK39" s="12" t="e">
        <f>'Cronograma Físico das Obras'!#REF!*'RECUPERAÇÃO DE ATIVOS'!$S$28</f>
        <v>#REF!</v>
      </c>
      <c r="AL39" s="12" t="e">
        <f>'Cronograma Físico das Obras'!#REF!*'RECUPERAÇÃO DE ATIVOS'!$S$28</f>
        <v>#REF!</v>
      </c>
    </row>
    <row r="40" spans="1:38" ht="15.75" customHeight="1">
      <c r="A40" s="185" t="s">
        <v>342</v>
      </c>
      <c r="B40" s="184" t="s">
        <v>1251</v>
      </c>
      <c r="C40" s="189">
        <f t="shared" si="17"/>
        <v>0</v>
      </c>
      <c r="D40" s="139"/>
      <c r="E40" s="139">
        <f>'Cronograma Físico das Obras'!F33*'Preços Unitários'!$D$117</f>
        <v>0</v>
      </c>
      <c r="F40" s="139">
        <f>'Cronograma Físico das Obras'!G33*'Preços Unitários'!$D$117</f>
        <v>0</v>
      </c>
      <c r="G40" s="139">
        <f>'Cronograma Físico das Obras'!H33*'Preços Unitários'!$D$117</f>
        <v>0</v>
      </c>
      <c r="H40" s="139">
        <f>'Cronograma Físico das Obras'!I33*'Preços Unitários'!$D$117</f>
        <v>0</v>
      </c>
      <c r="I40" s="139">
        <f>'Cronograma Físico das Obras'!J33*'Preços Unitários'!$D$117</f>
        <v>0</v>
      </c>
      <c r="J40" s="139">
        <f>'Cronograma Físico das Obras'!K33*'Preços Unitários'!$D$117</f>
        <v>0</v>
      </c>
      <c r="K40" s="139">
        <f>'Cronograma Físico das Obras'!L33*'Preços Unitários'!$D$117</f>
        <v>0</v>
      </c>
      <c r="L40" s="139">
        <f>'Cronograma Físico das Obras'!M33*'Preços Unitários'!$D$117</f>
        <v>0</v>
      </c>
      <c r="M40" s="139">
        <f>'Cronograma Físico das Obras'!N33*'Preços Unitários'!$D$117</f>
        <v>0</v>
      </c>
      <c r="N40" s="139">
        <f>'Cronograma Físico das Obras'!O33*'Preços Unitários'!$D$117</f>
        <v>0</v>
      </c>
      <c r="O40" s="139">
        <f>'Cronograma Físico das Obras'!P33*'Preços Unitários'!$D$117</f>
        <v>0</v>
      </c>
      <c r="P40" s="139">
        <f>'Cronograma Físico das Obras'!Q33*'Preços Unitários'!$D$117</f>
        <v>0</v>
      </c>
      <c r="Q40" s="139">
        <f>'Cronograma Físico das Obras'!R33*'Preços Unitários'!$D$117</f>
        <v>0</v>
      </c>
      <c r="R40" s="139">
        <f>'Cronograma Físico das Obras'!S33*'Preços Unitários'!$D$117</f>
        <v>0</v>
      </c>
      <c r="S40" s="139">
        <f>'Cronograma Físico das Obras'!T33*'Preços Unitários'!$D$117</f>
        <v>0</v>
      </c>
      <c r="T40" s="139">
        <f>'Cronograma Físico das Obras'!U33*'Preços Unitários'!$D$117</f>
        <v>0</v>
      </c>
      <c r="U40" s="139">
        <f>'Cronograma Físico das Obras'!V33*'Preços Unitários'!$D$117</f>
        <v>0</v>
      </c>
      <c r="V40" s="139">
        <f>'Cronograma Físico das Obras'!W33*'Preços Unitários'!$D$117</f>
        <v>0</v>
      </c>
      <c r="W40" s="139">
        <f>'Cronograma Físico das Obras'!X33*'Preços Unitários'!$D$117</f>
        <v>0</v>
      </c>
      <c r="X40" s="139">
        <f>'Cronograma Físico das Obras'!Y33*'Preços Unitários'!$D$117</f>
        <v>0</v>
      </c>
      <c r="Y40" s="139">
        <f>'Cronograma Físico das Obras'!Z33*'Preços Unitários'!$D$117</f>
        <v>0</v>
      </c>
      <c r="Z40" s="139">
        <f>'Cronograma Físico das Obras'!AA33*'Preços Unitários'!$D$117</f>
        <v>0</v>
      </c>
      <c r="AA40" s="139">
        <f>'Cronograma Físico das Obras'!AB33*'Preços Unitários'!$D$117</f>
        <v>0</v>
      </c>
      <c r="AB40" s="139">
        <f>'Cronograma Físico das Obras'!AC33*'Preços Unitários'!$D$117</f>
        <v>0</v>
      </c>
      <c r="AC40" s="139">
        <f>'Cronograma Físico das Obras'!AD33*'Preços Unitários'!$D$117</f>
        <v>0</v>
      </c>
      <c r="AD40" s="139">
        <f>'Cronograma Físico das Obras'!AE33*'Preços Unitários'!$D$117</f>
        <v>0</v>
      </c>
      <c r="AE40" s="139">
        <f>'Cronograma Físico das Obras'!AF33*'Preços Unitários'!$D$117</f>
        <v>0</v>
      </c>
      <c r="AF40" s="139">
        <f>'Cronograma Físico das Obras'!AG33*'Preços Unitários'!$D$117</f>
        <v>0</v>
      </c>
      <c r="AG40" s="139">
        <f>'Cronograma Físico das Obras'!AH33*'Preços Unitários'!$D$117</f>
        <v>0</v>
      </c>
      <c r="AH40" s="12" t="e">
        <f>'Cronograma Físico das Obras'!#REF!*'RECUPERAÇÃO DE ATIVOS'!$S$33</f>
        <v>#REF!</v>
      </c>
      <c r="AI40" s="12" t="e">
        <f>'Cronograma Físico das Obras'!#REF!*'RECUPERAÇÃO DE ATIVOS'!$S$33</f>
        <v>#REF!</v>
      </c>
      <c r="AJ40" s="12" t="e">
        <f>'Cronograma Físico das Obras'!#REF!*'RECUPERAÇÃO DE ATIVOS'!$S$33</f>
        <v>#REF!</v>
      </c>
      <c r="AK40" s="12" t="e">
        <f>'Cronograma Físico das Obras'!#REF!*'RECUPERAÇÃO DE ATIVOS'!$S$33</f>
        <v>#REF!</v>
      </c>
      <c r="AL40" s="12" t="e">
        <f>'Cronograma Físico das Obras'!#REF!*'RECUPERAÇÃO DE ATIVOS'!$S$33</f>
        <v>#REF!</v>
      </c>
    </row>
    <row r="41" spans="1:38" s="92" customFormat="1" ht="15.75" customHeight="1">
      <c r="A41" s="870" t="s">
        <v>1255</v>
      </c>
      <c r="B41" s="871" t="s">
        <v>1256</v>
      </c>
      <c r="C41" s="189">
        <f>SUM(D41:AG41)</f>
        <v>14909486.270000003</v>
      </c>
      <c r="D41" s="873">
        <f>SUM(D43:D48)*'Preços Unitários'!$B$144</f>
        <v>2800.0000000000005</v>
      </c>
      <c r="E41" s="873">
        <f>SUM(E43:E48)*'Preços Unitários'!$B$144</f>
        <v>2800.0000000000005</v>
      </c>
      <c r="F41" s="873">
        <f>SUM(F43:F48)*'Preços Unitários'!$B$144</f>
        <v>2548974.7500000005</v>
      </c>
      <c r="G41" s="873">
        <f>SUM(G43:G48)*'Preços Unitários'!$B$144</f>
        <v>1621618.7750000001</v>
      </c>
      <c r="H41" s="873">
        <f>SUM(H43:H48)*'Preços Unitários'!$B$144</f>
        <v>1628617.7250000001</v>
      </c>
      <c r="I41" s="873">
        <f>SUM(I43:I48)*'Preços Unitários'!$B$144</f>
        <v>2699688.7750000004</v>
      </c>
      <c r="J41" s="873">
        <f>SUM(J43:J48)*'Preços Unitários'!$B$144</f>
        <v>1558587.59</v>
      </c>
      <c r="K41" s="873">
        <f>SUM(K43:K48)*'Preços Unitários'!$B$144</f>
        <v>1597508.7100000002</v>
      </c>
      <c r="L41" s="873">
        <f>SUM(L43:L48)*'Preços Unitários'!$B$144</f>
        <v>2517749.9200000004</v>
      </c>
      <c r="M41" s="873">
        <f>SUM(M43:M48)*'Preços Unitários'!$B$144</f>
        <v>33594.785000000003</v>
      </c>
      <c r="N41" s="873">
        <f>SUM(N43:N48)*'Preços Unitários'!$B$144</f>
        <v>33649.560000000005</v>
      </c>
      <c r="O41" s="873">
        <f>SUM(O43:O48)*'Preços Unitários'!$B$144</f>
        <v>33637.730000000003</v>
      </c>
      <c r="P41" s="873">
        <f>SUM(P43:P48)*'Preços Unitários'!$B$144</f>
        <v>33628.735000000001</v>
      </c>
      <c r="Q41" s="873">
        <f>SUM(Q43:Q48)*'Preços Unitários'!$B$144</f>
        <v>33615.61</v>
      </c>
      <c r="R41" s="873">
        <f>SUM(R43:R48)*'Preços Unitários'!$B$144</f>
        <v>33671.68</v>
      </c>
      <c r="S41" s="873">
        <f>SUM(S43:S48)*'Preços Unitários'!$B$144</f>
        <v>33567.730000000003</v>
      </c>
      <c r="T41" s="873">
        <f>SUM(T43:T48)*'Preços Unitários'!$B$144</f>
        <v>33671.68</v>
      </c>
      <c r="U41" s="873">
        <f>SUM(U43:U48)*'Preços Unitários'!$B$144</f>
        <v>33788.160000000003</v>
      </c>
      <c r="V41" s="873">
        <f>SUM(V43:V48)*'Preços Unitários'!$B$144</f>
        <v>34025.460000000006</v>
      </c>
      <c r="W41" s="873">
        <f>SUM(W43:W48)*'Preços Unitários'!$B$144</f>
        <v>34382.565000000002</v>
      </c>
      <c r="X41" s="873">
        <f>SUM(X43:X48)*'Preços Unitários'!$B$144</f>
        <v>34650.980000000003</v>
      </c>
      <c r="Y41" s="873">
        <f>SUM(Y43:Y48)*'Preços Unitários'!$B$144</f>
        <v>34976.97</v>
      </c>
      <c r="Z41" s="873">
        <f>SUM(Z43:Z48)*'Preços Unitários'!$B$144</f>
        <v>35189.280000000006</v>
      </c>
      <c r="AA41" s="873">
        <f>SUM(AA43:AA48)*'Preços Unitários'!$B$144</f>
        <v>35568.400000000001</v>
      </c>
      <c r="AB41" s="873">
        <f>SUM(AB43:AB48)*'Preços Unitários'!$B$144</f>
        <v>35882.560000000005</v>
      </c>
      <c r="AC41" s="873">
        <f>SUM(AC43:AC48)*'Preços Unitários'!$B$144</f>
        <v>36106.700000000004</v>
      </c>
      <c r="AD41" s="873">
        <f>SUM(AD43:AD48)*'Preços Unitários'!$B$144</f>
        <v>36415.925000000003</v>
      </c>
      <c r="AE41" s="873">
        <f>SUM(AE43:AE48)*'Preços Unitários'!$B$144</f>
        <v>36765.995000000003</v>
      </c>
      <c r="AF41" s="873">
        <f>SUM(AF43:AF48)*'Preços Unitários'!$B$144</f>
        <v>37019.185000000005</v>
      </c>
      <c r="AG41" s="873">
        <f>SUM(AG43:AG48)*'Preços Unitários'!$B$144</f>
        <v>37330.335000000006</v>
      </c>
      <c r="AH41" s="319"/>
      <c r="AI41" s="319"/>
      <c r="AJ41" s="319"/>
      <c r="AK41" s="319"/>
      <c r="AL41" s="319"/>
    </row>
    <row r="42" spans="1:38" s="88" customFormat="1" ht="15.75" customHeight="1">
      <c r="A42" s="196" t="s">
        <v>348</v>
      </c>
      <c r="B42" s="197" t="s">
        <v>347</v>
      </c>
      <c r="C42" s="189">
        <f>SUM(D42:AG42)</f>
        <v>468488022</v>
      </c>
      <c r="D42" s="189">
        <f>SUM(D43:D50)</f>
        <v>80000</v>
      </c>
      <c r="E42" s="189">
        <f t="shared" ref="E42:AG42" si="18">SUM(E43:E50)</f>
        <v>80000</v>
      </c>
      <c r="F42" s="189">
        <f t="shared" si="18"/>
        <v>72827850</v>
      </c>
      <c r="G42" s="189">
        <f>SUM(G43:G50)</f>
        <v>54203565</v>
      </c>
      <c r="H42" s="189">
        <f t="shared" si="18"/>
        <v>54474335</v>
      </c>
      <c r="I42" s="189">
        <f>SUM(I43:I50)</f>
        <v>85158965</v>
      </c>
      <c r="J42" s="189">
        <f t="shared" si="18"/>
        <v>51169574</v>
      </c>
      <c r="K42" s="189">
        <f>SUM(K43:K50)</f>
        <v>52322906</v>
      </c>
      <c r="L42" s="189">
        <f t="shared" si="18"/>
        <v>73575912</v>
      </c>
      <c r="M42" s="189">
        <f t="shared" si="18"/>
        <v>1130951</v>
      </c>
      <c r="N42" s="189">
        <f t="shared" si="18"/>
        <v>1126616</v>
      </c>
      <c r="O42" s="189">
        <f t="shared" si="18"/>
        <v>1132178</v>
      </c>
      <c r="P42" s="189">
        <f t="shared" si="18"/>
        <v>1126021</v>
      </c>
      <c r="Q42" s="189">
        <f t="shared" si="18"/>
        <v>1131546</v>
      </c>
      <c r="R42" s="189">
        <f t="shared" si="18"/>
        <v>1127248</v>
      </c>
      <c r="S42" s="189">
        <f t="shared" si="18"/>
        <v>1130178</v>
      </c>
      <c r="T42" s="189">
        <f t="shared" si="18"/>
        <v>1127248</v>
      </c>
      <c r="U42" s="189">
        <f t="shared" si="18"/>
        <v>1136476</v>
      </c>
      <c r="V42" s="189">
        <f t="shared" si="18"/>
        <v>1143256</v>
      </c>
      <c r="W42" s="189">
        <f t="shared" si="18"/>
        <v>1159359</v>
      </c>
      <c r="X42" s="189">
        <f t="shared" si="18"/>
        <v>1167028</v>
      </c>
      <c r="Y42" s="189">
        <f t="shared" si="18"/>
        <v>1176342</v>
      </c>
      <c r="Z42" s="189">
        <f t="shared" si="18"/>
        <v>1182408</v>
      </c>
      <c r="AA42" s="189">
        <f t="shared" si="18"/>
        <v>1193240</v>
      </c>
      <c r="AB42" s="189">
        <f t="shared" si="18"/>
        <v>1214016</v>
      </c>
      <c r="AC42" s="189">
        <f t="shared" si="18"/>
        <v>1214520</v>
      </c>
      <c r="AD42" s="189">
        <f t="shared" si="18"/>
        <v>1223355</v>
      </c>
      <c r="AE42" s="189">
        <f t="shared" si="18"/>
        <v>1245157</v>
      </c>
      <c r="AF42" s="189">
        <f t="shared" si="18"/>
        <v>1246491</v>
      </c>
      <c r="AG42" s="189">
        <f t="shared" si="18"/>
        <v>1261281</v>
      </c>
      <c r="AH42" s="189" t="e">
        <f>SUM(AH43:AH49)</f>
        <v>#REF!</v>
      </c>
      <c r="AI42" s="189" t="e">
        <f>SUM(AI43:AI49)</f>
        <v>#REF!</v>
      </c>
      <c r="AJ42" s="189" t="e">
        <f>SUM(AJ43:AJ49)</f>
        <v>#REF!</v>
      </c>
      <c r="AK42" s="189" t="e">
        <f>SUM(AK43:AK49)</f>
        <v>#REF!</v>
      </c>
      <c r="AL42" s="189" t="e">
        <f>SUM(AL43:AL49)</f>
        <v>#REF!</v>
      </c>
    </row>
    <row r="43" spans="1:38" s="149" customFormat="1" ht="15.75" customHeight="1">
      <c r="A43" s="188" t="s">
        <v>349</v>
      </c>
      <c r="B43" s="184" t="s">
        <v>370</v>
      </c>
      <c r="C43" s="189">
        <f>SUM(D43:AG43)</f>
        <v>43449996</v>
      </c>
      <c r="D43" s="148">
        <f>'Cronograma Físico das Obras'!E34*'Preços Unitários'!$D$117</f>
        <v>0</v>
      </c>
      <c r="E43" s="148">
        <f>'Cronograma Físico das Obras'!F34*'Preços Unitários'!$D$117</f>
        <v>0</v>
      </c>
      <c r="F43" s="148">
        <f>ROUND('Cronograma Físico das Obras'!G34*'Preços Unitários'!$D$117,0)</f>
        <v>0</v>
      </c>
      <c r="G43" s="148">
        <f>ROUND('Cronograma Físico das Obras'!H34*'Preços Unitários'!$D$117,0)</f>
        <v>7085815</v>
      </c>
      <c r="H43" s="148">
        <f>ROUND('Cronograma Físico das Obras'!I34*'Preços Unitários'!$D$117,0)</f>
        <v>7274985</v>
      </c>
      <c r="I43" s="148">
        <f>ROUND('Cronograma Físico das Obras'!J34*'Preços Unitários'!$D$117,0)</f>
        <v>7466215</v>
      </c>
      <c r="J43" s="148">
        <f>ROUND('Cronograma Físico das Obras'!K34*'Preços Unitários'!$D$117,0)</f>
        <v>3970324</v>
      </c>
      <c r="K43" s="148">
        <f>ROUND('Cronograma Físico das Obras'!L34*'Preços Unitários'!$D$117,0)</f>
        <v>4066256</v>
      </c>
      <c r="L43" s="148">
        <f>ROUND('Cronograma Físico das Obras'!M34*'Preços Unitários'!$D$117,0)</f>
        <v>4158862</v>
      </c>
      <c r="M43" s="148">
        <f>ROUND('Cronograma Físico das Obras'!N34*'Preços Unitários'!$D$117,0)</f>
        <v>427218</v>
      </c>
      <c r="N43" s="148">
        <f>ROUND('Cronograma Físico das Obras'!O34*'Preços Unitários'!$D$117,0)</f>
        <v>427616</v>
      </c>
      <c r="O43" s="148">
        <f>ROUND('Cronograma Físico das Obras'!P34*'Preços Unitários'!$D$117,0)</f>
        <v>428248</v>
      </c>
      <c r="P43" s="148">
        <f>ROUND('Cronograma Físico das Obras'!Q34*'Preços Unitários'!$D$117,0)</f>
        <v>427218</v>
      </c>
      <c r="Q43" s="148">
        <f>ROUND('Cronograma Físico das Obras'!R34*'Preços Unitários'!$D$117,0)</f>
        <v>427616</v>
      </c>
      <c r="R43" s="148">
        <f>ROUND('Cronograma Físico das Obras'!S34*'Preços Unitários'!$D$117,0)</f>
        <v>428248</v>
      </c>
      <c r="S43" s="148">
        <f>ROUND('Cronograma Físico das Obras'!T34*'Preços Unitários'!$D$117,0)</f>
        <v>427218</v>
      </c>
      <c r="T43" s="148">
        <f>ROUND('Cronograma Físico das Obras'!U34*'Preços Unitários'!$D$117,0)</f>
        <v>428248</v>
      </c>
      <c r="U43" s="148">
        <f>ROUND('Cronograma Físico das Obras'!V34*'Preços Unitários'!$D$117,0)</f>
        <v>430779</v>
      </c>
      <c r="V43" s="148">
        <f>ROUND('Cronograma Físico das Obras'!W34*'Preços Unitários'!$D$117,0)</f>
        <v>434811</v>
      </c>
      <c r="W43" s="148">
        <f>ROUND('Cronograma Físico das Obras'!X34*'Preços Unitários'!$D$117,0)</f>
        <v>440902</v>
      </c>
      <c r="X43" s="148">
        <f>ROUND('Cronograma Físico das Obras'!Y34*'Preços Unitários'!$D$117,0)</f>
        <v>446596</v>
      </c>
      <c r="Y43" s="148">
        <f>ROUND('Cronograma Físico das Obras'!Z34*'Preços Unitários'!$D$117,0)</f>
        <v>451025</v>
      </c>
      <c r="Z43" s="148">
        <f>ROUND('Cronograma Físico das Obras'!AA34*'Preços Unitários'!$D$117,0)</f>
        <v>456086</v>
      </c>
      <c r="AA43" s="148">
        <f>ROUND('Cronograma Físico das Obras'!AB34*'Preços Unitários'!$D$117,0)</f>
        <v>462413</v>
      </c>
      <c r="AB43" s="148">
        <f>ROUND('Cronograma Físico das Obras'!AC34*'Preços Unitários'!$D$117,0)</f>
        <v>467474</v>
      </c>
      <c r="AC43" s="148">
        <f>ROUND('Cronograma Físico das Obras'!AD34*'Preços Unitários'!$D$117,0)</f>
        <v>471903</v>
      </c>
      <c r="AD43" s="148">
        <f>ROUND('Cronograma Físico das Obras'!AE34*'Preços Unitários'!$D$117,0)</f>
        <v>477597</v>
      </c>
      <c r="AE43" s="148">
        <f>ROUND('Cronograma Físico das Obras'!AF34*'Preços Unitários'!$D$117,0)</f>
        <v>483291</v>
      </c>
      <c r="AF43" s="148">
        <f>ROUND('Cronograma Físico das Obras'!AG34*'Preços Unitários'!$D$117,0)</f>
        <v>488353</v>
      </c>
      <c r="AG43" s="148">
        <f>ROUND('Cronograma Físico das Obras'!AH34*'Preços Unitários'!$D$117,0)</f>
        <v>494679</v>
      </c>
      <c r="AH43" s="148"/>
      <c r="AI43" s="148" t="e">
        <f>'Cronograma Físico das Obras'!#REF!*'Preços Unitários'!$D$117</f>
        <v>#REF!</v>
      </c>
      <c r="AJ43" s="148" t="e">
        <f>'Cronograma Físico das Obras'!#REF!*'Preços Unitários'!$D$117</f>
        <v>#REF!</v>
      </c>
      <c r="AK43" s="148" t="e">
        <f>'Cronograma Físico das Obras'!#REF!*'Preços Unitários'!$D$117</f>
        <v>#REF!</v>
      </c>
      <c r="AL43" s="148" t="e">
        <f>'Cronograma Físico das Obras'!#REF!*'Preços Unitários'!$D$117</f>
        <v>#REF!</v>
      </c>
    </row>
    <row r="44" spans="1:38" s="149" customFormat="1" ht="15.75" customHeight="1">
      <c r="A44" s="188" t="s">
        <v>350</v>
      </c>
      <c r="B44" s="184" t="s">
        <v>1247</v>
      </c>
      <c r="C44" s="189">
        <f t="shared" ref="C44" si="19">SUM(D44:AG44)</f>
        <v>265282526</v>
      </c>
      <c r="D44" s="148">
        <f>'Cronograma Físico das Obras'!E35*'Preços Unitários'!$D$118</f>
        <v>0</v>
      </c>
      <c r="E44" s="148">
        <f>'Cronograma Físico das Obras'!F35*'Preços Unitários'!$D$118</f>
        <v>0</v>
      </c>
      <c r="F44" s="148">
        <f>ROUND('Cronograma Físico das Obras'!G35*'Preços Unitários'!$D$118,0)</f>
        <v>37097650</v>
      </c>
      <c r="G44" s="148">
        <f>ROUND('Cronograma Físico das Obras'!H35*'Preços Unitários'!$D$118,0)</f>
        <v>37097650</v>
      </c>
      <c r="H44" s="148">
        <f>ROUND('Cronograma Físico das Obras'!I35*'Preços Unitários'!$D$118,0)</f>
        <v>37097650</v>
      </c>
      <c r="I44" s="148">
        <f>ROUND('Cronograma Físico das Obras'!J35*'Preços Unitários'!$D$118,0)</f>
        <v>37097650</v>
      </c>
      <c r="J44" s="148">
        <f>ROUND('Cronograma Físico das Obras'!K35*'Preços Unitários'!$D$118,0)</f>
        <v>37097650</v>
      </c>
      <c r="K44" s="148">
        <f>ROUND('Cronograma Físico das Obras'!L35*'Preços Unitários'!$D$118,0)</f>
        <v>37097650</v>
      </c>
      <c r="L44" s="148">
        <f>ROUND('Cronograma Físico das Obras'!M35*'Preços Unitários'!$D$118,0)</f>
        <v>37097650</v>
      </c>
      <c r="M44" s="148">
        <f>ROUND('Cronograma Físico das Obras'!N35*'Preços Unitários'!$D$118,0)</f>
        <v>253433</v>
      </c>
      <c r="N44" s="148">
        <f>ROUND('Cronograma Físico das Obras'!O35*'Preços Unitários'!$D$118,0)</f>
        <v>254600</v>
      </c>
      <c r="O44" s="148">
        <f>ROUND('Cronograma Físico das Obras'!P35*'Preços Unitários'!$D$118,0)</f>
        <v>253630</v>
      </c>
      <c r="P44" s="148">
        <f>ROUND('Cronograma Físico das Obras'!Q35*'Preços Unitários'!$D$118,0)</f>
        <v>254403</v>
      </c>
      <c r="Q44" s="148">
        <f>ROUND('Cronograma Físico das Obras'!R35*'Preços Unitários'!$D$118,0)</f>
        <v>253630</v>
      </c>
      <c r="R44" s="148">
        <f>ROUND('Cronograma Físico das Obras'!S35*'Preços Unitários'!$D$118,0)</f>
        <v>254600</v>
      </c>
      <c r="S44" s="148">
        <f>ROUND('Cronograma Físico das Obras'!T35*'Preços Unitários'!$D$118,0)</f>
        <v>252660</v>
      </c>
      <c r="T44" s="148">
        <f>ROUND('Cronograma Físico das Obras'!U35*'Preços Unitários'!$D$118,0)</f>
        <v>254600</v>
      </c>
      <c r="U44" s="148">
        <f>ROUND('Cronograma Físico das Obras'!V35*'Preços Unitários'!$D$118,0)</f>
        <v>255397</v>
      </c>
      <c r="V44" s="148">
        <f>ROUND('Cronograma Físico das Obras'!W35*'Preços Unitários'!$D$118,0)</f>
        <v>258145</v>
      </c>
      <c r="W44" s="148">
        <f>ROUND('Cronograma Físico das Obras'!X35*'Preços Unitários'!$D$118,0)</f>
        <v>262257</v>
      </c>
      <c r="X44" s="148">
        <f>ROUND('Cronograma Físico das Obras'!Y35*'Preços Unitários'!$D$118,0)</f>
        <v>264232</v>
      </c>
      <c r="Y44" s="148">
        <f>ROUND('Cronograma Físico das Obras'!Z35*'Preços Unitários'!$D$118,0)</f>
        <v>269117</v>
      </c>
      <c r="Z44" s="148">
        <f>ROUND('Cronograma Físico das Obras'!AA35*'Preços Unitários'!$D$118,0)</f>
        <v>270122</v>
      </c>
      <c r="AA44" s="148">
        <f>ROUND('Cronograma Físico das Obras'!AB35*'Preços Unitários'!$D$118,0)</f>
        <v>274627</v>
      </c>
      <c r="AB44" s="148">
        <f>ROUND('Cronograma Físico das Obras'!AC35*'Preços Unitários'!$D$118,0)</f>
        <v>278542</v>
      </c>
      <c r="AC44" s="148">
        <f>ROUND('Cronograma Físico das Obras'!AD35*'Preços Unitários'!$D$118,0)</f>
        <v>280517</v>
      </c>
      <c r="AD44" s="148">
        <f>ROUND('Cronograma Físico das Obras'!AE35*'Preços Unitários'!$D$118,0)</f>
        <v>283658</v>
      </c>
      <c r="AE44" s="148">
        <f>ROUND('Cronograma Físico das Obras'!AF35*'Preços Unitários'!$D$118,0)</f>
        <v>287966</v>
      </c>
      <c r="AF44" s="148">
        <f>ROUND('Cronograma Físico das Obras'!AG35*'Preços Unitários'!$D$118,0)</f>
        <v>290138</v>
      </c>
      <c r="AG44" s="148">
        <f>ROUND('Cronograma Físico das Obras'!AH35*'Preços Unitários'!$D$118,0)</f>
        <v>292702</v>
      </c>
      <c r="AH44" s="148"/>
      <c r="AI44" s="148"/>
      <c r="AJ44" s="148"/>
      <c r="AK44" s="148"/>
      <c r="AL44" s="148"/>
    </row>
    <row r="45" spans="1:38" s="149" customFormat="1" ht="15.75" customHeight="1">
      <c r="A45" s="188" t="s">
        <v>351</v>
      </c>
      <c r="B45" s="184" t="s">
        <v>1173</v>
      </c>
      <c r="C45" s="189">
        <f>SUM(D45:AG45)</f>
        <v>16950000</v>
      </c>
      <c r="D45" s="148">
        <f>'Cronograma Físico das Obras'!E36*'Preços Unitários'!$D$109</f>
        <v>0</v>
      </c>
      <c r="E45" s="148">
        <f>'Cronograma Físico das Obras'!F36*'Preços Unitários'!$D$109</f>
        <v>0</v>
      </c>
      <c r="F45" s="148">
        <f>ROUND('Cronograma Físico das Obras'!G36*'Preços Unitários'!$D$110,0)</f>
        <v>3825000</v>
      </c>
      <c r="G45" s="148">
        <f>ROUND('Cronograma Físico das Obras'!H36*'Preços Unitários'!$D$110,0)</f>
        <v>1912500</v>
      </c>
      <c r="H45" s="148">
        <f>ROUND('Cronograma Físico das Obras'!I36*'Preços Unitários'!$D$110,0)</f>
        <v>1912500</v>
      </c>
      <c r="I45" s="148">
        <f>ROUND('Cronograma Físico das Obras'!J36*'Preços Unitários'!$D$110,0)</f>
        <v>1912500</v>
      </c>
      <c r="J45" s="148">
        <f>ROUND('Cronograma Físico das Obras'!K36*'Preços Unitários'!$D$110,0)</f>
        <v>3187500</v>
      </c>
      <c r="K45" s="148">
        <f>ROUND('Cronograma Físico das Obras'!L36*'Preços Unitários'!$D$113,0)</f>
        <v>4200000</v>
      </c>
      <c r="L45" s="148">
        <f>'Cronograma Físico das Obras'!M36*'Preços Unitários'!$D$110</f>
        <v>0</v>
      </c>
      <c r="M45" s="148">
        <f>'Cronograma Físico das Obras'!N36*'Preços Unitários'!$D$110</f>
        <v>0</v>
      </c>
      <c r="N45" s="148">
        <f>'Cronograma Físico das Obras'!O36*'Preços Unitários'!$D$110</f>
        <v>0</v>
      </c>
      <c r="O45" s="148">
        <f>'Cronograma Físico das Obras'!P36*'Preços Unitários'!$D$110</f>
        <v>0</v>
      </c>
      <c r="P45" s="148">
        <f>'Cronograma Físico das Obras'!Q36*'Preços Unitários'!$D$110</f>
        <v>0</v>
      </c>
      <c r="Q45" s="148">
        <f>'Cronograma Físico das Obras'!R36*'Preços Unitários'!$D$110</f>
        <v>0</v>
      </c>
      <c r="R45" s="148">
        <f>'Cronograma Físico das Obras'!S36*'Preços Unitários'!$D$110</f>
        <v>0</v>
      </c>
      <c r="S45" s="148">
        <f>'Cronograma Físico das Obras'!T36*'Preços Unitários'!$D$110</f>
        <v>0</v>
      </c>
      <c r="T45" s="148">
        <f>'Cronograma Físico das Obras'!U36*'Preços Unitários'!$D$110</f>
        <v>0</v>
      </c>
      <c r="U45" s="148">
        <f>'Cronograma Físico das Obras'!V36*'Preços Unitários'!$D$110</f>
        <v>0</v>
      </c>
      <c r="V45" s="148">
        <f>'Cronograma Físico das Obras'!W36*'Preços Unitários'!$D$110</f>
        <v>0</v>
      </c>
      <c r="W45" s="148">
        <f>'Cronograma Físico das Obras'!X36*'Preços Unitários'!$D$110</f>
        <v>0</v>
      </c>
      <c r="X45" s="148">
        <f>'Cronograma Físico das Obras'!Y36*'Preços Unitários'!$D$110</f>
        <v>0</v>
      </c>
      <c r="Y45" s="148">
        <f>'Cronograma Físico das Obras'!Z36*'Preços Unitários'!$D$110</f>
        <v>0</v>
      </c>
      <c r="Z45" s="148">
        <f>'Cronograma Físico das Obras'!AA36*'Preços Unitários'!$D$110</f>
        <v>0</v>
      </c>
      <c r="AA45" s="148">
        <f>'Cronograma Físico das Obras'!AB36*'Preços Unitários'!$D$110</f>
        <v>0</v>
      </c>
      <c r="AB45" s="148">
        <f>'Cronograma Físico das Obras'!AC36*'Preços Unitários'!$D$110</f>
        <v>0</v>
      </c>
      <c r="AC45" s="148">
        <f>'Cronograma Físico das Obras'!AD36*'Preços Unitários'!$D$110</f>
        <v>0</v>
      </c>
      <c r="AD45" s="148">
        <f>'Cronograma Físico das Obras'!AE36*'Preços Unitários'!$D$110</f>
        <v>0</v>
      </c>
      <c r="AE45" s="148">
        <f>'Cronograma Físico das Obras'!AF36*'Preços Unitários'!$D$110</f>
        <v>0</v>
      </c>
      <c r="AF45" s="148">
        <f>'Cronograma Físico das Obras'!AG36*'Preços Unitários'!$D$110</f>
        <v>0</v>
      </c>
      <c r="AG45" s="148">
        <f>'Cronograma Físico das Obras'!AH36*'Preços Unitários'!$D$110</f>
        <v>0</v>
      </c>
      <c r="AH45" s="148"/>
      <c r="AI45" s="148"/>
      <c r="AJ45" s="148"/>
      <c r="AK45" s="148"/>
      <c r="AL45" s="148"/>
    </row>
    <row r="46" spans="1:38" s="92" customFormat="1" ht="15.75" customHeight="1">
      <c r="A46" s="188" t="s">
        <v>352</v>
      </c>
      <c r="B46" s="184" t="s">
        <v>376</v>
      </c>
      <c r="C46" s="189">
        <f>SUM(D46:AG46)</f>
        <v>92480000</v>
      </c>
      <c r="D46" s="140"/>
      <c r="E46" s="140"/>
      <c r="F46" s="139">
        <f>ROUND('Cronograma Físico das Obras'!G37*'Preços Unitários'!$D$133,0)</f>
        <v>31680000</v>
      </c>
      <c r="G46" s="139">
        <f>'Cronograma Físico das Obras'!H37*'Preços Unitários'!$D$133</f>
        <v>0</v>
      </c>
      <c r="H46" s="139">
        <f>ROUND('Cronograma Físico das Obras'!I37*'Preços Unitários'!$D$133,0)</f>
        <v>0</v>
      </c>
      <c r="I46" s="139">
        <f>'Cronograma Físico das Obras'!J37*'Preços Unitários'!$D$133</f>
        <v>30400000</v>
      </c>
      <c r="J46" s="139">
        <f>'Cronograma Físico das Obras'!K37*'Preços Unitários'!$D$133</f>
        <v>0</v>
      </c>
      <c r="K46" s="139">
        <f>ROUND('Cronograma Físico das Obras'!L37*'Preços Unitários'!$D$133,0)</f>
        <v>0</v>
      </c>
      <c r="L46" s="139">
        <f>'Cronograma Físico das Obras'!M37*'Preços Unitários'!$D$133</f>
        <v>30400000</v>
      </c>
      <c r="M46" s="139">
        <f>'Cronograma Físico das Obras'!N37*'Preços Unitários'!$D$133</f>
        <v>0</v>
      </c>
      <c r="N46" s="139">
        <f>'Cronograma Físico das Obras'!O37*'Preços Unitários'!$D$133</f>
        <v>0</v>
      </c>
      <c r="O46" s="139">
        <f>ROUND('Cronograma Físico das Obras'!P37*'Preços Unitários'!$D$133,0)</f>
        <v>0</v>
      </c>
      <c r="P46" s="139">
        <f>'Cronograma Físico das Obras'!Q37*'Preços Unitários'!$D$133</f>
        <v>0</v>
      </c>
      <c r="Q46" s="140">
        <f>'Cronograma Físico das Obras'!R37*'Preços Unitários'!$D$133</f>
        <v>0</v>
      </c>
      <c r="R46" s="140">
        <f>'Cronograma Físico das Obras'!S37*'Preços Unitários'!$D$133</f>
        <v>0</v>
      </c>
      <c r="S46" s="140">
        <f>'Cronograma Físico das Obras'!T37*'Preços Unitários'!$D$133</f>
        <v>0</v>
      </c>
      <c r="T46" s="140">
        <f>'Cronograma Físico das Obras'!U37*'Preços Unitários'!$D$133</f>
        <v>0</v>
      </c>
      <c r="U46" s="140">
        <f>'Cronograma Físico das Obras'!V37*'Preços Unitários'!$D$133</f>
        <v>0</v>
      </c>
      <c r="V46" s="140">
        <f>'Cronograma Físico das Obras'!W37*'Preços Unitários'!$D$133</f>
        <v>0</v>
      </c>
      <c r="W46" s="140">
        <f>'Cronograma Físico das Obras'!X37*'Preços Unitários'!$D$133</f>
        <v>0</v>
      </c>
      <c r="X46" s="140">
        <f>'Cronograma Físico das Obras'!Y37*'Preços Unitários'!$D$133</f>
        <v>0</v>
      </c>
      <c r="Y46" s="140">
        <f>'Cronograma Físico das Obras'!Z37*'Preços Unitários'!$D$133</f>
        <v>0</v>
      </c>
      <c r="Z46" s="140">
        <f>'Cronograma Físico das Obras'!AA37*'Preços Unitários'!$D$133</f>
        <v>0</v>
      </c>
      <c r="AA46" s="140">
        <f>'Cronograma Físico das Obras'!AB37*'Preços Unitários'!$D$133</f>
        <v>0</v>
      </c>
      <c r="AB46" s="139">
        <f>ROUND('Cronograma Físico das Obras'!AC37*'Preços Unitários'!$D$133,0)</f>
        <v>0</v>
      </c>
      <c r="AC46" s="140">
        <f>'Cronograma Físico das Obras'!AD37*'Preços Unitários'!$D$133</f>
        <v>0</v>
      </c>
      <c r="AD46" s="140">
        <f>'Cronograma Físico das Obras'!AE37*'Preços Unitários'!$D$133</f>
        <v>0</v>
      </c>
      <c r="AE46" s="140">
        <f>'Cronograma Físico das Obras'!AF37*'Preços Unitários'!$D$133</f>
        <v>0</v>
      </c>
      <c r="AF46" s="140">
        <f>'Cronograma Físico das Obras'!AG37*'Preços Unitários'!$D$133</f>
        <v>0</v>
      </c>
      <c r="AG46" s="140">
        <f>'Cronograma Físico das Obras'!AH37*'Preços Unitários'!$D$133</f>
        <v>0</v>
      </c>
      <c r="AH46" s="140" t="e">
        <f>'Cronograma Físico das Obras'!#REF!*Investimento!#REF!*50%</f>
        <v>#REF!</v>
      </c>
      <c r="AI46" s="140" t="e">
        <f>'Cronograma Físico das Obras'!#REF!*Investimento!#REF!*50%</f>
        <v>#REF!</v>
      </c>
      <c r="AJ46" s="140" t="e">
        <f>'Cronograma Físico das Obras'!#REF!*Investimento!#REF!*50%</f>
        <v>#REF!</v>
      </c>
      <c r="AK46" s="140" t="e">
        <f>'Cronograma Físico das Obras'!#REF!*Investimento!#REF!*50%</f>
        <v>#REF!</v>
      </c>
      <c r="AL46" s="140" t="e">
        <f>'Cronograma Físico das Obras'!#REF!*Investimento!#REF!*50%</f>
        <v>#REF!</v>
      </c>
    </row>
    <row r="47" spans="1:38" s="92" customFormat="1" ht="14.55" customHeight="1">
      <c r="A47" s="188" t="s">
        <v>353</v>
      </c>
      <c r="B47" s="184" t="s">
        <v>533</v>
      </c>
      <c r="C47" s="189">
        <f t="shared" ref="C47:C50" si="20">SUM(D47:AG47)</f>
        <v>2062800</v>
      </c>
      <c r="D47" s="139">
        <f>'Cronograma Físico das Obras'!E38*'Preços Unitários'!$B$138</f>
        <v>0</v>
      </c>
      <c r="E47" s="139">
        <f>'Cronograma Físico das Obras'!F38*'Preços Unitários'!$B$138</f>
        <v>0</v>
      </c>
      <c r="F47" s="139">
        <f>ROUND('Cronograma Físico das Obras'!G38*'Preços Unitários'!$B$138,0)</f>
        <v>25200</v>
      </c>
      <c r="G47" s="139">
        <f>ROUND('Cronograma Físico das Obras'!H38*'Preços Unitários'!$B$138,0)</f>
        <v>36000</v>
      </c>
      <c r="H47" s="139">
        <f>ROUND('Cronograma Físico das Obras'!I38*'Preços Unitários'!$B$138,0)</f>
        <v>46800</v>
      </c>
      <c r="I47" s="139">
        <f>ROUND('Cronograma Físico das Obras'!J38*'Preços Unitários'!$B$138,0)</f>
        <v>57600</v>
      </c>
      <c r="J47" s="139">
        <f>ROUND('Cronograma Físico das Obras'!K38*'Preços Unitários'!$B$138,0)</f>
        <v>75600</v>
      </c>
      <c r="K47" s="139">
        <f>ROUND('Cronograma Físico das Obras'!L38*'Preços Unitários'!$B$138,0)</f>
        <v>79200</v>
      </c>
      <c r="L47" s="139">
        <f>ROUND('Cronograma Físico das Obras'!M38*'Preços Unitários'!$B$138,0)</f>
        <v>79200</v>
      </c>
      <c r="M47" s="139">
        <f>ROUND('Cronograma Físico das Obras'!N38*'Preços Unitários'!$B$138,0)</f>
        <v>79200</v>
      </c>
      <c r="N47" s="139">
        <f>ROUND('Cronograma Físico das Obras'!O38*'Preços Unitários'!$B$138,0)</f>
        <v>79200</v>
      </c>
      <c r="O47" s="139">
        <f>ROUND('Cronograma Físico das Obras'!P38*'Preços Unitários'!$B$138,0)</f>
        <v>79200</v>
      </c>
      <c r="P47" s="139">
        <f>ROUND('Cronograma Físico das Obras'!Q38*'Preços Unitários'!$B$138,0)</f>
        <v>79200</v>
      </c>
      <c r="Q47" s="139">
        <f>ROUND('Cronograma Físico das Obras'!R38*'Preços Unitários'!$B$138,0)</f>
        <v>79200</v>
      </c>
      <c r="R47" s="139">
        <f>ROUND('Cronograma Físico das Obras'!S38*'Preços Unitários'!$B$138,0)</f>
        <v>79200</v>
      </c>
      <c r="S47" s="139">
        <f>ROUND('Cronograma Físico das Obras'!T38*'Preços Unitários'!$B$138,0)</f>
        <v>79200</v>
      </c>
      <c r="T47" s="139">
        <f>ROUND('Cronograma Físico das Obras'!U38*'Preços Unitários'!$B$138,0)</f>
        <v>79200</v>
      </c>
      <c r="U47" s="139">
        <f>ROUND('Cronograma Físico das Obras'!V38*'Preços Unitários'!$B$138,0)</f>
        <v>79200</v>
      </c>
      <c r="V47" s="139">
        <f>ROUND('Cronograma Físico das Obras'!W38*'Preços Unitários'!$B$138,0)</f>
        <v>79200</v>
      </c>
      <c r="W47" s="139">
        <f>ROUND('Cronograma Físico das Obras'!X38*'Preços Unitários'!$B$138,0)</f>
        <v>79200</v>
      </c>
      <c r="X47" s="139">
        <f>ROUND('Cronograma Físico das Obras'!Y38*'Preços Unitários'!$B$138,0)</f>
        <v>79200</v>
      </c>
      <c r="Y47" s="139">
        <f>ROUND('Cronograma Físico das Obras'!Z38*'Preços Unitários'!$B$138,0)</f>
        <v>79200</v>
      </c>
      <c r="Z47" s="139">
        <f>ROUND('Cronograma Físico das Obras'!AA38*'Preços Unitários'!$B$138,0)</f>
        <v>79200</v>
      </c>
      <c r="AA47" s="139">
        <f>ROUND('Cronograma Físico das Obras'!AB38*'Preços Unitários'!$B$138,0)</f>
        <v>79200</v>
      </c>
      <c r="AB47" s="139">
        <f>ROUND('Cronograma Físico das Obras'!AC38*'Preços Unitários'!$B$138,0)</f>
        <v>79200</v>
      </c>
      <c r="AC47" s="139">
        <f>ROUND('Cronograma Físico das Obras'!AD38*'Preços Unitários'!$B$138,0)</f>
        <v>79200</v>
      </c>
      <c r="AD47" s="139">
        <f>ROUND('Cronograma Físico das Obras'!AE38*'Preços Unitários'!$B$138,0)</f>
        <v>79200</v>
      </c>
      <c r="AE47" s="139">
        <f>ROUND('Cronograma Físico das Obras'!AF38*'Preços Unitários'!$B$138,0)</f>
        <v>79200</v>
      </c>
      <c r="AF47" s="139">
        <f>ROUND('Cronograma Físico das Obras'!AG38*'Preços Unitários'!$B$138,0)</f>
        <v>79200</v>
      </c>
      <c r="AG47" s="139">
        <f>ROUND('Cronograma Físico das Obras'!AH38*'Preços Unitários'!$B$138,0)</f>
        <v>79200</v>
      </c>
      <c r="AH47" s="139" t="e">
        <f>'Cronograma Físico das Obras'!#REF!*'Preços Unitários'!$B$138</f>
        <v>#REF!</v>
      </c>
      <c r="AI47" s="139" t="e">
        <f>'Cronograma Físico das Obras'!#REF!*'Preços Unitários'!$B$138</f>
        <v>#REF!</v>
      </c>
      <c r="AJ47" s="139" t="e">
        <f>'Cronograma Físico das Obras'!#REF!*'Preços Unitários'!$B$138</f>
        <v>#REF!</v>
      </c>
      <c r="AK47" s="139" t="e">
        <f>'Cronograma Físico das Obras'!#REF!*'Preços Unitários'!$B$138</f>
        <v>#REF!</v>
      </c>
      <c r="AL47" s="139" t="e">
        <f>'Cronograma Físico das Obras'!#REF!*'Preços Unitários'!$B$138</f>
        <v>#REF!</v>
      </c>
    </row>
    <row r="48" spans="1:38" s="92" customFormat="1" ht="15.75" customHeight="1">
      <c r="A48" s="188" t="s">
        <v>354</v>
      </c>
      <c r="B48" s="184" t="s">
        <v>336</v>
      </c>
      <c r="C48" s="189">
        <f t="shared" si="20"/>
        <v>5760000</v>
      </c>
      <c r="D48" s="173">
        <f>ROUND('Cronograma Físico das Obras'!E39*'Preços Unitários'!$B$142,0)</f>
        <v>80000</v>
      </c>
      <c r="E48" s="173">
        <f>ROUND('Cronograma Físico das Obras'!F39*'Preços Unitários'!$B$142,0)</f>
        <v>80000</v>
      </c>
      <c r="F48" s="173">
        <f>ROUND('Cronograma Físico das Obras'!G39*'Preços Unitários'!$B$142,0)</f>
        <v>200000</v>
      </c>
      <c r="G48" s="173">
        <f>ROUND('Cronograma Físico das Obras'!H39*'Preços Unitários'!$B$142,0)</f>
        <v>200000</v>
      </c>
      <c r="H48" s="173">
        <f>ROUND('Cronograma Físico das Obras'!I39*'Preços Unitários'!$B$142,0)</f>
        <v>200000</v>
      </c>
      <c r="I48" s="173">
        <f>ROUND('Cronograma Físico das Obras'!J39*'Preços Unitários'!$B$142,0)</f>
        <v>200000</v>
      </c>
      <c r="J48" s="173">
        <f>ROUND('Cronograma Físico das Obras'!K39*'Preços Unitários'!$B$142,0)</f>
        <v>200000</v>
      </c>
      <c r="K48" s="173">
        <f>ROUND('Cronograma Físico das Obras'!L39*'Preços Unitários'!$B$142,0)</f>
        <v>200000</v>
      </c>
      <c r="L48" s="173">
        <f>ROUND('Cronograma Físico das Obras'!M39*'Preços Unitários'!$B$142,0)</f>
        <v>200000</v>
      </c>
      <c r="M48" s="173">
        <f>ROUND('Cronograma Físico das Obras'!N39*'Preços Unitários'!$B$142,0)</f>
        <v>200000</v>
      </c>
      <c r="N48" s="173">
        <f>ROUND('Cronograma Físico das Obras'!O39*'Preços Unitários'!$B$142,0)</f>
        <v>200000</v>
      </c>
      <c r="O48" s="173">
        <f>ROUND('Cronograma Físico das Obras'!P39*'Preços Unitários'!$B$142,0)</f>
        <v>200000</v>
      </c>
      <c r="P48" s="173">
        <f>ROUND('Cronograma Físico das Obras'!Q39*'Preços Unitários'!$B$142,0)</f>
        <v>200000</v>
      </c>
      <c r="Q48" s="173">
        <f>ROUND('Cronograma Físico das Obras'!R39*'Preços Unitários'!$B$142,0)</f>
        <v>200000</v>
      </c>
      <c r="R48" s="173">
        <f>ROUND('Cronograma Físico das Obras'!S39*'Preços Unitários'!$B$142,0)</f>
        <v>200000</v>
      </c>
      <c r="S48" s="173">
        <f>ROUND('Cronograma Físico das Obras'!T39*'Preços Unitários'!$B$142,0)</f>
        <v>200000</v>
      </c>
      <c r="T48" s="173">
        <f>ROUND('Cronograma Físico das Obras'!U39*'Preços Unitários'!$B$142,0)</f>
        <v>200000</v>
      </c>
      <c r="U48" s="173">
        <f>ROUND('Cronograma Físico das Obras'!V39*'Preços Unitários'!$B$142,0)</f>
        <v>200000</v>
      </c>
      <c r="V48" s="173">
        <f>ROUND('Cronograma Físico das Obras'!W39*'Preços Unitários'!$B$142,0)</f>
        <v>200000</v>
      </c>
      <c r="W48" s="173">
        <f>ROUND('Cronograma Físico das Obras'!X39*'Preços Unitários'!$B$142,0)</f>
        <v>200000</v>
      </c>
      <c r="X48" s="173">
        <f>ROUND('Cronograma Físico das Obras'!Y39*'Preços Unitários'!$B$142,0)</f>
        <v>200000</v>
      </c>
      <c r="Y48" s="173">
        <f>ROUND('Cronograma Físico das Obras'!Z39*'Preços Unitários'!$B$142,0)</f>
        <v>200000</v>
      </c>
      <c r="Z48" s="173">
        <f>ROUND('Cronograma Físico das Obras'!AA39*'Preços Unitários'!$B$142,0)</f>
        <v>200000</v>
      </c>
      <c r="AA48" s="173">
        <f>ROUND('Cronograma Físico das Obras'!AB39*'Preços Unitários'!$B$142,0)</f>
        <v>200000</v>
      </c>
      <c r="AB48" s="173">
        <f>ROUND('Cronograma Físico das Obras'!AC39*'Preços Unitários'!$B$142,0)</f>
        <v>200000</v>
      </c>
      <c r="AC48" s="173">
        <f>ROUND('Cronograma Físico das Obras'!AD39*'Preços Unitários'!$B$142,0)</f>
        <v>200000</v>
      </c>
      <c r="AD48" s="173">
        <f>ROUND('Cronograma Físico das Obras'!AE39*'Preços Unitários'!$B$142,0)</f>
        <v>200000</v>
      </c>
      <c r="AE48" s="173">
        <f>ROUND('Cronograma Físico das Obras'!AF39*'Preços Unitários'!$B$142,0)</f>
        <v>200000</v>
      </c>
      <c r="AF48" s="173">
        <f>ROUND('Cronograma Físico das Obras'!AG39*'Preços Unitários'!$B$142,0)</f>
        <v>200000</v>
      </c>
      <c r="AG48" s="173">
        <f>ROUND('Cronograma Físico das Obras'!AH39*'Preços Unitários'!$B$142,0)</f>
        <v>200000</v>
      </c>
      <c r="AH48" s="173"/>
      <c r="AI48" s="173" t="e">
        <f>'Cronograma Físico das Obras'!#REF!*'Preços Unitários'!$B$142</f>
        <v>#REF!</v>
      </c>
      <c r="AJ48" s="173" t="e">
        <f>'Cronograma Físico das Obras'!#REF!*'Preços Unitários'!$B$142</f>
        <v>#REF!</v>
      </c>
      <c r="AK48" s="173" t="e">
        <f>'Cronograma Físico das Obras'!#REF!*'Preços Unitários'!$B$142</f>
        <v>#REF!</v>
      </c>
      <c r="AL48" s="173" t="e">
        <f>'Cronograma Físico das Obras'!#REF!*'Preços Unitários'!$B$142</f>
        <v>#REF!</v>
      </c>
    </row>
    <row r="49" spans="1:39" s="92" customFormat="1" ht="15.75" customHeight="1">
      <c r="A49" s="188" t="s">
        <v>1226</v>
      </c>
      <c r="B49" s="800" t="s">
        <v>1228</v>
      </c>
      <c r="C49" s="189">
        <f t="shared" si="20"/>
        <v>17127700</v>
      </c>
      <c r="D49" s="319">
        <f>ROUND('Cronograma Físico das Obras'!E40*'Preços Unitários'!$D$130,0)</f>
        <v>0</v>
      </c>
      <c r="E49" s="319">
        <f>ROUND('Cronograma Físico das Obras'!F40*'Preços Unitários'!$D$130,0)</f>
        <v>0</v>
      </c>
      <c r="F49" s="319">
        <f>ROUND('Cronograma Físico das Obras'!G40*'Preços Unitários'!$D$130,0)</f>
        <v>0</v>
      </c>
      <c r="G49" s="319">
        <f>ROUND('Cronograma Físico das Obras'!H40*'Preços Unitários'!$D$130,0)</f>
        <v>2796600</v>
      </c>
      <c r="H49" s="319">
        <f>ROUND('Cronograma Físico das Obras'!I40*'Preços Unitários'!$D$130,0)</f>
        <v>2867400</v>
      </c>
      <c r="I49" s="319">
        <f>ROUND('Cronograma Físico das Obras'!J40*'Preços Unitários'!$D$130,0)</f>
        <v>2950000</v>
      </c>
      <c r="J49" s="319">
        <f>ROUND('Cronograma Físico das Obras'!K40*'Preços Unitários'!$D$130,0)</f>
        <v>1563500</v>
      </c>
      <c r="K49" s="319">
        <f>ROUND('Cronograma Físico das Obras'!L40*'Preços Unitários'!$D$130,0)</f>
        <v>1604800</v>
      </c>
      <c r="L49" s="319">
        <f>ROUND('Cronograma Físico das Obras'!M40*'Preços Unitários'!$D$130,0)</f>
        <v>1640200</v>
      </c>
      <c r="M49" s="319">
        <f>ROUND('Cronograma Físico das Obras'!N40*'Preços Unitários'!$D$130,0)</f>
        <v>171100</v>
      </c>
      <c r="N49" s="319">
        <f>ROUND('Cronograma Físico das Obras'!O40*'Preços Unitários'!$D$130,0)</f>
        <v>165200</v>
      </c>
      <c r="O49" s="319">
        <f>ROUND('Cronograma Físico das Obras'!P40*'Preços Unitários'!$D$130,0)</f>
        <v>171100</v>
      </c>
      <c r="P49" s="319">
        <f>ROUND('Cronograma Físico das Obras'!Q40*'Preços Unitários'!$D$130,0)</f>
        <v>165200</v>
      </c>
      <c r="Q49" s="319">
        <f>ROUND('Cronograma Físico das Obras'!R40*'Preços Unitários'!$D$130,0)</f>
        <v>171100</v>
      </c>
      <c r="R49" s="319">
        <f>ROUND('Cronograma Físico das Obras'!S40*'Preços Unitários'!$D$130,0)</f>
        <v>165200</v>
      </c>
      <c r="S49" s="319">
        <f>ROUND('Cronograma Físico das Obras'!T40*'Preços Unitários'!$D$130,0)</f>
        <v>171100</v>
      </c>
      <c r="T49" s="319">
        <f>ROUND('Cronograma Físico das Obras'!U40*'Preços Unitários'!$D$130,0)</f>
        <v>165200</v>
      </c>
      <c r="U49" s="319">
        <f>ROUND('Cronograma Físico das Obras'!V40*'Preços Unitários'!$D$130,0)</f>
        <v>171100</v>
      </c>
      <c r="V49" s="319">
        <f>ROUND('Cronograma Físico das Obras'!W40*'Preços Unitários'!$D$130,0)</f>
        <v>171100</v>
      </c>
      <c r="W49" s="319">
        <f>ROUND('Cronograma Físico das Obras'!X40*'Preços Unitários'!$D$130,0)</f>
        <v>177000</v>
      </c>
      <c r="X49" s="319">
        <f>ROUND('Cronograma Físico das Obras'!Y40*'Preços Unitários'!$D$130,0)</f>
        <v>177000</v>
      </c>
      <c r="Y49" s="319">
        <f>ROUND('Cronograma Físico das Obras'!Z40*'Preços Unitários'!$D$130,0)</f>
        <v>177000</v>
      </c>
      <c r="Z49" s="319">
        <f>ROUND('Cronograma Físico das Obras'!AA40*'Preços Unitários'!$D$130,0)</f>
        <v>177000</v>
      </c>
      <c r="AA49" s="319">
        <f>ROUND('Cronograma Físico das Obras'!AB40*'Preços Unitários'!$D$130,0)</f>
        <v>177000</v>
      </c>
      <c r="AB49" s="319">
        <f>ROUND('Cronograma Físico das Obras'!AC40*'Preços Unitários'!$D$130,0)</f>
        <v>188800</v>
      </c>
      <c r="AC49" s="319">
        <f>ROUND('Cronograma Físico das Obras'!AD40*'Preços Unitários'!$D$130,0)</f>
        <v>182900</v>
      </c>
      <c r="AD49" s="319">
        <f>ROUND('Cronograma Físico das Obras'!AE40*'Preços Unitários'!$D$130,0)</f>
        <v>182900</v>
      </c>
      <c r="AE49" s="319">
        <f>ROUND('Cronograma Físico das Obras'!AF40*'Preços Unitários'!$D$130,0)</f>
        <v>194700</v>
      </c>
      <c r="AF49" s="319">
        <f>ROUND('Cronograma Físico das Obras'!AG40*'Preços Unitários'!$D$130,0)</f>
        <v>188800</v>
      </c>
      <c r="AG49" s="319">
        <f>ROUND('Cronograma Físico das Obras'!AH40*'Preços Unitários'!$D$130,0)</f>
        <v>194700</v>
      </c>
      <c r="AH49" s="319"/>
      <c r="AI49" s="802"/>
      <c r="AJ49" s="802"/>
      <c r="AK49" s="802"/>
      <c r="AL49" s="803"/>
      <c r="AM49" s="26"/>
    </row>
    <row r="50" spans="1:39" s="92" customFormat="1" ht="15.75" customHeight="1">
      <c r="A50" s="188" t="s">
        <v>1245</v>
      </c>
      <c r="B50" s="800" t="s">
        <v>1246</v>
      </c>
      <c r="C50" s="189">
        <f t="shared" si="20"/>
        <v>25375000</v>
      </c>
      <c r="D50" s="319">
        <f>'Cronograma Físico das Obras'!E41*'Preços Unitários'!$D$124</f>
        <v>0</v>
      </c>
      <c r="E50" s="319">
        <f>'Cronograma Físico das Obras'!F41*'Preços Unitários'!$D$124</f>
        <v>0</v>
      </c>
      <c r="F50" s="319">
        <f>'Cronograma Físico das Obras'!G41*'Preços Unitários'!$D$124</f>
        <v>0</v>
      </c>
      <c r="G50" s="319">
        <f>'Cronograma Físico das Obras'!H41*'Preços Unitários'!$D$124</f>
        <v>5075000</v>
      </c>
      <c r="H50" s="319">
        <f>'Cronograma Físico das Obras'!I41*'Preços Unitários'!$D$124</f>
        <v>5075000</v>
      </c>
      <c r="I50" s="319">
        <f>'Cronograma Físico das Obras'!J41*'Preços Unitários'!$D$124</f>
        <v>5075000</v>
      </c>
      <c r="J50" s="319">
        <f>'Cronograma Físico das Obras'!K41*'Preços Unitários'!$D$124</f>
        <v>5075000</v>
      </c>
      <c r="K50" s="319">
        <f>'Cronograma Físico das Obras'!L41*'Preços Unitários'!$D$124</f>
        <v>5075000</v>
      </c>
      <c r="L50" s="319">
        <f>'Cronograma Físico das Obras'!M41*'Preços Unitários'!$D$124</f>
        <v>0</v>
      </c>
      <c r="M50" s="319">
        <f>'Cronograma Físico das Obras'!N41*'Preços Unitários'!$D$124</f>
        <v>0</v>
      </c>
      <c r="N50" s="319">
        <f>'Cronograma Físico das Obras'!O41*'Preços Unitários'!$D$124</f>
        <v>0</v>
      </c>
      <c r="O50" s="319">
        <f>'Cronograma Físico das Obras'!P41*'Preços Unitários'!$D$124</f>
        <v>0</v>
      </c>
      <c r="P50" s="319">
        <f>'Cronograma Físico das Obras'!Q41*'Preços Unitários'!$D$124</f>
        <v>0</v>
      </c>
      <c r="Q50" s="319">
        <f>'Cronograma Físico das Obras'!R41*'Preços Unitários'!$D$124</f>
        <v>0</v>
      </c>
      <c r="R50" s="319">
        <f>'Cronograma Físico das Obras'!S41*'Preços Unitários'!$D$124</f>
        <v>0</v>
      </c>
      <c r="S50" s="319">
        <f>'Cronograma Físico das Obras'!T41*'Preços Unitários'!$D$124</f>
        <v>0</v>
      </c>
      <c r="T50" s="319">
        <f>'Cronograma Físico das Obras'!U41*'Preços Unitários'!$D$124</f>
        <v>0</v>
      </c>
      <c r="U50" s="319">
        <f>'Cronograma Físico das Obras'!V41*'Preços Unitários'!$D$124</f>
        <v>0</v>
      </c>
      <c r="V50" s="319">
        <f>'Cronograma Físico das Obras'!W41*'Preços Unitários'!$D$124</f>
        <v>0</v>
      </c>
      <c r="W50" s="319">
        <f>'Cronograma Físico das Obras'!X41*'Preços Unitários'!$D$124</f>
        <v>0</v>
      </c>
      <c r="X50" s="319">
        <f>'Cronograma Físico das Obras'!Y41*'Preços Unitários'!$D$124</f>
        <v>0</v>
      </c>
      <c r="Y50" s="319">
        <f>'Cronograma Físico das Obras'!Z41*'Preços Unitários'!$D$124</f>
        <v>0</v>
      </c>
      <c r="Z50" s="319">
        <f>'Cronograma Físico das Obras'!AA41*'Preços Unitários'!$D$124</f>
        <v>0</v>
      </c>
      <c r="AA50" s="319">
        <f>'Cronograma Físico das Obras'!AB41*'Preços Unitários'!$D$124</f>
        <v>0</v>
      </c>
      <c r="AB50" s="319">
        <f>'Cronograma Físico das Obras'!AC41*'Preços Unitários'!$D$124</f>
        <v>0</v>
      </c>
      <c r="AC50" s="319">
        <f>'Cronograma Físico das Obras'!AD41*'Preços Unitários'!$D$124</f>
        <v>0</v>
      </c>
      <c r="AD50" s="319">
        <f>'Cronograma Físico das Obras'!AE41*'Preços Unitários'!$D$124</f>
        <v>0</v>
      </c>
      <c r="AE50" s="319">
        <f>'Cronograma Físico das Obras'!AF41*'Preços Unitários'!$D$124</f>
        <v>0</v>
      </c>
      <c r="AF50" s="319">
        <f>'Cronograma Físico das Obras'!AG41*'Preços Unitários'!$D$124</f>
        <v>0</v>
      </c>
      <c r="AG50" s="319">
        <f>'Cronograma Físico das Obras'!AH41*'Preços Unitários'!$D$124</f>
        <v>0</v>
      </c>
      <c r="AH50" s="319"/>
      <c r="AI50" s="802"/>
      <c r="AJ50" s="802"/>
      <c r="AK50" s="802"/>
      <c r="AL50" s="803"/>
      <c r="AM50" s="26"/>
    </row>
    <row r="51" spans="1:39" ht="15" customHeight="1">
      <c r="A51" s="1045">
        <v>3</v>
      </c>
      <c r="B51" s="1020" t="s">
        <v>363</v>
      </c>
      <c r="C51" s="193" t="s">
        <v>4</v>
      </c>
      <c r="D51" s="194" t="s">
        <v>39</v>
      </c>
      <c r="E51" s="194" t="s">
        <v>40</v>
      </c>
      <c r="F51" s="194" t="s">
        <v>41</v>
      </c>
      <c r="G51" s="194" t="s">
        <v>42</v>
      </c>
      <c r="H51" s="194" t="s">
        <v>43</v>
      </c>
      <c r="I51" s="194" t="s">
        <v>44</v>
      </c>
      <c r="J51" s="194" t="s">
        <v>45</v>
      </c>
      <c r="K51" s="194" t="s">
        <v>46</v>
      </c>
      <c r="L51" s="194" t="s">
        <v>47</v>
      </c>
      <c r="M51" s="194" t="s">
        <v>9</v>
      </c>
      <c r="N51" s="194" t="s">
        <v>10</v>
      </c>
      <c r="O51" s="194" t="s">
        <v>11</v>
      </c>
      <c r="P51" s="194" t="s">
        <v>12</v>
      </c>
      <c r="Q51" s="194" t="s">
        <v>13</v>
      </c>
      <c r="R51" s="194" t="s">
        <v>14</v>
      </c>
      <c r="S51" s="194" t="s">
        <v>15</v>
      </c>
      <c r="T51" s="194" t="s">
        <v>16</v>
      </c>
      <c r="U51" s="194" t="s">
        <v>17</v>
      </c>
      <c r="V51" s="194" t="s">
        <v>18</v>
      </c>
      <c r="W51" s="194" t="s">
        <v>19</v>
      </c>
      <c r="X51" s="194" t="s">
        <v>20</v>
      </c>
      <c r="Y51" s="194" t="s">
        <v>21</v>
      </c>
      <c r="Z51" s="194" t="s">
        <v>22</v>
      </c>
      <c r="AA51" s="194" t="s">
        <v>23</v>
      </c>
      <c r="AB51" s="194" t="s">
        <v>24</v>
      </c>
      <c r="AC51" s="194" t="s">
        <v>25</v>
      </c>
      <c r="AD51" s="194" t="s">
        <v>26</v>
      </c>
      <c r="AE51" s="194" t="s">
        <v>27</v>
      </c>
      <c r="AF51" s="194" t="s">
        <v>28</v>
      </c>
      <c r="AG51" s="194" t="s">
        <v>29</v>
      </c>
      <c r="AH51" s="194"/>
      <c r="AI51" s="194"/>
      <c r="AJ51" s="194"/>
      <c r="AK51" s="194"/>
      <c r="AL51" s="194"/>
    </row>
    <row r="52" spans="1:39" ht="15" customHeight="1">
      <c r="A52" s="1046"/>
      <c r="B52" s="1021"/>
      <c r="C52" s="189">
        <f xml:space="preserve"> SUM( $D52:$AL52 )</f>
        <v>7440995.3799999999</v>
      </c>
      <c r="D52" s="189">
        <f>SUM(D53,D56)</f>
        <v>2560497.69</v>
      </c>
      <c r="E52" s="189">
        <f t="shared" ref="E52:G52" si="21">SUM(E53,E56)</f>
        <v>2960497.69</v>
      </c>
      <c r="F52" s="189">
        <f t="shared" si="21"/>
        <v>60000</v>
      </c>
      <c r="G52" s="189">
        <f t="shared" si="21"/>
        <v>60000</v>
      </c>
      <c r="H52" s="189">
        <f t="shared" ref="H52" si="22">SUM(H53,H56)</f>
        <v>100000</v>
      </c>
      <c r="I52" s="189">
        <f t="shared" ref="I52:J52" si="23">SUM(I53,I56)</f>
        <v>60000</v>
      </c>
      <c r="J52" s="189">
        <f t="shared" si="23"/>
        <v>60000</v>
      </c>
      <c r="K52" s="189">
        <f t="shared" ref="K52" si="24">SUM(K53,K56)</f>
        <v>60000</v>
      </c>
      <c r="L52" s="189">
        <f t="shared" ref="L52:M52" si="25">SUM(L53,L56)</f>
        <v>60000</v>
      </c>
      <c r="M52" s="189">
        <f t="shared" si="25"/>
        <v>100000</v>
      </c>
      <c r="N52" s="189">
        <f t="shared" ref="N52" si="26">SUM(N53,N56)</f>
        <v>60000</v>
      </c>
      <c r="O52" s="189">
        <f t="shared" ref="O52:P52" si="27">SUM(O53,O56)</f>
        <v>60000</v>
      </c>
      <c r="P52" s="189">
        <f t="shared" si="27"/>
        <v>60000</v>
      </c>
      <c r="Q52" s="189">
        <f t="shared" ref="Q52" si="28">SUM(Q53,Q56)</f>
        <v>60000</v>
      </c>
      <c r="R52" s="189">
        <f t="shared" ref="R52:S52" si="29">SUM(R53,R56)</f>
        <v>100000</v>
      </c>
      <c r="S52" s="189">
        <f t="shared" si="29"/>
        <v>60000</v>
      </c>
      <c r="T52" s="189">
        <f t="shared" ref="T52" si="30">SUM(T53,T56)</f>
        <v>60000</v>
      </c>
      <c r="U52" s="189">
        <f t="shared" ref="U52:V52" si="31">SUM(U53,U56)</f>
        <v>60000</v>
      </c>
      <c r="V52" s="189">
        <f t="shared" si="31"/>
        <v>60000</v>
      </c>
      <c r="W52" s="189">
        <f t="shared" ref="W52" si="32">SUM(W53,W56)</f>
        <v>100000</v>
      </c>
      <c r="X52" s="189">
        <f t="shared" ref="X52:Y52" si="33">SUM(X53,X56)</f>
        <v>60000</v>
      </c>
      <c r="Y52" s="189">
        <f t="shared" si="33"/>
        <v>60000</v>
      </c>
      <c r="Z52" s="189">
        <f t="shared" ref="Z52" si="34">SUM(Z53,Z56)</f>
        <v>60000</v>
      </c>
      <c r="AA52" s="189">
        <f t="shared" ref="AA52:AB52" si="35">SUM(AA53,AA56)</f>
        <v>60000</v>
      </c>
      <c r="AB52" s="189">
        <f t="shared" si="35"/>
        <v>100000</v>
      </c>
      <c r="AC52" s="189">
        <f t="shared" ref="AC52" si="36">SUM(AC53,AC56)</f>
        <v>60000</v>
      </c>
      <c r="AD52" s="189">
        <f t="shared" ref="AD52:AE52" si="37">SUM(AD53,AD56)</f>
        <v>60000</v>
      </c>
      <c r="AE52" s="189">
        <f t="shared" si="37"/>
        <v>60000</v>
      </c>
      <c r="AF52" s="189">
        <f t="shared" ref="AF52" si="38">SUM(AF53,AF56)</f>
        <v>60000</v>
      </c>
      <c r="AG52" s="189">
        <f t="shared" ref="AG52" si="39">SUM(AG53,AG56)</f>
        <v>100000</v>
      </c>
      <c r="AH52" s="189"/>
      <c r="AI52" s="189"/>
      <c r="AJ52" s="189"/>
      <c r="AK52" s="189"/>
      <c r="AL52" s="189"/>
    </row>
    <row r="53" spans="1:39" s="94" customFormat="1" ht="15.75" customHeight="1">
      <c r="A53" s="187" t="s">
        <v>356</v>
      </c>
      <c r="B53" s="192" t="s">
        <v>225</v>
      </c>
      <c r="C53" s="189">
        <f t="shared" ref="C53:C56" si="40" xml:space="preserve"> SUM( $D53:$AL53 )</f>
        <v>5640995.3799999999</v>
      </c>
      <c r="D53" s="191">
        <f t="shared" ref="D53:AG53" si="41">SUM(D54:D55)</f>
        <v>2500497.69</v>
      </c>
      <c r="E53" s="191">
        <f t="shared" si="41"/>
        <v>2900497.69</v>
      </c>
      <c r="F53" s="191">
        <f t="shared" si="41"/>
        <v>0</v>
      </c>
      <c r="G53" s="191">
        <f t="shared" si="41"/>
        <v>0</v>
      </c>
      <c r="H53" s="191">
        <f t="shared" si="41"/>
        <v>40000</v>
      </c>
      <c r="I53" s="191">
        <f t="shared" si="41"/>
        <v>0</v>
      </c>
      <c r="J53" s="191">
        <f t="shared" si="41"/>
        <v>0</v>
      </c>
      <c r="K53" s="191">
        <f t="shared" si="41"/>
        <v>0</v>
      </c>
      <c r="L53" s="191">
        <f t="shared" si="41"/>
        <v>0</v>
      </c>
      <c r="M53" s="191">
        <f t="shared" si="41"/>
        <v>40000</v>
      </c>
      <c r="N53" s="191">
        <f t="shared" si="41"/>
        <v>0</v>
      </c>
      <c r="O53" s="191">
        <f t="shared" si="41"/>
        <v>0</v>
      </c>
      <c r="P53" s="191">
        <f t="shared" si="41"/>
        <v>0</v>
      </c>
      <c r="Q53" s="191">
        <f t="shared" si="41"/>
        <v>0</v>
      </c>
      <c r="R53" s="191">
        <f t="shared" si="41"/>
        <v>40000</v>
      </c>
      <c r="S53" s="191">
        <f t="shared" si="41"/>
        <v>0</v>
      </c>
      <c r="T53" s="191">
        <f t="shared" si="41"/>
        <v>0</v>
      </c>
      <c r="U53" s="191">
        <f t="shared" si="41"/>
        <v>0</v>
      </c>
      <c r="V53" s="191">
        <f t="shared" si="41"/>
        <v>0</v>
      </c>
      <c r="W53" s="191">
        <f t="shared" si="41"/>
        <v>40000</v>
      </c>
      <c r="X53" s="191">
        <f t="shared" si="41"/>
        <v>0</v>
      </c>
      <c r="Y53" s="191">
        <f t="shared" si="41"/>
        <v>0</v>
      </c>
      <c r="Z53" s="191">
        <f t="shared" si="41"/>
        <v>0</v>
      </c>
      <c r="AA53" s="191">
        <f t="shared" si="41"/>
        <v>0</v>
      </c>
      <c r="AB53" s="191">
        <f t="shared" si="41"/>
        <v>40000</v>
      </c>
      <c r="AC53" s="191">
        <f t="shared" si="41"/>
        <v>0</v>
      </c>
      <c r="AD53" s="191">
        <f t="shared" si="41"/>
        <v>0</v>
      </c>
      <c r="AE53" s="191">
        <f t="shared" si="41"/>
        <v>0</v>
      </c>
      <c r="AF53" s="191">
        <f t="shared" si="41"/>
        <v>0</v>
      </c>
      <c r="AG53" s="191">
        <f t="shared" si="41"/>
        <v>40000</v>
      </c>
      <c r="AH53" s="191"/>
      <c r="AI53" s="191"/>
      <c r="AJ53" s="191"/>
      <c r="AK53" s="191"/>
      <c r="AL53" s="191"/>
    </row>
    <row r="54" spans="1:39" s="94" customFormat="1" ht="15.75" customHeight="1">
      <c r="A54" s="187" t="s">
        <v>358</v>
      </c>
      <c r="B54" s="93" t="s">
        <v>378</v>
      </c>
      <c r="C54" s="189">
        <f t="shared" si="40"/>
        <v>5000995.38</v>
      </c>
      <c r="D54" s="12">
        <f>'Preços Unitários'!$B$137*'Cronograma Físico das Obras'!E45</f>
        <v>2500497.69</v>
      </c>
      <c r="E54" s="12">
        <f>'Preços Unitários'!$B$137*'Cronograma Físico das Obras'!F45</f>
        <v>2500497.69</v>
      </c>
      <c r="F54" s="12">
        <f>'Cronograma Físico das Obras'!G45*'Preços Unitários'!$B$137</f>
        <v>0</v>
      </c>
      <c r="G54" s="12">
        <f>'Cronograma Físico das Obras'!H45*'Preços Unitários'!$B$137</f>
        <v>0</v>
      </c>
      <c r="H54" s="12">
        <f>'Cronograma Físico das Obras'!I45*'Preços Unitários'!$B$137</f>
        <v>0</v>
      </c>
      <c r="I54" s="12">
        <f>'Cronograma Físico das Obras'!J45*'Preços Unitários'!$B$137</f>
        <v>0</v>
      </c>
      <c r="J54" s="12">
        <f>'Cronograma Físico das Obras'!K45*'Preços Unitários'!$B$137</f>
        <v>0</v>
      </c>
      <c r="K54" s="12">
        <f>'Cronograma Físico das Obras'!L45*'Preços Unitários'!$B$137</f>
        <v>0</v>
      </c>
      <c r="L54" s="12">
        <f>'Cronograma Físico das Obras'!M45*'Preços Unitários'!$B$137</f>
        <v>0</v>
      </c>
      <c r="M54" s="12">
        <f>'Cronograma Físico das Obras'!N45*'Preços Unitários'!$B$137</f>
        <v>0</v>
      </c>
      <c r="N54" s="12">
        <f>'Cronograma Físico das Obras'!O45*'Preços Unitários'!$B$137</f>
        <v>0</v>
      </c>
      <c r="O54" s="12">
        <f>'Cronograma Físico das Obras'!P45*'Preços Unitários'!$B$137</f>
        <v>0</v>
      </c>
      <c r="P54" s="12">
        <f>'Cronograma Físico das Obras'!Q45*'Preços Unitários'!$B$137</f>
        <v>0</v>
      </c>
      <c r="Q54" s="12">
        <f>'Cronograma Físico das Obras'!R45*'Preços Unitários'!$B$137</f>
        <v>0</v>
      </c>
      <c r="R54" s="12">
        <f>'Cronograma Físico das Obras'!S45*'Preços Unitários'!$B$137</f>
        <v>0</v>
      </c>
      <c r="S54" s="12">
        <f>'Cronograma Físico das Obras'!T45*'Preços Unitários'!$B$137</f>
        <v>0</v>
      </c>
      <c r="T54" s="12">
        <f>'Cronograma Físico das Obras'!U45*'Preços Unitários'!$B$137</f>
        <v>0</v>
      </c>
      <c r="U54" s="12">
        <f>'Cronograma Físico das Obras'!V45*'Preços Unitários'!$B$137</f>
        <v>0</v>
      </c>
      <c r="V54" s="12">
        <f>'Cronograma Físico das Obras'!W45*'Preços Unitários'!$B$137</f>
        <v>0</v>
      </c>
      <c r="W54" s="12">
        <f>'Cronograma Físico das Obras'!X45*'Preços Unitários'!$B$137</f>
        <v>0</v>
      </c>
      <c r="X54" s="12">
        <f>'Cronograma Físico das Obras'!Y45*'Preços Unitários'!$B$137</f>
        <v>0</v>
      </c>
      <c r="Y54" s="12">
        <f>'Cronograma Físico das Obras'!Z45*'Preços Unitários'!$B$137</f>
        <v>0</v>
      </c>
      <c r="Z54" s="12">
        <f>'Cronograma Físico das Obras'!AA45*'Preços Unitários'!$B$137</f>
        <v>0</v>
      </c>
      <c r="AA54" s="12">
        <f>'Cronograma Físico das Obras'!AB45*'Preços Unitários'!$B$137</f>
        <v>0</v>
      </c>
      <c r="AB54" s="12">
        <f>'Cronograma Físico das Obras'!AC45*'Preços Unitários'!$B$137</f>
        <v>0</v>
      </c>
      <c r="AC54" s="12">
        <f>'Cronograma Físico das Obras'!AD45*'Preços Unitários'!$B$137</f>
        <v>0</v>
      </c>
      <c r="AD54" s="12">
        <f>'Cronograma Físico das Obras'!AE45*'Preços Unitários'!$B$137</f>
        <v>0</v>
      </c>
      <c r="AE54" s="12">
        <f>'Cronograma Físico das Obras'!AF45*'Preços Unitários'!$B$137</f>
        <v>0</v>
      </c>
      <c r="AF54" s="12">
        <f>'Cronograma Físico das Obras'!AG45*'Preços Unitários'!$B$137</f>
        <v>0</v>
      </c>
      <c r="AG54" s="12">
        <f>'Cronograma Físico das Obras'!AH45*'Preços Unitários'!$B$137</f>
        <v>0</v>
      </c>
      <c r="AH54" s="12"/>
      <c r="AI54" s="12"/>
      <c r="AJ54" s="12"/>
      <c r="AK54" s="12"/>
      <c r="AL54" s="12"/>
    </row>
    <row r="55" spans="1:39" s="88" customFormat="1" ht="15.75" customHeight="1">
      <c r="A55" s="187" t="s">
        <v>359</v>
      </c>
      <c r="B55" s="93" t="s">
        <v>379</v>
      </c>
      <c r="C55" s="189">
        <f xml:space="preserve"> SUM( $D55:$AL55 )</f>
        <v>640000</v>
      </c>
      <c r="D55" s="139">
        <f>'Cronograma Físico das Obras'!E46*'Preços Unitários'!$B$143</f>
        <v>0</v>
      </c>
      <c r="E55" s="139">
        <v>400000</v>
      </c>
      <c r="F55" s="139">
        <f>'Cronograma Físico das Obras'!G46*'Preços Unitários'!$B$143</f>
        <v>0</v>
      </c>
      <c r="G55" s="139">
        <f>'Cronograma Físico das Obras'!H46*'Preços Unitários'!$B$143</f>
        <v>0</v>
      </c>
      <c r="H55" s="139">
        <f>'Cronograma Físico das Obras'!I46*'Preços Unitários'!$B$143</f>
        <v>40000</v>
      </c>
      <c r="I55" s="139">
        <f>'Cronograma Físico das Obras'!J46*'Preços Unitários'!$B$143</f>
        <v>0</v>
      </c>
      <c r="J55" s="139">
        <f>'Cronograma Físico das Obras'!K46*'Preços Unitários'!$B$143</f>
        <v>0</v>
      </c>
      <c r="K55" s="139">
        <f>'Cronograma Físico das Obras'!L46*'Preços Unitários'!$B$143</f>
        <v>0</v>
      </c>
      <c r="L55" s="139">
        <f>'Cronograma Físico das Obras'!M46*'Preços Unitários'!$B$143</f>
        <v>0</v>
      </c>
      <c r="M55" s="139">
        <f>'Cronograma Físico das Obras'!N46*'Preços Unitários'!$B$143</f>
        <v>40000</v>
      </c>
      <c r="N55" s="139">
        <f>'Cronograma Físico das Obras'!O46*'Preços Unitários'!$B$143</f>
        <v>0</v>
      </c>
      <c r="O55" s="139">
        <f>'Cronograma Físico das Obras'!P46*'Preços Unitários'!$B$143</f>
        <v>0</v>
      </c>
      <c r="P55" s="139">
        <f>'Cronograma Físico das Obras'!Q46*'Preços Unitários'!$B$143</f>
        <v>0</v>
      </c>
      <c r="Q55" s="139">
        <f>'Cronograma Físico das Obras'!R46*'Preços Unitários'!$B$143</f>
        <v>0</v>
      </c>
      <c r="R55" s="139">
        <f>'Cronograma Físico das Obras'!S46*'Preços Unitários'!$B$143</f>
        <v>40000</v>
      </c>
      <c r="S55" s="139">
        <f>'Cronograma Físico das Obras'!T46*'Preços Unitários'!$B$143</f>
        <v>0</v>
      </c>
      <c r="T55" s="139">
        <f>'Cronograma Físico das Obras'!U46*'Preços Unitários'!$B$143</f>
        <v>0</v>
      </c>
      <c r="U55" s="139">
        <f>'Cronograma Físico das Obras'!V46*'Preços Unitários'!$B$143</f>
        <v>0</v>
      </c>
      <c r="V55" s="139">
        <f>'Cronograma Físico das Obras'!W46*'Preços Unitários'!$B$143</f>
        <v>0</v>
      </c>
      <c r="W55" s="139">
        <f>'Cronograma Físico das Obras'!X46*'Preços Unitários'!$B$143</f>
        <v>40000</v>
      </c>
      <c r="X55" s="139">
        <f>'Cronograma Físico das Obras'!Y46*'Preços Unitários'!$B$143</f>
        <v>0</v>
      </c>
      <c r="Y55" s="139">
        <f>'Cronograma Físico das Obras'!Z46*'Preços Unitários'!$B$143</f>
        <v>0</v>
      </c>
      <c r="Z55" s="139">
        <f>'Cronograma Físico das Obras'!AA46*'Preços Unitários'!$B$143</f>
        <v>0</v>
      </c>
      <c r="AA55" s="139">
        <f>'Cronograma Físico das Obras'!AB46*'Preços Unitários'!$B$143</f>
        <v>0</v>
      </c>
      <c r="AB55" s="139">
        <f>'Cronograma Físico das Obras'!AC46*'Preços Unitários'!$B$143</f>
        <v>40000</v>
      </c>
      <c r="AC55" s="139">
        <f>'Cronograma Físico das Obras'!AD46*'Preços Unitários'!$B$143</f>
        <v>0</v>
      </c>
      <c r="AD55" s="139">
        <f>'Cronograma Físico das Obras'!AE46*'Preços Unitários'!$B$143</f>
        <v>0</v>
      </c>
      <c r="AE55" s="139">
        <f>'Cronograma Físico das Obras'!AF46*'Preços Unitários'!$B$143</f>
        <v>0</v>
      </c>
      <c r="AF55" s="139">
        <f>'Cronograma Físico das Obras'!AG46*'Preços Unitários'!$B$143</f>
        <v>0</v>
      </c>
      <c r="AG55" s="139">
        <f>'Cronograma Físico das Obras'!AH46*'Preços Unitários'!$B$143</f>
        <v>40000</v>
      </c>
      <c r="AH55" s="139"/>
      <c r="AI55" s="139"/>
      <c r="AJ55" s="139"/>
      <c r="AK55" s="139"/>
      <c r="AL55" s="139"/>
    </row>
    <row r="56" spans="1:39" s="94" customFormat="1" ht="15.75" customHeight="1">
      <c r="A56" s="187" t="s">
        <v>357</v>
      </c>
      <c r="B56" s="192" t="s">
        <v>360</v>
      </c>
      <c r="C56" s="189">
        <f t="shared" si="40"/>
        <v>1800000</v>
      </c>
      <c r="D56" s="191">
        <f t="shared" ref="D56:AG56" si="42">SUM(D57:D57)</f>
        <v>60000</v>
      </c>
      <c r="E56" s="191">
        <f t="shared" si="42"/>
        <v>60000</v>
      </c>
      <c r="F56" s="191">
        <f t="shared" si="42"/>
        <v>60000</v>
      </c>
      <c r="G56" s="191">
        <f t="shared" si="42"/>
        <v>60000</v>
      </c>
      <c r="H56" s="191">
        <f t="shared" si="42"/>
        <v>60000</v>
      </c>
      <c r="I56" s="191">
        <f t="shared" si="42"/>
        <v>60000</v>
      </c>
      <c r="J56" s="191">
        <f t="shared" si="42"/>
        <v>60000</v>
      </c>
      <c r="K56" s="191">
        <f t="shared" si="42"/>
        <v>60000</v>
      </c>
      <c r="L56" s="191">
        <f t="shared" si="42"/>
        <v>60000</v>
      </c>
      <c r="M56" s="191">
        <f t="shared" si="42"/>
        <v>60000</v>
      </c>
      <c r="N56" s="191">
        <f t="shared" si="42"/>
        <v>60000</v>
      </c>
      <c r="O56" s="191">
        <f t="shared" si="42"/>
        <v>60000</v>
      </c>
      <c r="P56" s="191">
        <f t="shared" si="42"/>
        <v>60000</v>
      </c>
      <c r="Q56" s="191">
        <f t="shared" si="42"/>
        <v>60000</v>
      </c>
      <c r="R56" s="191">
        <f t="shared" si="42"/>
        <v>60000</v>
      </c>
      <c r="S56" s="191">
        <f t="shared" si="42"/>
        <v>60000</v>
      </c>
      <c r="T56" s="191">
        <f t="shared" si="42"/>
        <v>60000</v>
      </c>
      <c r="U56" s="191">
        <f t="shared" si="42"/>
        <v>60000</v>
      </c>
      <c r="V56" s="191">
        <f t="shared" si="42"/>
        <v>60000</v>
      </c>
      <c r="W56" s="191">
        <f t="shared" si="42"/>
        <v>60000</v>
      </c>
      <c r="X56" s="191">
        <f t="shared" si="42"/>
        <v>60000</v>
      </c>
      <c r="Y56" s="191">
        <f t="shared" si="42"/>
        <v>60000</v>
      </c>
      <c r="Z56" s="191">
        <f t="shared" si="42"/>
        <v>60000</v>
      </c>
      <c r="AA56" s="191">
        <f t="shared" si="42"/>
        <v>60000</v>
      </c>
      <c r="AB56" s="191">
        <f t="shared" si="42"/>
        <v>60000</v>
      </c>
      <c r="AC56" s="191">
        <f t="shared" si="42"/>
        <v>60000</v>
      </c>
      <c r="AD56" s="191">
        <f t="shared" si="42"/>
        <v>60000</v>
      </c>
      <c r="AE56" s="191">
        <f t="shared" si="42"/>
        <v>60000</v>
      </c>
      <c r="AF56" s="191">
        <f t="shared" si="42"/>
        <v>60000</v>
      </c>
      <c r="AG56" s="191">
        <f t="shared" si="42"/>
        <v>60000</v>
      </c>
      <c r="AH56" s="191"/>
      <c r="AI56" s="191"/>
      <c r="AJ56" s="191"/>
      <c r="AK56" s="191"/>
      <c r="AL56" s="191"/>
    </row>
    <row r="57" spans="1:39" s="94" customFormat="1" ht="15.75" customHeight="1">
      <c r="A57" s="853" t="s">
        <v>361</v>
      </c>
      <c r="B57" s="854" t="s">
        <v>355</v>
      </c>
      <c r="C57" s="801">
        <f>SUM(D57:AG57)</f>
        <v>1800000</v>
      </c>
      <c r="D57" s="319">
        <f>'Cronograma Físico das Obras'!E48*'Preços Unitários'!$B$140</f>
        <v>60000</v>
      </c>
      <c r="E57" s="319">
        <f>'Cronograma Físico das Obras'!F48*'Preços Unitários'!$B$140</f>
        <v>60000</v>
      </c>
      <c r="F57" s="319">
        <f>'Cronograma Físico das Obras'!G48*'Preços Unitários'!$B$140</f>
        <v>60000</v>
      </c>
      <c r="G57" s="319">
        <f>'Cronograma Físico das Obras'!H48*'Preços Unitários'!$B$140</f>
        <v>60000</v>
      </c>
      <c r="H57" s="319">
        <f>'Cronograma Físico das Obras'!I48*'Preços Unitários'!$B$140</f>
        <v>60000</v>
      </c>
      <c r="I57" s="319">
        <f>'Cronograma Físico das Obras'!J48*'Preços Unitários'!$B$140</f>
        <v>60000</v>
      </c>
      <c r="J57" s="319">
        <f>'Cronograma Físico das Obras'!K48*'Preços Unitários'!$B$140</f>
        <v>60000</v>
      </c>
      <c r="K57" s="319">
        <f>'Cronograma Físico das Obras'!L48*'Preços Unitários'!$B$140</f>
        <v>60000</v>
      </c>
      <c r="L57" s="319">
        <f>'Cronograma Físico das Obras'!M48*'Preços Unitários'!$B$140</f>
        <v>60000</v>
      </c>
      <c r="M57" s="319">
        <f>'Cronograma Físico das Obras'!N48*'Preços Unitários'!$B$140</f>
        <v>60000</v>
      </c>
      <c r="N57" s="319">
        <f>'Cronograma Físico das Obras'!O48*'Preços Unitários'!$B$140</f>
        <v>60000</v>
      </c>
      <c r="O57" s="319">
        <f>'Cronograma Físico das Obras'!P48*'Preços Unitários'!$B$140</f>
        <v>60000</v>
      </c>
      <c r="P57" s="12">
        <f>'Cronograma Físico das Obras'!Q48*'Preços Unitários'!$B$140</f>
        <v>60000</v>
      </c>
      <c r="Q57" s="12">
        <f>'Cronograma Físico das Obras'!R48*'Preços Unitários'!$B$140</f>
        <v>60000</v>
      </c>
      <c r="R57" s="12">
        <f>'Cronograma Físico das Obras'!S48*'Preços Unitários'!$B$140</f>
        <v>60000</v>
      </c>
      <c r="S57" s="12">
        <f>'Cronograma Físico das Obras'!T48*'Preços Unitários'!$B$140</f>
        <v>60000</v>
      </c>
      <c r="T57" s="12">
        <f>'Cronograma Físico das Obras'!U48*'Preços Unitários'!$B$140</f>
        <v>60000</v>
      </c>
      <c r="U57" s="12">
        <f>'Cronograma Físico das Obras'!V48*'Preços Unitários'!$B$140</f>
        <v>60000</v>
      </c>
      <c r="V57" s="12">
        <f>'Cronograma Físico das Obras'!W48*'Preços Unitários'!$B$140</f>
        <v>60000</v>
      </c>
      <c r="W57" s="12">
        <f>'Cronograma Físico das Obras'!X48*'Preços Unitários'!$B$140</f>
        <v>60000</v>
      </c>
      <c r="X57" s="12">
        <f>'Cronograma Físico das Obras'!Y48*'Preços Unitários'!$B$140</f>
        <v>60000</v>
      </c>
      <c r="Y57" s="12">
        <f>'Cronograma Físico das Obras'!Z48*'Preços Unitários'!$B$140</f>
        <v>60000</v>
      </c>
      <c r="Z57" s="12">
        <f>'Cronograma Físico das Obras'!AA48*'Preços Unitários'!$B$140</f>
        <v>60000</v>
      </c>
      <c r="AA57" s="12">
        <f>'Cronograma Físico das Obras'!AB48*'Preços Unitários'!$B$140</f>
        <v>60000</v>
      </c>
      <c r="AB57" s="12">
        <f>'Cronograma Físico das Obras'!AC48*'Preços Unitários'!$B$140</f>
        <v>60000</v>
      </c>
      <c r="AC57" s="12">
        <f>'Cronograma Físico das Obras'!AD48*'Preços Unitários'!$B$140</f>
        <v>60000</v>
      </c>
      <c r="AD57" s="12">
        <f>'Cronograma Físico das Obras'!AE48*'Preços Unitários'!$B$140</f>
        <v>60000</v>
      </c>
      <c r="AE57" s="12">
        <f>'Cronograma Físico das Obras'!AF48*'Preços Unitários'!$B$140</f>
        <v>60000</v>
      </c>
      <c r="AF57" s="12">
        <f>'Cronograma Físico das Obras'!AG48*'Preços Unitários'!$B$140</f>
        <v>60000</v>
      </c>
      <c r="AG57" s="12">
        <f>'Cronograma Físico das Obras'!AH48*'Preços Unitários'!$B$140</f>
        <v>60000</v>
      </c>
      <c r="AH57" s="12" t="e">
        <f>'Cronograma Físico das Obras'!#REF!*'Preços Unitários'!$B$140</f>
        <v>#REF!</v>
      </c>
      <c r="AI57" s="12" t="e">
        <f>'Cronograma Físico das Obras'!#REF!*'Preços Unitários'!$B$140</f>
        <v>#REF!</v>
      </c>
      <c r="AJ57" s="12" t="e">
        <f>'Cronograma Físico das Obras'!#REF!*'Preços Unitários'!$B$140</f>
        <v>#REF!</v>
      </c>
      <c r="AK57" s="12" t="e">
        <f>'Cronograma Físico das Obras'!#REF!*'Preços Unitários'!$B$140</f>
        <v>#REF!</v>
      </c>
      <c r="AL57" s="12" t="e">
        <f>'Cronograma Físico das Obras'!#REF!*'Preços Unitários'!$B$140</f>
        <v>#REF!</v>
      </c>
    </row>
    <row r="58" spans="1:39" s="94" customFormat="1" ht="15.75" customHeight="1">
      <c r="A58" s="740"/>
      <c r="B58" s="84"/>
      <c r="C58" s="583"/>
      <c r="D58" s="26"/>
      <c r="E58" s="88"/>
      <c r="F58" s="26"/>
      <c r="G58" s="26"/>
      <c r="H58" s="26"/>
      <c r="I58" s="26"/>
      <c r="J58" s="26"/>
      <c r="K58" s="26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  <c r="AH58" s="293"/>
      <c r="AI58" s="293"/>
      <c r="AJ58" s="293"/>
      <c r="AK58" s="293"/>
      <c r="AL58" s="293"/>
    </row>
    <row r="59" spans="1:39" s="94" customFormat="1" ht="15.75" customHeight="1">
      <c r="A59" s="740"/>
      <c r="B59" s="84"/>
      <c r="C59" s="583"/>
      <c r="D59" s="26"/>
      <c r="E59" s="88"/>
      <c r="F59" s="26"/>
      <c r="G59" s="26"/>
      <c r="H59" s="26"/>
      <c r="I59" s="26"/>
      <c r="J59" s="26"/>
      <c r="K59" s="26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  <c r="AH59" s="293"/>
      <c r="AI59" s="293"/>
      <c r="AJ59" s="293"/>
      <c r="AK59" s="293"/>
      <c r="AL59" s="293"/>
    </row>
    <row r="60" spans="1:39" s="88" customFormat="1" ht="15.75" customHeight="1">
      <c r="A60" s="740"/>
      <c r="B60" s="84"/>
      <c r="C60" s="583"/>
      <c r="D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</row>
    <row r="61" spans="1:39" ht="15.75" customHeight="1">
      <c r="D61" s="89"/>
      <c r="E61" s="89"/>
      <c r="F61" s="89"/>
      <c r="G61" s="89"/>
      <c r="H61" s="89"/>
      <c r="I61" s="89"/>
      <c r="J61" s="89"/>
      <c r="K61" s="89"/>
    </row>
    <row r="62" spans="1:39" ht="15" customHeight="1">
      <c r="D62" s="89"/>
      <c r="E62" s="89"/>
      <c r="F62" s="89"/>
      <c r="G62" s="89"/>
      <c r="H62" s="89"/>
      <c r="I62" s="89"/>
      <c r="J62" s="89"/>
      <c r="K62" s="89"/>
    </row>
    <row r="63" spans="1:39" ht="15.75" customHeight="1">
      <c r="B63" s="851"/>
      <c r="D63" s="89"/>
      <c r="E63" s="1036"/>
      <c r="F63" s="1036"/>
      <c r="G63" s="1036"/>
      <c r="H63" s="1036"/>
      <c r="I63" s="1036"/>
      <c r="J63" s="1036"/>
      <c r="K63" s="91"/>
    </row>
    <row r="64" spans="1:39" ht="15.75" customHeight="1">
      <c r="D64" s="89"/>
      <c r="E64" s="1036"/>
      <c r="F64" s="1036"/>
      <c r="G64" s="1036"/>
      <c r="H64" s="1036"/>
      <c r="I64" s="1036"/>
      <c r="J64" s="1036"/>
      <c r="K64" s="1036"/>
    </row>
    <row r="65" spans="3:38" ht="15.75" customHeight="1">
      <c r="D65" s="89"/>
      <c r="E65" s="1036"/>
      <c r="F65" s="1036"/>
      <c r="G65" s="741"/>
      <c r="H65" s="741"/>
      <c r="I65" s="741"/>
      <c r="J65" s="741"/>
      <c r="K65" s="741"/>
    </row>
    <row r="66" spans="3:38" ht="15.75" customHeight="1">
      <c r="C66" s="852"/>
      <c r="D66" s="84"/>
      <c r="E66" s="1036"/>
      <c r="F66" s="1036"/>
      <c r="G66" s="740"/>
      <c r="H66" s="740"/>
      <c r="I66" s="740"/>
      <c r="J66" s="740"/>
      <c r="K66" s="740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</row>
    <row r="67" spans="3:38" ht="15.75" customHeight="1">
      <c r="D67" s="84"/>
      <c r="E67" s="1036"/>
      <c r="F67" s="1036"/>
      <c r="G67" s="583"/>
      <c r="H67" s="583"/>
      <c r="I67" s="583"/>
      <c r="J67" s="583"/>
      <c r="K67" s="583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</row>
    <row r="68" spans="3:38" ht="15" customHeight="1">
      <c r="D68" s="84"/>
      <c r="E68" s="1036"/>
      <c r="F68" s="1036"/>
      <c r="G68" s="583"/>
      <c r="H68" s="583"/>
      <c r="I68" s="583"/>
      <c r="J68" s="583"/>
      <c r="K68" s="583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</row>
    <row r="69" spans="3:38" ht="29.25" customHeight="1">
      <c r="D69" s="84"/>
      <c r="E69" s="1037"/>
      <c r="F69" s="1037"/>
      <c r="G69" s="583"/>
      <c r="H69" s="583"/>
      <c r="I69" s="583"/>
      <c r="J69" s="583"/>
      <c r="K69" s="583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</row>
    <row r="70" spans="3:38" ht="15.75" customHeight="1">
      <c r="D70" s="84"/>
      <c r="E70" s="1036"/>
      <c r="F70" s="1036"/>
      <c r="G70" s="583"/>
      <c r="H70" s="583"/>
      <c r="I70" s="583"/>
      <c r="J70" s="583"/>
      <c r="K70" s="583"/>
      <c r="L70" s="73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</row>
    <row r="71" spans="3:38" ht="12" customHeight="1">
      <c r="D71" s="84"/>
      <c r="E71" s="84"/>
      <c r="F71" s="90"/>
      <c r="G71" s="90"/>
      <c r="H71" s="90"/>
      <c r="I71" s="90"/>
      <c r="J71" s="90"/>
      <c r="K71" s="90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</row>
    <row r="72" spans="3:38">
      <c r="E72" s="1036"/>
      <c r="F72" s="1036"/>
      <c r="G72" s="1036"/>
      <c r="H72" s="1036"/>
      <c r="I72" s="1036"/>
      <c r="J72" s="1036"/>
      <c r="K72" s="91"/>
    </row>
    <row r="73" spans="3:38">
      <c r="E73" s="1036"/>
      <c r="F73" s="1036"/>
      <c r="G73" s="1036"/>
      <c r="H73" s="1036"/>
      <c r="I73" s="1036"/>
      <c r="J73" s="1036"/>
      <c r="K73" s="1036"/>
    </row>
    <row r="74" spans="3:38">
      <c r="E74" s="1036"/>
      <c r="F74" s="1036"/>
      <c r="G74" s="741"/>
      <c r="H74" s="741"/>
      <c r="I74" s="741"/>
      <c r="J74" s="741"/>
      <c r="K74" s="741"/>
    </row>
    <row r="75" spans="3:38">
      <c r="E75" s="1036"/>
      <c r="F75" s="1036"/>
      <c r="G75" s="740"/>
      <c r="H75" s="740"/>
      <c r="I75" s="740"/>
      <c r="J75" s="740"/>
      <c r="K75" s="740"/>
    </row>
    <row r="76" spans="3:38">
      <c r="E76" s="1036"/>
      <c r="F76" s="1036"/>
      <c r="G76" s="583"/>
      <c r="H76" s="583"/>
      <c r="I76" s="583"/>
      <c r="J76" s="583"/>
      <c r="K76" s="583"/>
    </row>
    <row r="77" spans="3:38">
      <c r="E77" s="1036"/>
      <c r="F77" s="1036"/>
      <c r="G77" s="583"/>
      <c r="H77" s="583"/>
      <c r="I77" s="583"/>
      <c r="J77" s="583"/>
      <c r="K77" s="583"/>
    </row>
    <row r="78" spans="3:38">
      <c r="E78" s="1037"/>
      <c r="F78" s="1037"/>
      <c r="G78" s="583"/>
      <c r="H78" s="583"/>
      <c r="I78" s="583"/>
      <c r="J78" s="583"/>
      <c r="K78" s="583"/>
    </row>
    <row r="79" spans="3:38">
      <c r="E79" s="1036"/>
      <c r="F79" s="1036"/>
      <c r="G79" s="583"/>
      <c r="H79" s="583"/>
      <c r="I79" s="583"/>
      <c r="J79" s="583"/>
      <c r="K79" s="583"/>
    </row>
    <row r="80" spans="3:38">
      <c r="E80" s="742"/>
      <c r="F80" s="742"/>
      <c r="G80" s="742"/>
      <c r="H80" s="742"/>
      <c r="I80" s="742"/>
      <c r="J80" s="742"/>
      <c r="K80" s="742"/>
    </row>
    <row r="81" spans="5:11">
      <c r="E81" s="742"/>
      <c r="F81" s="742"/>
      <c r="G81" s="742"/>
      <c r="H81" s="742"/>
      <c r="I81" s="742"/>
      <c r="J81" s="742"/>
      <c r="K81" s="742"/>
    </row>
    <row r="82" spans="5:11">
      <c r="E82" s="1036"/>
      <c r="F82" s="1036"/>
      <c r="G82" s="1036"/>
      <c r="H82" s="1036"/>
      <c r="I82" s="1036"/>
      <c r="J82" s="1036"/>
      <c r="K82" s="91"/>
    </row>
    <row r="83" spans="5:11">
      <c r="E83" s="1036"/>
      <c r="F83" s="1036"/>
      <c r="G83" s="1036"/>
      <c r="H83" s="1036"/>
      <c r="I83" s="1036"/>
      <c r="J83" s="1036"/>
      <c r="K83" s="1036"/>
    </row>
    <row r="84" spans="5:11">
      <c r="E84" s="1036"/>
      <c r="F84" s="1036"/>
      <c r="G84" s="741"/>
      <c r="H84" s="741"/>
      <c r="I84" s="741"/>
      <c r="J84" s="741"/>
      <c r="K84" s="741"/>
    </row>
    <row r="85" spans="5:11">
      <c r="E85" s="1036"/>
      <c r="F85" s="1036"/>
      <c r="G85" s="740"/>
      <c r="H85" s="740"/>
      <c r="I85" s="740"/>
      <c r="J85" s="740"/>
      <c r="K85" s="740"/>
    </row>
    <row r="86" spans="5:11">
      <c r="E86" s="1036"/>
      <c r="F86" s="1036"/>
      <c r="G86" s="583"/>
      <c r="H86" s="583"/>
      <c r="I86" s="583"/>
      <c r="J86" s="583"/>
      <c r="K86" s="583"/>
    </row>
    <row r="87" spans="5:11">
      <c r="E87" s="1036"/>
      <c r="F87" s="1036"/>
      <c r="G87" s="583"/>
      <c r="H87" s="583"/>
      <c r="I87" s="583"/>
      <c r="J87" s="583"/>
      <c r="K87" s="583"/>
    </row>
    <row r="88" spans="5:11">
      <c r="E88" s="1037"/>
      <c r="F88" s="1037"/>
      <c r="G88" s="583"/>
      <c r="H88" s="583"/>
      <c r="I88" s="583"/>
      <c r="J88" s="583"/>
      <c r="K88" s="583"/>
    </row>
    <row r="89" spans="5:11">
      <c r="E89" s="1036"/>
      <c r="F89" s="1036"/>
      <c r="G89" s="583"/>
      <c r="H89" s="583"/>
      <c r="I89" s="583"/>
      <c r="J89" s="583"/>
      <c r="K89" s="583"/>
    </row>
    <row r="90" spans="5:11">
      <c r="E90" s="742"/>
      <c r="F90" s="742"/>
      <c r="G90" s="742"/>
      <c r="H90" s="742"/>
      <c r="I90" s="742"/>
      <c r="J90" s="742"/>
      <c r="K90" s="742"/>
    </row>
  </sheetData>
  <mergeCells count="31">
    <mergeCell ref="A3:B3"/>
    <mergeCell ref="A1:AL1"/>
    <mergeCell ref="E69:F69"/>
    <mergeCell ref="E70:F70"/>
    <mergeCell ref="E64:F66"/>
    <mergeCell ref="G64:K64"/>
    <mergeCell ref="A4:B4"/>
    <mergeCell ref="A8:B8"/>
    <mergeCell ref="E63:J63"/>
    <mergeCell ref="B33:B34"/>
    <mergeCell ref="A33:A34"/>
    <mergeCell ref="A51:A52"/>
    <mergeCell ref="B51:B52"/>
    <mergeCell ref="B11:B12"/>
    <mergeCell ref="A11:A12"/>
    <mergeCell ref="E67:F67"/>
    <mergeCell ref="E68:F68"/>
    <mergeCell ref="E72:J72"/>
    <mergeCell ref="E73:F75"/>
    <mergeCell ref="G73:K73"/>
    <mergeCell ref="E76:F76"/>
    <mergeCell ref="E77:F77"/>
    <mergeCell ref="E86:F86"/>
    <mergeCell ref="E87:F87"/>
    <mergeCell ref="E88:F88"/>
    <mergeCell ref="E89:F89"/>
    <mergeCell ref="E78:F78"/>
    <mergeCell ref="E79:F79"/>
    <mergeCell ref="E82:J82"/>
    <mergeCell ref="E83:F85"/>
    <mergeCell ref="G83:K83"/>
  </mergeCells>
  <phoneticPr fontId="12" type="noConversion"/>
  <conditionalFormatting sqref="D39:D40 D47:AL48 D51:AL57 D58:D60 F58:AL60">
    <cfRule type="cellIs" dxfId="13" priority="48" stopIfTrue="1" operator="equal">
      <formula>"N"</formula>
    </cfRule>
  </conditionalFormatting>
  <conditionalFormatting sqref="D34:AG35">
    <cfRule type="cellIs" dxfId="12" priority="33" stopIfTrue="1" operator="equal">
      <formula>"N"</formula>
    </cfRule>
  </conditionalFormatting>
  <conditionalFormatting sqref="D37:AG40">
    <cfRule type="cellIs" dxfId="11" priority="57" stopIfTrue="1" operator="equal">
      <formula>"N"</formula>
    </cfRule>
  </conditionalFormatting>
  <conditionalFormatting sqref="D11:AL24">
    <cfRule type="cellIs" dxfId="10" priority="2" stopIfTrue="1" operator="equal">
      <formula>"N"</formula>
    </cfRule>
  </conditionalFormatting>
  <conditionalFormatting sqref="D26:AL30 D32:AL33">
    <cfRule type="cellIs" dxfId="9" priority="117" stopIfTrue="1" operator="equal">
      <formula>"N"</formula>
    </cfRule>
  </conditionalFormatting>
  <conditionalFormatting sqref="D36:AL45">
    <cfRule type="cellIs" dxfId="8" priority="1" stopIfTrue="1" operator="equal">
      <formula>"N"</formula>
    </cfRule>
  </conditionalFormatting>
  <conditionalFormatting sqref="D49:AM50">
    <cfRule type="cellIs" dxfId="7" priority="3" stopIfTrue="1" operator="equal">
      <formula>"N"</formula>
    </cfRule>
  </conditionalFormatting>
  <conditionalFormatting sqref="E9:S9 D10">
    <cfRule type="cellIs" dxfId="6" priority="119" stopIfTrue="1" operator="equal">
      <formula>"N"</formula>
    </cfRule>
  </conditionalFormatting>
  <conditionalFormatting sqref="E34:AL34 AH35:AL35">
    <cfRule type="cellIs" dxfId="5" priority="29" stopIfTrue="1" operator="equal">
      <formula>"N"</formula>
    </cfRule>
  </conditionalFormatting>
  <conditionalFormatting sqref="G67:K70">
    <cfRule type="cellIs" dxfId="4" priority="113" stopIfTrue="1" operator="equal">
      <formula>"N"</formula>
    </cfRule>
  </conditionalFormatting>
  <conditionalFormatting sqref="G76:K79">
    <cfRule type="cellIs" dxfId="3" priority="5" stopIfTrue="1" operator="equal">
      <formula>"N"</formula>
    </cfRule>
  </conditionalFormatting>
  <conditionalFormatting sqref="G86:K89">
    <cfRule type="cellIs" dxfId="2" priority="4" stopIfTrue="1" operator="equal">
      <formula>"N"</formula>
    </cfRule>
  </conditionalFormatting>
  <printOptions horizontalCentered="1"/>
  <pageMargins left="1.3779527559055118" right="0.39370078740157483" top="1.1811023622047245" bottom="1.1811023622047245" header="0.31496062992125984" footer="0.31496062992125984"/>
  <pageSetup paperSize="8" scale="74" orientation="landscape" r:id="rId1"/>
  <ignoredErrors>
    <ignoredError sqref="C5:C6" formula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9" tint="-0.249977111117893"/>
  </sheetPr>
  <dimension ref="A1:XEV123"/>
  <sheetViews>
    <sheetView zoomScale="85" zoomScaleNormal="85" zoomScalePageLayoutView="90" workbookViewId="0">
      <pane xSplit="2" ySplit="1" topLeftCell="C2" activePane="bottomRight" state="frozen"/>
      <selection activeCell="L3" sqref="L3:L108"/>
      <selection pane="topRight" activeCell="L3" sqref="L3:L108"/>
      <selection pane="bottomLeft" activeCell="L3" sqref="L3:L108"/>
      <selection pane="bottomRight" activeCell="B7" activeCellId="1" sqref="B4 B7"/>
    </sheetView>
  </sheetViews>
  <sheetFormatPr defaultColWidth="8.77734375" defaultRowHeight="15" customHeight="1" outlineLevelRow="1"/>
  <cols>
    <col min="1" max="1" width="96.33203125" style="4" customWidth="1"/>
    <col min="2" max="2" width="18.33203125" style="4" bestFit="1" customWidth="1"/>
    <col min="3" max="3" width="15.6640625" style="5" bestFit="1" customWidth="1"/>
    <col min="4" max="4" width="16" style="5" bestFit="1" customWidth="1"/>
    <col min="5" max="5" width="16.77734375" style="5" customWidth="1"/>
    <col min="6" max="7" width="16.77734375" style="5" bestFit="1" customWidth="1"/>
    <col min="8" max="8" width="17.33203125" style="5" bestFit="1" customWidth="1"/>
    <col min="9" max="10" width="16.77734375" style="5" bestFit="1" customWidth="1"/>
    <col min="11" max="11" width="16" style="5" bestFit="1" customWidth="1"/>
    <col min="12" max="13" width="16.77734375" style="5" bestFit="1" customWidth="1"/>
    <col min="14" max="14" width="17.33203125" style="5" bestFit="1" customWidth="1"/>
    <col min="15" max="15" width="16.44140625" style="5" bestFit="1" customWidth="1"/>
    <col min="16" max="18" width="16.77734375" style="5" bestFit="1" customWidth="1"/>
    <col min="19" max="19" width="16" style="5" bestFit="1" customWidth="1"/>
    <col min="20" max="20" width="16.44140625" style="5" bestFit="1" customWidth="1"/>
    <col min="21" max="23" width="16.77734375" style="5" bestFit="1" customWidth="1"/>
    <col min="24" max="24" width="15.6640625" style="5" bestFit="1" customWidth="1"/>
    <col min="25" max="25" width="16.77734375" style="5" bestFit="1" customWidth="1"/>
    <col min="26" max="27" width="16.44140625" style="5" bestFit="1" customWidth="1"/>
    <col min="28" max="28" width="16.77734375" style="5" bestFit="1" customWidth="1"/>
    <col min="29" max="29" width="16" style="5" bestFit="1" customWidth="1"/>
    <col min="30" max="30" width="16.77734375" style="5" bestFit="1" customWidth="1"/>
    <col min="31" max="31" width="16.44140625" style="5" bestFit="1" customWidth="1"/>
    <col min="32" max="32" width="16" style="5" bestFit="1" customWidth="1"/>
    <col min="33" max="16384" width="8.77734375" style="5"/>
  </cols>
  <sheetData>
    <row r="1" spans="1:16376" ht="33" customHeight="1">
      <c r="A1" s="829" t="s">
        <v>1237</v>
      </c>
      <c r="B1" s="10" t="s">
        <v>1286</v>
      </c>
      <c r="C1" s="882" t="b">
        <f>Investimento!C14=B5</f>
        <v>1</v>
      </c>
      <c r="D1" s="882" t="b">
        <f>(Investimento!C31+Investimento!C47)=B6</f>
        <v>1</v>
      </c>
      <c r="E1" s="882" t="b">
        <f>(B7-B5-B6)=B4</f>
        <v>1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</row>
    <row r="2" spans="1:16376" ht="15" customHeight="1">
      <c r="B2" s="11"/>
    </row>
    <row r="3" spans="1:16376" ht="15" customHeight="1">
      <c r="A3" s="86" t="s">
        <v>213</v>
      </c>
      <c r="B3" s="11" t="s">
        <v>4</v>
      </c>
      <c r="C3" s="11">
        <v>1</v>
      </c>
      <c r="D3" s="11">
        <f t="shared" ref="D3:AF3" si="0" xml:space="preserve"> ( ( C3 ) + ( 1 ) )</f>
        <v>2</v>
      </c>
      <c r="E3" s="11">
        <f t="shared" si="0"/>
        <v>3</v>
      </c>
      <c r="F3" s="11">
        <f t="shared" si="0"/>
        <v>4</v>
      </c>
      <c r="G3" s="11">
        <f t="shared" si="0"/>
        <v>5</v>
      </c>
      <c r="H3" s="11">
        <f t="shared" si="0"/>
        <v>6</v>
      </c>
      <c r="I3" s="11">
        <f t="shared" si="0"/>
        <v>7</v>
      </c>
      <c r="J3" s="11">
        <f t="shared" si="0"/>
        <v>8</v>
      </c>
      <c r="K3" s="11">
        <f t="shared" si="0"/>
        <v>9</v>
      </c>
      <c r="L3" s="11">
        <f t="shared" si="0"/>
        <v>10</v>
      </c>
      <c r="M3" s="11">
        <f t="shared" si="0"/>
        <v>11</v>
      </c>
      <c r="N3" s="11">
        <f t="shared" si="0"/>
        <v>12</v>
      </c>
      <c r="O3" s="11">
        <f t="shared" si="0"/>
        <v>13</v>
      </c>
      <c r="P3" s="11">
        <f t="shared" si="0"/>
        <v>14</v>
      </c>
      <c r="Q3" s="11">
        <f t="shared" si="0"/>
        <v>15</v>
      </c>
      <c r="R3" s="11">
        <f t="shared" si="0"/>
        <v>16</v>
      </c>
      <c r="S3" s="11">
        <f t="shared" si="0"/>
        <v>17</v>
      </c>
      <c r="T3" s="11">
        <f t="shared" si="0"/>
        <v>18</v>
      </c>
      <c r="U3" s="11">
        <f t="shared" si="0"/>
        <v>19</v>
      </c>
      <c r="V3" s="11">
        <f t="shared" si="0"/>
        <v>20</v>
      </c>
      <c r="W3" s="11">
        <f t="shared" si="0"/>
        <v>21</v>
      </c>
      <c r="X3" s="11">
        <f t="shared" si="0"/>
        <v>22</v>
      </c>
      <c r="Y3" s="11">
        <f t="shared" si="0"/>
        <v>23</v>
      </c>
      <c r="Z3" s="11">
        <f t="shared" si="0"/>
        <v>24</v>
      </c>
      <c r="AA3" s="11">
        <f t="shared" si="0"/>
        <v>25</v>
      </c>
      <c r="AB3" s="11">
        <f t="shared" si="0"/>
        <v>26</v>
      </c>
      <c r="AC3" s="11">
        <f t="shared" si="0"/>
        <v>27</v>
      </c>
      <c r="AD3" s="11">
        <f t="shared" si="0"/>
        <v>28</v>
      </c>
      <c r="AE3" s="11">
        <f t="shared" si="0"/>
        <v>29</v>
      </c>
      <c r="AF3" s="11">
        <f t="shared" si="0"/>
        <v>30</v>
      </c>
    </row>
    <row r="4" spans="1:16376" ht="15" customHeight="1">
      <c r="A4" s="95" t="str">
        <f xml:space="preserve"> ( A$45 )</f>
        <v>Depreciação Anual Total dos Investimentos em Edificações</v>
      </c>
      <c r="B4" s="11">
        <f xml:space="preserve"> SUM( $C4:$AF4 )</f>
        <v>535032822.76027286</v>
      </c>
      <c r="C4" s="12">
        <f>C45</f>
        <v>181181.4115090929</v>
      </c>
      <c r="D4" s="12">
        <f t="shared" ref="D4:AF4" si="1">D45</f>
        <v>339743.57030219637</v>
      </c>
      <c r="E4" s="12">
        <f t="shared" si="1"/>
        <v>3426409.7972664824</v>
      </c>
      <c r="F4" s="12">
        <f t="shared" si="1"/>
        <v>5644185.5520812972</v>
      </c>
      <c r="G4" s="12">
        <f t="shared" si="1"/>
        <v>7900951.5382351428</v>
      </c>
      <c r="H4" s="12">
        <f t="shared" si="1"/>
        <v>11609479.385235144</v>
      </c>
      <c r="I4" s="12">
        <f t="shared" si="1"/>
        <v>13904269.281276811</v>
      </c>
      <c r="J4" s="12">
        <f t="shared" si="1"/>
        <v>16351734.09105942</v>
      </c>
      <c r="K4" s="12">
        <f t="shared" si="1"/>
        <v>19919598.538104877</v>
      </c>
      <c r="L4" s="12">
        <f t="shared" si="1"/>
        <v>20090645.285723925</v>
      </c>
      <c r="M4" s="12">
        <f t="shared" si="1"/>
        <v>20271389.202723924</v>
      </c>
      <c r="N4" s="12">
        <f t="shared" si="1"/>
        <v>20348027.28219761</v>
      </c>
      <c r="O4" s="12">
        <f t="shared" si="1"/>
        <v>20428580.477475386</v>
      </c>
      <c r="P4" s="12">
        <f t="shared" si="1"/>
        <v>20514153.706298914</v>
      </c>
      <c r="Q4" s="12">
        <f t="shared" si="1"/>
        <v>20604902.579736415</v>
      </c>
      <c r="R4" s="12">
        <f t="shared" si="1"/>
        <v>20701840.101403084</v>
      </c>
      <c r="S4" s="12">
        <f t="shared" si="1"/>
        <v>20805445.311760228</v>
      </c>
      <c r="T4" s="12">
        <f t="shared" si="1"/>
        <v>20918019.922529459</v>
      </c>
      <c r="U4" s="12">
        <f t="shared" si="1"/>
        <v>21040870.680862792</v>
      </c>
      <c r="V4" s="12">
        <f t="shared" si="1"/>
        <v>21176729.494953699</v>
      </c>
      <c r="W4" s="12">
        <f t="shared" si="1"/>
        <v>21327490.503453698</v>
      </c>
      <c r="X4" s="12">
        <f t="shared" si="1"/>
        <v>21496414.015120365</v>
      </c>
      <c r="Y4" s="12">
        <f t="shared" si="1"/>
        <v>21687894.720745366</v>
      </c>
      <c r="Z4" s="12">
        <f t="shared" si="1"/>
        <v>21909079.262888223</v>
      </c>
      <c r="AA4" s="12">
        <f t="shared" si="1"/>
        <v>22171396.057054888</v>
      </c>
      <c r="AB4" s="12">
        <f t="shared" si="1"/>
        <v>22487074.904054888</v>
      </c>
      <c r="AC4" s="12">
        <f t="shared" si="1"/>
        <v>23221278.697804887</v>
      </c>
      <c r="AD4" s="12">
        <f t="shared" si="1"/>
        <v>23761100.732804887</v>
      </c>
      <c r="AE4" s="12">
        <f t="shared" si="1"/>
        <v>24573509.527804889</v>
      </c>
      <c r="AF4" s="12">
        <f t="shared" si="1"/>
        <v>26219427.12780489</v>
      </c>
    </row>
    <row r="5" spans="1:16376" ht="15" customHeight="1">
      <c r="A5" s="95" t="str">
        <f xml:space="preserve"> ( A$83 )</f>
        <v>Depreciação Anual Total dos Investimentos em Hidrômetros</v>
      </c>
      <c r="B5" s="11">
        <f xml:space="preserve"> SUM( $C5:$AF5 )</f>
        <v>27877770</v>
      </c>
      <c r="C5" s="12">
        <f>C83</f>
        <v>0</v>
      </c>
      <c r="D5" s="12">
        <f>D83</f>
        <v>185851.8</v>
      </c>
      <c r="E5" s="12">
        <f t="shared" ref="E5:AF5" si="2">E83</f>
        <v>371703.6</v>
      </c>
      <c r="F5" s="12">
        <f t="shared" si="2"/>
        <v>557555.39999999991</v>
      </c>
      <c r="G5" s="12">
        <f t="shared" si="2"/>
        <v>743407.2</v>
      </c>
      <c r="H5" s="12">
        <f t="shared" si="2"/>
        <v>929259</v>
      </c>
      <c r="I5" s="12">
        <f t="shared" si="2"/>
        <v>929259.00000000012</v>
      </c>
      <c r="J5" s="12">
        <f t="shared" si="2"/>
        <v>929259.00000000012</v>
      </c>
      <c r="K5" s="12">
        <f t="shared" si="2"/>
        <v>929259.00000000012</v>
      </c>
      <c r="L5" s="12">
        <f t="shared" si="2"/>
        <v>929259.00000000012</v>
      </c>
      <c r="M5" s="12">
        <f t="shared" si="2"/>
        <v>929259.00000000012</v>
      </c>
      <c r="N5" s="12">
        <f t="shared" si="2"/>
        <v>929259.00000000012</v>
      </c>
      <c r="O5" s="12">
        <f t="shared" si="2"/>
        <v>929259.00000000012</v>
      </c>
      <c r="P5" s="12">
        <f t="shared" si="2"/>
        <v>929259.00000000012</v>
      </c>
      <c r="Q5" s="12">
        <f t="shared" si="2"/>
        <v>929259.00000000012</v>
      </c>
      <c r="R5" s="12">
        <f t="shared" si="2"/>
        <v>929259.00000000012</v>
      </c>
      <c r="S5" s="12">
        <f t="shared" si="2"/>
        <v>929259.00000000012</v>
      </c>
      <c r="T5" s="12">
        <f t="shared" si="2"/>
        <v>929259.00000000012</v>
      </c>
      <c r="U5" s="12">
        <f t="shared" si="2"/>
        <v>929259.00000000012</v>
      </c>
      <c r="V5" s="12">
        <f t="shared" si="2"/>
        <v>929259.00000000012</v>
      </c>
      <c r="W5" s="12">
        <f t="shared" si="2"/>
        <v>929259.00000000012</v>
      </c>
      <c r="X5" s="12">
        <f t="shared" si="2"/>
        <v>929259.00000000012</v>
      </c>
      <c r="Y5" s="12">
        <f t="shared" si="2"/>
        <v>929259.00000000012</v>
      </c>
      <c r="Z5" s="12">
        <f t="shared" si="2"/>
        <v>929259.00000000012</v>
      </c>
      <c r="AA5" s="12">
        <f t="shared" si="2"/>
        <v>929259.00000000012</v>
      </c>
      <c r="AB5" s="12">
        <f t="shared" si="2"/>
        <v>929259.00000000012</v>
      </c>
      <c r="AC5" s="12">
        <f t="shared" si="2"/>
        <v>975721.95000000007</v>
      </c>
      <c r="AD5" s="12">
        <f t="shared" si="2"/>
        <v>1099623.1500000001</v>
      </c>
      <c r="AE5" s="12">
        <f t="shared" si="2"/>
        <v>1378400.85</v>
      </c>
      <c r="AF5" s="12">
        <f t="shared" si="2"/>
        <v>3051067.0500000003</v>
      </c>
    </row>
    <row r="6" spans="1:16376" ht="15" customHeight="1">
      <c r="A6" s="95" t="str">
        <f xml:space="preserve"> ( A$121 )</f>
        <v>Depreciação Anual Total dos Investimentos em Automação, Telemetria e Eletromecânica</v>
      </c>
      <c r="B6" s="11">
        <f xml:space="preserve"> SUM( $C6:$AF6 )</f>
        <v>8423999.9999999981</v>
      </c>
      <c r="C6" s="12">
        <f>C121</f>
        <v>18360</v>
      </c>
      <c r="D6" s="12">
        <f>D121</f>
        <v>36720</v>
      </c>
      <c r="E6" s="12">
        <f t="shared" ref="E6:AF6" si="3">E121</f>
        <v>58320</v>
      </c>
      <c r="F6" s="12">
        <f t="shared" si="3"/>
        <v>81720</v>
      </c>
      <c r="G6" s="12">
        <f t="shared" si="3"/>
        <v>106920</v>
      </c>
      <c r="H6" s="12">
        <f t="shared" si="3"/>
        <v>134280</v>
      </c>
      <c r="I6" s="12">
        <f t="shared" si="3"/>
        <v>163440</v>
      </c>
      <c r="J6" s="12">
        <f t="shared" si="3"/>
        <v>192960</v>
      </c>
      <c r="K6" s="12">
        <f t="shared" si="3"/>
        <v>222480</v>
      </c>
      <c r="L6" s="12">
        <f t="shared" si="3"/>
        <v>252000</v>
      </c>
      <c r="M6" s="12">
        <f t="shared" si="3"/>
        <v>263160</v>
      </c>
      <c r="N6" s="12">
        <f t="shared" si="3"/>
        <v>274320</v>
      </c>
      <c r="O6" s="12">
        <f t="shared" si="3"/>
        <v>282240</v>
      </c>
      <c r="P6" s="12">
        <f t="shared" si="3"/>
        <v>288360</v>
      </c>
      <c r="Q6" s="12">
        <f t="shared" si="3"/>
        <v>292680</v>
      </c>
      <c r="R6" s="12">
        <f t="shared" si="3"/>
        <v>294840</v>
      </c>
      <c r="S6" s="12">
        <f t="shared" si="3"/>
        <v>295200</v>
      </c>
      <c r="T6" s="12">
        <f t="shared" si="3"/>
        <v>295200</v>
      </c>
      <c r="U6" s="12">
        <f t="shared" si="3"/>
        <v>295200</v>
      </c>
      <c r="V6" s="12">
        <f t="shared" si="3"/>
        <v>295200</v>
      </c>
      <c r="W6" s="12">
        <f t="shared" si="3"/>
        <v>295200</v>
      </c>
      <c r="X6" s="12">
        <f t="shared" si="3"/>
        <v>298480</v>
      </c>
      <c r="Y6" s="12">
        <f t="shared" si="3"/>
        <v>305860</v>
      </c>
      <c r="Z6" s="12">
        <f t="shared" si="3"/>
        <v>318511.42857142858</v>
      </c>
      <c r="AA6" s="12">
        <f t="shared" si="3"/>
        <v>338191.42857142858</v>
      </c>
      <c r="AB6" s="12">
        <f t="shared" si="3"/>
        <v>367711.42857142858</v>
      </c>
      <c r="AC6" s="12">
        <f t="shared" si="3"/>
        <v>411991.42857142858</v>
      </c>
      <c r="AD6" s="12">
        <f t="shared" si="3"/>
        <v>480871.42857142858</v>
      </c>
      <c r="AE6" s="12">
        <f t="shared" si="3"/>
        <v>598951.42857142864</v>
      </c>
      <c r="AF6" s="12">
        <f t="shared" si="3"/>
        <v>864631.42857142864</v>
      </c>
    </row>
    <row r="7" spans="1:16376" s="4" customFormat="1" ht="15" customHeight="1">
      <c r="A7" s="87" t="s">
        <v>106</v>
      </c>
      <c r="B7" s="11">
        <f xml:space="preserve"> SUM( $C7:$AF7 )</f>
        <v>571334592.76027286</v>
      </c>
      <c r="C7" s="11">
        <f t="shared" ref="C7:K7" si="4" xml:space="preserve"> SUM( C$4:C$6 )</f>
        <v>199541.4115090929</v>
      </c>
      <c r="D7" s="11">
        <f t="shared" si="4"/>
        <v>562315.37030219636</v>
      </c>
      <c r="E7" s="11">
        <f t="shared" si="4"/>
        <v>3856433.3972664825</v>
      </c>
      <c r="F7" s="11">
        <f t="shared" si="4"/>
        <v>6283460.9520812966</v>
      </c>
      <c r="G7" s="11">
        <f t="shared" si="4"/>
        <v>8751278.7382351421</v>
      </c>
      <c r="H7" s="11">
        <f t="shared" si="4"/>
        <v>12673018.385235144</v>
      </c>
      <c r="I7" s="11">
        <f t="shared" si="4"/>
        <v>14996968.281276811</v>
      </c>
      <c r="J7" s="11">
        <f t="shared" si="4"/>
        <v>17473953.09105942</v>
      </c>
      <c r="K7" s="11">
        <f t="shared" si="4"/>
        <v>21071337.538104877</v>
      </c>
      <c r="L7" s="11">
        <f t="shared" ref="L7:AF7" si="5" xml:space="preserve"> SUM( L$4:L$6 )</f>
        <v>21271904.285723925</v>
      </c>
      <c r="M7" s="11">
        <f t="shared" si="5"/>
        <v>21463808.202723924</v>
      </c>
      <c r="N7" s="11">
        <f t="shared" si="5"/>
        <v>21551606.28219761</v>
      </c>
      <c r="O7" s="11">
        <f t="shared" si="5"/>
        <v>21640079.477475386</v>
      </c>
      <c r="P7" s="11">
        <f t="shared" si="5"/>
        <v>21731772.706298914</v>
      </c>
      <c r="Q7" s="11">
        <f t="shared" si="5"/>
        <v>21826841.579736415</v>
      </c>
      <c r="R7" s="11">
        <f t="shared" si="5"/>
        <v>21925939.101403084</v>
      </c>
      <c r="S7" s="11">
        <f t="shared" si="5"/>
        <v>22029904.311760228</v>
      </c>
      <c r="T7" s="11">
        <f t="shared" si="5"/>
        <v>22142478.922529459</v>
      </c>
      <c r="U7" s="11">
        <f t="shared" si="5"/>
        <v>22265329.680862792</v>
      </c>
      <c r="V7" s="11">
        <f t="shared" si="5"/>
        <v>22401188.494953699</v>
      </c>
      <c r="W7" s="11">
        <f t="shared" si="5"/>
        <v>22551949.503453698</v>
      </c>
      <c r="X7" s="11">
        <f t="shared" si="5"/>
        <v>22724153.015120365</v>
      </c>
      <c r="Y7" s="11">
        <f t="shared" si="5"/>
        <v>22923013.720745366</v>
      </c>
      <c r="Z7" s="11">
        <f t="shared" si="5"/>
        <v>23156849.691459652</v>
      </c>
      <c r="AA7" s="11">
        <f t="shared" si="5"/>
        <v>23438846.485626318</v>
      </c>
      <c r="AB7" s="11">
        <f t="shared" si="5"/>
        <v>23784045.332626317</v>
      </c>
      <c r="AC7" s="11">
        <f t="shared" si="5"/>
        <v>24608992.076376315</v>
      </c>
      <c r="AD7" s="11">
        <f t="shared" si="5"/>
        <v>25341595.311376315</v>
      </c>
      <c r="AE7" s="11">
        <f t="shared" si="5"/>
        <v>26550861.806376319</v>
      </c>
      <c r="AF7" s="11">
        <f t="shared" si="5"/>
        <v>30135125.60637632</v>
      </c>
    </row>
    <row r="8" spans="1:16376" ht="15" customHeight="1">
      <c r="A8" s="5"/>
      <c r="B8" s="5"/>
    </row>
    <row r="9" spans="1:16376" s="141" customFormat="1" ht="15" customHeight="1">
      <c r="A9" s="86" t="s">
        <v>215</v>
      </c>
      <c r="B9" s="140" t="s">
        <v>4</v>
      </c>
      <c r="C9" s="140">
        <v>1</v>
      </c>
      <c r="D9" s="140">
        <f xml:space="preserve"> ( ( C9 ) + ( 1 ) )</f>
        <v>2</v>
      </c>
      <c r="E9" s="140">
        <f t="shared" ref="E9:AF9" si="6" xml:space="preserve"> ( ( D9 ) + ( 1 ) )</f>
        <v>3</v>
      </c>
      <c r="F9" s="140">
        <f t="shared" si="6"/>
        <v>4</v>
      </c>
      <c r="G9" s="140">
        <f t="shared" si="6"/>
        <v>5</v>
      </c>
      <c r="H9" s="140">
        <f t="shared" si="6"/>
        <v>6</v>
      </c>
      <c r="I9" s="140">
        <f t="shared" si="6"/>
        <v>7</v>
      </c>
      <c r="J9" s="140">
        <f t="shared" si="6"/>
        <v>8</v>
      </c>
      <c r="K9" s="140">
        <f t="shared" si="6"/>
        <v>9</v>
      </c>
      <c r="L9" s="140">
        <f t="shared" si="6"/>
        <v>10</v>
      </c>
      <c r="M9" s="140">
        <f t="shared" si="6"/>
        <v>11</v>
      </c>
      <c r="N9" s="140">
        <f t="shared" si="6"/>
        <v>12</v>
      </c>
      <c r="O9" s="140">
        <f t="shared" si="6"/>
        <v>13</v>
      </c>
      <c r="P9" s="140">
        <f t="shared" si="6"/>
        <v>14</v>
      </c>
      <c r="Q9" s="140">
        <f t="shared" si="6"/>
        <v>15</v>
      </c>
      <c r="R9" s="140">
        <f t="shared" si="6"/>
        <v>16</v>
      </c>
      <c r="S9" s="140">
        <f t="shared" si="6"/>
        <v>17</v>
      </c>
      <c r="T9" s="140">
        <f t="shared" si="6"/>
        <v>18</v>
      </c>
      <c r="U9" s="140">
        <f t="shared" si="6"/>
        <v>19</v>
      </c>
      <c r="V9" s="140">
        <f t="shared" si="6"/>
        <v>20</v>
      </c>
      <c r="W9" s="140">
        <f t="shared" si="6"/>
        <v>21</v>
      </c>
      <c r="X9" s="140">
        <f t="shared" si="6"/>
        <v>22</v>
      </c>
      <c r="Y9" s="140">
        <f t="shared" si="6"/>
        <v>23</v>
      </c>
      <c r="Z9" s="140">
        <f t="shared" si="6"/>
        <v>24</v>
      </c>
      <c r="AA9" s="140">
        <f t="shared" si="6"/>
        <v>25</v>
      </c>
      <c r="AB9" s="140">
        <f t="shared" si="6"/>
        <v>26</v>
      </c>
      <c r="AC9" s="140">
        <f t="shared" si="6"/>
        <v>27</v>
      </c>
      <c r="AD9" s="140">
        <f t="shared" si="6"/>
        <v>28</v>
      </c>
      <c r="AE9" s="140">
        <f t="shared" si="6"/>
        <v>29</v>
      </c>
      <c r="AF9" s="140">
        <f t="shared" si="6"/>
        <v>30</v>
      </c>
      <c r="AG9" s="883"/>
      <c r="AH9" s="883"/>
      <c r="AI9" s="883"/>
      <c r="AJ9" s="883"/>
      <c r="AK9" s="883"/>
      <c r="AL9" s="883"/>
      <c r="AM9" s="883"/>
      <c r="AN9" s="883"/>
      <c r="AO9" s="883"/>
      <c r="AP9" s="883"/>
      <c r="AQ9" s="883"/>
      <c r="AR9" s="883"/>
      <c r="AS9" s="883"/>
      <c r="AT9" s="883"/>
      <c r="AU9" s="883"/>
      <c r="AV9" s="883"/>
      <c r="AW9" s="883"/>
      <c r="AX9" s="883"/>
      <c r="AY9" s="883"/>
      <c r="AZ9" s="883"/>
      <c r="BA9" s="883"/>
      <c r="BB9" s="883"/>
      <c r="BC9" s="883"/>
      <c r="BD9" s="883"/>
      <c r="BE9" s="883"/>
      <c r="BF9" s="883"/>
      <c r="BG9" s="883"/>
      <c r="BH9" s="883"/>
      <c r="BI9" s="883"/>
      <c r="BJ9" s="883"/>
      <c r="BK9" s="883"/>
      <c r="BL9" s="883"/>
      <c r="BM9" s="883"/>
      <c r="BN9" s="883"/>
      <c r="BO9" s="883"/>
      <c r="BP9" s="883"/>
      <c r="BQ9" s="883"/>
      <c r="BR9" s="883"/>
      <c r="BS9" s="883"/>
      <c r="BT9" s="883"/>
      <c r="BU9" s="883"/>
      <c r="BV9" s="883"/>
      <c r="BW9" s="883"/>
      <c r="BX9" s="883"/>
      <c r="BY9" s="883"/>
      <c r="BZ9" s="883"/>
      <c r="CA9" s="883"/>
      <c r="CB9" s="883"/>
      <c r="CC9" s="883"/>
      <c r="CD9" s="883"/>
      <c r="CE9" s="883"/>
      <c r="CF9" s="883"/>
      <c r="CG9" s="883"/>
      <c r="CH9" s="883"/>
      <c r="CI9" s="883"/>
      <c r="CJ9" s="883"/>
      <c r="CK9" s="883"/>
      <c r="CL9" s="883"/>
      <c r="CM9" s="883"/>
      <c r="CN9" s="883"/>
      <c r="CO9" s="883"/>
      <c r="CP9" s="883"/>
      <c r="CQ9" s="883"/>
      <c r="CR9" s="883"/>
      <c r="CS9" s="883"/>
      <c r="CT9" s="883"/>
      <c r="CU9" s="883"/>
      <c r="CV9" s="883"/>
      <c r="CW9" s="883"/>
      <c r="CX9" s="883"/>
      <c r="CY9" s="883"/>
      <c r="CZ9" s="883"/>
      <c r="DA9" s="883"/>
      <c r="DB9" s="883"/>
      <c r="DC9" s="883"/>
      <c r="DD9" s="883"/>
      <c r="DE9" s="883"/>
      <c r="DF9" s="883"/>
      <c r="DG9" s="883"/>
      <c r="DH9" s="883"/>
      <c r="DI9" s="883"/>
      <c r="DJ9" s="883"/>
      <c r="DK9" s="883"/>
      <c r="DL9" s="883"/>
      <c r="DM9" s="883"/>
      <c r="DN9" s="883"/>
      <c r="DO9" s="883"/>
      <c r="DP9" s="883"/>
      <c r="DQ9" s="883"/>
      <c r="DR9" s="883"/>
      <c r="DS9" s="883"/>
      <c r="DT9" s="883"/>
      <c r="DU9" s="883"/>
      <c r="DV9" s="883"/>
      <c r="DW9" s="883"/>
      <c r="DX9" s="883"/>
      <c r="DY9" s="883"/>
      <c r="DZ9" s="883"/>
      <c r="EA9" s="883"/>
      <c r="EB9" s="883"/>
      <c r="EC9" s="883"/>
      <c r="ED9" s="883"/>
      <c r="EE9" s="883"/>
      <c r="EF9" s="883"/>
      <c r="EG9" s="883"/>
      <c r="EH9" s="883"/>
      <c r="EI9" s="883"/>
      <c r="EJ9" s="883"/>
      <c r="EK9" s="883"/>
      <c r="EL9" s="883"/>
      <c r="EM9" s="883"/>
      <c r="EN9" s="883"/>
      <c r="EO9" s="883"/>
      <c r="EP9" s="883"/>
      <c r="EQ9" s="883"/>
      <c r="ER9" s="883"/>
      <c r="ES9" s="883"/>
      <c r="ET9" s="883"/>
      <c r="EU9" s="883"/>
      <c r="EV9" s="883"/>
      <c r="EW9" s="883"/>
      <c r="EX9" s="883"/>
      <c r="EY9" s="883"/>
      <c r="EZ9" s="883"/>
      <c r="FA9" s="883"/>
      <c r="FB9" s="883"/>
      <c r="FC9" s="883"/>
      <c r="FD9" s="883"/>
      <c r="FE9" s="883"/>
      <c r="FF9" s="883"/>
      <c r="FG9" s="883"/>
      <c r="FH9" s="883"/>
      <c r="FI9" s="883"/>
      <c r="FJ9" s="883"/>
      <c r="FK9" s="883"/>
      <c r="FL9" s="883"/>
      <c r="FM9" s="883"/>
      <c r="FN9" s="883"/>
      <c r="FO9" s="883"/>
      <c r="FP9" s="883"/>
      <c r="FQ9" s="883"/>
      <c r="FR9" s="883"/>
      <c r="FS9" s="883"/>
      <c r="FT9" s="883"/>
      <c r="FU9" s="883"/>
      <c r="FV9" s="883"/>
      <c r="FW9" s="883"/>
      <c r="FX9" s="883"/>
      <c r="FY9" s="883"/>
      <c r="FZ9" s="883"/>
      <c r="GA9" s="883"/>
      <c r="GB9" s="883"/>
      <c r="GC9" s="883"/>
      <c r="GD9" s="883"/>
      <c r="GE9" s="883"/>
      <c r="GF9" s="883"/>
      <c r="GG9" s="883"/>
      <c r="GH9" s="883"/>
      <c r="GI9" s="883"/>
      <c r="GJ9" s="883"/>
      <c r="GK9" s="883"/>
      <c r="GL9" s="883"/>
      <c r="GM9" s="883"/>
      <c r="GN9" s="883"/>
      <c r="GO9" s="883"/>
      <c r="GP9" s="883"/>
      <c r="GQ9" s="883"/>
      <c r="GR9" s="883"/>
      <c r="GS9" s="883"/>
      <c r="GT9" s="883"/>
      <c r="GU9" s="883"/>
      <c r="GV9" s="883"/>
      <c r="GW9" s="883"/>
      <c r="GX9" s="883"/>
      <c r="GY9" s="883"/>
      <c r="GZ9" s="883"/>
      <c r="HA9" s="883"/>
      <c r="HB9" s="883"/>
      <c r="HC9" s="883"/>
      <c r="HD9" s="883"/>
      <c r="HE9" s="883"/>
      <c r="HF9" s="883"/>
      <c r="HG9" s="883"/>
      <c r="HH9" s="883"/>
      <c r="HI9" s="883"/>
      <c r="HJ9" s="883"/>
      <c r="HK9" s="883"/>
      <c r="HL9" s="883"/>
      <c r="HM9" s="883"/>
      <c r="HN9" s="883"/>
      <c r="HO9" s="883"/>
      <c r="HP9" s="883"/>
      <c r="HQ9" s="883"/>
      <c r="HR9" s="883"/>
      <c r="HS9" s="883"/>
      <c r="HT9" s="883"/>
      <c r="HU9" s="883"/>
      <c r="HV9" s="883"/>
      <c r="HW9" s="883"/>
      <c r="HX9" s="883"/>
      <c r="HY9" s="883"/>
      <c r="HZ9" s="883"/>
      <c r="IA9" s="883"/>
      <c r="IB9" s="883"/>
      <c r="IC9" s="883"/>
      <c r="ID9" s="883"/>
      <c r="IE9" s="883"/>
      <c r="IF9" s="883"/>
      <c r="IG9" s="883"/>
      <c r="IH9" s="883"/>
      <c r="II9" s="883"/>
      <c r="IJ9" s="883"/>
      <c r="IK9" s="883"/>
      <c r="IL9" s="883"/>
      <c r="IM9" s="883"/>
      <c r="IN9" s="883"/>
      <c r="IO9" s="883"/>
      <c r="IP9" s="883"/>
      <c r="IQ9" s="883"/>
      <c r="IR9" s="883"/>
      <c r="IS9" s="883"/>
      <c r="IT9" s="883"/>
      <c r="IU9" s="883"/>
      <c r="IV9" s="883"/>
      <c r="IW9" s="883"/>
      <c r="IX9" s="883"/>
      <c r="IY9" s="883"/>
      <c r="IZ9" s="883"/>
      <c r="JA9" s="883"/>
      <c r="JB9" s="883"/>
      <c r="JC9" s="883"/>
      <c r="JD9" s="883"/>
      <c r="JE9" s="883"/>
      <c r="JF9" s="883"/>
      <c r="JG9" s="883"/>
      <c r="JH9" s="883"/>
      <c r="JI9" s="883"/>
      <c r="JJ9" s="883"/>
      <c r="JK9" s="883"/>
      <c r="JL9" s="883"/>
      <c r="JM9" s="883"/>
      <c r="JN9" s="883"/>
      <c r="JO9" s="883"/>
      <c r="JP9" s="883"/>
      <c r="JQ9" s="883"/>
      <c r="JR9" s="883"/>
      <c r="JS9" s="883"/>
      <c r="JT9" s="883"/>
      <c r="JU9" s="883"/>
      <c r="JV9" s="883"/>
      <c r="JW9" s="883"/>
      <c r="JX9" s="883"/>
      <c r="JY9" s="883"/>
      <c r="JZ9" s="883"/>
      <c r="KA9" s="883"/>
      <c r="KB9" s="883"/>
      <c r="KC9" s="883"/>
      <c r="KD9" s="883"/>
      <c r="KE9" s="883"/>
      <c r="KF9" s="883"/>
      <c r="KG9" s="883"/>
      <c r="KH9" s="883"/>
      <c r="KI9" s="883"/>
      <c r="KJ9" s="883"/>
      <c r="KK9" s="883"/>
      <c r="KL9" s="883"/>
      <c r="KM9" s="883"/>
      <c r="KN9" s="883"/>
      <c r="KO9" s="883"/>
      <c r="KP9" s="883"/>
      <c r="KQ9" s="883"/>
      <c r="KR9" s="883"/>
      <c r="KS9" s="883"/>
      <c r="KT9" s="883"/>
      <c r="KU9" s="883"/>
      <c r="KV9" s="883"/>
      <c r="KW9" s="883"/>
      <c r="KX9" s="883"/>
      <c r="KY9" s="883"/>
      <c r="KZ9" s="883"/>
      <c r="LA9" s="883"/>
      <c r="LB9" s="883"/>
      <c r="LC9" s="883"/>
      <c r="LD9" s="883"/>
      <c r="LE9" s="883"/>
      <c r="LF9" s="883"/>
      <c r="LG9" s="883"/>
      <c r="LH9" s="883"/>
      <c r="LI9" s="883"/>
      <c r="LJ9" s="883"/>
      <c r="LK9" s="883"/>
      <c r="LL9" s="883"/>
      <c r="LM9" s="883"/>
      <c r="LN9" s="883"/>
      <c r="LO9" s="883"/>
      <c r="LP9" s="883"/>
      <c r="LQ9" s="883"/>
      <c r="LR9" s="883"/>
      <c r="LS9" s="883"/>
      <c r="LT9" s="883"/>
      <c r="LU9" s="883"/>
      <c r="LV9" s="883"/>
      <c r="LW9" s="883"/>
      <c r="LX9" s="883"/>
      <c r="LY9" s="883"/>
      <c r="LZ9" s="883"/>
      <c r="MA9" s="883"/>
      <c r="MB9" s="883"/>
      <c r="MC9" s="883"/>
      <c r="MD9" s="883"/>
      <c r="ME9" s="883"/>
      <c r="MF9" s="883"/>
      <c r="MG9" s="883"/>
      <c r="MH9" s="883"/>
      <c r="MI9" s="883"/>
      <c r="MJ9" s="883"/>
      <c r="MK9" s="883"/>
      <c r="ML9" s="883"/>
      <c r="MM9" s="883"/>
      <c r="MN9" s="883"/>
      <c r="MO9" s="883"/>
      <c r="MP9" s="883"/>
      <c r="MQ9" s="883"/>
      <c r="MR9" s="883"/>
      <c r="MS9" s="883"/>
      <c r="MT9" s="883"/>
      <c r="MU9" s="883"/>
      <c r="MV9" s="883"/>
      <c r="MW9" s="883"/>
      <c r="MX9" s="883"/>
      <c r="MY9" s="883"/>
      <c r="MZ9" s="883"/>
      <c r="NA9" s="883"/>
      <c r="NB9" s="883"/>
      <c r="NC9" s="883"/>
      <c r="ND9" s="883"/>
      <c r="NE9" s="883"/>
      <c r="NF9" s="883"/>
      <c r="NG9" s="883"/>
      <c r="NH9" s="883"/>
      <c r="NI9" s="883"/>
      <c r="NJ9" s="883"/>
      <c r="NK9" s="883"/>
      <c r="NL9" s="883"/>
      <c r="NM9" s="883"/>
      <c r="NN9" s="883"/>
      <c r="NO9" s="883"/>
      <c r="NP9" s="883"/>
      <c r="NQ9" s="883"/>
      <c r="NR9" s="883"/>
      <c r="NS9" s="883"/>
      <c r="NT9" s="883"/>
      <c r="NU9" s="883"/>
      <c r="NV9" s="883"/>
      <c r="NW9" s="883"/>
      <c r="NX9" s="883"/>
      <c r="NY9" s="883"/>
      <c r="NZ9" s="883"/>
      <c r="OA9" s="883"/>
      <c r="OB9" s="883"/>
      <c r="OC9" s="883"/>
      <c r="OD9" s="883"/>
      <c r="OE9" s="883"/>
      <c r="OF9" s="883"/>
      <c r="OG9" s="883"/>
      <c r="OH9" s="883"/>
      <c r="OI9" s="883"/>
      <c r="OJ9" s="883"/>
      <c r="OK9" s="883"/>
      <c r="OL9" s="883"/>
      <c r="OM9" s="883"/>
      <c r="ON9" s="883"/>
      <c r="OO9" s="883"/>
      <c r="OP9" s="883"/>
      <c r="OQ9" s="883"/>
      <c r="OR9" s="883"/>
      <c r="OS9" s="883"/>
      <c r="OT9" s="883"/>
      <c r="OU9" s="883"/>
      <c r="OV9" s="883"/>
      <c r="OW9" s="883"/>
      <c r="OX9" s="883"/>
      <c r="OY9" s="883"/>
      <c r="OZ9" s="883"/>
      <c r="PA9" s="883"/>
      <c r="PB9" s="883"/>
      <c r="PC9" s="883"/>
      <c r="PD9" s="883"/>
      <c r="PE9" s="883"/>
      <c r="PF9" s="883"/>
      <c r="PG9" s="883"/>
      <c r="PH9" s="883"/>
      <c r="PI9" s="883"/>
      <c r="PJ9" s="883"/>
      <c r="PK9" s="883"/>
      <c r="PL9" s="883"/>
      <c r="PM9" s="883"/>
      <c r="PN9" s="883"/>
      <c r="PO9" s="883"/>
      <c r="PP9" s="883"/>
      <c r="PQ9" s="883"/>
      <c r="PR9" s="883"/>
      <c r="PS9" s="883"/>
      <c r="PT9" s="883"/>
      <c r="PU9" s="883"/>
      <c r="PV9" s="883"/>
      <c r="PW9" s="883"/>
      <c r="PX9" s="883"/>
      <c r="PY9" s="883"/>
      <c r="PZ9" s="883"/>
      <c r="QA9" s="883"/>
      <c r="QB9" s="883"/>
      <c r="QC9" s="883"/>
      <c r="QD9" s="883"/>
      <c r="QE9" s="883"/>
      <c r="QF9" s="883"/>
      <c r="QG9" s="883"/>
      <c r="QH9" s="883"/>
      <c r="QI9" s="883"/>
      <c r="QJ9" s="883"/>
      <c r="QK9" s="883"/>
      <c r="QL9" s="883"/>
      <c r="QM9" s="883"/>
      <c r="QN9" s="883"/>
      <c r="QO9" s="883"/>
      <c r="QP9" s="883"/>
      <c r="QQ9" s="883"/>
      <c r="QR9" s="883"/>
      <c r="QS9" s="883"/>
      <c r="QT9" s="883"/>
      <c r="QU9" s="883"/>
      <c r="QV9" s="883"/>
      <c r="QW9" s="883"/>
      <c r="QX9" s="883"/>
      <c r="QY9" s="883"/>
      <c r="QZ9" s="883"/>
      <c r="RA9" s="883"/>
      <c r="RB9" s="883"/>
      <c r="RC9" s="883"/>
      <c r="RD9" s="883"/>
      <c r="RE9" s="883"/>
      <c r="RF9" s="883"/>
      <c r="RG9" s="883"/>
      <c r="RH9" s="883"/>
      <c r="RI9" s="883"/>
      <c r="RJ9" s="883"/>
      <c r="RK9" s="883"/>
      <c r="RL9" s="883"/>
      <c r="RM9" s="883"/>
      <c r="RN9" s="883"/>
      <c r="RO9" s="883"/>
      <c r="RP9" s="883"/>
      <c r="RQ9" s="883"/>
      <c r="RR9" s="883"/>
      <c r="RS9" s="883"/>
      <c r="RT9" s="883"/>
      <c r="RU9" s="883"/>
      <c r="RV9" s="883"/>
      <c r="RW9" s="883"/>
      <c r="RX9" s="883"/>
      <c r="RY9" s="883"/>
      <c r="RZ9" s="883"/>
      <c r="SA9" s="883"/>
      <c r="SB9" s="883"/>
      <c r="SC9" s="883"/>
      <c r="SD9" s="883"/>
      <c r="SE9" s="883"/>
      <c r="SF9" s="883"/>
      <c r="SG9" s="883"/>
      <c r="SH9" s="883"/>
      <c r="SI9" s="883"/>
      <c r="SJ9" s="883"/>
      <c r="SK9" s="883"/>
      <c r="SL9" s="883"/>
      <c r="SM9" s="883"/>
      <c r="SN9" s="883"/>
      <c r="SO9" s="883"/>
      <c r="SP9" s="883"/>
      <c r="SQ9" s="883"/>
      <c r="SR9" s="883"/>
      <c r="SS9" s="883"/>
      <c r="ST9" s="883"/>
      <c r="SU9" s="883"/>
      <c r="SV9" s="883"/>
      <c r="SW9" s="883"/>
      <c r="SX9" s="883"/>
      <c r="SY9" s="883"/>
      <c r="SZ9" s="883"/>
      <c r="TA9" s="883"/>
      <c r="TB9" s="883"/>
      <c r="TC9" s="883"/>
      <c r="TD9" s="883"/>
      <c r="TE9" s="883"/>
      <c r="TF9" s="883"/>
      <c r="TG9" s="883"/>
      <c r="TH9" s="883"/>
      <c r="TI9" s="883"/>
      <c r="TJ9" s="883"/>
      <c r="TK9" s="883"/>
      <c r="TL9" s="883"/>
      <c r="TM9" s="883"/>
      <c r="TN9" s="883"/>
      <c r="TO9" s="883"/>
      <c r="TP9" s="883"/>
      <c r="TQ9" s="883"/>
      <c r="TR9" s="883"/>
      <c r="TS9" s="883"/>
      <c r="TT9" s="883"/>
      <c r="TU9" s="883"/>
      <c r="TV9" s="883"/>
      <c r="TW9" s="883"/>
      <c r="TX9" s="883"/>
      <c r="TY9" s="883"/>
      <c r="TZ9" s="883"/>
      <c r="UA9" s="883"/>
      <c r="UB9" s="883"/>
      <c r="UC9" s="883"/>
      <c r="UD9" s="883"/>
      <c r="UE9" s="883"/>
      <c r="UF9" s="883"/>
      <c r="UG9" s="883"/>
      <c r="UH9" s="883"/>
      <c r="UI9" s="883"/>
      <c r="UJ9" s="883"/>
      <c r="UK9" s="883"/>
      <c r="UL9" s="883"/>
      <c r="UM9" s="883"/>
      <c r="UN9" s="883"/>
      <c r="UO9" s="883"/>
      <c r="UP9" s="883"/>
      <c r="UQ9" s="883"/>
      <c r="UR9" s="883"/>
      <c r="US9" s="883"/>
      <c r="UT9" s="883"/>
      <c r="UU9" s="883"/>
      <c r="UV9" s="883"/>
      <c r="UW9" s="883"/>
      <c r="UX9" s="883"/>
      <c r="UY9" s="883"/>
      <c r="UZ9" s="883"/>
      <c r="VA9" s="883"/>
      <c r="VB9" s="883"/>
      <c r="VC9" s="883"/>
      <c r="VD9" s="883"/>
      <c r="VE9" s="883"/>
      <c r="VF9" s="883"/>
      <c r="VG9" s="883"/>
      <c r="VH9" s="883"/>
      <c r="VI9" s="883"/>
      <c r="VJ9" s="883"/>
      <c r="VK9" s="883"/>
      <c r="VL9" s="883"/>
      <c r="VM9" s="883"/>
      <c r="VN9" s="883"/>
      <c r="VO9" s="883"/>
      <c r="VP9" s="883"/>
      <c r="VQ9" s="883"/>
      <c r="VR9" s="883"/>
      <c r="VS9" s="883"/>
      <c r="VT9" s="883"/>
      <c r="VU9" s="883"/>
      <c r="VV9" s="883"/>
      <c r="VW9" s="883"/>
      <c r="VX9" s="883"/>
      <c r="VY9" s="883"/>
      <c r="VZ9" s="883"/>
      <c r="WA9" s="883"/>
      <c r="WB9" s="883"/>
      <c r="WC9" s="883"/>
      <c r="WD9" s="883"/>
      <c r="WE9" s="883"/>
      <c r="WF9" s="883"/>
      <c r="WG9" s="883"/>
      <c r="WH9" s="883"/>
      <c r="WI9" s="883"/>
      <c r="WJ9" s="883"/>
      <c r="WK9" s="883"/>
      <c r="WL9" s="883"/>
      <c r="WM9" s="883"/>
      <c r="WN9" s="883"/>
      <c r="WO9" s="883"/>
      <c r="WP9" s="883"/>
      <c r="WQ9" s="883"/>
      <c r="WR9" s="883"/>
      <c r="WS9" s="883"/>
      <c r="WT9" s="883"/>
      <c r="WU9" s="883"/>
      <c r="WV9" s="883"/>
      <c r="WW9" s="883"/>
      <c r="WX9" s="883"/>
      <c r="WY9" s="883"/>
      <c r="WZ9" s="883"/>
      <c r="XA9" s="883"/>
      <c r="XB9" s="883"/>
      <c r="XC9" s="883"/>
      <c r="XD9" s="883"/>
      <c r="XE9" s="883"/>
      <c r="XF9" s="883"/>
      <c r="XG9" s="883"/>
      <c r="XH9" s="883"/>
      <c r="XI9" s="883"/>
      <c r="XJ9" s="883"/>
      <c r="XK9" s="883"/>
      <c r="XL9" s="883"/>
      <c r="XM9" s="883"/>
      <c r="XN9" s="883"/>
      <c r="XO9" s="883"/>
      <c r="XP9" s="883"/>
      <c r="XQ9" s="883"/>
      <c r="XR9" s="883"/>
      <c r="XS9" s="883"/>
      <c r="XT9" s="883"/>
      <c r="XU9" s="883"/>
      <c r="XV9" s="883"/>
      <c r="XW9" s="883"/>
      <c r="XX9" s="883"/>
      <c r="XY9" s="883"/>
      <c r="XZ9" s="883"/>
      <c r="YA9" s="883"/>
      <c r="YB9" s="883"/>
      <c r="YC9" s="883"/>
      <c r="YD9" s="883"/>
      <c r="YE9" s="883"/>
      <c r="YF9" s="883"/>
      <c r="YG9" s="883"/>
      <c r="YH9" s="883"/>
      <c r="YI9" s="883"/>
      <c r="YJ9" s="883"/>
      <c r="YK9" s="883"/>
      <c r="YL9" s="883"/>
      <c r="YM9" s="883"/>
      <c r="YN9" s="883"/>
      <c r="YO9" s="883"/>
      <c r="YP9" s="883"/>
      <c r="YQ9" s="883"/>
      <c r="YR9" s="883"/>
      <c r="YS9" s="883"/>
      <c r="YT9" s="883"/>
      <c r="YU9" s="883"/>
      <c r="YV9" s="883"/>
      <c r="YW9" s="883"/>
      <c r="YX9" s="883"/>
      <c r="YY9" s="883"/>
      <c r="YZ9" s="883"/>
      <c r="ZA9" s="883"/>
      <c r="ZB9" s="883"/>
      <c r="ZC9" s="883"/>
      <c r="ZD9" s="883"/>
      <c r="ZE9" s="883"/>
      <c r="ZF9" s="883"/>
      <c r="ZG9" s="883"/>
      <c r="ZH9" s="883"/>
      <c r="ZI9" s="883"/>
      <c r="ZJ9" s="883"/>
      <c r="ZK9" s="883"/>
      <c r="ZL9" s="883"/>
      <c r="ZM9" s="883"/>
      <c r="ZN9" s="883"/>
      <c r="ZO9" s="883"/>
      <c r="ZP9" s="883"/>
      <c r="ZQ9" s="883"/>
      <c r="ZR9" s="883"/>
      <c r="ZS9" s="883"/>
      <c r="ZT9" s="883"/>
      <c r="ZU9" s="883"/>
      <c r="ZV9" s="883"/>
      <c r="ZW9" s="883"/>
      <c r="ZX9" s="883"/>
      <c r="ZY9" s="883"/>
      <c r="ZZ9" s="883"/>
      <c r="AAA9" s="883"/>
      <c r="AAB9" s="883"/>
      <c r="AAC9" s="883"/>
      <c r="AAD9" s="883"/>
      <c r="AAE9" s="883"/>
      <c r="AAF9" s="883"/>
      <c r="AAG9" s="883"/>
      <c r="AAH9" s="883"/>
      <c r="AAI9" s="883"/>
      <c r="AAJ9" s="883"/>
      <c r="AAK9" s="883"/>
      <c r="AAL9" s="883"/>
      <c r="AAM9" s="883"/>
      <c r="AAN9" s="883"/>
      <c r="AAO9" s="883"/>
      <c r="AAP9" s="883"/>
      <c r="AAQ9" s="883"/>
      <c r="AAR9" s="883"/>
      <c r="AAS9" s="883"/>
      <c r="AAT9" s="883"/>
      <c r="AAU9" s="883"/>
      <c r="AAV9" s="883"/>
      <c r="AAW9" s="883"/>
      <c r="AAX9" s="883"/>
      <c r="AAY9" s="883"/>
      <c r="AAZ9" s="883"/>
      <c r="ABA9" s="883"/>
      <c r="ABB9" s="883"/>
      <c r="ABC9" s="883"/>
      <c r="ABD9" s="883"/>
      <c r="ABE9" s="883"/>
      <c r="ABF9" s="883"/>
      <c r="ABG9" s="883"/>
      <c r="ABH9" s="883"/>
      <c r="ABI9" s="883"/>
      <c r="ABJ9" s="883"/>
      <c r="ABK9" s="883"/>
      <c r="ABL9" s="883"/>
      <c r="ABM9" s="883"/>
      <c r="ABN9" s="883"/>
      <c r="ABO9" s="883"/>
      <c r="ABP9" s="883"/>
      <c r="ABQ9" s="883"/>
      <c r="ABR9" s="883"/>
      <c r="ABS9" s="883"/>
      <c r="ABT9" s="883"/>
      <c r="ABU9" s="883"/>
      <c r="ABV9" s="883"/>
      <c r="ABW9" s="883"/>
      <c r="ABX9" s="883"/>
      <c r="ABY9" s="883"/>
      <c r="ABZ9" s="883"/>
      <c r="ACA9" s="883"/>
      <c r="ACB9" s="883"/>
      <c r="ACC9" s="883"/>
      <c r="ACD9" s="883"/>
      <c r="ACE9" s="883"/>
      <c r="ACF9" s="883"/>
      <c r="ACG9" s="883"/>
      <c r="ACH9" s="883"/>
      <c r="ACI9" s="883"/>
      <c r="ACJ9" s="883"/>
      <c r="ACK9" s="883"/>
      <c r="ACL9" s="883"/>
      <c r="ACM9" s="883"/>
      <c r="ACN9" s="883"/>
      <c r="ACO9" s="883"/>
      <c r="ACP9" s="883"/>
      <c r="ACQ9" s="883"/>
      <c r="ACR9" s="883"/>
      <c r="ACS9" s="883"/>
      <c r="ACT9" s="883"/>
      <c r="ACU9" s="883"/>
      <c r="ACV9" s="883"/>
      <c r="ACW9" s="883"/>
      <c r="ACX9" s="883"/>
      <c r="ACY9" s="883"/>
      <c r="ACZ9" s="883"/>
      <c r="ADA9" s="883"/>
      <c r="ADB9" s="883"/>
      <c r="ADC9" s="883"/>
      <c r="ADD9" s="883"/>
      <c r="ADE9" s="883"/>
      <c r="ADF9" s="883"/>
      <c r="ADG9" s="883"/>
      <c r="ADH9" s="883"/>
      <c r="ADI9" s="883"/>
      <c r="ADJ9" s="883"/>
      <c r="ADK9" s="883"/>
      <c r="ADL9" s="883"/>
      <c r="ADM9" s="883"/>
      <c r="ADN9" s="883"/>
      <c r="ADO9" s="883"/>
      <c r="ADP9" s="883"/>
      <c r="ADQ9" s="883"/>
      <c r="ADR9" s="883"/>
      <c r="ADS9" s="883"/>
      <c r="ADT9" s="883"/>
      <c r="ADU9" s="883"/>
      <c r="ADV9" s="883"/>
      <c r="ADW9" s="883"/>
      <c r="ADX9" s="883"/>
      <c r="ADY9" s="883"/>
      <c r="ADZ9" s="883"/>
      <c r="AEA9" s="883"/>
      <c r="AEB9" s="883"/>
      <c r="AEC9" s="883"/>
      <c r="AED9" s="883"/>
      <c r="AEE9" s="883"/>
      <c r="AEF9" s="883"/>
      <c r="AEG9" s="883"/>
      <c r="AEH9" s="883"/>
      <c r="AEI9" s="883"/>
      <c r="AEJ9" s="883"/>
      <c r="AEK9" s="883"/>
      <c r="AEL9" s="883"/>
      <c r="AEM9" s="883"/>
      <c r="AEN9" s="883"/>
      <c r="AEO9" s="883"/>
      <c r="AEP9" s="883"/>
      <c r="AEQ9" s="883"/>
      <c r="AER9" s="883"/>
      <c r="AES9" s="883"/>
      <c r="AET9" s="883"/>
      <c r="AEU9" s="883"/>
      <c r="AEV9" s="883"/>
      <c r="AEW9" s="883"/>
      <c r="AEX9" s="883"/>
      <c r="AEY9" s="883"/>
      <c r="AEZ9" s="883"/>
      <c r="AFA9" s="883"/>
      <c r="AFB9" s="883"/>
      <c r="AFC9" s="883"/>
      <c r="AFD9" s="883"/>
      <c r="AFE9" s="883"/>
      <c r="AFF9" s="883"/>
      <c r="AFG9" s="883"/>
      <c r="AFH9" s="883"/>
      <c r="AFI9" s="883"/>
      <c r="AFJ9" s="883"/>
      <c r="AFK9" s="883"/>
      <c r="AFL9" s="883"/>
      <c r="AFM9" s="883"/>
      <c r="AFN9" s="883"/>
      <c r="AFO9" s="883"/>
      <c r="AFP9" s="883"/>
      <c r="AFQ9" s="883"/>
      <c r="AFR9" s="883"/>
      <c r="AFS9" s="883"/>
      <c r="AFT9" s="883"/>
      <c r="AFU9" s="883"/>
      <c r="AFV9" s="883"/>
      <c r="AFW9" s="883"/>
      <c r="AFX9" s="883"/>
      <c r="AFY9" s="883"/>
      <c r="AFZ9" s="883"/>
      <c r="AGA9" s="883"/>
      <c r="AGB9" s="883"/>
      <c r="AGC9" s="883"/>
      <c r="AGD9" s="883"/>
      <c r="AGE9" s="883"/>
      <c r="AGF9" s="883"/>
      <c r="AGG9" s="883"/>
      <c r="AGH9" s="883"/>
      <c r="AGI9" s="883"/>
      <c r="AGJ9" s="883"/>
      <c r="AGK9" s="883"/>
      <c r="AGL9" s="883"/>
      <c r="AGM9" s="883"/>
      <c r="AGN9" s="883"/>
      <c r="AGO9" s="883"/>
      <c r="AGP9" s="883"/>
      <c r="AGQ9" s="883"/>
      <c r="AGR9" s="883"/>
      <c r="AGS9" s="883"/>
      <c r="AGT9" s="883"/>
      <c r="AGU9" s="883"/>
      <c r="AGV9" s="883"/>
      <c r="AGW9" s="883"/>
      <c r="AGX9" s="883"/>
      <c r="AGY9" s="883"/>
      <c r="AGZ9" s="883"/>
      <c r="AHA9" s="883"/>
      <c r="AHB9" s="883"/>
      <c r="AHC9" s="883"/>
      <c r="AHD9" s="883"/>
      <c r="AHE9" s="883"/>
      <c r="AHF9" s="883"/>
      <c r="AHG9" s="883"/>
      <c r="AHH9" s="883"/>
      <c r="AHI9" s="883"/>
      <c r="AHJ9" s="883"/>
      <c r="AHK9" s="883"/>
      <c r="AHL9" s="883"/>
      <c r="AHM9" s="883"/>
      <c r="AHN9" s="883"/>
      <c r="AHO9" s="883"/>
      <c r="AHP9" s="883"/>
      <c r="AHQ9" s="883"/>
      <c r="AHR9" s="883"/>
      <c r="AHS9" s="883"/>
      <c r="AHT9" s="883"/>
      <c r="AHU9" s="883"/>
      <c r="AHV9" s="883"/>
      <c r="AHW9" s="883"/>
      <c r="AHX9" s="883"/>
      <c r="AHY9" s="883"/>
      <c r="AHZ9" s="883"/>
      <c r="AIA9" s="883"/>
      <c r="AIB9" s="883"/>
      <c r="AIC9" s="883"/>
      <c r="AID9" s="883"/>
      <c r="AIE9" s="883"/>
      <c r="AIF9" s="883"/>
      <c r="AIG9" s="883"/>
      <c r="AIH9" s="883"/>
      <c r="AII9" s="883"/>
      <c r="AIJ9" s="883"/>
      <c r="AIK9" s="883"/>
      <c r="AIL9" s="883"/>
      <c r="AIM9" s="883"/>
      <c r="AIN9" s="883"/>
      <c r="AIO9" s="883"/>
      <c r="AIP9" s="883"/>
      <c r="AIQ9" s="883"/>
      <c r="AIR9" s="883"/>
      <c r="AIS9" s="883"/>
      <c r="AIT9" s="883"/>
      <c r="AIU9" s="883"/>
      <c r="AIV9" s="883"/>
      <c r="AIW9" s="883"/>
      <c r="AIX9" s="883"/>
      <c r="AIY9" s="883"/>
      <c r="AIZ9" s="883"/>
      <c r="AJA9" s="883"/>
      <c r="AJB9" s="883"/>
      <c r="AJC9" s="883"/>
      <c r="AJD9" s="883"/>
      <c r="AJE9" s="883"/>
      <c r="AJF9" s="883"/>
      <c r="AJG9" s="883"/>
      <c r="AJH9" s="883"/>
      <c r="AJI9" s="883"/>
      <c r="AJJ9" s="883"/>
      <c r="AJK9" s="883"/>
      <c r="AJL9" s="883"/>
      <c r="AJM9" s="883"/>
      <c r="AJN9" s="883"/>
      <c r="AJO9" s="883"/>
      <c r="AJP9" s="883"/>
      <c r="AJQ9" s="883"/>
      <c r="AJR9" s="883"/>
      <c r="AJS9" s="883"/>
      <c r="AJT9" s="883"/>
      <c r="AJU9" s="883"/>
      <c r="AJV9" s="883"/>
      <c r="AJW9" s="883"/>
      <c r="AJX9" s="883"/>
      <c r="AJY9" s="883"/>
      <c r="AJZ9" s="883"/>
      <c r="AKA9" s="883"/>
      <c r="AKB9" s="883"/>
      <c r="AKC9" s="883"/>
      <c r="AKD9" s="883"/>
      <c r="AKE9" s="883"/>
      <c r="AKF9" s="883"/>
      <c r="AKG9" s="883"/>
      <c r="AKH9" s="883"/>
      <c r="AKI9" s="883"/>
      <c r="AKJ9" s="883"/>
      <c r="AKK9" s="883"/>
      <c r="AKL9" s="883"/>
      <c r="AKM9" s="883"/>
      <c r="AKN9" s="883"/>
      <c r="AKO9" s="883"/>
      <c r="AKP9" s="883"/>
      <c r="AKQ9" s="883"/>
      <c r="AKR9" s="883"/>
      <c r="AKS9" s="883"/>
      <c r="AKT9" s="883"/>
      <c r="AKU9" s="883"/>
      <c r="AKV9" s="883"/>
      <c r="AKW9" s="883"/>
      <c r="AKX9" s="883"/>
      <c r="AKY9" s="883"/>
      <c r="AKZ9" s="883"/>
      <c r="ALA9" s="883"/>
      <c r="ALB9" s="883"/>
      <c r="ALC9" s="883"/>
      <c r="ALD9" s="883"/>
      <c r="ALE9" s="883"/>
      <c r="ALF9" s="883"/>
      <c r="ALG9" s="883"/>
      <c r="ALH9" s="883"/>
      <c r="ALI9" s="883"/>
      <c r="ALJ9" s="883"/>
      <c r="ALK9" s="883"/>
      <c r="ALL9" s="883"/>
      <c r="ALM9" s="883"/>
      <c r="ALN9" s="883"/>
      <c r="ALO9" s="883"/>
      <c r="ALP9" s="883"/>
      <c r="ALQ9" s="883"/>
      <c r="ALR9" s="883"/>
      <c r="ALS9" s="883"/>
      <c r="ALT9" s="883"/>
      <c r="ALU9" s="883"/>
      <c r="ALV9" s="883"/>
      <c r="ALW9" s="883"/>
      <c r="ALX9" s="883"/>
      <c r="ALY9" s="883"/>
      <c r="ALZ9" s="883"/>
      <c r="AMA9" s="883"/>
      <c r="AMB9" s="883"/>
      <c r="AMC9" s="883"/>
      <c r="AMD9" s="883"/>
      <c r="AME9" s="883"/>
      <c r="AMF9" s="883"/>
      <c r="AMG9" s="883"/>
      <c r="AMH9" s="883"/>
      <c r="AMI9" s="883"/>
      <c r="AMJ9" s="883"/>
      <c r="AMK9" s="883"/>
      <c r="AML9" s="883"/>
      <c r="AMM9" s="883"/>
      <c r="AMN9" s="883"/>
      <c r="AMO9" s="883"/>
      <c r="AMP9" s="883"/>
      <c r="AMQ9" s="883"/>
      <c r="AMR9" s="883"/>
      <c r="AMS9" s="883"/>
      <c r="AMT9" s="883"/>
      <c r="AMU9" s="883"/>
      <c r="AMV9" s="883"/>
      <c r="AMW9" s="883"/>
      <c r="AMX9" s="883"/>
      <c r="AMY9" s="883"/>
      <c r="AMZ9" s="883"/>
      <c r="ANA9" s="883"/>
      <c r="ANB9" s="883"/>
      <c r="ANC9" s="883"/>
      <c r="AND9" s="883"/>
      <c r="ANE9" s="883"/>
      <c r="ANF9" s="883"/>
      <c r="ANG9" s="883"/>
      <c r="ANH9" s="883"/>
      <c r="ANI9" s="883"/>
      <c r="ANJ9" s="883"/>
      <c r="ANK9" s="883"/>
      <c r="ANL9" s="883"/>
      <c r="ANM9" s="883"/>
      <c r="ANN9" s="883"/>
      <c r="ANO9" s="883"/>
      <c r="ANP9" s="883"/>
      <c r="ANQ9" s="883"/>
      <c r="ANR9" s="883"/>
      <c r="ANS9" s="883"/>
      <c r="ANT9" s="883"/>
      <c r="ANU9" s="883"/>
      <c r="ANV9" s="883"/>
      <c r="ANW9" s="883"/>
      <c r="ANX9" s="883"/>
      <c r="ANY9" s="883"/>
      <c r="ANZ9" s="883"/>
      <c r="AOA9" s="883"/>
      <c r="AOB9" s="883"/>
      <c r="AOC9" s="883"/>
      <c r="AOD9" s="883"/>
      <c r="AOE9" s="883"/>
      <c r="AOF9" s="883"/>
      <c r="AOG9" s="883"/>
      <c r="AOH9" s="883"/>
      <c r="AOI9" s="883"/>
      <c r="AOJ9" s="883"/>
      <c r="AOK9" s="883"/>
      <c r="AOL9" s="883"/>
      <c r="AOM9" s="883"/>
      <c r="AON9" s="883"/>
      <c r="AOO9" s="883"/>
      <c r="AOP9" s="883"/>
      <c r="AOQ9" s="883"/>
      <c r="AOR9" s="883"/>
      <c r="AOS9" s="883"/>
      <c r="AOT9" s="883"/>
      <c r="AOU9" s="883"/>
      <c r="AOV9" s="883"/>
      <c r="AOW9" s="883"/>
      <c r="AOX9" s="883"/>
      <c r="AOY9" s="883"/>
      <c r="AOZ9" s="883"/>
      <c r="APA9" s="883"/>
      <c r="APB9" s="883"/>
      <c r="APC9" s="883"/>
      <c r="APD9" s="883"/>
      <c r="APE9" s="883"/>
      <c r="APF9" s="883"/>
      <c r="APG9" s="883"/>
      <c r="APH9" s="883"/>
      <c r="API9" s="883"/>
      <c r="APJ9" s="883"/>
      <c r="APK9" s="883"/>
      <c r="APL9" s="883"/>
      <c r="APM9" s="883"/>
      <c r="APN9" s="883"/>
      <c r="APO9" s="883"/>
      <c r="APP9" s="883"/>
      <c r="APQ9" s="883"/>
      <c r="APR9" s="883"/>
      <c r="APS9" s="883"/>
      <c r="APT9" s="883"/>
      <c r="APU9" s="883"/>
      <c r="APV9" s="883"/>
      <c r="APW9" s="883"/>
      <c r="APX9" s="883"/>
      <c r="APY9" s="883"/>
      <c r="APZ9" s="883"/>
      <c r="AQA9" s="883"/>
      <c r="AQB9" s="883"/>
      <c r="AQC9" s="883"/>
      <c r="AQD9" s="883"/>
      <c r="AQE9" s="883"/>
      <c r="AQF9" s="883"/>
      <c r="AQG9" s="883"/>
      <c r="AQH9" s="883"/>
      <c r="AQI9" s="883"/>
      <c r="AQJ9" s="883"/>
      <c r="AQK9" s="883"/>
      <c r="AQL9" s="883"/>
      <c r="AQM9" s="883"/>
      <c r="AQN9" s="883"/>
      <c r="AQO9" s="883"/>
      <c r="AQP9" s="883"/>
      <c r="AQQ9" s="883"/>
      <c r="AQR9" s="883"/>
      <c r="AQS9" s="883"/>
      <c r="AQT9" s="883"/>
      <c r="AQU9" s="883"/>
      <c r="AQV9" s="883"/>
      <c r="AQW9" s="883"/>
      <c r="AQX9" s="883"/>
      <c r="AQY9" s="883"/>
      <c r="AQZ9" s="883"/>
      <c r="ARA9" s="883"/>
      <c r="ARB9" s="883"/>
      <c r="ARC9" s="883"/>
      <c r="ARD9" s="883"/>
      <c r="ARE9" s="883"/>
      <c r="ARF9" s="883"/>
      <c r="ARG9" s="883"/>
      <c r="ARH9" s="883"/>
      <c r="ARI9" s="883"/>
      <c r="ARJ9" s="883"/>
      <c r="ARK9" s="883"/>
      <c r="ARL9" s="883"/>
      <c r="ARM9" s="883"/>
      <c r="ARN9" s="883"/>
      <c r="ARO9" s="883"/>
      <c r="ARP9" s="883"/>
      <c r="ARQ9" s="883"/>
      <c r="ARR9" s="883"/>
      <c r="ARS9" s="883"/>
      <c r="ART9" s="883"/>
      <c r="ARU9" s="883"/>
      <c r="ARV9" s="883"/>
      <c r="ARW9" s="883"/>
      <c r="ARX9" s="883"/>
      <c r="ARY9" s="883"/>
      <c r="ARZ9" s="883"/>
      <c r="ASA9" s="883"/>
      <c r="ASB9" s="883"/>
      <c r="ASC9" s="883"/>
      <c r="ASD9" s="883"/>
      <c r="ASE9" s="883"/>
      <c r="ASF9" s="883"/>
      <c r="ASG9" s="883"/>
      <c r="ASH9" s="883"/>
      <c r="ASI9" s="883"/>
      <c r="ASJ9" s="883"/>
      <c r="ASK9" s="883"/>
      <c r="ASL9" s="883"/>
      <c r="ASM9" s="883"/>
      <c r="ASN9" s="883"/>
      <c r="ASO9" s="883"/>
      <c r="ASP9" s="883"/>
      <c r="ASQ9" s="883"/>
      <c r="ASR9" s="883"/>
      <c r="ASS9" s="883"/>
      <c r="AST9" s="883"/>
      <c r="ASU9" s="883"/>
      <c r="ASV9" s="883"/>
      <c r="ASW9" s="883"/>
      <c r="ASX9" s="883"/>
      <c r="ASY9" s="883"/>
      <c r="ASZ9" s="883"/>
      <c r="ATA9" s="883"/>
      <c r="ATB9" s="883"/>
      <c r="ATC9" s="883"/>
      <c r="ATD9" s="883"/>
      <c r="ATE9" s="883"/>
      <c r="ATF9" s="883"/>
      <c r="ATG9" s="883"/>
      <c r="ATH9" s="883"/>
      <c r="ATI9" s="883"/>
      <c r="ATJ9" s="883"/>
      <c r="ATK9" s="883"/>
      <c r="ATL9" s="883"/>
      <c r="ATM9" s="883"/>
      <c r="ATN9" s="883"/>
      <c r="ATO9" s="883"/>
      <c r="ATP9" s="883"/>
      <c r="ATQ9" s="883"/>
      <c r="ATR9" s="883"/>
      <c r="ATS9" s="883"/>
      <c r="ATT9" s="883"/>
      <c r="ATU9" s="883"/>
      <c r="ATV9" s="883"/>
      <c r="ATW9" s="883"/>
      <c r="ATX9" s="883"/>
      <c r="ATY9" s="883"/>
      <c r="ATZ9" s="883"/>
      <c r="AUA9" s="883"/>
      <c r="AUB9" s="883"/>
      <c r="AUC9" s="883"/>
      <c r="AUD9" s="883"/>
      <c r="AUE9" s="883"/>
      <c r="AUF9" s="883"/>
      <c r="AUG9" s="883"/>
      <c r="AUH9" s="883"/>
      <c r="AUI9" s="883"/>
      <c r="AUJ9" s="883"/>
      <c r="AUK9" s="883"/>
      <c r="AUL9" s="883"/>
      <c r="AUM9" s="883"/>
      <c r="AUN9" s="883"/>
      <c r="AUO9" s="883"/>
      <c r="AUP9" s="883"/>
      <c r="AUQ9" s="883"/>
      <c r="AUR9" s="883"/>
      <c r="AUS9" s="883"/>
      <c r="AUT9" s="883"/>
      <c r="AUU9" s="883"/>
      <c r="AUV9" s="883"/>
      <c r="AUW9" s="883"/>
      <c r="AUX9" s="883"/>
      <c r="AUY9" s="883"/>
      <c r="AUZ9" s="883"/>
      <c r="AVA9" s="883"/>
      <c r="AVB9" s="883"/>
      <c r="AVC9" s="883"/>
      <c r="AVD9" s="883"/>
      <c r="AVE9" s="883"/>
      <c r="AVF9" s="883"/>
      <c r="AVG9" s="883"/>
      <c r="AVH9" s="883"/>
      <c r="AVI9" s="883"/>
      <c r="AVJ9" s="883"/>
      <c r="AVK9" s="883"/>
      <c r="AVL9" s="883"/>
      <c r="AVM9" s="883"/>
      <c r="AVN9" s="883"/>
      <c r="AVO9" s="883"/>
      <c r="AVP9" s="883"/>
      <c r="AVQ9" s="883"/>
      <c r="AVR9" s="883"/>
      <c r="AVS9" s="883"/>
      <c r="AVT9" s="883"/>
      <c r="AVU9" s="883"/>
      <c r="AVV9" s="883"/>
      <c r="AVW9" s="883"/>
      <c r="AVX9" s="883"/>
      <c r="AVY9" s="883"/>
      <c r="AVZ9" s="883"/>
      <c r="AWA9" s="883"/>
      <c r="AWB9" s="883"/>
      <c r="AWC9" s="883"/>
      <c r="AWD9" s="883"/>
      <c r="AWE9" s="883"/>
      <c r="AWF9" s="883"/>
      <c r="AWG9" s="883"/>
      <c r="AWH9" s="883"/>
      <c r="AWI9" s="883"/>
      <c r="AWJ9" s="883"/>
      <c r="AWK9" s="883"/>
      <c r="AWL9" s="883"/>
      <c r="AWM9" s="883"/>
      <c r="AWN9" s="883"/>
      <c r="AWO9" s="883"/>
      <c r="AWP9" s="883"/>
      <c r="AWQ9" s="883"/>
      <c r="AWR9" s="883"/>
      <c r="AWS9" s="883"/>
      <c r="AWT9" s="883"/>
      <c r="AWU9" s="883"/>
      <c r="AWV9" s="883"/>
      <c r="AWW9" s="883"/>
      <c r="AWX9" s="883"/>
      <c r="AWY9" s="883"/>
      <c r="AWZ9" s="883"/>
      <c r="AXA9" s="883"/>
      <c r="AXB9" s="883"/>
      <c r="AXC9" s="883"/>
      <c r="AXD9" s="883"/>
      <c r="AXE9" s="883"/>
      <c r="AXF9" s="883"/>
      <c r="AXG9" s="883"/>
      <c r="AXH9" s="883"/>
      <c r="AXI9" s="883"/>
      <c r="AXJ9" s="883"/>
      <c r="AXK9" s="883"/>
      <c r="AXL9" s="883"/>
      <c r="AXM9" s="883"/>
      <c r="AXN9" s="883"/>
      <c r="AXO9" s="883"/>
      <c r="AXP9" s="883"/>
      <c r="AXQ9" s="883"/>
      <c r="AXR9" s="883"/>
      <c r="AXS9" s="883"/>
      <c r="AXT9" s="883"/>
      <c r="AXU9" s="883"/>
      <c r="AXV9" s="883"/>
      <c r="AXW9" s="883"/>
      <c r="AXX9" s="883"/>
      <c r="AXY9" s="883"/>
      <c r="AXZ9" s="883"/>
      <c r="AYA9" s="883"/>
      <c r="AYB9" s="883"/>
      <c r="AYC9" s="883"/>
      <c r="AYD9" s="883"/>
      <c r="AYE9" s="883"/>
      <c r="AYF9" s="883"/>
      <c r="AYG9" s="883"/>
      <c r="AYH9" s="883"/>
      <c r="AYI9" s="883"/>
      <c r="AYJ9" s="883"/>
      <c r="AYK9" s="883"/>
      <c r="AYL9" s="883"/>
      <c r="AYM9" s="883"/>
      <c r="AYN9" s="883"/>
      <c r="AYO9" s="883"/>
      <c r="AYP9" s="883"/>
      <c r="AYQ9" s="883"/>
      <c r="AYR9" s="883"/>
      <c r="AYS9" s="883"/>
      <c r="AYT9" s="883"/>
      <c r="AYU9" s="883"/>
      <c r="AYV9" s="883"/>
      <c r="AYW9" s="883"/>
      <c r="AYX9" s="883"/>
      <c r="AYY9" s="883"/>
      <c r="AYZ9" s="883"/>
      <c r="AZA9" s="883"/>
      <c r="AZB9" s="883"/>
      <c r="AZC9" s="883"/>
      <c r="AZD9" s="883"/>
      <c r="AZE9" s="883"/>
      <c r="AZF9" s="883"/>
      <c r="AZG9" s="883"/>
      <c r="AZH9" s="883"/>
      <c r="AZI9" s="883"/>
      <c r="AZJ9" s="883"/>
      <c r="AZK9" s="883"/>
      <c r="AZL9" s="883"/>
      <c r="AZM9" s="883"/>
      <c r="AZN9" s="883"/>
      <c r="AZO9" s="883"/>
      <c r="AZP9" s="883"/>
      <c r="AZQ9" s="883"/>
      <c r="AZR9" s="883"/>
      <c r="AZS9" s="883"/>
      <c r="AZT9" s="883"/>
      <c r="AZU9" s="883"/>
      <c r="AZV9" s="883"/>
      <c r="AZW9" s="883"/>
      <c r="AZX9" s="883"/>
      <c r="AZY9" s="883"/>
      <c r="AZZ9" s="883"/>
      <c r="BAA9" s="883"/>
      <c r="BAB9" s="883"/>
      <c r="BAC9" s="883"/>
      <c r="BAD9" s="883"/>
      <c r="BAE9" s="883"/>
      <c r="BAF9" s="883"/>
      <c r="BAG9" s="883"/>
      <c r="BAH9" s="883"/>
      <c r="BAI9" s="883"/>
      <c r="BAJ9" s="883"/>
      <c r="BAK9" s="883"/>
      <c r="BAL9" s="883"/>
      <c r="BAM9" s="883"/>
      <c r="BAN9" s="883"/>
      <c r="BAO9" s="883"/>
      <c r="BAP9" s="883"/>
      <c r="BAQ9" s="883"/>
      <c r="BAR9" s="883"/>
      <c r="BAS9" s="883"/>
      <c r="BAT9" s="883"/>
      <c r="BAU9" s="883"/>
      <c r="BAV9" s="883"/>
      <c r="BAW9" s="883"/>
      <c r="BAX9" s="883"/>
      <c r="BAY9" s="883"/>
      <c r="BAZ9" s="883"/>
      <c r="BBA9" s="883"/>
      <c r="BBB9" s="883"/>
      <c r="BBC9" s="883"/>
      <c r="BBD9" s="883"/>
      <c r="BBE9" s="883"/>
      <c r="BBF9" s="883"/>
      <c r="BBG9" s="883"/>
      <c r="BBH9" s="883"/>
      <c r="BBI9" s="883"/>
      <c r="BBJ9" s="883"/>
      <c r="BBK9" s="883"/>
      <c r="BBL9" s="883"/>
      <c r="BBM9" s="883"/>
      <c r="BBN9" s="883"/>
      <c r="BBO9" s="883"/>
      <c r="BBP9" s="883"/>
      <c r="BBQ9" s="883"/>
      <c r="BBR9" s="883"/>
      <c r="BBS9" s="883"/>
      <c r="BBT9" s="883"/>
      <c r="BBU9" s="883"/>
      <c r="BBV9" s="883"/>
      <c r="BBW9" s="883"/>
      <c r="BBX9" s="883"/>
      <c r="BBY9" s="883"/>
      <c r="BBZ9" s="883"/>
      <c r="BCA9" s="883"/>
      <c r="BCB9" s="883"/>
      <c r="BCC9" s="883"/>
      <c r="BCD9" s="883"/>
      <c r="BCE9" s="883"/>
      <c r="BCF9" s="883"/>
      <c r="BCG9" s="883"/>
      <c r="BCH9" s="883"/>
      <c r="BCI9" s="883"/>
      <c r="BCJ9" s="883"/>
      <c r="BCK9" s="883"/>
      <c r="BCL9" s="883"/>
      <c r="BCM9" s="883"/>
      <c r="BCN9" s="883"/>
      <c r="BCO9" s="883"/>
      <c r="BCP9" s="883"/>
      <c r="BCQ9" s="883"/>
      <c r="BCR9" s="883"/>
      <c r="BCS9" s="883"/>
      <c r="BCT9" s="883"/>
      <c r="BCU9" s="883"/>
      <c r="BCV9" s="883"/>
      <c r="BCW9" s="883"/>
      <c r="BCX9" s="883"/>
      <c r="BCY9" s="883"/>
      <c r="BCZ9" s="883"/>
      <c r="BDA9" s="883"/>
      <c r="BDB9" s="883"/>
      <c r="BDC9" s="883"/>
      <c r="BDD9" s="883"/>
      <c r="BDE9" s="883"/>
      <c r="BDF9" s="883"/>
      <c r="BDG9" s="883"/>
      <c r="BDH9" s="883"/>
      <c r="BDI9" s="883"/>
      <c r="BDJ9" s="883"/>
      <c r="BDK9" s="883"/>
      <c r="BDL9" s="883"/>
      <c r="BDM9" s="883"/>
      <c r="BDN9" s="883"/>
      <c r="BDO9" s="883"/>
      <c r="BDP9" s="883"/>
      <c r="BDQ9" s="883"/>
      <c r="BDR9" s="883"/>
      <c r="BDS9" s="883"/>
      <c r="BDT9" s="883"/>
      <c r="BDU9" s="883"/>
      <c r="BDV9" s="883"/>
      <c r="BDW9" s="883"/>
      <c r="BDX9" s="883"/>
      <c r="BDY9" s="883"/>
      <c r="BDZ9" s="883"/>
      <c r="BEA9" s="883"/>
      <c r="BEB9" s="883"/>
      <c r="BEC9" s="883"/>
      <c r="BED9" s="883"/>
      <c r="BEE9" s="883"/>
      <c r="BEF9" s="883"/>
      <c r="BEG9" s="883"/>
      <c r="BEH9" s="883"/>
      <c r="BEI9" s="883"/>
      <c r="BEJ9" s="883"/>
      <c r="BEK9" s="883"/>
      <c r="BEL9" s="883"/>
      <c r="BEM9" s="883"/>
      <c r="BEN9" s="883"/>
      <c r="BEO9" s="883"/>
      <c r="BEP9" s="883"/>
      <c r="BEQ9" s="883"/>
      <c r="BER9" s="883"/>
      <c r="BES9" s="883"/>
      <c r="BET9" s="883"/>
      <c r="BEU9" s="883"/>
      <c r="BEV9" s="883"/>
      <c r="BEW9" s="883"/>
      <c r="BEX9" s="883"/>
      <c r="BEY9" s="883"/>
      <c r="BEZ9" s="883"/>
      <c r="BFA9" s="883"/>
      <c r="BFB9" s="883"/>
      <c r="BFC9" s="883"/>
      <c r="BFD9" s="883"/>
      <c r="BFE9" s="883"/>
      <c r="BFF9" s="883"/>
      <c r="BFG9" s="883"/>
      <c r="BFH9" s="883"/>
      <c r="BFI9" s="883"/>
      <c r="BFJ9" s="883"/>
      <c r="BFK9" s="883"/>
      <c r="BFL9" s="883"/>
      <c r="BFM9" s="883"/>
      <c r="BFN9" s="883"/>
      <c r="BFO9" s="883"/>
      <c r="BFP9" s="883"/>
      <c r="BFQ9" s="883"/>
      <c r="BFR9" s="883"/>
      <c r="BFS9" s="883"/>
      <c r="BFT9" s="883"/>
      <c r="BFU9" s="883"/>
      <c r="BFV9" s="883"/>
      <c r="BFW9" s="883"/>
      <c r="BFX9" s="883"/>
      <c r="BFY9" s="883"/>
      <c r="BFZ9" s="883"/>
      <c r="BGA9" s="883"/>
      <c r="BGB9" s="883"/>
      <c r="BGC9" s="883"/>
      <c r="BGD9" s="883"/>
      <c r="BGE9" s="883"/>
      <c r="BGF9" s="883"/>
      <c r="BGG9" s="883"/>
      <c r="BGH9" s="883"/>
      <c r="BGI9" s="883"/>
      <c r="BGJ9" s="883"/>
      <c r="BGK9" s="883"/>
      <c r="BGL9" s="883"/>
      <c r="BGM9" s="883"/>
      <c r="BGN9" s="883"/>
      <c r="BGO9" s="883"/>
      <c r="BGP9" s="883"/>
      <c r="BGQ9" s="883"/>
      <c r="BGR9" s="883"/>
      <c r="BGS9" s="883"/>
      <c r="BGT9" s="883"/>
      <c r="BGU9" s="883"/>
      <c r="BGV9" s="883"/>
      <c r="BGW9" s="883"/>
      <c r="BGX9" s="883"/>
      <c r="BGY9" s="883"/>
      <c r="BGZ9" s="883"/>
      <c r="BHA9" s="883"/>
      <c r="BHB9" s="883"/>
      <c r="BHC9" s="883"/>
      <c r="BHD9" s="883"/>
      <c r="BHE9" s="883"/>
      <c r="BHF9" s="883"/>
      <c r="BHG9" s="883"/>
      <c r="BHH9" s="883"/>
      <c r="BHI9" s="883"/>
      <c r="BHJ9" s="883"/>
      <c r="BHK9" s="883"/>
      <c r="BHL9" s="883"/>
      <c r="BHM9" s="883"/>
      <c r="BHN9" s="883"/>
      <c r="BHO9" s="883"/>
      <c r="BHP9" s="883"/>
      <c r="BHQ9" s="883"/>
      <c r="BHR9" s="883"/>
      <c r="BHS9" s="883"/>
      <c r="BHT9" s="883"/>
      <c r="BHU9" s="883"/>
      <c r="BHV9" s="883"/>
      <c r="BHW9" s="883"/>
      <c r="BHX9" s="883"/>
      <c r="BHY9" s="883"/>
      <c r="BHZ9" s="883"/>
      <c r="BIA9" s="883"/>
      <c r="BIB9" s="883"/>
      <c r="BIC9" s="883"/>
      <c r="BID9" s="883"/>
      <c r="BIE9" s="883"/>
      <c r="BIF9" s="883"/>
      <c r="BIG9" s="883"/>
      <c r="BIH9" s="883"/>
      <c r="BII9" s="883"/>
      <c r="BIJ9" s="883"/>
      <c r="BIK9" s="883"/>
      <c r="BIL9" s="883"/>
      <c r="BIM9" s="883"/>
      <c r="BIN9" s="883"/>
      <c r="BIO9" s="883"/>
      <c r="BIP9" s="883"/>
      <c r="BIQ9" s="883"/>
      <c r="BIR9" s="883"/>
      <c r="BIS9" s="883"/>
      <c r="BIT9" s="883"/>
      <c r="BIU9" s="883"/>
      <c r="BIV9" s="883"/>
      <c r="BIW9" s="883"/>
      <c r="BIX9" s="883"/>
      <c r="BIY9" s="883"/>
      <c r="BIZ9" s="883"/>
      <c r="BJA9" s="883"/>
      <c r="BJB9" s="883"/>
      <c r="BJC9" s="883"/>
      <c r="BJD9" s="883"/>
      <c r="BJE9" s="883"/>
      <c r="BJF9" s="883"/>
      <c r="BJG9" s="883"/>
      <c r="BJH9" s="883"/>
      <c r="BJI9" s="883"/>
      <c r="BJJ9" s="883"/>
      <c r="BJK9" s="883"/>
      <c r="BJL9" s="883"/>
      <c r="BJM9" s="883"/>
      <c r="BJN9" s="883"/>
      <c r="BJO9" s="883"/>
      <c r="BJP9" s="883"/>
      <c r="BJQ9" s="883"/>
      <c r="BJR9" s="883"/>
      <c r="BJS9" s="883"/>
      <c r="BJT9" s="883"/>
      <c r="BJU9" s="883"/>
      <c r="BJV9" s="883"/>
      <c r="BJW9" s="883"/>
      <c r="BJX9" s="883"/>
      <c r="BJY9" s="883"/>
      <c r="BJZ9" s="883"/>
      <c r="BKA9" s="883"/>
      <c r="BKB9" s="883"/>
      <c r="BKC9" s="883"/>
      <c r="BKD9" s="883"/>
      <c r="BKE9" s="883"/>
      <c r="BKF9" s="883"/>
      <c r="BKG9" s="883"/>
      <c r="BKH9" s="883"/>
      <c r="BKI9" s="883"/>
      <c r="BKJ9" s="883"/>
      <c r="BKK9" s="883"/>
      <c r="BKL9" s="883"/>
      <c r="BKM9" s="883"/>
      <c r="BKN9" s="883"/>
      <c r="BKO9" s="883"/>
      <c r="BKP9" s="883"/>
      <c r="BKQ9" s="883"/>
      <c r="BKR9" s="883"/>
      <c r="BKS9" s="883"/>
      <c r="BKT9" s="883"/>
      <c r="BKU9" s="883"/>
      <c r="BKV9" s="883"/>
      <c r="BKW9" s="883"/>
      <c r="BKX9" s="883"/>
      <c r="BKY9" s="883"/>
      <c r="BKZ9" s="883"/>
      <c r="BLA9" s="883"/>
      <c r="BLB9" s="883"/>
      <c r="BLC9" s="883"/>
      <c r="BLD9" s="883"/>
      <c r="BLE9" s="883"/>
      <c r="BLF9" s="883"/>
      <c r="BLG9" s="883"/>
      <c r="BLH9" s="883"/>
      <c r="BLI9" s="883"/>
      <c r="BLJ9" s="883"/>
      <c r="BLK9" s="883"/>
      <c r="BLL9" s="883"/>
      <c r="BLM9" s="883"/>
      <c r="BLN9" s="883"/>
      <c r="BLO9" s="883"/>
      <c r="BLP9" s="883"/>
      <c r="BLQ9" s="883"/>
      <c r="BLR9" s="883"/>
      <c r="BLS9" s="883"/>
      <c r="BLT9" s="883"/>
      <c r="BLU9" s="883"/>
      <c r="BLV9" s="883"/>
      <c r="BLW9" s="883"/>
      <c r="BLX9" s="883"/>
      <c r="BLY9" s="883"/>
      <c r="BLZ9" s="883"/>
      <c r="BMA9" s="883"/>
      <c r="BMB9" s="883"/>
      <c r="BMC9" s="883"/>
      <c r="BMD9" s="883"/>
      <c r="BME9" s="883"/>
      <c r="BMF9" s="883"/>
      <c r="BMG9" s="883"/>
      <c r="BMH9" s="883"/>
      <c r="BMI9" s="883"/>
      <c r="BMJ9" s="883"/>
      <c r="BMK9" s="883"/>
      <c r="BML9" s="883"/>
      <c r="BMM9" s="883"/>
      <c r="BMN9" s="883"/>
      <c r="BMO9" s="883"/>
      <c r="BMP9" s="883"/>
      <c r="BMQ9" s="883"/>
      <c r="BMR9" s="883"/>
      <c r="BMS9" s="883"/>
      <c r="BMT9" s="883"/>
      <c r="BMU9" s="883"/>
      <c r="BMV9" s="883"/>
      <c r="BMW9" s="883"/>
      <c r="BMX9" s="883"/>
      <c r="BMY9" s="883"/>
      <c r="BMZ9" s="883"/>
      <c r="BNA9" s="883"/>
      <c r="BNB9" s="883"/>
      <c r="BNC9" s="883"/>
      <c r="BND9" s="883"/>
      <c r="BNE9" s="883"/>
      <c r="BNF9" s="883"/>
      <c r="BNG9" s="883"/>
      <c r="BNH9" s="883"/>
      <c r="BNI9" s="883"/>
      <c r="BNJ9" s="883"/>
      <c r="BNK9" s="883"/>
      <c r="BNL9" s="883"/>
      <c r="BNM9" s="883"/>
      <c r="BNN9" s="883"/>
      <c r="BNO9" s="883"/>
      <c r="BNP9" s="883"/>
      <c r="BNQ9" s="883"/>
      <c r="BNR9" s="883"/>
      <c r="BNS9" s="883"/>
      <c r="BNT9" s="883"/>
      <c r="BNU9" s="883"/>
      <c r="BNV9" s="883"/>
      <c r="BNW9" s="883"/>
      <c r="BNX9" s="883"/>
      <c r="BNY9" s="883"/>
      <c r="BNZ9" s="883"/>
      <c r="BOA9" s="883"/>
      <c r="BOB9" s="883"/>
      <c r="BOC9" s="883"/>
      <c r="BOD9" s="883"/>
      <c r="BOE9" s="883"/>
      <c r="BOF9" s="883"/>
      <c r="BOG9" s="883"/>
      <c r="BOH9" s="883"/>
      <c r="BOI9" s="883"/>
      <c r="BOJ9" s="883"/>
      <c r="BOK9" s="883"/>
      <c r="BOL9" s="883"/>
      <c r="BOM9" s="883"/>
      <c r="BON9" s="883"/>
      <c r="BOO9" s="883"/>
      <c r="BOP9" s="883"/>
      <c r="BOQ9" s="883"/>
      <c r="BOR9" s="883"/>
      <c r="BOS9" s="883"/>
      <c r="BOT9" s="883"/>
      <c r="BOU9" s="883"/>
      <c r="BOV9" s="883"/>
      <c r="BOW9" s="883"/>
      <c r="BOX9" s="883"/>
      <c r="BOY9" s="883"/>
      <c r="BOZ9" s="883"/>
      <c r="BPA9" s="883"/>
      <c r="BPB9" s="883"/>
      <c r="BPC9" s="883"/>
      <c r="BPD9" s="883"/>
      <c r="BPE9" s="883"/>
      <c r="BPF9" s="883"/>
      <c r="BPG9" s="883"/>
      <c r="BPH9" s="883"/>
      <c r="BPI9" s="883"/>
      <c r="BPJ9" s="883"/>
      <c r="BPK9" s="883"/>
      <c r="BPL9" s="883"/>
      <c r="BPM9" s="883"/>
      <c r="BPN9" s="883"/>
      <c r="BPO9" s="883"/>
      <c r="BPP9" s="883"/>
      <c r="BPQ9" s="883"/>
      <c r="BPR9" s="883"/>
      <c r="BPS9" s="883"/>
      <c r="BPT9" s="883"/>
      <c r="BPU9" s="883"/>
      <c r="BPV9" s="883"/>
      <c r="BPW9" s="883"/>
      <c r="BPX9" s="883"/>
      <c r="BPY9" s="883"/>
      <c r="BPZ9" s="883"/>
      <c r="BQA9" s="883"/>
      <c r="BQB9" s="883"/>
      <c r="BQC9" s="883"/>
      <c r="BQD9" s="883"/>
      <c r="BQE9" s="883"/>
      <c r="BQF9" s="883"/>
      <c r="BQG9" s="883"/>
      <c r="BQH9" s="883"/>
      <c r="BQI9" s="883"/>
      <c r="BQJ9" s="883"/>
      <c r="BQK9" s="883"/>
      <c r="BQL9" s="883"/>
      <c r="BQM9" s="883"/>
      <c r="BQN9" s="883"/>
      <c r="BQO9" s="883"/>
      <c r="BQP9" s="883"/>
      <c r="BQQ9" s="883"/>
      <c r="BQR9" s="883"/>
      <c r="BQS9" s="883"/>
      <c r="BQT9" s="883"/>
      <c r="BQU9" s="883"/>
      <c r="BQV9" s="883"/>
      <c r="BQW9" s="883"/>
      <c r="BQX9" s="883"/>
      <c r="BQY9" s="883"/>
      <c r="BQZ9" s="883"/>
      <c r="BRA9" s="883"/>
      <c r="BRB9" s="883"/>
      <c r="BRC9" s="883"/>
      <c r="BRD9" s="883"/>
      <c r="BRE9" s="883"/>
      <c r="BRF9" s="883"/>
      <c r="BRG9" s="883"/>
      <c r="BRH9" s="883"/>
      <c r="BRI9" s="883"/>
      <c r="BRJ9" s="883"/>
      <c r="BRK9" s="883"/>
      <c r="BRL9" s="883"/>
      <c r="BRM9" s="883"/>
      <c r="BRN9" s="883"/>
      <c r="BRO9" s="883"/>
      <c r="BRP9" s="883"/>
      <c r="BRQ9" s="883"/>
      <c r="BRR9" s="883"/>
      <c r="BRS9" s="883"/>
      <c r="BRT9" s="883"/>
      <c r="BRU9" s="883"/>
      <c r="BRV9" s="883"/>
      <c r="BRW9" s="883"/>
      <c r="BRX9" s="883"/>
      <c r="BRY9" s="883"/>
      <c r="BRZ9" s="883"/>
      <c r="BSA9" s="883"/>
      <c r="BSB9" s="883"/>
      <c r="BSC9" s="883"/>
      <c r="BSD9" s="883"/>
      <c r="BSE9" s="883"/>
      <c r="BSF9" s="883"/>
      <c r="BSG9" s="883"/>
      <c r="BSH9" s="883"/>
      <c r="BSI9" s="883"/>
      <c r="BSJ9" s="883"/>
      <c r="BSK9" s="883"/>
      <c r="BSL9" s="883"/>
      <c r="BSM9" s="883"/>
      <c r="BSN9" s="883"/>
      <c r="BSO9" s="883"/>
      <c r="BSP9" s="883"/>
      <c r="BSQ9" s="883"/>
      <c r="BSR9" s="883"/>
      <c r="BSS9" s="883"/>
      <c r="BST9" s="883"/>
      <c r="BSU9" s="883"/>
      <c r="BSV9" s="883"/>
      <c r="BSW9" s="883"/>
      <c r="BSX9" s="883"/>
      <c r="BSY9" s="883"/>
      <c r="BSZ9" s="883"/>
      <c r="BTA9" s="883"/>
      <c r="BTB9" s="883"/>
      <c r="BTC9" s="883"/>
      <c r="BTD9" s="883"/>
      <c r="BTE9" s="883"/>
      <c r="BTF9" s="883"/>
      <c r="BTG9" s="883"/>
      <c r="BTH9" s="883"/>
      <c r="BTI9" s="883"/>
      <c r="BTJ9" s="883"/>
      <c r="BTK9" s="883"/>
      <c r="BTL9" s="883"/>
      <c r="BTM9" s="883"/>
      <c r="BTN9" s="883"/>
      <c r="BTO9" s="883"/>
      <c r="BTP9" s="883"/>
      <c r="BTQ9" s="883"/>
      <c r="BTR9" s="883"/>
      <c r="BTS9" s="883"/>
      <c r="BTT9" s="883"/>
      <c r="BTU9" s="883"/>
      <c r="BTV9" s="883"/>
      <c r="BTW9" s="883"/>
      <c r="BTX9" s="883"/>
      <c r="BTY9" s="883"/>
      <c r="BTZ9" s="883"/>
      <c r="BUA9" s="883"/>
      <c r="BUB9" s="883"/>
      <c r="BUC9" s="883"/>
      <c r="BUD9" s="883"/>
      <c r="BUE9" s="883"/>
      <c r="BUF9" s="883"/>
      <c r="BUG9" s="883"/>
      <c r="BUH9" s="883"/>
      <c r="BUI9" s="883"/>
      <c r="BUJ9" s="883"/>
      <c r="BUK9" s="883"/>
      <c r="BUL9" s="883"/>
      <c r="BUM9" s="883"/>
      <c r="BUN9" s="883"/>
      <c r="BUO9" s="883"/>
      <c r="BUP9" s="883"/>
      <c r="BUQ9" s="883"/>
      <c r="BUR9" s="883"/>
      <c r="BUS9" s="883"/>
      <c r="BUT9" s="883"/>
      <c r="BUU9" s="883"/>
      <c r="BUV9" s="883"/>
      <c r="BUW9" s="883"/>
      <c r="BUX9" s="883"/>
      <c r="BUY9" s="883"/>
      <c r="BUZ9" s="883"/>
      <c r="BVA9" s="883"/>
      <c r="BVB9" s="883"/>
      <c r="BVC9" s="883"/>
      <c r="BVD9" s="883"/>
      <c r="BVE9" s="883"/>
      <c r="BVF9" s="883"/>
      <c r="BVG9" s="883"/>
      <c r="BVH9" s="883"/>
      <c r="BVI9" s="883"/>
      <c r="BVJ9" s="883"/>
      <c r="BVK9" s="883"/>
      <c r="BVL9" s="883"/>
      <c r="BVM9" s="883"/>
      <c r="BVN9" s="883"/>
      <c r="BVO9" s="883"/>
      <c r="BVP9" s="883"/>
      <c r="BVQ9" s="883"/>
      <c r="BVR9" s="883"/>
      <c r="BVS9" s="883"/>
      <c r="BVT9" s="883"/>
      <c r="BVU9" s="883"/>
      <c r="BVV9" s="883"/>
      <c r="BVW9" s="883"/>
      <c r="BVX9" s="883"/>
      <c r="BVY9" s="883"/>
      <c r="BVZ9" s="883"/>
      <c r="BWA9" s="883"/>
      <c r="BWB9" s="883"/>
      <c r="BWC9" s="883"/>
      <c r="BWD9" s="883"/>
      <c r="BWE9" s="883"/>
      <c r="BWF9" s="883"/>
      <c r="BWG9" s="883"/>
      <c r="BWH9" s="883"/>
      <c r="BWI9" s="883"/>
      <c r="BWJ9" s="883"/>
      <c r="BWK9" s="883"/>
      <c r="BWL9" s="883"/>
      <c r="BWM9" s="883"/>
      <c r="BWN9" s="883"/>
      <c r="BWO9" s="883"/>
      <c r="BWP9" s="883"/>
      <c r="BWQ9" s="883"/>
      <c r="BWR9" s="883"/>
      <c r="BWS9" s="883"/>
      <c r="BWT9" s="883"/>
      <c r="BWU9" s="883"/>
      <c r="BWV9" s="883"/>
      <c r="BWW9" s="883"/>
      <c r="BWX9" s="883"/>
      <c r="BWY9" s="883"/>
      <c r="BWZ9" s="883"/>
      <c r="BXA9" s="883"/>
      <c r="BXB9" s="883"/>
      <c r="BXC9" s="883"/>
      <c r="BXD9" s="883"/>
      <c r="BXE9" s="883"/>
      <c r="BXF9" s="883"/>
      <c r="BXG9" s="883"/>
      <c r="BXH9" s="883"/>
      <c r="BXI9" s="883"/>
      <c r="BXJ9" s="883"/>
      <c r="BXK9" s="883"/>
      <c r="BXL9" s="883"/>
      <c r="BXM9" s="883"/>
      <c r="BXN9" s="883"/>
      <c r="BXO9" s="883"/>
      <c r="BXP9" s="883"/>
      <c r="BXQ9" s="883"/>
      <c r="BXR9" s="883"/>
      <c r="BXS9" s="883"/>
      <c r="BXT9" s="883"/>
      <c r="BXU9" s="883"/>
      <c r="BXV9" s="883"/>
      <c r="BXW9" s="883"/>
      <c r="BXX9" s="883"/>
      <c r="BXY9" s="883"/>
      <c r="BXZ9" s="883"/>
      <c r="BYA9" s="883"/>
      <c r="BYB9" s="883"/>
      <c r="BYC9" s="883"/>
      <c r="BYD9" s="883"/>
      <c r="BYE9" s="883"/>
      <c r="BYF9" s="883"/>
      <c r="BYG9" s="883"/>
      <c r="BYH9" s="883"/>
      <c r="BYI9" s="883"/>
      <c r="BYJ9" s="883"/>
      <c r="BYK9" s="883"/>
      <c r="BYL9" s="883"/>
      <c r="BYM9" s="883"/>
      <c r="BYN9" s="883"/>
      <c r="BYO9" s="883"/>
      <c r="BYP9" s="883"/>
      <c r="BYQ9" s="883"/>
      <c r="BYR9" s="883"/>
      <c r="BYS9" s="883"/>
      <c r="BYT9" s="883"/>
      <c r="BYU9" s="883"/>
      <c r="BYV9" s="883"/>
      <c r="BYW9" s="883"/>
      <c r="BYX9" s="883"/>
      <c r="BYY9" s="883"/>
      <c r="BYZ9" s="883"/>
      <c r="BZA9" s="883"/>
      <c r="BZB9" s="883"/>
      <c r="BZC9" s="883"/>
      <c r="BZD9" s="883"/>
      <c r="BZE9" s="883"/>
      <c r="BZF9" s="883"/>
      <c r="BZG9" s="883"/>
      <c r="BZH9" s="883"/>
      <c r="BZI9" s="883"/>
      <c r="BZJ9" s="883"/>
      <c r="BZK9" s="883"/>
      <c r="BZL9" s="883"/>
      <c r="BZM9" s="883"/>
      <c r="BZN9" s="883"/>
      <c r="BZO9" s="883"/>
      <c r="BZP9" s="883"/>
      <c r="BZQ9" s="883"/>
      <c r="BZR9" s="883"/>
      <c r="BZS9" s="883"/>
      <c r="BZT9" s="883"/>
      <c r="BZU9" s="883"/>
      <c r="BZV9" s="883"/>
      <c r="BZW9" s="883"/>
      <c r="BZX9" s="883"/>
      <c r="BZY9" s="883"/>
      <c r="BZZ9" s="883"/>
      <c r="CAA9" s="883"/>
      <c r="CAB9" s="883"/>
      <c r="CAC9" s="883"/>
      <c r="CAD9" s="883"/>
      <c r="CAE9" s="883"/>
      <c r="CAF9" s="883"/>
      <c r="CAG9" s="883"/>
      <c r="CAH9" s="883"/>
      <c r="CAI9" s="883"/>
      <c r="CAJ9" s="883"/>
      <c r="CAK9" s="883"/>
      <c r="CAL9" s="883"/>
      <c r="CAM9" s="883"/>
      <c r="CAN9" s="883"/>
      <c r="CAO9" s="883"/>
      <c r="CAP9" s="883"/>
      <c r="CAQ9" s="883"/>
      <c r="CAR9" s="883"/>
      <c r="CAS9" s="883"/>
      <c r="CAT9" s="883"/>
      <c r="CAU9" s="883"/>
      <c r="CAV9" s="883"/>
      <c r="CAW9" s="883"/>
      <c r="CAX9" s="883"/>
      <c r="CAY9" s="883"/>
      <c r="CAZ9" s="883"/>
      <c r="CBA9" s="883"/>
      <c r="CBB9" s="883"/>
      <c r="CBC9" s="883"/>
      <c r="CBD9" s="883"/>
      <c r="CBE9" s="883"/>
      <c r="CBF9" s="883"/>
      <c r="CBG9" s="883"/>
      <c r="CBH9" s="883"/>
      <c r="CBI9" s="883"/>
      <c r="CBJ9" s="883"/>
      <c r="CBK9" s="883"/>
      <c r="CBL9" s="883"/>
      <c r="CBM9" s="883"/>
      <c r="CBN9" s="883"/>
      <c r="CBO9" s="883"/>
      <c r="CBP9" s="883"/>
      <c r="CBQ9" s="883"/>
      <c r="CBR9" s="883"/>
      <c r="CBS9" s="883"/>
      <c r="CBT9" s="883"/>
      <c r="CBU9" s="883"/>
      <c r="CBV9" s="883"/>
      <c r="CBW9" s="883"/>
      <c r="CBX9" s="883"/>
      <c r="CBY9" s="883"/>
      <c r="CBZ9" s="883"/>
      <c r="CCA9" s="883"/>
      <c r="CCB9" s="883"/>
      <c r="CCC9" s="883"/>
      <c r="CCD9" s="883"/>
      <c r="CCE9" s="883"/>
      <c r="CCF9" s="883"/>
      <c r="CCG9" s="883"/>
      <c r="CCH9" s="883"/>
      <c r="CCI9" s="883"/>
      <c r="CCJ9" s="883"/>
      <c r="CCK9" s="883"/>
      <c r="CCL9" s="883"/>
      <c r="CCM9" s="883"/>
      <c r="CCN9" s="883"/>
      <c r="CCO9" s="883"/>
      <c r="CCP9" s="883"/>
      <c r="CCQ9" s="883"/>
      <c r="CCR9" s="883"/>
      <c r="CCS9" s="883"/>
      <c r="CCT9" s="883"/>
      <c r="CCU9" s="883"/>
      <c r="CCV9" s="883"/>
      <c r="CCW9" s="883"/>
      <c r="CCX9" s="883"/>
      <c r="CCY9" s="883"/>
      <c r="CCZ9" s="883"/>
      <c r="CDA9" s="883"/>
      <c r="CDB9" s="883"/>
      <c r="CDC9" s="883"/>
      <c r="CDD9" s="883"/>
      <c r="CDE9" s="883"/>
      <c r="CDF9" s="883"/>
      <c r="CDG9" s="883"/>
      <c r="CDH9" s="883"/>
      <c r="CDI9" s="883"/>
      <c r="CDJ9" s="883"/>
      <c r="CDK9" s="883"/>
      <c r="CDL9" s="883"/>
      <c r="CDM9" s="883"/>
      <c r="CDN9" s="883"/>
      <c r="CDO9" s="883"/>
      <c r="CDP9" s="883"/>
      <c r="CDQ9" s="883"/>
      <c r="CDR9" s="883"/>
      <c r="CDS9" s="883"/>
      <c r="CDT9" s="883"/>
      <c r="CDU9" s="883"/>
      <c r="CDV9" s="883"/>
      <c r="CDW9" s="883"/>
      <c r="CDX9" s="883"/>
      <c r="CDY9" s="883"/>
      <c r="CDZ9" s="883"/>
      <c r="CEA9" s="883"/>
      <c r="CEB9" s="883"/>
      <c r="CEC9" s="883"/>
      <c r="CED9" s="883"/>
      <c r="CEE9" s="883"/>
      <c r="CEF9" s="883"/>
      <c r="CEG9" s="883"/>
      <c r="CEH9" s="883"/>
      <c r="CEI9" s="883"/>
      <c r="CEJ9" s="883"/>
      <c r="CEK9" s="883"/>
      <c r="CEL9" s="883"/>
      <c r="CEM9" s="883"/>
      <c r="CEN9" s="883"/>
      <c r="CEO9" s="883"/>
      <c r="CEP9" s="883"/>
      <c r="CEQ9" s="883"/>
      <c r="CER9" s="883"/>
      <c r="CES9" s="883"/>
      <c r="CET9" s="883"/>
      <c r="CEU9" s="883"/>
      <c r="CEV9" s="883"/>
      <c r="CEW9" s="883"/>
      <c r="CEX9" s="883"/>
      <c r="CEY9" s="883"/>
      <c r="CEZ9" s="883"/>
      <c r="CFA9" s="883"/>
      <c r="CFB9" s="883"/>
      <c r="CFC9" s="883"/>
      <c r="CFD9" s="883"/>
      <c r="CFE9" s="883"/>
      <c r="CFF9" s="883"/>
      <c r="CFG9" s="883"/>
      <c r="CFH9" s="883"/>
      <c r="CFI9" s="883"/>
      <c r="CFJ9" s="883"/>
      <c r="CFK9" s="883"/>
      <c r="CFL9" s="883"/>
      <c r="CFM9" s="883"/>
      <c r="CFN9" s="883"/>
      <c r="CFO9" s="883"/>
      <c r="CFP9" s="883"/>
      <c r="CFQ9" s="883"/>
      <c r="CFR9" s="883"/>
      <c r="CFS9" s="883"/>
      <c r="CFT9" s="883"/>
      <c r="CFU9" s="883"/>
      <c r="CFV9" s="883"/>
      <c r="CFW9" s="883"/>
      <c r="CFX9" s="883"/>
      <c r="CFY9" s="883"/>
      <c r="CFZ9" s="883"/>
      <c r="CGA9" s="883"/>
      <c r="CGB9" s="883"/>
      <c r="CGC9" s="883"/>
      <c r="CGD9" s="883"/>
      <c r="CGE9" s="883"/>
      <c r="CGF9" s="883"/>
      <c r="CGG9" s="883"/>
      <c r="CGH9" s="883"/>
      <c r="CGI9" s="883"/>
      <c r="CGJ9" s="883"/>
      <c r="CGK9" s="883"/>
      <c r="CGL9" s="883"/>
      <c r="CGM9" s="883"/>
      <c r="CGN9" s="883"/>
      <c r="CGO9" s="883"/>
      <c r="CGP9" s="883"/>
      <c r="CGQ9" s="883"/>
      <c r="CGR9" s="883"/>
      <c r="CGS9" s="883"/>
      <c r="CGT9" s="883"/>
      <c r="CGU9" s="883"/>
      <c r="CGV9" s="883"/>
      <c r="CGW9" s="883"/>
      <c r="CGX9" s="883"/>
      <c r="CGY9" s="883"/>
      <c r="CGZ9" s="883"/>
      <c r="CHA9" s="883"/>
      <c r="CHB9" s="883"/>
      <c r="CHC9" s="883"/>
      <c r="CHD9" s="883"/>
      <c r="CHE9" s="883"/>
      <c r="CHF9" s="883"/>
      <c r="CHG9" s="883"/>
      <c r="CHH9" s="883"/>
      <c r="CHI9" s="883"/>
      <c r="CHJ9" s="883"/>
      <c r="CHK9" s="883"/>
      <c r="CHL9" s="883"/>
      <c r="CHM9" s="883"/>
      <c r="CHN9" s="883"/>
      <c r="CHO9" s="883"/>
      <c r="CHP9" s="883"/>
      <c r="CHQ9" s="883"/>
      <c r="CHR9" s="883"/>
      <c r="CHS9" s="883"/>
      <c r="CHT9" s="883"/>
      <c r="CHU9" s="883"/>
      <c r="CHV9" s="883"/>
      <c r="CHW9" s="883"/>
      <c r="CHX9" s="883"/>
      <c r="CHY9" s="883"/>
      <c r="CHZ9" s="883"/>
      <c r="CIA9" s="883"/>
      <c r="CIB9" s="883"/>
      <c r="CIC9" s="883"/>
      <c r="CID9" s="883"/>
      <c r="CIE9" s="883"/>
      <c r="CIF9" s="883"/>
      <c r="CIG9" s="883"/>
      <c r="CIH9" s="883"/>
      <c r="CII9" s="883"/>
      <c r="CIJ9" s="883"/>
      <c r="CIK9" s="883"/>
      <c r="CIL9" s="883"/>
      <c r="CIM9" s="883"/>
      <c r="CIN9" s="883"/>
      <c r="CIO9" s="883"/>
      <c r="CIP9" s="883"/>
      <c r="CIQ9" s="883"/>
      <c r="CIR9" s="883"/>
      <c r="CIS9" s="883"/>
      <c r="CIT9" s="883"/>
      <c r="CIU9" s="883"/>
      <c r="CIV9" s="883"/>
      <c r="CIW9" s="883"/>
      <c r="CIX9" s="883"/>
      <c r="CIY9" s="883"/>
      <c r="CIZ9" s="883"/>
      <c r="CJA9" s="883"/>
      <c r="CJB9" s="883"/>
      <c r="CJC9" s="883"/>
      <c r="CJD9" s="883"/>
      <c r="CJE9" s="883"/>
      <c r="CJF9" s="883"/>
      <c r="CJG9" s="883"/>
      <c r="CJH9" s="883"/>
      <c r="CJI9" s="883"/>
      <c r="CJJ9" s="883"/>
      <c r="CJK9" s="883"/>
      <c r="CJL9" s="883"/>
      <c r="CJM9" s="883"/>
      <c r="CJN9" s="883"/>
      <c r="CJO9" s="883"/>
      <c r="CJP9" s="883"/>
      <c r="CJQ9" s="883"/>
      <c r="CJR9" s="883"/>
      <c r="CJS9" s="883"/>
      <c r="CJT9" s="883"/>
      <c r="CJU9" s="883"/>
      <c r="CJV9" s="883"/>
      <c r="CJW9" s="883"/>
      <c r="CJX9" s="883"/>
      <c r="CJY9" s="883"/>
      <c r="CJZ9" s="883"/>
      <c r="CKA9" s="883"/>
      <c r="CKB9" s="883"/>
      <c r="CKC9" s="883"/>
      <c r="CKD9" s="883"/>
      <c r="CKE9" s="883"/>
      <c r="CKF9" s="883"/>
      <c r="CKG9" s="883"/>
      <c r="CKH9" s="883"/>
      <c r="CKI9" s="883"/>
      <c r="CKJ9" s="883"/>
      <c r="CKK9" s="883"/>
      <c r="CKL9" s="883"/>
      <c r="CKM9" s="883"/>
      <c r="CKN9" s="883"/>
      <c r="CKO9" s="883"/>
      <c r="CKP9" s="883"/>
      <c r="CKQ9" s="883"/>
      <c r="CKR9" s="883"/>
      <c r="CKS9" s="883"/>
      <c r="CKT9" s="883"/>
      <c r="CKU9" s="883"/>
      <c r="CKV9" s="883"/>
      <c r="CKW9" s="883"/>
      <c r="CKX9" s="883"/>
      <c r="CKY9" s="883"/>
      <c r="CKZ9" s="883"/>
      <c r="CLA9" s="883"/>
      <c r="CLB9" s="883"/>
      <c r="CLC9" s="883"/>
      <c r="CLD9" s="883"/>
      <c r="CLE9" s="883"/>
      <c r="CLF9" s="883"/>
      <c r="CLG9" s="883"/>
      <c r="CLH9" s="883"/>
      <c r="CLI9" s="883"/>
      <c r="CLJ9" s="883"/>
      <c r="CLK9" s="883"/>
      <c r="CLL9" s="883"/>
      <c r="CLM9" s="883"/>
      <c r="CLN9" s="883"/>
      <c r="CLO9" s="883"/>
      <c r="CLP9" s="883"/>
      <c r="CLQ9" s="883"/>
      <c r="CLR9" s="883"/>
      <c r="CLS9" s="883"/>
      <c r="CLT9" s="883"/>
      <c r="CLU9" s="883"/>
      <c r="CLV9" s="883"/>
      <c r="CLW9" s="883"/>
      <c r="CLX9" s="883"/>
      <c r="CLY9" s="883"/>
      <c r="CLZ9" s="883"/>
      <c r="CMA9" s="883"/>
      <c r="CMB9" s="883"/>
      <c r="CMC9" s="883"/>
      <c r="CMD9" s="883"/>
      <c r="CME9" s="883"/>
      <c r="CMF9" s="883"/>
      <c r="CMG9" s="883"/>
      <c r="CMH9" s="883"/>
      <c r="CMI9" s="883"/>
      <c r="CMJ9" s="883"/>
      <c r="CMK9" s="883"/>
      <c r="CML9" s="883"/>
      <c r="CMM9" s="883"/>
      <c r="CMN9" s="883"/>
      <c r="CMO9" s="883"/>
      <c r="CMP9" s="883"/>
      <c r="CMQ9" s="883"/>
      <c r="CMR9" s="883"/>
      <c r="CMS9" s="883"/>
      <c r="CMT9" s="883"/>
      <c r="CMU9" s="883"/>
      <c r="CMV9" s="883"/>
      <c r="CMW9" s="883"/>
      <c r="CMX9" s="883"/>
      <c r="CMY9" s="883"/>
      <c r="CMZ9" s="883"/>
      <c r="CNA9" s="883"/>
      <c r="CNB9" s="883"/>
      <c r="CNC9" s="883"/>
      <c r="CND9" s="883"/>
      <c r="CNE9" s="883"/>
      <c r="CNF9" s="883"/>
      <c r="CNG9" s="883"/>
      <c r="CNH9" s="883"/>
      <c r="CNI9" s="883"/>
      <c r="CNJ9" s="883"/>
      <c r="CNK9" s="883"/>
      <c r="CNL9" s="883"/>
      <c r="CNM9" s="883"/>
      <c r="CNN9" s="883"/>
      <c r="CNO9" s="883"/>
      <c r="CNP9" s="883"/>
      <c r="CNQ9" s="883"/>
      <c r="CNR9" s="883"/>
      <c r="CNS9" s="883"/>
      <c r="CNT9" s="883"/>
      <c r="CNU9" s="883"/>
      <c r="CNV9" s="883"/>
      <c r="CNW9" s="883"/>
      <c r="CNX9" s="883"/>
      <c r="CNY9" s="883"/>
      <c r="CNZ9" s="883"/>
      <c r="COA9" s="883"/>
      <c r="COB9" s="883"/>
      <c r="COC9" s="883"/>
      <c r="COD9" s="883"/>
      <c r="COE9" s="883"/>
      <c r="COF9" s="883"/>
      <c r="COG9" s="883"/>
      <c r="COH9" s="883"/>
      <c r="COI9" s="883"/>
      <c r="COJ9" s="883"/>
      <c r="COK9" s="883"/>
      <c r="COL9" s="883"/>
      <c r="COM9" s="883"/>
      <c r="CON9" s="883"/>
      <c r="COO9" s="883"/>
      <c r="COP9" s="883"/>
      <c r="COQ9" s="883"/>
      <c r="COR9" s="883"/>
      <c r="COS9" s="883"/>
      <c r="COT9" s="883"/>
      <c r="COU9" s="883"/>
      <c r="COV9" s="883"/>
      <c r="COW9" s="883"/>
      <c r="COX9" s="883"/>
      <c r="COY9" s="883"/>
      <c r="COZ9" s="883"/>
      <c r="CPA9" s="883"/>
      <c r="CPB9" s="883"/>
      <c r="CPC9" s="883"/>
      <c r="CPD9" s="883"/>
      <c r="CPE9" s="883"/>
      <c r="CPF9" s="883"/>
      <c r="CPG9" s="883"/>
      <c r="CPH9" s="883"/>
      <c r="CPI9" s="883"/>
      <c r="CPJ9" s="883"/>
      <c r="CPK9" s="883"/>
      <c r="CPL9" s="883"/>
      <c r="CPM9" s="883"/>
      <c r="CPN9" s="883"/>
      <c r="CPO9" s="883"/>
      <c r="CPP9" s="883"/>
      <c r="CPQ9" s="883"/>
      <c r="CPR9" s="883"/>
      <c r="CPS9" s="883"/>
      <c r="CPT9" s="883"/>
      <c r="CPU9" s="883"/>
      <c r="CPV9" s="883"/>
      <c r="CPW9" s="883"/>
      <c r="CPX9" s="883"/>
      <c r="CPY9" s="883"/>
      <c r="CPZ9" s="883"/>
      <c r="CQA9" s="883"/>
      <c r="CQB9" s="883"/>
      <c r="CQC9" s="883"/>
      <c r="CQD9" s="883"/>
      <c r="CQE9" s="883"/>
      <c r="CQF9" s="883"/>
      <c r="CQG9" s="883"/>
      <c r="CQH9" s="883"/>
      <c r="CQI9" s="883"/>
      <c r="CQJ9" s="883"/>
      <c r="CQK9" s="883"/>
      <c r="CQL9" s="883"/>
      <c r="CQM9" s="883"/>
      <c r="CQN9" s="883"/>
      <c r="CQO9" s="883"/>
      <c r="CQP9" s="883"/>
      <c r="CQQ9" s="883"/>
      <c r="CQR9" s="883"/>
      <c r="CQS9" s="883"/>
      <c r="CQT9" s="883"/>
      <c r="CQU9" s="883"/>
      <c r="CQV9" s="883"/>
      <c r="CQW9" s="883"/>
      <c r="CQX9" s="883"/>
      <c r="CQY9" s="883"/>
      <c r="CQZ9" s="883"/>
      <c r="CRA9" s="883"/>
      <c r="CRB9" s="883"/>
      <c r="CRC9" s="883"/>
      <c r="CRD9" s="883"/>
      <c r="CRE9" s="883"/>
      <c r="CRF9" s="883"/>
      <c r="CRG9" s="883"/>
      <c r="CRH9" s="883"/>
      <c r="CRI9" s="883"/>
      <c r="CRJ9" s="883"/>
      <c r="CRK9" s="883"/>
      <c r="CRL9" s="883"/>
      <c r="CRM9" s="883"/>
      <c r="CRN9" s="883"/>
      <c r="CRO9" s="883"/>
      <c r="CRP9" s="883"/>
      <c r="CRQ9" s="883"/>
      <c r="CRR9" s="883"/>
      <c r="CRS9" s="883"/>
      <c r="CRT9" s="883"/>
      <c r="CRU9" s="883"/>
      <c r="CRV9" s="883"/>
      <c r="CRW9" s="883"/>
      <c r="CRX9" s="883"/>
      <c r="CRY9" s="883"/>
      <c r="CRZ9" s="883"/>
      <c r="CSA9" s="883"/>
      <c r="CSB9" s="883"/>
      <c r="CSC9" s="883"/>
      <c r="CSD9" s="883"/>
      <c r="CSE9" s="883"/>
      <c r="CSF9" s="883"/>
      <c r="CSG9" s="883"/>
      <c r="CSH9" s="883"/>
      <c r="CSI9" s="883"/>
      <c r="CSJ9" s="883"/>
      <c r="CSK9" s="883"/>
      <c r="CSL9" s="883"/>
      <c r="CSM9" s="883"/>
      <c r="CSN9" s="883"/>
      <c r="CSO9" s="883"/>
      <c r="CSP9" s="883"/>
      <c r="CSQ9" s="883"/>
      <c r="CSR9" s="883"/>
      <c r="CSS9" s="883"/>
      <c r="CST9" s="883"/>
      <c r="CSU9" s="883"/>
      <c r="CSV9" s="883"/>
      <c r="CSW9" s="883"/>
      <c r="CSX9" s="883"/>
      <c r="CSY9" s="883"/>
      <c r="CSZ9" s="883"/>
      <c r="CTA9" s="883"/>
      <c r="CTB9" s="883"/>
      <c r="CTC9" s="883"/>
      <c r="CTD9" s="883"/>
      <c r="CTE9" s="883"/>
      <c r="CTF9" s="883"/>
      <c r="CTG9" s="883"/>
      <c r="CTH9" s="883"/>
      <c r="CTI9" s="883"/>
      <c r="CTJ9" s="883"/>
      <c r="CTK9" s="883"/>
      <c r="CTL9" s="883"/>
      <c r="CTM9" s="883"/>
      <c r="CTN9" s="883"/>
      <c r="CTO9" s="883"/>
      <c r="CTP9" s="883"/>
      <c r="CTQ9" s="883"/>
      <c r="CTR9" s="883"/>
      <c r="CTS9" s="883"/>
      <c r="CTT9" s="883"/>
      <c r="CTU9" s="883"/>
      <c r="CTV9" s="883"/>
      <c r="CTW9" s="883"/>
      <c r="CTX9" s="883"/>
      <c r="CTY9" s="883"/>
      <c r="CTZ9" s="883"/>
      <c r="CUA9" s="883"/>
      <c r="CUB9" s="883"/>
      <c r="CUC9" s="883"/>
      <c r="CUD9" s="883"/>
      <c r="CUE9" s="883"/>
      <c r="CUF9" s="883"/>
      <c r="CUG9" s="883"/>
      <c r="CUH9" s="883"/>
      <c r="CUI9" s="883"/>
      <c r="CUJ9" s="883"/>
      <c r="CUK9" s="883"/>
      <c r="CUL9" s="883"/>
      <c r="CUM9" s="883"/>
      <c r="CUN9" s="883"/>
      <c r="CUO9" s="883"/>
      <c r="CUP9" s="883"/>
      <c r="CUQ9" s="883"/>
      <c r="CUR9" s="883"/>
      <c r="CUS9" s="883"/>
      <c r="CUT9" s="883"/>
      <c r="CUU9" s="883"/>
      <c r="CUV9" s="883"/>
      <c r="CUW9" s="883"/>
      <c r="CUX9" s="883"/>
      <c r="CUY9" s="883"/>
      <c r="CUZ9" s="883"/>
      <c r="CVA9" s="883"/>
      <c r="CVB9" s="883"/>
      <c r="CVC9" s="883"/>
      <c r="CVD9" s="883"/>
      <c r="CVE9" s="883"/>
      <c r="CVF9" s="883"/>
      <c r="CVG9" s="883"/>
      <c r="CVH9" s="883"/>
      <c r="CVI9" s="883"/>
      <c r="CVJ9" s="883"/>
      <c r="CVK9" s="883"/>
      <c r="CVL9" s="883"/>
      <c r="CVM9" s="883"/>
      <c r="CVN9" s="883"/>
      <c r="CVO9" s="883"/>
      <c r="CVP9" s="883"/>
      <c r="CVQ9" s="883"/>
      <c r="CVR9" s="883"/>
      <c r="CVS9" s="883"/>
      <c r="CVT9" s="883"/>
      <c r="CVU9" s="883"/>
      <c r="CVV9" s="883"/>
      <c r="CVW9" s="883"/>
      <c r="CVX9" s="883"/>
      <c r="CVY9" s="883"/>
      <c r="CVZ9" s="883"/>
      <c r="CWA9" s="883"/>
      <c r="CWB9" s="883"/>
      <c r="CWC9" s="883"/>
      <c r="CWD9" s="883"/>
      <c r="CWE9" s="883"/>
      <c r="CWF9" s="883"/>
      <c r="CWG9" s="883"/>
      <c r="CWH9" s="883"/>
      <c r="CWI9" s="883"/>
      <c r="CWJ9" s="883"/>
      <c r="CWK9" s="883"/>
      <c r="CWL9" s="883"/>
      <c r="CWM9" s="883"/>
      <c r="CWN9" s="883"/>
      <c r="CWO9" s="883"/>
      <c r="CWP9" s="883"/>
      <c r="CWQ9" s="883"/>
      <c r="CWR9" s="883"/>
      <c r="CWS9" s="883"/>
      <c r="CWT9" s="883"/>
      <c r="CWU9" s="883"/>
      <c r="CWV9" s="883"/>
      <c r="CWW9" s="883"/>
      <c r="CWX9" s="883"/>
      <c r="CWY9" s="883"/>
      <c r="CWZ9" s="883"/>
      <c r="CXA9" s="883"/>
      <c r="CXB9" s="883"/>
      <c r="CXC9" s="883"/>
      <c r="CXD9" s="883"/>
      <c r="CXE9" s="883"/>
      <c r="CXF9" s="883"/>
      <c r="CXG9" s="883"/>
      <c r="CXH9" s="883"/>
      <c r="CXI9" s="883"/>
      <c r="CXJ9" s="883"/>
      <c r="CXK9" s="883"/>
      <c r="CXL9" s="883"/>
      <c r="CXM9" s="883"/>
      <c r="CXN9" s="883"/>
      <c r="CXO9" s="883"/>
      <c r="CXP9" s="883"/>
      <c r="CXQ9" s="883"/>
      <c r="CXR9" s="883"/>
      <c r="CXS9" s="883"/>
      <c r="CXT9" s="883"/>
      <c r="CXU9" s="883"/>
      <c r="CXV9" s="883"/>
      <c r="CXW9" s="883"/>
      <c r="CXX9" s="883"/>
      <c r="CXY9" s="883"/>
      <c r="CXZ9" s="883"/>
      <c r="CYA9" s="883"/>
      <c r="CYB9" s="883"/>
      <c r="CYC9" s="883"/>
      <c r="CYD9" s="883"/>
      <c r="CYE9" s="883"/>
      <c r="CYF9" s="883"/>
      <c r="CYG9" s="883"/>
      <c r="CYH9" s="883"/>
      <c r="CYI9" s="883"/>
      <c r="CYJ9" s="883"/>
      <c r="CYK9" s="883"/>
      <c r="CYL9" s="883"/>
      <c r="CYM9" s="883"/>
      <c r="CYN9" s="883"/>
      <c r="CYO9" s="883"/>
      <c r="CYP9" s="883"/>
      <c r="CYQ9" s="883"/>
      <c r="CYR9" s="883"/>
      <c r="CYS9" s="883"/>
      <c r="CYT9" s="883"/>
      <c r="CYU9" s="883"/>
      <c r="CYV9" s="883"/>
      <c r="CYW9" s="883"/>
      <c r="CYX9" s="883"/>
      <c r="CYY9" s="883"/>
      <c r="CYZ9" s="883"/>
      <c r="CZA9" s="883"/>
      <c r="CZB9" s="883"/>
      <c r="CZC9" s="883"/>
      <c r="CZD9" s="883"/>
      <c r="CZE9" s="883"/>
      <c r="CZF9" s="883"/>
      <c r="CZG9" s="883"/>
      <c r="CZH9" s="883"/>
      <c r="CZI9" s="883"/>
      <c r="CZJ9" s="883"/>
      <c r="CZK9" s="883"/>
      <c r="CZL9" s="883"/>
      <c r="CZM9" s="883"/>
      <c r="CZN9" s="883"/>
      <c r="CZO9" s="883"/>
      <c r="CZP9" s="883"/>
      <c r="CZQ9" s="883"/>
      <c r="CZR9" s="883"/>
      <c r="CZS9" s="883"/>
      <c r="CZT9" s="883"/>
      <c r="CZU9" s="883"/>
      <c r="CZV9" s="883"/>
      <c r="CZW9" s="883"/>
      <c r="CZX9" s="883"/>
      <c r="CZY9" s="883"/>
      <c r="CZZ9" s="883"/>
      <c r="DAA9" s="883"/>
      <c r="DAB9" s="883"/>
      <c r="DAC9" s="883"/>
      <c r="DAD9" s="883"/>
      <c r="DAE9" s="883"/>
      <c r="DAF9" s="883"/>
      <c r="DAG9" s="883"/>
      <c r="DAH9" s="883"/>
      <c r="DAI9" s="883"/>
      <c r="DAJ9" s="883"/>
      <c r="DAK9" s="883"/>
      <c r="DAL9" s="883"/>
      <c r="DAM9" s="883"/>
      <c r="DAN9" s="883"/>
      <c r="DAO9" s="883"/>
      <c r="DAP9" s="883"/>
      <c r="DAQ9" s="883"/>
      <c r="DAR9" s="883"/>
      <c r="DAS9" s="883"/>
      <c r="DAT9" s="883"/>
      <c r="DAU9" s="883"/>
      <c r="DAV9" s="883"/>
      <c r="DAW9" s="883"/>
      <c r="DAX9" s="883"/>
      <c r="DAY9" s="883"/>
      <c r="DAZ9" s="883"/>
      <c r="DBA9" s="883"/>
      <c r="DBB9" s="883"/>
      <c r="DBC9" s="883"/>
      <c r="DBD9" s="883"/>
      <c r="DBE9" s="883"/>
      <c r="DBF9" s="883"/>
      <c r="DBG9" s="883"/>
      <c r="DBH9" s="883"/>
      <c r="DBI9" s="883"/>
      <c r="DBJ9" s="883"/>
      <c r="DBK9" s="883"/>
      <c r="DBL9" s="883"/>
      <c r="DBM9" s="883"/>
      <c r="DBN9" s="883"/>
      <c r="DBO9" s="883"/>
      <c r="DBP9" s="883"/>
      <c r="DBQ9" s="883"/>
      <c r="DBR9" s="883"/>
      <c r="DBS9" s="883"/>
      <c r="DBT9" s="883"/>
      <c r="DBU9" s="883"/>
      <c r="DBV9" s="883"/>
      <c r="DBW9" s="883"/>
      <c r="DBX9" s="883"/>
      <c r="DBY9" s="883"/>
      <c r="DBZ9" s="883"/>
      <c r="DCA9" s="883"/>
      <c r="DCB9" s="883"/>
      <c r="DCC9" s="883"/>
      <c r="DCD9" s="883"/>
      <c r="DCE9" s="883"/>
      <c r="DCF9" s="883"/>
      <c r="DCG9" s="883"/>
      <c r="DCH9" s="883"/>
      <c r="DCI9" s="883"/>
      <c r="DCJ9" s="883"/>
      <c r="DCK9" s="883"/>
      <c r="DCL9" s="883"/>
      <c r="DCM9" s="883"/>
      <c r="DCN9" s="883"/>
      <c r="DCO9" s="883"/>
      <c r="DCP9" s="883"/>
      <c r="DCQ9" s="883"/>
      <c r="DCR9" s="883"/>
      <c r="DCS9" s="883"/>
      <c r="DCT9" s="883"/>
      <c r="DCU9" s="883"/>
      <c r="DCV9" s="883"/>
      <c r="DCW9" s="883"/>
      <c r="DCX9" s="883"/>
      <c r="DCY9" s="883"/>
      <c r="DCZ9" s="883"/>
      <c r="DDA9" s="883"/>
      <c r="DDB9" s="883"/>
      <c r="DDC9" s="883"/>
      <c r="DDD9" s="883"/>
      <c r="DDE9" s="883"/>
      <c r="DDF9" s="883"/>
      <c r="DDG9" s="883"/>
      <c r="DDH9" s="883"/>
      <c r="DDI9" s="883"/>
      <c r="DDJ9" s="883"/>
      <c r="DDK9" s="883"/>
      <c r="DDL9" s="883"/>
      <c r="DDM9" s="883"/>
      <c r="DDN9" s="883"/>
      <c r="DDO9" s="883"/>
      <c r="DDP9" s="883"/>
      <c r="DDQ9" s="883"/>
      <c r="DDR9" s="883"/>
      <c r="DDS9" s="883"/>
      <c r="DDT9" s="883"/>
      <c r="DDU9" s="883"/>
      <c r="DDV9" s="883"/>
      <c r="DDW9" s="883"/>
      <c r="DDX9" s="883"/>
      <c r="DDY9" s="883"/>
      <c r="DDZ9" s="883"/>
      <c r="DEA9" s="883"/>
      <c r="DEB9" s="883"/>
      <c r="DEC9" s="883"/>
      <c r="DED9" s="883"/>
      <c r="DEE9" s="883"/>
      <c r="DEF9" s="883"/>
      <c r="DEG9" s="883"/>
      <c r="DEH9" s="883"/>
      <c r="DEI9" s="883"/>
      <c r="DEJ9" s="883"/>
      <c r="DEK9" s="883"/>
      <c r="DEL9" s="883"/>
      <c r="DEM9" s="883"/>
      <c r="DEN9" s="883"/>
      <c r="DEO9" s="883"/>
      <c r="DEP9" s="883"/>
      <c r="DEQ9" s="883"/>
      <c r="DER9" s="883"/>
      <c r="DES9" s="883"/>
      <c r="DET9" s="883"/>
      <c r="DEU9" s="883"/>
      <c r="DEV9" s="883"/>
      <c r="DEW9" s="883"/>
      <c r="DEX9" s="883"/>
      <c r="DEY9" s="883"/>
      <c r="DEZ9" s="883"/>
      <c r="DFA9" s="883"/>
      <c r="DFB9" s="883"/>
      <c r="DFC9" s="883"/>
      <c r="DFD9" s="883"/>
      <c r="DFE9" s="883"/>
      <c r="DFF9" s="883"/>
      <c r="DFG9" s="883"/>
      <c r="DFH9" s="883"/>
      <c r="DFI9" s="883"/>
      <c r="DFJ9" s="883"/>
      <c r="DFK9" s="883"/>
      <c r="DFL9" s="883"/>
      <c r="DFM9" s="883"/>
      <c r="DFN9" s="883"/>
      <c r="DFO9" s="883"/>
      <c r="DFP9" s="883"/>
      <c r="DFQ9" s="883"/>
      <c r="DFR9" s="883"/>
      <c r="DFS9" s="883"/>
      <c r="DFT9" s="883"/>
      <c r="DFU9" s="883"/>
      <c r="DFV9" s="883"/>
      <c r="DFW9" s="883"/>
      <c r="DFX9" s="883"/>
      <c r="DFY9" s="883"/>
      <c r="DFZ9" s="883"/>
      <c r="DGA9" s="883"/>
      <c r="DGB9" s="883"/>
      <c r="DGC9" s="883"/>
      <c r="DGD9" s="883"/>
      <c r="DGE9" s="883"/>
      <c r="DGF9" s="883"/>
      <c r="DGG9" s="883"/>
      <c r="DGH9" s="883"/>
      <c r="DGI9" s="883"/>
      <c r="DGJ9" s="883"/>
      <c r="DGK9" s="883"/>
      <c r="DGL9" s="883"/>
      <c r="DGM9" s="883"/>
      <c r="DGN9" s="883"/>
      <c r="DGO9" s="883"/>
      <c r="DGP9" s="883"/>
      <c r="DGQ9" s="883"/>
      <c r="DGR9" s="883"/>
      <c r="DGS9" s="883"/>
      <c r="DGT9" s="883"/>
      <c r="DGU9" s="883"/>
      <c r="DGV9" s="883"/>
      <c r="DGW9" s="883"/>
      <c r="DGX9" s="883"/>
      <c r="DGY9" s="883"/>
      <c r="DGZ9" s="883"/>
      <c r="DHA9" s="883"/>
      <c r="DHB9" s="883"/>
      <c r="DHC9" s="883"/>
      <c r="DHD9" s="883"/>
      <c r="DHE9" s="883"/>
      <c r="DHF9" s="883"/>
      <c r="DHG9" s="883"/>
      <c r="DHH9" s="883"/>
      <c r="DHI9" s="883"/>
      <c r="DHJ9" s="883"/>
      <c r="DHK9" s="883"/>
      <c r="DHL9" s="883"/>
      <c r="DHM9" s="883"/>
      <c r="DHN9" s="883"/>
      <c r="DHO9" s="883"/>
      <c r="DHP9" s="883"/>
      <c r="DHQ9" s="883"/>
      <c r="DHR9" s="883"/>
      <c r="DHS9" s="883"/>
      <c r="DHT9" s="883"/>
      <c r="DHU9" s="883"/>
      <c r="DHV9" s="883"/>
      <c r="DHW9" s="883"/>
      <c r="DHX9" s="883"/>
      <c r="DHY9" s="883"/>
      <c r="DHZ9" s="883"/>
      <c r="DIA9" s="883"/>
      <c r="DIB9" s="883"/>
      <c r="DIC9" s="883"/>
      <c r="DID9" s="883"/>
      <c r="DIE9" s="883"/>
      <c r="DIF9" s="883"/>
      <c r="DIG9" s="883"/>
      <c r="DIH9" s="883"/>
      <c r="DII9" s="883"/>
      <c r="DIJ9" s="883"/>
      <c r="DIK9" s="883"/>
      <c r="DIL9" s="883"/>
      <c r="DIM9" s="883"/>
      <c r="DIN9" s="883"/>
      <c r="DIO9" s="883"/>
      <c r="DIP9" s="883"/>
      <c r="DIQ9" s="883"/>
      <c r="DIR9" s="883"/>
      <c r="DIS9" s="883"/>
      <c r="DIT9" s="883"/>
      <c r="DIU9" s="883"/>
      <c r="DIV9" s="883"/>
      <c r="DIW9" s="883"/>
      <c r="DIX9" s="883"/>
      <c r="DIY9" s="883"/>
      <c r="DIZ9" s="883"/>
      <c r="DJA9" s="883"/>
      <c r="DJB9" s="883"/>
      <c r="DJC9" s="883"/>
      <c r="DJD9" s="883"/>
      <c r="DJE9" s="883"/>
      <c r="DJF9" s="883"/>
      <c r="DJG9" s="883"/>
      <c r="DJH9" s="883"/>
      <c r="DJI9" s="883"/>
      <c r="DJJ9" s="883"/>
      <c r="DJK9" s="883"/>
      <c r="DJL9" s="883"/>
      <c r="DJM9" s="883"/>
      <c r="DJN9" s="883"/>
      <c r="DJO9" s="883"/>
      <c r="DJP9" s="883"/>
      <c r="DJQ9" s="883"/>
      <c r="DJR9" s="883"/>
      <c r="DJS9" s="883"/>
      <c r="DJT9" s="883"/>
      <c r="DJU9" s="883"/>
      <c r="DJV9" s="883"/>
      <c r="DJW9" s="883"/>
      <c r="DJX9" s="883"/>
      <c r="DJY9" s="883"/>
      <c r="DJZ9" s="883"/>
      <c r="DKA9" s="883"/>
      <c r="DKB9" s="883"/>
      <c r="DKC9" s="883"/>
      <c r="DKD9" s="883"/>
      <c r="DKE9" s="883"/>
      <c r="DKF9" s="883"/>
      <c r="DKG9" s="883"/>
      <c r="DKH9" s="883"/>
      <c r="DKI9" s="883"/>
      <c r="DKJ9" s="883"/>
      <c r="DKK9" s="883"/>
      <c r="DKL9" s="883"/>
      <c r="DKM9" s="883"/>
      <c r="DKN9" s="883"/>
      <c r="DKO9" s="883"/>
      <c r="DKP9" s="883"/>
      <c r="DKQ9" s="883"/>
      <c r="DKR9" s="883"/>
      <c r="DKS9" s="883"/>
      <c r="DKT9" s="883"/>
      <c r="DKU9" s="883"/>
      <c r="DKV9" s="883"/>
      <c r="DKW9" s="883"/>
      <c r="DKX9" s="883"/>
      <c r="DKY9" s="883"/>
      <c r="DKZ9" s="883"/>
      <c r="DLA9" s="883"/>
      <c r="DLB9" s="883"/>
      <c r="DLC9" s="883"/>
      <c r="DLD9" s="883"/>
      <c r="DLE9" s="883"/>
      <c r="DLF9" s="883"/>
      <c r="DLG9" s="883"/>
      <c r="DLH9" s="883"/>
      <c r="DLI9" s="883"/>
      <c r="DLJ9" s="883"/>
      <c r="DLK9" s="883"/>
      <c r="DLL9" s="883"/>
      <c r="DLM9" s="883"/>
      <c r="DLN9" s="883"/>
      <c r="DLO9" s="883"/>
      <c r="DLP9" s="883"/>
      <c r="DLQ9" s="883"/>
      <c r="DLR9" s="883"/>
      <c r="DLS9" s="883"/>
      <c r="DLT9" s="883"/>
      <c r="DLU9" s="883"/>
      <c r="DLV9" s="883"/>
      <c r="DLW9" s="883"/>
      <c r="DLX9" s="883"/>
      <c r="DLY9" s="883"/>
      <c r="DLZ9" s="883"/>
      <c r="DMA9" s="883"/>
      <c r="DMB9" s="883"/>
      <c r="DMC9" s="883"/>
      <c r="DMD9" s="883"/>
      <c r="DME9" s="883"/>
      <c r="DMF9" s="883"/>
      <c r="DMG9" s="883"/>
      <c r="DMH9" s="883"/>
      <c r="DMI9" s="883"/>
      <c r="DMJ9" s="883"/>
      <c r="DMK9" s="883"/>
      <c r="DML9" s="883"/>
      <c r="DMM9" s="883"/>
      <c r="DMN9" s="883"/>
      <c r="DMO9" s="883"/>
      <c r="DMP9" s="883"/>
      <c r="DMQ9" s="883"/>
      <c r="DMR9" s="883"/>
      <c r="DMS9" s="883"/>
      <c r="DMT9" s="883"/>
      <c r="DMU9" s="883"/>
      <c r="DMV9" s="883"/>
      <c r="DMW9" s="883"/>
      <c r="DMX9" s="883"/>
      <c r="DMY9" s="883"/>
      <c r="DMZ9" s="883"/>
      <c r="DNA9" s="883"/>
      <c r="DNB9" s="883"/>
      <c r="DNC9" s="883"/>
      <c r="DND9" s="883"/>
      <c r="DNE9" s="883"/>
      <c r="DNF9" s="883"/>
      <c r="DNG9" s="883"/>
      <c r="DNH9" s="883"/>
      <c r="DNI9" s="883"/>
      <c r="DNJ9" s="883"/>
      <c r="DNK9" s="883"/>
      <c r="DNL9" s="883"/>
      <c r="DNM9" s="883"/>
      <c r="DNN9" s="883"/>
      <c r="DNO9" s="883"/>
      <c r="DNP9" s="883"/>
      <c r="DNQ9" s="883"/>
      <c r="DNR9" s="883"/>
      <c r="DNS9" s="883"/>
      <c r="DNT9" s="883"/>
      <c r="DNU9" s="883"/>
      <c r="DNV9" s="883"/>
      <c r="DNW9" s="883"/>
      <c r="DNX9" s="883"/>
      <c r="DNY9" s="883"/>
      <c r="DNZ9" s="883"/>
      <c r="DOA9" s="883"/>
      <c r="DOB9" s="883"/>
      <c r="DOC9" s="883"/>
      <c r="DOD9" s="883"/>
      <c r="DOE9" s="883"/>
      <c r="DOF9" s="883"/>
      <c r="DOG9" s="883"/>
      <c r="DOH9" s="883"/>
      <c r="DOI9" s="883"/>
      <c r="DOJ9" s="883"/>
      <c r="DOK9" s="883"/>
      <c r="DOL9" s="883"/>
      <c r="DOM9" s="883"/>
      <c r="DON9" s="883"/>
      <c r="DOO9" s="883"/>
      <c r="DOP9" s="883"/>
      <c r="DOQ9" s="883"/>
      <c r="DOR9" s="883"/>
      <c r="DOS9" s="883"/>
      <c r="DOT9" s="883"/>
      <c r="DOU9" s="883"/>
      <c r="DOV9" s="883"/>
      <c r="DOW9" s="883"/>
      <c r="DOX9" s="883"/>
      <c r="DOY9" s="883"/>
      <c r="DOZ9" s="883"/>
      <c r="DPA9" s="883"/>
      <c r="DPB9" s="883"/>
      <c r="DPC9" s="883"/>
      <c r="DPD9" s="883"/>
      <c r="DPE9" s="883"/>
      <c r="DPF9" s="883"/>
      <c r="DPG9" s="883"/>
      <c r="DPH9" s="883"/>
      <c r="DPI9" s="883"/>
      <c r="DPJ9" s="883"/>
      <c r="DPK9" s="883"/>
      <c r="DPL9" s="883"/>
      <c r="DPM9" s="883"/>
      <c r="DPN9" s="883"/>
      <c r="DPO9" s="883"/>
      <c r="DPP9" s="883"/>
      <c r="DPQ9" s="883"/>
      <c r="DPR9" s="883"/>
      <c r="DPS9" s="883"/>
      <c r="DPT9" s="883"/>
      <c r="DPU9" s="883"/>
      <c r="DPV9" s="883"/>
      <c r="DPW9" s="883"/>
      <c r="DPX9" s="883"/>
      <c r="DPY9" s="883"/>
      <c r="DPZ9" s="883"/>
      <c r="DQA9" s="883"/>
      <c r="DQB9" s="883"/>
      <c r="DQC9" s="883"/>
      <c r="DQD9" s="883"/>
      <c r="DQE9" s="883"/>
      <c r="DQF9" s="883"/>
      <c r="DQG9" s="883"/>
      <c r="DQH9" s="883"/>
      <c r="DQI9" s="883"/>
      <c r="DQJ9" s="883"/>
      <c r="DQK9" s="883"/>
      <c r="DQL9" s="883"/>
      <c r="DQM9" s="883"/>
      <c r="DQN9" s="883"/>
      <c r="DQO9" s="883"/>
      <c r="DQP9" s="883"/>
      <c r="DQQ9" s="883"/>
      <c r="DQR9" s="883"/>
      <c r="DQS9" s="883"/>
      <c r="DQT9" s="883"/>
      <c r="DQU9" s="883"/>
      <c r="DQV9" s="883"/>
      <c r="DQW9" s="883"/>
      <c r="DQX9" s="883"/>
      <c r="DQY9" s="883"/>
      <c r="DQZ9" s="883"/>
      <c r="DRA9" s="883"/>
      <c r="DRB9" s="883"/>
      <c r="DRC9" s="883"/>
      <c r="DRD9" s="883"/>
      <c r="DRE9" s="883"/>
      <c r="DRF9" s="883"/>
      <c r="DRG9" s="883"/>
      <c r="DRH9" s="883"/>
      <c r="DRI9" s="883"/>
      <c r="DRJ9" s="883"/>
      <c r="DRK9" s="883"/>
      <c r="DRL9" s="883"/>
      <c r="DRM9" s="883"/>
      <c r="DRN9" s="883"/>
      <c r="DRO9" s="883"/>
      <c r="DRP9" s="883"/>
      <c r="DRQ9" s="883"/>
      <c r="DRR9" s="883"/>
      <c r="DRS9" s="883"/>
      <c r="DRT9" s="883"/>
      <c r="DRU9" s="883"/>
      <c r="DRV9" s="883"/>
      <c r="DRW9" s="883"/>
      <c r="DRX9" s="883"/>
      <c r="DRY9" s="883"/>
      <c r="DRZ9" s="883"/>
      <c r="DSA9" s="883"/>
      <c r="DSB9" s="883"/>
      <c r="DSC9" s="883"/>
      <c r="DSD9" s="883"/>
      <c r="DSE9" s="883"/>
      <c r="DSF9" s="883"/>
      <c r="DSG9" s="883"/>
      <c r="DSH9" s="883"/>
      <c r="DSI9" s="883"/>
      <c r="DSJ9" s="883"/>
      <c r="DSK9" s="883"/>
      <c r="DSL9" s="883"/>
      <c r="DSM9" s="883"/>
      <c r="DSN9" s="883"/>
      <c r="DSO9" s="883"/>
      <c r="DSP9" s="883"/>
      <c r="DSQ9" s="883"/>
      <c r="DSR9" s="883"/>
      <c r="DSS9" s="883"/>
      <c r="DST9" s="883"/>
      <c r="DSU9" s="883"/>
      <c r="DSV9" s="883"/>
      <c r="DSW9" s="883"/>
      <c r="DSX9" s="883"/>
      <c r="DSY9" s="883"/>
      <c r="DSZ9" s="883"/>
      <c r="DTA9" s="883"/>
      <c r="DTB9" s="883"/>
      <c r="DTC9" s="883"/>
      <c r="DTD9" s="883"/>
      <c r="DTE9" s="883"/>
      <c r="DTF9" s="883"/>
      <c r="DTG9" s="883"/>
      <c r="DTH9" s="883"/>
      <c r="DTI9" s="883"/>
      <c r="DTJ9" s="883"/>
      <c r="DTK9" s="883"/>
      <c r="DTL9" s="883"/>
      <c r="DTM9" s="883"/>
      <c r="DTN9" s="883"/>
      <c r="DTO9" s="883"/>
      <c r="DTP9" s="883"/>
      <c r="DTQ9" s="883"/>
      <c r="DTR9" s="883"/>
      <c r="DTS9" s="883"/>
      <c r="DTT9" s="883"/>
      <c r="DTU9" s="883"/>
      <c r="DTV9" s="883"/>
      <c r="DTW9" s="883"/>
      <c r="DTX9" s="883"/>
      <c r="DTY9" s="883"/>
      <c r="DTZ9" s="883"/>
      <c r="DUA9" s="883"/>
      <c r="DUB9" s="883"/>
      <c r="DUC9" s="883"/>
      <c r="DUD9" s="883"/>
      <c r="DUE9" s="883"/>
      <c r="DUF9" s="883"/>
      <c r="DUG9" s="883"/>
      <c r="DUH9" s="883"/>
      <c r="DUI9" s="883"/>
      <c r="DUJ9" s="883"/>
      <c r="DUK9" s="883"/>
      <c r="DUL9" s="883"/>
      <c r="DUM9" s="883"/>
      <c r="DUN9" s="883"/>
      <c r="DUO9" s="883"/>
      <c r="DUP9" s="883"/>
      <c r="DUQ9" s="883"/>
      <c r="DUR9" s="883"/>
      <c r="DUS9" s="883"/>
      <c r="DUT9" s="883"/>
      <c r="DUU9" s="883"/>
      <c r="DUV9" s="883"/>
      <c r="DUW9" s="883"/>
      <c r="DUX9" s="883"/>
      <c r="DUY9" s="883"/>
      <c r="DUZ9" s="883"/>
      <c r="DVA9" s="883"/>
      <c r="DVB9" s="883"/>
      <c r="DVC9" s="883"/>
      <c r="DVD9" s="883"/>
      <c r="DVE9" s="883"/>
      <c r="DVF9" s="883"/>
      <c r="DVG9" s="883"/>
      <c r="DVH9" s="883"/>
      <c r="DVI9" s="883"/>
      <c r="DVJ9" s="883"/>
      <c r="DVK9" s="883"/>
      <c r="DVL9" s="883"/>
      <c r="DVM9" s="883"/>
      <c r="DVN9" s="883"/>
      <c r="DVO9" s="883"/>
      <c r="DVP9" s="883"/>
      <c r="DVQ9" s="883"/>
      <c r="DVR9" s="883"/>
      <c r="DVS9" s="883"/>
      <c r="DVT9" s="883"/>
      <c r="DVU9" s="883"/>
      <c r="DVV9" s="883"/>
      <c r="DVW9" s="883"/>
      <c r="DVX9" s="883"/>
      <c r="DVY9" s="883"/>
      <c r="DVZ9" s="883"/>
      <c r="DWA9" s="883"/>
      <c r="DWB9" s="883"/>
      <c r="DWC9" s="883"/>
      <c r="DWD9" s="883"/>
      <c r="DWE9" s="883"/>
      <c r="DWF9" s="883"/>
      <c r="DWG9" s="883"/>
      <c r="DWH9" s="883"/>
      <c r="DWI9" s="883"/>
      <c r="DWJ9" s="883"/>
      <c r="DWK9" s="883"/>
      <c r="DWL9" s="883"/>
      <c r="DWM9" s="883"/>
      <c r="DWN9" s="883"/>
      <c r="DWO9" s="883"/>
      <c r="DWP9" s="883"/>
      <c r="DWQ9" s="883"/>
      <c r="DWR9" s="883"/>
      <c r="DWS9" s="883"/>
      <c r="DWT9" s="883"/>
      <c r="DWU9" s="883"/>
      <c r="DWV9" s="883"/>
      <c r="DWW9" s="883"/>
      <c r="DWX9" s="883"/>
      <c r="DWY9" s="883"/>
      <c r="DWZ9" s="883"/>
      <c r="DXA9" s="883"/>
      <c r="DXB9" s="883"/>
      <c r="DXC9" s="883"/>
      <c r="DXD9" s="883"/>
      <c r="DXE9" s="883"/>
      <c r="DXF9" s="883"/>
      <c r="DXG9" s="883"/>
      <c r="DXH9" s="883"/>
      <c r="DXI9" s="883"/>
      <c r="DXJ9" s="883"/>
      <c r="DXK9" s="883"/>
      <c r="DXL9" s="883"/>
      <c r="DXM9" s="883"/>
      <c r="DXN9" s="883"/>
      <c r="DXO9" s="883"/>
      <c r="DXP9" s="883"/>
      <c r="DXQ9" s="883"/>
      <c r="DXR9" s="883"/>
      <c r="DXS9" s="883"/>
      <c r="DXT9" s="883"/>
      <c r="DXU9" s="883"/>
      <c r="DXV9" s="883"/>
      <c r="DXW9" s="883"/>
      <c r="DXX9" s="883"/>
      <c r="DXY9" s="883"/>
      <c r="DXZ9" s="883"/>
      <c r="DYA9" s="883"/>
      <c r="DYB9" s="883"/>
      <c r="DYC9" s="883"/>
      <c r="DYD9" s="883"/>
      <c r="DYE9" s="883"/>
      <c r="DYF9" s="883"/>
      <c r="DYG9" s="883"/>
      <c r="DYH9" s="883"/>
      <c r="DYI9" s="883"/>
      <c r="DYJ9" s="883"/>
      <c r="DYK9" s="883"/>
      <c r="DYL9" s="883"/>
      <c r="DYM9" s="883"/>
      <c r="DYN9" s="883"/>
      <c r="DYO9" s="883"/>
      <c r="DYP9" s="883"/>
      <c r="DYQ9" s="883"/>
      <c r="DYR9" s="883"/>
      <c r="DYS9" s="883"/>
      <c r="DYT9" s="883"/>
      <c r="DYU9" s="883"/>
      <c r="DYV9" s="883"/>
      <c r="DYW9" s="883"/>
      <c r="DYX9" s="883"/>
      <c r="DYY9" s="883"/>
      <c r="DYZ9" s="883"/>
      <c r="DZA9" s="883"/>
      <c r="DZB9" s="883"/>
      <c r="DZC9" s="883"/>
      <c r="DZD9" s="883"/>
      <c r="DZE9" s="883"/>
      <c r="DZF9" s="883"/>
      <c r="DZG9" s="883"/>
      <c r="DZH9" s="883"/>
      <c r="DZI9" s="883"/>
      <c r="DZJ9" s="883"/>
      <c r="DZK9" s="883"/>
      <c r="DZL9" s="883"/>
      <c r="DZM9" s="883"/>
      <c r="DZN9" s="883"/>
      <c r="DZO9" s="883"/>
      <c r="DZP9" s="883"/>
      <c r="DZQ9" s="883"/>
      <c r="DZR9" s="883"/>
      <c r="DZS9" s="883"/>
      <c r="DZT9" s="883"/>
      <c r="DZU9" s="883"/>
      <c r="DZV9" s="883"/>
      <c r="DZW9" s="883"/>
      <c r="DZX9" s="883"/>
      <c r="DZY9" s="883"/>
      <c r="DZZ9" s="883"/>
      <c r="EAA9" s="883"/>
      <c r="EAB9" s="883"/>
      <c r="EAC9" s="883"/>
      <c r="EAD9" s="883"/>
      <c r="EAE9" s="883"/>
      <c r="EAF9" s="883"/>
      <c r="EAG9" s="883"/>
      <c r="EAH9" s="883"/>
      <c r="EAI9" s="883"/>
      <c r="EAJ9" s="883"/>
      <c r="EAK9" s="883"/>
      <c r="EAL9" s="883"/>
      <c r="EAM9" s="883"/>
      <c r="EAN9" s="883"/>
      <c r="EAO9" s="883"/>
      <c r="EAP9" s="883"/>
      <c r="EAQ9" s="883"/>
      <c r="EAR9" s="883"/>
      <c r="EAS9" s="883"/>
      <c r="EAT9" s="883"/>
      <c r="EAU9" s="883"/>
      <c r="EAV9" s="883"/>
      <c r="EAW9" s="883"/>
      <c r="EAX9" s="883"/>
      <c r="EAY9" s="883"/>
      <c r="EAZ9" s="883"/>
      <c r="EBA9" s="883"/>
      <c r="EBB9" s="883"/>
      <c r="EBC9" s="883"/>
      <c r="EBD9" s="883"/>
      <c r="EBE9" s="883"/>
      <c r="EBF9" s="883"/>
      <c r="EBG9" s="883"/>
      <c r="EBH9" s="883"/>
      <c r="EBI9" s="883"/>
      <c r="EBJ9" s="883"/>
      <c r="EBK9" s="883"/>
      <c r="EBL9" s="883"/>
      <c r="EBM9" s="883"/>
      <c r="EBN9" s="883"/>
      <c r="EBO9" s="883"/>
      <c r="EBP9" s="883"/>
      <c r="EBQ9" s="883"/>
      <c r="EBR9" s="883"/>
      <c r="EBS9" s="883"/>
      <c r="EBT9" s="883"/>
      <c r="EBU9" s="883"/>
      <c r="EBV9" s="883"/>
      <c r="EBW9" s="883"/>
      <c r="EBX9" s="883"/>
      <c r="EBY9" s="883"/>
      <c r="EBZ9" s="883"/>
      <c r="ECA9" s="883"/>
      <c r="ECB9" s="883"/>
      <c r="ECC9" s="883"/>
      <c r="ECD9" s="883"/>
      <c r="ECE9" s="883"/>
      <c r="ECF9" s="883"/>
      <c r="ECG9" s="883"/>
      <c r="ECH9" s="883"/>
      <c r="ECI9" s="883"/>
      <c r="ECJ9" s="883"/>
      <c r="ECK9" s="883"/>
      <c r="ECL9" s="883"/>
      <c r="ECM9" s="883"/>
      <c r="ECN9" s="883"/>
      <c r="ECO9" s="883"/>
      <c r="ECP9" s="883"/>
      <c r="ECQ9" s="883"/>
      <c r="ECR9" s="883"/>
      <c r="ECS9" s="883"/>
      <c r="ECT9" s="883"/>
      <c r="ECU9" s="883"/>
      <c r="ECV9" s="883"/>
      <c r="ECW9" s="883"/>
      <c r="ECX9" s="883"/>
      <c r="ECY9" s="883"/>
      <c r="ECZ9" s="883"/>
      <c r="EDA9" s="883"/>
      <c r="EDB9" s="883"/>
      <c r="EDC9" s="883"/>
      <c r="EDD9" s="883"/>
      <c r="EDE9" s="883"/>
      <c r="EDF9" s="883"/>
      <c r="EDG9" s="883"/>
      <c r="EDH9" s="883"/>
      <c r="EDI9" s="883"/>
      <c r="EDJ9" s="883"/>
      <c r="EDK9" s="883"/>
      <c r="EDL9" s="883"/>
      <c r="EDM9" s="883"/>
      <c r="EDN9" s="883"/>
      <c r="EDO9" s="883"/>
      <c r="EDP9" s="883"/>
      <c r="EDQ9" s="883"/>
      <c r="EDR9" s="883"/>
      <c r="EDS9" s="883"/>
      <c r="EDT9" s="883"/>
      <c r="EDU9" s="883"/>
      <c r="EDV9" s="883"/>
      <c r="EDW9" s="883"/>
      <c r="EDX9" s="883"/>
      <c r="EDY9" s="883"/>
      <c r="EDZ9" s="883"/>
      <c r="EEA9" s="883"/>
      <c r="EEB9" s="883"/>
      <c r="EEC9" s="883"/>
      <c r="EED9" s="883"/>
      <c r="EEE9" s="883"/>
      <c r="EEF9" s="883"/>
      <c r="EEG9" s="883"/>
      <c r="EEH9" s="883"/>
      <c r="EEI9" s="883"/>
      <c r="EEJ9" s="883"/>
      <c r="EEK9" s="883"/>
      <c r="EEL9" s="883"/>
      <c r="EEM9" s="883"/>
      <c r="EEN9" s="883"/>
      <c r="EEO9" s="883"/>
      <c r="EEP9" s="883"/>
      <c r="EEQ9" s="883"/>
      <c r="EER9" s="883"/>
      <c r="EES9" s="883"/>
      <c r="EET9" s="883"/>
      <c r="EEU9" s="883"/>
      <c r="EEV9" s="883"/>
      <c r="EEW9" s="883"/>
      <c r="EEX9" s="883"/>
      <c r="EEY9" s="883"/>
      <c r="EEZ9" s="883"/>
      <c r="EFA9" s="883"/>
      <c r="EFB9" s="883"/>
      <c r="EFC9" s="883"/>
      <c r="EFD9" s="883"/>
      <c r="EFE9" s="883"/>
      <c r="EFF9" s="883"/>
      <c r="EFG9" s="883"/>
      <c r="EFH9" s="883"/>
      <c r="EFI9" s="883"/>
      <c r="EFJ9" s="883"/>
      <c r="EFK9" s="883"/>
      <c r="EFL9" s="883"/>
      <c r="EFM9" s="883"/>
      <c r="EFN9" s="883"/>
      <c r="EFO9" s="883"/>
      <c r="EFP9" s="883"/>
      <c r="EFQ9" s="883"/>
      <c r="EFR9" s="883"/>
      <c r="EFS9" s="883"/>
      <c r="EFT9" s="883"/>
      <c r="EFU9" s="883"/>
      <c r="EFV9" s="883"/>
      <c r="EFW9" s="883"/>
      <c r="EFX9" s="883"/>
      <c r="EFY9" s="883"/>
      <c r="EFZ9" s="883"/>
      <c r="EGA9" s="883"/>
      <c r="EGB9" s="883"/>
      <c r="EGC9" s="883"/>
      <c r="EGD9" s="883"/>
      <c r="EGE9" s="883"/>
      <c r="EGF9" s="883"/>
      <c r="EGG9" s="883"/>
      <c r="EGH9" s="883"/>
      <c r="EGI9" s="883"/>
      <c r="EGJ9" s="883"/>
      <c r="EGK9" s="883"/>
      <c r="EGL9" s="883"/>
      <c r="EGM9" s="883"/>
      <c r="EGN9" s="883"/>
      <c r="EGO9" s="883"/>
      <c r="EGP9" s="883"/>
      <c r="EGQ9" s="883"/>
      <c r="EGR9" s="883"/>
      <c r="EGS9" s="883"/>
      <c r="EGT9" s="883"/>
      <c r="EGU9" s="883"/>
      <c r="EGV9" s="883"/>
      <c r="EGW9" s="883"/>
      <c r="EGX9" s="883"/>
      <c r="EGY9" s="883"/>
      <c r="EGZ9" s="883"/>
      <c r="EHA9" s="883"/>
      <c r="EHB9" s="883"/>
      <c r="EHC9" s="883"/>
      <c r="EHD9" s="883"/>
      <c r="EHE9" s="883"/>
      <c r="EHF9" s="883"/>
      <c r="EHG9" s="883"/>
      <c r="EHH9" s="883"/>
      <c r="EHI9" s="883"/>
      <c r="EHJ9" s="883"/>
      <c r="EHK9" s="883"/>
      <c r="EHL9" s="883"/>
      <c r="EHM9" s="883"/>
      <c r="EHN9" s="883"/>
      <c r="EHO9" s="883"/>
      <c r="EHP9" s="883"/>
      <c r="EHQ9" s="883"/>
      <c r="EHR9" s="883"/>
      <c r="EHS9" s="883"/>
      <c r="EHT9" s="883"/>
      <c r="EHU9" s="883"/>
      <c r="EHV9" s="883"/>
      <c r="EHW9" s="883"/>
      <c r="EHX9" s="883"/>
      <c r="EHY9" s="883"/>
      <c r="EHZ9" s="883"/>
      <c r="EIA9" s="883"/>
      <c r="EIB9" s="883"/>
      <c r="EIC9" s="883"/>
      <c r="EID9" s="883"/>
      <c r="EIE9" s="883"/>
      <c r="EIF9" s="883"/>
      <c r="EIG9" s="883"/>
      <c r="EIH9" s="883"/>
      <c r="EII9" s="883"/>
      <c r="EIJ9" s="883"/>
      <c r="EIK9" s="883"/>
      <c r="EIL9" s="883"/>
      <c r="EIM9" s="883"/>
      <c r="EIN9" s="883"/>
      <c r="EIO9" s="883"/>
      <c r="EIP9" s="883"/>
      <c r="EIQ9" s="883"/>
      <c r="EIR9" s="883"/>
      <c r="EIS9" s="883"/>
      <c r="EIT9" s="883"/>
      <c r="EIU9" s="883"/>
      <c r="EIV9" s="883"/>
      <c r="EIW9" s="883"/>
      <c r="EIX9" s="883"/>
      <c r="EIY9" s="883"/>
      <c r="EIZ9" s="883"/>
      <c r="EJA9" s="883"/>
      <c r="EJB9" s="883"/>
      <c r="EJC9" s="883"/>
      <c r="EJD9" s="883"/>
      <c r="EJE9" s="883"/>
      <c r="EJF9" s="883"/>
      <c r="EJG9" s="883"/>
      <c r="EJH9" s="883"/>
      <c r="EJI9" s="883"/>
      <c r="EJJ9" s="883"/>
      <c r="EJK9" s="883"/>
      <c r="EJL9" s="883"/>
      <c r="EJM9" s="883"/>
      <c r="EJN9" s="883"/>
      <c r="EJO9" s="883"/>
      <c r="EJP9" s="883"/>
      <c r="EJQ9" s="883"/>
      <c r="EJR9" s="883"/>
      <c r="EJS9" s="883"/>
      <c r="EJT9" s="883"/>
      <c r="EJU9" s="883"/>
      <c r="EJV9" s="883"/>
      <c r="EJW9" s="883"/>
      <c r="EJX9" s="883"/>
      <c r="EJY9" s="883"/>
      <c r="EJZ9" s="883"/>
      <c r="EKA9" s="883"/>
      <c r="EKB9" s="883"/>
      <c r="EKC9" s="883"/>
      <c r="EKD9" s="883"/>
      <c r="EKE9" s="883"/>
      <c r="EKF9" s="883"/>
      <c r="EKG9" s="883"/>
      <c r="EKH9" s="883"/>
      <c r="EKI9" s="883"/>
      <c r="EKJ9" s="883"/>
      <c r="EKK9" s="883"/>
      <c r="EKL9" s="883"/>
      <c r="EKM9" s="883"/>
      <c r="EKN9" s="883"/>
      <c r="EKO9" s="883"/>
      <c r="EKP9" s="883"/>
      <c r="EKQ9" s="883"/>
      <c r="EKR9" s="883"/>
      <c r="EKS9" s="883"/>
      <c r="EKT9" s="883"/>
      <c r="EKU9" s="883"/>
      <c r="EKV9" s="883"/>
      <c r="EKW9" s="883"/>
      <c r="EKX9" s="883"/>
      <c r="EKY9" s="883"/>
      <c r="EKZ9" s="883"/>
      <c r="ELA9" s="883"/>
      <c r="ELB9" s="883"/>
      <c r="ELC9" s="883"/>
      <c r="ELD9" s="883"/>
      <c r="ELE9" s="883"/>
      <c r="ELF9" s="883"/>
      <c r="ELG9" s="883"/>
      <c r="ELH9" s="883"/>
      <c r="ELI9" s="883"/>
      <c r="ELJ9" s="883"/>
      <c r="ELK9" s="883"/>
      <c r="ELL9" s="883"/>
      <c r="ELM9" s="883"/>
      <c r="ELN9" s="883"/>
      <c r="ELO9" s="883"/>
      <c r="ELP9" s="883"/>
      <c r="ELQ9" s="883"/>
      <c r="ELR9" s="883"/>
      <c r="ELS9" s="883"/>
      <c r="ELT9" s="883"/>
      <c r="ELU9" s="883"/>
      <c r="ELV9" s="883"/>
      <c r="ELW9" s="883"/>
      <c r="ELX9" s="883"/>
      <c r="ELY9" s="883"/>
      <c r="ELZ9" s="883"/>
      <c r="EMA9" s="883"/>
      <c r="EMB9" s="883"/>
      <c r="EMC9" s="883"/>
      <c r="EMD9" s="883"/>
      <c r="EME9" s="883"/>
      <c r="EMF9" s="883"/>
      <c r="EMG9" s="883"/>
      <c r="EMH9" s="883"/>
      <c r="EMI9" s="883"/>
      <c r="EMJ9" s="883"/>
      <c r="EMK9" s="883"/>
      <c r="EML9" s="883"/>
      <c r="EMM9" s="883"/>
      <c r="EMN9" s="883"/>
      <c r="EMO9" s="883"/>
      <c r="EMP9" s="883"/>
      <c r="EMQ9" s="883"/>
      <c r="EMR9" s="883"/>
      <c r="EMS9" s="883"/>
      <c r="EMT9" s="883"/>
      <c r="EMU9" s="883"/>
      <c r="EMV9" s="883"/>
      <c r="EMW9" s="883"/>
      <c r="EMX9" s="883"/>
      <c r="EMY9" s="883"/>
      <c r="EMZ9" s="883"/>
      <c r="ENA9" s="883"/>
      <c r="ENB9" s="883"/>
      <c r="ENC9" s="883"/>
      <c r="END9" s="883"/>
      <c r="ENE9" s="883"/>
      <c r="ENF9" s="883"/>
      <c r="ENG9" s="883"/>
      <c r="ENH9" s="883"/>
      <c r="ENI9" s="883"/>
      <c r="ENJ9" s="883"/>
      <c r="ENK9" s="883"/>
      <c r="ENL9" s="883"/>
      <c r="ENM9" s="883"/>
      <c r="ENN9" s="883"/>
      <c r="ENO9" s="883"/>
      <c r="ENP9" s="883"/>
      <c r="ENQ9" s="883"/>
      <c r="ENR9" s="883"/>
      <c r="ENS9" s="883"/>
      <c r="ENT9" s="883"/>
      <c r="ENU9" s="883"/>
      <c r="ENV9" s="883"/>
      <c r="ENW9" s="883"/>
      <c r="ENX9" s="883"/>
      <c r="ENY9" s="883"/>
      <c r="ENZ9" s="883"/>
      <c r="EOA9" s="883"/>
      <c r="EOB9" s="883"/>
      <c r="EOC9" s="883"/>
      <c r="EOD9" s="883"/>
      <c r="EOE9" s="883"/>
      <c r="EOF9" s="883"/>
      <c r="EOG9" s="883"/>
      <c r="EOH9" s="883"/>
      <c r="EOI9" s="883"/>
      <c r="EOJ9" s="883"/>
      <c r="EOK9" s="883"/>
      <c r="EOL9" s="883"/>
      <c r="EOM9" s="883"/>
      <c r="EON9" s="883"/>
      <c r="EOO9" s="883"/>
      <c r="EOP9" s="883"/>
      <c r="EOQ9" s="883"/>
      <c r="EOR9" s="883"/>
      <c r="EOS9" s="883"/>
      <c r="EOT9" s="883"/>
      <c r="EOU9" s="883"/>
      <c r="EOV9" s="883"/>
      <c r="EOW9" s="883"/>
      <c r="EOX9" s="883"/>
      <c r="EOY9" s="883"/>
      <c r="EOZ9" s="883"/>
      <c r="EPA9" s="883"/>
      <c r="EPB9" s="883"/>
      <c r="EPC9" s="883"/>
      <c r="EPD9" s="883"/>
      <c r="EPE9" s="883"/>
      <c r="EPF9" s="883"/>
      <c r="EPG9" s="883"/>
      <c r="EPH9" s="883"/>
      <c r="EPI9" s="883"/>
      <c r="EPJ9" s="883"/>
      <c r="EPK9" s="883"/>
      <c r="EPL9" s="883"/>
      <c r="EPM9" s="883"/>
      <c r="EPN9" s="883"/>
      <c r="EPO9" s="883"/>
      <c r="EPP9" s="883"/>
      <c r="EPQ9" s="883"/>
      <c r="EPR9" s="883"/>
      <c r="EPS9" s="883"/>
      <c r="EPT9" s="883"/>
      <c r="EPU9" s="883"/>
      <c r="EPV9" s="883"/>
      <c r="EPW9" s="883"/>
      <c r="EPX9" s="883"/>
      <c r="EPY9" s="883"/>
      <c r="EPZ9" s="883"/>
      <c r="EQA9" s="883"/>
      <c r="EQB9" s="883"/>
      <c r="EQC9" s="883"/>
      <c r="EQD9" s="883"/>
      <c r="EQE9" s="883"/>
      <c r="EQF9" s="883"/>
      <c r="EQG9" s="883"/>
      <c r="EQH9" s="883"/>
      <c r="EQI9" s="883"/>
      <c r="EQJ9" s="883"/>
      <c r="EQK9" s="883"/>
      <c r="EQL9" s="883"/>
      <c r="EQM9" s="883"/>
      <c r="EQN9" s="883"/>
      <c r="EQO9" s="883"/>
      <c r="EQP9" s="883"/>
      <c r="EQQ9" s="883"/>
      <c r="EQR9" s="883"/>
      <c r="EQS9" s="883"/>
      <c r="EQT9" s="883"/>
      <c r="EQU9" s="883"/>
      <c r="EQV9" s="883"/>
      <c r="EQW9" s="883"/>
      <c r="EQX9" s="883"/>
      <c r="EQY9" s="883"/>
      <c r="EQZ9" s="883"/>
      <c r="ERA9" s="883"/>
      <c r="ERB9" s="883"/>
      <c r="ERC9" s="883"/>
      <c r="ERD9" s="883"/>
      <c r="ERE9" s="883"/>
      <c r="ERF9" s="883"/>
      <c r="ERG9" s="883"/>
      <c r="ERH9" s="883"/>
      <c r="ERI9" s="883"/>
      <c r="ERJ9" s="883"/>
      <c r="ERK9" s="883"/>
      <c r="ERL9" s="883"/>
      <c r="ERM9" s="883"/>
      <c r="ERN9" s="883"/>
      <c r="ERO9" s="883"/>
      <c r="ERP9" s="883"/>
      <c r="ERQ9" s="883"/>
      <c r="ERR9" s="883"/>
      <c r="ERS9" s="883"/>
      <c r="ERT9" s="883"/>
      <c r="ERU9" s="883"/>
      <c r="ERV9" s="883"/>
      <c r="ERW9" s="883"/>
      <c r="ERX9" s="883"/>
      <c r="ERY9" s="883"/>
      <c r="ERZ9" s="883"/>
      <c r="ESA9" s="883"/>
      <c r="ESB9" s="883"/>
      <c r="ESC9" s="883"/>
      <c r="ESD9" s="883"/>
      <c r="ESE9" s="883"/>
      <c r="ESF9" s="883"/>
      <c r="ESG9" s="883"/>
      <c r="ESH9" s="883"/>
      <c r="ESI9" s="883"/>
      <c r="ESJ9" s="883"/>
      <c r="ESK9" s="883"/>
      <c r="ESL9" s="883"/>
      <c r="ESM9" s="883"/>
      <c r="ESN9" s="883"/>
      <c r="ESO9" s="883"/>
      <c r="ESP9" s="883"/>
      <c r="ESQ9" s="883"/>
      <c r="ESR9" s="883"/>
      <c r="ESS9" s="883"/>
      <c r="EST9" s="883"/>
      <c r="ESU9" s="883"/>
      <c r="ESV9" s="883"/>
      <c r="ESW9" s="883"/>
      <c r="ESX9" s="883"/>
      <c r="ESY9" s="883"/>
      <c r="ESZ9" s="883"/>
      <c r="ETA9" s="883"/>
      <c r="ETB9" s="883"/>
      <c r="ETC9" s="883"/>
      <c r="ETD9" s="883"/>
      <c r="ETE9" s="883"/>
      <c r="ETF9" s="883"/>
      <c r="ETG9" s="883"/>
      <c r="ETH9" s="883"/>
      <c r="ETI9" s="883"/>
      <c r="ETJ9" s="883"/>
      <c r="ETK9" s="883"/>
      <c r="ETL9" s="883"/>
      <c r="ETM9" s="883"/>
      <c r="ETN9" s="883"/>
      <c r="ETO9" s="883"/>
      <c r="ETP9" s="883"/>
      <c r="ETQ9" s="883"/>
      <c r="ETR9" s="883"/>
      <c r="ETS9" s="883"/>
      <c r="ETT9" s="883"/>
      <c r="ETU9" s="883"/>
      <c r="ETV9" s="883"/>
      <c r="ETW9" s="883"/>
      <c r="ETX9" s="883"/>
      <c r="ETY9" s="883"/>
      <c r="ETZ9" s="883"/>
      <c r="EUA9" s="883"/>
      <c r="EUB9" s="883"/>
      <c r="EUC9" s="883"/>
      <c r="EUD9" s="883"/>
      <c r="EUE9" s="883"/>
      <c r="EUF9" s="883"/>
      <c r="EUG9" s="883"/>
      <c r="EUH9" s="883"/>
      <c r="EUI9" s="883"/>
      <c r="EUJ9" s="883"/>
      <c r="EUK9" s="883"/>
      <c r="EUL9" s="883"/>
      <c r="EUM9" s="883"/>
      <c r="EUN9" s="883"/>
      <c r="EUO9" s="883"/>
      <c r="EUP9" s="883"/>
      <c r="EUQ9" s="883"/>
      <c r="EUR9" s="883"/>
      <c r="EUS9" s="883"/>
      <c r="EUT9" s="883"/>
      <c r="EUU9" s="883"/>
      <c r="EUV9" s="883"/>
      <c r="EUW9" s="883"/>
      <c r="EUX9" s="883"/>
      <c r="EUY9" s="883"/>
      <c r="EUZ9" s="883"/>
      <c r="EVA9" s="883"/>
      <c r="EVB9" s="883"/>
      <c r="EVC9" s="883"/>
      <c r="EVD9" s="883"/>
      <c r="EVE9" s="883"/>
      <c r="EVF9" s="883"/>
      <c r="EVG9" s="883"/>
      <c r="EVH9" s="883"/>
      <c r="EVI9" s="883"/>
      <c r="EVJ9" s="883"/>
      <c r="EVK9" s="883"/>
      <c r="EVL9" s="883"/>
      <c r="EVM9" s="883"/>
      <c r="EVN9" s="883"/>
      <c r="EVO9" s="883"/>
      <c r="EVP9" s="883"/>
      <c r="EVQ9" s="883"/>
      <c r="EVR9" s="883"/>
      <c r="EVS9" s="883"/>
      <c r="EVT9" s="883"/>
      <c r="EVU9" s="883"/>
      <c r="EVV9" s="883"/>
      <c r="EVW9" s="883"/>
      <c r="EVX9" s="883"/>
      <c r="EVY9" s="883"/>
      <c r="EVZ9" s="883"/>
      <c r="EWA9" s="883"/>
      <c r="EWB9" s="883"/>
      <c r="EWC9" s="883"/>
      <c r="EWD9" s="883"/>
      <c r="EWE9" s="883"/>
      <c r="EWF9" s="883"/>
      <c r="EWG9" s="883"/>
      <c r="EWH9" s="883"/>
      <c r="EWI9" s="883"/>
      <c r="EWJ9" s="883"/>
      <c r="EWK9" s="883"/>
      <c r="EWL9" s="883"/>
      <c r="EWM9" s="883"/>
      <c r="EWN9" s="883"/>
      <c r="EWO9" s="883"/>
      <c r="EWP9" s="883"/>
      <c r="EWQ9" s="883"/>
      <c r="EWR9" s="883"/>
      <c r="EWS9" s="883"/>
      <c r="EWT9" s="883"/>
      <c r="EWU9" s="883"/>
      <c r="EWV9" s="883"/>
      <c r="EWW9" s="883"/>
      <c r="EWX9" s="883"/>
      <c r="EWY9" s="883"/>
      <c r="EWZ9" s="883"/>
      <c r="EXA9" s="883"/>
      <c r="EXB9" s="883"/>
      <c r="EXC9" s="883"/>
      <c r="EXD9" s="883"/>
      <c r="EXE9" s="883"/>
      <c r="EXF9" s="883"/>
      <c r="EXG9" s="883"/>
      <c r="EXH9" s="883"/>
      <c r="EXI9" s="883"/>
      <c r="EXJ9" s="883"/>
      <c r="EXK9" s="883"/>
      <c r="EXL9" s="883"/>
      <c r="EXM9" s="883"/>
      <c r="EXN9" s="883"/>
      <c r="EXO9" s="883"/>
      <c r="EXP9" s="883"/>
      <c r="EXQ9" s="883"/>
      <c r="EXR9" s="883"/>
      <c r="EXS9" s="883"/>
      <c r="EXT9" s="883"/>
      <c r="EXU9" s="883"/>
      <c r="EXV9" s="883"/>
      <c r="EXW9" s="883"/>
      <c r="EXX9" s="883"/>
      <c r="EXY9" s="883"/>
      <c r="EXZ9" s="883"/>
      <c r="EYA9" s="883"/>
      <c r="EYB9" s="883"/>
      <c r="EYC9" s="883"/>
      <c r="EYD9" s="883"/>
      <c r="EYE9" s="883"/>
      <c r="EYF9" s="883"/>
      <c r="EYG9" s="883"/>
      <c r="EYH9" s="883"/>
      <c r="EYI9" s="883"/>
      <c r="EYJ9" s="883"/>
      <c r="EYK9" s="883"/>
      <c r="EYL9" s="883"/>
      <c r="EYM9" s="883"/>
      <c r="EYN9" s="883"/>
      <c r="EYO9" s="883"/>
      <c r="EYP9" s="883"/>
      <c r="EYQ9" s="883"/>
      <c r="EYR9" s="883"/>
      <c r="EYS9" s="883"/>
      <c r="EYT9" s="883"/>
      <c r="EYU9" s="883"/>
      <c r="EYV9" s="883"/>
      <c r="EYW9" s="883"/>
      <c r="EYX9" s="883"/>
      <c r="EYY9" s="883"/>
      <c r="EYZ9" s="883"/>
      <c r="EZA9" s="883"/>
      <c r="EZB9" s="883"/>
      <c r="EZC9" s="883"/>
      <c r="EZD9" s="883"/>
      <c r="EZE9" s="883"/>
      <c r="EZF9" s="883"/>
      <c r="EZG9" s="883"/>
      <c r="EZH9" s="883"/>
      <c r="EZI9" s="883"/>
      <c r="EZJ9" s="883"/>
      <c r="EZK9" s="883"/>
      <c r="EZL9" s="883"/>
      <c r="EZM9" s="883"/>
      <c r="EZN9" s="883"/>
      <c r="EZO9" s="883"/>
      <c r="EZP9" s="883"/>
      <c r="EZQ9" s="883"/>
      <c r="EZR9" s="883"/>
      <c r="EZS9" s="883"/>
      <c r="EZT9" s="883"/>
      <c r="EZU9" s="883"/>
      <c r="EZV9" s="883"/>
      <c r="EZW9" s="883"/>
      <c r="EZX9" s="883"/>
      <c r="EZY9" s="883"/>
      <c r="EZZ9" s="883"/>
      <c r="FAA9" s="883"/>
      <c r="FAB9" s="883"/>
      <c r="FAC9" s="883"/>
      <c r="FAD9" s="883"/>
      <c r="FAE9" s="883"/>
      <c r="FAF9" s="883"/>
      <c r="FAG9" s="883"/>
      <c r="FAH9" s="883"/>
      <c r="FAI9" s="883"/>
      <c r="FAJ9" s="883"/>
      <c r="FAK9" s="883"/>
      <c r="FAL9" s="883"/>
      <c r="FAM9" s="883"/>
      <c r="FAN9" s="883"/>
      <c r="FAO9" s="883"/>
      <c r="FAP9" s="883"/>
      <c r="FAQ9" s="883"/>
      <c r="FAR9" s="883"/>
      <c r="FAS9" s="883"/>
      <c r="FAT9" s="883"/>
      <c r="FAU9" s="883"/>
      <c r="FAV9" s="883"/>
      <c r="FAW9" s="883"/>
      <c r="FAX9" s="883"/>
      <c r="FAY9" s="883"/>
      <c r="FAZ9" s="883"/>
      <c r="FBA9" s="883"/>
      <c r="FBB9" s="883"/>
      <c r="FBC9" s="883"/>
      <c r="FBD9" s="883"/>
      <c r="FBE9" s="883"/>
      <c r="FBF9" s="883"/>
      <c r="FBG9" s="883"/>
      <c r="FBH9" s="883"/>
      <c r="FBI9" s="883"/>
      <c r="FBJ9" s="883"/>
      <c r="FBK9" s="883"/>
      <c r="FBL9" s="883"/>
      <c r="FBM9" s="883"/>
      <c r="FBN9" s="883"/>
      <c r="FBO9" s="883"/>
      <c r="FBP9" s="883"/>
      <c r="FBQ9" s="883"/>
      <c r="FBR9" s="883"/>
      <c r="FBS9" s="883"/>
      <c r="FBT9" s="883"/>
      <c r="FBU9" s="883"/>
      <c r="FBV9" s="883"/>
      <c r="FBW9" s="883"/>
      <c r="FBX9" s="883"/>
      <c r="FBY9" s="883"/>
      <c r="FBZ9" s="883"/>
      <c r="FCA9" s="883"/>
      <c r="FCB9" s="883"/>
      <c r="FCC9" s="883"/>
      <c r="FCD9" s="883"/>
      <c r="FCE9" s="883"/>
      <c r="FCF9" s="883"/>
      <c r="FCG9" s="883"/>
      <c r="FCH9" s="883"/>
      <c r="FCI9" s="883"/>
      <c r="FCJ9" s="883"/>
      <c r="FCK9" s="883"/>
      <c r="FCL9" s="883"/>
      <c r="FCM9" s="883"/>
      <c r="FCN9" s="883"/>
      <c r="FCO9" s="883"/>
      <c r="FCP9" s="883"/>
      <c r="FCQ9" s="883"/>
      <c r="FCR9" s="883"/>
      <c r="FCS9" s="883"/>
      <c r="FCT9" s="883"/>
      <c r="FCU9" s="883"/>
      <c r="FCV9" s="883"/>
      <c r="FCW9" s="883"/>
      <c r="FCX9" s="883"/>
      <c r="FCY9" s="883"/>
      <c r="FCZ9" s="883"/>
      <c r="FDA9" s="883"/>
      <c r="FDB9" s="883"/>
      <c r="FDC9" s="883"/>
      <c r="FDD9" s="883"/>
      <c r="FDE9" s="883"/>
      <c r="FDF9" s="883"/>
      <c r="FDG9" s="883"/>
      <c r="FDH9" s="883"/>
      <c r="FDI9" s="883"/>
      <c r="FDJ9" s="883"/>
      <c r="FDK9" s="883"/>
      <c r="FDL9" s="883"/>
      <c r="FDM9" s="883"/>
      <c r="FDN9" s="883"/>
      <c r="FDO9" s="883"/>
      <c r="FDP9" s="883"/>
      <c r="FDQ9" s="883"/>
      <c r="FDR9" s="883"/>
      <c r="FDS9" s="883"/>
      <c r="FDT9" s="883"/>
      <c r="FDU9" s="883"/>
      <c r="FDV9" s="883"/>
      <c r="FDW9" s="883"/>
      <c r="FDX9" s="883"/>
      <c r="FDY9" s="883"/>
      <c r="FDZ9" s="883"/>
      <c r="FEA9" s="883"/>
      <c r="FEB9" s="883"/>
      <c r="FEC9" s="883"/>
      <c r="FED9" s="883"/>
      <c r="FEE9" s="883"/>
      <c r="FEF9" s="883"/>
      <c r="FEG9" s="883"/>
      <c r="FEH9" s="883"/>
      <c r="FEI9" s="883"/>
      <c r="FEJ9" s="883"/>
      <c r="FEK9" s="883"/>
      <c r="FEL9" s="883"/>
      <c r="FEM9" s="883"/>
      <c r="FEN9" s="883"/>
      <c r="FEO9" s="883"/>
      <c r="FEP9" s="883"/>
      <c r="FEQ9" s="883"/>
      <c r="FER9" s="883"/>
      <c r="FES9" s="883"/>
      <c r="FET9" s="883"/>
      <c r="FEU9" s="883"/>
      <c r="FEV9" s="883"/>
      <c r="FEW9" s="883"/>
      <c r="FEX9" s="883"/>
      <c r="FEY9" s="883"/>
      <c r="FEZ9" s="883"/>
      <c r="FFA9" s="883"/>
      <c r="FFB9" s="883"/>
      <c r="FFC9" s="883"/>
      <c r="FFD9" s="883"/>
      <c r="FFE9" s="883"/>
      <c r="FFF9" s="883"/>
      <c r="FFG9" s="883"/>
      <c r="FFH9" s="883"/>
      <c r="FFI9" s="883"/>
      <c r="FFJ9" s="883"/>
      <c r="FFK9" s="883"/>
      <c r="FFL9" s="883"/>
      <c r="FFM9" s="883"/>
      <c r="FFN9" s="883"/>
      <c r="FFO9" s="883"/>
      <c r="FFP9" s="883"/>
      <c r="FFQ9" s="883"/>
      <c r="FFR9" s="883"/>
      <c r="FFS9" s="883"/>
      <c r="FFT9" s="883"/>
      <c r="FFU9" s="883"/>
      <c r="FFV9" s="883"/>
      <c r="FFW9" s="883"/>
      <c r="FFX9" s="883"/>
      <c r="FFY9" s="883"/>
      <c r="FFZ9" s="883"/>
      <c r="FGA9" s="883"/>
      <c r="FGB9" s="883"/>
      <c r="FGC9" s="883"/>
      <c r="FGD9" s="883"/>
      <c r="FGE9" s="883"/>
      <c r="FGF9" s="883"/>
      <c r="FGG9" s="883"/>
      <c r="FGH9" s="883"/>
      <c r="FGI9" s="883"/>
      <c r="FGJ9" s="883"/>
      <c r="FGK9" s="883"/>
      <c r="FGL9" s="883"/>
      <c r="FGM9" s="883"/>
      <c r="FGN9" s="883"/>
      <c r="FGO9" s="883"/>
      <c r="FGP9" s="883"/>
      <c r="FGQ9" s="883"/>
      <c r="FGR9" s="883"/>
      <c r="FGS9" s="883"/>
      <c r="FGT9" s="883"/>
      <c r="FGU9" s="883"/>
      <c r="FGV9" s="883"/>
      <c r="FGW9" s="883"/>
      <c r="FGX9" s="883"/>
      <c r="FGY9" s="883"/>
      <c r="FGZ9" s="883"/>
      <c r="FHA9" s="883"/>
      <c r="FHB9" s="883"/>
      <c r="FHC9" s="883"/>
      <c r="FHD9" s="883"/>
      <c r="FHE9" s="883"/>
      <c r="FHF9" s="883"/>
      <c r="FHG9" s="883"/>
      <c r="FHH9" s="883"/>
      <c r="FHI9" s="883"/>
      <c r="FHJ9" s="883"/>
      <c r="FHK9" s="883"/>
      <c r="FHL9" s="883"/>
      <c r="FHM9" s="883"/>
      <c r="FHN9" s="883"/>
      <c r="FHO9" s="883"/>
      <c r="FHP9" s="883"/>
      <c r="FHQ9" s="883"/>
      <c r="FHR9" s="883"/>
      <c r="FHS9" s="883"/>
      <c r="FHT9" s="883"/>
      <c r="FHU9" s="883"/>
      <c r="FHV9" s="883"/>
      <c r="FHW9" s="883"/>
      <c r="FHX9" s="883"/>
      <c r="FHY9" s="883"/>
      <c r="FHZ9" s="883"/>
      <c r="FIA9" s="883"/>
      <c r="FIB9" s="883"/>
      <c r="FIC9" s="883"/>
      <c r="FID9" s="883"/>
      <c r="FIE9" s="883"/>
      <c r="FIF9" s="883"/>
      <c r="FIG9" s="883"/>
      <c r="FIH9" s="883"/>
      <c r="FII9" s="883"/>
      <c r="FIJ9" s="883"/>
      <c r="FIK9" s="883"/>
      <c r="FIL9" s="883"/>
      <c r="FIM9" s="883"/>
      <c r="FIN9" s="883"/>
      <c r="FIO9" s="883"/>
      <c r="FIP9" s="883"/>
      <c r="FIQ9" s="883"/>
      <c r="FIR9" s="883"/>
      <c r="FIS9" s="883"/>
      <c r="FIT9" s="883"/>
      <c r="FIU9" s="883"/>
      <c r="FIV9" s="883"/>
      <c r="FIW9" s="883"/>
      <c r="FIX9" s="883"/>
      <c r="FIY9" s="883"/>
      <c r="FIZ9" s="883"/>
      <c r="FJA9" s="883"/>
      <c r="FJB9" s="883"/>
      <c r="FJC9" s="883"/>
      <c r="FJD9" s="883"/>
      <c r="FJE9" s="883"/>
      <c r="FJF9" s="883"/>
      <c r="FJG9" s="883"/>
      <c r="FJH9" s="883"/>
      <c r="FJI9" s="883"/>
      <c r="FJJ9" s="883"/>
      <c r="FJK9" s="883"/>
      <c r="FJL9" s="883"/>
      <c r="FJM9" s="883"/>
      <c r="FJN9" s="883"/>
      <c r="FJO9" s="883"/>
      <c r="FJP9" s="883"/>
      <c r="FJQ9" s="883"/>
      <c r="FJR9" s="883"/>
      <c r="FJS9" s="883"/>
      <c r="FJT9" s="883"/>
      <c r="FJU9" s="883"/>
      <c r="FJV9" s="883"/>
      <c r="FJW9" s="883"/>
      <c r="FJX9" s="883"/>
      <c r="FJY9" s="883"/>
      <c r="FJZ9" s="883"/>
      <c r="FKA9" s="883"/>
      <c r="FKB9" s="883"/>
      <c r="FKC9" s="883"/>
      <c r="FKD9" s="883"/>
      <c r="FKE9" s="883"/>
      <c r="FKF9" s="883"/>
      <c r="FKG9" s="883"/>
      <c r="FKH9" s="883"/>
      <c r="FKI9" s="883"/>
      <c r="FKJ9" s="883"/>
      <c r="FKK9" s="883"/>
      <c r="FKL9" s="883"/>
      <c r="FKM9" s="883"/>
      <c r="FKN9" s="883"/>
      <c r="FKO9" s="883"/>
      <c r="FKP9" s="883"/>
      <c r="FKQ9" s="883"/>
      <c r="FKR9" s="883"/>
      <c r="FKS9" s="883"/>
      <c r="FKT9" s="883"/>
      <c r="FKU9" s="883"/>
      <c r="FKV9" s="883"/>
      <c r="FKW9" s="883"/>
      <c r="FKX9" s="883"/>
      <c r="FKY9" s="883"/>
      <c r="FKZ9" s="883"/>
      <c r="FLA9" s="883"/>
      <c r="FLB9" s="883"/>
      <c r="FLC9" s="883"/>
      <c r="FLD9" s="883"/>
      <c r="FLE9" s="883"/>
      <c r="FLF9" s="883"/>
      <c r="FLG9" s="883"/>
      <c r="FLH9" s="883"/>
      <c r="FLI9" s="883"/>
      <c r="FLJ9" s="883"/>
      <c r="FLK9" s="883"/>
      <c r="FLL9" s="883"/>
      <c r="FLM9" s="883"/>
      <c r="FLN9" s="883"/>
      <c r="FLO9" s="883"/>
      <c r="FLP9" s="883"/>
      <c r="FLQ9" s="883"/>
      <c r="FLR9" s="883"/>
      <c r="FLS9" s="883"/>
      <c r="FLT9" s="883"/>
      <c r="FLU9" s="883"/>
      <c r="FLV9" s="883"/>
      <c r="FLW9" s="883"/>
      <c r="FLX9" s="883"/>
      <c r="FLY9" s="883"/>
      <c r="FLZ9" s="883"/>
      <c r="FMA9" s="883"/>
      <c r="FMB9" s="883"/>
      <c r="FMC9" s="883"/>
      <c r="FMD9" s="883"/>
      <c r="FME9" s="883"/>
      <c r="FMF9" s="883"/>
      <c r="FMG9" s="883"/>
      <c r="FMH9" s="883"/>
      <c r="FMI9" s="883"/>
      <c r="FMJ9" s="883"/>
      <c r="FMK9" s="883"/>
      <c r="FML9" s="883"/>
      <c r="FMM9" s="883"/>
      <c r="FMN9" s="883"/>
      <c r="FMO9" s="883"/>
      <c r="FMP9" s="883"/>
      <c r="FMQ9" s="883"/>
      <c r="FMR9" s="883"/>
      <c r="FMS9" s="883"/>
      <c r="FMT9" s="883"/>
      <c r="FMU9" s="883"/>
      <c r="FMV9" s="883"/>
      <c r="FMW9" s="883"/>
      <c r="FMX9" s="883"/>
      <c r="FMY9" s="883"/>
      <c r="FMZ9" s="883"/>
      <c r="FNA9" s="883"/>
      <c r="FNB9" s="883"/>
      <c r="FNC9" s="883"/>
      <c r="FND9" s="883"/>
      <c r="FNE9" s="883"/>
      <c r="FNF9" s="883"/>
      <c r="FNG9" s="883"/>
      <c r="FNH9" s="883"/>
      <c r="FNI9" s="883"/>
      <c r="FNJ9" s="883"/>
      <c r="FNK9" s="883"/>
      <c r="FNL9" s="883"/>
      <c r="FNM9" s="883"/>
      <c r="FNN9" s="883"/>
      <c r="FNO9" s="883"/>
      <c r="FNP9" s="883"/>
      <c r="FNQ9" s="883"/>
      <c r="FNR9" s="883"/>
      <c r="FNS9" s="883"/>
      <c r="FNT9" s="883"/>
      <c r="FNU9" s="883"/>
      <c r="FNV9" s="883"/>
      <c r="FNW9" s="883"/>
      <c r="FNX9" s="883"/>
      <c r="FNY9" s="883"/>
      <c r="FNZ9" s="883"/>
      <c r="FOA9" s="883"/>
      <c r="FOB9" s="883"/>
      <c r="FOC9" s="883"/>
      <c r="FOD9" s="883"/>
      <c r="FOE9" s="883"/>
      <c r="FOF9" s="883"/>
      <c r="FOG9" s="883"/>
      <c r="FOH9" s="883"/>
      <c r="FOI9" s="883"/>
      <c r="FOJ9" s="883"/>
      <c r="FOK9" s="883"/>
      <c r="FOL9" s="883"/>
      <c r="FOM9" s="883"/>
      <c r="FON9" s="883"/>
      <c r="FOO9" s="883"/>
      <c r="FOP9" s="883"/>
      <c r="FOQ9" s="883"/>
      <c r="FOR9" s="883"/>
      <c r="FOS9" s="883"/>
      <c r="FOT9" s="883"/>
      <c r="FOU9" s="883"/>
      <c r="FOV9" s="883"/>
      <c r="FOW9" s="883"/>
      <c r="FOX9" s="883"/>
      <c r="FOY9" s="883"/>
      <c r="FOZ9" s="883"/>
      <c r="FPA9" s="883"/>
      <c r="FPB9" s="883"/>
      <c r="FPC9" s="883"/>
      <c r="FPD9" s="883"/>
      <c r="FPE9" s="883"/>
      <c r="FPF9" s="883"/>
      <c r="FPG9" s="883"/>
      <c r="FPH9" s="883"/>
      <c r="FPI9" s="883"/>
      <c r="FPJ9" s="883"/>
      <c r="FPK9" s="883"/>
      <c r="FPL9" s="883"/>
      <c r="FPM9" s="883"/>
      <c r="FPN9" s="883"/>
      <c r="FPO9" s="883"/>
      <c r="FPP9" s="883"/>
      <c r="FPQ9" s="883"/>
      <c r="FPR9" s="883"/>
      <c r="FPS9" s="883"/>
      <c r="FPT9" s="883"/>
      <c r="FPU9" s="883"/>
      <c r="FPV9" s="883"/>
      <c r="FPW9" s="883"/>
      <c r="FPX9" s="883"/>
      <c r="FPY9" s="883"/>
      <c r="FPZ9" s="883"/>
      <c r="FQA9" s="883"/>
      <c r="FQB9" s="883"/>
      <c r="FQC9" s="883"/>
      <c r="FQD9" s="883"/>
      <c r="FQE9" s="883"/>
      <c r="FQF9" s="883"/>
      <c r="FQG9" s="883"/>
      <c r="FQH9" s="883"/>
      <c r="FQI9" s="883"/>
      <c r="FQJ9" s="883"/>
      <c r="FQK9" s="883"/>
      <c r="FQL9" s="883"/>
      <c r="FQM9" s="883"/>
      <c r="FQN9" s="883"/>
      <c r="FQO9" s="883"/>
      <c r="FQP9" s="883"/>
      <c r="FQQ9" s="883"/>
      <c r="FQR9" s="883"/>
      <c r="FQS9" s="883"/>
      <c r="FQT9" s="883"/>
      <c r="FQU9" s="883"/>
      <c r="FQV9" s="883"/>
      <c r="FQW9" s="883"/>
      <c r="FQX9" s="883"/>
      <c r="FQY9" s="883"/>
      <c r="FQZ9" s="883"/>
      <c r="FRA9" s="883"/>
      <c r="FRB9" s="883"/>
      <c r="FRC9" s="883"/>
      <c r="FRD9" s="883"/>
      <c r="FRE9" s="883"/>
      <c r="FRF9" s="883"/>
      <c r="FRG9" s="883"/>
      <c r="FRH9" s="883"/>
      <c r="FRI9" s="883"/>
      <c r="FRJ9" s="883"/>
      <c r="FRK9" s="883"/>
      <c r="FRL9" s="883"/>
      <c r="FRM9" s="883"/>
      <c r="FRN9" s="883"/>
      <c r="FRO9" s="883"/>
      <c r="FRP9" s="883"/>
      <c r="FRQ9" s="883"/>
      <c r="FRR9" s="883"/>
      <c r="FRS9" s="883"/>
      <c r="FRT9" s="883"/>
      <c r="FRU9" s="883"/>
      <c r="FRV9" s="883"/>
      <c r="FRW9" s="883"/>
      <c r="FRX9" s="883"/>
      <c r="FRY9" s="883"/>
      <c r="FRZ9" s="883"/>
      <c r="FSA9" s="883"/>
      <c r="FSB9" s="883"/>
      <c r="FSC9" s="883"/>
      <c r="FSD9" s="883"/>
      <c r="FSE9" s="883"/>
      <c r="FSF9" s="883"/>
      <c r="FSG9" s="883"/>
      <c r="FSH9" s="883"/>
      <c r="FSI9" s="883"/>
      <c r="FSJ9" s="883"/>
      <c r="FSK9" s="883"/>
      <c r="FSL9" s="883"/>
      <c r="FSM9" s="883"/>
      <c r="FSN9" s="883"/>
      <c r="FSO9" s="883"/>
      <c r="FSP9" s="883"/>
      <c r="FSQ9" s="883"/>
      <c r="FSR9" s="883"/>
      <c r="FSS9" s="883"/>
      <c r="FST9" s="883"/>
      <c r="FSU9" s="883"/>
      <c r="FSV9" s="883"/>
      <c r="FSW9" s="883"/>
      <c r="FSX9" s="883"/>
      <c r="FSY9" s="883"/>
      <c r="FSZ9" s="883"/>
      <c r="FTA9" s="883"/>
      <c r="FTB9" s="883"/>
      <c r="FTC9" s="883"/>
      <c r="FTD9" s="883"/>
      <c r="FTE9" s="883"/>
      <c r="FTF9" s="883"/>
      <c r="FTG9" s="883"/>
      <c r="FTH9" s="883"/>
      <c r="FTI9" s="883"/>
      <c r="FTJ9" s="883"/>
      <c r="FTK9" s="883"/>
      <c r="FTL9" s="883"/>
      <c r="FTM9" s="883"/>
      <c r="FTN9" s="883"/>
      <c r="FTO9" s="883"/>
      <c r="FTP9" s="883"/>
      <c r="FTQ9" s="883"/>
      <c r="FTR9" s="883"/>
      <c r="FTS9" s="883"/>
      <c r="FTT9" s="883"/>
      <c r="FTU9" s="883"/>
      <c r="FTV9" s="883"/>
      <c r="FTW9" s="883"/>
      <c r="FTX9" s="883"/>
      <c r="FTY9" s="883"/>
      <c r="FTZ9" s="883"/>
      <c r="FUA9" s="883"/>
      <c r="FUB9" s="883"/>
      <c r="FUC9" s="883"/>
      <c r="FUD9" s="883"/>
      <c r="FUE9" s="883"/>
      <c r="FUF9" s="883"/>
      <c r="FUG9" s="883"/>
      <c r="FUH9" s="883"/>
      <c r="FUI9" s="883"/>
      <c r="FUJ9" s="883"/>
      <c r="FUK9" s="883"/>
      <c r="FUL9" s="883"/>
      <c r="FUM9" s="883"/>
      <c r="FUN9" s="883"/>
      <c r="FUO9" s="883"/>
      <c r="FUP9" s="883"/>
      <c r="FUQ9" s="883"/>
      <c r="FUR9" s="883"/>
      <c r="FUS9" s="883"/>
      <c r="FUT9" s="883"/>
      <c r="FUU9" s="883"/>
      <c r="FUV9" s="883"/>
      <c r="FUW9" s="883"/>
      <c r="FUX9" s="883"/>
      <c r="FUY9" s="883"/>
      <c r="FUZ9" s="883"/>
      <c r="FVA9" s="883"/>
      <c r="FVB9" s="883"/>
      <c r="FVC9" s="883"/>
      <c r="FVD9" s="883"/>
      <c r="FVE9" s="883"/>
      <c r="FVF9" s="883"/>
      <c r="FVG9" s="883"/>
      <c r="FVH9" s="883"/>
      <c r="FVI9" s="883"/>
      <c r="FVJ9" s="883"/>
      <c r="FVK9" s="883"/>
      <c r="FVL9" s="883"/>
      <c r="FVM9" s="883"/>
      <c r="FVN9" s="883"/>
      <c r="FVO9" s="883"/>
      <c r="FVP9" s="883"/>
      <c r="FVQ9" s="883"/>
      <c r="FVR9" s="883"/>
      <c r="FVS9" s="883"/>
      <c r="FVT9" s="883"/>
      <c r="FVU9" s="883"/>
      <c r="FVV9" s="883"/>
      <c r="FVW9" s="883"/>
      <c r="FVX9" s="883"/>
      <c r="FVY9" s="883"/>
      <c r="FVZ9" s="883"/>
      <c r="FWA9" s="883"/>
      <c r="FWB9" s="883"/>
      <c r="FWC9" s="883"/>
      <c r="FWD9" s="883"/>
      <c r="FWE9" s="883"/>
      <c r="FWF9" s="883"/>
      <c r="FWG9" s="883"/>
      <c r="FWH9" s="883"/>
      <c r="FWI9" s="883"/>
      <c r="FWJ9" s="883"/>
      <c r="FWK9" s="883"/>
      <c r="FWL9" s="883"/>
      <c r="FWM9" s="883"/>
      <c r="FWN9" s="883"/>
      <c r="FWO9" s="883"/>
      <c r="FWP9" s="883"/>
      <c r="FWQ9" s="883"/>
      <c r="FWR9" s="883"/>
      <c r="FWS9" s="883"/>
      <c r="FWT9" s="883"/>
      <c r="FWU9" s="883"/>
      <c r="FWV9" s="883"/>
      <c r="FWW9" s="883"/>
      <c r="FWX9" s="883"/>
      <c r="FWY9" s="883"/>
      <c r="FWZ9" s="883"/>
      <c r="FXA9" s="883"/>
      <c r="FXB9" s="883"/>
      <c r="FXC9" s="883"/>
      <c r="FXD9" s="883"/>
      <c r="FXE9" s="883"/>
      <c r="FXF9" s="883"/>
      <c r="FXG9" s="883"/>
      <c r="FXH9" s="883"/>
      <c r="FXI9" s="883"/>
      <c r="FXJ9" s="883"/>
      <c r="FXK9" s="883"/>
      <c r="FXL9" s="883"/>
      <c r="FXM9" s="883"/>
      <c r="FXN9" s="883"/>
      <c r="FXO9" s="883"/>
      <c r="FXP9" s="883"/>
      <c r="FXQ9" s="883"/>
      <c r="FXR9" s="883"/>
      <c r="FXS9" s="883"/>
      <c r="FXT9" s="883"/>
      <c r="FXU9" s="883"/>
      <c r="FXV9" s="883"/>
      <c r="FXW9" s="883"/>
      <c r="FXX9" s="883"/>
      <c r="FXY9" s="883"/>
      <c r="FXZ9" s="883"/>
      <c r="FYA9" s="883"/>
      <c r="FYB9" s="883"/>
      <c r="FYC9" s="883"/>
      <c r="FYD9" s="883"/>
      <c r="FYE9" s="883"/>
      <c r="FYF9" s="883"/>
      <c r="FYG9" s="883"/>
      <c r="FYH9" s="883"/>
      <c r="FYI9" s="883"/>
      <c r="FYJ9" s="883"/>
      <c r="FYK9" s="883"/>
      <c r="FYL9" s="883"/>
      <c r="FYM9" s="883"/>
      <c r="FYN9" s="883"/>
      <c r="FYO9" s="883"/>
      <c r="FYP9" s="883"/>
      <c r="FYQ9" s="883"/>
      <c r="FYR9" s="883"/>
      <c r="FYS9" s="883"/>
      <c r="FYT9" s="883"/>
      <c r="FYU9" s="883"/>
      <c r="FYV9" s="883"/>
      <c r="FYW9" s="883"/>
      <c r="FYX9" s="883"/>
      <c r="FYY9" s="883"/>
      <c r="FYZ9" s="883"/>
      <c r="FZA9" s="883"/>
      <c r="FZB9" s="883"/>
      <c r="FZC9" s="883"/>
      <c r="FZD9" s="883"/>
      <c r="FZE9" s="883"/>
      <c r="FZF9" s="883"/>
      <c r="FZG9" s="883"/>
      <c r="FZH9" s="883"/>
      <c r="FZI9" s="883"/>
      <c r="FZJ9" s="883"/>
      <c r="FZK9" s="883"/>
      <c r="FZL9" s="883"/>
      <c r="FZM9" s="883"/>
      <c r="FZN9" s="883"/>
      <c r="FZO9" s="883"/>
      <c r="FZP9" s="883"/>
      <c r="FZQ9" s="883"/>
      <c r="FZR9" s="883"/>
      <c r="FZS9" s="883"/>
      <c r="FZT9" s="883"/>
      <c r="FZU9" s="883"/>
      <c r="FZV9" s="883"/>
      <c r="FZW9" s="883"/>
      <c r="FZX9" s="883"/>
      <c r="FZY9" s="883"/>
      <c r="FZZ9" s="883"/>
      <c r="GAA9" s="883"/>
      <c r="GAB9" s="883"/>
      <c r="GAC9" s="883"/>
      <c r="GAD9" s="883"/>
      <c r="GAE9" s="883"/>
      <c r="GAF9" s="883"/>
      <c r="GAG9" s="883"/>
      <c r="GAH9" s="883"/>
      <c r="GAI9" s="883"/>
      <c r="GAJ9" s="883"/>
      <c r="GAK9" s="883"/>
      <c r="GAL9" s="883"/>
      <c r="GAM9" s="883"/>
      <c r="GAN9" s="883"/>
      <c r="GAO9" s="883"/>
      <c r="GAP9" s="883"/>
      <c r="GAQ9" s="883"/>
      <c r="GAR9" s="883"/>
      <c r="GAS9" s="883"/>
      <c r="GAT9" s="883"/>
      <c r="GAU9" s="883"/>
      <c r="GAV9" s="883"/>
      <c r="GAW9" s="883"/>
      <c r="GAX9" s="883"/>
      <c r="GAY9" s="883"/>
      <c r="GAZ9" s="883"/>
      <c r="GBA9" s="883"/>
      <c r="GBB9" s="883"/>
      <c r="GBC9" s="883"/>
      <c r="GBD9" s="883"/>
      <c r="GBE9" s="883"/>
      <c r="GBF9" s="883"/>
      <c r="GBG9" s="883"/>
      <c r="GBH9" s="883"/>
      <c r="GBI9" s="883"/>
      <c r="GBJ9" s="883"/>
      <c r="GBK9" s="883"/>
      <c r="GBL9" s="883"/>
      <c r="GBM9" s="883"/>
      <c r="GBN9" s="883"/>
      <c r="GBO9" s="883"/>
      <c r="GBP9" s="883"/>
      <c r="GBQ9" s="883"/>
      <c r="GBR9" s="883"/>
      <c r="GBS9" s="883"/>
      <c r="GBT9" s="883"/>
      <c r="GBU9" s="883"/>
      <c r="GBV9" s="883"/>
      <c r="GBW9" s="883"/>
      <c r="GBX9" s="883"/>
      <c r="GBY9" s="883"/>
      <c r="GBZ9" s="883"/>
      <c r="GCA9" s="883"/>
      <c r="GCB9" s="883"/>
      <c r="GCC9" s="883"/>
      <c r="GCD9" s="883"/>
      <c r="GCE9" s="883"/>
      <c r="GCF9" s="883"/>
      <c r="GCG9" s="883"/>
      <c r="GCH9" s="883"/>
      <c r="GCI9" s="883"/>
      <c r="GCJ9" s="883"/>
      <c r="GCK9" s="883"/>
      <c r="GCL9" s="883"/>
      <c r="GCM9" s="883"/>
      <c r="GCN9" s="883"/>
      <c r="GCO9" s="883"/>
      <c r="GCP9" s="883"/>
      <c r="GCQ9" s="883"/>
      <c r="GCR9" s="883"/>
      <c r="GCS9" s="883"/>
      <c r="GCT9" s="883"/>
      <c r="GCU9" s="883"/>
      <c r="GCV9" s="883"/>
      <c r="GCW9" s="883"/>
      <c r="GCX9" s="883"/>
      <c r="GCY9" s="883"/>
      <c r="GCZ9" s="883"/>
      <c r="GDA9" s="883"/>
      <c r="GDB9" s="883"/>
      <c r="GDC9" s="883"/>
      <c r="GDD9" s="883"/>
      <c r="GDE9" s="883"/>
      <c r="GDF9" s="883"/>
      <c r="GDG9" s="883"/>
      <c r="GDH9" s="883"/>
      <c r="GDI9" s="883"/>
      <c r="GDJ9" s="883"/>
      <c r="GDK9" s="883"/>
      <c r="GDL9" s="883"/>
      <c r="GDM9" s="883"/>
      <c r="GDN9" s="883"/>
      <c r="GDO9" s="883"/>
      <c r="GDP9" s="883"/>
      <c r="GDQ9" s="883"/>
      <c r="GDR9" s="883"/>
      <c r="GDS9" s="883"/>
      <c r="GDT9" s="883"/>
      <c r="GDU9" s="883"/>
      <c r="GDV9" s="883"/>
      <c r="GDW9" s="883"/>
      <c r="GDX9" s="883"/>
      <c r="GDY9" s="883"/>
      <c r="GDZ9" s="883"/>
      <c r="GEA9" s="883"/>
      <c r="GEB9" s="883"/>
      <c r="GEC9" s="883"/>
      <c r="GED9" s="883"/>
      <c r="GEE9" s="883"/>
      <c r="GEF9" s="883"/>
      <c r="GEG9" s="883"/>
      <c r="GEH9" s="883"/>
      <c r="GEI9" s="883"/>
      <c r="GEJ9" s="883"/>
      <c r="GEK9" s="883"/>
      <c r="GEL9" s="883"/>
      <c r="GEM9" s="883"/>
      <c r="GEN9" s="883"/>
      <c r="GEO9" s="883"/>
      <c r="GEP9" s="883"/>
      <c r="GEQ9" s="883"/>
      <c r="GER9" s="883"/>
      <c r="GES9" s="883"/>
      <c r="GET9" s="883"/>
      <c r="GEU9" s="883"/>
      <c r="GEV9" s="883"/>
      <c r="GEW9" s="883"/>
      <c r="GEX9" s="883"/>
      <c r="GEY9" s="883"/>
      <c r="GEZ9" s="883"/>
      <c r="GFA9" s="883"/>
      <c r="GFB9" s="883"/>
      <c r="GFC9" s="883"/>
      <c r="GFD9" s="883"/>
      <c r="GFE9" s="883"/>
      <c r="GFF9" s="883"/>
      <c r="GFG9" s="883"/>
      <c r="GFH9" s="883"/>
      <c r="GFI9" s="883"/>
      <c r="GFJ9" s="883"/>
      <c r="GFK9" s="883"/>
      <c r="GFL9" s="883"/>
      <c r="GFM9" s="883"/>
      <c r="GFN9" s="883"/>
      <c r="GFO9" s="883"/>
      <c r="GFP9" s="883"/>
      <c r="GFQ9" s="883"/>
      <c r="GFR9" s="883"/>
      <c r="GFS9" s="883"/>
      <c r="GFT9" s="883"/>
      <c r="GFU9" s="883"/>
      <c r="GFV9" s="883"/>
      <c r="GFW9" s="883"/>
      <c r="GFX9" s="883"/>
      <c r="GFY9" s="883"/>
      <c r="GFZ9" s="883"/>
      <c r="GGA9" s="883"/>
      <c r="GGB9" s="883"/>
      <c r="GGC9" s="883"/>
      <c r="GGD9" s="883"/>
      <c r="GGE9" s="883"/>
      <c r="GGF9" s="883"/>
      <c r="GGG9" s="883"/>
      <c r="GGH9" s="883"/>
      <c r="GGI9" s="883"/>
      <c r="GGJ9" s="883"/>
      <c r="GGK9" s="883"/>
      <c r="GGL9" s="883"/>
      <c r="GGM9" s="883"/>
      <c r="GGN9" s="883"/>
      <c r="GGO9" s="883"/>
      <c r="GGP9" s="883"/>
      <c r="GGQ9" s="883"/>
      <c r="GGR9" s="883"/>
      <c r="GGS9" s="883"/>
      <c r="GGT9" s="883"/>
      <c r="GGU9" s="883"/>
      <c r="GGV9" s="883"/>
      <c r="GGW9" s="883"/>
      <c r="GGX9" s="883"/>
      <c r="GGY9" s="883"/>
      <c r="GGZ9" s="883"/>
      <c r="GHA9" s="883"/>
      <c r="GHB9" s="883"/>
      <c r="GHC9" s="883"/>
      <c r="GHD9" s="883"/>
      <c r="GHE9" s="883"/>
      <c r="GHF9" s="883"/>
      <c r="GHG9" s="883"/>
      <c r="GHH9" s="883"/>
      <c r="GHI9" s="883"/>
      <c r="GHJ9" s="883"/>
      <c r="GHK9" s="883"/>
      <c r="GHL9" s="883"/>
      <c r="GHM9" s="883"/>
      <c r="GHN9" s="883"/>
      <c r="GHO9" s="883"/>
      <c r="GHP9" s="883"/>
      <c r="GHQ9" s="883"/>
      <c r="GHR9" s="883"/>
      <c r="GHS9" s="883"/>
      <c r="GHT9" s="883"/>
      <c r="GHU9" s="883"/>
      <c r="GHV9" s="883"/>
      <c r="GHW9" s="883"/>
      <c r="GHX9" s="883"/>
      <c r="GHY9" s="883"/>
      <c r="GHZ9" s="883"/>
      <c r="GIA9" s="883"/>
      <c r="GIB9" s="883"/>
      <c r="GIC9" s="883"/>
      <c r="GID9" s="883"/>
      <c r="GIE9" s="883"/>
      <c r="GIF9" s="883"/>
      <c r="GIG9" s="883"/>
      <c r="GIH9" s="883"/>
      <c r="GII9" s="883"/>
      <c r="GIJ9" s="883"/>
      <c r="GIK9" s="883"/>
      <c r="GIL9" s="883"/>
      <c r="GIM9" s="883"/>
      <c r="GIN9" s="883"/>
      <c r="GIO9" s="883"/>
      <c r="GIP9" s="883"/>
      <c r="GIQ9" s="883"/>
      <c r="GIR9" s="883"/>
      <c r="GIS9" s="883"/>
      <c r="GIT9" s="883"/>
      <c r="GIU9" s="883"/>
      <c r="GIV9" s="883"/>
      <c r="GIW9" s="883"/>
      <c r="GIX9" s="883"/>
      <c r="GIY9" s="883"/>
      <c r="GIZ9" s="883"/>
      <c r="GJA9" s="883"/>
      <c r="GJB9" s="883"/>
      <c r="GJC9" s="883"/>
      <c r="GJD9" s="883"/>
      <c r="GJE9" s="883"/>
      <c r="GJF9" s="883"/>
      <c r="GJG9" s="883"/>
      <c r="GJH9" s="883"/>
      <c r="GJI9" s="883"/>
      <c r="GJJ9" s="883"/>
      <c r="GJK9" s="883"/>
      <c r="GJL9" s="883"/>
      <c r="GJM9" s="883"/>
      <c r="GJN9" s="883"/>
      <c r="GJO9" s="883"/>
      <c r="GJP9" s="883"/>
      <c r="GJQ9" s="883"/>
      <c r="GJR9" s="883"/>
      <c r="GJS9" s="883"/>
      <c r="GJT9" s="883"/>
      <c r="GJU9" s="883"/>
      <c r="GJV9" s="883"/>
      <c r="GJW9" s="883"/>
      <c r="GJX9" s="883"/>
      <c r="GJY9" s="883"/>
      <c r="GJZ9" s="883"/>
      <c r="GKA9" s="883"/>
      <c r="GKB9" s="883"/>
      <c r="GKC9" s="883"/>
      <c r="GKD9" s="883"/>
      <c r="GKE9" s="883"/>
      <c r="GKF9" s="883"/>
      <c r="GKG9" s="883"/>
      <c r="GKH9" s="883"/>
      <c r="GKI9" s="883"/>
      <c r="GKJ9" s="883"/>
      <c r="GKK9" s="883"/>
      <c r="GKL9" s="883"/>
      <c r="GKM9" s="883"/>
      <c r="GKN9" s="883"/>
      <c r="GKO9" s="883"/>
      <c r="GKP9" s="883"/>
      <c r="GKQ9" s="883"/>
      <c r="GKR9" s="883"/>
      <c r="GKS9" s="883"/>
      <c r="GKT9" s="883"/>
      <c r="GKU9" s="883"/>
      <c r="GKV9" s="883"/>
      <c r="GKW9" s="883"/>
      <c r="GKX9" s="883"/>
      <c r="GKY9" s="883"/>
      <c r="GKZ9" s="883"/>
      <c r="GLA9" s="883"/>
      <c r="GLB9" s="883"/>
      <c r="GLC9" s="883"/>
      <c r="GLD9" s="883"/>
      <c r="GLE9" s="883"/>
      <c r="GLF9" s="883"/>
      <c r="GLG9" s="883"/>
      <c r="GLH9" s="883"/>
      <c r="GLI9" s="883"/>
      <c r="GLJ9" s="883"/>
      <c r="GLK9" s="883"/>
      <c r="GLL9" s="883"/>
      <c r="GLM9" s="883"/>
      <c r="GLN9" s="883"/>
      <c r="GLO9" s="883"/>
      <c r="GLP9" s="883"/>
      <c r="GLQ9" s="883"/>
      <c r="GLR9" s="883"/>
      <c r="GLS9" s="883"/>
      <c r="GLT9" s="883"/>
      <c r="GLU9" s="883"/>
      <c r="GLV9" s="883"/>
      <c r="GLW9" s="883"/>
      <c r="GLX9" s="883"/>
      <c r="GLY9" s="883"/>
      <c r="GLZ9" s="883"/>
      <c r="GMA9" s="883"/>
      <c r="GMB9" s="883"/>
      <c r="GMC9" s="883"/>
      <c r="GMD9" s="883"/>
      <c r="GME9" s="883"/>
      <c r="GMF9" s="883"/>
      <c r="GMG9" s="883"/>
      <c r="GMH9" s="883"/>
      <c r="GMI9" s="883"/>
      <c r="GMJ9" s="883"/>
      <c r="GMK9" s="883"/>
      <c r="GML9" s="883"/>
      <c r="GMM9" s="883"/>
      <c r="GMN9" s="883"/>
      <c r="GMO9" s="883"/>
      <c r="GMP9" s="883"/>
      <c r="GMQ9" s="883"/>
      <c r="GMR9" s="883"/>
      <c r="GMS9" s="883"/>
      <c r="GMT9" s="883"/>
      <c r="GMU9" s="883"/>
      <c r="GMV9" s="883"/>
      <c r="GMW9" s="883"/>
      <c r="GMX9" s="883"/>
      <c r="GMY9" s="883"/>
      <c r="GMZ9" s="883"/>
      <c r="GNA9" s="883"/>
      <c r="GNB9" s="883"/>
      <c r="GNC9" s="883"/>
      <c r="GND9" s="883"/>
      <c r="GNE9" s="883"/>
      <c r="GNF9" s="883"/>
      <c r="GNG9" s="883"/>
      <c r="GNH9" s="883"/>
      <c r="GNI9" s="883"/>
      <c r="GNJ9" s="883"/>
      <c r="GNK9" s="883"/>
      <c r="GNL9" s="883"/>
      <c r="GNM9" s="883"/>
      <c r="GNN9" s="883"/>
      <c r="GNO9" s="883"/>
      <c r="GNP9" s="883"/>
      <c r="GNQ9" s="883"/>
      <c r="GNR9" s="883"/>
      <c r="GNS9" s="883"/>
      <c r="GNT9" s="883"/>
      <c r="GNU9" s="883"/>
      <c r="GNV9" s="883"/>
      <c r="GNW9" s="883"/>
      <c r="GNX9" s="883"/>
      <c r="GNY9" s="883"/>
      <c r="GNZ9" s="883"/>
      <c r="GOA9" s="883"/>
      <c r="GOB9" s="883"/>
      <c r="GOC9" s="883"/>
      <c r="GOD9" s="883"/>
      <c r="GOE9" s="883"/>
      <c r="GOF9" s="883"/>
      <c r="GOG9" s="883"/>
      <c r="GOH9" s="883"/>
      <c r="GOI9" s="883"/>
      <c r="GOJ9" s="883"/>
      <c r="GOK9" s="883"/>
      <c r="GOL9" s="883"/>
      <c r="GOM9" s="883"/>
      <c r="GON9" s="883"/>
      <c r="GOO9" s="883"/>
      <c r="GOP9" s="883"/>
      <c r="GOQ9" s="883"/>
      <c r="GOR9" s="883"/>
      <c r="GOS9" s="883"/>
      <c r="GOT9" s="883"/>
      <c r="GOU9" s="883"/>
      <c r="GOV9" s="883"/>
      <c r="GOW9" s="883"/>
      <c r="GOX9" s="883"/>
      <c r="GOY9" s="883"/>
      <c r="GOZ9" s="883"/>
      <c r="GPA9" s="883"/>
      <c r="GPB9" s="883"/>
      <c r="GPC9" s="883"/>
      <c r="GPD9" s="883"/>
      <c r="GPE9" s="883"/>
      <c r="GPF9" s="883"/>
      <c r="GPG9" s="883"/>
      <c r="GPH9" s="883"/>
      <c r="GPI9" s="883"/>
      <c r="GPJ9" s="883"/>
      <c r="GPK9" s="883"/>
      <c r="GPL9" s="883"/>
      <c r="GPM9" s="883"/>
      <c r="GPN9" s="883"/>
      <c r="GPO9" s="883"/>
      <c r="GPP9" s="883"/>
      <c r="GPQ9" s="883"/>
      <c r="GPR9" s="883"/>
      <c r="GPS9" s="883"/>
      <c r="GPT9" s="883"/>
      <c r="GPU9" s="883"/>
      <c r="GPV9" s="883"/>
      <c r="GPW9" s="883"/>
      <c r="GPX9" s="883"/>
      <c r="GPY9" s="883"/>
      <c r="GPZ9" s="883"/>
      <c r="GQA9" s="883"/>
      <c r="GQB9" s="883"/>
      <c r="GQC9" s="883"/>
      <c r="GQD9" s="883"/>
      <c r="GQE9" s="883"/>
      <c r="GQF9" s="883"/>
      <c r="GQG9" s="883"/>
      <c r="GQH9" s="883"/>
      <c r="GQI9" s="883"/>
      <c r="GQJ9" s="883"/>
      <c r="GQK9" s="883"/>
      <c r="GQL9" s="883"/>
      <c r="GQM9" s="883"/>
      <c r="GQN9" s="883"/>
      <c r="GQO9" s="883"/>
      <c r="GQP9" s="883"/>
      <c r="GQQ9" s="883"/>
      <c r="GQR9" s="883"/>
      <c r="GQS9" s="883"/>
      <c r="GQT9" s="883"/>
      <c r="GQU9" s="883"/>
      <c r="GQV9" s="883"/>
      <c r="GQW9" s="883"/>
      <c r="GQX9" s="883"/>
      <c r="GQY9" s="883"/>
      <c r="GQZ9" s="883"/>
      <c r="GRA9" s="883"/>
      <c r="GRB9" s="883"/>
      <c r="GRC9" s="883"/>
      <c r="GRD9" s="883"/>
      <c r="GRE9" s="883"/>
      <c r="GRF9" s="883"/>
      <c r="GRG9" s="883"/>
      <c r="GRH9" s="883"/>
      <c r="GRI9" s="883"/>
      <c r="GRJ9" s="883"/>
      <c r="GRK9" s="883"/>
      <c r="GRL9" s="883"/>
      <c r="GRM9" s="883"/>
      <c r="GRN9" s="883"/>
      <c r="GRO9" s="883"/>
      <c r="GRP9" s="883"/>
      <c r="GRQ9" s="883"/>
      <c r="GRR9" s="883"/>
      <c r="GRS9" s="883"/>
      <c r="GRT9" s="883"/>
      <c r="GRU9" s="883"/>
      <c r="GRV9" s="883"/>
      <c r="GRW9" s="883"/>
      <c r="GRX9" s="883"/>
      <c r="GRY9" s="883"/>
      <c r="GRZ9" s="883"/>
      <c r="GSA9" s="883"/>
      <c r="GSB9" s="883"/>
      <c r="GSC9" s="883"/>
      <c r="GSD9" s="883"/>
      <c r="GSE9" s="883"/>
      <c r="GSF9" s="883"/>
      <c r="GSG9" s="883"/>
      <c r="GSH9" s="883"/>
      <c r="GSI9" s="883"/>
      <c r="GSJ9" s="883"/>
      <c r="GSK9" s="883"/>
      <c r="GSL9" s="883"/>
      <c r="GSM9" s="883"/>
      <c r="GSN9" s="883"/>
      <c r="GSO9" s="883"/>
      <c r="GSP9" s="883"/>
      <c r="GSQ9" s="883"/>
      <c r="GSR9" s="883"/>
      <c r="GSS9" s="883"/>
      <c r="GST9" s="883"/>
      <c r="GSU9" s="883"/>
      <c r="GSV9" s="883"/>
      <c r="GSW9" s="883"/>
      <c r="GSX9" s="883"/>
      <c r="GSY9" s="883"/>
      <c r="GSZ9" s="883"/>
      <c r="GTA9" s="883"/>
      <c r="GTB9" s="883"/>
      <c r="GTC9" s="883"/>
      <c r="GTD9" s="883"/>
      <c r="GTE9" s="883"/>
      <c r="GTF9" s="883"/>
      <c r="GTG9" s="883"/>
      <c r="GTH9" s="883"/>
      <c r="GTI9" s="883"/>
      <c r="GTJ9" s="883"/>
      <c r="GTK9" s="883"/>
      <c r="GTL9" s="883"/>
      <c r="GTM9" s="883"/>
      <c r="GTN9" s="883"/>
      <c r="GTO9" s="883"/>
      <c r="GTP9" s="883"/>
      <c r="GTQ9" s="883"/>
      <c r="GTR9" s="883"/>
      <c r="GTS9" s="883"/>
      <c r="GTT9" s="883"/>
      <c r="GTU9" s="883"/>
      <c r="GTV9" s="883"/>
      <c r="GTW9" s="883"/>
      <c r="GTX9" s="883"/>
      <c r="GTY9" s="883"/>
      <c r="GTZ9" s="883"/>
      <c r="GUA9" s="883"/>
      <c r="GUB9" s="883"/>
      <c r="GUC9" s="883"/>
      <c r="GUD9" s="883"/>
      <c r="GUE9" s="883"/>
      <c r="GUF9" s="883"/>
      <c r="GUG9" s="883"/>
      <c r="GUH9" s="883"/>
      <c r="GUI9" s="883"/>
      <c r="GUJ9" s="883"/>
      <c r="GUK9" s="883"/>
      <c r="GUL9" s="883"/>
      <c r="GUM9" s="883"/>
      <c r="GUN9" s="883"/>
      <c r="GUO9" s="883"/>
      <c r="GUP9" s="883"/>
      <c r="GUQ9" s="883"/>
      <c r="GUR9" s="883"/>
      <c r="GUS9" s="883"/>
      <c r="GUT9" s="883"/>
      <c r="GUU9" s="883"/>
      <c r="GUV9" s="883"/>
      <c r="GUW9" s="883"/>
      <c r="GUX9" s="883"/>
      <c r="GUY9" s="883"/>
      <c r="GUZ9" s="883"/>
      <c r="GVA9" s="883"/>
      <c r="GVB9" s="883"/>
      <c r="GVC9" s="883"/>
      <c r="GVD9" s="883"/>
      <c r="GVE9" s="883"/>
      <c r="GVF9" s="883"/>
      <c r="GVG9" s="883"/>
      <c r="GVH9" s="883"/>
      <c r="GVI9" s="883"/>
      <c r="GVJ9" s="883"/>
      <c r="GVK9" s="883"/>
      <c r="GVL9" s="883"/>
      <c r="GVM9" s="883"/>
      <c r="GVN9" s="883"/>
      <c r="GVO9" s="883"/>
      <c r="GVP9" s="883"/>
      <c r="GVQ9" s="883"/>
      <c r="GVR9" s="883"/>
      <c r="GVS9" s="883"/>
      <c r="GVT9" s="883"/>
      <c r="GVU9" s="883"/>
      <c r="GVV9" s="883"/>
      <c r="GVW9" s="883"/>
      <c r="GVX9" s="883"/>
      <c r="GVY9" s="883"/>
      <c r="GVZ9" s="883"/>
      <c r="GWA9" s="883"/>
      <c r="GWB9" s="883"/>
      <c r="GWC9" s="883"/>
      <c r="GWD9" s="883"/>
      <c r="GWE9" s="883"/>
      <c r="GWF9" s="883"/>
      <c r="GWG9" s="883"/>
      <c r="GWH9" s="883"/>
      <c r="GWI9" s="883"/>
      <c r="GWJ9" s="883"/>
      <c r="GWK9" s="883"/>
      <c r="GWL9" s="883"/>
      <c r="GWM9" s="883"/>
      <c r="GWN9" s="883"/>
      <c r="GWO9" s="883"/>
      <c r="GWP9" s="883"/>
      <c r="GWQ9" s="883"/>
      <c r="GWR9" s="883"/>
      <c r="GWS9" s="883"/>
      <c r="GWT9" s="883"/>
      <c r="GWU9" s="883"/>
      <c r="GWV9" s="883"/>
      <c r="GWW9" s="883"/>
      <c r="GWX9" s="883"/>
      <c r="GWY9" s="883"/>
      <c r="GWZ9" s="883"/>
      <c r="GXA9" s="883"/>
      <c r="GXB9" s="883"/>
      <c r="GXC9" s="883"/>
      <c r="GXD9" s="883"/>
      <c r="GXE9" s="883"/>
      <c r="GXF9" s="883"/>
      <c r="GXG9" s="883"/>
      <c r="GXH9" s="883"/>
      <c r="GXI9" s="883"/>
      <c r="GXJ9" s="883"/>
      <c r="GXK9" s="883"/>
      <c r="GXL9" s="883"/>
      <c r="GXM9" s="883"/>
      <c r="GXN9" s="883"/>
      <c r="GXO9" s="883"/>
      <c r="GXP9" s="883"/>
      <c r="GXQ9" s="883"/>
      <c r="GXR9" s="883"/>
      <c r="GXS9" s="883"/>
      <c r="GXT9" s="883"/>
      <c r="GXU9" s="883"/>
      <c r="GXV9" s="883"/>
      <c r="GXW9" s="883"/>
      <c r="GXX9" s="883"/>
      <c r="GXY9" s="883"/>
      <c r="GXZ9" s="883"/>
      <c r="GYA9" s="883"/>
      <c r="GYB9" s="883"/>
      <c r="GYC9" s="883"/>
      <c r="GYD9" s="883"/>
      <c r="GYE9" s="883"/>
      <c r="GYF9" s="883"/>
      <c r="GYG9" s="883"/>
      <c r="GYH9" s="883"/>
      <c r="GYI9" s="883"/>
      <c r="GYJ9" s="883"/>
      <c r="GYK9" s="883"/>
      <c r="GYL9" s="883"/>
      <c r="GYM9" s="883"/>
      <c r="GYN9" s="883"/>
      <c r="GYO9" s="883"/>
      <c r="GYP9" s="883"/>
      <c r="GYQ9" s="883"/>
      <c r="GYR9" s="883"/>
      <c r="GYS9" s="883"/>
      <c r="GYT9" s="883"/>
      <c r="GYU9" s="883"/>
      <c r="GYV9" s="883"/>
      <c r="GYW9" s="883"/>
      <c r="GYX9" s="883"/>
      <c r="GYY9" s="883"/>
      <c r="GYZ9" s="883"/>
      <c r="GZA9" s="883"/>
      <c r="GZB9" s="883"/>
      <c r="GZC9" s="883"/>
      <c r="GZD9" s="883"/>
      <c r="GZE9" s="883"/>
      <c r="GZF9" s="883"/>
      <c r="GZG9" s="883"/>
      <c r="GZH9" s="883"/>
      <c r="GZI9" s="883"/>
      <c r="GZJ9" s="883"/>
      <c r="GZK9" s="883"/>
      <c r="GZL9" s="883"/>
      <c r="GZM9" s="883"/>
      <c r="GZN9" s="883"/>
      <c r="GZO9" s="883"/>
      <c r="GZP9" s="883"/>
      <c r="GZQ9" s="883"/>
      <c r="GZR9" s="883"/>
      <c r="GZS9" s="883"/>
      <c r="GZT9" s="883"/>
      <c r="GZU9" s="883"/>
      <c r="GZV9" s="883"/>
      <c r="GZW9" s="883"/>
      <c r="GZX9" s="883"/>
      <c r="GZY9" s="883"/>
      <c r="GZZ9" s="883"/>
      <c r="HAA9" s="883"/>
      <c r="HAB9" s="883"/>
      <c r="HAC9" s="883"/>
      <c r="HAD9" s="883"/>
      <c r="HAE9" s="883"/>
      <c r="HAF9" s="883"/>
      <c r="HAG9" s="883"/>
      <c r="HAH9" s="883"/>
      <c r="HAI9" s="883"/>
      <c r="HAJ9" s="883"/>
      <c r="HAK9" s="883"/>
      <c r="HAL9" s="883"/>
      <c r="HAM9" s="883"/>
      <c r="HAN9" s="883"/>
      <c r="HAO9" s="883"/>
      <c r="HAP9" s="883"/>
      <c r="HAQ9" s="883"/>
      <c r="HAR9" s="883"/>
      <c r="HAS9" s="883"/>
      <c r="HAT9" s="883"/>
      <c r="HAU9" s="883"/>
      <c r="HAV9" s="883"/>
      <c r="HAW9" s="883"/>
      <c r="HAX9" s="883"/>
      <c r="HAY9" s="883"/>
      <c r="HAZ9" s="883"/>
      <c r="HBA9" s="883"/>
      <c r="HBB9" s="883"/>
      <c r="HBC9" s="883"/>
      <c r="HBD9" s="883"/>
      <c r="HBE9" s="883"/>
      <c r="HBF9" s="883"/>
      <c r="HBG9" s="883"/>
      <c r="HBH9" s="883"/>
      <c r="HBI9" s="883"/>
      <c r="HBJ9" s="883"/>
      <c r="HBK9" s="883"/>
      <c r="HBL9" s="883"/>
      <c r="HBM9" s="883"/>
      <c r="HBN9" s="883"/>
      <c r="HBO9" s="883"/>
      <c r="HBP9" s="883"/>
      <c r="HBQ9" s="883"/>
      <c r="HBR9" s="883"/>
      <c r="HBS9" s="883"/>
      <c r="HBT9" s="883"/>
      <c r="HBU9" s="883"/>
      <c r="HBV9" s="883"/>
      <c r="HBW9" s="883"/>
      <c r="HBX9" s="883"/>
      <c r="HBY9" s="883"/>
      <c r="HBZ9" s="883"/>
      <c r="HCA9" s="883"/>
      <c r="HCB9" s="883"/>
      <c r="HCC9" s="883"/>
      <c r="HCD9" s="883"/>
      <c r="HCE9" s="883"/>
      <c r="HCF9" s="883"/>
      <c r="HCG9" s="883"/>
      <c r="HCH9" s="883"/>
      <c r="HCI9" s="883"/>
      <c r="HCJ9" s="883"/>
      <c r="HCK9" s="883"/>
      <c r="HCL9" s="883"/>
      <c r="HCM9" s="883"/>
      <c r="HCN9" s="883"/>
      <c r="HCO9" s="883"/>
      <c r="HCP9" s="883"/>
      <c r="HCQ9" s="883"/>
      <c r="HCR9" s="883"/>
      <c r="HCS9" s="883"/>
      <c r="HCT9" s="883"/>
      <c r="HCU9" s="883"/>
      <c r="HCV9" s="883"/>
      <c r="HCW9" s="883"/>
      <c r="HCX9" s="883"/>
      <c r="HCY9" s="883"/>
      <c r="HCZ9" s="883"/>
      <c r="HDA9" s="883"/>
      <c r="HDB9" s="883"/>
      <c r="HDC9" s="883"/>
      <c r="HDD9" s="883"/>
      <c r="HDE9" s="883"/>
      <c r="HDF9" s="883"/>
      <c r="HDG9" s="883"/>
      <c r="HDH9" s="883"/>
      <c r="HDI9" s="883"/>
      <c r="HDJ9" s="883"/>
      <c r="HDK9" s="883"/>
      <c r="HDL9" s="883"/>
      <c r="HDM9" s="883"/>
      <c r="HDN9" s="883"/>
      <c r="HDO9" s="883"/>
      <c r="HDP9" s="883"/>
      <c r="HDQ9" s="883"/>
      <c r="HDR9" s="883"/>
      <c r="HDS9" s="883"/>
      <c r="HDT9" s="883"/>
      <c r="HDU9" s="883"/>
      <c r="HDV9" s="883"/>
      <c r="HDW9" s="883"/>
      <c r="HDX9" s="883"/>
      <c r="HDY9" s="883"/>
      <c r="HDZ9" s="883"/>
      <c r="HEA9" s="883"/>
      <c r="HEB9" s="883"/>
      <c r="HEC9" s="883"/>
      <c r="HED9" s="883"/>
      <c r="HEE9" s="883"/>
      <c r="HEF9" s="883"/>
      <c r="HEG9" s="883"/>
      <c r="HEH9" s="883"/>
      <c r="HEI9" s="883"/>
      <c r="HEJ9" s="883"/>
      <c r="HEK9" s="883"/>
      <c r="HEL9" s="883"/>
      <c r="HEM9" s="883"/>
      <c r="HEN9" s="883"/>
      <c r="HEO9" s="883"/>
      <c r="HEP9" s="883"/>
      <c r="HEQ9" s="883"/>
      <c r="HER9" s="883"/>
      <c r="HES9" s="883"/>
      <c r="HET9" s="883"/>
      <c r="HEU9" s="883"/>
      <c r="HEV9" s="883"/>
      <c r="HEW9" s="883"/>
      <c r="HEX9" s="883"/>
      <c r="HEY9" s="883"/>
      <c r="HEZ9" s="883"/>
      <c r="HFA9" s="883"/>
      <c r="HFB9" s="883"/>
      <c r="HFC9" s="883"/>
      <c r="HFD9" s="883"/>
      <c r="HFE9" s="883"/>
      <c r="HFF9" s="883"/>
      <c r="HFG9" s="883"/>
      <c r="HFH9" s="883"/>
      <c r="HFI9" s="883"/>
      <c r="HFJ9" s="883"/>
      <c r="HFK9" s="883"/>
      <c r="HFL9" s="883"/>
      <c r="HFM9" s="883"/>
      <c r="HFN9" s="883"/>
      <c r="HFO9" s="883"/>
      <c r="HFP9" s="883"/>
      <c r="HFQ9" s="883"/>
      <c r="HFR9" s="883"/>
      <c r="HFS9" s="883"/>
      <c r="HFT9" s="883"/>
      <c r="HFU9" s="883"/>
      <c r="HFV9" s="883"/>
      <c r="HFW9" s="883"/>
      <c r="HFX9" s="883"/>
      <c r="HFY9" s="883"/>
      <c r="HFZ9" s="883"/>
      <c r="HGA9" s="883"/>
      <c r="HGB9" s="883"/>
      <c r="HGC9" s="883"/>
      <c r="HGD9" s="883"/>
      <c r="HGE9" s="883"/>
      <c r="HGF9" s="883"/>
      <c r="HGG9" s="883"/>
      <c r="HGH9" s="883"/>
      <c r="HGI9" s="883"/>
      <c r="HGJ9" s="883"/>
      <c r="HGK9" s="883"/>
      <c r="HGL9" s="883"/>
      <c r="HGM9" s="883"/>
      <c r="HGN9" s="883"/>
      <c r="HGO9" s="883"/>
      <c r="HGP9" s="883"/>
      <c r="HGQ9" s="883"/>
      <c r="HGR9" s="883"/>
      <c r="HGS9" s="883"/>
      <c r="HGT9" s="883"/>
      <c r="HGU9" s="883"/>
      <c r="HGV9" s="883"/>
      <c r="HGW9" s="883"/>
      <c r="HGX9" s="883"/>
      <c r="HGY9" s="883"/>
      <c r="HGZ9" s="883"/>
      <c r="HHA9" s="883"/>
      <c r="HHB9" s="883"/>
      <c r="HHC9" s="883"/>
      <c r="HHD9" s="883"/>
      <c r="HHE9" s="883"/>
      <c r="HHF9" s="883"/>
      <c r="HHG9" s="883"/>
      <c r="HHH9" s="883"/>
      <c r="HHI9" s="883"/>
      <c r="HHJ9" s="883"/>
      <c r="HHK9" s="883"/>
      <c r="HHL9" s="883"/>
      <c r="HHM9" s="883"/>
      <c r="HHN9" s="883"/>
      <c r="HHO9" s="883"/>
      <c r="HHP9" s="883"/>
      <c r="HHQ9" s="883"/>
      <c r="HHR9" s="883"/>
      <c r="HHS9" s="883"/>
      <c r="HHT9" s="883"/>
      <c r="HHU9" s="883"/>
      <c r="HHV9" s="883"/>
      <c r="HHW9" s="883"/>
      <c r="HHX9" s="883"/>
      <c r="HHY9" s="883"/>
      <c r="HHZ9" s="883"/>
      <c r="HIA9" s="883"/>
      <c r="HIB9" s="883"/>
      <c r="HIC9" s="883"/>
      <c r="HID9" s="883"/>
      <c r="HIE9" s="883"/>
      <c r="HIF9" s="883"/>
      <c r="HIG9" s="883"/>
      <c r="HIH9" s="883"/>
      <c r="HII9" s="883"/>
      <c r="HIJ9" s="883"/>
      <c r="HIK9" s="883"/>
      <c r="HIL9" s="883"/>
      <c r="HIM9" s="883"/>
      <c r="HIN9" s="883"/>
      <c r="HIO9" s="883"/>
      <c r="HIP9" s="883"/>
      <c r="HIQ9" s="883"/>
      <c r="HIR9" s="883"/>
      <c r="HIS9" s="883"/>
      <c r="HIT9" s="883"/>
      <c r="HIU9" s="883"/>
      <c r="HIV9" s="883"/>
      <c r="HIW9" s="883"/>
      <c r="HIX9" s="883"/>
      <c r="HIY9" s="883"/>
      <c r="HIZ9" s="883"/>
      <c r="HJA9" s="883"/>
      <c r="HJB9" s="883"/>
      <c r="HJC9" s="883"/>
      <c r="HJD9" s="883"/>
      <c r="HJE9" s="883"/>
      <c r="HJF9" s="883"/>
      <c r="HJG9" s="883"/>
      <c r="HJH9" s="883"/>
      <c r="HJI9" s="883"/>
      <c r="HJJ9" s="883"/>
      <c r="HJK9" s="883"/>
      <c r="HJL9" s="883"/>
      <c r="HJM9" s="883"/>
      <c r="HJN9" s="883"/>
      <c r="HJO9" s="883"/>
      <c r="HJP9" s="883"/>
      <c r="HJQ9" s="883"/>
      <c r="HJR9" s="883"/>
      <c r="HJS9" s="883"/>
      <c r="HJT9" s="883"/>
      <c r="HJU9" s="883"/>
      <c r="HJV9" s="883"/>
      <c r="HJW9" s="883"/>
      <c r="HJX9" s="883"/>
      <c r="HJY9" s="883"/>
      <c r="HJZ9" s="883"/>
      <c r="HKA9" s="883"/>
      <c r="HKB9" s="883"/>
      <c r="HKC9" s="883"/>
      <c r="HKD9" s="883"/>
      <c r="HKE9" s="883"/>
      <c r="HKF9" s="883"/>
      <c r="HKG9" s="883"/>
      <c r="HKH9" s="883"/>
      <c r="HKI9" s="883"/>
      <c r="HKJ9" s="883"/>
      <c r="HKK9" s="883"/>
      <c r="HKL9" s="883"/>
      <c r="HKM9" s="883"/>
      <c r="HKN9" s="883"/>
      <c r="HKO9" s="883"/>
      <c r="HKP9" s="883"/>
      <c r="HKQ9" s="883"/>
      <c r="HKR9" s="883"/>
      <c r="HKS9" s="883"/>
      <c r="HKT9" s="883"/>
      <c r="HKU9" s="883"/>
      <c r="HKV9" s="883"/>
      <c r="HKW9" s="883"/>
      <c r="HKX9" s="883"/>
      <c r="HKY9" s="883"/>
      <c r="HKZ9" s="883"/>
      <c r="HLA9" s="883"/>
      <c r="HLB9" s="883"/>
      <c r="HLC9" s="883"/>
      <c r="HLD9" s="883"/>
      <c r="HLE9" s="883"/>
      <c r="HLF9" s="883"/>
      <c r="HLG9" s="883"/>
      <c r="HLH9" s="883"/>
      <c r="HLI9" s="883"/>
      <c r="HLJ9" s="883"/>
      <c r="HLK9" s="883"/>
      <c r="HLL9" s="883"/>
      <c r="HLM9" s="883"/>
      <c r="HLN9" s="883"/>
      <c r="HLO9" s="883"/>
      <c r="HLP9" s="883"/>
      <c r="HLQ9" s="883"/>
      <c r="HLR9" s="883"/>
      <c r="HLS9" s="883"/>
      <c r="HLT9" s="883"/>
      <c r="HLU9" s="883"/>
      <c r="HLV9" s="883"/>
      <c r="HLW9" s="883"/>
      <c r="HLX9" s="883"/>
      <c r="HLY9" s="883"/>
      <c r="HLZ9" s="883"/>
      <c r="HMA9" s="883"/>
      <c r="HMB9" s="883"/>
      <c r="HMC9" s="883"/>
      <c r="HMD9" s="883"/>
      <c r="HME9" s="883"/>
      <c r="HMF9" s="883"/>
      <c r="HMG9" s="883"/>
      <c r="HMH9" s="883"/>
      <c r="HMI9" s="883"/>
      <c r="HMJ9" s="883"/>
      <c r="HMK9" s="883"/>
      <c r="HML9" s="883"/>
      <c r="HMM9" s="883"/>
      <c r="HMN9" s="883"/>
      <c r="HMO9" s="883"/>
      <c r="HMP9" s="883"/>
      <c r="HMQ9" s="883"/>
      <c r="HMR9" s="883"/>
      <c r="HMS9" s="883"/>
      <c r="HMT9" s="883"/>
      <c r="HMU9" s="883"/>
      <c r="HMV9" s="883"/>
      <c r="HMW9" s="883"/>
      <c r="HMX9" s="883"/>
      <c r="HMY9" s="883"/>
      <c r="HMZ9" s="883"/>
      <c r="HNA9" s="883"/>
      <c r="HNB9" s="883"/>
      <c r="HNC9" s="883"/>
      <c r="HND9" s="883"/>
      <c r="HNE9" s="883"/>
      <c r="HNF9" s="883"/>
      <c r="HNG9" s="883"/>
      <c r="HNH9" s="883"/>
      <c r="HNI9" s="883"/>
      <c r="HNJ9" s="883"/>
      <c r="HNK9" s="883"/>
      <c r="HNL9" s="883"/>
      <c r="HNM9" s="883"/>
      <c r="HNN9" s="883"/>
      <c r="HNO9" s="883"/>
      <c r="HNP9" s="883"/>
      <c r="HNQ9" s="883"/>
      <c r="HNR9" s="883"/>
      <c r="HNS9" s="883"/>
      <c r="HNT9" s="883"/>
      <c r="HNU9" s="883"/>
      <c r="HNV9" s="883"/>
      <c r="HNW9" s="883"/>
      <c r="HNX9" s="883"/>
      <c r="HNY9" s="883"/>
      <c r="HNZ9" s="883"/>
      <c r="HOA9" s="883"/>
      <c r="HOB9" s="883"/>
      <c r="HOC9" s="883"/>
      <c r="HOD9" s="883"/>
      <c r="HOE9" s="883"/>
      <c r="HOF9" s="883"/>
      <c r="HOG9" s="883"/>
      <c r="HOH9" s="883"/>
      <c r="HOI9" s="883"/>
      <c r="HOJ9" s="883"/>
      <c r="HOK9" s="883"/>
      <c r="HOL9" s="883"/>
      <c r="HOM9" s="883"/>
      <c r="HON9" s="883"/>
      <c r="HOO9" s="883"/>
      <c r="HOP9" s="883"/>
      <c r="HOQ9" s="883"/>
      <c r="HOR9" s="883"/>
      <c r="HOS9" s="883"/>
      <c r="HOT9" s="883"/>
      <c r="HOU9" s="883"/>
      <c r="HOV9" s="883"/>
      <c r="HOW9" s="883"/>
      <c r="HOX9" s="883"/>
      <c r="HOY9" s="883"/>
      <c r="HOZ9" s="883"/>
      <c r="HPA9" s="883"/>
      <c r="HPB9" s="883"/>
      <c r="HPC9" s="883"/>
      <c r="HPD9" s="883"/>
      <c r="HPE9" s="883"/>
      <c r="HPF9" s="883"/>
      <c r="HPG9" s="883"/>
      <c r="HPH9" s="883"/>
      <c r="HPI9" s="883"/>
      <c r="HPJ9" s="883"/>
      <c r="HPK9" s="883"/>
      <c r="HPL9" s="883"/>
      <c r="HPM9" s="883"/>
      <c r="HPN9" s="883"/>
      <c r="HPO9" s="883"/>
      <c r="HPP9" s="883"/>
      <c r="HPQ9" s="883"/>
      <c r="HPR9" s="883"/>
      <c r="HPS9" s="883"/>
      <c r="HPT9" s="883"/>
      <c r="HPU9" s="883"/>
      <c r="HPV9" s="883"/>
      <c r="HPW9" s="883"/>
      <c r="HPX9" s="883"/>
      <c r="HPY9" s="883"/>
      <c r="HPZ9" s="883"/>
      <c r="HQA9" s="883"/>
      <c r="HQB9" s="883"/>
      <c r="HQC9" s="883"/>
      <c r="HQD9" s="883"/>
      <c r="HQE9" s="883"/>
      <c r="HQF9" s="883"/>
      <c r="HQG9" s="883"/>
      <c r="HQH9" s="883"/>
      <c r="HQI9" s="883"/>
      <c r="HQJ9" s="883"/>
      <c r="HQK9" s="883"/>
      <c r="HQL9" s="883"/>
      <c r="HQM9" s="883"/>
      <c r="HQN9" s="883"/>
      <c r="HQO9" s="883"/>
      <c r="HQP9" s="883"/>
      <c r="HQQ9" s="883"/>
      <c r="HQR9" s="883"/>
      <c r="HQS9" s="883"/>
      <c r="HQT9" s="883"/>
      <c r="HQU9" s="883"/>
      <c r="HQV9" s="883"/>
      <c r="HQW9" s="883"/>
      <c r="HQX9" s="883"/>
      <c r="HQY9" s="883"/>
      <c r="HQZ9" s="883"/>
      <c r="HRA9" s="883"/>
      <c r="HRB9" s="883"/>
      <c r="HRC9" s="883"/>
      <c r="HRD9" s="883"/>
      <c r="HRE9" s="883"/>
      <c r="HRF9" s="883"/>
      <c r="HRG9" s="883"/>
      <c r="HRH9" s="883"/>
      <c r="HRI9" s="883"/>
      <c r="HRJ9" s="883"/>
      <c r="HRK9" s="883"/>
      <c r="HRL9" s="883"/>
      <c r="HRM9" s="883"/>
      <c r="HRN9" s="883"/>
      <c r="HRO9" s="883"/>
      <c r="HRP9" s="883"/>
      <c r="HRQ9" s="883"/>
      <c r="HRR9" s="883"/>
      <c r="HRS9" s="883"/>
      <c r="HRT9" s="883"/>
      <c r="HRU9" s="883"/>
      <c r="HRV9" s="883"/>
      <c r="HRW9" s="883"/>
      <c r="HRX9" s="883"/>
      <c r="HRY9" s="883"/>
      <c r="HRZ9" s="883"/>
      <c r="HSA9" s="883"/>
      <c r="HSB9" s="883"/>
      <c r="HSC9" s="883"/>
      <c r="HSD9" s="883"/>
      <c r="HSE9" s="883"/>
      <c r="HSF9" s="883"/>
      <c r="HSG9" s="883"/>
      <c r="HSH9" s="883"/>
      <c r="HSI9" s="883"/>
      <c r="HSJ9" s="883"/>
      <c r="HSK9" s="883"/>
      <c r="HSL9" s="883"/>
      <c r="HSM9" s="883"/>
      <c r="HSN9" s="883"/>
      <c r="HSO9" s="883"/>
      <c r="HSP9" s="883"/>
      <c r="HSQ9" s="883"/>
      <c r="HSR9" s="883"/>
      <c r="HSS9" s="883"/>
      <c r="HST9" s="883"/>
      <c r="HSU9" s="883"/>
      <c r="HSV9" s="883"/>
      <c r="HSW9" s="883"/>
      <c r="HSX9" s="883"/>
      <c r="HSY9" s="883"/>
      <c r="HSZ9" s="883"/>
      <c r="HTA9" s="883"/>
      <c r="HTB9" s="883"/>
      <c r="HTC9" s="883"/>
      <c r="HTD9" s="883"/>
      <c r="HTE9" s="883"/>
      <c r="HTF9" s="883"/>
      <c r="HTG9" s="883"/>
      <c r="HTH9" s="883"/>
      <c r="HTI9" s="883"/>
      <c r="HTJ9" s="883"/>
      <c r="HTK9" s="883"/>
      <c r="HTL9" s="883"/>
      <c r="HTM9" s="883"/>
      <c r="HTN9" s="883"/>
      <c r="HTO9" s="883"/>
      <c r="HTP9" s="883"/>
      <c r="HTQ9" s="883"/>
      <c r="HTR9" s="883"/>
      <c r="HTS9" s="883"/>
      <c r="HTT9" s="883"/>
      <c r="HTU9" s="883"/>
      <c r="HTV9" s="883"/>
      <c r="HTW9" s="883"/>
      <c r="HTX9" s="883"/>
      <c r="HTY9" s="883"/>
      <c r="HTZ9" s="883"/>
      <c r="HUA9" s="883"/>
      <c r="HUB9" s="883"/>
      <c r="HUC9" s="883"/>
      <c r="HUD9" s="883"/>
      <c r="HUE9" s="883"/>
      <c r="HUF9" s="883"/>
      <c r="HUG9" s="883"/>
      <c r="HUH9" s="883"/>
      <c r="HUI9" s="883"/>
      <c r="HUJ9" s="883"/>
      <c r="HUK9" s="883"/>
      <c r="HUL9" s="883"/>
      <c r="HUM9" s="883"/>
      <c r="HUN9" s="883"/>
      <c r="HUO9" s="883"/>
      <c r="HUP9" s="883"/>
      <c r="HUQ9" s="883"/>
      <c r="HUR9" s="883"/>
      <c r="HUS9" s="883"/>
      <c r="HUT9" s="883"/>
      <c r="HUU9" s="883"/>
      <c r="HUV9" s="883"/>
      <c r="HUW9" s="883"/>
      <c r="HUX9" s="883"/>
      <c r="HUY9" s="883"/>
      <c r="HUZ9" s="883"/>
      <c r="HVA9" s="883"/>
      <c r="HVB9" s="883"/>
      <c r="HVC9" s="883"/>
      <c r="HVD9" s="883"/>
      <c r="HVE9" s="883"/>
      <c r="HVF9" s="883"/>
      <c r="HVG9" s="883"/>
      <c r="HVH9" s="883"/>
      <c r="HVI9" s="883"/>
      <c r="HVJ9" s="883"/>
      <c r="HVK9" s="883"/>
      <c r="HVL9" s="883"/>
      <c r="HVM9" s="883"/>
      <c r="HVN9" s="883"/>
      <c r="HVO9" s="883"/>
      <c r="HVP9" s="883"/>
      <c r="HVQ9" s="883"/>
      <c r="HVR9" s="883"/>
      <c r="HVS9" s="883"/>
      <c r="HVT9" s="883"/>
      <c r="HVU9" s="883"/>
      <c r="HVV9" s="883"/>
      <c r="HVW9" s="883"/>
      <c r="HVX9" s="883"/>
      <c r="HVY9" s="883"/>
      <c r="HVZ9" s="883"/>
      <c r="HWA9" s="883"/>
      <c r="HWB9" s="883"/>
      <c r="HWC9" s="883"/>
      <c r="HWD9" s="883"/>
      <c r="HWE9" s="883"/>
      <c r="HWF9" s="883"/>
      <c r="HWG9" s="883"/>
      <c r="HWH9" s="883"/>
      <c r="HWI9" s="883"/>
      <c r="HWJ9" s="883"/>
      <c r="HWK9" s="883"/>
      <c r="HWL9" s="883"/>
      <c r="HWM9" s="883"/>
      <c r="HWN9" s="883"/>
      <c r="HWO9" s="883"/>
      <c r="HWP9" s="883"/>
      <c r="HWQ9" s="883"/>
      <c r="HWR9" s="883"/>
      <c r="HWS9" s="883"/>
      <c r="HWT9" s="883"/>
      <c r="HWU9" s="883"/>
      <c r="HWV9" s="883"/>
      <c r="HWW9" s="883"/>
      <c r="HWX9" s="883"/>
      <c r="HWY9" s="883"/>
      <c r="HWZ9" s="883"/>
      <c r="HXA9" s="883"/>
      <c r="HXB9" s="883"/>
      <c r="HXC9" s="883"/>
      <c r="HXD9" s="883"/>
      <c r="HXE9" s="883"/>
      <c r="HXF9" s="883"/>
      <c r="HXG9" s="883"/>
      <c r="HXH9" s="883"/>
      <c r="HXI9" s="883"/>
      <c r="HXJ9" s="883"/>
      <c r="HXK9" s="883"/>
      <c r="HXL9" s="883"/>
      <c r="HXM9" s="883"/>
      <c r="HXN9" s="883"/>
      <c r="HXO9" s="883"/>
      <c r="HXP9" s="883"/>
      <c r="HXQ9" s="883"/>
      <c r="HXR9" s="883"/>
      <c r="HXS9" s="883"/>
      <c r="HXT9" s="883"/>
      <c r="HXU9" s="883"/>
      <c r="HXV9" s="883"/>
      <c r="HXW9" s="883"/>
      <c r="HXX9" s="883"/>
      <c r="HXY9" s="883"/>
      <c r="HXZ9" s="883"/>
      <c r="HYA9" s="883"/>
      <c r="HYB9" s="883"/>
      <c r="HYC9" s="883"/>
      <c r="HYD9" s="883"/>
      <c r="HYE9" s="883"/>
      <c r="HYF9" s="883"/>
      <c r="HYG9" s="883"/>
      <c r="HYH9" s="883"/>
      <c r="HYI9" s="883"/>
      <c r="HYJ9" s="883"/>
      <c r="HYK9" s="883"/>
      <c r="HYL9" s="883"/>
      <c r="HYM9" s="883"/>
      <c r="HYN9" s="883"/>
      <c r="HYO9" s="883"/>
      <c r="HYP9" s="883"/>
      <c r="HYQ9" s="883"/>
      <c r="HYR9" s="883"/>
      <c r="HYS9" s="883"/>
      <c r="HYT9" s="883"/>
      <c r="HYU9" s="883"/>
      <c r="HYV9" s="883"/>
      <c r="HYW9" s="883"/>
      <c r="HYX9" s="883"/>
      <c r="HYY9" s="883"/>
      <c r="HYZ9" s="883"/>
      <c r="HZA9" s="883"/>
      <c r="HZB9" s="883"/>
      <c r="HZC9" s="883"/>
      <c r="HZD9" s="883"/>
      <c r="HZE9" s="883"/>
      <c r="HZF9" s="883"/>
      <c r="HZG9" s="883"/>
      <c r="HZH9" s="883"/>
      <c r="HZI9" s="883"/>
      <c r="HZJ9" s="883"/>
      <c r="HZK9" s="883"/>
      <c r="HZL9" s="883"/>
      <c r="HZM9" s="883"/>
      <c r="HZN9" s="883"/>
      <c r="HZO9" s="883"/>
      <c r="HZP9" s="883"/>
      <c r="HZQ9" s="883"/>
      <c r="HZR9" s="883"/>
      <c r="HZS9" s="883"/>
      <c r="HZT9" s="883"/>
      <c r="HZU9" s="883"/>
      <c r="HZV9" s="883"/>
      <c r="HZW9" s="883"/>
      <c r="HZX9" s="883"/>
      <c r="HZY9" s="883"/>
      <c r="HZZ9" s="883"/>
      <c r="IAA9" s="883"/>
      <c r="IAB9" s="883"/>
      <c r="IAC9" s="883"/>
      <c r="IAD9" s="883"/>
      <c r="IAE9" s="883"/>
      <c r="IAF9" s="883"/>
      <c r="IAG9" s="883"/>
      <c r="IAH9" s="883"/>
      <c r="IAI9" s="883"/>
      <c r="IAJ9" s="883"/>
      <c r="IAK9" s="883"/>
      <c r="IAL9" s="883"/>
      <c r="IAM9" s="883"/>
      <c r="IAN9" s="883"/>
      <c r="IAO9" s="883"/>
      <c r="IAP9" s="883"/>
      <c r="IAQ9" s="883"/>
      <c r="IAR9" s="883"/>
      <c r="IAS9" s="883"/>
      <c r="IAT9" s="883"/>
      <c r="IAU9" s="883"/>
      <c r="IAV9" s="883"/>
      <c r="IAW9" s="883"/>
      <c r="IAX9" s="883"/>
      <c r="IAY9" s="883"/>
      <c r="IAZ9" s="883"/>
      <c r="IBA9" s="883"/>
      <c r="IBB9" s="883"/>
      <c r="IBC9" s="883"/>
      <c r="IBD9" s="883"/>
      <c r="IBE9" s="883"/>
      <c r="IBF9" s="883"/>
      <c r="IBG9" s="883"/>
      <c r="IBH9" s="883"/>
      <c r="IBI9" s="883"/>
      <c r="IBJ9" s="883"/>
      <c r="IBK9" s="883"/>
      <c r="IBL9" s="883"/>
      <c r="IBM9" s="883"/>
      <c r="IBN9" s="883"/>
      <c r="IBO9" s="883"/>
      <c r="IBP9" s="883"/>
      <c r="IBQ9" s="883"/>
      <c r="IBR9" s="883"/>
      <c r="IBS9" s="883"/>
      <c r="IBT9" s="883"/>
      <c r="IBU9" s="883"/>
      <c r="IBV9" s="883"/>
      <c r="IBW9" s="883"/>
      <c r="IBX9" s="883"/>
      <c r="IBY9" s="883"/>
      <c r="IBZ9" s="883"/>
      <c r="ICA9" s="883"/>
      <c r="ICB9" s="883"/>
      <c r="ICC9" s="883"/>
      <c r="ICD9" s="883"/>
      <c r="ICE9" s="883"/>
      <c r="ICF9" s="883"/>
      <c r="ICG9" s="883"/>
      <c r="ICH9" s="883"/>
      <c r="ICI9" s="883"/>
      <c r="ICJ9" s="883"/>
      <c r="ICK9" s="883"/>
      <c r="ICL9" s="883"/>
      <c r="ICM9" s="883"/>
      <c r="ICN9" s="883"/>
      <c r="ICO9" s="883"/>
      <c r="ICP9" s="883"/>
      <c r="ICQ9" s="883"/>
      <c r="ICR9" s="883"/>
      <c r="ICS9" s="883"/>
      <c r="ICT9" s="883"/>
      <c r="ICU9" s="883"/>
      <c r="ICV9" s="883"/>
      <c r="ICW9" s="883"/>
      <c r="ICX9" s="883"/>
      <c r="ICY9" s="883"/>
      <c r="ICZ9" s="883"/>
      <c r="IDA9" s="883"/>
      <c r="IDB9" s="883"/>
      <c r="IDC9" s="883"/>
      <c r="IDD9" s="883"/>
      <c r="IDE9" s="883"/>
      <c r="IDF9" s="883"/>
      <c r="IDG9" s="883"/>
      <c r="IDH9" s="883"/>
      <c r="IDI9" s="883"/>
      <c r="IDJ9" s="883"/>
      <c r="IDK9" s="883"/>
      <c r="IDL9" s="883"/>
      <c r="IDM9" s="883"/>
      <c r="IDN9" s="883"/>
      <c r="IDO9" s="883"/>
      <c r="IDP9" s="883"/>
      <c r="IDQ9" s="883"/>
      <c r="IDR9" s="883"/>
      <c r="IDS9" s="883"/>
      <c r="IDT9" s="883"/>
      <c r="IDU9" s="883"/>
      <c r="IDV9" s="883"/>
      <c r="IDW9" s="883"/>
      <c r="IDX9" s="883"/>
      <c r="IDY9" s="883"/>
      <c r="IDZ9" s="883"/>
      <c r="IEA9" s="883"/>
      <c r="IEB9" s="883"/>
      <c r="IEC9" s="883"/>
      <c r="IED9" s="883"/>
      <c r="IEE9" s="883"/>
      <c r="IEF9" s="883"/>
      <c r="IEG9" s="883"/>
      <c r="IEH9" s="883"/>
      <c r="IEI9" s="883"/>
      <c r="IEJ9" s="883"/>
      <c r="IEK9" s="883"/>
      <c r="IEL9" s="883"/>
      <c r="IEM9" s="883"/>
      <c r="IEN9" s="883"/>
      <c r="IEO9" s="883"/>
      <c r="IEP9" s="883"/>
      <c r="IEQ9" s="883"/>
      <c r="IER9" s="883"/>
      <c r="IES9" s="883"/>
      <c r="IET9" s="883"/>
      <c r="IEU9" s="883"/>
      <c r="IEV9" s="883"/>
      <c r="IEW9" s="883"/>
      <c r="IEX9" s="883"/>
      <c r="IEY9" s="883"/>
      <c r="IEZ9" s="883"/>
      <c r="IFA9" s="883"/>
      <c r="IFB9" s="883"/>
      <c r="IFC9" s="883"/>
      <c r="IFD9" s="883"/>
      <c r="IFE9" s="883"/>
      <c r="IFF9" s="883"/>
      <c r="IFG9" s="883"/>
      <c r="IFH9" s="883"/>
      <c r="IFI9" s="883"/>
      <c r="IFJ9" s="883"/>
      <c r="IFK9" s="883"/>
      <c r="IFL9" s="883"/>
      <c r="IFM9" s="883"/>
      <c r="IFN9" s="883"/>
      <c r="IFO9" s="883"/>
      <c r="IFP9" s="883"/>
      <c r="IFQ9" s="883"/>
      <c r="IFR9" s="883"/>
      <c r="IFS9" s="883"/>
      <c r="IFT9" s="883"/>
      <c r="IFU9" s="883"/>
      <c r="IFV9" s="883"/>
      <c r="IFW9" s="883"/>
      <c r="IFX9" s="883"/>
      <c r="IFY9" s="883"/>
      <c r="IFZ9" s="883"/>
      <c r="IGA9" s="883"/>
      <c r="IGB9" s="883"/>
      <c r="IGC9" s="883"/>
      <c r="IGD9" s="883"/>
      <c r="IGE9" s="883"/>
      <c r="IGF9" s="883"/>
      <c r="IGG9" s="883"/>
      <c r="IGH9" s="883"/>
      <c r="IGI9" s="883"/>
      <c r="IGJ9" s="883"/>
      <c r="IGK9" s="883"/>
      <c r="IGL9" s="883"/>
      <c r="IGM9" s="883"/>
      <c r="IGN9" s="883"/>
      <c r="IGO9" s="883"/>
      <c r="IGP9" s="883"/>
      <c r="IGQ9" s="883"/>
      <c r="IGR9" s="883"/>
      <c r="IGS9" s="883"/>
      <c r="IGT9" s="883"/>
      <c r="IGU9" s="883"/>
      <c r="IGV9" s="883"/>
      <c r="IGW9" s="883"/>
      <c r="IGX9" s="883"/>
      <c r="IGY9" s="883"/>
      <c r="IGZ9" s="883"/>
      <c r="IHA9" s="883"/>
      <c r="IHB9" s="883"/>
      <c r="IHC9" s="883"/>
      <c r="IHD9" s="883"/>
      <c r="IHE9" s="883"/>
      <c r="IHF9" s="883"/>
      <c r="IHG9" s="883"/>
      <c r="IHH9" s="883"/>
      <c r="IHI9" s="883"/>
      <c r="IHJ9" s="883"/>
      <c r="IHK9" s="883"/>
      <c r="IHL9" s="883"/>
      <c r="IHM9" s="883"/>
      <c r="IHN9" s="883"/>
      <c r="IHO9" s="883"/>
      <c r="IHP9" s="883"/>
      <c r="IHQ9" s="883"/>
      <c r="IHR9" s="883"/>
      <c r="IHS9" s="883"/>
      <c r="IHT9" s="883"/>
      <c r="IHU9" s="883"/>
      <c r="IHV9" s="883"/>
      <c r="IHW9" s="883"/>
      <c r="IHX9" s="883"/>
      <c r="IHY9" s="883"/>
      <c r="IHZ9" s="883"/>
      <c r="IIA9" s="883"/>
      <c r="IIB9" s="883"/>
      <c r="IIC9" s="883"/>
      <c r="IID9" s="883"/>
      <c r="IIE9" s="883"/>
      <c r="IIF9" s="883"/>
      <c r="IIG9" s="883"/>
      <c r="IIH9" s="883"/>
      <c r="III9" s="883"/>
      <c r="IIJ9" s="883"/>
      <c r="IIK9" s="883"/>
      <c r="IIL9" s="883"/>
      <c r="IIM9" s="883"/>
      <c r="IIN9" s="883"/>
      <c r="IIO9" s="883"/>
      <c r="IIP9" s="883"/>
      <c r="IIQ9" s="883"/>
      <c r="IIR9" s="883"/>
      <c r="IIS9" s="883"/>
      <c r="IIT9" s="883"/>
      <c r="IIU9" s="883"/>
      <c r="IIV9" s="883"/>
      <c r="IIW9" s="883"/>
      <c r="IIX9" s="883"/>
      <c r="IIY9" s="883"/>
      <c r="IIZ9" s="883"/>
      <c r="IJA9" s="883"/>
      <c r="IJB9" s="883"/>
      <c r="IJC9" s="883"/>
      <c r="IJD9" s="883"/>
      <c r="IJE9" s="883"/>
      <c r="IJF9" s="883"/>
      <c r="IJG9" s="883"/>
      <c r="IJH9" s="883"/>
      <c r="IJI9" s="883"/>
      <c r="IJJ9" s="883"/>
      <c r="IJK9" s="883"/>
      <c r="IJL9" s="883"/>
      <c r="IJM9" s="883"/>
      <c r="IJN9" s="883"/>
      <c r="IJO9" s="883"/>
      <c r="IJP9" s="883"/>
      <c r="IJQ9" s="883"/>
      <c r="IJR9" s="883"/>
      <c r="IJS9" s="883"/>
      <c r="IJT9" s="883"/>
      <c r="IJU9" s="883"/>
      <c r="IJV9" s="883"/>
      <c r="IJW9" s="883"/>
      <c r="IJX9" s="883"/>
      <c r="IJY9" s="883"/>
      <c r="IJZ9" s="883"/>
      <c r="IKA9" s="883"/>
      <c r="IKB9" s="883"/>
      <c r="IKC9" s="883"/>
      <c r="IKD9" s="883"/>
      <c r="IKE9" s="883"/>
      <c r="IKF9" s="883"/>
      <c r="IKG9" s="883"/>
      <c r="IKH9" s="883"/>
      <c r="IKI9" s="883"/>
      <c r="IKJ9" s="883"/>
      <c r="IKK9" s="883"/>
      <c r="IKL9" s="883"/>
      <c r="IKM9" s="883"/>
      <c r="IKN9" s="883"/>
      <c r="IKO9" s="883"/>
      <c r="IKP9" s="883"/>
      <c r="IKQ9" s="883"/>
      <c r="IKR9" s="883"/>
      <c r="IKS9" s="883"/>
      <c r="IKT9" s="883"/>
      <c r="IKU9" s="883"/>
      <c r="IKV9" s="883"/>
      <c r="IKW9" s="883"/>
      <c r="IKX9" s="883"/>
      <c r="IKY9" s="883"/>
      <c r="IKZ9" s="883"/>
      <c r="ILA9" s="883"/>
      <c r="ILB9" s="883"/>
      <c r="ILC9" s="883"/>
      <c r="ILD9" s="883"/>
      <c r="ILE9" s="883"/>
      <c r="ILF9" s="883"/>
      <c r="ILG9" s="883"/>
      <c r="ILH9" s="883"/>
      <c r="ILI9" s="883"/>
      <c r="ILJ9" s="883"/>
      <c r="ILK9" s="883"/>
      <c r="ILL9" s="883"/>
      <c r="ILM9" s="883"/>
      <c r="ILN9" s="883"/>
      <c r="ILO9" s="883"/>
      <c r="ILP9" s="883"/>
      <c r="ILQ9" s="883"/>
      <c r="ILR9" s="883"/>
      <c r="ILS9" s="883"/>
      <c r="ILT9" s="883"/>
      <c r="ILU9" s="883"/>
      <c r="ILV9" s="883"/>
      <c r="ILW9" s="883"/>
      <c r="ILX9" s="883"/>
      <c r="ILY9" s="883"/>
      <c r="ILZ9" s="883"/>
      <c r="IMA9" s="883"/>
      <c r="IMB9" s="883"/>
      <c r="IMC9" s="883"/>
      <c r="IMD9" s="883"/>
      <c r="IME9" s="883"/>
      <c r="IMF9" s="883"/>
      <c r="IMG9" s="883"/>
      <c r="IMH9" s="883"/>
      <c r="IMI9" s="883"/>
      <c r="IMJ9" s="883"/>
      <c r="IMK9" s="883"/>
      <c r="IML9" s="883"/>
      <c r="IMM9" s="883"/>
      <c r="IMN9" s="883"/>
      <c r="IMO9" s="883"/>
      <c r="IMP9" s="883"/>
      <c r="IMQ9" s="883"/>
      <c r="IMR9" s="883"/>
      <c r="IMS9" s="883"/>
      <c r="IMT9" s="883"/>
      <c r="IMU9" s="883"/>
      <c r="IMV9" s="883"/>
      <c r="IMW9" s="883"/>
      <c r="IMX9" s="883"/>
      <c r="IMY9" s="883"/>
      <c r="IMZ9" s="883"/>
      <c r="INA9" s="883"/>
      <c r="INB9" s="883"/>
      <c r="INC9" s="883"/>
      <c r="IND9" s="883"/>
      <c r="INE9" s="883"/>
      <c r="INF9" s="883"/>
      <c r="ING9" s="883"/>
      <c r="INH9" s="883"/>
      <c r="INI9" s="883"/>
      <c r="INJ9" s="883"/>
      <c r="INK9" s="883"/>
      <c r="INL9" s="883"/>
      <c r="INM9" s="883"/>
      <c r="INN9" s="883"/>
      <c r="INO9" s="883"/>
      <c r="INP9" s="883"/>
      <c r="INQ9" s="883"/>
      <c r="INR9" s="883"/>
      <c r="INS9" s="883"/>
      <c r="INT9" s="883"/>
      <c r="INU9" s="883"/>
      <c r="INV9" s="883"/>
      <c r="INW9" s="883"/>
      <c r="INX9" s="883"/>
      <c r="INY9" s="883"/>
      <c r="INZ9" s="883"/>
      <c r="IOA9" s="883"/>
      <c r="IOB9" s="883"/>
      <c r="IOC9" s="883"/>
      <c r="IOD9" s="883"/>
      <c r="IOE9" s="883"/>
      <c r="IOF9" s="883"/>
      <c r="IOG9" s="883"/>
      <c r="IOH9" s="883"/>
      <c r="IOI9" s="883"/>
      <c r="IOJ9" s="883"/>
      <c r="IOK9" s="883"/>
      <c r="IOL9" s="883"/>
      <c r="IOM9" s="883"/>
      <c r="ION9" s="883"/>
      <c r="IOO9" s="883"/>
      <c r="IOP9" s="883"/>
      <c r="IOQ9" s="883"/>
      <c r="IOR9" s="883"/>
      <c r="IOS9" s="883"/>
      <c r="IOT9" s="883"/>
      <c r="IOU9" s="883"/>
      <c r="IOV9" s="883"/>
      <c r="IOW9" s="883"/>
      <c r="IOX9" s="883"/>
      <c r="IOY9" s="883"/>
      <c r="IOZ9" s="883"/>
      <c r="IPA9" s="883"/>
      <c r="IPB9" s="883"/>
      <c r="IPC9" s="883"/>
      <c r="IPD9" s="883"/>
      <c r="IPE9" s="883"/>
      <c r="IPF9" s="883"/>
      <c r="IPG9" s="883"/>
      <c r="IPH9" s="883"/>
      <c r="IPI9" s="883"/>
      <c r="IPJ9" s="883"/>
      <c r="IPK9" s="883"/>
      <c r="IPL9" s="883"/>
      <c r="IPM9" s="883"/>
      <c r="IPN9" s="883"/>
      <c r="IPO9" s="883"/>
      <c r="IPP9" s="883"/>
      <c r="IPQ9" s="883"/>
      <c r="IPR9" s="883"/>
      <c r="IPS9" s="883"/>
      <c r="IPT9" s="883"/>
      <c r="IPU9" s="883"/>
      <c r="IPV9" s="883"/>
      <c r="IPW9" s="883"/>
      <c r="IPX9" s="883"/>
      <c r="IPY9" s="883"/>
      <c r="IPZ9" s="883"/>
      <c r="IQA9" s="883"/>
      <c r="IQB9" s="883"/>
      <c r="IQC9" s="883"/>
      <c r="IQD9" s="883"/>
      <c r="IQE9" s="883"/>
      <c r="IQF9" s="883"/>
      <c r="IQG9" s="883"/>
      <c r="IQH9" s="883"/>
      <c r="IQI9" s="883"/>
      <c r="IQJ9" s="883"/>
      <c r="IQK9" s="883"/>
      <c r="IQL9" s="883"/>
      <c r="IQM9" s="883"/>
      <c r="IQN9" s="883"/>
      <c r="IQO9" s="883"/>
      <c r="IQP9" s="883"/>
      <c r="IQQ9" s="883"/>
      <c r="IQR9" s="883"/>
      <c r="IQS9" s="883"/>
      <c r="IQT9" s="883"/>
      <c r="IQU9" s="883"/>
      <c r="IQV9" s="883"/>
      <c r="IQW9" s="883"/>
      <c r="IQX9" s="883"/>
      <c r="IQY9" s="883"/>
      <c r="IQZ9" s="883"/>
      <c r="IRA9" s="883"/>
      <c r="IRB9" s="883"/>
      <c r="IRC9" s="883"/>
      <c r="IRD9" s="883"/>
      <c r="IRE9" s="883"/>
      <c r="IRF9" s="883"/>
      <c r="IRG9" s="883"/>
      <c r="IRH9" s="883"/>
      <c r="IRI9" s="883"/>
      <c r="IRJ9" s="883"/>
      <c r="IRK9" s="883"/>
      <c r="IRL9" s="883"/>
      <c r="IRM9" s="883"/>
      <c r="IRN9" s="883"/>
      <c r="IRO9" s="883"/>
      <c r="IRP9" s="883"/>
      <c r="IRQ9" s="883"/>
      <c r="IRR9" s="883"/>
      <c r="IRS9" s="883"/>
      <c r="IRT9" s="883"/>
      <c r="IRU9" s="883"/>
      <c r="IRV9" s="883"/>
      <c r="IRW9" s="883"/>
      <c r="IRX9" s="883"/>
      <c r="IRY9" s="883"/>
      <c r="IRZ9" s="883"/>
      <c r="ISA9" s="883"/>
      <c r="ISB9" s="883"/>
      <c r="ISC9" s="883"/>
      <c r="ISD9" s="883"/>
      <c r="ISE9" s="883"/>
      <c r="ISF9" s="883"/>
      <c r="ISG9" s="883"/>
      <c r="ISH9" s="883"/>
      <c r="ISI9" s="883"/>
      <c r="ISJ9" s="883"/>
      <c r="ISK9" s="883"/>
      <c r="ISL9" s="883"/>
      <c r="ISM9" s="883"/>
      <c r="ISN9" s="883"/>
      <c r="ISO9" s="883"/>
      <c r="ISP9" s="883"/>
      <c r="ISQ9" s="883"/>
      <c r="ISR9" s="883"/>
      <c r="ISS9" s="883"/>
      <c r="IST9" s="883"/>
      <c r="ISU9" s="883"/>
      <c r="ISV9" s="883"/>
      <c r="ISW9" s="883"/>
      <c r="ISX9" s="883"/>
      <c r="ISY9" s="883"/>
      <c r="ISZ9" s="883"/>
      <c r="ITA9" s="883"/>
      <c r="ITB9" s="883"/>
      <c r="ITC9" s="883"/>
      <c r="ITD9" s="883"/>
      <c r="ITE9" s="883"/>
      <c r="ITF9" s="883"/>
      <c r="ITG9" s="883"/>
      <c r="ITH9" s="883"/>
      <c r="ITI9" s="883"/>
      <c r="ITJ9" s="883"/>
      <c r="ITK9" s="883"/>
      <c r="ITL9" s="883"/>
      <c r="ITM9" s="883"/>
      <c r="ITN9" s="883"/>
      <c r="ITO9" s="883"/>
      <c r="ITP9" s="883"/>
      <c r="ITQ9" s="883"/>
      <c r="ITR9" s="883"/>
      <c r="ITS9" s="883"/>
      <c r="ITT9" s="883"/>
      <c r="ITU9" s="883"/>
      <c r="ITV9" s="883"/>
      <c r="ITW9" s="883"/>
      <c r="ITX9" s="883"/>
      <c r="ITY9" s="883"/>
      <c r="ITZ9" s="883"/>
      <c r="IUA9" s="883"/>
      <c r="IUB9" s="883"/>
      <c r="IUC9" s="883"/>
      <c r="IUD9" s="883"/>
      <c r="IUE9" s="883"/>
      <c r="IUF9" s="883"/>
      <c r="IUG9" s="883"/>
      <c r="IUH9" s="883"/>
      <c r="IUI9" s="883"/>
      <c r="IUJ9" s="883"/>
      <c r="IUK9" s="883"/>
      <c r="IUL9" s="883"/>
      <c r="IUM9" s="883"/>
      <c r="IUN9" s="883"/>
      <c r="IUO9" s="883"/>
      <c r="IUP9" s="883"/>
      <c r="IUQ9" s="883"/>
      <c r="IUR9" s="883"/>
      <c r="IUS9" s="883"/>
      <c r="IUT9" s="883"/>
      <c r="IUU9" s="883"/>
      <c r="IUV9" s="883"/>
      <c r="IUW9" s="883"/>
      <c r="IUX9" s="883"/>
      <c r="IUY9" s="883"/>
      <c r="IUZ9" s="883"/>
      <c r="IVA9" s="883"/>
      <c r="IVB9" s="883"/>
      <c r="IVC9" s="883"/>
      <c r="IVD9" s="883"/>
      <c r="IVE9" s="883"/>
      <c r="IVF9" s="883"/>
      <c r="IVG9" s="883"/>
      <c r="IVH9" s="883"/>
      <c r="IVI9" s="883"/>
      <c r="IVJ9" s="883"/>
      <c r="IVK9" s="883"/>
      <c r="IVL9" s="883"/>
      <c r="IVM9" s="883"/>
      <c r="IVN9" s="883"/>
      <c r="IVO9" s="883"/>
      <c r="IVP9" s="883"/>
      <c r="IVQ9" s="883"/>
      <c r="IVR9" s="883"/>
      <c r="IVS9" s="883"/>
      <c r="IVT9" s="883"/>
      <c r="IVU9" s="883"/>
      <c r="IVV9" s="883"/>
      <c r="IVW9" s="883"/>
      <c r="IVX9" s="883"/>
      <c r="IVY9" s="883"/>
      <c r="IVZ9" s="883"/>
      <c r="IWA9" s="883"/>
      <c r="IWB9" s="883"/>
      <c r="IWC9" s="883"/>
      <c r="IWD9" s="883"/>
      <c r="IWE9" s="883"/>
      <c r="IWF9" s="883"/>
      <c r="IWG9" s="883"/>
      <c r="IWH9" s="883"/>
      <c r="IWI9" s="883"/>
      <c r="IWJ9" s="883"/>
      <c r="IWK9" s="883"/>
      <c r="IWL9" s="883"/>
      <c r="IWM9" s="883"/>
      <c r="IWN9" s="883"/>
      <c r="IWO9" s="883"/>
      <c r="IWP9" s="883"/>
      <c r="IWQ9" s="883"/>
      <c r="IWR9" s="883"/>
      <c r="IWS9" s="883"/>
      <c r="IWT9" s="883"/>
      <c r="IWU9" s="883"/>
      <c r="IWV9" s="883"/>
      <c r="IWW9" s="883"/>
      <c r="IWX9" s="883"/>
      <c r="IWY9" s="883"/>
      <c r="IWZ9" s="883"/>
      <c r="IXA9" s="883"/>
      <c r="IXB9" s="883"/>
      <c r="IXC9" s="883"/>
      <c r="IXD9" s="883"/>
      <c r="IXE9" s="883"/>
      <c r="IXF9" s="883"/>
      <c r="IXG9" s="883"/>
      <c r="IXH9" s="883"/>
      <c r="IXI9" s="883"/>
      <c r="IXJ9" s="883"/>
      <c r="IXK9" s="883"/>
      <c r="IXL9" s="883"/>
      <c r="IXM9" s="883"/>
      <c r="IXN9" s="883"/>
      <c r="IXO9" s="883"/>
      <c r="IXP9" s="883"/>
      <c r="IXQ9" s="883"/>
      <c r="IXR9" s="883"/>
      <c r="IXS9" s="883"/>
      <c r="IXT9" s="883"/>
      <c r="IXU9" s="883"/>
      <c r="IXV9" s="883"/>
      <c r="IXW9" s="883"/>
      <c r="IXX9" s="883"/>
      <c r="IXY9" s="883"/>
      <c r="IXZ9" s="883"/>
      <c r="IYA9" s="883"/>
      <c r="IYB9" s="883"/>
      <c r="IYC9" s="883"/>
      <c r="IYD9" s="883"/>
      <c r="IYE9" s="883"/>
      <c r="IYF9" s="883"/>
      <c r="IYG9" s="883"/>
      <c r="IYH9" s="883"/>
      <c r="IYI9" s="883"/>
      <c r="IYJ9" s="883"/>
      <c r="IYK9" s="883"/>
      <c r="IYL9" s="883"/>
      <c r="IYM9" s="883"/>
      <c r="IYN9" s="883"/>
      <c r="IYO9" s="883"/>
      <c r="IYP9" s="883"/>
      <c r="IYQ9" s="883"/>
      <c r="IYR9" s="883"/>
      <c r="IYS9" s="883"/>
      <c r="IYT9" s="883"/>
      <c r="IYU9" s="883"/>
      <c r="IYV9" s="883"/>
      <c r="IYW9" s="883"/>
      <c r="IYX9" s="883"/>
      <c r="IYY9" s="883"/>
      <c r="IYZ9" s="883"/>
      <c r="IZA9" s="883"/>
      <c r="IZB9" s="883"/>
      <c r="IZC9" s="883"/>
      <c r="IZD9" s="883"/>
      <c r="IZE9" s="883"/>
      <c r="IZF9" s="883"/>
      <c r="IZG9" s="883"/>
      <c r="IZH9" s="883"/>
      <c r="IZI9" s="883"/>
      <c r="IZJ9" s="883"/>
      <c r="IZK9" s="883"/>
      <c r="IZL9" s="883"/>
      <c r="IZM9" s="883"/>
      <c r="IZN9" s="883"/>
      <c r="IZO9" s="883"/>
      <c r="IZP9" s="883"/>
      <c r="IZQ9" s="883"/>
      <c r="IZR9" s="883"/>
      <c r="IZS9" s="883"/>
      <c r="IZT9" s="883"/>
      <c r="IZU9" s="883"/>
      <c r="IZV9" s="883"/>
      <c r="IZW9" s="883"/>
      <c r="IZX9" s="883"/>
      <c r="IZY9" s="883"/>
      <c r="IZZ9" s="883"/>
      <c r="JAA9" s="883"/>
      <c r="JAB9" s="883"/>
      <c r="JAC9" s="883"/>
      <c r="JAD9" s="883"/>
      <c r="JAE9" s="883"/>
      <c r="JAF9" s="883"/>
      <c r="JAG9" s="883"/>
      <c r="JAH9" s="883"/>
      <c r="JAI9" s="883"/>
      <c r="JAJ9" s="883"/>
      <c r="JAK9" s="883"/>
      <c r="JAL9" s="883"/>
      <c r="JAM9" s="883"/>
      <c r="JAN9" s="883"/>
      <c r="JAO9" s="883"/>
      <c r="JAP9" s="883"/>
      <c r="JAQ9" s="883"/>
      <c r="JAR9" s="883"/>
      <c r="JAS9" s="883"/>
      <c r="JAT9" s="883"/>
      <c r="JAU9" s="883"/>
      <c r="JAV9" s="883"/>
      <c r="JAW9" s="883"/>
      <c r="JAX9" s="883"/>
      <c r="JAY9" s="883"/>
      <c r="JAZ9" s="883"/>
      <c r="JBA9" s="883"/>
      <c r="JBB9" s="883"/>
      <c r="JBC9" s="883"/>
      <c r="JBD9" s="883"/>
      <c r="JBE9" s="883"/>
      <c r="JBF9" s="883"/>
      <c r="JBG9" s="883"/>
      <c r="JBH9" s="883"/>
      <c r="JBI9" s="883"/>
      <c r="JBJ9" s="883"/>
      <c r="JBK9" s="883"/>
      <c r="JBL9" s="883"/>
      <c r="JBM9" s="883"/>
      <c r="JBN9" s="883"/>
      <c r="JBO9" s="883"/>
      <c r="JBP9" s="883"/>
      <c r="JBQ9" s="883"/>
      <c r="JBR9" s="883"/>
      <c r="JBS9" s="883"/>
      <c r="JBT9" s="883"/>
      <c r="JBU9" s="883"/>
      <c r="JBV9" s="883"/>
      <c r="JBW9" s="883"/>
      <c r="JBX9" s="883"/>
      <c r="JBY9" s="883"/>
      <c r="JBZ9" s="883"/>
      <c r="JCA9" s="883"/>
      <c r="JCB9" s="883"/>
      <c r="JCC9" s="883"/>
      <c r="JCD9" s="883"/>
      <c r="JCE9" s="883"/>
      <c r="JCF9" s="883"/>
      <c r="JCG9" s="883"/>
      <c r="JCH9" s="883"/>
      <c r="JCI9" s="883"/>
      <c r="JCJ9" s="883"/>
      <c r="JCK9" s="883"/>
      <c r="JCL9" s="883"/>
      <c r="JCM9" s="883"/>
      <c r="JCN9" s="883"/>
      <c r="JCO9" s="883"/>
      <c r="JCP9" s="883"/>
      <c r="JCQ9" s="883"/>
      <c r="JCR9" s="883"/>
      <c r="JCS9" s="883"/>
      <c r="JCT9" s="883"/>
      <c r="JCU9" s="883"/>
      <c r="JCV9" s="883"/>
      <c r="JCW9" s="883"/>
      <c r="JCX9" s="883"/>
      <c r="JCY9" s="883"/>
      <c r="JCZ9" s="883"/>
      <c r="JDA9" s="883"/>
      <c r="JDB9" s="883"/>
      <c r="JDC9" s="883"/>
      <c r="JDD9" s="883"/>
      <c r="JDE9" s="883"/>
      <c r="JDF9" s="883"/>
      <c r="JDG9" s="883"/>
      <c r="JDH9" s="883"/>
      <c r="JDI9" s="883"/>
      <c r="JDJ9" s="883"/>
      <c r="JDK9" s="883"/>
      <c r="JDL9" s="883"/>
      <c r="JDM9" s="883"/>
      <c r="JDN9" s="883"/>
      <c r="JDO9" s="883"/>
      <c r="JDP9" s="883"/>
      <c r="JDQ9" s="883"/>
      <c r="JDR9" s="883"/>
      <c r="JDS9" s="883"/>
      <c r="JDT9" s="883"/>
      <c r="JDU9" s="883"/>
      <c r="JDV9" s="883"/>
      <c r="JDW9" s="883"/>
      <c r="JDX9" s="883"/>
      <c r="JDY9" s="883"/>
      <c r="JDZ9" s="883"/>
      <c r="JEA9" s="883"/>
      <c r="JEB9" s="883"/>
      <c r="JEC9" s="883"/>
      <c r="JED9" s="883"/>
      <c r="JEE9" s="883"/>
      <c r="JEF9" s="883"/>
      <c r="JEG9" s="883"/>
      <c r="JEH9" s="883"/>
      <c r="JEI9" s="883"/>
      <c r="JEJ9" s="883"/>
      <c r="JEK9" s="883"/>
      <c r="JEL9" s="883"/>
      <c r="JEM9" s="883"/>
      <c r="JEN9" s="883"/>
      <c r="JEO9" s="883"/>
      <c r="JEP9" s="883"/>
      <c r="JEQ9" s="883"/>
      <c r="JER9" s="883"/>
      <c r="JES9" s="883"/>
      <c r="JET9" s="883"/>
      <c r="JEU9" s="883"/>
      <c r="JEV9" s="883"/>
      <c r="JEW9" s="883"/>
      <c r="JEX9" s="883"/>
      <c r="JEY9" s="883"/>
      <c r="JEZ9" s="883"/>
      <c r="JFA9" s="883"/>
      <c r="JFB9" s="883"/>
      <c r="JFC9" s="883"/>
      <c r="JFD9" s="883"/>
      <c r="JFE9" s="883"/>
      <c r="JFF9" s="883"/>
      <c r="JFG9" s="883"/>
      <c r="JFH9" s="883"/>
      <c r="JFI9" s="883"/>
      <c r="JFJ9" s="883"/>
      <c r="JFK9" s="883"/>
      <c r="JFL9" s="883"/>
      <c r="JFM9" s="883"/>
      <c r="JFN9" s="883"/>
      <c r="JFO9" s="883"/>
      <c r="JFP9" s="883"/>
      <c r="JFQ9" s="883"/>
      <c r="JFR9" s="883"/>
      <c r="JFS9" s="883"/>
      <c r="JFT9" s="883"/>
      <c r="JFU9" s="883"/>
      <c r="JFV9" s="883"/>
      <c r="JFW9" s="883"/>
      <c r="JFX9" s="883"/>
      <c r="JFY9" s="883"/>
      <c r="JFZ9" s="883"/>
      <c r="JGA9" s="883"/>
      <c r="JGB9" s="883"/>
      <c r="JGC9" s="883"/>
      <c r="JGD9" s="883"/>
      <c r="JGE9" s="883"/>
      <c r="JGF9" s="883"/>
      <c r="JGG9" s="883"/>
      <c r="JGH9" s="883"/>
      <c r="JGI9" s="883"/>
      <c r="JGJ9" s="883"/>
      <c r="JGK9" s="883"/>
      <c r="JGL9" s="883"/>
      <c r="JGM9" s="883"/>
      <c r="JGN9" s="883"/>
      <c r="JGO9" s="883"/>
      <c r="JGP9" s="883"/>
      <c r="JGQ9" s="883"/>
      <c r="JGR9" s="883"/>
      <c r="JGS9" s="883"/>
      <c r="JGT9" s="883"/>
      <c r="JGU9" s="883"/>
      <c r="JGV9" s="883"/>
      <c r="JGW9" s="883"/>
      <c r="JGX9" s="883"/>
      <c r="JGY9" s="883"/>
      <c r="JGZ9" s="883"/>
      <c r="JHA9" s="883"/>
      <c r="JHB9" s="883"/>
      <c r="JHC9" s="883"/>
      <c r="JHD9" s="883"/>
      <c r="JHE9" s="883"/>
      <c r="JHF9" s="883"/>
      <c r="JHG9" s="883"/>
      <c r="JHH9" s="883"/>
      <c r="JHI9" s="883"/>
      <c r="JHJ9" s="883"/>
      <c r="JHK9" s="883"/>
      <c r="JHL9" s="883"/>
      <c r="JHM9" s="883"/>
      <c r="JHN9" s="883"/>
      <c r="JHO9" s="883"/>
      <c r="JHP9" s="883"/>
      <c r="JHQ9" s="883"/>
      <c r="JHR9" s="883"/>
      <c r="JHS9" s="883"/>
      <c r="JHT9" s="883"/>
      <c r="JHU9" s="883"/>
      <c r="JHV9" s="883"/>
      <c r="JHW9" s="883"/>
      <c r="JHX9" s="883"/>
      <c r="JHY9" s="883"/>
      <c r="JHZ9" s="883"/>
      <c r="JIA9" s="883"/>
      <c r="JIB9" s="883"/>
      <c r="JIC9" s="883"/>
      <c r="JID9" s="883"/>
      <c r="JIE9" s="883"/>
      <c r="JIF9" s="883"/>
      <c r="JIG9" s="883"/>
      <c r="JIH9" s="883"/>
      <c r="JII9" s="883"/>
      <c r="JIJ9" s="883"/>
      <c r="JIK9" s="883"/>
      <c r="JIL9" s="883"/>
      <c r="JIM9" s="883"/>
      <c r="JIN9" s="883"/>
      <c r="JIO9" s="883"/>
      <c r="JIP9" s="883"/>
      <c r="JIQ9" s="883"/>
      <c r="JIR9" s="883"/>
      <c r="JIS9" s="883"/>
      <c r="JIT9" s="883"/>
      <c r="JIU9" s="883"/>
      <c r="JIV9" s="883"/>
      <c r="JIW9" s="883"/>
      <c r="JIX9" s="883"/>
      <c r="JIY9" s="883"/>
      <c r="JIZ9" s="883"/>
      <c r="JJA9" s="883"/>
      <c r="JJB9" s="883"/>
      <c r="JJC9" s="883"/>
      <c r="JJD9" s="883"/>
      <c r="JJE9" s="883"/>
      <c r="JJF9" s="883"/>
      <c r="JJG9" s="883"/>
      <c r="JJH9" s="883"/>
      <c r="JJI9" s="883"/>
      <c r="JJJ9" s="883"/>
      <c r="JJK9" s="883"/>
      <c r="JJL9" s="883"/>
      <c r="JJM9" s="883"/>
      <c r="JJN9" s="883"/>
      <c r="JJO9" s="883"/>
      <c r="JJP9" s="883"/>
      <c r="JJQ9" s="883"/>
      <c r="JJR9" s="883"/>
      <c r="JJS9" s="883"/>
      <c r="JJT9" s="883"/>
      <c r="JJU9" s="883"/>
      <c r="JJV9" s="883"/>
      <c r="JJW9" s="883"/>
      <c r="JJX9" s="883"/>
      <c r="JJY9" s="883"/>
      <c r="JJZ9" s="883"/>
      <c r="JKA9" s="883"/>
      <c r="JKB9" s="883"/>
      <c r="JKC9" s="883"/>
      <c r="JKD9" s="883"/>
      <c r="JKE9" s="883"/>
      <c r="JKF9" s="883"/>
      <c r="JKG9" s="883"/>
      <c r="JKH9" s="883"/>
      <c r="JKI9" s="883"/>
      <c r="JKJ9" s="883"/>
      <c r="JKK9" s="883"/>
      <c r="JKL9" s="883"/>
      <c r="JKM9" s="883"/>
      <c r="JKN9" s="883"/>
      <c r="JKO9" s="883"/>
      <c r="JKP9" s="883"/>
      <c r="JKQ9" s="883"/>
      <c r="JKR9" s="883"/>
      <c r="JKS9" s="883"/>
      <c r="JKT9" s="883"/>
      <c r="JKU9" s="883"/>
      <c r="JKV9" s="883"/>
      <c r="JKW9" s="883"/>
      <c r="JKX9" s="883"/>
      <c r="JKY9" s="883"/>
      <c r="JKZ9" s="883"/>
      <c r="JLA9" s="883"/>
      <c r="JLB9" s="883"/>
      <c r="JLC9" s="883"/>
      <c r="JLD9" s="883"/>
      <c r="JLE9" s="883"/>
      <c r="JLF9" s="883"/>
      <c r="JLG9" s="883"/>
      <c r="JLH9" s="883"/>
      <c r="JLI9" s="883"/>
      <c r="JLJ9" s="883"/>
      <c r="JLK9" s="883"/>
      <c r="JLL9" s="883"/>
      <c r="JLM9" s="883"/>
      <c r="JLN9" s="883"/>
      <c r="JLO9" s="883"/>
      <c r="JLP9" s="883"/>
      <c r="JLQ9" s="883"/>
      <c r="JLR9" s="883"/>
      <c r="JLS9" s="883"/>
      <c r="JLT9" s="883"/>
      <c r="JLU9" s="883"/>
      <c r="JLV9" s="883"/>
      <c r="JLW9" s="883"/>
      <c r="JLX9" s="883"/>
      <c r="JLY9" s="883"/>
      <c r="JLZ9" s="883"/>
      <c r="JMA9" s="883"/>
      <c r="JMB9" s="883"/>
      <c r="JMC9" s="883"/>
      <c r="JMD9" s="883"/>
      <c r="JME9" s="883"/>
      <c r="JMF9" s="883"/>
      <c r="JMG9" s="883"/>
      <c r="JMH9" s="883"/>
      <c r="JMI9" s="883"/>
      <c r="JMJ9" s="883"/>
      <c r="JMK9" s="883"/>
      <c r="JML9" s="883"/>
      <c r="JMM9" s="883"/>
      <c r="JMN9" s="883"/>
      <c r="JMO9" s="883"/>
      <c r="JMP9" s="883"/>
      <c r="JMQ9" s="883"/>
      <c r="JMR9" s="883"/>
      <c r="JMS9" s="883"/>
      <c r="JMT9" s="883"/>
      <c r="JMU9" s="883"/>
      <c r="JMV9" s="883"/>
      <c r="JMW9" s="883"/>
      <c r="JMX9" s="883"/>
      <c r="JMY9" s="883"/>
      <c r="JMZ9" s="883"/>
      <c r="JNA9" s="883"/>
      <c r="JNB9" s="883"/>
      <c r="JNC9" s="883"/>
      <c r="JND9" s="883"/>
      <c r="JNE9" s="883"/>
      <c r="JNF9" s="883"/>
      <c r="JNG9" s="883"/>
      <c r="JNH9" s="883"/>
      <c r="JNI9" s="883"/>
      <c r="JNJ9" s="883"/>
      <c r="JNK9" s="883"/>
      <c r="JNL9" s="883"/>
      <c r="JNM9" s="883"/>
      <c r="JNN9" s="883"/>
      <c r="JNO9" s="883"/>
      <c r="JNP9" s="883"/>
      <c r="JNQ9" s="883"/>
      <c r="JNR9" s="883"/>
      <c r="JNS9" s="883"/>
      <c r="JNT9" s="883"/>
      <c r="JNU9" s="883"/>
      <c r="JNV9" s="883"/>
      <c r="JNW9" s="883"/>
      <c r="JNX9" s="883"/>
      <c r="JNY9" s="883"/>
      <c r="JNZ9" s="883"/>
      <c r="JOA9" s="883"/>
      <c r="JOB9" s="883"/>
      <c r="JOC9" s="883"/>
      <c r="JOD9" s="883"/>
      <c r="JOE9" s="883"/>
      <c r="JOF9" s="883"/>
      <c r="JOG9" s="883"/>
      <c r="JOH9" s="883"/>
      <c r="JOI9" s="883"/>
      <c r="JOJ9" s="883"/>
      <c r="JOK9" s="883"/>
      <c r="JOL9" s="883"/>
      <c r="JOM9" s="883"/>
      <c r="JON9" s="883"/>
      <c r="JOO9" s="883"/>
      <c r="JOP9" s="883"/>
      <c r="JOQ9" s="883"/>
      <c r="JOR9" s="883"/>
      <c r="JOS9" s="883"/>
      <c r="JOT9" s="883"/>
      <c r="JOU9" s="883"/>
      <c r="JOV9" s="883"/>
      <c r="JOW9" s="883"/>
      <c r="JOX9" s="883"/>
      <c r="JOY9" s="883"/>
      <c r="JOZ9" s="883"/>
      <c r="JPA9" s="883"/>
      <c r="JPB9" s="883"/>
      <c r="JPC9" s="883"/>
      <c r="JPD9" s="883"/>
      <c r="JPE9" s="883"/>
      <c r="JPF9" s="883"/>
      <c r="JPG9" s="883"/>
      <c r="JPH9" s="883"/>
      <c r="JPI9" s="883"/>
      <c r="JPJ9" s="883"/>
      <c r="JPK9" s="883"/>
      <c r="JPL9" s="883"/>
      <c r="JPM9" s="883"/>
      <c r="JPN9" s="883"/>
      <c r="JPO9" s="883"/>
      <c r="JPP9" s="883"/>
      <c r="JPQ9" s="883"/>
      <c r="JPR9" s="883"/>
      <c r="JPS9" s="883"/>
      <c r="JPT9" s="883"/>
      <c r="JPU9" s="883"/>
      <c r="JPV9" s="883"/>
      <c r="JPW9" s="883"/>
      <c r="JPX9" s="883"/>
      <c r="JPY9" s="883"/>
      <c r="JPZ9" s="883"/>
      <c r="JQA9" s="883"/>
      <c r="JQB9" s="883"/>
      <c r="JQC9" s="883"/>
      <c r="JQD9" s="883"/>
      <c r="JQE9" s="883"/>
      <c r="JQF9" s="883"/>
      <c r="JQG9" s="883"/>
      <c r="JQH9" s="883"/>
      <c r="JQI9" s="883"/>
      <c r="JQJ9" s="883"/>
      <c r="JQK9" s="883"/>
      <c r="JQL9" s="883"/>
      <c r="JQM9" s="883"/>
      <c r="JQN9" s="883"/>
      <c r="JQO9" s="883"/>
      <c r="JQP9" s="883"/>
      <c r="JQQ9" s="883"/>
      <c r="JQR9" s="883"/>
      <c r="JQS9" s="883"/>
      <c r="JQT9" s="883"/>
      <c r="JQU9" s="883"/>
      <c r="JQV9" s="883"/>
      <c r="JQW9" s="883"/>
      <c r="JQX9" s="883"/>
      <c r="JQY9" s="883"/>
      <c r="JQZ9" s="883"/>
      <c r="JRA9" s="883"/>
      <c r="JRB9" s="883"/>
      <c r="JRC9" s="883"/>
      <c r="JRD9" s="883"/>
      <c r="JRE9" s="883"/>
      <c r="JRF9" s="883"/>
      <c r="JRG9" s="883"/>
      <c r="JRH9" s="883"/>
      <c r="JRI9" s="883"/>
      <c r="JRJ9" s="883"/>
      <c r="JRK9" s="883"/>
      <c r="JRL9" s="883"/>
      <c r="JRM9" s="883"/>
      <c r="JRN9" s="883"/>
      <c r="JRO9" s="883"/>
      <c r="JRP9" s="883"/>
      <c r="JRQ9" s="883"/>
      <c r="JRR9" s="883"/>
      <c r="JRS9" s="883"/>
      <c r="JRT9" s="883"/>
      <c r="JRU9" s="883"/>
      <c r="JRV9" s="883"/>
      <c r="JRW9" s="883"/>
      <c r="JRX9" s="883"/>
      <c r="JRY9" s="883"/>
      <c r="JRZ9" s="883"/>
      <c r="JSA9" s="883"/>
      <c r="JSB9" s="883"/>
      <c r="JSC9" s="883"/>
      <c r="JSD9" s="883"/>
      <c r="JSE9" s="883"/>
      <c r="JSF9" s="883"/>
      <c r="JSG9" s="883"/>
      <c r="JSH9" s="883"/>
      <c r="JSI9" s="883"/>
      <c r="JSJ9" s="883"/>
      <c r="JSK9" s="883"/>
      <c r="JSL9" s="883"/>
      <c r="JSM9" s="883"/>
      <c r="JSN9" s="883"/>
      <c r="JSO9" s="883"/>
      <c r="JSP9" s="883"/>
      <c r="JSQ9" s="883"/>
      <c r="JSR9" s="883"/>
      <c r="JSS9" s="883"/>
      <c r="JST9" s="883"/>
      <c r="JSU9" s="883"/>
      <c r="JSV9" s="883"/>
      <c r="JSW9" s="883"/>
      <c r="JSX9" s="883"/>
      <c r="JSY9" s="883"/>
      <c r="JSZ9" s="883"/>
      <c r="JTA9" s="883"/>
      <c r="JTB9" s="883"/>
      <c r="JTC9" s="883"/>
      <c r="JTD9" s="883"/>
      <c r="JTE9" s="883"/>
      <c r="JTF9" s="883"/>
      <c r="JTG9" s="883"/>
      <c r="JTH9" s="883"/>
      <c r="JTI9" s="883"/>
      <c r="JTJ9" s="883"/>
      <c r="JTK9" s="883"/>
      <c r="JTL9" s="883"/>
      <c r="JTM9" s="883"/>
      <c r="JTN9" s="883"/>
      <c r="JTO9" s="883"/>
      <c r="JTP9" s="883"/>
      <c r="JTQ9" s="883"/>
      <c r="JTR9" s="883"/>
      <c r="JTS9" s="883"/>
      <c r="JTT9" s="883"/>
      <c r="JTU9" s="883"/>
      <c r="JTV9" s="883"/>
      <c r="JTW9" s="883"/>
      <c r="JTX9" s="883"/>
      <c r="JTY9" s="883"/>
      <c r="JTZ9" s="883"/>
      <c r="JUA9" s="883"/>
      <c r="JUB9" s="883"/>
      <c r="JUC9" s="883"/>
      <c r="JUD9" s="883"/>
      <c r="JUE9" s="883"/>
      <c r="JUF9" s="883"/>
      <c r="JUG9" s="883"/>
      <c r="JUH9" s="883"/>
      <c r="JUI9" s="883"/>
      <c r="JUJ9" s="883"/>
      <c r="JUK9" s="883"/>
      <c r="JUL9" s="883"/>
      <c r="JUM9" s="883"/>
      <c r="JUN9" s="883"/>
      <c r="JUO9" s="883"/>
      <c r="JUP9" s="883"/>
      <c r="JUQ9" s="883"/>
      <c r="JUR9" s="883"/>
      <c r="JUS9" s="883"/>
      <c r="JUT9" s="883"/>
      <c r="JUU9" s="883"/>
      <c r="JUV9" s="883"/>
      <c r="JUW9" s="883"/>
      <c r="JUX9" s="883"/>
      <c r="JUY9" s="883"/>
      <c r="JUZ9" s="883"/>
      <c r="JVA9" s="883"/>
      <c r="JVB9" s="883"/>
      <c r="JVC9" s="883"/>
      <c r="JVD9" s="883"/>
      <c r="JVE9" s="883"/>
      <c r="JVF9" s="883"/>
      <c r="JVG9" s="883"/>
      <c r="JVH9" s="883"/>
      <c r="JVI9" s="883"/>
      <c r="JVJ9" s="883"/>
      <c r="JVK9" s="883"/>
      <c r="JVL9" s="883"/>
      <c r="JVM9" s="883"/>
      <c r="JVN9" s="883"/>
      <c r="JVO9" s="883"/>
      <c r="JVP9" s="883"/>
      <c r="JVQ9" s="883"/>
      <c r="JVR9" s="883"/>
      <c r="JVS9" s="883"/>
      <c r="JVT9" s="883"/>
      <c r="JVU9" s="883"/>
      <c r="JVV9" s="883"/>
      <c r="JVW9" s="883"/>
      <c r="JVX9" s="883"/>
      <c r="JVY9" s="883"/>
      <c r="JVZ9" s="883"/>
      <c r="JWA9" s="883"/>
      <c r="JWB9" s="883"/>
      <c r="JWC9" s="883"/>
      <c r="JWD9" s="883"/>
      <c r="JWE9" s="883"/>
      <c r="JWF9" s="883"/>
      <c r="JWG9" s="883"/>
      <c r="JWH9" s="883"/>
      <c r="JWI9" s="883"/>
      <c r="JWJ9" s="883"/>
      <c r="JWK9" s="883"/>
      <c r="JWL9" s="883"/>
      <c r="JWM9" s="883"/>
      <c r="JWN9" s="883"/>
      <c r="JWO9" s="883"/>
      <c r="JWP9" s="883"/>
      <c r="JWQ9" s="883"/>
      <c r="JWR9" s="883"/>
      <c r="JWS9" s="883"/>
      <c r="JWT9" s="883"/>
      <c r="JWU9" s="883"/>
      <c r="JWV9" s="883"/>
      <c r="JWW9" s="883"/>
      <c r="JWX9" s="883"/>
      <c r="JWY9" s="883"/>
      <c r="JWZ9" s="883"/>
      <c r="JXA9" s="883"/>
      <c r="JXB9" s="883"/>
      <c r="JXC9" s="883"/>
      <c r="JXD9" s="883"/>
      <c r="JXE9" s="883"/>
      <c r="JXF9" s="883"/>
      <c r="JXG9" s="883"/>
      <c r="JXH9" s="883"/>
      <c r="JXI9" s="883"/>
      <c r="JXJ9" s="883"/>
      <c r="JXK9" s="883"/>
      <c r="JXL9" s="883"/>
      <c r="JXM9" s="883"/>
      <c r="JXN9" s="883"/>
      <c r="JXO9" s="883"/>
      <c r="JXP9" s="883"/>
      <c r="JXQ9" s="883"/>
      <c r="JXR9" s="883"/>
      <c r="JXS9" s="883"/>
      <c r="JXT9" s="883"/>
      <c r="JXU9" s="883"/>
      <c r="JXV9" s="883"/>
      <c r="JXW9" s="883"/>
      <c r="JXX9" s="883"/>
      <c r="JXY9" s="883"/>
      <c r="JXZ9" s="883"/>
      <c r="JYA9" s="883"/>
      <c r="JYB9" s="883"/>
      <c r="JYC9" s="883"/>
      <c r="JYD9" s="883"/>
      <c r="JYE9" s="883"/>
      <c r="JYF9" s="883"/>
      <c r="JYG9" s="883"/>
      <c r="JYH9" s="883"/>
      <c r="JYI9" s="883"/>
      <c r="JYJ9" s="883"/>
      <c r="JYK9" s="883"/>
      <c r="JYL9" s="883"/>
      <c r="JYM9" s="883"/>
      <c r="JYN9" s="883"/>
      <c r="JYO9" s="883"/>
      <c r="JYP9" s="883"/>
      <c r="JYQ9" s="883"/>
      <c r="JYR9" s="883"/>
      <c r="JYS9" s="883"/>
      <c r="JYT9" s="883"/>
      <c r="JYU9" s="883"/>
      <c r="JYV9" s="883"/>
      <c r="JYW9" s="883"/>
      <c r="JYX9" s="883"/>
      <c r="JYY9" s="883"/>
      <c r="JYZ9" s="883"/>
      <c r="JZA9" s="883"/>
      <c r="JZB9" s="883"/>
      <c r="JZC9" s="883"/>
      <c r="JZD9" s="883"/>
      <c r="JZE9" s="883"/>
      <c r="JZF9" s="883"/>
      <c r="JZG9" s="883"/>
      <c r="JZH9" s="883"/>
      <c r="JZI9" s="883"/>
      <c r="JZJ9" s="883"/>
      <c r="JZK9" s="883"/>
      <c r="JZL9" s="883"/>
      <c r="JZM9" s="883"/>
      <c r="JZN9" s="883"/>
      <c r="JZO9" s="883"/>
      <c r="JZP9" s="883"/>
      <c r="JZQ9" s="883"/>
      <c r="JZR9" s="883"/>
      <c r="JZS9" s="883"/>
      <c r="JZT9" s="883"/>
      <c r="JZU9" s="883"/>
      <c r="JZV9" s="883"/>
      <c r="JZW9" s="883"/>
      <c r="JZX9" s="883"/>
      <c r="JZY9" s="883"/>
      <c r="JZZ9" s="883"/>
      <c r="KAA9" s="883"/>
      <c r="KAB9" s="883"/>
      <c r="KAC9" s="883"/>
      <c r="KAD9" s="883"/>
      <c r="KAE9" s="883"/>
      <c r="KAF9" s="883"/>
      <c r="KAG9" s="883"/>
      <c r="KAH9" s="883"/>
      <c r="KAI9" s="883"/>
      <c r="KAJ9" s="883"/>
      <c r="KAK9" s="883"/>
      <c r="KAL9" s="883"/>
      <c r="KAM9" s="883"/>
      <c r="KAN9" s="883"/>
      <c r="KAO9" s="883"/>
      <c r="KAP9" s="883"/>
      <c r="KAQ9" s="883"/>
      <c r="KAR9" s="883"/>
      <c r="KAS9" s="883"/>
      <c r="KAT9" s="883"/>
      <c r="KAU9" s="883"/>
      <c r="KAV9" s="883"/>
      <c r="KAW9" s="883"/>
      <c r="KAX9" s="883"/>
      <c r="KAY9" s="883"/>
      <c r="KAZ9" s="883"/>
      <c r="KBA9" s="883"/>
      <c r="KBB9" s="883"/>
      <c r="KBC9" s="883"/>
      <c r="KBD9" s="883"/>
      <c r="KBE9" s="883"/>
      <c r="KBF9" s="883"/>
      <c r="KBG9" s="883"/>
      <c r="KBH9" s="883"/>
      <c r="KBI9" s="883"/>
      <c r="KBJ9" s="883"/>
      <c r="KBK9" s="883"/>
      <c r="KBL9" s="883"/>
      <c r="KBM9" s="883"/>
      <c r="KBN9" s="883"/>
      <c r="KBO9" s="883"/>
      <c r="KBP9" s="883"/>
      <c r="KBQ9" s="883"/>
      <c r="KBR9" s="883"/>
      <c r="KBS9" s="883"/>
      <c r="KBT9" s="883"/>
      <c r="KBU9" s="883"/>
      <c r="KBV9" s="883"/>
      <c r="KBW9" s="883"/>
      <c r="KBX9" s="883"/>
      <c r="KBY9" s="883"/>
      <c r="KBZ9" s="883"/>
      <c r="KCA9" s="883"/>
      <c r="KCB9" s="883"/>
      <c r="KCC9" s="883"/>
      <c r="KCD9" s="883"/>
      <c r="KCE9" s="883"/>
      <c r="KCF9" s="883"/>
      <c r="KCG9" s="883"/>
      <c r="KCH9" s="883"/>
      <c r="KCI9" s="883"/>
      <c r="KCJ9" s="883"/>
      <c r="KCK9" s="883"/>
      <c r="KCL9" s="883"/>
      <c r="KCM9" s="883"/>
      <c r="KCN9" s="883"/>
      <c r="KCO9" s="883"/>
      <c r="KCP9" s="883"/>
      <c r="KCQ9" s="883"/>
      <c r="KCR9" s="883"/>
      <c r="KCS9" s="883"/>
      <c r="KCT9" s="883"/>
      <c r="KCU9" s="883"/>
      <c r="KCV9" s="883"/>
      <c r="KCW9" s="883"/>
      <c r="KCX9" s="883"/>
      <c r="KCY9" s="883"/>
      <c r="KCZ9" s="883"/>
      <c r="KDA9" s="883"/>
      <c r="KDB9" s="883"/>
      <c r="KDC9" s="883"/>
      <c r="KDD9" s="883"/>
      <c r="KDE9" s="883"/>
      <c r="KDF9" s="883"/>
      <c r="KDG9" s="883"/>
      <c r="KDH9" s="883"/>
      <c r="KDI9" s="883"/>
      <c r="KDJ9" s="883"/>
      <c r="KDK9" s="883"/>
      <c r="KDL9" s="883"/>
      <c r="KDM9" s="883"/>
      <c r="KDN9" s="883"/>
      <c r="KDO9" s="883"/>
      <c r="KDP9" s="883"/>
      <c r="KDQ9" s="883"/>
      <c r="KDR9" s="883"/>
      <c r="KDS9" s="883"/>
      <c r="KDT9" s="883"/>
      <c r="KDU9" s="883"/>
      <c r="KDV9" s="883"/>
      <c r="KDW9" s="883"/>
      <c r="KDX9" s="883"/>
      <c r="KDY9" s="883"/>
      <c r="KDZ9" s="883"/>
      <c r="KEA9" s="883"/>
      <c r="KEB9" s="883"/>
      <c r="KEC9" s="883"/>
      <c r="KED9" s="883"/>
      <c r="KEE9" s="883"/>
      <c r="KEF9" s="883"/>
      <c r="KEG9" s="883"/>
      <c r="KEH9" s="883"/>
      <c r="KEI9" s="883"/>
      <c r="KEJ9" s="883"/>
      <c r="KEK9" s="883"/>
      <c r="KEL9" s="883"/>
      <c r="KEM9" s="883"/>
      <c r="KEN9" s="883"/>
      <c r="KEO9" s="883"/>
      <c r="KEP9" s="883"/>
      <c r="KEQ9" s="883"/>
      <c r="KER9" s="883"/>
      <c r="KES9" s="883"/>
      <c r="KET9" s="883"/>
      <c r="KEU9" s="883"/>
      <c r="KEV9" s="883"/>
      <c r="KEW9" s="883"/>
      <c r="KEX9" s="883"/>
      <c r="KEY9" s="883"/>
      <c r="KEZ9" s="883"/>
      <c r="KFA9" s="883"/>
      <c r="KFB9" s="883"/>
      <c r="KFC9" s="883"/>
      <c r="KFD9" s="883"/>
      <c r="KFE9" s="883"/>
      <c r="KFF9" s="883"/>
      <c r="KFG9" s="883"/>
      <c r="KFH9" s="883"/>
      <c r="KFI9" s="883"/>
      <c r="KFJ9" s="883"/>
      <c r="KFK9" s="883"/>
      <c r="KFL9" s="883"/>
      <c r="KFM9" s="883"/>
      <c r="KFN9" s="883"/>
      <c r="KFO9" s="883"/>
      <c r="KFP9" s="883"/>
      <c r="KFQ9" s="883"/>
      <c r="KFR9" s="883"/>
      <c r="KFS9" s="883"/>
      <c r="KFT9" s="883"/>
      <c r="KFU9" s="883"/>
      <c r="KFV9" s="883"/>
      <c r="KFW9" s="883"/>
      <c r="KFX9" s="883"/>
      <c r="KFY9" s="883"/>
      <c r="KFZ9" s="883"/>
      <c r="KGA9" s="883"/>
      <c r="KGB9" s="883"/>
      <c r="KGC9" s="883"/>
      <c r="KGD9" s="883"/>
      <c r="KGE9" s="883"/>
      <c r="KGF9" s="883"/>
      <c r="KGG9" s="883"/>
      <c r="KGH9" s="883"/>
      <c r="KGI9" s="883"/>
      <c r="KGJ9" s="883"/>
      <c r="KGK9" s="883"/>
      <c r="KGL9" s="883"/>
      <c r="KGM9" s="883"/>
      <c r="KGN9" s="883"/>
      <c r="KGO9" s="883"/>
      <c r="KGP9" s="883"/>
      <c r="KGQ9" s="883"/>
      <c r="KGR9" s="883"/>
      <c r="KGS9" s="883"/>
      <c r="KGT9" s="883"/>
      <c r="KGU9" s="883"/>
      <c r="KGV9" s="883"/>
      <c r="KGW9" s="883"/>
      <c r="KGX9" s="883"/>
      <c r="KGY9" s="883"/>
      <c r="KGZ9" s="883"/>
      <c r="KHA9" s="883"/>
      <c r="KHB9" s="883"/>
      <c r="KHC9" s="883"/>
      <c r="KHD9" s="883"/>
      <c r="KHE9" s="883"/>
      <c r="KHF9" s="883"/>
      <c r="KHG9" s="883"/>
      <c r="KHH9" s="883"/>
      <c r="KHI9" s="883"/>
      <c r="KHJ9" s="883"/>
      <c r="KHK9" s="883"/>
      <c r="KHL9" s="883"/>
      <c r="KHM9" s="883"/>
      <c r="KHN9" s="883"/>
      <c r="KHO9" s="883"/>
      <c r="KHP9" s="883"/>
      <c r="KHQ9" s="883"/>
      <c r="KHR9" s="883"/>
      <c r="KHS9" s="883"/>
      <c r="KHT9" s="883"/>
      <c r="KHU9" s="883"/>
      <c r="KHV9" s="883"/>
      <c r="KHW9" s="883"/>
      <c r="KHX9" s="883"/>
      <c r="KHY9" s="883"/>
      <c r="KHZ9" s="883"/>
      <c r="KIA9" s="883"/>
      <c r="KIB9" s="883"/>
      <c r="KIC9" s="883"/>
      <c r="KID9" s="883"/>
      <c r="KIE9" s="883"/>
      <c r="KIF9" s="883"/>
      <c r="KIG9" s="883"/>
      <c r="KIH9" s="883"/>
      <c r="KII9" s="883"/>
      <c r="KIJ9" s="883"/>
      <c r="KIK9" s="883"/>
      <c r="KIL9" s="883"/>
      <c r="KIM9" s="883"/>
      <c r="KIN9" s="883"/>
      <c r="KIO9" s="883"/>
      <c r="KIP9" s="883"/>
      <c r="KIQ9" s="883"/>
      <c r="KIR9" s="883"/>
      <c r="KIS9" s="883"/>
      <c r="KIT9" s="883"/>
      <c r="KIU9" s="883"/>
      <c r="KIV9" s="883"/>
      <c r="KIW9" s="883"/>
      <c r="KIX9" s="883"/>
      <c r="KIY9" s="883"/>
      <c r="KIZ9" s="883"/>
      <c r="KJA9" s="883"/>
      <c r="KJB9" s="883"/>
      <c r="KJC9" s="883"/>
      <c r="KJD9" s="883"/>
      <c r="KJE9" s="883"/>
      <c r="KJF9" s="883"/>
      <c r="KJG9" s="883"/>
      <c r="KJH9" s="883"/>
      <c r="KJI9" s="883"/>
      <c r="KJJ9" s="883"/>
      <c r="KJK9" s="883"/>
      <c r="KJL9" s="883"/>
      <c r="KJM9" s="883"/>
      <c r="KJN9" s="883"/>
      <c r="KJO9" s="883"/>
      <c r="KJP9" s="883"/>
      <c r="KJQ9" s="883"/>
      <c r="KJR9" s="883"/>
      <c r="KJS9" s="883"/>
      <c r="KJT9" s="883"/>
      <c r="KJU9" s="883"/>
      <c r="KJV9" s="883"/>
      <c r="KJW9" s="883"/>
      <c r="KJX9" s="883"/>
      <c r="KJY9" s="883"/>
      <c r="KJZ9" s="883"/>
      <c r="KKA9" s="883"/>
      <c r="KKB9" s="883"/>
      <c r="KKC9" s="883"/>
      <c r="KKD9" s="883"/>
      <c r="KKE9" s="883"/>
      <c r="KKF9" s="883"/>
      <c r="KKG9" s="883"/>
      <c r="KKH9" s="883"/>
      <c r="KKI9" s="883"/>
      <c r="KKJ9" s="883"/>
      <c r="KKK9" s="883"/>
      <c r="KKL9" s="883"/>
      <c r="KKM9" s="883"/>
      <c r="KKN9" s="883"/>
      <c r="KKO9" s="883"/>
      <c r="KKP9" s="883"/>
      <c r="KKQ9" s="883"/>
      <c r="KKR9" s="883"/>
      <c r="KKS9" s="883"/>
      <c r="KKT9" s="883"/>
      <c r="KKU9" s="883"/>
      <c r="KKV9" s="883"/>
      <c r="KKW9" s="883"/>
      <c r="KKX9" s="883"/>
      <c r="KKY9" s="883"/>
      <c r="KKZ9" s="883"/>
      <c r="KLA9" s="883"/>
      <c r="KLB9" s="883"/>
      <c r="KLC9" s="883"/>
      <c r="KLD9" s="883"/>
      <c r="KLE9" s="883"/>
      <c r="KLF9" s="883"/>
      <c r="KLG9" s="883"/>
      <c r="KLH9" s="883"/>
      <c r="KLI9" s="883"/>
      <c r="KLJ9" s="883"/>
      <c r="KLK9" s="883"/>
      <c r="KLL9" s="883"/>
      <c r="KLM9" s="883"/>
      <c r="KLN9" s="883"/>
      <c r="KLO9" s="883"/>
      <c r="KLP9" s="883"/>
      <c r="KLQ9" s="883"/>
      <c r="KLR9" s="883"/>
      <c r="KLS9" s="883"/>
      <c r="KLT9" s="883"/>
      <c r="KLU9" s="883"/>
      <c r="KLV9" s="883"/>
      <c r="KLW9" s="883"/>
      <c r="KLX9" s="883"/>
      <c r="KLY9" s="883"/>
      <c r="KLZ9" s="883"/>
      <c r="KMA9" s="883"/>
      <c r="KMB9" s="883"/>
      <c r="KMC9" s="883"/>
      <c r="KMD9" s="883"/>
      <c r="KME9" s="883"/>
      <c r="KMF9" s="883"/>
      <c r="KMG9" s="883"/>
      <c r="KMH9" s="883"/>
      <c r="KMI9" s="883"/>
      <c r="KMJ9" s="883"/>
      <c r="KMK9" s="883"/>
      <c r="KML9" s="883"/>
      <c r="KMM9" s="883"/>
      <c r="KMN9" s="883"/>
      <c r="KMO9" s="883"/>
      <c r="KMP9" s="883"/>
      <c r="KMQ9" s="883"/>
      <c r="KMR9" s="883"/>
      <c r="KMS9" s="883"/>
      <c r="KMT9" s="883"/>
      <c r="KMU9" s="883"/>
      <c r="KMV9" s="883"/>
      <c r="KMW9" s="883"/>
      <c r="KMX9" s="883"/>
      <c r="KMY9" s="883"/>
      <c r="KMZ9" s="883"/>
      <c r="KNA9" s="883"/>
      <c r="KNB9" s="883"/>
      <c r="KNC9" s="883"/>
      <c r="KND9" s="883"/>
      <c r="KNE9" s="883"/>
      <c r="KNF9" s="883"/>
      <c r="KNG9" s="883"/>
      <c r="KNH9" s="883"/>
      <c r="KNI9" s="883"/>
      <c r="KNJ9" s="883"/>
      <c r="KNK9" s="883"/>
      <c r="KNL9" s="883"/>
      <c r="KNM9" s="883"/>
      <c r="KNN9" s="883"/>
      <c r="KNO9" s="883"/>
      <c r="KNP9" s="883"/>
      <c r="KNQ9" s="883"/>
      <c r="KNR9" s="883"/>
      <c r="KNS9" s="883"/>
      <c r="KNT9" s="883"/>
      <c r="KNU9" s="883"/>
      <c r="KNV9" s="883"/>
      <c r="KNW9" s="883"/>
      <c r="KNX9" s="883"/>
      <c r="KNY9" s="883"/>
      <c r="KNZ9" s="883"/>
      <c r="KOA9" s="883"/>
      <c r="KOB9" s="883"/>
      <c r="KOC9" s="883"/>
      <c r="KOD9" s="883"/>
      <c r="KOE9" s="883"/>
      <c r="KOF9" s="883"/>
      <c r="KOG9" s="883"/>
      <c r="KOH9" s="883"/>
      <c r="KOI9" s="883"/>
      <c r="KOJ9" s="883"/>
      <c r="KOK9" s="883"/>
      <c r="KOL9" s="883"/>
      <c r="KOM9" s="883"/>
      <c r="KON9" s="883"/>
      <c r="KOO9" s="883"/>
      <c r="KOP9" s="883"/>
      <c r="KOQ9" s="883"/>
      <c r="KOR9" s="883"/>
      <c r="KOS9" s="883"/>
      <c r="KOT9" s="883"/>
      <c r="KOU9" s="883"/>
      <c r="KOV9" s="883"/>
      <c r="KOW9" s="883"/>
      <c r="KOX9" s="883"/>
      <c r="KOY9" s="883"/>
      <c r="KOZ9" s="883"/>
      <c r="KPA9" s="883"/>
      <c r="KPB9" s="883"/>
      <c r="KPC9" s="883"/>
      <c r="KPD9" s="883"/>
      <c r="KPE9" s="883"/>
      <c r="KPF9" s="883"/>
      <c r="KPG9" s="883"/>
      <c r="KPH9" s="883"/>
      <c r="KPI9" s="883"/>
      <c r="KPJ9" s="883"/>
      <c r="KPK9" s="883"/>
      <c r="KPL9" s="883"/>
      <c r="KPM9" s="883"/>
      <c r="KPN9" s="883"/>
      <c r="KPO9" s="883"/>
      <c r="KPP9" s="883"/>
      <c r="KPQ9" s="883"/>
      <c r="KPR9" s="883"/>
      <c r="KPS9" s="883"/>
      <c r="KPT9" s="883"/>
      <c r="KPU9" s="883"/>
      <c r="KPV9" s="883"/>
      <c r="KPW9" s="883"/>
      <c r="KPX9" s="883"/>
      <c r="KPY9" s="883"/>
      <c r="KPZ9" s="883"/>
      <c r="KQA9" s="883"/>
      <c r="KQB9" s="883"/>
      <c r="KQC9" s="883"/>
      <c r="KQD9" s="883"/>
      <c r="KQE9" s="883"/>
      <c r="KQF9" s="883"/>
      <c r="KQG9" s="883"/>
      <c r="KQH9" s="883"/>
      <c r="KQI9" s="883"/>
      <c r="KQJ9" s="883"/>
      <c r="KQK9" s="883"/>
      <c r="KQL9" s="883"/>
      <c r="KQM9" s="883"/>
      <c r="KQN9" s="883"/>
      <c r="KQO9" s="883"/>
      <c r="KQP9" s="883"/>
      <c r="KQQ9" s="883"/>
      <c r="KQR9" s="883"/>
      <c r="KQS9" s="883"/>
      <c r="KQT9" s="883"/>
      <c r="KQU9" s="883"/>
      <c r="KQV9" s="883"/>
      <c r="KQW9" s="883"/>
      <c r="KQX9" s="883"/>
      <c r="KQY9" s="883"/>
      <c r="KQZ9" s="883"/>
      <c r="KRA9" s="883"/>
      <c r="KRB9" s="883"/>
      <c r="KRC9" s="883"/>
      <c r="KRD9" s="883"/>
      <c r="KRE9" s="883"/>
      <c r="KRF9" s="883"/>
      <c r="KRG9" s="883"/>
      <c r="KRH9" s="883"/>
      <c r="KRI9" s="883"/>
      <c r="KRJ9" s="883"/>
      <c r="KRK9" s="883"/>
      <c r="KRL9" s="883"/>
      <c r="KRM9" s="883"/>
      <c r="KRN9" s="883"/>
      <c r="KRO9" s="883"/>
      <c r="KRP9" s="883"/>
      <c r="KRQ9" s="883"/>
      <c r="KRR9" s="883"/>
      <c r="KRS9" s="883"/>
      <c r="KRT9" s="883"/>
      <c r="KRU9" s="883"/>
      <c r="KRV9" s="883"/>
      <c r="KRW9" s="883"/>
      <c r="KRX9" s="883"/>
      <c r="KRY9" s="883"/>
      <c r="KRZ9" s="883"/>
      <c r="KSA9" s="883"/>
      <c r="KSB9" s="883"/>
      <c r="KSC9" s="883"/>
      <c r="KSD9" s="883"/>
      <c r="KSE9" s="883"/>
      <c r="KSF9" s="883"/>
      <c r="KSG9" s="883"/>
      <c r="KSH9" s="883"/>
      <c r="KSI9" s="883"/>
      <c r="KSJ9" s="883"/>
      <c r="KSK9" s="883"/>
      <c r="KSL9" s="883"/>
      <c r="KSM9" s="883"/>
      <c r="KSN9" s="883"/>
      <c r="KSO9" s="883"/>
      <c r="KSP9" s="883"/>
      <c r="KSQ9" s="883"/>
      <c r="KSR9" s="883"/>
      <c r="KSS9" s="883"/>
      <c r="KST9" s="883"/>
      <c r="KSU9" s="883"/>
      <c r="KSV9" s="883"/>
      <c r="KSW9" s="883"/>
      <c r="KSX9" s="883"/>
      <c r="KSY9" s="883"/>
      <c r="KSZ9" s="883"/>
      <c r="KTA9" s="883"/>
      <c r="KTB9" s="883"/>
      <c r="KTC9" s="883"/>
      <c r="KTD9" s="883"/>
      <c r="KTE9" s="883"/>
      <c r="KTF9" s="883"/>
      <c r="KTG9" s="883"/>
      <c r="KTH9" s="883"/>
      <c r="KTI9" s="883"/>
      <c r="KTJ9" s="883"/>
      <c r="KTK9" s="883"/>
      <c r="KTL9" s="883"/>
      <c r="KTM9" s="883"/>
      <c r="KTN9" s="883"/>
      <c r="KTO9" s="883"/>
      <c r="KTP9" s="883"/>
      <c r="KTQ9" s="883"/>
      <c r="KTR9" s="883"/>
      <c r="KTS9" s="883"/>
      <c r="KTT9" s="883"/>
      <c r="KTU9" s="883"/>
      <c r="KTV9" s="883"/>
      <c r="KTW9" s="883"/>
      <c r="KTX9" s="883"/>
      <c r="KTY9" s="883"/>
      <c r="KTZ9" s="883"/>
      <c r="KUA9" s="883"/>
      <c r="KUB9" s="883"/>
      <c r="KUC9" s="883"/>
      <c r="KUD9" s="883"/>
      <c r="KUE9" s="883"/>
      <c r="KUF9" s="883"/>
      <c r="KUG9" s="883"/>
      <c r="KUH9" s="883"/>
      <c r="KUI9" s="883"/>
      <c r="KUJ9" s="883"/>
      <c r="KUK9" s="883"/>
      <c r="KUL9" s="883"/>
      <c r="KUM9" s="883"/>
      <c r="KUN9" s="883"/>
      <c r="KUO9" s="883"/>
      <c r="KUP9" s="883"/>
      <c r="KUQ9" s="883"/>
      <c r="KUR9" s="883"/>
      <c r="KUS9" s="883"/>
      <c r="KUT9" s="883"/>
      <c r="KUU9" s="883"/>
      <c r="KUV9" s="883"/>
      <c r="KUW9" s="883"/>
      <c r="KUX9" s="883"/>
      <c r="KUY9" s="883"/>
      <c r="KUZ9" s="883"/>
      <c r="KVA9" s="883"/>
      <c r="KVB9" s="883"/>
      <c r="KVC9" s="883"/>
      <c r="KVD9" s="883"/>
      <c r="KVE9" s="883"/>
      <c r="KVF9" s="883"/>
      <c r="KVG9" s="883"/>
      <c r="KVH9" s="883"/>
      <c r="KVI9" s="883"/>
      <c r="KVJ9" s="883"/>
      <c r="KVK9" s="883"/>
      <c r="KVL9" s="883"/>
      <c r="KVM9" s="883"/>
      <c r="KVN9" s="883"/>
      <c r="KVO9" s="883"/>
      <c r="KVP9" s="883"/>
      <c r="KVQ9" s="883"/>
      <c r="KVR9" s="883"/>
      <c r="KVS9" s="883"/>
      <c r="KVT9" s="883"/>
      <c r="KVU9" s="883"/>
      <c r="KVV9" s="883"/>
      <c r="KVW9" s="883"/>
      <c r="KVX9" s="883"/>
      <c r="KVY9" s="883"/>
      <c r="KVZ9" s="883"/>
      <c r="KWA9" s="883"/>
      <c r="KWB9" s="883"/>
      <c r="KWC9" s="883"/>
      <c r="KWD9" s="883"/>
      <c r="KWE9" s="883"/>
      <c r="KWF9" s="883"/>
      <c r="KWG9" s="883"/>
      <c r="KWH9" s="883"/>
      <c r="KWI9" s="883"/>
      <c r="KWJ9" s="883"/>
      <c r="KWK9" s="883"/>
      <c r="KWL9" s="883"/>
      <c r="KWM9" s="883"/>
      <c r="KWN9" s="883"/>
      <c r="KWO9" s="883"/>
      <c r="KWP9" s="883"/>
      <c r="KWQ9" s="883"/>
      <c r="KWR9" s="883"/>
      <c r="KWS9" s="883"/>
      <c r="KWT9" s="883"/>
      <c r="KWU9" s="883"/>
      <c r="KWV9" s="883"/>
      <c r="KWW9" s="883"/>
      <c r="KWX9" s="883"/>
      <c r="KWY9" s="883"/>
      <c r="KWZ9" s="883"/>
      <c r="KXA9" s="883"/>
      <c r="KXB9" s="883"/>
      <c r="KXC9" s="883"/>
      <c r="KXD9" s="883"/>
      <c r="KXE9" s="883"/>
      <c r="KXF9" s="883"/>
      <c r="KXG9" s="883"/>
      <c r="KXH9" s="883"/>
      <c r="KXI9" s="883"/>
      <c r="KXJ9" s="883"/>
      <c r="KXK9" s="883"/>
      <c r="KXL9" s="883"/>
      <c r="KXM9" s="883"/>
      <c r="KXN9" s="883"/>
      <c r="KXO9" s="883"/>
      <c r="KXP9" s="883"/>
      <c r="KXQ9" s="883"/>
      <c r="KXR9" s="883"/>
      <c r="KXS9" s="883"/>
      <c r="KXT9" s="883"/>
      <c r="KXU9" s="883"/>
      <c r="KXV9" s="883"/>
      <c r="KXW9" s="883"/>
      <c r="KXX9" s="883"/>
      <c r="KXY9" s="883"/>
      <c r="KXZ9" s="883"/>
      <c r="KYA9" s="883"/>
      <c r="KYB9" s="883"/>
      <c r="KYC9" s="883"/>
      <c r="KYD9" s="883"/>
      <c r="KYE9" s="883"/>
      <c r="KYF9" s="883"/>
      <c r="KYG9" s="883"/>
      <c r="KYH9" s="883"/>
      <c r="KYI9" s="883"/>
      <c r="KYJ9" s="883"/>
      <c r="KYK9" s="883"/>
      <c r="KYL9" s="883"/>
      <c r="KYM9" s="883"/>
      <c r="KYN9" s="883"/>
      <c r="KYO9" s="883"/>
      <c r="KYP9" s="883"/>
      <c r="KYQ9" s="883"/>
      <c r="KYR9" s="883"/>
      <c r="KYS9" s="883"/>
      <c r="KYT9" s="883"/>
      <c r="KYU9" s="883"/>
      <c r="KYV9" s="883"/>
      <c r="KYW9" s="883"/>
      <c r="KYX9" s="883"/>
      <c r="KYY9" s="883"/>
      <c r="KYZ9" s="883"/>
      <c r="KZA9" s="883"/>
      <c r="KZB9" s="883"/>
      <c r="KZC9" s="883"/>
      <c r="KZD9" s="883"/>
      <c r="KZE9" s="883"/>
      <c r="KZF9" s="883"/>
      <c r="KZG9" s="883"/>
      <c r="KZH9" s="883"/>
      <c r="KZI9" s="883"/>
      <c r="KZJ9" s="883"/>
      <c r="KZK9" s="883"/>
      <c r="KZL9" s="883"/>
      <c r="KZM9" s="883"/>
      <c r="KZN9" s="883"/>
      <c r="KZO9" s="883"/>
      <c r="KZP9" s="883"/>
      <c r="KZQ9" s="883"/>
      <c r="KZR9" s="883"/>
      <c r="KZS9" s="883"/>
      <c r="KZT9" s="883"/>
      <c r="KZU9" s="883"/>
      <c r="KZV9" s="883"/>
      <c r="KZW9" s="883"/>
      <c r="KZX9" s="883"/>
      <c r="KZY9" s="883"/>
      <c r="KZZ9" s="883"/>
      <c r="LAA9" s="883"/>
      <c r="LAB9" s="883"/>
      <c r="LAC9" s="883"/>
      <c r="LAD9" s="883"/>
      <c r="LAE9" s="883"/>
      <c r="LAF9" s="883"/>
      <c r="LAG9" s="883"/>
      <c r="LAH9" s="883"/>
      <c r="LAI9" s="883"/>
      <c r="LAJ9" s="883"/>
      <c r="LAK9" s="883"/>
      <c r="LAL9" s="883"/>
      <c r="LAM9" s="883"/>
      <c r="LAN9" s="883"/>
      <c r="LAO9" s="883"/>
      <c r="LAP9" s="883"/>
      <c r="LAQ9" s="883"/>
      <c r="LAR9" s="883"/>
      <c r="LAS9" s="883"/>
      <c r="LAT9" s="883"/>
      <c r="LAU9" s="883"/>
      <c r="LAV9" s="883"/>
      <c r="LAW9" s="883"/>
      <c r="LAX9" s="883"/>
      <c r="LAY9" s="883"/>
      <c r="LAZ9" s="883"/>
      <c r="LBA9" s="883"/>
      <c r="LBB9" s="883"/>
      <c r="LBC9" s="883"/>
      <c r="LBD9" s="883"/>
      <c r="LBE9" s="883"/>
      <c r="LBF9" s="883"/>
      <c r="LBG9" s="883"/>
      <c r="LBH9" s="883"/>
      <c r="LBI9" s="883"/>
      <c r="LBJ9" s="883"/>
      <c r="LBK9" s="883"/>
      <c r="LBL9" s="883"/>
      <c r="LBM9" s="883"/>
      <c r="LBN9" s="883"/>
      <c r="LBO9" s="883"/>
      <c r="LBP9" s="883"/>
      <c r="LBQ9" s="883"/>
      <c r="LBR9" s="883"/>
      <c r="LBS9" s="883"/>
      <c r="LBT9" s="883"/>
      <c r="LBU9" s="883"/>
      <c r="LBV9" s="883"/>
      <c r="LBW9" s="883"/>
      <c r="LBX9" s="883"/>
      <c r="LBY9" s="883"/>
      <c r="LBZ9" s="883"/>
      <c r="LCA9" s="883"/>
      <c r="LCB9" s="883"/>
      <c r="LCC9" s="883"/>
      <c r="LCD9" s="883"/>
      <c r="LCE9" s="883"/>
      <c r="LCF9" s="883"/>
      <c r="LCG9" s="883"/>
      <c r="LCH9" s="883"/>
      <c r="LCI9" s="883"/>
      <c r="LCJ9" s="883"/>
      <c r="LCK9" s="883"/>
      <c r="LCL9" s="883"/>
      <c r="LCM9" s="883"/>
      <c r="LCN9" s="883"/>
      <c r="LCO9" s="883"/>
      <c r="LCP9" s="883"/>
      <c r="LCQ9" s="883"/>
      <c r="LCR9" s="883"/>
      <c r="LCS9" s="883"/>
      <c r="LCT9" s="883"/>
      <c r="LCU9" s="883"/>
      <c r="LCV9" s="883"/>
      <c r="LCW9" s="883"/>
      <c r="LCX9" s="883"/>
      <c r="LCY9" s="883"/>
      <c r="LCZ9" s="883"/>
      <c r="LDA9" s="883"/>
      <c r="LDB9" s="883"/>
      <c r="LDC9" s="883"/>
      <c r="LDD9" s="883"/>
      <c r="LDE9" s="883"/>
      <c r="LDF9" s="883"/>
      <c r="LDG9" s="883"/>
      <c r="LDH9" s="883"/>
      <c r="LDI9" s="883"/>
      <c r="LDJ9" s="883"/>
      <c r="LDK9" s="883"/>
      <c r="LDL9" s="883"/>
      <c r="LDM9" s="883"/>
      <c r="LDN9" s="883"/>
      <c r="LDO9" s="883"/>
      <c r="LDP9" s="883"/>
      <c r="LDQ9" s="883"/>
      <c r="LDR9" s="883"/>
      <c r="LDS9" s="883"/>
      <c r="LDT9" s="883"/>
      <c r="LDU9" s="883"/>
      <c r="LDV9" s="883"/>
      <c r="LDW9" s="883"/>
      <c r="LDX9" s="883"/>
      <c r="LDY9" s="883"/>
      <c r="LDZ9" s="883"/>
      <c r="LEA9" s="883"/>
      <c r="LEB9" s="883"/>
      <c r="LEC9" s="883"/>
      <c r="LED9" s="883"/>
      <c r="LEE9" s="883"/>
      <c r="LEF9" s="883"/>
      <c r="LEG9" s="883"/>
      <c r="LEH9" s="883"/>
      <c r="LEI9" s="883"/>
      <c r="LEJ9" s="883"/>
      <c r="LEK9" s="883"/>
      <c r="LEL9" s="883"/>
      <c r="LEM9" s="883"/>
      <c r="LEN9" s="883"/>
      <c r="LEO9" s="883"/>
      <c r="LEP9" s="883"/>
      <c r="LEQ9" s="883"/>
      <c r="LER9" s="883"/>
      <c r="LES9" s="883"/>
      <c r="LET9" s="883"/>
      <c r="LEU9" s="883"/>
      <c r="LEV9" s="883"/>
      <c r="LEW9" s="883"/>
      <c r="LEX9" s="883"/>
      <c r="LEY9" s="883"/>
      <c r="LEZ9" s="883"/>
      <c r="LFA9" s="883"/>
      <c r="LFB9" s="883"/>
      <c r="LFC9" s="883"/>
      <c r="LFD9" s="883"/>
      <c r="LFE9" s="883"/>
      <c r="LFF9" s="883"/>
      <c r="LFG9" s="883"/>
      <c r="LFH9" s="883"/>
      <c r="LFI9" s="883"/>
      <c r="LFJ9" s="883"/>
      <c r="LFK9" s="883"/>
      <c r="LFL9" s="883"/>
      <c r="LFM9" s="883"/>
      <c r="LFN9" s="883"/>
      <c r="LFO9" s="883"/>
      <c r="LFP9" s="883"/>
      <c r="LFQ9" s="883"/>
      <c r="LFR9" s="883"/>
      <c r="LFS9" s="883"/>
      <c r="LFT9" s="883"/>
      <c r="LFU9" s="883"/>
      <c r="LFV9" s="883"/>
      <c r="LFW9" s="883"/>
      <c r="LFX9" s="883"/>
      <c r="LFY9" s="883"/>
      <c r="LFZ9" s="883"/>
      <c r="LGA9" s="883"/>
      <c r="LGB9" s="883"/>
      <c r="LGC9" s="883"/>
      <c r="LGD9" s="883"/>
      <c r="LGE9" s="883"/>
      <c r="LGF9" s="883"/>
      <c r="LGG9" s="883"/>
      <c r="LGH9" s="883"/>
      <c r="LGI9" s="883"/>
      <c r="LGJ9" s="883"/>
      <c r="LGK9" s="883"/>
      <c r="LGL9" s="883"/>
      <c r="LGM9" s="883"/>
      <c r="LGN9" s="883"/>
      <c r="LGO9" s="883"/>
      <c r="LGP9" s="883"/>
      <c r="LGQ9" s="883"/>
      <c r="LGR9" s="883"/>
      <c r="LGS9" s="883"/>
      <c r="LGT9" s="883"/>
      <c r="LGU9" s="883"/>
      <c r="LGV9" s="883"/>
      <c r="LGW9" s="883"/>
      <c r="LGX9" s="883"/>
      <c r="LGY9" s="883"/>
      <c r="LGZ9" s="883"/>
      <c r="LHA9" s="883"/>
      <c r="LHB9" s="883"/>
      <c r="LHC9" s="883"/>
      <c r="LHD9" s="883"/>
      <c r="LHE9" s="883"/>
      <c r="LHF9" s="883"/>
      <c r="LHG9" s="883"/>
      <c r="LHH9" s="883"/>
      <c r="LHI9" s="883"/>
      <c r="LHJ9" s="883"/>
      <c r="LHK9" s="883"/>
      <c r="LHL9" s="883"/>
      <c r="LHM9" s="883"/>
      <c r="LHN9" s="883"/>
      <c r="LHO9" s="883"/>
      <c r="LHP9" s="883"/>
      <c r="LHQ9" s="883"/>
      <c r="LHR9" s="883"/>
      <c r="LHS9" s="883"/>
      <c r="LHT9" s="883"/>
      <c r="LHU9" s="883"/>
      <c r="LHV9" s="883"/>
      <c r="LHW9" s="883"/>
      <c r="LHX9" s="883"/>
      <c r="LHY9" s="883"/>
      <c r="LHZ9" s="883"/>
      <c r="LIA9" s="883"/>
      <c r="LIB9" s="883"/>
      <c r="LIC9" s="883"/>
      <c r="LID9" s="883"/>
      <c r="LIE9" s="883"/>
      <c r="LIF9" s="883"/>
      <c r="LIG9" s="883"/>
      <c r="LIH9" s="883"/>
      <c r="LII9" s="883"/>
      <c r="LIJ9" s="883"/>
      <c r="LIK9" s="883"/>
      <c r="LIL9" s="883"/>
      <c r="LIM9" s="883"/>
      <c r="LIN9" s="883"/>
      <c r="LIO9" s="883"/>
      <c r="LIP9" s="883"/>
      <c r="LIQ9" s="883"/>
      <c r="LIR9" s="883"/>
      <c r="LIS9" s="883"/>
      <c r="LIT9" s="883"/>
      <c r="LIU9" s="883"/>
      <c r="LIV9" s="883"/>
      <c r="LIW9" s="883"/>
      <c r="LIX9" s="883"/>
      <c r="LIY9" s="883"/>
      <c r="LIZ9" s="883"/>
      <c r="LJA9" s="883"/>
      <c r="LJB9" s="883"/>
      <c r="LJC9" s="883"/>
      <c r="LJD9" s="883"/>
      <c r="LJE9" s="883"/>
      <c r="LJF9" s="883"/>
      <c r="LJG9" s="883"/>
      <c r="LJH9" s="883"/>
      <c r="LJI9" s="883"/>
      <c r="LJJ9" s="883"/>
      <c r="LJK9" s="883"/>
      <c r="LJL9" s="883"/>
      <c r="LJM9" s="883"/>
      <c r="LJN9" s="883"/>
      <c r="LJO9" s="883"/>
      <c r="LJP9" s="883"/>
      <c r="LJQ9" s="883"/>
      <c r="LJR9" s="883"/>
      <c r="LJS9" s="883"/>
      <c r="LJT9" s="883"/>
      <c r="LJU9" s="883"/>
      <c r="LJV9" s="883"/>
      <c r="LJW9" s="883"/>
      <c r="LJX9" s="883"/>
      <c r="LJY9" s="883"/>
      <c r="LJZ9" s="883"/>
      <c r="LKA9" s="883"/>
      <c r="LKB9" s="883"/>
      <c r="LKC9" s="883"/>
      <c r="LKD9" s="883"/>
      <c r="LKE9" s="883"/>
      <c r="LKF9" s="883"/>
      <c r="LKG9" s="883"/>
      <c r="LKH9" s="883"/>
      <c r="LKI9" s="883"/>
      <c r="LKJ9" s="883"/>
      <c r="LKK9" s="883"/>
      <c r="LKL9" s="883"/>
      <c r="LKM9" s="883"/>
      <c r="LKN9" s="883"/>
      <c r="LKO9" s="883"/>
      <c r="LKP9" s="883"/>
      <c r="LKQ9" s="883"/>
      <c r="LKR9" s="883"/>
      <c r="LKS9" s="883"/>
      <c r="LKT9" s="883"/>
      <c r="LKU9" s="883"/>
      <c r="LKV9" s="883"/>
      <c r="LKW9" s="883"/>
      <c r="LKX9" s="883"/>
      <c r="LKY9" s="883"/>
      <c r="LKZ9" s="883"/>
      <c r="LLA9" s="883"/>
      <c r="LLB9" s="883"/>
      <c r="LLC9" s="883"/>
      <c r="LLD9" s="883"/>
      <c r="LLE9" s="883"/>
      <c r="LLF9" s="883"/>
      <c r="LLG9" s="883"/>
      <c r="LLH9" s="883"/>
      <c r="LLI9" s="883"/>
      <c r="LLJ9" s="883"/>
      <c r="LLK9" s="883"/>
      <c r="LLL9" s="883"/>
      <c r="LLM9" s="883"/>
      <c r="LLN9" s="883"/>
      <c r="LLO9" s="883"/>
      <c r="LLP9" s="883"/>
      <c r="LLQ9" s="883"/>
      <c r="LLR9" s="883"/>
      <c r="LLS9" s="883"/>
      <c r="LLT9" s="883"/>
      <c r="LLU9" s="883"/>
      <c r="LLV9" s="883"/>
      <c r="LLW9" s="883"/>
      <c r="LLX9" s="883"/>
      <c r="LLY9" s="883"/>
      <c r="LLZ9" s="883"/>
      <c r="LMA9" s="883"/>
      <c r="LMB9" s="883"/>
      <c r="LMC9" s="883"/>
      <c r="LMD9" s="883"/>
      <c r="LME9" s="883"/>
      <c r="LMF9" s="883"/>
      <c r="LMG9" s="883"/>
      <c r="LMH9" s="883"/>
      <c r="LMI9" s="883"/>
      <c r="LMJ9" s="883"/>
      <c r="LMK9" s="883"/>
      <c r="LML9" s="883"/>
      <c r="LMM9" s="883"/>
      <c r="LMN9" s="883"/>
      <c r="LMO9" s="883"/>
      <c r="LMP9" s="883"/>
      <c r="LMQ9" s="883"/>
      <c r="LMR9" s="883"/>
      <c r="LMS9" s="883"/>
      <c r="LMT9" s="883"/>
      <c r="LMU9" s="883"/>
      <c r="LMV9" s="883"/>
      <c r="LMW9" s="883"/>
      <c r="LMX9" s="883"/>
      <c r="LMY9" s="883"/>
      <c r="LMZ9" s="883"/>
      <c r="LNA9" s="883"/>
      <c r="LNB9" s="883"/>
      <c r="LNC9" s="883"/>
      <c r="LND9" s="883"/>
      <c r="LNE9" s="883"/>
      <c r="LNF9" s="883"/>
      <c r="LNG9" s="883"/>
      <c r="LNH9" s="883"/>
      <c r="LNI9" s="883"/>
      <c r="LNJ9" s="883"/>
      <c r="LNK9" s="883"/>
      <c r="LNL9" s="883"/>
      <c r="LNM9" s="883"/>
      <c r="LNN9" s="883"/>
      <c r="LNO9" s="883"/>
      <c r="LNP9" s="883"/>
      <c r="LNQ9" s="883"/>
      <c r="LNR9" s="883"/>
      <c r="LNS9" s="883"/>
      <c r="LNT9" s="883"/>
      <c r="LNU9" s="883"/>
      <c r="LNV9" s="883"/>
      <c r="LNW9" s="883"/>
      <c r="LNX9" s="883"/>
      <c r="LNY9" s="883"/>
      <c r="LNZ9" s="883"/>
      <c r="LOA9" s="883"/>
      <c r="LOB9" s="883"/>
      <c r="LOC9" s="883"/>
      <c r="LOD9" s="883"/>
      <c r="LOE9" s="883"/>
      <c r="LOF9" s="883"/>
      <c r="LOG9" s="883"/>
      <c r="LOH9" s="883"/>
      <c r="LOI9" s="883"/>
      <c r="LOJ9" s="883"/>
      <c r="LOK9" s="883"/>
      <c r="LOL9" s="883"/>
      <c r="LOM9" s="883"/>
      <c r="LON9" s="883"/>
      <c r="LOO9" s="883"/>
      <c r="LOP9" s="883"/>
      <c r="LOQ9" s="883"/>
      <c r="LOR9" s="883"/>
      <c r="LOS9" s="883"/>
      <c r="LOT9" s="883"/>
      <c r="LOU9" s="883"/>
      <c r="LOV9" s="883"/>
      <c r="LOW9" s="883"/>
      <c r="LOX9" s="883"/>
      <c r="LOY9" s="883"/>
      <c r="LOZ9" s="883"/>
      <c r="LPA9" s="883"/>
      <c r="LPB9" s="883"/>
      <c r="LPC9" s="883"/>
      <c r="LPD9" s="883"/>
      <c r="LPE9" s="883"/>
      <c r="LPF9" s="883"/>
      <c r="LPG9" s="883"/>
      <c r="LPH9" s="883"/>
      <c r="LPI9" s="883"/>
      <c r="LPJ9" s="883"/>
      <c r="LPK9" s="883"/>
      <c r="LPL9" s="883"/>
      <c r="LPM9" s="883"/>
      <c r="LPN9" s="883"/>
      <c r="LPO9" s="883"/>
      <c r="LPP9" s="883"/>
      <c r="LPQ9" s="883"/>
      <c r="LPR9" s="883"/>
      <c r="LPS9" s="883"/>
      <c r="LPT9" s="883"/>
      <c r="LPU9" s="883"/>
      <c r="LPV9" s="883"/>
      <c r="LPW9" s="883"/>
      <c r="LPX9" s="883"/>
      <c r="LPY9" s="883"/>
      <c r="LPZ9" s="883"/>
      <c r="LQA9" s="883"/>
      <c r="LQB9" s="883"/>
      <c r="LQC9" s="883"/>
      <c r="LQD9" s="883"/>
      <c r="LQE9" s="883"/>
      <c r="LQF9" s="883"/>
      <c r="LQG9" s="883"/>
      <c r="LQH9" s="883"/>
      <c r="LQI9" s="883"/>
      <c r="LQJ9" s="883"/>
      <c r="LQK9" s="883"/>
      <c r="LQL9" s="883"/>
      <c r="LQM9" s="883"/>
      <c r="LQN9" s="883"/>
      <c r="LQO9" s="883"/>
      <c r="LQP9" s="883"/>
      <c r="LQQ9" s="883"/>
      <c r="LQR9" s="883"/>
      <c r="LQS9" s="883"/>
      <c r="LQT9" s="883"/>
      <c r="LQU9" s="883"/>
      <c r="LQV9" s="883"/>
      <c r="LQW9" s="883"/>
      <c r="LQX9" s="883"/>
      <c r="LQY9" s="883"/>
      <c r="LQZ9" s="883"/>
      <c r="LRA9" s="883"/>
      <c r="LRB9" s="883"/>
      <c r="LRC9" s="883"/>
      <c r="LRD9" s="883"/>
      <c r="LRE9" s="883"/>
      <c r="LRF9" s="883"/>
      <c r="LRG9" s="883"/>
      <c r="LRH9" s="883"/>
      <c r="LRI9" s="883"/>
      <c r="LRJ9" s="883"/>
      <c r="LRK9" s="883"/>
      <c r="LRL9" s="883"/>
      <c r="LRM9" s="883"/>
      <c r="LRN9" s="883"/>
      <c r="LRO9" s="883"/>
      <c r="LRP9" s="883"/>
      <c r="LRQ9" s="883"/>
      <c r="LRR9" s="883"/>
      <c r="LRS9" s="883"/>
      <c r="LRT9" s="883"/>
      <c r="LRU9" s="883"/>
      <c r="LRV9" s="883"/>
      <c r="LRW9" s="883"/>
      <c r="LRX9" s="883"/>
      <c r="LRY9" s="883"/>
      <c r="LRZ9" s="883"/>
      <c r="LSA9" s="883"/>
      <c r="LSB9" s="883"/>
      <c r="LSC9" s="883"/>
      <c r="LSD9" s="883"/>
      <c r="LSE9" s="883"/>
      <c r="LSF9" s="883"/>
      <c r="LSG9" s="883"/>
      <c r="LSH9" s="883"/>
      <c r="LSI9" s="883"/>
      <c r="LSJ9" s="883"/>
      <c r="LSK9" s="883"/>
      <c r="LSL9" s="883"/>
      <c r="LSM9" s="883"/>
      <c r="LSN9" s="883"/>
      <c r="LSO9" s="883"/>
      <c r="LSP9" s="883"/>
      <c r="LSQ9" s="883"/>
      <c r="LSR9" s="883"/>
      <c r="LSS9" s="883"/>
      <c r="LST9" s="883"/>
      <c r="LSU9" s="883"/>
      <c r="LSV9" s="883"/>
      <c r="LSW9" s="883"/>
      <c r="LSX9" s="883"/>
      <c r="LSY9" s="883"/>
      <c r="LSZ9" s="883"/>
      <c r="LTA9" s="883"/>
      <c r="LTB9" s="883"/>
      <c r="LTC9" s="883"/>
      <c r="LTD9" s="883"/>
      <c r="LTE9" s="883"/>
      <c r="LTF9" s="883"/>
      <c r="LTG9" s="883"/>
      <c r="LTH9" s="883"/>
      <c r="LTI9" s="883"/>
      <c r="LTJ9" s="883"/>
      <c r="LTK9" s="883"/>
      <c r="LTL9" s="883"/>
      <c r="LTM9" s="883"/>
      <c r="LTN9" s="883"/>
      <c r="LTO9" s="883"/>
      <c r="LTP9" s="883"/>
      <c r="LTQ9" s="883"/>
      <c r="LTR9" s="883"/>
      <c r="LTS9" s="883"/>
      <c r="LTT9" s="883"/>
      <c r="LTU9" s="883"/>
      <c r="LTV9" s="883"/>
      <c r="LTW9" s="883"/>
      <c r="LTX9" s="883"/>
      <c r="LTY9" s="883"/>
      <c r="LTZ9" s="883"/>
      <c r="LUA9" s="883"/>
      <c r="LUB9" s="883"/>
      <c r="LUC9" s="883"/>
      <c r="LUD9" s="883"/>
      <c r="LUE9" s="883"/>
      <c r="LUF9" s="883"/>
      <c r="LUG9" s="883"/>
      <c r="LUH9" s="883"/>
      <c r="LUI9" s="883"/>
      <c r="LUJ9" s="883"/>
      <c r="LUK9" s="883"/>
      <c r="LUL9" s="883"/>
      <c r="LUM9" s="883"/>
      <c r="LUN9" s="883"/>
      <c r="LUO9" s="883"/>
      <c r="LUP9" s="883"/>
      <c r="LUQ9" s="883"/>
      <c r="LUR9" s="883"/>
      <c r="LUS9" s="883"/>
      <c r="LUT9" s="883"/>
      <c r="LUU9" s="883"/>
      <c r="LUV9" s="883"/>
      <c r="LUW9" s="883"/>
      <c r="LUX9" s="883"/>
      <c r="LUY9" s="883"/>
      <c r="LUZ9" s="883"/>
      <c r="LVA9" s="883"/>
      <c r="LVB9" s="883"/>
      <c r="LVC9" s="883"/>
      <c r="LVD9" s="883"/>
      <c r="LVE9" s="883"/>
      <c r="LVF9" s="883"/>
      <c r="LVG9" s="883"/>
      <c r="LVH9" s="883"/>
      <c r="LVI9" s="883"/>
      <c r="LVJ9" s="883"/>
      <c r="LVK9" s="883"/>
      <c r="LVL9" s="883"/>
      <c r="LVM9" s="883"/>
      <c r="LVN9" s="883"/>
      <c r="LVO9" s="883"/>
      <c r="LVP9" s="883"/>
      <c r="LVQ9" s="883"/>
      <c r="LVR9" s="883"/>
      <c r="LVS9" s="883"/>
      <c r="LVT9" s="883"/>
      <c r="LVU9" s="883"/>
      <c r="LVV9" s="883"/>
      <c r="LVW9" s="883"/>
      <c r="LVX9" s="883"/>
      <c r="LVY9" s="883"/>
      <c r="LVZ9" s="883"/>
      <c r="LWA9" s="883"/>
      <c r="LWB9" s="883"/>
      <c r="LWC9" s="883"/>
      <c r="LWD9" s="883"/>
      <c r="LWE9" s="883"/>
      <c r="LWF9" s="883"/>
      <c r="LWG9" s="883"/>
      <c r="LWH9" s="883"/>
      <c r="LWI9" s="883"/>
      <c r="LWJ9" s="883"/>
      <c r="LWK9" s="883"/>
      <c r="LWL9" s="883"/>
      <c r="LWM9" s="883"/>
      <c r="LWN9" s="883"/>
      <c r="LWO9" s="883"/>
      <c r="LWP9" s="883"/>
      <c r="LWQ9" s="883"/>
      <c r="LWR9" s="883"/>
      <c r="LWS9" s="883"/>
      <c r="LWT9" s="883"/>
      <c r="LWU9" s="883"/>
      <c r="LWV9" s="883"/>
      <c r="LWW9" s="883"/>
      <c r="LWX9" s="883"/>
      <c r="LWY9" s="883"/>
      <c r="LWZ9" s="883"/>
      <c r="LXA9" s="883"/>
      <c r="LXB9" s="883"/>
      <c r="LXC9" s="883"/>
      <c r="LXD9" s="883"/>
      <c r="LXE9" s="883"/>
      <c r="LXF9" s="883"/>
      <c r="LXG9" s="883"/>
      <c r="LXH9" s="883"/>
      <c r="LXI9" s="883"/>
      <c r="LXJ9" s="883"/>
      <c r="LXK9" s="883"/>
      <c r="LXL9" s="883"/>
      <c r="LXM9" s="883"/>
      <c r="LXN9" s="883"/>
      <c r="LXO9" s="883"/>
      <c r="LXP9" s="883"/>
      <c r="LXQ9" s="883"/>
      <c r="LXR9" s="883"/>
      <c r="LXS9" s="883"/>
      <c r="LXT9" s="883"/>
      <c r="LXU9" s="883"/>
      <c r="LXV9" s="883"/>
      <c r="LXW9" s="883"/>
      <c r="LXX9" s="883"/>
      <c r="LXY9" s="883"/>
      <c r="LXZ9" s="883"/>
      <c r="LYA9" s="883"/>
      <c r="LYB9" s="883"/>
      <c r="LYC9" s="883"/>
      <c r="LYD9" s="883"/>
      <c r="LYE9" s="883"/>
      <c r="LYF9" s="883"/>
      <c r="LYG9" s="883"/>
      <c r="LYH9" s="883"/>
      <c r="LYI9" s="883"/>
      <c r="LYJ9" s="883"/>
      <c r="LYK9" s="883"/>
      <c r="LYL9" s="883"/>
      <c r="LYM9" s="883"/>
      <c r="LYN9" s="883"/>
      <c r="LYO9" s="883"/>
      <c r="LYP9" s="883"/>
      <c r="LYQ9" s="883"/>
      <c r="LYR9" s="883"/>
      <c r="LYS9" s="883"/>
      <c r="LYT9" s="883"/>
      <c r="LYU9" s="883"/>
      <c r="LYV9" s="883"/>
      <c r="LYW9" s="883"/>
      <c r="LYX9" s="883"/>
      <c r="LYY9" s="883"/>
      <c r="LYZ9" s="883"/>
      <c r="LZA9" s="883"/>
      <c r="LZB9" s="883"/>
      <c r="LZC9" s="883"/>
      <c r="LZD9" s="883"/>
      <c r="LZE9" s="883"/>
      <c r="LZF9" s="883"/>
      <c r="LZG9" s="883"/>
      <c r="LZH9" s="883"/>
      <c r="LZI9" s="883"/>
      <c r="LZJ9" s="883"/>
      <c r="LZK9" s="883"/>
      <c r="LZL9" s="883"/>
      <c r="LZM9" s="883"/>
      <c r="LZN9" s="883"/>
      <c r="LZO9" s="883"/>
      <c r="LZP9" s="883"/>
      <c r="LZQ9" s="883"/>
      <c r="LZR9" s="883"/>
      <c r="LZS9" s="883"/>
      <c r="LZT9" s="883"/>
      <c r="LZU9" s="883"/>
      <c r="LZV9" s="883"/>
      <c r="LZW9" s="883"/>
      <c r="LZX9" s="883"/>
      <c r="LZY9" s="883"/>
      <c r="LZZ9" s="883"/>
      <c r="MAA9" s="883"/>
      <c r="MAB9" s="883"/>
      <c r="MAC9" s="883"/>
      <c r="MAD9" s="883"/>
      <c r="MAE9" s="883"/>
      <c r="MAF9" s="883"/>
      <c r="MAG9" s="883"/>
      <c r="MAH9" s="883"/>
      <c r="MAI9" s="883"/>
      <c r="MAJ9" s="883"/>
      <c r="MAK9" s="883"/>
      <c r="MAL9" s="883"/>
      <c r="MAM9" s="883"/>
      <c r="MAN9" s="883"/>
      <c r="MAO9" s="883"/>
      <c r="MAP9" s="883"/>
      <c r="MAQ9" s="883"/>
      <c r="MAR9" s="883"/>
      <c r="MAS9" s="883"/>
      <c r="MAT9" s="883"/>
      <c r="MAU9" s="883"/>
      <c r="MAV9" s="883"/>
      <c r="MAW9" s="883"/>
      <c r="MAX9" s="883"/>
      <c r="MAY9" s="883"/>
      <c r="MAZ9" s="883"/>
      <c r="MBA9" s="883"/>
      <c r="MBB9" s="883"/>
      <c r="MBC9" s="883"/>
      <c r="MBD9" s="883"/>
      <c r="MBE9" s="883"/>
      <c r="MBF9" s="883"/>
      <c r="MBG9" s="883"/>
      <c r="MBH9" s="883"/>
      <c r="MBI9" s="883"/>
      <c r="MBJ9" s="883"/>
      <c r="MBK9" s="883"/>
      <c r="MBL9" s="883"/>
      <c r="MBM9" s="883"/>
      <c r="MBN9" s="883"/>
      <c r="MBO9" s="883"/>
      <c r="MBP9" s="883"/>
      <c r="MBQ9" s="883"/>
      <c r="MBR9" s="883"/>
      <c r="MBS9" s="883"/>
      <c r="MBT9" s="883"/>
      <c r="MBU9" s="883"/>
      <c r="MBV9" s="883"/>
      <c r="MBW9" s="883"/>
      <c r="MBX9" s="883"/>
      <c r="MBY9" s="883"/>
      <c r="MBZ9" s="883"/>
      <c r="MCA9" s="883"/>
      <c r="MCB9" s="883"/>
      <c r="MCC9" s="883"/>
      <c r="MCD9" s="883"/>
      <c r="MCE9" s="883"/>
      <c r="MCF9" s="883"/>
      <c r="MCG9" s="883"/>
      <c r="MCH9" s="883"/>
      <c r="MCI9" s="883"/>
      <c r="MCJ9" s="883"/>
      <c r="MCK9" s="883"/>
      <c r="MCL9" s="883"/>
      <c r="MCM9" s="883"/>
      <c r="MCN9" s="883"/>
      <c r="MCO9" s="883"/>
      <c r="MCP9" s="883"/>
      <c r="MCQ9" s="883"/>
      <c r="MCR9" s="883"/>
      <c r="MCS9" s="883"/>
      <c r="MCT9" s="883"/>
      <c r="MCU9" s="883"/>
      <c r="MCV9" s="883"/>
      <c r="MCW9" s="883"/>
      <c r="MCX9" s="883"/>
      <c r="MCY9" s="883"/>
      <c r="MCZ9" s="883"/>
      <c r="MDA9" s="883"/>
      <c r="MDB9" s="883"/>
      <c r="MDC9" s="883"/>
      <c r="MDD9" s="883"/>
      <c r="MDE9" s="883"/>
      <c r="MDF9" s="883"/>
      <c r="MDG9" s="883"/>
      <c r="MDH9" s="883"/>
      <c r="MDI9" s="883"/>
      <c r="MDJ9" s="883"/>
      <c r="MDK9" s="883"/>
      <c r="MDL9" s="883"/>
      <c r="MDM9" s="883"/>
      <c r="MDN9" s="883"/>
      <c r="MDO9" s="883"/>
      <c r="MDP9" s="883"/>
      <c r="MDQ9" s="883"/>
      <c r="MDR9" s="883"/>
      <c r="MDS9" s="883"/>
      <c r="MDT9" s="883"/>
      <c r="MDU9" s="883"/>
      <c r="MDV9" s="883"/>
      <c r="MDW9" s="883"/>
      <c r="MDX9" s="883"/>
      <c r="MDY9" s="883"/>
      <c r="MDZ9" s="883"/>
      <c r="MEA9" s="883"/>
      <c r="MEB9" s="883"/>
      <c r="MEC9" s="883"/>
      <c r="MED9" s="883"/>
      <c r="MEE9" s="883"/>
      <c r="MEF9" s="883"/>
      <c r="MEG9" s="883"/>
      <c r="MEH9" s="883"/>
      <c r="MEI9" s="883"/>
      <c r="MEJ9" s="883"/>
      <c r="MEK9" s="883"/>
      <c r="MEL9" s="883"/>
      <c r="MEM9" s="883"/>
      <c r="MEN9" s="883"/>
      <c r="MEO9" s="883"/>
      <c r="MEP9" s="883"/>
      <c r="MEQ9" s="883"/>
      <c r="MER9" s="883"/>
      <c r="MES9" s="883"/>
      <c r="MET9" s="883"/>
      <c r="MEU9" s="883"/>
      <c r="MEV9" s="883"/>
      <c r="MEW9" s="883"/>
      <c r="MEX9" s="883"/>
      <c r="MEY9" s="883"/>
      <c r="MEZ9" s="883"/>
      <c r="MFA9" s="883"/>
      <c r="MFB9" s="883"/>
      <c r="MFC9" s="883"/>
      <c r="MFD9" s="883"/>
      <c r="MFE9" s="883"/>
      <c r="MFF9" s="883"/>
      <c r="MFG9" s="883"/>
      <c r="MFH9" s="883"/>
      <c r="MFI9" s="883"/>
      <c r="MFJ9" s="883"/>
      <c r="MFK9" s="883"/>
      <c r="MFL9" s="883"/>
      <c r="MFM9" s="883"/>
      <c r="MFN9" s="883"/>
      <c r="MFO9" s="883"/>
      <c r="MFP9" s="883"/>
      <c r="MFQ9" s="883"/>
      <c r="MFR9" s="883"/>
      <c r="MFS9" s="883"/>
      <c r="MFT9" s="883"/>
      <c r="MFU9" s="883"/>
      <c r="MFV9" s="883"/>
      <c r="MFW9" s="883"/>
      <c r="MFX9" s="883"/>
      <c r="MFY9" s="883"/>
      <c r="MFZ9" s="883"/>
      <c r="MGA9" s="883"/>
      <c r="MGB9" s="883"/>
      <c r="MGC9" s="883"/>
      <c r="MGD9" s="883"/>
      <c r="MGE9" s="883"/>
      <c r="MGF9" s="883"/>
      <c r="MGG9" s="883"/>
      <c r="MGH9" s="883"/>
      <c r="MGI9" s="883"/>
      <c r="MGJ9" s="883"/>
      <c r="MGK9" s="883"/>
      <c r="MGL9" s="883"/>
      <c r="MGM9" s="883"/>
      <c r="MGN9" s="883"/>
      <c r="MGO9" s="883"/>
      <c r="MGP9" s="883"/>
      <c r="MGQ9" s="883"/>
      <c r="MGR9" s="883"/>
      <c r="MGS9" s="883"/>
      <c r="MGT9" s="883"/>
      <c r="MGU9" s="883"/>
      <c r="MGV9" s="883"/>
      <c r="MGW9" s="883"/>
      <c r="MGX9" s="883"/>
      <c r="MGY9" s="883"/>
      <c r="MGZ9" s="883"/>
      <c r="MHA9" s="883"/>
      <c r="MHB9" s="883"/>
      <c r="MHC9" s="883"/>
      <c r="MHD9" s="883"/>
      <c r="MHE9" s="883"/>
      <c r="MHF9" s="883"/>
      <c r="MHG9" s="883"/>
      <c r="MHH9" s="883"/>
      <c r="MHI9" s="883"/>
      <c r="MHJ9" s="883"/>
      <c r="MHK9" s="883"/>
      <c r="MHL9" s="883"/>
      <c r="MHM9" s="883"/>
      <c r="MHN9" s="883"/>
      <c r="MHO9" s="883"/>
      <c r="MHP9" s="883"/>
      <c r="MHQ9" s="883"/>
      <c r="MHR9" s="883"/>
      <c r="MHS9" s="883"/>
      <c r="MHT9" s="883"/>
      <c r="MHU9" s="883"/>
      <c r="MHV9" s="883"/>
      <c r="MHW9" s="883"/>
      <c r="MHX9" s="883"/>
      <c r="MHY9" s="883"/>
      <c r="MHZ9" s="883"/>
      <c r="MIA9" s="883"/>
      <c r="MIB9" s="883"/>
      <c r="MIC9" s="883"/>
      <c r="MID9" s="883"/>
      <c r="MIE9" s="883"/>
      <c r="MIF9" s="883"/>
      <c r="MIG9" s="883"/>
      <c r="MIH9" s="883"/>
      <c r="MII9" s="883"/>
      <c r="MIJ9" s="883"/>
      <c r="MIK9" s="883"/>
      <c r="MIL9" s="883"/>
      <c r="MIM9" s="883"/>
      <c r="MIN9" s="883"/>
      <c r="MIO9" s="883"/>
      <c r="MIP9" s="883"/>
      <c r="MIQ9" s="883"/>
      <c r="MIR9" s="883"/>
      <c r="MIS9" s="883"/>
      <c r="MIT9" s="883"/>
      <c r="MIU9" s="883"/>
      <c r="MIV9" s="883"/>
      <c r="MIW9" s="883"/>
      <c r="MIX9" s="883"/>
      <c r="MIY9" s="883"/>
      <c r="MIZ9" s="883"/>
      <c r="MJA9" s="883"/>
      <c r="MJB9" s="883"/>
      <c r="MJC9" s="883"/>
      <c r="MJD9" s="883"/>
      <c r="MJE9" s="883"/>
      <c r="MJF9" s="883"/>
      <c r="MJG9" s="883"/>
      <c r="MJH9" s="883"/>
      <c r="MJI9" s="883"/>
      <c r="MJJ9" s="883"/>
      <c r="MJK9" s="883"/>
      <c r="MJL9" s="883"/>
      <c r="MJM9" s="883"/>
      <c r="MJN9" s="883"/>
      <c r="MJO9" s="883"/>
      <c r="MJP9" s="883"/>
      <c r="MJQ9" s="883"/>
      <c r="MJR9" s="883"/>
      <c r="MJS9" s="883"/>
      <c r="MJT9" s="883"/>
      <c r="MJU9" s="883"/>
      <c r="MJV9" s="883"/>
      <c r="MJW9" s="883"/>
      <c r="MJX9" s="883"/>
      <c r="MJY9" s="883"/>
      <c r="MJZ9" s="883"/>
      <c r="MKA9" s="883"/>
      <c r="MKB9" s="883"/>
      <c r="MKC9" s="883"/>
      <c r="MKD9" s="883"/>
      <c r="MKE9" s="883"/>
      <c r="MKF9" s="883"/>
      <c r="MKG9" s="883"/>
      <c r="MKH9" s="883"/>
      <c r="MKI9" s="883"/>
      <c r="MKJ9" s="883"/>
      <c r="MKK9" s="883"/>
      <c r="MKL9" s="883"/>
      <c r="MKM9" s="883"/>
      <c r="MKN9" s="883"/>
      <c r="MKO9" s="883"/>
      <c r="MKP9" s="883"/>
      <c r="MKQ9" s="883"/>
      <c r="MKR9" s="883"/>
      <c r="MKS9" s="883"/>
      <c r="MKT9" s="883"/>
      <c r="MKU9" s="883"/>
      <c r="MKV9" s="883"/>
      <c r="MKW9" s="883"/>
      <c r="MKX9" s="883"/>
      <c r="MKY9" s="883"/>
      <c r="MKZ9" s="883"/>
      <c r="MLA9" s="883"/>
      <c r="MLB9" s="883"/>
      <c r="MLC9" s="883"/>
      <c r="MLD9" s="883"/>
      <c r="MLE9" s="883"/>
      <c r="MLF9" s="883"/>
      <c r="MLG9" s="883"/>
      <c r="MLH9" s="883"/>
      <c r="MLI9" s="883"/>
      <c r="MLJ9" s="883"/>
      <c r="MLK9" s="883"/>
      <c r="MLL9" s="883"/>
      <c r="MLM9" s="883"/>
      <c r="MLN9" s="883"/>
      <c r="MLO9" s="883"/>
      <c r="MLP9" s="883"/>
      <c r="MLQ9" s="883"/>
      <c r="MLR9" s="883"/>
      <c r="MLS9" s="883"/>
      <c r="MLT9" s="883"/>
      <c r="MLU9" s="883"/>
      <c r="MLV9" s="883"/>
      <c r="MLW9" s="883"/>
      <c r="MLX9" s="883"/>
      <c r="MLY9" s="883"/>
      <c r="MLZ9" s="883"/>
      <c r="MMA9" s="883"/>
      <c r="MMB9" s="883"/>
      <c r="MMC9" s="883"/>
      <c r="MMD9" s="883"/>
      <c r="MME9" s="883"/>
      <c r="MMF9" s="883"/>
      <c r="MMG9" s="883"/>
      <c r="MMH9" s="883"/>
      <c r="MMI9" s="883"/>
      <c r="MMJ9" s="883"/>
      <c r="MMK9" s="883"/>
      <c r="MML9" s="883"/>
      <c r="MMM9" s="883"/>
      <c r="MMN9" s="883"/>
      <c r="MMO9" s="883"/>
      <c r="MMP9" s="883"/>
      <c r="MMQ9" s="883"/>
      <c r="MMR9" s="883"/>
      <c r="MMS9" s="883"/>
      <c r="MMT9" s="883"/>
      <c r="MMU9" s="883"/>
      <c r="MMV9" s="883"/>
      <c r="MMW9" s="883"/>
      <c r="MMX9" s="883"/>
      <c r="MMY9" s="883"/>
      <c r="MMZ9" s="883"/>
      <c r="MNA9" s="883"/>
      <c r="MNB9" s="883"/>
      <c r="MNC9" s="883"/>
      <c r="MND9" s="883"/>
      <c r="MNE9" s="883"/>
      <c r="MNF9" s="883"/>
      <c r="MNG9" s="883"/>
      <c r="MNH9" s="883"/>
      <c r="MNI9" s="883"/>
      <c r="MNJ9" s="883"/>
      <c r="MNK9" s="883"/>
      <c r="MNL9" s="883"/>
      <c r="MNM9" s="883"/>
      <c r="MNN9" s="883"/>
      <c r="MNO9" s="883"/>
      <c r="MNP9" s="883"/>
      <c r="MNQ9" s="883"/>
      <c r="MNR9" s="883"/>
      <c r="MNS9" s="883"/>
      <c r="MNT9" s="883"/>
      <c r="MNU9" s="883"/>
      <c r="MNV9" s="883"/>
      <c r="MNW9" s="883"/>
      <c r="MNX9" s="883"/>
      <c r="MNY9" s="883"/>
      <c r="MNZ9" s="883"/>
      <c r="MOA9" s="883"/>
      <c r="MOB9" s="883"/>
      <c r="MOC9" s="883"/>
      <c r="MOD9" s="883"/>
      <c r="MOE9" s="883"/>
      <c r="MOF9" s="883"/>
      <c r="MOG9" s="883"/>
      <c r="MOH9" s="883"/>
      <c r="MOI9" s="883"/>
      <c r="MOJ9" s="883"/>
      <c r="MOK9" s="883"/>
      <c r="MOL9" s="883"/>
      <c r="MOM9" s="883"/>
      <c r="MON9" s="883"/>
      <c r="MOO9" s="883"/>
      <c r="MOP9" s="883"/>
      <c r="MOQ9" s="883"/>
      <c r="MOR9" s="883"/>
      <c r="MOS9" s="883"/>
      <c r="MOT9" s="883"/>
      <c r="MOU9" s="883"/>
      <c r="MOV9" s="883"/>
      <c r="MOW9" s="883"/>
      <c r="MOX9" s="883"/>
      <c r="MOY9" s="883"/>
      <c r="MOZ9" s="883"/>
      <c r="MPA9" s="883"/>
      <c r="MPB9" s="883"/>
      <c r="MPC9" s="883"/>
      <c r="MPD9" s="883"/>
      <c r="MPE9" s="883"/>
      <c r="MPF9" s="883"/>
      <c r="MPG9" s="883"/>
      <c r="MPH9" s="883"/>
      <c r="MPI9" s="883"/>
      <c r="MPJ9" s="883"/>
      <c r="MPK9" s="883"/>
      <c r="MPL9" s="883"/>
      <c r="MPM9" s="883"/>
      <c r="MPN9" s="883"/>
      <c r="MPO9" s="883"/>
      <c r="MPP9" s="883"/>
      <c r="MPQ9" s="883"/>
      <c r="MPR9" s="883"/>
      <c r="MPS9" s="883"/>
      <c r="MPT9" s="883"/>
      <c r="MPU9" s="883"/>
      <c r="MPV9" s="883"/>
      <c r="MPW9" s="883"/>
      <c r="MPX9" s="883"/>
      <c r="MPY9" s="883"/>
      <c r="MPZ9" s="883"/>
      <c r="MQA9" s="883"/>
      <c r="MQB9" s="883"/>
      <c r="MQC9" s="883"/>
      <c r="MQD9" s="883"/>
      <c r="MQE9" s="883"/>
      <c r="MQF9" s="883"/>
      <c r="MQG9" s="883"/>
      <c r="MQH9" s="883"/>
      <c r="MQI9" s="883"/>
      <c r="MQJ9" s="883"/>
      <c r="MQK9" s="883"/>
      <c r="MQL9" s="883"/>
      <c r="MQM9" s="883"/>
      <c r="MQN9" s="883"/>
      <c r="MQO9" s="883"/>
      <c r="MQP9" s="883"/>
      <c r="MQQ9" s="883"/>
      <c r="MQR9" s="883"/>
      <c r="MQS9" s="883"/>
      <c r="MQT9" s="883"/>
      <c r="MQU9" s="883"/>
      <c r="MQV9" s="883"/>
      <c r="MQW9" s="883"/>
      <c r="MQX9" s="883"/>
      <c r="MQY9" s="883"/>
      <c r="MQZ9" s="883"/>
      <c r="MRA9" s="883"/>
      <c r="MRB9" s="883"/>
      <c r="MRC9" s="883"/>
      <c r="MRD9" s="883"/>
      <c r="MRE9" s="883"/>
      <c r="MRF9" s="883"/>
      <c r="MRG9" s="883"/>
      <c r="MRH9" s="883"/>
      <c r="MRI9" s="883"/>
      <c r="MRJ9" s="883"/>
      <c r="MRK9" s="883"/>
      <c r="MRL9" s="883"/>
      <c r="MRM9" s="883"/>
      <c r="MRN9" s="883"/>
      <c r="MRO9" s="883"/>
      <c r="MRP9" s="883"/>
      <c r="MRQ9" s="883"/>
      <c r="MRR9" s="883"/>
      <c r="MRS9" s="883"/>
      <c r="MRT9" s="883"/>
      <c r="MRU9" s="883"/>
      <c r="MRV9" s="883"/>
      <c r="MRW9" s="883"/>
      <c r="MRX9" s="883"/>
      <c r="MRY9" s="883"/>
      <c r="MRZ9" s="883"/>
      <c r="MSA9" s="883"/>
      <c r="MSB9" s="883"/>
      <c r="MSC9" s="883"/>
      <c r="MSD9" s="883"/>
      <c r="MSE9" s="883"/>
      <c r="MSF9" s="883"/>
      <c r="MSG9" s="883"/>
      <c r="MSH9" s="883"/>
      <c r="MSI9" s="883"/>
      <c r="MSJ9" s="883"/>
      <c r="MSK9" s="883"/>
      <c r="MSL9" s="883"/>
      <c r="MSM9" s="883"/>
      <c r="MSN9" s="883"/>
      <c r="MSO9" s="883"/>
      <c r="MSP9" s="883"/>
      <c r="MSQ9" s="883"/>
      <c r="MSR9" s="883"/>
      <c r="MSS9" s="883"/>
      <c r="MST9" s="883"/>
      <c r="MSU9" s="883"/>
      <c r="MSV9" s="883"/>
      <c r="MSW9" s="883"/>
      <c r="MSX9" s="883"/>
      <c r="MSY9" s="883"/>
      <c r="MSZ9" s="883"/>
      <c r="MTA9" s="883"/>
      <c r="MTB9" s="883"/>
      <c r="MTC9" s="883"/>
      <c r="MTD9" s="883"/>
      <c r="MTE9" s="883"/>
      <c r="MTF9" s="883"/>
      <c r="MTG9" s="883"/>
      <c r="MTH9" s="883"/>
      <c r="MTI9" s="883"/>
      <c r="MTJ9" s="883"/>
      <c r="MTK9" s="883"/>
      <c r="MTL9" s="883"/>
      <c r="MTM9" s="883"/>
      <c r="MTN9" s="883"/>
      <c r="MTO9" s="883"/>
      <c r="MTP9" s="883"/>
      <c r="MTQ9" s="883"/>
      <c r="MTR9" s="883"/>
      <c r="MTS9" s="883"/>
      <c r="MTT9" s="883"/>
      <c r="MTU9" s="883"/>
      <c r="MTV9" s="883"/>
      <c r="MTW9" s="883"/>
      <c r="MTX9" s="883"/>
      <c r="MTY9" s="883"/>
      <c r="MTZ9" s="883"/>
      <c r="MUA9" s="883"/>
      <c r="MUB9" s="883"/>
      <c r="MUC9" s="883"/>
      <c r="MUD9" s="883"/>
      <c r="MUE9" s="883"/>
      <c r="MUF9" s="883"/>
      <c r="MUG9" s="883"/>
      <c r="MUH9" s="883"/>
      <c r="MUI9" s="883"/>
      <c r="MUJ9" s="883"/>
      <c r="MUK9" s="883"/>
      <c r="MUL9" s="883"/>
      <c r="MUM9" s="883"/>
      <c r="MUN9" s="883"/>
      <c r="MUO9" s="883"/>
      <c r="MUP9" s="883"/>
      <c r="MUQ9" s="883"/>
      <c r="MUR9" s="883"/>
      <c r="MUS9" s="883"/>
      <c r="MUT9" s="883"/>
      <c r="MUU9" s="883"/>
      <c r="MUV9" s="883"/>
      <c r="MUW9" s="883"/>
      <c r="MUX9" s="883"/>
      <c r="MUY9" s="883"/>
      <c r="MUZ9" s="883"/>
      <c r="MVA9" s="883"/>
      <c r="MVB9" s="883"/>
      <c r="MVC9" s="883"/>
      <c r="MVD9" s="883"/>
      <c r="MVE9" s="883"/>
      <c r="MVF9" s="883"/>
      <c r="MVG9" s="883"/>
      <c r="MVH9" s="883"/>
      <c r="MVI9" s="883"/>
      <c r="MVJ9" s="883"/>
      <c r="MVK9" s="883"/>
      <c r="MVL9" s="883"/>
      <c r="MVM9" s="883"/>
      <c r="MVN9" s="883"/>
      <c r="MVO9" s="883"/>
      <c r="MVP9" s="883"/>
      <c r="MVQ9" s="883"/>
      <c r="MVR9" s="883"/>
      <c r="MVS9" s="883"/>
      <c r="MVT9" s="883"/>
      <c r="MVU9" s="883"/>
      <c r="MVV9" s="883"/>
      <c r="MVW9" s="883"/>
      <c r="MVX9" s="883"/>
      <c r="MVY9" s="883"/>
      <c r="MVZ9" s="883"/>
      <c r="MWA9" s="883"/>
      <c r="MWB9" s="883"/>
      <c r="MWC9" s="883"/>
      <c r="MWD9" s="883"/>
      <c r="MWE9" s="883"/>
      <c r="MWF9" s="883"/>
      <c r="MWG9" s="883"/>
      <c r="MWH9" s="883"/>
      <c r="MWI9" s="883"/>
      <c r="MWJ9" s="883"/>
      <c r="MWK9" s="883"/>
      <c r="MWL9" s="883"/>
      <c r="MWM9" s="883"/>
      <c r="MWN9" s="883"/>
      <c r="MWO9" s="883"/>
      <c r="MWP9" s="883"/>
      <c r="MWQ9" s="883"/>
      <c r="MWR9" s="883"/>
      <c r="MWS9" s="883"/>
      <c r="MWT9" s="883"/>
      <c r="MWU9" s="883"/>
      <c r="MWV9" s="883"/>
      <c r="MWW9" s="883"/>
      <c r="MWX9" s="883"/>
      <c r="MWY9" s="883"/>
      <c r="MWZ9" s="883"/>
      <c r="MXA9" s="883"/>
      <c r="MXB9" s="883"/>
      <c r="MXC9" s="883"/>
      <c r="MXD9" s="883"/>
      <c r="MXE9" s="883"/>
      <c r="MXF9" s="883"/>
      <c r="MXG9" s="883"/>
      <c r="MXH9" s="883"/>
      <c r="MXI9" s="883"/>
      <c r="MXJ9" s="883"/>
      <c r="MXK9" s="883"/>
      <c r="MXL9" s="883"/>
      <c r="MXM9" s="883"/>
      <c r="MXN9" s="883"/>
      <c r="MXO9" s="883"/>
      <c r="MXP9" s="883"/>
      <c r="MXQ9" s="883"/>
      <c r="MXR9" s="883"/>
      <c r="MXS9" s="883"/>
      <c r="MXT9" s="883"/>
      <c r="MXU9" s="883"/>
      <c r="MXV9" s="883"/>
      <c r="MXW9" s="883"/>
      <c r="MXX9" s="883"/>
      <c r="MXY9" s="883"/>
      <c r="MXZ9" s="883"/>
      <c r="MYA9" s="883"/>
      <c r="MYB9" s="883"/>
      <c r="MYC9" s="883"/>
      <c r="MYD9" s="883"/>
      <c r="MYE9" s="883"/>
      <c r="MYF9" s="883"/>
      <c r="MYG9" s="883"/>
      <c r="MYH9" s="883"/>
      <c r="MYI9" s="883"/>
      <c r="MYJ9" s="883"/>
      <c r="MYK9" s="883"/>
      <c r="MYL9" s="883"/>
      <c r="MYM9" s="883"/>
      <c r="MYN9" s="883"/>
      <c r="MYO9" s="883"/>
      <c r="MYP9" s="883"/>
      <c r="MYQ9" s="883"/>
      <c r="MYR9" s="883"/>
      <c r="MYS9" s="883"/>
      <c r="MYT9" s="883"/>
      <c r="MYU9" s="883"/>
      <c r="MYV9" s="883"/>
      <c r="MYW9" s="883"/>
      <c r="MYX9" s="883"/>
      <c r="MYY9" s="883"/>
      <c r="MYZ9" s="883"/>
      <c r="MZA9" s="883"/>
      <c r="MZB9" s="883"/>
      <c r="MZC9" s="883"/>
      <c r="MZD9" s="883"/>
      <c r="MZE9" s="883"/>
      <c r="MZF9" s="883"/>
      <c r="MZG9" s="883"/>
      <c r="MZH9" s="883"/>
      <c r="MZI9" s="883"/>
      <c r="MZJ9" s="883"/>
      <c r="MZK9" s="883"/>
      <c r="MZL9" s="883"/>
      <c r="MZM9" s="883"/>
      <c r="MZN9" s="883"/>
      <c r="MZO9" s="883"/>
      <c r="MZP9" s="883"/>
      <c r="MZQ9" s="883"/>
      <c r="MZR9" s="883"/>
      <c r="MZS9" s="883"/>
      <c r="MZT9" s="883"/>
      <c r="MZU9" s="883"/>
      <c r="MZV9" s="883"/>
      <c r="MZW9" s="883"/>
      <c r="MZX9" s="883"/>
      <c r="MZY9" s="883"/>
      <c r="MZZ9" s="883"/>
      <c r="NAA9" s="883"/>
      <c r="NAB9" s="883"/>
      <c r="NAC9" s="883"/>
      <c r="NAD9" s="883"/>
      <c r="NAE9" s="883"/>
      <c r="NAF9" s="883"/>
      <c r="NAG9" s="883"/>
      <c r="NAH9" s="883"/>
      <c r="NAI9" s="883"/>
      <c r="NAJ9" s="883"/>
      <c r="NAK9" s="883"/>
      <c r="NAL9" s="883"/>
      <c r="NAM9" s="883"/>
      <c r="NAN9" s="883"/>
      <c r="NAO9" s="883"/>
      <c r="NAP9" s="883"/>
      <c r="NAQ9" s="883"/>
      <c r="NAR9" s="883"/>
      <c r="NAS9" s="883"/>
      <c r="NAT9" s="883"/>
      <c r="NAU9" s="883"/>
      <c r="NAV9" s="883"/>
      <c r="NAW9" s="883"/>
      <c r="NAX9" s="883"/>
      <c r="NAY9" s="883"/>
      <c r="NAZ9" s="883"/>
      <c r="NBA9" s="883"/>
      <c r="NBB9" s="883"/>
      <c r="NBC9" s="883"/>
      <c r="NBD9" s="883"/>
      <c r="NBE9" s="883"/>
      <c r="NBF9" s="883"/>
      <c r="NBG9" s="883"/>
      <c r="NBH9" s="883"/>
      <c r="NBI9" s="883"/>
      <c r="NBJ9" s="883"/>
      <c r="NBK9" s="883"/>
      <c r="NBL9" s="883"/>
      <c r="NBM9" s="883"/>
      <c r="NBN9" s="883"/>
      <c r="NBO9" s="883"/>
      <c r="NBP9" s="883"/>
      <c r="NBQ9" s="883"/>
      <c r="NBR9" s="883"/>
      <c r="NBS9" s="883"/>
      <c r="NBT9" s="883"/>
      <c r="NBU9" s="883"/>
      <c r="NBV9" s="883"/>
      <c r="NBW9" s="883"/>
      <c r="NBX9" s="883"/>
      <c r="NBY9" s="883"/>
      <c r="NBZ9" s="883"/>
      <c r="NCA9" s="883"/>
      <c r="NCB9" s="883"/>
      <c r="NCC9" s="883"/>
      <c r="NCD9" s="883"/>
      <c r="NCE9" s="883"/>
      <c r="NCF9" s="883"/>
      <c r="NCG9" s="883"/>
      <c r="NCH9" s="883"/>
      <c r="NCI9" s="883"/>
      <c r="NCJ9" s="883"/>
      <c r="NCK9" s="883"/>
      <c r="NCL9" s="883"/>
      <c r="NCM9" s="883"/>
      <c r="NCN9" s="883"/>
      <c r="NCO9" s="883"/>
      <c r="NCP9" s="883"/>
      <c r="NCQ9" s="883"/>
      <c r="NCR9" s="883"/>
      <c r="NCS9" s="883"/>
      <c r="NCT9" s="883"/>
      <c r="NCU9" s="883"/>
      <c r="NCV9" s="883"/>
      <c r="NCW9" s="883"/>
      <c r="NCX9" s="883"/>
      <c r="NCY9" s="883"/>
      <c r="NCZ9" s="883"/>
      <c r="NDA9" s="883"/>
      <c r="NDB9" s="883"/>
      <c r="NDC9" s="883"/>
      <c r="NDD9" s="883"/>
      <c r="NDE9" s="883"/>
      <c r="NDF9" s="883"/>
      <c r="NDG9" s="883"/>
      <c r="NDH9" s="883"/>
      <c r="NDI9" s="883"/>
      <c r="NDJ9" s="883"/>
      <c r="NDK9" s="883"/>
      <c r="NDL9" s="883"/>
      <c r="NDM9" s="883"/>
      <c r="NDN9" s="883"/>
      <c r="NDO9" s="883"/>
      <c r="NDP9" s="883"/>
      <c r="NDQ9" s="883"/>
      <c r="NDR9" s="883"/>
      <c r="NDS9" s="883"/>
      <c r="NDT9" s="883"/>
      <c r="NDU9" s="883"/>
      <c r="NDV9" s="883"/>
      <c r="NDW9" s="883"/>
      <c r="NDX9" s="883"/>
      <c r="NDY9" s="883"/>
      <c r="NDZ9" s="883"/>
      <c r="NEA9" s="883"/>
      <c r="NEB9" s="883"/>
      <c r="NEC9" s="883"/>
      <c r="NED9" s="883"/>
      <c r="NEE9" s="883"/>
      <c r="NEF9" s="883"/>
      <c r="NEG9" s="883"/>
      <c r="NEH9" s="883"/>
      <c r="NEI9" s="883"/>
      <c r="NEJ9" s="883"/>
      <c r="NEK9" s="883"/>
      <c r="NEL9" s="883"/>
      <c r="NEM9" s="883"/>
      <c r="NEN9" s="883"/>
      <c r="NEO9" s="883"/>
      <c r="NEP9" s="883"/>
      <c r="NEQ9" s="883"/>
      <c r="NER9" s="883"/>
      <c r="NES9" s="883"/>
      <c r="NET9" s="883"/>
      <c r="NEU9" s="883"/>
      <c r="NEV9" s="883"/>
      <c r="NEW9" s="883"/>
      <c r="NEX9" s="883"/>
      <c r="NEY9" s="883"/>
      <c r="NEZ9" s="883"/>
      <c r="NFA9" s="883"/>
      <c r="NFB9" s="883"/>
      <c r="NFC9" s="883"/>
      <c r="NFD9" s="883"/>
      <c r="NFE9" s="883"/>
      <c r="NFF9" s="883"/>
      <c r="NFG9" s="883"/>
      <c r="NFH9" s="883"/>
      <c r="NFI9" s="883"/>
      <c r="NFJ9" s="883"/>
      <c r="NFK9" s="883"/>
      <c r="NFL9" s="883"/>
      <c r="NFM9" s="883"/>
      <c r="NFN9" s="883"/>
      <c r="NFO9" s="883"/>
      <c r="NFP9" s="883"/>
      <c r="NFQ9" s="883"/>
      <c r="NFR9" s="883"/>
      <c r="NFS9" s="883"/>
      <c r="NFT9" s="883"/>
      <c r="NFU9" s="883"/>
      <c r="NFV9" s="883"/>
      <c r="NFW9" s="883"/>
      <c r="NFX9" s="883"/>
      <c r="NFY9" s="883"/>
      <c r="NFZ9" s="883"/>
      <c r="NGA9" s="883"/>
      <c r="NGB9" s="883"/>
      <c r="NGC9" s="883"/>
      <c r="NGD9" s="883"/>
      <c r="NGE9" s="883"/>
      <c r="NGF9" s="883"/>
      <c r="NGG9" s="883"/>
      <c r="NGH9" s="883"/>
      <c r="NGI9" s="883"/>
      <c r="NGJ9" s="883"/>
      <c r="NGK9" s="883"/>
      <c r="NGL9" s="883"/>
      <c r="NGM9" s="883"/>
      <c r="NGN9" s="883"/>
      <c r="NGO9" s="883"/>
      <c r="NGP9" s="883"/>
      <c r="NGQ9" s="883"/>
      <c r="NGR9" s="883"/>
      <c r="NGS9" s="883"/>
      <c r="NGT9" s="883"/>
      <c r="NGU9" s="883"/>
      <c r="NGV9" s="883"/>
      <c r="NGW9" s="883"/>
      <c r="NGX9" s="883"/>
      <c r="NGY9" s="883"/>
      <c r="NGZ9" s="883"/>
      <c r="NHA9" s="883"/>
      <c r="NHB9" s="883"/>
      <c r="NHC9" s="883"/>
      <c r="NHD9" s="883"/>
      <c r="NHE9" s="883"/>
      <c r="NHF9" s="883"/>
      <c r="NHG9" s="883"/>
      <c r="NHH9" s="883"/>
      <c r="NHI9" s="883"/>
      <c r="NHJ9" s="883"/>
      <c r="NHK9" s="883"/>
      <c r="NHL9" s="883"/>
      <c r="NHM9" s="883"/>
      <c r="NHN9" s="883"/>
      <c r="NHO9" s="883"/>
      <c r="NHP9" s="883"/>
      <c r="NHQ9" s="883"/>
      <c r="NHR9" s="883"/>
      <c r="NHS9" s="883"/>
      <c r="NHT9" s="883"/>
      <c r="NHU9" s="883"/>
      <c r="NHV9" s="883"/>
      <c r="NHW9" s="883"/>
      <c r="NHX9" s="883"/>
      <c r="NHY9" s="883"/>
      <c r="NHZ9" s="883"/>
      <c r="NIA9" s="883"/>
      <c r="NIB9" s="883"/>
      <c r="NIC9" s="883"/>
      <c r="NID9" s="883"/>
      <c r="NIE9" s="883"/>
      <c r="NIF9" s="883"/>
      <c r="NIG9" s="883"/>
      <c r="NIH9" s="883"/>
      <c r="NII9" s="883"/>
      <c r="NIJ9" s="883"/>
      <c r="NIK9" s="883"/>
      <c r="NIL9" s="883"/>
      <c r="NIM9" s="883"/>
      <c r="NIN9" s="883"/>
      <c r="NIO9" s="883"/>
      <c r="NIP9" s="883"/>
      <c r="NIQ9" s="883"/>
      <c r="NIR9" s="883"/>
      <c r="NIS9" s="883"/>
      <c r="NIT9" s="883"/>
      <c r="NIU9" s="883"/>
      <c r="NIV9" s="883"/>
      <c r="NIW9" s="883"/>
      <c r="NIX9" s="883"/>
      <c r="NIY9" s="883"/>
      <c r="NIZ9" s="883"/>
      <c r="NJA9" s="883"/>
      <c r="NJB9" s="883"/>
      <c r="NJC9" s="883"/>
      <c r="NJD9" s="883"/>
      <c r="NJE9" s="883"/>
      <c r="NJF9" s="883"/>
      <c r="NJG9" s="883"/>
      <c r="NJH9" s="883"/>
      <c r="NJI9" s="883"/>
      <c r="NJJ9" s="883"/>
      <c r="NJK9" s="883"/>
      <c r="NJL9" s="883"/>
      <c r="NJM9" s="883"/>
      <c r="NJN9" s="883"/>
      <c r="NJO9" s="883"/>
      <c r="NJP9" s="883"/>
      <c r="NJQ9" s="883"/>
      <c r="NJR9" s="883"/>
      <c r="NJS9" s="883"/>
      <c r="NJT9" s="883"/>
      <c r="NJU9" s="883"/>
      <c r="NJV9" s="883"/>
      <c r="NJW9" s="883"/>
      <c r="NJX9" s="883"/>
      <c r="NJY9" s="883"/>
      <c r="NJZ9" s="883"/>
      <c r="NKA9" s="883"/>
      <c r="NKB9" s="883"/>
      <c r="NKC9" s="883"/>
      <c r="NKD9" s="883"/>
      <c r="NKE9" s="883"/>
      <c r="NKF9" s="883"/>
      <c r="NKG9" s="883"/>
      <c r="NKH9" s="883"/>
      <c r="NKI9" s="883"/>
      <c r="NKJ9" s="883"/>
      <c r="NKK9" s="883"/>
      <c r="NKL9" s="883"/>
      <c r="NKM9" s="883"/>
      <c r="NKN9" s="883"/>
      <c r="NKO9" s="883"/>
      <c r="NKP9" s="883"/>
      <c r="NKQ9" s="883"/>
      <c r="NKR9" s="883"/>
      <c r="NKS9" s="883"/>
      <c r="NKT9" s="883"/>
      <c r="NKU9" s="883"/>
      <c r="NKV9" s="883"/>
      <c r="NKW9" s="883"/>
      <c r="NKX9" s="883"/>
      <c r="NKY9" s="883"/>
      <c r="NKZ9" s="883"/>
      <c r="NLA9" s="883"/>
      <c r="NLB9" s="883"/>
      <c r="NLC9" s="883"/>
      <c r="NLD9" s="883"/>
      <c r="NLE9" s="883"/>
      <c r="NLF9" s="883"/>
      <c r="NLG9" s="883"/>
      <c r="NLH9" s="883"/>
      <c r="NLI9" s="883"/>
      <c r="NLJ9" s="883"/>
      <c r="NLK9" s="883"/>
      <c r="NLL9" s="883"/>
      <c r="NLM9" s="883"/>
      <c r="NLN9" s="883"/>
      <c r="NLO9" s="883"/>
      <c r="NLP9" s="883"/>
      <c r="NLQ9" s="883"/>
      <c r="NLR9" s="883"/>
      <c r="NLS9" s="883"/>
      <c r="NLT9" s="883"/>
      <c r="NLU9" s="883"/>
      <c r="NLV9" s="883"/>
      <c r="NLW9" s="883"/>
      <c r="NLX9" s="883"/>
      <c r="NLY9" s="883"/>
      <c r="NLZ9" s="883"/>
      <c r="NMA9" s="883"/>
      <c r="NMB9" s="883"/>
      <c r="NMC9" s="883"/>
      <c r="NMD9" s="883"/>
      <c r="NME9" s="883"/>
      <c r="NMF9" s="883"/>
      <c r="NMG9" s="883"/>
      <c r="NMH9" s="883"/>
      <c r="NMI9" s="883"/>
      <c r="NMJ9" s="883"/>
      <c r="NMK9" s="883"/>
      <c r="NML9" s="883"/>
      <c r="NMM9" s="883"/>
      <c r="NMN9" s="883"/>
      <c r="NMO9" s="883"/>
      <c r="NMP9" s="883"/>
      <c r="NMQ9" s="883"/>
      <c r="NMR9" s="883"/>
      <c r="NMS9" s="883"/>
      <c r="NMT9" s="883"/>
      <c r="NMU9" s="883"/>
      <c r="NMV9" s="883"/>
      <c r="NMW9" s="883"/>
      <c r="NMX9" s="883"/>
      <c r="NMY9" s="883"/>
      <c r="NMZ9" s="883"/>
      <c r="NNA9" s="883"/>
      <c r="NNB9" s="883"/>
      <c r="NNC9" s="883"/>
      <c r="NND9" s="883"/>
      <c r="NNE9" s="883"/>
      <c r="NNF9" s="883"/>
      <c r="NNG9" s="883"/>
      <c r="NNH9" s="883"/>
      <c r="NNI9" s="883"/>
      <c r="NNJ9" s="883"/>
      <c r="NNK9" s="883"/>
      <c r="NNL9" s="883"/>
      <c r="NNM9" s="883"/>
      <c r="NNN9" s="883"/>
      <c r="NNO9" s="883"/>
      <c r="NNP9" s="883"/>
      <c r="NNQ9" s="883"/>
      <c r="NNR9" s="883"/>
      <c r="NNS9" s="883"/>
      <c r="NNT9" s="883"/>
      <c r="NNU9" s="883"/>
      <c r="NNV9" s="883"/>
      <c r="NNW9" s="883"/>
      <c r="NNX9" s="883"/>
      <c r="NNY9" s="883"/>
      <c r="NNZ9" s="883"/>
      <c r="NOA9" s="883"/>
      <c r="NOB9" s="883"/>
      <c r="NOC9" s="883"/>
      <c r="NOD9" s="883"/>
      <c r="NOE9" s="883"/>
      <c r="NOF9" s="883"/>
      <c r="NOG9" s="883"/>
      <c r="NOH9" s="883"/>
      <c r="NOI9" s="883"/>
      <c r="NOJ9" s="883"/>
      <c r="NOK9" s="883"/>
      <c r="NOL9" s="883"/>
      <c r="NOM9" s="883"/>
      <c r="NON9" s="883"/>
      <c r="NOO9" s="883"/>
      <c r="NOP9" s="883"/>
      <c r="NOQ9" s="883"/>
      <c r="NOR9" s="883"/>
      <c r="NOS9" s="883"/>
      <c r="NOT9" s="883"/>
      <c r="NOU9" s="883"/>
      <c r="NOV9" s="883"/>
      <c r="NOW9" s="883"/>
      <c r="NOX9" s="883"/>
      <c r="NOY9" s="883"/>
      <c r="NOZ9" s="883"/>
      <c r="NPA9" s="883"/>
      <c r="NPB9" s="883"/>
      <c r="NPC9" s="883"/>
      <c r="NPD9" s="883"/>
      <c r="NPE9" s="883"/>
      <c r="NPF9" s="883"/>
      <c r="NPG9" s="883"/>
      <c r="NPH9" s="883"/>
      <c r="NPI9" s="883"/>
      <c r="NPJ9" s="883"/>
      <c r="NPK9" s="883"/>
      <c r="NPL9" s="883"/>
      <c r="NPM9" s="883"/>
      <c r="NPN9" s="883"/>
      <c r="NPO9" s="883"/>
      <c r="NPP9" s="883"/>
      <c r="NPQ9" s="883"/>
      <c r="NPR9" s="883"/>
      <c r="NPS9" s="883"/>
      <c r="NPT9" s="883"/>
      <c r="NPU9" s="883"/>
      <c r="NPV9" s="883"/>
      <c r="NPW9" s="883"/>
      <c r="NPX9" s="883"/>
      <c r="NPY9" s="883"/>
      <c r="NPZ9" s="883"/>
      <c r="NQA9" s="883"/>
      <c r="NQB9" s="883"/>
      <c r="NQC9" s="883"/>
      <c r="NQD9" s="883"/>
      <c r="NQE9" s="883"/>
      <c r="NQF9" s="883"/>
      <c r="NQG9" s="883"/>
      <c r="NQH9" s="883"/>
      <c r="NQI9" s="883"/>
      <c r="NQJ9" s="883"/>
      <c r="NQK9" s="883"/>
      <c r="NQL9" s="883"/>
      <c r="NQM9" s="883"/>
      <c r="NQN9" s="883"/>
      <c r="NQO9" s="883"/>
      <c r="NQP9" s="883"/>
      <c r="NQQ9" s="883"/>
      <c r="NQR9" s="883"/>
      <c r="NQS9" s="883"/>
      <c r="NQT9" s="883"/>
      <c r="NQU9" s="883"/>
      <c r="NQV9" s="883"/>
      <c r="NQW9" s="883"/>
      <c r="NQX9" s="883"/>
      <c r="NQY9" s="883"/>
      <c r="NQZ9" s="883"/>
      <c r="NRA9" s="883"/>
      <c r="NRB9" s="883"/>
      <c r="NRC9" s="883"/>
      <c r="NRD9" s="883"/>
      <c r="NRE9" s="883"/>
      <c r="NRF9" s="883"/>
      <c r="NRG9" s="883"/>
      <c r="NRH9" s="883"/>
      <c r="NRI9" s="883"/>
      <c r="NRJ9" s="883"/>
      <c r="NRK9" s="883"/>
      <c r="NRL9" s="883"/>
      <c r="NRM9" s="883"/>
      <c r="NRN9" s="883"/>
      <c r="NRO9" s="883"/>
      <c r="NRP9" s="883"/>
      <c r="NRQ9" s="883"/>
      <c r="NRR9" s="883"/>
      <c r="NRS9" s="883"/>
      <c r="NRT9" s="883"/>
      <c r="NRU9" s="883"/>
      <c r="NRV9" s="883"/>
      <c r="NRW9" s="883"/>
      <c r="NRX9" s="883"/>
      <c r="NRY9" s="883"/>
      <c r="NRZ9" s="883"/>
      <c r="NSA9" s="883"/>
      <c r="NSB9" s="883"/>
      <c r="NSC9" s="883"/>
      <c r="NSD9" s="883"/>
      <c r="NSE9" s="883"/>
      <c r="NSF9" s="883"/>
      <c r="NSG9" s="883"/>
      <c r="NSH9" s="883"/>
      <c r="NSI9" s="883"/>
      <c r="NSJ9" s="883"/>
      <c r="NSK9" s="883"/>
      <c r="NSL9" s="883"/>
      <c r="NSM9" s="883"/>
      <c r="NSN9" s="883"/>
      <c r="NSO9" s="883"/>
      <c r="NSP9" s="883"/>
      <c r="NSQ9" s="883"/>
      <c r="NSR9" s="883"/>
      <c r="NSS9" s="883"/>
      <c r="NST9" s="883"/>
      <c r="NSU9" s="883"/>
      <c r="NSV9" s="883"/>
      <c r="NSW9" s="883"/>
      <c r="NSX9" s="883"/>
      <c r="NSY9" s="883"/>
      <c r="NSZ9" s="883"/>
      <c r="NTA9" s="883"/>
      <c r="NTB9" s="883"/>
      <c r="NTC9" s="883"/>
      <c r="NTD9" s="883"/>
      <c r="NTE9" s="883"/>
      <c r="NTF9" s="883"/>
      <c r="NTG9" s="883"/>
      <c r="NTH9" s="883"/>
      <c r="NTI9" s="883"/>
      <c r="NTJ9" s="883"/>
      <c r="NTK9" s="883"/>
      <c r="NTL9" s="883"/>
      <c r="NTM9" s="883"/>
      <c r="NTN9" s="883"/>
      <c r="NTO9" s="883"/>
      <c r="NTP9" s="883"/>
      <c r="NTQ9" s="883"/>
      <c r="NTR9" s="883"/>
      <c r="NTS9" s="883"/>
      <c r="NTT9" s="883"/>
      <c r="NTU9" s="883"/>
      <c r="NTV9" s="883"/>
      <c r="NTW9" s="883"/>
      <c r="NTX9" s="883"/>
      <c r="NTY9" s="883"/>
      <c r="NTZ9" s="883"/>
      <c r="NUA9" s="883"/>
      <c r="NUB9" s="883"/>
      <c r="NUC9" s="883"/>
      <c r="NUD9" s="883"/>
      <c r="NUE9" s="883"/>
      <c r="NUF9" s="883"/>
      <c r="NUG9" s="883"/>
      <c r="NUH9" s="883"/>
      <c r="NUI9" s="883"/>
      <c r="NUJ9" s="883"/>
      <c r="NUK9" s="883"/>
      <c r="NUL9" s="883"/>
      <c r="NUM9" s="883"/>
      <c r="NUN9" s="883"/>
      <c r="NUO9" s="883"/>
      <c r="NUP9" s="883"/>
      <c r="NUQ9" s="883"/>
      <c r="NUR9" s="883"/>
      <c r="NUS9" s="883"/>
      <c r="NUT9" s="883"/>
      <c r="NUU9" s="883"/>
      <c r="NUV9" s="883"/>
      <c r="NUW9" s="883"/>
      <c r="NUX9" s="883"/>
      <c r="NUY9" s="883"/>
      <c r="NUZ9" s="883"/>
      <c r="NVA9" s="883"/>
      <c r="NVB9" s="883"/>
      <c r="NVC9" s="883"/>
      <c r="NVD9" s="883"/>
      <c r="NVE9" s="883"/>
      <c r="NVF9" s="883"/>
      <c r="NVG9" s="883"/>
      <c r="NVH9" s="883"/>
      <c r="NVI9" s="883"/>
      <c r="NVJ9" s="883"/>
      <c r="NVK9" s="883"/>
      <c r="NVL9" s="883"/>
      <c r="NVM9" s="883"/>
      <c r="NVN9" s="883"/>
      <c r="NVO9" s="883"/>
      <c r="NVP9" s="883"/>
      <c r="NVQ9" s="883"/>
      <c r="NVR9" s="883"/>
      <c r="NVS9" s="883"/>
      <c r="NVT9" s="883"/>
      <c r="NVU9" s="883"/>
      <c r="NVV9" s="883"/>
      <c r="NVW9" s="883"/>
      <c r="NVX9" s="883"/>
      <c r="NVY9" s="883"/>
      <c r="NVZ9" s="883"/>
      <c r="NWA9" s="883"/>
      <c r="NWB9" s="883"/>
      <c r="NWC9" s="883"/>
      <c r="NWD9" s="883"/>
      <c r="NWE9" s="883"/>
      <c r="NWF9" s="883"/>
      <c r="NWG9" s="883"/>
      <c r="NWH9" s="883"/>
      <c r="NWI9" s="883"/>
      <c r="NWJ9" s="883"/>
      <c r="NWK9" s="883"/>
      <c r="NWL9" s="883"/>
      <c r="NWM9" s="883"/>
      <c r="NWN9" s="883"/>
      <c r="NWO9" s="883"/>
      <c r="NWP9" s="883"/>
      <c r="NWQ9" s="883"/>
      <c r="NWR9" s="883"/>
      <c r="NWS9" s="883"/>
      <c r="NWT9" s="883"/>
      <c r="NWU9" s="883"/>
      <c r="NWV9" s="883"/>
      <c r="NWW9" s="883"/>
      <c r="NWX9" s="883"/>
      <c r="NWY9" s="883"/>
      <c r="NWZ9" s="883"/>
      <c r="NXA9" s="883"/>
      <c r="NXB9" s="883"/>
      <c r="NXC9" s="883"/>
      <c r="NXD9" s="883"/>
      <c r="NXE9" s="883"/>
      <c r="NXF9" s="883"/>
      <c r="NXG9" s="883"/>
      <c r="NXH9" s="883"/>
      <c r="NXI9" s="883"/>
      <c r="NXJ9" s="883"/>
      <c r="NXK9" s="883"/>
      <c r="NXL9" s="883"/>
      <c r="NXM9" s="883"/>
      <c r="NXN9" s="883"/>
      <c r="NXO9" s="883"/>
      <c r="NXP9" s="883"/>
      <c r="NXQ9" s="883"/>
      <c r="NXR9" s="883"/>
      <c r="NXS9" s="883"/>
      <c r="NXT9" s="883"/>
      <c r="NXU9" s="883"/>
      <c r="NXV9" s="883"/>
      <c r="NXW9" s="883"/>
      <c r="NXX9" s="883"/>
      <c r="NXY9" s="883"/>
      <c r="NXZ9" s="883"/>
      <c r="NYA9" s="883"/>
      <c r="NYB9" s="883"/>
      <c r="NYC9" s="883"/>
      <c r="NYD9" s="883"/>
      <c r="NYE9" s="883"/>
      <c r="NYF9" s="883"/>
      <c r="NYG9" s="883"/>
      <c r="NYH9" s="883"/>
      <c r="NYI9" s="883"/>
      <c r="NYJ9" s="883"/>
      <c r="NYK9" s="883"/>
      <c r="NYL9" s="883"/>
      <c r="NYM9" s="883"/>
      <c r="NYN9" s="883"/>
      <c r="NYO9" s="883"/>
      <c r="NYP9" s="883"/>
      <c r="NYQ9" s="883"/>
      <c r="NYR9" s="883"/>
      <c r="NYS9" s="883"/>
      <c r="NYT9" s="883"/>
      <c r="NYU9" s="883"/>
      <c r="NYV9" s="883"/>
      <c r="NYW9" s="883"/>
      <c r="NYX9" s="883"/>
      <c r="NYY9" s="883"/>
      <c r="NYZ9" s="883"/>
      <c r="NZA9" s="883"/>
      <c r="NZB9" s="883"/>
      <c r="NZC9" s="883"/>
      <c r="NZD9" s="883"/>
      <c r="NZE9" s="883"/>
      <c r="NZF9" s="883"/>
      <c r="NZG9" s="883"/>
      <c r="NZH9" s="883"/>
      <c r="NZI9" s="883"/>
      <c r="NZJ9" s="883"/>
      <c r="NZK9" s="883"/>
      <c r="NZL9" s="883"/>
      <c r="NZM9" s="883"/>
      <c r="NZN9" s="883"/>
      <c r="NZO9" s="883"/>
      <c r="NZP9" s="883"/>
      <c r="NZQ9" s="883"/>
      <c r="NZR9" s="883"/>
      <c r="NZS9" s="883"/>
      <c r="NZT9" s="883"/>
      <c r="NZU9" s="883"/>
      <c r="NZV9" s="883"/>
      <c r="NZW9" s="883"/>
      <c r="NZX9" s="883"/>
      <c r="NZY9" s="883"/>
      <c r="NZZ9" s="883"/>
      <c r="OAA9" s="883"/>
      <c r="OAB9" s="883"/>
      <c r="OAC9" s="883"/>
      <c r="OAD9" s="883"/>
      <c r="OAE9" s="883"/>
      <c r="OAF9" s="883"/>
      <c r="OAG9" s="883"/>
      <c r="OAH9" s="883"/>
      <c r="OAI9" s="883"/>
      <c r="OAJ9" s="883"/>
      <c r="OAK9" s="883"/>
      <c r="OAL9" s="883"/>
      <c r="OAM9" s="883"/>
      <c r="OAN9" s="883"/>
      <c r="OAO9" s="883"/>
      <c r="OAP9" s="883"/>
      <c r="OAQ9" s="883"/>
      <c r="OAR9" s="883"/>
      <c r="OAS9" s="883"/>
      <c r="OAT9" s="883"/>
      <c r="OAU9" s="883"/>
      <c r="OAV9" s="883"/>
      <c r="OAW9" s="883"/>
      <c r="OAX9" s="883"/>
      <c r="OAY9" s="883"/>
      <c r="OAZ9" s="883"/>
      <c r="OBA9" s="883"/>
      <c r="OBB9" s="883"/>
      <c r="OBC9" s="883"/>
      <c r="OBD9" s="883"/>
      <c r="OBE9" s="883"/>
      <c r="OBF9" s="883"/>
      <c r="OBG9" s="883"/>
      <c r="OBH9" s="883"/>
      <c r="OBI9" s="883"/>
      <c r="OBJ9" s="883"/>
      <c r="OBK9" s="883"/>
      <c r="OBL9" s="883"/>
      <c r="OBM9" s="883"/>
      <c r="OBN9" s="883"/>
      <c r="OBO9" s="883"/>
      <c r="OBP9" s="883"/>
      <c r="OBQ9" s="883"/>
      <c r="OBR9" s="883"/>
      <c r="OBS9" s="883"/>
      <c r="OBT9" s="883"/>
      <c r="OBU9" s="883"/>
      <c r="OBV9" s="883"/>
      <c r="OBW9" s="883"/>
      <c r="OBX9" s="883"/>
      <c r="OBY9" s="883"/>
      <c r="OBZ9" s="883"/>
      <c r="OCA9" s="883"/>
      <c r="OCB9" s="883"/>
      <c r="OCC9" s="883"/>
      <c r="OCD9" s="883"/>
      <c r="OCE9" s="883"/>
      <c r="OCF9" s="883"/>
      <c r="OCG9" s="883"/>
      <c r="OCH9" s="883"/>
      <c r="OCI9" s="883"/>
      <c r="OCJ9" s="883"/>
      <c r="OCK9" s="883"/>
      <c r="OCL9" s="883"/>
      <c r="OCM9" s="883"/>
      <c r="OCN9" s="883"/>
      <c r="OCO9" s="883"/>
      <c r="OCP9" s="883"/>
      <c r="OCQ9" s="883"/>
      <c r="OCR9" s="883"/>
      <c r="OCS9" s="883"/>
      <c r="OCT9" s="883"/>
      <c r="OCU9" s="883"/>
      <c r="OCV9" s="883"/>
      <c r="OCW9" s="883"/>
      <c r="OCX9" s="883"/>
      <c r="OCY9" s="883"/>
      <c r="OCZ9" s="883"/>
      <c r="ODA9" s="883"/>
      <c r="ODB9" s="883"/>
      <c r="ODC9" s="883"/>
      <c r="ODD9" s="883"/>
      <c r="ODE9" s="883"/>
      <c r="ODF9" s="883"/>
      <c r="ODG9" s="883"/>
      <c r="ODH9" s="883"/>
      <c r="ODI9" s="883"/>
      <c r="ODJ9" s="883"/>
      <c r="ODK9" s="883"/>
      <c r="ODL9" s="883"/>
      <c r="ODM9" s="883"/>
      <c r="ODN9" s="883"/>
      <c r="ODO9" s="883"/>
      <c r="ODP9" s="883"/>
      <c r="ODQ9" s="883"/>
      <c r="ODR9" s="883"/>
      <c r="ODS9" s="883"/>
      <c r="ODT9" s="883"/>
      <c r="ODU9" s="883"/>
      <c r="ODV9" s="883"/>
      <c r="ODW9" s="883"/>
      <c r="ODX9" s="883"/>
      <c r="ODY9" s="883"/>
      <c r="ODZ9" s="883"/>
      <c r="OEA9" s="883"/>
      <c r="OEB9" s="883"/>
      <c r="OEC9" s="883"/>
      <c r="OED9" s="883"/>
      <c r="OEE9" s="883"/>
      <c r="OEF9" s="883"/>
      <c r="OEG9" s="883"/>
      <c r="OEH9" s="883"/>
      <c r="OEI9" s="883"/>
      <c r="OEJ9" s="883"/>
      <c r="OEK9" s="883"/>
      <c r="OEL9" s="883"/>
      <c r="OEM9" s="883"/>
      <c r="OEN9" s="883"/>
      <c r="OEO9" s="883"/>
      <c r="OEP9" s="883"/>
      <c r="OEQ9" s="883"/>
      <c r="OER9" s="883"/>
      <c r="OES9" s="883"/>
      <c r="OET9" s="883"/>
      <c r="OEU9" s="883"/>
      <c r="OEV9" s="883"/>
      <c r="OEW9" s="883"/>
      <c r="OEX9" s="883"/>
      <c r="OEY9" s="883"/>
      <c r="OEZ9" s="883"/>
      <c r="OFA9" s="883"/>
      <c r="OFB9" s="883"/>
      <c r="OFC9" s="883"/>
      <c r="OFD9" s="883"/>
      <c r="OFE9" s="883"/>
      <c r="OFF9" s="883"/>
      <c r="OFG9" s="883"/>
      <c r="OFH9" s="883"/>
      <c r="OFI9" s="883"/>
      <c r="OFJ9" s="883"/>
      <c r="OFK9" s="883"/>
      <c r="OFL9" s="883"/>
      <c r="OFM9" s="883"/>
      <c r="OFN9" s="883"/>
      <c r="OFO9" s="883"/>
      <c r="OFP9" s="883"/>
      <c r="OFQ9" s="883"/>
      <c r="OFR9" s="883"/>
      <c r="OFS9" s="883"/>
      <c r="OFT9" s="883"/>
      <c r="OFU9" s="883"/>
      <c r="OFV9" s="883"/>
      <c r="OFW9" s="883"/>
      <c r="OFX9" s="883"/>
      <c r="OFY9" s="883"/>
      <c r="OFZ9" s="883"/>
      <c r="OGA9" s="883"/>
      <c r="OGB9" s="883"/>
      <c r="OGC9" s="883"/>
      <c r="OGD9" s="883"/>
      <c r="OGE9" s="883"/>
      <c r="OGF9" s="883"/>
      <c r="OGG9" s="883"/>
      <c r="OGH9" s="883"/>
      <c r="OGI9" s="883"/>
      <c r="OGJ9" s="883"/>
      <c r="OGK9" s="883"/>
      <c r="OGL9" s="883"/>
      <c r="OGM9" s="883"/>
      <c r="OGN9" s="883"/>
      <c r="OGO9" s="883"/>
      <c r="OGP9" s="883"/>
      <c r="OGQ9" s="883"/>
      <c r="OGR9" s="883"/>
      <c r="OGS9" s="883"/>
      <c r="OGT9" s="883"/>
      <c r="OGU9" s="883"/>
      <c r="OGV9" s="883"/>
      <c r="OGW9" s="883"/>
      <c r="OGX9" s="883"/>
      <c r="OGY9" s="883"/>
      <c r="OGZ9" s="883"/>
      <c r="OHA9" s="883"/>
      <c r="OHB9" s="883"/>
      <c r="OHC9" s="883"/>
      <c r="OHD9" s="883"/>
      <c r="OHE9" s="883"/>
      <c r="OHF9" s="883"/>
      <c r="OHG9" s="883"/>
      <c r="OHH9" s="883"/>
      <c r="OHI9" s="883"/>
      <c r="OHJ9" s="883"/>
      <c r="OHK9" s="883"/>
      <c r="OHL9" s="883"/>
      <c r="OHM9" s="883"/>
      <c r="OHN9" s="883"/>
      <c r="OHO9" s="883"/>
      <c r="OHP9" s="883"/>
      <c r="OHQ9" s="883"/>
      <c r="OHR9" s="883"/>
      <c r="OHS9" s="883"/>
      <c r="OHT9" s="883"/>
      <c r="OHU9" s="883"/>
      <c r="OHV9" s="883"/>
      <c r="OHW9" s="883"/>
      <c r="OHX9" s="883"/>
      <c r="OHY9" s="883"/>
      <c r="OHZ9" s="883"/>
      <c r="OIA9" s="883"/>
      <c r="OIB9" s="883"/>
      <c r="OIC9" s="883"/>
      <c r="OID9" s="883"/>
      <c r="OIE9" s="883"/>
      <c r="OIF9" s="883"/>
      <c r="OIG9" s="883"/>
      <c r="OIH9" s="883"/>
      <c r="OII9" s="883"/>
      <c r="OIJ9" s="883"/>
      <c r="OIK9" s="883"/>
      <c r="OIL9" s="883"/>
      <c r="OIM9" s="883"/>
      <c r="OIN9" s="883"/>
      <c r="OIO9" s="883"/>
      <c r="OIP9" s="883"/>
      <c r="OIQ9" s="883"/>
      <c r="OIR9" s="883"/>
      <c r="OIS9" s="883"/>
      <c r="OIT9" s="883"/>
      <c r="OIU9" s="883"/>
      <c r="OIV9" s="883"/>
      <c r="OIW9" s="883"/>
      <c r="OIX9" s="883"/>
      <c r="OIY9" s="883"/>
      <c r="OIZ9" s="883"/>
      <c r="OJA9" s="883"/>
      <c r="OJB9" s="883"/>
      <c r="OJC9" s="883"/>
      <c r="OJD9" s="883"/>
      <c r="OJE9" s="883"/>
      <c r="OJF9" s="883"/>
      <c r="OJG9" s="883"/>
      <c r="OJH9" s="883"/>
      <c r="OJI9" s="883"/>
      <c r="OJJ9" s="883"/>
      <c r="OJK9" s="883"/>
      <c r="OJL9" s="883"/>
      <c r="OJM9" s="883"/>
      <c r="OJN9" s="883"/>
      <c r="OJO9" s="883"/>
      <c r="OJP9" s="883"/>
      <c r="OJQ9" s="883"/>
      <c r="OJR9" s="883"/>
      <c r="OJS9" s="883"/>
      <c r="OJT9" s="883"/>
      <c r="OJU9" s="883"/>
      <c r="OJV9" s="883"/>
      <c r="OJW9" s="883"/>
      <c r="OJX9" s="883"/>
      <c r="OJY9" s="883"/>
      <c r="OJZ9" s="883"/>
      <c r="OKA9" s="883"/>
      <c r="OKB9" s="883"/>
      <c r="OKC9" s="883"/>
      <c r="OKD9" s="883"/>
      <c r="OKE9" s="883"/>
      <c r="OKF9" s="883"/>
      <c r="OKG9" s="883"/>
      <c r="OKH9" s="883"/>
      <c r="OKI9" s="883"/>
      <c r="OKJ9" s="883"/>
      <c r="OKK9" s="883"/>
      <c r="OKL9" s="883"/>
      <c r="OKM9" s="883"/>
      <c r="OKN9" s="883"/>
      <c r="OKO9" s="883"/>
      <c r="OKP9" s="883"/>
      <c r="OKQ9" s="883"/>
      <c r="OKR9" s="883"/>
      <c r="OKS9" s="883"/>
      <c r="OKT9" s="883"/>
      <c r="OKU9" s="883"/>
      <c r="OKV9" s="883"/>
      <c r="OKW9" s="883"/>
      <c r="OKX9" s="883"/>
      <c r="OKY9" s="883"/>
      <c r="OKZ9" s="883"/>
      <c r="OLA9" s="883"/>
      <c r="OLB9" s="883"/>
      <c r="OLC9" s="883"/>
      <c r="OLD9" s="883"/>
      <c r="OLE9" s="883"/>
      <c r="OLF9" s="883"/>
      <c r="OLG9" s="883"/>
      <c r="OLH9" s="883"/>
      <c r="OLI9" s="883"/>
      <c r="OLJ9" s="883"/>
      <c r="OLK9" s="883"/>
      <c r="OLL9" s="883"/>
      <c r="OLM9" s="883"/>
      <c r="OLN9" s="883"/>
      <c r="OLO9" s="883"/>
      <c r="OLP9" s="883"/>
      <c r="OLQ9" s="883"/>
      <c r="OLR9" s="883"/>
      <c r="OLS9" s="883"/>
      <c r="OLT9" s="883"/>
      <c r="OLU9" s="883"/>
      <c r="OLV9" s="883"/>
      <c r="OLW9" s="883"/>
      <c r="OLX9" s="883"/>
      <c r="OLY9" s="883"/>
      <c r="OLZ9" s="883"/>
      <c r="OMA9" s="883"/>
      <c r="OMB9" s="883"/>
      <c r="OMC9" s="883"/>
      <c r="OMD9" s="883"/>
      <c r="OME9" s="883"/>
      <c r="OMF9" s="883"/>
      <c r="OMG9" s="883"/>
      <c r="OMH9" s="883"/>
      <c r="OMI9" s="883"/>
      <c r="OMJ9" s="883"/>
      <c r="OMK9" s="883"/>
      <c r="OML9" s="883"/>
      <c r="OMM9" s="883"/>
      <c r="OMN9" s="883"/>
      <c r="OMO9" s="883"/>
      <c r="OMP9" s="883"/>
      <c r="OMQ9" s="883"/>
      <c r="OMR9" s="883"/>
      <c r="OMS9" s="883"/>
      <c r="OMT9" s="883"/>
      <c r="OMU9" s="883"/>
      <c r="OMV9" s="883"/>
      <c r="OMW9" s="883"/>
      <c r="OMX9" s="883"/>
      <c r="OMY9" s="883"/>
      <c r="OMZ9" s="883"/>
      <c r="ONA9" s="883"/>
      <c r="ONB9" s="883"/>
      <c r="ONC9" s="883"/>
      <c r="OND9" s="883"/>
      <c r="ONE9" s="883"/>
      <c r="ONF9" s="883"/>
      <c r="ONG9" s="883"/>
      <c r="ONH9" s="883"/>
      <c r="ONI9" s="883"/>
      <c r="ONJ9" s="883"/>
      <c r="ONK9" s="883"/>
      <c r="ONL9" s="883"/>
      <c r="ONM9" s="883"/>
      <c r="ONN9" s="883"/>
      <c r="ONO9" s="883"/>
      <c r="ONP9" s="883"/>
      <c r="ONQ9" s="883"/>
      <c r="ONR9" s="883"/>
      <c r="ONS9" s="883"/>
      <c r="ONT9" s="883"/>
      <c r="ONU9" s="883"/>
      <c r="ONV9" s="883"/>
      <c r="ONW9" s="883"/>
      <c r="ONX9" s="883"/>
      <c r="ONY9" s="883"/>
      <c r="ONZ9" s="883"/>
      <c r="OOA9" s="883"/>
      <c r="OOB9" s="883"/>
      <c r="OOC9" s="883"/>
      <c r="OOD9" s="883"/>
      <c r="OOE9" s="883"/>
      <c r="OOF9" s="883"/>
      <c r="OOG9" s="883"/>
      <c r="OOH9" s="883"/>
      <c r="OOI9" s="883"/>
      <c r="OOJ9" s="883"/>
      <c r="OOK9" s="883"/>
      <c r="OOL9" s="883"/>
      <c r="OOM9" s="883"/>
      <c r="OON9" s="883"/>
      <c r="OOO9" s="883"/>
      <c r="OOP9" s="883"/>
      <c r="OOQ9" s="883"/>
      <c r="OOR9" s="883"/>
      <c r="OOS9" s="883"/>
      <c r="OOT9" s="883"/>
      <c r="OOU9" s="883"/>
      <c r="OOV9" s="883"/>
      <c r="OOW9" s="883"/>
      <c r="OOX9" s="883"/>
      <c r="OOY9" s="883"/>
      <c r="OOZ9" s="883"/>
      <c r="OPA9" s="883"/>
      <c r="OPB9" s="883"/>
      <c r="OPC9" s="883"/>
      <c r="OPD9" s="883"/>
      <c r="OPE9" s="883"/>
      <c r="OPF9" s="883"/>
      <c r="OPG9" s="883"/>
      <c r="OPH9" s="883"/>
      <c r="OPI9" s="883"/>
      <c r="OPJ9" s="883"/>
      <c r="OPK9" s="883"/>
      <c r="OPL9" s="883"/>
      <c r="OPM9" s="883"/>
      <c r="OPN9" s="883"/>
      <c r="OPO9" s="883"/>
      <c r="OPP9" s="883"/>
      <c r="OPQ9" s="883"/>
      <c r="OPR9" s="883"/>
      <c r="OPS9" s="883"/>
      <c r="OPT9" s="883"/>
      <c r="OPU9" s="883"/>
      <c r="OPV9" s="883"/>
      <c r="OPW9" s="883"/>
      <c r="OPX9" s="883"/>
      <c r="OPY9" s="883"/>
      <c r="OPZ9" s="883"/>
      <c r="OQA9" s="883"/>
      <c r="OQB9" s="883"/>
      <c r="OQC9" s="883"/>
      <c r="OQD9" s="883"/>
      <c r="OQE9" s="883"/>
      <c r="OQF9" s="883"/>
      <c r="OQG9" s="883"/>
      <c r="OQH9" s="883"/>
      <c r="OQI9" s="883"/>
      <c r="OQJ9" s="883"/>
      <c r="OQK9" s="883"/>
      <c r="OQL9" s="883"/>
      <c r="OQM9" s="883"/>
      <c r="OQN9" s="883"/>
      <c r="OQO9" s="883"/>
      <c r="OQP9" s="883"/>
      <c r="OQQ9" s="883"/>
      <c r="OQR9" s="883"/>
      <c r="OQS9" s="883"/>
      <c r="OQT9" s="883"/>
      <c r="OQU9" s="883"/>
      <c r="OQV9" s="883"/>
      <c r="OQW9" s="883"/>
      <c r="OQX9" s="883"/>
      <c r="OQY9" s="883"/>
      <c r="OQZ9" s="883"/>
      <c r="ORA9" s="883"/>
      <c r="ORB9" s="883"/>
      <c r="ORC9" s="883"/>
      <c r="ORD9" s="883"/>
      <c r="ORE9" s="883"/>
      <c r="ORF9" s="883"/>
      <c r="ORG9" s="883"/>
      <c r="ORH9" s="883"/>
      <c r="ORI9" s="883"/>
      <c r="ORJ9" s="883"/>
      <c r="ORK9" s="883"/>
      <c r="ORL9" s="883"/>
      <c r="ORM9" s="883"/>
      <c r="ORN9" s="883"/>
      <c r="ORO9" s="883"/>
      <c r="ORP9" s="883"/>
      <c r="ORQ9" s="883"/>
      <c r="ORR9" s="883"/>
      <c r="ORS9" s="883"/>
      <c r="ORT9" s="883"/>
      <c r="ORU9" s="883"/>
      <c r="ORV9" s="883"/>
      <c r="ORW9" s="883"/>
      <c r="ORX9" s="883"/>
      <c r="ORY9" s="883"/>
      <c r="ORZ9" s="883"/>
      <c r="OSA9" s="883"/>
      <c r="OSB9" s="883"/>
      <c r="OSC9" s="883"/>
      <c r="OSD9" s="883"/>
      <c r="OSE9" s="883"/>
      <c r="OSF9" s="883"/>
      <c r="OSG9" s="883"/>
      <c r="OSH9" s="883"/>
      <c r="OSI9" s="883"/>
      <c r="OSJ9" s="883"/>
      <c r="OSK9" s="883"/>
      <c r="OSL9" s="883"/>
      <c r="OSM9" s="883"/>
      <c r="OSN9" s="883"/>
      <c r="OSO9" s="883"/>
      <c r="OSP9" s="883"/>
      <c r="OSQ9" s="883"/>
      <c r="OSR9" s="883"/>
      <c r="OSS9" s="883"/>
      <c r="OST9" s="883"/>
      <c r="OSU9" s="883"/>
      <c r="OSV9" s="883"/>
      <c r="OSW9" s="883"/>
      <c r="OSX9" s="883"/>
      <c r="OSY9" s="883"/>
      <c r="OSZ9" s="883"/>
      <c r="OTA9" s="883"/>
      <c r="OTB9" s="883"/>
      <c r="OTC9" s="883"/>
      <c r="OTD9" s="883"/>
      <c r="OTE9" s="883"/>
      <c r="OTF9" s="883"/>
      <c r="OTG9" s="883"/>
      <c r="OTH9" s="883"/>
      <c r="OTI9" s="883"/>
      <c r="OTJ9" s="883"/>
      <c r="OTK9" s="883"/>
      <c r="OTL9" s="883"/>
      <c r="OTM9" s="883"/>
      <c r="OTN9" s="883"/>
      <c r="OTO9" s="883"/>
      <c r="OTP9" s="883"/>
      <c r="OTQ9" s="883"/>
      <c r="OTR9" s="883"/>
      <c r="OTS9" s="883"/>
      <c r="OTT9" s="883"/>
      <c r="OTU9" s="883"/>
      <c r="OTV9" s="883"/>
      <c r="OTW9" s="883"/>
      <c r="OTX9" s="883"/>
      <c r="OTY9" s="883"/>
      <c r="OTZ9" s="883"/>
      <c r="OUA9" s="883"/>
      <c r="OUB9" s="883"/>
      <c r="OUC9" s="883"/>
      <c r="OUD9" s="883"/>
      <c r="OUE9" s="883"/>
      <c r="OUF9" s="883"/>
      <c r="OUG9" s="883"/>
      <c r="OUH9" s="883"/>
      <c r="OUI9" s="883"/>
      <c r="OUJ9" s="883"/>
      <c r="OUK9" s="883"/>
      <c r="OUL9" s="883"/>
      <c r="OUM9" s="883"/>
      <c r="OUN9" s="883"/>
      <c r="OUO9" s="883"/>
      <c r="OUP9" s="883"/>
      <c r="OUQ9" s="883"/>
      <c r="OUR9" s="883"/>
      <c r="OUS9" s="883"/>
      <c r="OUT9" s="883"/>
      <c r="OUU9" s="883"/>
      <c r="OUV9" s="883"/>
      <c r="OUW9" s="883"/>
      <c r="OUX9" s="883"/>
      <c r="OUY9" s="883"/>
      <c r="OUZ9" s="883"/>
      <c r="OVA9" s="883"/>
      <c r="OVB9" s="883"/>
      <c r="OVC9" s="883"/>
      <c r="OVD9" s="883"/>
      <c r="OVE9" s="883"/>
      <c r="OVF9" s="883"/>
      <c r="OVG9" s="883"/>
      <c r="OVH9" s="883"/>
      <c r="OVI9" s="883"/>
      <c r="OVJ9" s="883"/>
      <c r="OVK9" s="883"/>
      <c r="OVL9" s="883"/>
      <c r="OVM9" s="883"/>
      <c r="OVN9" s="883"/>
      <c r="OVO9" s="883"/>
      <c r="OVP9" s="883"/>
      <c r="OVQ9" s="883"/>
      <c r="OVR9" s="883"/>
      <c r="OVS9" s="883"/>
      <c r="OVT9" s="883"/>
      <c r="OVU9" s="883"/>
      <c r="OVV9" s="883"/>
      <c r="OVW9" s="883"/>
      <c r="OVX9" s="883"/>
      <c r="OVY9" s="883"/>
      <c r="OVZ9" s="883"/>
      <c r="OWA9" s="883"/>
      <c r="OWB9" s="883"/>
      <c r="OWC9" s="883"/>
      <c r="OWD9" s="883"/>
      <c r="OWE9" s="883"/>
      <c r="OWF9" s="883"/>
      <c r="OWG9" s="883"/>
      <c r="OWH9" s="883"/>
      <c r="OWI9" s="883"/>
      <c r="OWJ9" s="883"/>
      <c r="OWK9" s="883"/>
      <c r="OWL9" s="883"/>
      <c r="OWM9" s="883"/>
      <c r="OWN9" s="883"/>
      <c r="OWO9" s="883"/>
      <c r="OWP9" s="883"/>
      <c r="OWQ9" s="883"/>
      <c r="OWR9" s="883"/>
      <c r="OWS9" s="883"/>
      <c r="OWT9" s="883"/>
      <c r="OWU9" s="883"/>
      <c r="OWV9" s="883"/>
      <c r="OWW9" s="883"/>
      <c r="OWX9" s="883"/>
      <c r="OWY9" s="883"/>
      <c r="OWZ9" s="883"/>
      <c r="OXA9" s="883"/>
      <c r="OXB9" s="883"/>
      <c r="OXC9" s="883"/>
      <c r="OXD9" s="883"/>
      <c r="OXE9" s="883"/>
      <c r="OXF9" s="883"/>
      <c r="OXG9" s="883"/>
      <c r="OXH9" s="883"/>
      <c r="OXI9" s="883"/>
      <c r="OXJ9" s="883"/>
      <c r="OXK9" s="883"/>
      <c r="OXL9" s="883"/>
      <c r="OXM9" s="883"/>
      <c r="OXN9" s="883"/>
      <c r="OXO9" s="883"/>
      <c r="OXP9" s="883"/>
      <c r="OXQ9" s="883"/>
      <c r="OXR9" s="883"/>
      <c r="OXS9" s="883"/>
      <c r="OXT9" s="883"/>
      <c r="OXU9" s="883"/>
      <c r="OXV9" s="883"/>
      <c r="OXW9" s="883"/>
      <c r="OXX9" s="883"/>
      <c r="OXY9" s="883"/>
      <c r="OXZ9" s="883"/>
      <c r="OYA9" s="883"/>
      <c r="OYB9" s="883"/>
      <c r="OYC9" s="883"/>
      <c r="OYD9" s="883"/>
      <c r="OYE9" s="883"/>
      <c r="OYF9" s="883"/>
      <c r="OYG9" s="883"/>
      <c r="OYH9" s="883"/>
      <c r="OYI9" s="883"/>
      <c r="OYJ9" s="883"/>
      <c r="OYK9" s="883"/>
      <c r="OYL9" s="883"/>
      <c r="OYM9" s="883"/>
      <c r="OYN9" s="883"/>
      <c r="OYO9" s="883"/>
      <c r="OYP9" s="883"/>
      <c r="OYQ9" s="883"/>
      <c r="OYR9" s="883"/>
      <c r="OYS9" s="883"/>
      <c r="OYT9" s="883"/>
      <c r="OYU9" s="883"/>
      <c r="OYV9" s="883"/>
      <c r="OYW9" s="883"/>
      <c r="OYX9" s="883"/>
      <c r="OYY9" s="883"/>
      <c r="OYZ9" s="883"/>
      <c r="OZA9" s="883"/>
      <c r="OZB9" s="883"/>
      <c r="OZC9" s="883"/>
      <c r="OZD9" s="883"/>
      <c r="OZE9" s="883"/>
      <c r="OZF9" s="883"/>
      <c r="OZG9" s="883"/>
      <c r="OZH9" s="883"/>
      <c r="OZI9" s="883"/>
      <c r="OZJ9" s="883"/>
      <c r="OZK9" s="883"/>
      <c r="OZL9" s="883"/>
      <c r="OZM9" s="883"/>
      <c r="OZN9" s="883"/>
      <c r="OZO9" s="883"/>
      <c r="OZP9" s="883"/>
      <c r="OZQ9" s="883"/>
      <c r="OZR9" s="883"/>
      <c r="OZS9" s="883"/>
      <c r="OZT9" s="883"/>
      <c r="OZU9" s="883"/>
      <c r="OZV9" s="883"/>
      <c r="OZW9" s="883"/>
      <c r="OZX9" s="883"/>
      <c r="OZY9" s="883"/>
      <c r="OZZ9" s="883"/>
      <c r="PAA9" s="883"/>
      <c r="PAB9" s="883"/>
      <c r="PAC9" s="883"/>
      <c r="PAD9" s="883"/>
      <c r="PAE9" s="883"/>
      <c r="PAF9" s="883"/>
      <c r="PAG9" s="883"/>
      <c r="PAH9" s="883"/>
      <c r="PAI9" s="883"/>
      <c r="PAJ9" s="883"/>
      <c r="PAK9" s="883"/>
      <c r="PAL9" s="883"/>
      <c r="PAM9" s="883"/>
      <c r="PAN9" s="883"/>
      <c r="PAO9" s="883"/>
      <c r="PAP9" s="883"/>
      <c r="PAQ9" s="883"/>
      <c r="PAR9" s="883"/>
      <c r="PAS9" s="883"/>
      <c r="PAT9" s="883"/>
      <c r="PAU9" s="883"/>
      <c r="PAV9" s="883"/>
      <c r="PAW9" s="883"/>
      <c r="PAX9" s="883"/>
      <c r="PAY9" s="883"/>
      <c r="PAZ9" s="883"/>
      <c r="PBA9" s="883"/>
      <c r="PBB9" s="883"/>
      <c r="PBC9" s="883"/>
      <c r="PBD9" s="883"/>
      <c r="PBE9" s="883"/>
      <c r="PBF9" s="883"/>
      <c r="PBG9" s="883"/>
      <c r="PBH9" s="883"/>
      <c r="PBI9" s="883"/>
      <c r="PBJ9" s="883"/>
      <c r="PBK9" s="883"/>
      <c r="PBL9" s="883"/>
      <c r="PBM9" s="883"/>
      <c r="PBN9" s="883"/>
      <c r="PBO9" s="883"/>
      <c r="PBP9" s="883"/>
      <c r="PBQ9" s="883"/>
      <c r="PBR9" s="883"/>
      <c r="PBS9" s="883"/>
      <c r="PBT9" s="883"/>
      <c r="PBU9" s="883"/>
      <c r="PBV9" s="883"/>
      <c r="PBW9" s="883"/>
      <c r="PBX9" s="883"/>
      <c r="PBY9" s="883"/>
      <c r="PBZ9" s="883"/>
      <c r="PCA9" s="883"/>
      <c r="PCB9" s="883"/>
      <c r="PCC9" s="883"/>
      <c r="PCD9" s="883"/>
      <c r="PCE9" s="883"/>
      <c r="PCF9" s="883"/>
      <c r="PCG9" s="883"/>
      <c r="PCH9" s="883"/>
      <c r="PCI9" s="883"/>
      <c r="PCJ9" s="883"/>
      <c r="PCK9" s="883"/>
      <c r="PCL9" s="883"/>
      <c r="PCM9" s="883"/>
      <c r="PCN9" s="883"/>
      <c r="PCO9" s="883"/>
      <c r="PCP9" s="883"/>
      <c r="PCQ9" s="883"/>
      <c r="PCR9" s="883"/>
      <c r="PCS9" s="883"/>
      <c r="PCT9" s="883"/>
      <c r="PCU9" s="883"/>
      <c r="PCV9" s="883"/>
      <c r="PCW9" s="883"/>
      <c r="PCX9" s="883"/>
      <c r="PCY9" s="883"/>
      <c r="PCZ9" s="883"/>
      <c r="PDA9" s="883"/>
      <c r="PDB9" s="883"/>
      <c r="PDC9" s="883"/>
      <c r="PDD9" s="883"/>
      <c r="PDE9" s="883"/>
      <c r="PDF9" s="883"/>
      <c r="PDG9" s="883"/>
      <c r="PDH9" s="883"/>
      <c r="PDI9" s="883"/>
      <c r="PDJ9" s="883"/>
      <c r="PDK9" s="883"/>
      <c r="PDL9" s="883"/>
      <c r="PDM9" s="883"/>
      <c r="PDN9" s="883"/>
      <c r="PDO9" s="883"/>
      <c r="PDP9" s="883"/>
      <c r="PDQ9" s="883"/>
      <c r="PDR9" s="883"/>
      <c r="PDS9" s="883"/>
      <c r="PDT9" s="883"/>
      <c r="PDU9" s="883"/>
      <c r="PDV9" s="883"/>
      <c r="PDW9" s="883"/>
      <c r="PDX9" s="883"/>
      <c r="PDY9" s="883"/>
      <c r="PDZ9" s="883"/>
      <c r="PEA9" s="883"/>
      <c r="PEB9" s="883"/>
      <c r="PEC9" s="883"/>
      <c r="PED9" s="883"/>
      <c r="PEE9" s="883"/>
      <c r="PEF9" s="883"/>
      <c r="PEG9" s="883"/>
      <c r="PEH9" s="883"/>
      <c r="PEI9" s="883"/>
      <c r="PEJ9" s="883"/>
      <c r="PEK9" s="883"/>
      <c r="PEL9" s="883"/>
      <c r="PEM9" s="883"/>
      <c r="PEN9" s="883"/>
      <c r="PEO9" s="883"/>
      <c r="PEP9" s="883"/>
      <c r="PEQ9" s="883"/>
      <c r="PER9" s="883"/>
      <c r="PES9" s="883"/>
      <c r="PET9" s="883"/>
      <c r="PEU9" s="883"/>
      <c r="PEV9" s="883"/>
      <c r="PEW9" s="883"/>
      <c r="PEX9" s="883"/>
      <c r="PEY9" s="883"/>
      <c r="PEZ9" s="883"/>
      <c r="PFA9" s="883"/>
      <c r="PFB9" s="883"/>
      <c r="PFC9" s="883"/>
      <c r="PFD9" s="883"/>
      <c r="PFE9" s="883"/>
      <c r="PFF9" s="883"/>
      <c r="PFG9" s="883"/>
      <c r="PFH9" s="883"/>
      <c r="PFI9" s="883"/>
      <c r="PFJ9" s="883"/>
      <c r="PFK9" s="883"/>
      <c r="PFL9" s="883"/>
      <c r="PFM9" s="883"/>
      <c r="PFN9" s="883"/>
      <c r="PFO9" s="883"/>
      <c r="PFP9" s="883"/>
      <c r="PFQ9" s="883"/>
      <c r="PFR9" s="883"/>
      <c r="PFS9" s="883"/>
      <c r="PFT9" s="883"/>
      <c r="PFU9" s="883"/>
      <c r="PFV9" s="883"/>
      <c r="PFW9" s="883"/>
      <c r="PFX9" s="883"/>
      <c r="PFY9" s="883"/>
      <c r="PFZ9" s="883"/>
      <c r="PGA9" s="883"/>
      <c r="PGB9" s="883"/>
      <c r="PGC9" s="883"/>
      <c r="PGD9" s="883"/>
      <c r="PGE9" s="883"/>
      <c r="PGF9" s="883"/>
      <c r="PGG9" s="883"/>
      <c r="PGH9" s="883"/>
      <c r="PGI9" s="883"/>
      <c r="PGJ9" s="883"/>
      <c r="PGK9" s="883"/>
      <c r="PGL9" s="883"/>
      <c r="PGM9" s="883"/>
      <c r="PGN9" s="883"/>
      <c r="PGO9" s="883"/>
      <c r="PGP9" s="883"/>
      <c r="PGQ9" s="883"/>
      <c r="PGR9" s="883"/>
      <c r="PGS9" s="883"/>
      <c r="PGT9" s="883"/>
      <c r="PGU9" s="883"/>
      <c r="PGV9" s="883"/>
      <c r="PGW9" s="883"/>
      <c r="PGX9" s="883"/>
      <c r="PGY9" s="883"/>
      <c r="PGZ9" s="883"/>
      <c r="PHA9" s="883"/>
      <c r="PHB9" s="883"/>
      <c r="PHC9" s="883"/>
      <c r="PHD9" s="883"/>
      <c r="PHE9" s="883"/>
      <c r="PHF9" s="883"/>
      <c r="PHG9" s="883"/>
      <c r="PHH9" s="883"/>
      <c r="PHI9" s="883"/>
      <c r="PHJ9" s="883"/>
      <c r="PHK9" s="883"/>
      <c r="PHL9" s="883"/>
      <c r="PHM9" s="883"/>
      <c r="PHN9" s="883"/>
      <c r="PHO9" s="883"/>
      <c r="PHP9" s="883"/>
      <c r="PHQ9" s="883"/>
      <c r="PHR9" s="883"/>
      <c r="PHS9" s="883"/>
      <c r="PHT9" s="883"/>
      <c r="PHU9" s="883"/>
      <c r="PHV9" s="883"/>
      <c r="PHW9" s="883"/>
      <c r="PHX9" s="883"/>
      <c r="PHY9" s="883"/>
      <c r="PHZ9" s="883"/>
      <c r="PIA9" s="883"/>
      <c r="PIB9" s="883"/>
      <c r="PIC9" s="883"/>
      <c r="PID9" s="883"/>
      <c r="PIE9" s="883"/>
      <c r="PIF9" s="883"/>
      <c r="PIG9" s="883"/>
      <c r="PIH9" s="883"/>
      <c r="PII9" s="883"/>
      <c r="PIJ9" s="883"/>
      <c r="PIK9" s="883"/>
      <c r="PIL9" s="883"/>
      <c r="PIM9" s="883"/>
      <c r="PIN9" s="883"/>
      <c r="PIO9" s="883"/>
      <c r="PIP9" s="883"/>
      <c r="PIQ9" s="883"/>
      <c r="PIR9" s="883"/>
      <c r="PIS9" s="883"/>
      <c r="PIT9" s="883"/>
      <c r="PIU9" s="883"/>
      <c r="PIV9" s="883"/>
      <c r="PIW9" s="883"/>
      <c r="PIX9" s="883"/>
      <c r="PIY9" s="883"/>
      <c r="PIZ9" s="883"/>
      <c r="PJA9" s="883"/>
      <c r="PJB9" s="883"/>
      <c r="PJC9" s="883"/>
      <c r="PJD9" s="883"/>
      <c r="PJE9" s="883"/>
      <c r="PJF9" s="883"/>
      <c r="PJG9" s="883"/>
      <c r="PJH9" s="883"/>
      <c r="PJI9" s="883"/>
      <c r="PJJ9" s="883"/>
      <c r="PJK9" s="883"/>
      <c r="PJL9" s="883"/>
      <c r="PJM9" s="883"/>
      <c r="PJN9" s="883"/>
      <c r="PJO9" s="883"/>
      <c r="PJP9" s="883"/>
      <c r="PJQ9" s="883"/>
      <c r="PJR9" s="883"/>
      <c r="PJS9" s="883"/>
      <c r="PJT9" s="883"/>
      <c r="PJU9" s="883"/>
      <c r="PJV9" s="883"/>
      <c r="PJW9" s="883"/>
      <c r="PJX9" s="883"/>
      <c r="PJY9" s="883"/>
      <c r="PJZ9" s="883"/>
      <c r="PKA9" s="883"/>
      <c r="PKB9" s="883"/>
      <c r="PKC9" s="883"/>
      <c r="PKD9" s="883"/>
      <c r="PKE9" s="883"/>
      <c r="PKF9" s="883"/>
      <c r="PKG9" s="883"/>
      <c r="PKH9" s="883"/>
      <c r="PKI9" s="883"/>
      <c r="PKJ9" s="883"/>
      <c r="PKK9" s="883"/>
      <c r="PKL9" s="883"/>
      <c r="PKM9" s="883"/>
      <c r="PKN9" s="883"/>
      <c r="PKO9" s="883"/>
      <c r="PKP9" s="883"/>
      <c r="PKQ9" s="883"/>
      <c r="PKR9" s="883"/>
      <c r="PKS9" s="883"/>
      <c r="PKT9" s="883"/>
      <c r="PKU9" s="883"/>
      <c r="PKV9" s="883"/>
      <c r="PKW9" s="883"/>
      <c r="PKX9" s="883"/>
      <c r="PKY9" s="883"/>
      <c r="PKZ9" s="883"/>
      <c r="PLA9" s="883"/>
      <c r="PLB9" s="883"/>
      <c r="PLC9" s="883"/>
      <c r="PLD9" s="883"/>
      <c r="PLE9" s="883"/>
      <c r="PLF9" s="883"/>
      <c r="PLG9" s="883"/>
      <c r="PLH9" s="883"/>
      <c r="PLI9" s="883"/>
      <c r="PLJ9" s="883"/>
      <c r="PLK9" s="883"/>
      <c r="PLL9" s="883"/>
      <c r="PLM9" s="883"/>
      <c r="PLN9" s="883"/>
      <c r="PLO9" s="883"/>
      <c r="PLP9" s="883"/>
      <c r="PLQ9" s="883"/>
      <c r="PLR9" s="883"/>
      <c r="PLS9" s="883"/>
      <c r="PLT9" s="883"/>
      <c r="PLU9" s="883"/>
      <c r="PLV9" s="883"/>
      <c r="PLW9" s="883"/>
      <c r="PLX9" s="883"/>
      <c r="PLY9" s="883"/>
      <c r="PLZ9" s="883"/>
      <c r="PMA9" s="883"/>
      <c r="PMB9" s="883"/>
      <c r="PMC9" s="883"/>
      <c r="PMD9" s="883"/>
      <c r="PME9" s="883"/>
      <c r="PMF9" s="883"/>
      <c r="PMG9" s="883"/>
      <c r="PMH9" s="883"/>
      <c r="PMI9" s="883"/>
      <c r="PMJ9" s="883"/>
      <c r="PMK9" s="883"/>
      <c r="PML9" s="883"/>
      <c r="PMM9" s="883"/>
      <c r="PMN9" s="883"/>
      <c r="PMO9" s="883"/>
      <c r="PMP9" s="883"/>
      <c r="PMQ9" s="883"/>
      <c r="PMR9" s="883"/>
      <c r="PMS9" s="883"/>
      <c r="PMT9" s="883"/>
      <c r="PMU9" s="883"/>
      <c r="PMV9" s="883"/>
      <c r="PMW9" s="883"/>
      <c r="PMX9" s="883"/>
      <c r="PMY9" s="883"/>
      <c r="PMZ9" s="883"/>
      <c r="PNA9" s="883"/>
      <c r="PNB9" s="883"/>
      <c r="PNC9" s="883"/>
      <c r="PND9" s="883"/>
      <c r="PNE9" s="883"/>
      <c r="PNF9" s="883"/>
      <c r="PNG9" s="883"/>
      <c r="PNH9" s="883"/>
      <c r="PNI9" s="883"/>
      <c r="PNJ9" s="883"/>
      <c r="PNK9" s="883"/>
      <c r="PNL9" s="883"/>
      <c r="PNM9" s="883"/>
      <c r="PNN9" s="883"/>
      <c r="PNO9" s="883"/>
      <c r="PNP9" s="883"/>
      <c r="PNQ9" s="883"/>
      <c r="PNR9" s="883"/>
      <c r="PNS9" s="883"/>
      <c r="PNT9" s="883"/>
      <c r="PNU9" s="883"/>
      <c r="PNV9" s="883"/>
      <c r="PNW9" s="883"/>
      <c r="PNX9" s="883"/>
      <c r="PNY9" s="883"/>
      <c r="PNZ9" s="883"/>
      <c r="POA9" s="883"/>
      <c r="POB9" s="883"/>
      <c r="POC9" s="883"/>
      <c r="POD9" s="883"/>
      <c r="POE9" s="883"/>
      <c r="POF9" s="883"/>
      <c r="POG9" s="883"/>
      <c r="POH9" s="883"/>
      <c r="POI9" s="883"/>
      <c r="POJ9" s="883"/>
      <c r="POK9" s="883"/>
      <c r="POL9" s="883"/>
      <c r="POM9" s="883"/>
      <c r="PON9" s="883"/>
      <c r="POO9" s="883"/>
      <c r="POP9" s="883"/>
      <c r="POQ9" s="883"/>
      <c r="POR9" s="883"/>
      <c r="POS9" s="883"/>
      <c r="POT9" s="883"/>
      <c r="POU9" s="883"/>
      <c r="POV9" s="883"/>
      <c r="POW9" s="883"/>
      <c r="POX9" s="883"/>
      <c r="POY9" s="883"/>
      <c r="POZ9" s="883"/>
      <c r="PPA9" s="883"/>
      <c r="PPB9" s="883"/>
      <c r="PPC9" s="883"/>
      <c r="PPD9" s="883"/>
      <c r="PPE9" s="883"/>
      <c r="PPF9" s="883"/>
      <c r="PPG9" s="883"/>
      <c r="PPH9" s="883"/>
      <c r="PPI9" s="883"/>
      <c r="PPJ9" s="883"/>
      <c r="PPK9" s="883"/>
      <c r="PPL9" s="883"/>
      <c r="PPM9" s="883"/>
      <c r="PPN9" s="883"/>
      <c r="PPO9" s="883"/>
      <c r="PPP9" s="883"/>
      <c r="PPQ9" s="883"/>
      <c r="PPR9" s="883"/>
      <c r="PPS9" s="883"/>
      <c r="PPT9" s="883"/>
      <c r="PPU9" s="883"/>
      <c r="PPV9" s="883"/>
      <c r="PPW9" s="883"/>
      <c r="PPX9" s="883"/>
      <c r="PPY9" s="883"/>
      <c r="PPZ9" s="883"/>
      <c r="PQA9" s="883"/>
      <c r="PQB9" s="883"/>
      <c r="PQC9" s="883"/>
      <c r="PQD9" s="883"/>
      <c r="PQE9" s="883"/>
      <c r="PQF9" s="883"/>
      <c r="PQG9" s="883"/>
      <c r="PQH9" s="883"/>
      <c r="PQI9" s="883"/>
      <c r="PQJ9" s="883"/>
      <c r="PQK9" s="883"/>
      <c r="PQL9" s="883"/>
      <c r="PQM9" s="883"/>
      <c r="PQN9" s="883"/>
      <c r="PQO9" s="883"/>
      <c r="PQP9" s="883"/>
      <c r="PQQ9" s="883"/>
      <c r="PQR9" s="883"/>
      <c r="PQS9" s="883"/>
      <c r="PQT9" s="883"/>
      <c r="PQU9" s="883"/>
      <c r="PQV9" s="883"/>
      <c r="PQW9" s="883"/>
      <c r="PQX9" s="883"/>
      <c r="PQY9" s="883"/>
      <c r="PQZ9" s="883"/>
      <c r="PRA9" s="883"/>
      <c r="PRB9" s="883"/>
      <c r="PRC9" s="883"/>
      <c r="PRD9" s="883"/>
      <c r="PRE9" s="883"/>
      <c r="PRF9" s="883"/>
      <c r="PRG9" s="883"/>
      <c r="PRH9" s="883"/>
      <c r="PRI9" s="883"/>
      <c r="PRJ9" s="883"/>
      <c r="PRK9" s="883"/>
      <c r="PRL9" s="883"/>
      <c r="PRM9" s="883"/>
      <c r="PRN9" s="883"/>
      <c r="PRO9" s="883"/>
      <c r="PRP9" s="883"/>
      <c r="PRQ9" s="883"/>
      <c r="PRR9" s="883"/>
      <c r="PRS9" s="883"/>
      <c r="PRT9" s="883"/>
      <c r="PRU9" s="883"/>
      <c r="PRV9" s="883"/>
      <c r="PRW9" s="883"/>
      <c r="PRX9" s="883"/>
      <c r="PRY9" s="883"/>
      <c r="PRZ9" s="883"/>
      <c r="PSA9" s="883"/>
      <c r="PSB9" s="883"/>
      <c r="PSC9" s="883"/>
      <c r="PSD9" s="883"/>
      <c r="PSE9" s="883"/>
      <c r="PSF9" s="883"/>
      <c r="PSG9" s="883"/>
      <c r="PSH9" s="883"/>
      <c r="PSI9" s="883"/>
      <c r="PSJ9" s="883"/>
      <c r="PSK9" s="883"/>
      <c r="PSL9" s="883"/>
      <c r="PSM9" s="883"/>
      <c r="PSN9" s="883"/>
      <c r="PSO9" s="883"/>
      <c r="PSP9" s="883"/>
      <c r="PSQ9" s="883"/>
      <c r="PSR9" s="883"/>
      <c r="PSS9" s="883"/>
      <c r="PST9" s="883"/>
      <c r="PSU9" s="883"/>
      <c r="PSV9" s="883"/>
      <c r="PSW9" s="883"/>
      <c r="PSX9" s="883"/>
      <c r="PSY9" s="883"/>
      <c r="PSZ9" s="883"/>
      <c r="PTA9" s="883"/>
      <c r="PTB9" s="883"/>
      <c r="PTC9" s="883"/>
      <c r="PTD9" s="883"/>
      <c r="PTE9" s="883"/>
      <c r="PTF9" s="883"/>
      <c r="PTG9" s="883"/>
      <c r="PTH9" s="883"/>
      <c r="PTI9" s="883"/>
      <c r="PTJ9" s="883"/>
      <c r="PTK9" s="883"/>
      <c r="PTL9" s="883"/>
      <c r="PTM9" s="883"/>
      <c r="PTN9" s="883"/>
      <c r="PTO9" s="883"/>
      <c r="PTP9" s="883"/>
      <c r="PTQ9" s="883"/>
      <c r="PTR9" s="883"/>
      <c r="PTS9" s="883"/>
      <c r="PTT9" s="883"/>
      <c r="PTU9" s="883"/>
      <c r="PTV9" s="883"/>
      <c r="PTW9" s="883"/>
      <c r="PTX9" s="883"/>
      <c r="PTY9" s="883"/>
      <c r="PTZ9" s="883"/>
      <c r="PUA9" s="883"/>
      <c r="PUB9" s="883"/>
      <c r="PUC9" s="883"/>
      <c r="PUD9" s="883"/>
      <c r="PUE9" s="883"/>
      <c r="PUF9" s="883"/>
      <c r="PUG9" s="883"/>
      <c r="PUH9" s="883"/>
      <c r="PUI9" s="883"/>
      <c r="PUJ9" s="883"/>
      <c r="PUK9" s="883"/>
      <c r="PUL9" s="883"/>
      <c r="PUM9" s="883"/>
      <c r="PUN9" s="883"/>
      <c r="PUO9" s="883"/>
      <c r="PUP9" s="883"/>
      <c r="PUQ9" s="883"/>
      <c r="PUR9" s="883"/>
      <c r="PUS9" s="883"/>
      <c r="PUT9" s="883"/>
      <c r="PUU9" s="883"/>
      <c r="PUV9" s="883"/>
      <c r="PUW9" s="883"/>
      <c r="PUX9" s="883"/>
      <c r="PUY9" s="883"/>
      <c r="PUZ9" s="883"/>
      <c r="PVA9" s="883"/>
      <c r="PVB9" s="883"/>
      <c r="PVC9" s="883"/>
      <c r="PVD9" s="883"/>
      <c r="PVE9" s="883"/>
      <c r="PVF9" s="883"/>
      <c r="PVG9" s="883"/>
      <c r="PVH9" s="883"/>
      <c r="PVI9" s="883"/>
      <c r="PVJ9" s="883"/>
      <c r="PVK9" s="883"/>
      <c r="PVL9" s="883"/>
      <c r="PVM9" s="883"/>
      <c r="PVN9" s="883"/>
      <c r="PVO9" s="883"/>
      <c r="PVP9" s="883"/>
      <c r="PVQ9" s="883"/>
      <c r="PVR9" s="883"/>
      <c r="PVS9" s="883"/>
      <c r="PVT9" s="883"/>
      <c r="PVU9" s="883"/>
      <c r="PVV9" s="883"/>
      <c r="PVW9" s="883"/>
      <c r="PVX9" s="883"/>
      <c r="PVY9" s="883"/>
      <c r="PVZ9" s="883"/>
      <c r="PWA9" s="883"/>
      <c r="PWB9" s="883"/>
      <c r="PWC9" s="883"/>
      <c r="PWD9" s="883"/>
      <c r="PWE9" s="883"/>
      <c r="PWF9" s="883"/>
      <c r="PWG9" s="883"/>
      <c r="PWH9" s="883"/>
      <c r="PWI9" s="883"/>
      <c r="PWJ9" s="883"/>
      <c r="PWK9" s="883"/>
      <c r="PWL9" s="883"/>
      <c r="PWM9" s="883"/>
      <c r="PWN9" s="883"/>
      <c r="PWO9" s="883"/>
      <c r="PWP9" s="883"/>
      <c r="PWQ9" s="883"/>
      <c r="PWR9" s="883"/>
      <c r="PWS9" s="883"/>
      <c r="PWT9" s="883"/>
      <c r="PWU9" s="883"/>
      <c r="PWV9" s="883"/>
      <c r="PWW9" s="883"/>
      <c r="PWX9" s="883"/>
      <c r="PWY9" s="883"/>
      <c r="PWZ9" s="883"/>
      <c r="PXA9" s="883"/>
      <c r="PXB9" s="883"/>
      <c r="PXC9" s="883"/>
      <c r="PXD9" s="883"/>
      <c r="PXE9" s="883"/>
      <c r="PXF9" s="883"/>
      <c r="PXG9" s="883"/>
      <c r="PXH9" s="883"/>
      <c r="PXI9" s="883"/>
      <c r="PXJ9" s="883"/>
      <c r="PXK9" s="883"/>
      <c r="PXL9" s="883"/>
      <c r="PXM9" s="883"/>
      <c r="PXN9" s="883"/>
      <c r="PXO9" s="883"/>
      <c r="PXP9" s="883"/>
      <c r="PXQ9" s="883"/>
      <c r="PXR9" s="883"/>
      <c r="PXS9" s="883"/>
      <c r="PXT9" s="883"/>
      <c r="PXU9" s="883"/>
      <c r="PXV9" s="883"/>
      <c r="PXW9" s="883"/>
      <c r="PXX9" s="883"/>
      <c r="PXY9" s="883"/>
      <c r="PXZ9" s="883"/>
      <c r="PYA9" s="883"/>
      <c r="PYB9" s="883"/>
      <c r="PYC9" s="883"/>
      <c r="PYD9" s="883"/>
      <c r="PYE9" s="883"/>
      <c r="PYF9" s="883"/>
      <c r="PYG9" s="883"/>
      <c r="PYH9" s="883"/>
      <c r="PYI9" s="883"/>
      <c r="PYJ9" s="883"/>
      <c r="PYK9" s="883"/>
      <c r="PYL9" s="883"/>
      <c r="PYM9" s="883"/>
      <c r="PYN9" s="883"/>
      <c r="PYO9" s="883"/>
      <c r="PYP9" s="883"/>
      <c r="PYQ9" s="883"/>
      <c r="PYR9" s="883"/>
      <c r="PYS9" s="883"/>
      <c r="PYT9" s="883"/>
      <c r="PYU9" s="883"/>
      <c r="PYV9" s="883"/>
      <c r="PYW9" s="883"/>
      <c r="PYX9" s="883"/>
      <c r="PYY9" s="883"/>
      <c r="PYZ9" s="883"/>
      <c r="PZA9" s="883"/>
      <c r="PZB9" s="883"/>
      <c r="PZC9" s="883"/>
      <c r="PZD9" s="883"/>
      <c r="PZE9" s="883"/>
      <c r="PZF9" s="883"/>
      <c r="PZG9" s="883"/>
      <c r="PZH9" s="883"/>
      <c r="PZI9" s="883"/>
      <c r="PZJ9" s="883"/>
      <c r="PZK9" s="883"/>
      <c r="PZL9" s="883"/>
      <c r="PZM9" s="883"/>
      <c r="PZN9" s="883"/>
      <c r="PZO9" s="883"/>
      <c r="PZP9" s="883"/>
      <c r="PZQ9" s="883"/>
      <c r="PZR9" s="883"/>
      <c r="PZS9" s="883"/>
      <c r="PZT9" s="883"/>
      <c r="PZU9" s="883"/>
      <c r="PZV9" s="883"/>
      <c r="PZW9" s="883"/>
      <c r="PZX9" s="883"/>
      <c r="PZY9" s="883"/>
      <c r="PZZ9" s="883"/>
      <c r="QAA9" s="883"/>
      <c r="QAB9" s="883"/>
      <c r="QAC9" s="883"/>
      <c r="QAD9" s="883"/>
      <c r="QAE9" s="883"/>
      <c r="QAF9" s="883"/>
      <c r="QAG9" s="883"/>
      <c r="QAH9" s="883"/>
      <c r="QAI9" s="883"/>
      <c r="QAJ9" s="883"/>
      <c r="QAK9" s="883"/>
      <c r="QAL9" s="883"/>
      <c r="QAM9" s="883"/>
      <c r="QAN9" s="883"/>
      <c r="QAO9" s="883"/>
      <c r="QAP9" s="883"/>
      <c r="QAQ9" s="883"/>
      <c r="QAR9" s="883"/>
      <c r="QAS9" s="883"/>
      <c r="QAT9" s="883"/>
      <c r="QAU9" s="883"/>
      <c r="QAV9" s="883"/>
      <c r="QAW9" s="883"/>
      <c r="QAX9" s="883"/>
      <c r="QAY9" s="883"/>
      <c r="QAZ9" s="883"/>
      <c r="QBA9" s="883"/>
      <c r="QBB9" s="883"/>
      <c r="QBC9" s="883"/>
      <c r="QBD9" s="883"/>
      <c r="QBE9" s="883"/>
      <c r="QBF9" s="883"/>
      <c r="QBG9" s="883"/>
      <c r="QBH9" s="883"/>
      <c r="QBI9" s="883"/>
      <c r="QBJ9" s="883"/>
      <c r="QBK9" s="883"/>
      <c r="QBL9" s="883"/>
      <c r="QBM9" s="883"/>
      <c r="QBN9" s="883"/>
      <c r="QBO9" s="883"/>
      <c r="QBP9" s="883"/>
      <c r="QBQ9" s="883"/>
      <c r="QBR9" s="883"/>
      <c r="QBS9" s="883"/>
      <c r="QBT9" s="883"/>
      <c r="QBU9" s="883"/>
      <c r="QBV9" s="883"/>
      <c r="QBW9" s="883"/>
      <c r="QBX9" s="883"/>
      <c r="QBY9" s="883"/>
      <c r="QBZ9" s="883"/>
      <c r="QCA9" s="883"/>
      <c r="QCB9" s="883"/>
      <c r="QCC9" s="883"/>
      <c r="QCD9" s="883"/>
      <c r="QCE9" s="883"/>
      <c r="QCF9" s="883"/>
      <c r="QCG9" s="883"/>
      <c r="QCH9" s="883"/>
      <c r="QCI9" s="883"/>
      <c r="QCJ9" s="883"/>
      <c r="QCK9" s="883"/>
      <c r="QCL9" s="883"/>
      <c r="QCM9" s="883"/>
      <c r="QCN9" s="883"/>
      <c r="QCO9" s="883"/>
      <c r="QCP9" s="883"/>
      <c r="QCQ9" s="883"/>
      <c r="QCR9" s="883"/>
      <c r="QCS9" s="883"/>
      <c r="QCT9" s="883"/>
      <c r="QCU9" s="883"/>
      <c r="QCV9" s="883"/>
      <c r="QCW9" s="883"/>
      <c r="QCX9" s="883"/>
      <c r="QCY9" s="883"/>
      <c r="QCZ9" s="883"/>
      <c r="QDA9" s="883"/>
      <c r="QDB9" s="883"/>
      <c r="QDC9" s="883"/>
      <c r="QDD9" s="883"/>
      <c r="QDE9" s="883"/>
      <c r="QDF9" s="883"/>
      <c r="QDG9" s="883"/>
      <c r="QDH9" s="883"/>
      <c r="QDI9" s="883"/>
      <c r="QDJ9" s="883"/>
      <c r="QDK9" s="883"/>
      <c r="QDL9" s="883"/>
      <c r="QDM9" s="883"/>
      <c r="QDN9" s="883"/>
      <c r="QDO9" s="883"/>
      <c r="QDP9" s="883"/>
      <c r="QDQ9" s="883"/>
      <c r="QDR9" s="883"/>
      <c r="QDS9" s="883"/>
      <c r="QDT9" s="883"/>
      <c r="QDU9" s="883"/>
      <c r="QDV9" s="883"/>
      <c r="QDW9" s="883"/>
      <c r="QDX9" s="883"/>
      <c r="QDY9" s="883"/>
      <c r="QDZ9" s="883"/>
      <c r="QEA9" s="883"/>
      <c r="QEB9" s="883"/>
      <c r="QEC9" s="883"/>
      <c r="QED9" s="883"/>
      <c r="QEE9" s="883"/>
      <c r="QEF9" s="883"/>
      <c r="QEG9" s="883"/>
      <c r="QEH9" s="883"/>
      <c r="QEI9" s="883"/>
      <c r="QEJ9" s="883"/>
      <c r="QEK9" s="883"/>
      <c r="QEL9" s="883"/>
      <c r="QEM9" s="883"/>
      <c r="QEN9" s="883"/>
      <c r="QEO9" s="883"/>
      <c r="QEP9" s="883"/>
      <c r="QEQ9" s="883"/>
      <c r="QER9" s="883"/>
      <c r="QES9" s="883"/>
      <c r="QET9" s="883"/>
      <c r="QEU9" s="883"/>
      <c r="QEV9" s="883"/>
      <c r="QEW9" s="883"/>
      <c r="QEX9" s="883"/>
      <c r="QEY9" s="883"/>
      <c r="QEZ9" s="883"/>
      <c r="QFA9" s="883"/>
      <c r="QFB9" s="883"/>
      <c r="QFC9" s="883"/>
      <c r="QFD9" s="883"/>
      <c r="QFE9" s="883"/>
      <c r="QFF9" s="883"/>
      <c r="QFG9" s="883"/>
      <c r="QFH9" s="883"/>
      <c r="QFI9" s="883"/>
      <c r="QFJ9" s="883"/>
      <c r="QFK9" s="883"/>
      <c r="QFL9" s="883"/>
      <c r="QFM9" s="883"/>
      <c r="QFN9" s="883"/>
      <c r="QFO9" s="883"/>
      <c r="QFP9" s="883"/>
      <c r="QFQ9" s="883"/>
      <c r="QFR9" s="883"/>
      <c r="QFS9" s="883"/>
      <c r="QFT9" s="883"/>
      <c r="QFU9" s="883"/>
      <c r="QFV9" s="883"/>
      <c r="QFW9" s="883"/>
      <c r="QFX9" s="883"/>
      <c r="QFY9" s="883"/>
      <c r="QFZ9" s="883"/>
      <c r="QGA9" s="883"/>
      <c r="QGB9" s="883"/>
      <c r="QGC9" s="883"/>
      <c r="QGD9" s="883"/>
      <c r="QGE9" s="883"/>
      <c r="QGF9" s="883"/>
      <c r="QGG9" s="883"/>
      <c r="QGH9" s="883"/>
      <c r="QGI9" s="883"/>
      <c r="QGJ9" s="883"/>
      <c r="QGK9" s="883"/>
      <c r="QGL9" s="883"/>
      <c r="QGM9" s="883"/>
      <c r="QGN9" s="883"/>
      <c r="QGO9" s="883"/>
      <c r="QGP9" s="883"/>
      <c r="QGQ9" s="883"/>
      <c r="QGR9" s="883"/>
      <c r="QGS9" s="883"/>
      <c r="QGT9" s="883"/>
      <c r="QGU9" s="883"/>
      <c r="QGV9" s="883"/>
      <c r="QGW9" s="883"/>
      <c r="QGX9" s="883"/>
      <c r="QGY9" s="883"/>
      <c r="QGZ9" s="883"/>
      <c r="QHA9" s="883"/>
      <c r="QHB9" s="883"/>
      <c r="QHC9" s="883"/>
      <c r="QHD9" s="883"/>
      <c r="QHE9" s="883"/>
      <c r="QHF9" s="883"/>
      <c r="QHG9" s="883"/>
      <c r="QHH9" s="883"/>
      <c r="QHI9" s="883"/>
      <c r="QHJ9" s="883"/>
      <c r="QHK9" s="883"/>
      <c r="QHL9" s="883"/>
      <c r="QHM9" s="883"/>
      <c r="QHN9" s="883"/>
      <c r="QHO9" s="883"/>
      <c r="QHP9" s="883"/>
      <c r="QHQ9" s="883"/>
      <c r="QHR9" s="883"/>
      <c r="QHS9" s="883"/>
      <c r="QHT9" s="883"/>
      <c r="QHU9" s="883"/>
      <c r="QHV9" s="883"/>
      <c r="QHW9" s="883"/>
      <c r="QHX9" s="883"/>
      <c r="QHY9" s="883"/>
      <c r="QHZ9" s="883"/>
      <c r="QIA9" s="883"/>
      <c r="QIB9" s="883"/>
      <c r="QIC9" s="883"/>
      <c r="QID9" s="883"/>
      <c r="QIE9" s="883"/>
      <c r="QIF9" s="883"/>
      <c r="QIG9" s="883"/>
      <c r="QIH9" s="883"/>
      <c r="QII9" s="883"/>
      <c r="QIJ9" s="883"/>
      <c r="QIK9" s="883"/>
      <c r="QIL9" s="883"/>
      <c r="QIM9" s="883"/>
      <c r="QIN9" s="883"/>
      <c r="QIO9" s="883"/>
      <c r="QIP9" s="883"/>
      <c r="QIQ9" s="883"/>
      <c r="QIR9" s="883"/>
      <c r="QIS9" s="883"/>
      <c r="QIT9" s="883"/>
      <c r="QIU9" s="883"/>
      <c r="QIV9" s="883"/>
      <c r="QIW9" s="883"/>
      <c r="QIX9" s="883"/>
      <c r="QIY9" s="883"/>
      <c r="QIZ9" s="883"/>
      <c r="QJA9" s="883"/>
      <c r="QJB9" s="883"/>
      <c r="QJC9" s="883"/>
      <c r="QJD9" s="883"/>
      <c r="QJE9" s="883"/>
      <c r="QJF9" s="883"/>
      <c r="QJG9" s="883"/>
      <c r="QJH9" s="883"/>
      <c r="QJI9" s="883"/>
      <c r="QJJ9" s="883"/>
      <c r="QJK9" s="883"/>
      <c r="QJL9" s="883"/>
      <c r="QJM9" s="883"/>
      <c r="QJN9" s="883"/>
      <c r="QJO9" s="883"/>
      <c r="QJP9" s="883"/>
      <c r="QJQ9" s="883"/>
      <c r="QJR9" s="883"/>
      <c r="QJS9" s="883"/>
      <c r="QJT9" s="883"/>
      <c r="QJU9" s="883"/>
      <c r="QJV9" s="883"/>
      <c r="QJW9" s="883"/>
      <c r="QJX9" s="883"/>
      <c r="QJY9" s="883"/>
      <c r="QJZ9" s="883"/>
      <c r="QKA9" s="883"/>
      <c r="QKB9" s="883"/>
      <c r="QKC9" s="883"/>
      <c r="QKD9" s="883"/>
      <c r="QKE9" s="883"/>
      <c r="QKF9" s="883"/>
      <c r="QKG9" s="883"/>
      <c r="QKH9" s="883"/>
      <c r="QKI9" s="883"/>
      <c r="QKJ9" s="883"/>
      <c r="QKK9" s="883"/>
      <c r="QKL9" s="883"/>
      <c r="QKM9" s="883"/>
      <c r="QKN9" s="883"/>
      <c r="QKO9" s="883"/>
      <c r="QKP9" s="883"/>
      <c r="QKQ9" s="883"/>
      <c r="QKR9" s="883"/>
      <c r="QKS9" s="883"/>
      <c r="QKT9" s="883"/>
      <c r="QKU9" s="883"/>
      <c r="QKV9" s="883"/>
      <c r="QKW9" s="883"/>
      <c r="QKX9" s="883"/>
      <c r="QKY9" s="883"/>
      <c r="QKZ9" s="883"/>
      <c r="QLA9" s="883"/>
      <c r="QLB9" s="883"/>
      <c r="QLC9" s="883"/>
      <c r="QLD9" s="883"/>
      <c r="QLE9" s="883"/>
      <c r="QLF9" s="883"/>
      <c r="QLG9" s="883"/>
      <c r="QLH9" s="883"/>
      <c r="QLI9" s="883"/>
      <c r="QLJ9" s="883"/>
      <c r="QLK9" s="883"/>
      <c r="QLL9" s="883"/>
      <c r="QLM9" s="883"/>
      <c r="QLN9" s="883"/>
      <c r="QLO9" s="883"/>
      <c r="QLP9" s="883"/>
      <c r="QLQ9" s="883"/>
      <c r="QLR9" s="883"/>
      <c r="QLS9" s="883"/>
      <c r="QLT9" s="883"/>
      <c r="QLU9" s="883"/>
      <c r="QLV9" s="883"/>
      <c r="QLW9" s="883"/>
      <c r="QLX9" s="883"/>
      <c r="QLY9" s="883"/>
      <c r="QLZ9" s="883"/>
      <c r="QMA9" s="883"/>
      <c r="QMB9" s="883"/>
      <c r="QMC9" s="883"/>
      <c r="QMD9" s="883"/>
      <c r="QME9" s="883"/>
      <c r="QMF9" s="883"/>
      <c r="QMG9" s="883"/>
      <c r="QMH9" s="883"/>
      <c r="QMI9" s="883"/>
      <c r="QMJ9" s="883"/>
      <c r="QMK9" s="883"/>
      <c r="QML9" s="883"/>
      <c r="QMM9" s="883"/>
      <c r="QMN9" s="883"/>
      <c r="QMO9" s="883"/>
      <c r="QMP9" s="883"/>
      <c r="QMQ9" s="883"/>
      <c r="QMR9" s="883"/>
      <c r="QMS9" s="883"/>
      <c r="QMT9" s="883"/>
      <c r="QMU9" s="883"/>
      <c r="QMV9" s="883"/>
      <c r="QMW9" s="883"/>
      <c r="QMX9" s="883"/>
      <c r="QMY9" s="883"/>
      <c r="QMZ9" s="883"/>
      <c r="QNA9" s="883"/>
      <c r="QNB9" s="883"/>
      <c r="QNC9" s="883"/>
      <c r="QND9" s="883"/>
      <c r="QNE9" s="883"/>
      <c r="QNF9" s="883"/>
      <c r="QNG9" s="883"/>
      <c r="QNH9" s="883"/>
      <c r="QNI9" s="883"/>
      <c r="QNJ9" s="883"/>
      <c r="QNK9" s="883"/>
      <c r="QNL9" s="883"/>
      <c r="QNM9" s="883"/>
      <c r="QNN9" s="883"/>
      <c r="QNO9" s="883"/>
      <c r="QNP9" s="883"/>
      <c r="QNQ9" s="883"/>
      <c r="QNR9" s="883"/>
      <c r="QNS9" s="883"/>
      <c r="QNT9" s="883"/>
      <c r="QNU9" s="883"/>
      <c r="QNV9" s="883"/>
      <c r="QNW9" s="883"/>
      <c r="QNX9" s="883"/>
      <c r="QNY9" s="883"/>
      <c r="QNZ9" s="883"/>
      <c r="QOA9" s="883"/>
      <c r="QOB9" s="883"/>
      <c r="QOC9" s="883"/>
      <c r="QOD9" s="883"/>
      <c r="QOE9" s="883"/>
      <c r="QOF9" s="883"/>
      <c r="QOG9" s="883"/>
      <c r="QOH9" s="883"/>
      <c r="QOI9" s="883"/>
      <c r="QOJ9" s="883"/>
      <c r="QOK9" s="883"/>
      <c r="QOL9" s="883"/>
      <c r="QOM9" s="883"/>
      <c r="QON9" s="883"/>
      <c r="QOO9" s="883"/>
      <c r="QOP9" s="883"/>
      <c r="QOQ9" s="883"/>
      <c r="QOR9" s="883"/>
      <c r="QOS9" s="883"/>
      <c r="QOT9" s="883"/>
      <c r="QOU9" s="883"/>
      <c r="QOV9" s="883"/>
      <c r="QOW9" s="883"/>
      <c r="QOX9" s="883"/>
      <c r="QOY9" s="883"/>
      <c r="QOZ9" s="883"/>
      <c r="QPA9" s="883"/>
      <c r="QPB9" s="883"/>
      <c r="QPC9" s="883"/>
      <c r="QPD9" s="883"/>
      <c r="QPE9" s="883"/>
      <c r="QPF9" s="883"/>
      <c r="QPG9" s="883"/>
      <c r="QPH9" s="883"/>
      <c r="QPI9" s="883"/>
      <c r="QPJ9" s="883"/>
      <c r="QPK9" s="883"/>
      <c r="QPL9" s="883"/>
      <c r="QPM9" s="883"/>
      <c r="QPN9" s="883"/>
      <c r="QPO9" s="883"/>
      <c r="QPP9" s="883"/>
      <c r="QPQ9" s="883"/>
      <c r="QPR9" s="883"/>
      <c r="QPS9" s="883"/>
      <c r="QPT9" s="883"/>
      <c r="QPU9" s="883"/>
      <c r="QPV9" s="883"/>
      <c r="QPW9" s="883"/>
      <c r="QPX9" s="883"/>
      <c r="QPY9" s="883"/>
      <c r="QPZ9" s="883"/>
      <c r="QQA9" s="883"/>
      <c r="QQB9" s="883"/>
      <c r="QQC9" s="883"/>
      <c r="QQD9" s="883"/>
      <c r="QQE9" s="883"/>
      <c r="QQF9" s="883"/>
      <c r="QQG9" s="883"/>
      <c r="QQH9" s="883"/>
      <c r="QQI9" s="883"/>
      <c r="QQJ9" s="883"/>
      <c r="QQK9" s="883"/>
      <c r="QQL9" s="883"/>
      <c r="QQM9" s="883"/>
      <c r="QQN9" s="883"/>
      <c r="QQO9" s="883"/>
      <c r="QQP9" s="883"/>
      <c r="QQQ9" s="883"/>
      <c r="QQR9" s="883"/>
      <c r="QQS9" s="883"/>
      <c r="QQT9" s="883"/>
      <c r="QQU9" s="883"/>
      <c r="QQV9" s="883"/>
      <c r="QQW9" s="883"/>
      <c r="QQX9" s="883"/>
      <c r="QQY9" s="883"/>
      <c r="QQZ9" s="883"/>
      <c r="QRA9" s="883"/>
      <c r="QRB9" s="883"/>
      <c r="QRC9" s="883"/>
      <c r="QRD9" s="883"/>
      <c r="QRE9" s="883"/>
      <c r="QRF9" s="883"/>
      <c r="QRG9" s="883"/>
      <c r="QRH9" s="883"/>
      <c r="QRI9" s="883"/>
      <c r="QRJ9" s="883"/>
      <c r="QRK9" s="883"/>
      <c r="QRL9" s="883"/>
      <c r="QRM9" s="883"/>
      <c r="QRN9" s="883"/>
      <c r="QRO9" s="883"/>
      <c r="QRP9" s="883"/>
      <c r="QRQ9" s="883"/>
      <c r="QRR9" s="883"/>
      <c r="QRS9" s="883"/>
      <c r="QRT9" s="883"/>
      <c r="QRU9" s="883"/>
      <c r="QRV9" s="883"/>
      <c r="QRW9" s="883"/>
      <c r="QRX9" s="883"/>
      <c r="QRY9" s="883"/>
      <c r="QRZ9" s="883"/>
      <c r="QSA9" s="883"/>
      <c r="QSB9" s="883"/>
      <c r="QSC9" s="883"/>
      <c r="QSD9" s="883"/>
      <c r="QSE9" s="883"/>
      <c r="QSF9" s="883"/>
      <c r="QSG9" s="883"/>
      <c r="QSH9" s="883"/>
      <c r="QSI9" s="883"/>
      <c r="QSJ9" s="883"/>
      <c r="QSK9" s="883"/>
      <c r="QSL9" s="883"/>
      <c r="QSM9" s="883"/>
      <c r="QSN9" s="883"/>
      <c r="QSO9" s="883"/>
      <c r="QSP9" s="883"/>
      <c r="QSQ9" s="883"/>
      <c r="QSR9" s="883"/>
      <c r="QSS9" s="883"/>
      <c r="QST9" s="883"/>
      <c r="QSU9" s="883"/>
      <c r="QSV9" s="883"/>
      <c r="QSW9" s="883"/>
      <c r="QSX9" s="883"/>
      <c r="QSY9" s="883"/>
      <c r="QSZ9" s="883"/>
      <c r="QTA9" s="883"/>
      <c r="QTB9" s="883"/>
      <c r="QTC9" s="883"/>
      <c r="QTD9" s="883"/>
      <c r="QTE9" s="883"/>
      <c r="QTF9" s="883"/>
      <c r="QTG9" s="883"/>
      <c r="QTH9" s="883"/>
      <c r="QTI9" s="883"/>
      <c r="QTJ9" s="883"/>
      <c r="QTK9" s="883"/>
      <c r="QTL9" s="883"/>
      <c r="QTM9" s="883"/>
      <c r="QTN9" s="883"/>
      <c r="QTO9" s="883"/>
      <c r="QTP9" s="883"/>
      <c r="QTQ9" s="883"/>
      <c r="QTR9" s="883"/>
      <c r="QTS9" s="883"/>
      <c r="QTT9" s="883"/>
      <c r="QTU9" s="883"/>
      <c r="QTV9" s="883"/>
      <c r="QTW9" s="883"/>
      <c r="QTX9" s="883"/>
      <c r="QTY9" s="883"/>
      <c r="QTZ9" s="883"/>
      <c r="QUA9" s="883"/>
      <c r="QUB9" s="883"/>
      <c r="QUC9" s="883"/>
      <c r="QUD9" s="883"/>
      <c r="QUE9" s="883"/>
      <c r="QUF9" s="883"/>
      <c r="QUG9" s="883"/>
      <c r="QUH9" s="883"/>
      <c r="QUI9" s="883"/>
      <c r="QUJ9" s="883"/>
      <c r="QUK9" s="883"/>
      <c r="QUL9" s="883"/>
      <c r="QUM9" s="883"/>
      <c r="QUN9" s="883"/>
      <c r="QUO9" s="883"/>
      <c r="QUP9" s="883"/>
      <c r="QUQ9" s="883"/>
      <c r="QUR9" s="883"/>
      <c r="QUS9" s="883"/>
      <c r="QUT9" s="883"/>
      <c r="QUU9" s="883"/>
      <c r="QUV9" s="883"/>
      <c r="QUW9" s="883"/>
      <c r="QUX9" s="883"/>
      <c r="QUY9" s="883"/>
      <c r="QUZ9" s="883"/>
      <c r="QVA9" s="883"/>
      <c r="QVB9" s="883"/>
      <c r="QVC9" s="883"/>
      <c r="QVD9" s="883"/>
      <c r="QVE9" s="883"/>
      <c r="QVF9" s="883"/>
      <c r="QVG9" s="883"/>
      <c r="QVH9" s="883"/>
      <c r="QVI9" s="883"/>
      <c r="QVJ9" s="883"/>
      <c r="QVK9" s="883"/>
      <c r="QVL9" s="883"/>
      <c r="QVM9" s="883"/>
      <c r="QVN9" s="883"/>
      <c r="QVO9" s="883"/>
      <c r="QVP9" s="883"/>
      <c r="QVQ9" s="883"/>
      <c r="QVR9" s="883"/>
      <c r="QVS9" s="883"/>
      <c r="QVT9" s="883"/>
      <c r="QVU9" s="883"/>
      <c r="QVV9" s="883"/>
      <c r="QVW9" s="883"/>
      <c r="QVX9" s="883"/>
      <c r="QVY9" s="883"/>
      <c r="QVZ9" s="883"/>
      <c r="QWA9" s="883"/>
      <c r="QWB9" s="883"/>
      <c r="QWC9" s="883"/>
      <c r="QWD9" s="883"/>
      <c r="QWE9" s="883"/>
      <c r="QWF9" s="883"/>
      <c r="QWG9" s="883"/>
      <c r="QWH9" s="883"/>
      <c r="QWI9" s="883"/>
      <c r="QWJ9" s="883"/>
      <c r="QWK9" s="883"/>
      <c r="QWL9" s="883"/>
      <c r="QWM9" s="883"/>
      <c r="QWN9" s="883"/>
      <c r="QWO9" s="883"/>
      <c r="QWP9" s="883"/>
      <c r="QWQ9" s="883"/>
      <c r="QWR9" s="883"/>
      <c r="QWS9" s="883"/>
      <c r="QWT9" s="883"/>
      <c r="QWU9" s="883"/>
      <c r="QWV9" s="883"/>
      <c r="QWW9" s="883"/>
      <c r="QWX9" s="883"/>
      <c r="QWY9" s="883"/>
      <c r="QWZ9" s="883"/>
      <c r="QXA9" s="883"/>
      <c r="QXB9" s="883"/>
      <c r="QXC9" s="883"/>
      <c r="QXD9" s="883"/>
      <c r="QXE9" s="883"/>
      <c r="QXF9" s="883"/>
      <c r="QXG9" s="883"/>
      <c r="QXH9" s="883"/>
      <c r="QXI9" s="883"/>
      <c r="QXJ9" s="883"/>
      <c r="QXK9" s="883"/>
      <c r="QXL9" s="883"/>
      <c r="QXM9" s="883"/>
      <c r="QXN9" s="883"/>
      <c r="QXO9" s="883"/>
      <c r="QXP9" s="883"/>
      <c r="QXQ9" s="883"/>
      <c r="QXR9" s="883"/>
      <c r="QXS9" s="883"/>
      <c r="QXT9" s="883"/>
      <c r="QXU9" s="883"/>
      <c r="QXV9" s="883"/>
      <c r="QXW9" s="883"/>
      <c r="QXX9" s="883"/>
      <c r="QXY9" s="883"/>
      <c r="QXZ9" s="883"/>
      <c r="QYA9" s="883"/>
      <c r="QYB9" s="883"/>
      <c r="QYC9" s="883"/>
      <c r="QYD9" s="883"/>
      <c r="QYE9" s="883"/>
      <c r="QYF9" s="883"/>
      <c r="QYG9" s="883"/>
      <c r="QYH9" s="883"/>
      <c r="QYI9" s="883"/>
      <c r="QYJ9" s="883"/>
      <c r="QYK9" s="883"/>
      <c r="QYL9" s="883"/>
      <c r="QYM9" s="883"/>
      <c r="QYN9" s="883"/>
      <c r="QYO9" s="883"/>
      <c r="QYP9" s="883"/>
      <c r="QYQ9" s="883"/>
      <c r="QYR9" s="883"/>
      <c r="QYS9" s="883"/>
      <c r="QYT9" s="883"/>
      <c r="QYU9" s="883"/>
      <c r="QYV9" s="883"/>
      <c r="QYW9" s="883"/>
      <c r="QYX9" s="883"/>
      <c r="QYY9" s="883"/>
      <c r="QYZ9" s="883"/>
      <c r="QZA9" s="883"/>
      <c r="QZB9" s="883"/>
      <c r="QZC9" s="883"/>
      <c r="QZD9" s="883"/>
      <c r="QZE9" s="883"/>
      <c r="QZF9" s="883"/>
      <c r="QZG9" s="883"/>
      <c r="QZH9" s="883"/>
      <c r="QZI9" s="883"/>
      <c r="QZJ9" s="883"/>
      <c r="QZK9" s="883"/>
      <c r="QZL9" s="883"/>
      <c r="QZM9" s="883"/>
      <c r="QZN9" s="883"/>
      <c r="QZO9" s="883"/>
      <c r="QZP9" s="883"/>
      <c r="QZQ9" s="883"/>
      <c r="QZR9" s="883"/>
      <c r="QZS9" s="883"/>
      <c r="QZT9" s="883"/>
      <c r="QZU9" s="883"/>
      <c r="QZV9" s="883"/>
      <c r="QZW9" s="883"/>
      <c r="QZX9" s="883"/>
      <c r="QZY9" s="883"/>
      <c r="QZZ9" s="883"/>
      <c r="RAA9" s="883"/>
      <c r="RAB9" s="883"/>
      <c r="RAC9" s="883"/>
      <c r="RAD9" s="883"/>
      <c r="RAE9" s="883"/>
      <c r="RAF9" s="883"/>
      <c r="RAG9" s="883"/>
      <c r="RAH9" s="883"/>
      <c r="RAI9" s="883"/>
      <c r="RAJ9" s="883"/>
      <c r="RAK9" s="883"/>
      <c r="RAL9" s="883"/>
      <c r="RAM9" s="883"/>
      <c r="RAN9" s="883"/>
      <c r="RAO9" s="883"/>
      <c r="RAP9" s="883"/>
      <c r="RAQ9" s="883"/>
      <c r="RAR9" s="883"/>
      <c r="RAS9" s="883"/>
      <c r="RAT9" s="883"/>
      <c r="RAU9" s="883"/>
      <c r="RAV9" s="883"/>
      <c r="RAW9" s="883"/>
      <c r="RAX9" s="883"/>
      <c r="RAY9" s="883"/>
      <c r="RAZ9" s="883"/>
      <c r="RBA9" s="883"/>
      <c r="RBB9" s="883"/>
      <c r="RBC9" s="883"/>
      <c r="RBD9" s="883"/>
      <c r="RBE9" s="883"/>
      <c r="RBF9" s="883"/>
      <c r="RBG9" s="883"/>
      <c r="RBH9" s="883"/>
      <c r="RBI9" s="883"/>
      <c r="RBJ9" s="883"/>
      <c r="RBK9" s="883"/>
      <c r="RBL9" s="883"/>
      <c r="RBM9" s="883"/>
      <c r="RBN9" s="883"/>
      <c r="RBO9" s="883"/>
      <c r="RBP9" s="883"/>
      <c r="RBQ9" s="883"/>
      <c r="RBR9" s="883"/>
      <c r="RBS9" s="883"/>
      <c r="RBT9" s="883"/>
      <c r="RBU9" s="883"/>
      <c r="RBV9" s="883"/>
      <c r="RBW9" s="883"/>
      <c r="RBX9" s="883"/>
      <c r="RBY9" s="883"/>
      <c r="RBZ9" s="883"/>
      <c r="RCA9" s="883"/>
      <c r="RCB9" s="883"/>
      <c r="RCC9" s="883"/>
      <c r="RCD9" s="883"/>
      <c r="RCE9" s="883"/>
      <c r="RCF9" s="883"/>
      <c r="RCG9" s="883"/>
      <c r="RCH9" s="883"/>
      <c r="RCI9" s="883"/>
      <c r="RCJ9" s="883"/>
      <c r="RCK9" s="883"/>
      <c r="RCL9" s="883"/>
      <c r="RCM9" s="883"/>
      <c r="RCN9" s="883"/>
      <c r="RCO9" s="883"/>
      <c r="RCP9" s="883"/>
      <c r="RCQ9" s="883"/>
      <c r="RCR9" s="883"/>
      <c r="RCS9" s="883"/>
      <c r="RCT9" s="883"/>
      <c r="RCU9" s="883"/>
      <c r="RCV9" s="883"/>
      <c r="RCW9" s="883"/>
      <c r="RCX9" s="883"/>
      <c r="RCY9" s="883"/>
      <c r="RCZ9" s="883"/>
      <c r="RDA9" s="883"/>
      <c r="RDB9" s="883"/>
      <c r="RDC9" s="883"/>
      <c r="RDD9" s="883"/>
      <c r="RDE9" s="883"/>
      <c r="RDF9" s="883"/>
      <c r="RDG9" s="883"/>
      <c r="RDH9" s="883"/>
      <c r="RDI9" s="883"/>
      <c r="RDJ9" s="883"/>
      <c r="RDK9" s="883"/>
      <c r="RDL9" s="883"/>
      <c r="RDM9" s="883"/>
      <c r="RDN9" s="883"/>
      <c r="RDO9" s="883"/>
      <c r="RDP9" s="883"/>
      <c r="RDQ9" s="883"/>
      <c r="RDR9" s="883"/>
      <c r="RDS9" s="883"/>
      <c r="RDT9" s="883"/>
      <c r="RDU9" s="883"/>
      <c r="RDV9" s="883"/>
      <c r="RDW9" s="883"/>
      <c r="RDX9" s="883"/>
      <c r="RDY9" s="883"/>
      <c r="RDZ9" s="883"/>
      <c r="REA9" s="883"/>
      <c r="REB9" s="883"/>
      <c r="REC9" s="883"/>
      <c r="RED9" s="883"/>
      <c r="REE9" s="883"/>
      <c r="REF9" s="883"/>
      <c r="REG9" s="883"/>
      <c r="REH9" s="883"/>
      <c r="REI9" s="883"/>
      <c r="REJ9" s="883"/>
      <c r="REK9" s="883"/>
      <c r="REL9" s="883"/>
      <c r="REM9" s="883"/>
      <c r="REN9" s="883"/>
      <c r="REO9" s="883"/>
      <c r="REP9" s="883"/>
      <c r="REQ9" s="883"/>
      <c r="RER9" s="883"/>
      <c r="RES9" s="883"/>
      <c r="RET9" s="883"/>
      <c r="REU9" s="883"/>
      <c r="REV9" s="883"/>
      <c r="REW9" s="883"/>
      <c r="REX9" s="883"/>
      <c r="REY9" s="883"/>
      <c r="REZ9" s="883"/>
      <c r="RFA9" s="883"/>
      <c r="RFB9" s="883"/>
      <c r="RFC9" s="883"/>
      <c r="RFD9" s="883"/>
      <c r="RFE9" s="883"/>
      <c r="RFF9" s="883"/>
      <c r="RFG9" s="883"/>
      <c r="RFH9" s="883"/>
      <c r="RFI9" s="883"/>
      <c r="RFJ9" s="883"/>
      <c r="RFK9" s="883"/>
      <c r="RFL9" s="883"/>
      <c r="RFM9" s="883"/>
      <c r="RFN9" s="883"/>
      <c r="RFO9" s="883"/>
      <c r="RFP9" s="883"/>
      <c r="RFQ9" s="883"/>
      <c r="RFR9" s="883"/>
      <c r="RFS9" s="883"/>
      <c r="RFT9" s="883"/>
      <c r="RFU9" s="883"/>
      <c r="RFV9" s="883"/>
      <c r="RFW9" s="883"/>
      <c r="RFX9" s="883"/>
      <c r="RFY9" s="883"/>
      <c r="RFZ9" s="883"/>
      <c r="RGA9" s="883"/>
      <c r="RGB9" s="883"/>
      <c r="RGC9" s="883"/>
      <c r="RGD9" s="883"/>
      <c r="RGE9" s="883"/>
      <c r="RGF9" s="883"/>
      <c r="RGG9" s="883"/>
      <c r="RGH9" s="883"/>
      <c r="RGI9" s="883"/>
      <c r="RGJ9" s="883"/>
      <c r="RGK9" s="883"/>
      <c r="RGL9" s="883"/>
      <c r="RGM9" s="883"/>
      <c r="RGN9" s="883"/>
      <c r="RGO9" s="883"/>
      <c r="RGP9" s="883"/>
      <c r="RGQ9" s="883"/>
      <c r="RGR9" s="883"/>
      <c r="RGS9" s="883"/>
      <c r="RGT9" s="883"/>
      <c r="RGU9" s="883"/>
      <c r="RGV9" s="883"/>
      <c r="RGW9" s="883"/>
      <c r="RGX9" s="883"/>
      <c r="RGY9" s="883"/>
      <c r="RGZ9" s="883"/>
      <c r="RHA9" s="883"/>
      <c r="RHB9" s="883"/>
      <c r="RHC9" s="883"/>
      <c r="RHD9" s="883"/>
      <c r="RHE9" s="883"/>
      <c r="RHF9" s="883"/>
      <c r="RHG9" s="883"/>
      <c r="RHH9" s="883"/>
      <c r="RHI9" s="883"/>
      <c r="RHJ9" s="883"/>
      <c r="RHK9" s="883"/>
      <c r="RHL9" s="883"/>
      <c r="RHM9" s="883"/>
      <c r="RHN9" s="883"/>
      <c r="RHO9" s="883"/>
      <c r="RHP9" s="883"/>
      <c r="RHQ9" s="883"/>
      <c r="RHR9" s="883"/>
      <c r="RHS9" s="883"/>
      <c r="RHT9" s="883"/>
      <c r="RHU9" s="883"/>
      <c r="RHV9" s="883"/>
      <c r="RHW9" s="883"/>
      <c r="RHX9" s="883"/>
      <c r="RHY9" s="883"/>
      <c r="RHZ9" s="883"/>
      <c r="RIA9" s="883"/>
      <c r="RIB9" s="883"/>
      <c r="RIC9" s="883"/>
      <c r="RID9" s="883"/>
      <c r="RIE9" s="883"/>
      <c r="RIF9" s="883"/>
      <c r="RIG9" s="883"/>
      <c r="RIH9" s="883"/>
      <c r="RII9" s="883"/>
      <c r="RIJ9" s="883"/>
      <c r="RIK9" s="883"/>
      <c r="RIL9" s="883"/>
      <c r="RIM9" s="883"/>
      <c r="RIN9" s="883"/>
      <c r="RIO9" s="883"/>
      <c r="RIP9" s="883"/>
      <c r="RIQ9" s="883"/>
      <c r="RIR9" s="883"/>
      <c r="RIS9" s="883"/>
      <c r="RIT9" s="883"/>
      <c r="RIU9" s="883"/>
      <c r="RIV9" s="883"/>
      <c r="RIW9" s="883"/>
      <c r="RIX9" s="883"/>
      <c r="RIY9" s="883"/>
      <c r="RIZ9" s="883"/>
      <c r="RJA9" s="883"/>
      <c r="RJB9" s="883"/>
      <c r="RJC9" s="883"/>
      <c r="RJD9" s="883"/>
      <c r="RJE9" s="883"/>
      <c r="RJF9" s="883"/>
      <c r="RJG9" s="883"/>
      <c r="RJH9" s="883"/>
      <c r="RJI9" s="883"/>
      <c r="RJJ9" s="883"/>
      <c r="RJK9" s="883"/>
      <c r="RJL9" s="883"/>
      <c r="RJM9" s="883"/>
      <c r="RJN9" s="883"/>
      <c r="RJO9" s="883"/>
      <c r="RJP9" s="883"/>
      <c r="RJQ9" s="883"/>
      <c r="RJR9" s="883"/>
      <c r="RJS9" s="883"/>
      <c r="RJT9" s="883"/>
      <c r="RJU9" s="883"/>
      <c r="RJV9" s="883"/>
      <c r="RJW9" s="883"/>
      <c r="RJX9" s="883"/>
      <c r="RJY9" s="883"/>
      <c r="RJZ9" s="883"/>
      <c r="RKA9" s="883"/>
      <c r="RKB9" s="883"/>
      <c r="RKC9" s="883"/>
      <c r="RKD9" s="883"/>
      <c r="RKE9" s="883"/>
      <c r="RKF9" s="883"/>
      <c r="RKG9" s="883"/>
      <c r="RKH9" s="883"/>
      <c r="RKI9" s="883"/>
      <c r="RKJ9" s="883"/>
      <c r="RKK9" s="883"/>
      <c r="RKL9" s="883"/>
      <c r="RKM9" s="883"/>
      <c r="RKN9" s="883"/>
      <c r="RKO9" s="883"/>
      <c r="RKP9" s="883"/>
      <c r="RKQ9" s="883"/>
      <c r="RKR9" s="883"/>
      <c r="RKS9" s="883"/>
      <c r="RKT9" s="883"/>
      <c r="RKU9" s="883"/>
      <c r="RKV9" s="883"/>
      <c r="RKW9" s="883"/>
      <c r="RKX9" s="883"/>
      <c r="RKY9" s="883"/>
      <c r="RKZ9" s="883"/>
      <c r="RLA9" s="883"/>
      <c r="RLB9" s="883"/>
      <c r="RLC9" s="883"/>
      <c r="RLD9" s="883"/>
      <c r="RLE9" s="883"/>
      <c r="RLF9" s="883"/>
      <c r="RLG9" s="883"/>
      <c r="RLH9" s="883"/>
      <c r="RLI9" s="883"/>
      <c r="RLJ9" s="883"/>
      <c r="RLK9" s="883"/>
      <c r="RLL9" s="883"/>
      <c r="RLM9" s="883"/>
      <c r="RLN9" s="883"/>
      <c r="RLO9" s="883"/>
      <c r="RLP9" s="883"/>
      <c r="RLQ9" s="883"/>
      <c r="RLR9" s="883"/>
      <c r="RLS9" s="883"/>
      <c r="RLT9" s="883"/>
      <c r="RLU9" s="883"/>
      <c r="RLV9" s="883"/>
      <c r="RLW9" s="883"/>
      <c r="RLX9" s="883"/>
      <c r="RLY9" s="883"/>
      <c r="RLZ9" s="883"/>
      <c r="RMA9" s="883"/>
      <c r="RMB9" s="883"/>
      <c r="RMC9" s="883"/>
      <c r="RMD9" s="883"/>
      <c r="RME9" s="883"/>
      <c r="RMF9" s="883"/>
      <c r="RMG9" s="883"/>
      <c r="RMH9" s="883"/>
      <c r="RMI9" s="883"/>
      <c r="RMJ9" s="883"/>
      <c r="RMK9" s="883"/>
      <c r="RML9" s="883"/>
      <c r="RMM9" s="883"/>
      <c r="RMN9" s="883"/>
      <c r="RMO9" s="883"/>
      <c r="RMP9" s="883"/>
      <c r="RMQ9" s="883"/>
      <c r="RMR9" s="883"/>
      <c r="RMS9" s="883"/>
      <c r="RMT9" s="883"/>
      <c r="RMU9" s="883"/>
      <c r="RMV9" s="883"/>
      <c r="RMW9" s="883"/>
      <c r="RMX9" s="883"/>
      <c r="RMY9" s="883"/>
      <c r="RMZ9" s="883"/>
      <c r="RNA9" s="883"/>
      <c r="RNB9" s="883"/>
      <c r="RNC9" s="883"/>
      <c r="RND9" s="883"/>
      <c r="RNE9" s="883"/>
      <c r="RNF9" s="883"/>
      <c r="RNG9" s="883"/>
      <c r="RNH9" s="883"/>
      <c r="RNI9" s="883"/>
      <c r="RNJ9" s="883"/>
      <c r="RNK9" s="883"/>
      <c r="RNL9" s="883"/>
      <c r="RNM9" s="883"/>
      <c r="RNN9" s="883"/>
      <c r="RNO9" s="883"/>
      <c r="RNP9" s="883"/>
      <c r="RNQ9" s="883"/>
      <c r="RNR9" s="883"/>
      <c r="RNS9" s="883"/>
      <c r="RNT9" s="883"/>
      <c r="RNU9" s="883"/>
      <c r="RNV9" s="883"/>
      <c r="RNW9" s="883"/>
      <c r="RNX9" s="883"/>
      <c r="RNY9" s="883"/>
      <c r="RNZ9" s="883"/>
      <c r="ROA9" s="883"/>
      <c r="ROB9" s="883"/>
      <c r="ROC9" s="883"/>
      <c r="ROD9" s="883"/>
      <c r="ROE9" s="883"/>
      <c r="ROF9" s="883"/>
      <c r="ROG9" s="883"/>
      <c r="ROH9" s="883"/>
      <c r="ROI9" s="883"/>
      <c r="ROJ9" s="883"/>
      <c r="ROK9" s="883"/>
      <c r="ROL9" s="883"/>
      <c r="ROM9" s="883"/>
      <c r="RON9" s="883"/>
      <c r="ROO9" s="883"/>
      <c r="ROP9" s="883"/>
      <c r="ROQ9" s="883"/>
      <c r="ROR9" s="883"/>
      <c r="ROS9" s="883"/>
      <c r="ROT9" s="883"/>
      <c r="ROU9" s="883"/>
      <c r="ROV9" s="883"/>
      <c r="ROW9" s="883"/>
      <c r="ROX9" s="883"/>
      <c r="ROY9" s="883"/>
      <c r="ROZ9" s="883"/>
      <c r="RPA9" s="883"/>
      <c r="RPB9" s="883"/>
      <c r="RPC9" s="883"/>
      <c r="RPD9" s="883"/>
      <c r="RPE9" s="883"/>
      <c r="RPF9" s="883"/>
      <c r="RPG9" s="883"/>
      <c r="RPH9" s="883"/>
      <c r="RPI9" s="883"/>
      <c r="RPJ9" s="883"/>
      <c r="RPK9" s="883"/>
      <c r="RPL9" s="883"/>
      <c r="RPM9" s="883"/>
      <c r="RPN9" s="883"/>
      <c r="RPO9" s="883"/>
      <c r="RPP9" s="883"/>
      <c r="RPQ9" s="883"/>
      <c r="RPR9" s="883"/>
      <c r="RPS9" s="883"/>
      <c r="RPT9" s="883"/>
      <c r="RPU9" s="883"/>
      <c r="RPV9" s="883"/>
      <c r="RPW9" s="883"/>
      <c r="RPX9" s="883"/>
      <c r="RPY9" s="883"/>
      <c r="RPZ9" s="883"/>
      <c r="RQA9" s="883"/>
      <c r="RQB9" s="883"/>
      <c r="RQC9" s="883"/>
      <c r="RQD9" s="883"/>
      <c r="RQE9" s="883"/>
      <c r="RQF9" s="883"/>
      <c r="RQG9" s="883"/>
      <c r="RQH9" s="883"/>
      <c r="RQI9" s="883"/>
      <c r="RQJ9" s="883"/>
      <c r="RQK9" s="883"/>
      <c r="RQL9" s="883"/>
      <c r="RQM9" s="883"/>
      <c r="RQN9" s="883"/>
      <c r="RQO9" s="883"/>
      <c r="RQP9" s="883"/>
      <c r="RQQ9" s="883"/>
      <c r="RQR9" s="883"/>
      <c r="RQS9" s="883"/>
      <c r="RQT9" s="883"/>
      <c r="RQU9" s="883"/>
      <c r="RQV9" s="883"/>
      <c r="RQW9" s="883"/>
      <c r="RQX9" s="883"/>
      <c r="RQY9" s="883"/>
      <c r="RQZ9" s="883"/>
      <c r="RRA9" s="883"/>
      <c r="RRB9" s="883"/>
      <c r="RRC9" s="883"/>
      <c r="RRD9" s="883"/>
      <c r="RRE9" s="883"/>
      <c r="RRF9" s="883"/>
      <c r="RRG9" s="883"/>
      <c r="RRH9" s="883"/>
      <c r="RRI9" s="883"/>
      <c r="RRJ9" s="883"/>
      <c r="RRK9" s="883"/>
      <c r="RRL9" s="883"/>
      <c r="RRM9" s="883"/>
      <c r="RRN9" s="883"/>
      <c r="RRO9" s="883"/>
      <c r="RRP9" s="883"/>
      <c r="RRQ9" s="883"/>
      <c r="RRR9" s="883"/>
      <c r="RRS9" s="883"/>
      <c r="RRT9" s="883"/>
      <c r="RRU9" s="883"/>
      <c r="RRV9" s="883"/>
      <c r="RRW9" s="883"/>
      <c r="RRX9" s="883"/>
      <c r="RRY9" s="883"/>
      <c r="RRZ9" s="883"/>
      <c r="RSA9" s="883"/>
      <c r="RSB9" s="883"/>
      <c r="RSC9" s="883"/>
      <c r="RSD9" s="883"/>
      <c r="RSE9" s="883"/>
      <c r="RSF9" s="883"/>
      <c r="RSG9" s="883"/>
      <c r="RSH9" s="883"/>
      <c r="RSI9" s="883"/>
      <c r="RSJ9" s="883"/>
      <c r="RSK9" s="883"/>
      <c r="RSL9" s="883"/>
      <c r="RSM9" s="883"/>
      <c r="RSN9" s="883"/>
      <c r="RSO9" s="883"/>
      <c r="RSP9" s="883"/>
      <c r="RSQ9" s="883"/>
      <c r="RSR9" s="883"/>
      <c r="RSS9" s="883"/>
      <c r="RST9" s="883"/>
      <c r="RSU9" s="883"/>
      <c r="RSV9" s="883"/>
      <c r="RSW9" s="883"/>
      <c r="RSX9" s="883"/>
      <c r="RSY9" s="883"/>
      <c r="RSZ9" s="883"/>
      <c r="RTA9" s="883"/>
      <c r="RTB9" s="883"/>
      <c r="RTC9" s="883"/>
      <c r="RTD9" s="883"/>
      <c r="RTE9" s="883"/>
      <c r="RTF9" s="883"/>
      <c r="RTG9" s="883"/>
      <c r="RTH9" s="883"/>
      <c r="RTI9" s="883"/>
      <c r="RTJ9" s="883"/>
      <c r="RTK9" s="883"/>
      <c r="RTL9" s="883"/>
      <c r="RTM9" s="883"/>
      <c r="RTN9" s="883"/>
      <c r="RTO9" s="883"/>
      <c r="RTP9" s="883"/>
      <c r="RTQ9" s="883"/>
      <c r="RTR9" s="883"/>
      <c r="RTS9" s="883"/>
      <c r="RTT9" s="883"/>
      <c r="RTU9" s="883"/>
      <c r="RTV9" s="883"/>
      <c r="RTW9" s="883"/>
      <c r="RTX9" s="883"/>
      <c r="RTY9" s="883"/>
      <c r="RTZ9" s="883"/>
      <c r="RUA9" s="883"/>
      <c r="RUB9" s="883"/>
      <c r="RUC9" s="883"/>
      <c r="RUD9" s="883"/>
      <c r="RUE9" s="883"/>
      <c r="RUF9" s="883"/>
      <c r="RUG9" s="883"/>
      <c r="RUH9" s="883"/>
      <c r="RUI9" s="883"/>
      <c r="RUJ9" s="883"/>
      <c r="RUK9" s="883"/>
      <c r="RUL9" s="883"/>
      <c r="RUM9" s="883"/>
      <c r="RUN9" s="883"/>
      <c r="RUO9" s="883"/>
      <c r="RUP9" s="883"/>
      <c r="RUQ9" s="883"/>
      <c r="RUR9" s="883"/>
      <c r="RUS9" s="883"/>
      <c r="RUT9" s="883"/>
      <c r="RUU9" s="883"/>
      <c r="RUV9" s="883"/>
      <c r="RUW9" s="883"/>
      <c r="RUX9" s="883"/>
      <c r="RUY9" s="883"/>
      <c r="RUZ9" s="883"/>
      <c r="RVA9" s="883"/>
      <c r="RVB9" s="883"/>
      <c r="RVC9" s="883"/>
      <c r="RVD9" s="883"/>
      <c r="RVE9" s="883"/>
      <c r="RVF9" s="883"/>
      <c r="RVG9" s="883"/>
      <c r="RVH9" s="883"/>
      <c r="RVI9" s="883"/>
      <c r="RVJ9" s="883"/>
      <c r="RVK9" s="883"/>
      <c r="RVL9" s="883"/>
      <c r="RVM9" s="883"/>
      <c r="RVN9" s="883"/>
      <c r="RVO9" s="883"/>
      <c r="RVP9" s="883"/>
      <c r="RVQ9" s="883"/>
      <c r="RVR9" s="883"/>
      <c r="RVS9" s="883"/>
      <c r="RVT9" s="883"/>
      <c r="RVU9" s="883"/>
      <c r="RVV9" s="883"/>
      <c r="RVW9" s="883"/>
      <c r="RVX9" s="883"/>
      <c r="RVY9" s="883"/>
      <c r="RVZ9" s="883"/>
      <c r="RWA9" s="883"/>
      <c r="RWB9" s="883"/>
      <c r="RWC9" s="883"/>
      <c r="RWD9" s="883"/>
      <c r="RWE9" s="883"/>
      <c r="RWF9" s="883"/>
      <c r="RWG9" s="883"/>
      <c r="RWH9" s="883"/>
      <c r="RWI9" s="883"/>
      <c r="RWJ9" s="883"/>
      <c r="RWK9" s="883"/>
      <c r="RWL9" s="883"/>
      <c r="RWM9" s="883"/>
      <c r="RWN9" s="883"/>
      <c r="RWO9" s="883"/>
      <c r="RWP9" s="883"/>
      <c r="RWQ9" s="883"/>
      <c r="RWR9" s="883"/>
      <c r="RWS9" s="883"/>
      <c r="RWT9" s="883"/>
      <c r="RWU9" s="883"/>
      <c r="RWV9" s="883"/>
      <c r="RWW9" s="883"/>
      <c r="RWX9" s="883"/>
      <c r="RWY9" s="883"/>
      <c r="RWZ9" s="883"/>
      <c r="RXA9" s="883"/>
      <c r="RXB9" s="883"/>
      <c r="RXC9" s="883"/>
      <c r="RXD9" s="883"/>
      <c r="RXE9" s="883"/>
      <c r="RXF9" s="883"/>
      <c r="RXG9" s="883"/>
      <c r="RXH9" s="883"/>
      <c r="RXI9" s="883"/>
      <c r="RXJ9" s="883"/>
      <c r="RXK9" s="883"/>
      <c r="RXL9" s="883"/>
      <c r="RXM9" s="883"/>
      <c r="RXN9" s="883"/>
      <c r="RXO9" s="883"/>
      <c r="RXP9" s="883"/>
      <c r="RXQ9" s="883"/>
      <c r="RXR9" s="883"/>
      <c r="RXS9" s="883"/>
      <c r="RXT9" s="883"/>
      <c r="RXU9" s="883"/>
      <c r="RXV9" s="883"/>
      <c r="RXW9" s="883"/>
      <c r="RXX9" s="883"/>
      <c r="RXY9" s="883"/>
      <c r="RXZ9" s="883"/>
      <c r="RYA9" s="883"/>
      <c r="RYB9" s="883"/>
      <c r="RYC9" s="883"/>
      <c r="RYD9" s="883"/>
      <c r="RYE9" s="883"/>
      <c r="RYF9" s="883"/>
      <c r="RYG9" s="883"/>
      <c r="RYH9" s="883"/>
      <c r="RYI9" s="883"/>
      <c r="RYJ9" s="883"/>
      <c r="RYK9" s="883"/>
      <c r="RYL9" s="883"/>
      <c r="RYM9" s="883"/>
      <c r="RYN9" s="883"/>
      <c r="RYO9" s="883"/>
      <c r="RYP9" s="883"/>
      <c r="RYQ9" s="883"/>
      <c r="RYR9" s="883"/>
      <c r="RYS9" s="883"/>
      <c r="RYT9" s="883"/>
      <c r="RYU9" s="883"/>
      <c r="RYV9" s="883"/>
      <c r="RYW9" s="883"/>
      <c r="RYX9" s="883"/>
      <c r="RYY9" s="883"/>
      <c r="RYZ9" s="883"/>
      <c r="RZA9" s="883"/>
      <c r="RZB9" s="883"/>
      <c r="RZC9" s="883"/>
      <c r="RZD9" s="883"/>
      <c r="RZE9" s="883"/>
      <c r="RZF9" s="883"/>
      <c r="RZG9" s="883"/>
      <c r="RZH9" s="883"/>
      <c r="RZI9" s="883"/>
      <c r="RZJ9" s="883"/>
      <c r="RZK9" s="883"/>
      <c r="RZL9" s="883"/>
      <c r="RZM9" s="883"/>
      <c r="RZN9" s="883"/>
      <c r="RZO9" s="883"/>
      <c r="RZP9" s="883"/>
      <c r="RZQ9" s="883"/>
      <c r="RZR9" s="883"/>
      <c r="RZS9" s="883"/>
      <c r="RZT9" s="883"/>
      <c r="RZU9" s="883"/>
      <c r="RZV9" s="883"/>
      <c r="RZW9" s="883"/>
      <c r="RZX9" s="883"/>
      <c r="RZY9" s="883"/>
      <c r="RZZ9" s="883"/>
      <c r="SAA9" s="883"/>
      <c r="SAB9" s="883"/>
      <c r="SAC9" s="883"/>
      <c r="SAD9" s="883"/>
      <c r="SAE9" s="883"/>
      <c r="SAF9" s="883"/>
      <c r="SAG9" s="883"/>
      <c r="SAH9" s="883"/>
      <c r="SAI9" s="883"/>
      <c r="SAJ9" s="883"/>
      <c r="SAK9" s="883"/>
      <c r="SAL9" s="883"/>
      <c r="SAM9" s="883"/>
      <c r="SAN9" s="883"/>
      <c r="SAO9" s="883"/>
      <c r="SAP9" s="883"/>
      <c r="SAQ9" s="883"/>
      <c r="SAR9" s="883"/>
      <c r="SAS9" s="883"/>
      <c r="SAT9" s="883"/>
      <c r="SAU9" s="883"/>
      <c r="SAV9" s="883"/>
      <c r="SAW9" s="883"/>
      <c r="SAX9" s="883"/>
      <c r="SAY9" s="883"/>
      <c r="SAZ9" s="883"/>
      <c r="SBA9" s="883"/>
      <c r="SBB9" s="883"/>
      <c r="SBC9" s="883"/>
      <c r="SBD9" s="883"/>
      <c r="SBE9" s="883"/>
      <c r="SBF9" s="883"/>
      <c r="SBG9" s="883"/>
      <c r="SBH9" s="883"/>
      <c r="SBI9" s="883"/>
      <c r="SBJ9" s="883"/>
      <c r="SBK9" s="883"/>
      <c r="SBL9" s="883"/>
      <c r="SBM9" s="883"/>
      <c r="SBN9" s="883"/>
      <c r="SBO9" s="883"/>
      <c r="SBP9" s="883"/>
      <c r="SBQ9" s="883"/>
      <c r="SBR9" s="883"/>
      <c r="SBS9" s="883"/>
      <c r="SBT9" s="883"/>
      <c r="SBU9" s="883"/>
      <c r="SBV9" s="883"/>
      <c r="SBW9" s="883"/>
      <c r="SBX9" s="883"/>
      <c r="SBY9" s="883"/>
      <c r="SBZ9" s="883"/>
      <c r="SCA9" s="883"/>
      <c r="SCB9" s="883"/>
      <c r="SCC9" s="883"/>
      <c r="SCD9" s="883"/>
      <c r="SCE9" s="883"/>
      <c r="SCF9" s="883"/>
      <c r="SCG9" s="883"/>
      <c r="SCH9" s="883"/>
      <c r="SCI9" s="883"/>
      <c r="SCJ9" s="883"/>
      <c r="SCK9" s="883"/>
      <c r="SCL9" s="883"/>
      <c r="SCM9" s="883"/>
      <c r="SCN9" s="883"/>
      <c r="SCO9" s="883"/>
      <c r="SCP9" s="883"/>
      <c r="SCQ9" s="883"/>
      <c r="SCR9" s="883"/>
      <c r="SCS9" s="883"/>
      <c r="SCT9" s="883"/>
      <c r="SCU9" s="883"/>
      <c r="SCV9" s="883"/>
      <c r="SCW9" s="883"/>
      <c r="SCX9" s="883"/>
      <c r="SCY9" s="883"/>
      <c r="SCZ9" s="883"/>
      <c r="SDA9" s="883"/>
      <c r="SDB9" s="883"/>
      <c r="SDC9" s="883"/>
      <c r="SDD9" s="883"/>
      <c r="SDE9" s="883"/>
      <c r="SDF9" s="883"/>
      <c r="SDG9" s="883"/>
      <c r="SDH9" s="883"/>
      <c r="SDI9" s="883"/>
      <c r="SDJ9" s="883"/>
      <c r="SDK9" s="883"/>
      <c r="SDL9" s="883"/>
      <c r="SDM9" s="883"/>
      <c r="SDN9" s="883"/>
      <c r="SDO9" s="883"/>
      <c r="SDP9" s="883"/>
      <c r="SDQ9" s="883"/>
      <c r="SDR9" s="883"/>
      <c r="SDS9" s="883"/>
      <c r="SDT9" s="883"/>
      <c r="SDU9" s="883"/>
      <c r="SDV9" s="883"/>
      <c r="SDW9" s="883"/>
      <c r="SDX9" s="883"/>
      <c r="SDY9" s="883"/>
      <c r="SDZ9" s="883"/>
      <c r="SEA9" s="883"/>
      <c r="SEB9" s="883"/>
      <c r="SEC9" s="883"/>
      <c r="SED9" s="883"/>
      <c r="SEE9" s="883"/>
      <c r="SEF9" s="883"/>
      <c r="SEG9" s="883"/>
      <c r="SEH9" s="883"/>
      <c r="SEI9" s="883"/>
      <c r="SEJ9" s="883"/>
      <c r="SEK9" s="883"/>
      <c r="SEL9" s="883"/>
      <c r="SEM9" s="883"/>
      <c r="SEN9" s="883"/>
      <c r="SEO9" s="883"/>
      <c r="SEP9" s="883"/>
      <c r="SEQ9" s="883"/>
      <c r="SER9" s="883"/>
      <c r="SES9" s="883"/>
      <c r="SET9" s="883"/>
      <c r="SEU9" s="883"/>
      <c r="SEV9" s="883"/>
      <c r="SEW9" s="883"/>
      <c r="SEX9" s="883"/>
      <c r="SEY9" s="883"/>
      <c r="SEZ9" s="883"/>
      <c r="SFA9" s="883"/>
      <c r="SFB9" s="883"/>
      <c r="SFC9" s="883"/>
      <c r="SFD9" s="883"/>
      <c r="SFE9" s="883"/>
      <c r="SFF9" s="883"/>
      <c r="SFG9" s="883"/>
      <c r="SFH9" s="883"/>
      <c r="SFI9" s="883"/>
      <c r="SFJ9" s="883"/>
      <c r="SFK9" s="883"/>
      <c r="SFL9" s="883"/>
      <c r="SFM9" s="883"/>
      <c r="SFN9" s="883"/>
      <c r="SFO9" s="883"/>
      <c r="SFP9" s="883"/>
      <c r="SFQ9" s="883"/>
      <c r="SFR9" s="883"/>
      <c r="SFS9" s="883"/>
      <c r="SFT9" s="883"/>
      <c r="SFU9" s="883"/>
      <c r="SFV9" s="883"/>
      <c r="SFW9" s="883"/>
      <c r="SFX9" s="883"/>
      <c r="SFY9" s="883"/>
      <c r="SFZ9" s="883"/>
      <c r="SGA9" s="883"/>
      <c r="SGB9" s="883"/>
      <c r="SGC9" s="883"/>
      <c r="SGD9" s="883"/>
      <c r="SGE9" s="883"/>
      <c r="SGF9" s="883"/>
      <c r="SGG9" s="883"/>
      <c r="SGH9" s="883"/>
      <c r="SGI9" s="883"/>
      <c r="SGJ9" s="883"/>
      <c r="SGK9" s="883"/>
      <c r="SGL9" s="883"/>
      <c r="SGM9" s="883"/>
      <c r="SGN9" s="883"/>
      <c r="SGO9" s="883"/>
      <c r="SGP9" s="883"/>
      <c r="SGQ9" s="883"/>
      <c r="SGR9" s="883"/>
      <c r="SGS9" s="883"/>
      <c r="SGT9" s="883"/>
      <c r="SGU9" s="883"/>
      <c r="SGV9" s="883"/>
      <c r="SGW9" s="883"/>
      <c r="SGX9" s="883"/>
      <c r="SGY9" s="883"/>
      <c r="SGZ9" s="883"/>
      <c r="SHA9" s="883"/>
      <c r="SHB9" s="883"/>
      <c r="SHC9" s="883"/>
      <c r="SHD9" s="883"/>
      <c r="SHE9" s="883"/>
      <c r="SHF9" s="883"/>
      <c r="SHG9" s="883"/>
      <c r="SHH9" s="883"/>
      <c r="SHI9" s="883"/>
      <c r="SHJ9" s="883"/>
      <c r="SHK9" s="883"/>
      <c r="SHL9" s="883"/>
      <c r="SHM9" s="883"/>
      <c r="SHN9" s="883"/>
      <c r="SHO9" s="883"/>
      <c r="SHP9" s="883"/>
      <c r="SHQ9" s="883"/>
      <c r="SHR9" s="883"/>
      <c r="SHS9" s="883"/>
      <c r="SHT9" s="883"/>
      <c r="SHU9" s="883"/>
      <c r="SHV9" s="883"/>
      <c r="SHW9" s="883"/>
      <c r="SHX9" s="883"/>
      <c r="SHY9" s="883"/>
      <c r="SHZ9" s="883"/>
      <c r="SIA9" s="883"/>
      <c r="SIB9" s="883"/>
      <c r="SIC9" s="883"/>
      <c r="SID9" s="883"/>
      <c r="SIE9" s="883"/>
      <c r="SIF9" s="883"/>
      <c r="SIG9" s="883"/>
      <c r="SIH9" s="883"/>
      <c r="SII9" s="883"/>
      <c r="SIJ9" s="883"/>
      <c r="SIK9" s="883"/>
      <c r="SIL9" s="883"/>
      <c r="SIM9" s="883"/>
      <c r="SIN9" s="883"/>
      <c r="SIO9" s="883"/>
      <c r="SIP9" s="883"/>
      <c r="SIQ9" s="883"/>
      <c r="SIR9" s="883"/>
      <c r="SIS9" s="883"/>
      <c r="SIT9" s="883"/>
      <c r="SIU9" s="883"/>
      <c r="SIV9" s="883"/>
      <c r="SIW9" s="883"/>
      <c r="SIX9" s="883"/>
      <c r="SIY9" s="883"/>
      <c r="SIZ9" s="883"/>
      <c r="SJA9" s="883"/>
      <c r="SJB9" s="883"/>
      <c r="SJC9" s="883"/>
      <c r="SJD9" s="883"/>
      <c r="SJE9" s="883"/>
      <c r="SJF9" s="883"/>
      <c r="SJG9" s="883"/>
      <c r="SJH9" s="883"/>
      <c r="SJI9" s="883"/>
      <c r="SJJ9" s="883"/>
      <c r="SJK9" s="883"/>
      <c r="SJL9" s="883"/>
      <c r="SJM9" s="883"/>
      <c r="SJN9" s="883"/>
      <c r="SJO9" s="883"/>
      <c r="SJP9" s="883"/>
      <c r="SJQ9" s="883"/>
      <c r="SJR9" s="883"/>
      <c r="SJS9" s="883"/>
      <c r="SJT9" s="883"/>
      <c r="SJU9" s="883"/>
      <c r="SJV9" s="883"/>
      <c r="SJW9" s="883"/>
      <c r="SJX9" s="883"/>
      <c r="SJY9" s="883"/>
      <c r="SJZ9" s="883"/>
      <c r="SKA9" s="883"/>
      <c r="SKB9" s="883"/>
      <c r="SKC9" s="883"/>
      <c r="SKD9" s="883"/>
      <c r="SKE9" s="883"/>
      <c r="SKF9" s="883"/>
      <c r="SKG9" s="883"/>
      <c r="SKH9" s="883"/>
      <c r="SKI9" s="883"/>
      <c r="SKJ9" s="883"/>
      <c r="SKK9" s="883"/>
      <c r="SKL9" s="883"/>
      <c r="SKM9" s="883"/>
      <c r="SKN9" s="883"/>
      <c r="SKO9" s="883"/>
      <c r="SKP9" s="883"/>
      <c r="SKQ9" s="883"/>
      <c r="SKR9" s="883"/>
      <c r="SKS9" s="883"/>
      <c r="SKT9" s="883"/>
      <c r="SKU9" s="883"/>
      <c r="SKV9" s="883"/>
      <c r="SKW9" s="883"/>
      <c r="SKX9" s="883"/>
      <c r="SKY9" s="883"/>
      <c r="SKZ9" s="883"/>
      <c r="SLA9" s="883"/>
      <c r="SLB9" s="883"/>
      <c r="SLC9" s="883"/>
      <c r="SLD9" s="883"/>
      <c r="SLE9" s="883"/>
      <c r="SLF9" s="883"/>
      <c r="SLG9" s="883"/>
      <c r="SLH9" s="883"/>
      <c r="SLI9" s="883"/>
      <c r="SLJ9" s="883"/>
      <c r="SLK9" s="883"/>
      <c r="SLL9" s="883"/>
      <c r="SLM9" s="883"/>
      <c r="SLN9" s="883"/>
      <c r="SLO9" s="883"/>
      <c r="SLP9" s="883"/>
      <c r="SLQ9" s="883"/>
      <c r="SLR9" s="883"/>
      <c r="SLS9" s="883"/>
      <c r="SLT9" s="883"/>
      <c r="SLU9" s="883"/>
      <c r="SLV9" s="883"/>
      <c r="SLW9" s="883"/>
      <c r="SLX9" s="883"/>
      <c r="SLY9" s="883"/>
      <c r="SLZ9" s="883"/>
      <c r="SMA9" s="883"/>
      <c r="SMB9" s="883"/>
      <c r="SMC9" s="883"/>
      <c r="SMD9" s="883"/>
      <c r="SME9" s="883"/>
      <c r="SMF9" s="883"/>
      <c r="SMG9" s="883"/>
      <c r="SMH9" s="883"/>
      <c r="SMI9" s="883"/>
      <c r="SMJ9" s="883"/>
      <c r="SMK9" s="883"/>
      <c r="SML9" s="883"/>
      <c r="SMM9" s="883"/>
      <c r="SMN9" s="883"/>
      <c r="SMO9" s="883"/>
      <c r="SMP9" s="883"/>
      <c r="SMQ9" s="883"/>
      <c r="SMR9" s="883"/>
      <c r="SMS9" s="883"/>
      <c r="SMT9" s="883"/>
      <c r="SMU9" s="883"/>
      <c r="SMV9" s="883"/>
      <c r="SMW9" s="883"/>
      <c r="SMX9" s="883"/>
      <c r="SMY9" s="883"/>
      <c r="SMZ9" s="883"/>
      <c r="SNA9" s="883"/>
      <c r="SNB9" s="883"/>
      <c r="SNC9" s="883"/>
      <c r="SND9" s="883"/>
      <c r="SNE9" s="883"/>
      <c r="SNF9" s="883"/>
      <c r="SNG9" s="883"/>
      <c r="SNH9" s="883"/>
      <c r="SNI9" s="883"/>
      <c r="SNJ9" s="883"/>
      <c r="SNK9" s="883"/>
      <c r="SNL9" s="883"/>
      <c r="SNM9" s="883"/>
      <c r="SNN9" s="883"/>
      <c r="SNO9" s="883"/>
      <c r="SNP9" s="883"/>
      <c r="SNQ9" s="883"/>
      <c r="SNR9" s="883"/>
      <c r="SNS9" s="883"/>
      <c r="SNT9" s="883"/>
      <c r="SNU9" s="883"/>
      <c r="SNV9" s="883"/>
      <c r="SNW9" s="883"/>
      <c r="SNX9" s="883"/>
      <c r="SNY9" s="883"/>
      <c r="SNZ9" s="883"/>
      <c r="SOA9" s="883"/>
      <c r="SOB9" s="883"/>
      <c r="SOC9" s="883"/>
      <c r="SOD9" s="883"/>
      <c r="SOE9" s="883"/>
      <c r="SOF9" s="883"/>
      <c r="SOG9" s="883"/>
      <c r="SOH9" s="883"/>
      <c r="SOI9" s="883"/>
      <c r="SOJ9" s="883"/>
      <c r="SOK9" s="883"/>
      <c r="SOL9" s="883"/>
      <c r="SOM9" s="883"/>
      <c r="SON9" s="883"/>
      <c r="SOO9" s="883"/>
      <c r="SOP9" s="883"/>
      <c r="SOQ9" s="883"/>
      <c r="SOR9" s="883"/>
      <c r="SOS9" s="883"/>
      <c r="SOT9" s="883"/>
      <c r="SOU9" s="883"/>
      <c r="SOV9" s="883"/>
      <c r="SOW9" s="883"/>
      <c r="SOX9" s="883"/>
      <c r="SOY9" s="883"/>
      <c r="SOZ9" s="883"/>
      <c r="SPA9" s="883"/>
      <c r="SPB9" s="883"/>
      <c r="SPC9" s="883"/>
      <c r="SPD9" s="883"/>
      <c r="SPE9" s="883"/>
      <c r="SPF9" s="883"/>
      <c r="SPG9" s="883"/>
      <c r="SPH9" s="883"/>
      <c r="SPI9" s="883"/>
      <c r="SPJ9" s="883"/>
      <c r="SPK9" s="883"/>
      <c r="SPL9" s="883"/>
      <c r="SPM9" s="883"/>
      <c r="SPN9" s="883"/>
      <c r="SPO9" s="883"/>
      <c r="SPP9" s="883"/>
      <c r="SPQ9" s="883"/>
      <c r="SPR9" s="883"/>
      <c r="SPS9" s="883"/>
      <c r="SPT9" s="883"/>
      <c r="SPU9" s="883"/>
      <c r="SPV9" s="883"/>
      <c r="SPW9" s="883"/>
      <c r="SPX9" s="883"/>
      <c r="SPY9" s="883"/>
      <c r="SPZ9" s="883"/>
      <c r="SQA9" s="883"/>
      <c r="SQB9" s="883"/>
      <c r="SQC9" s="883"/>
      <c r="SQD9" s="883"/>
      <c r="SQE9" s="883"/>
      <c r="SQF9" s="883"/>
      <c r="SQG9" s="883"/>
      <c r="SQH9" s="883"/>
      <c r="SQI9" s="883"/>
      <c r="SQJ9" s="883"/>
      <c r="SQK9" s="883"/>
      <c r="SQL9" s="883"/>
      <c r="SQM9" s="883"/>
      <c r="SQN9" s="883"/>
      <c r="SQO9" s="883"/>
      <c r="SQP9" s="883"/>
      <c r="SQQ9" s="883"/>
      <c r="SQR9" s="883"/>
      <c r="SQS9" s="883"/>
      <c r="SQT9" s="883"/>
      <c r="SQU9" s="883"/>
      <c r="SQV9" s="883"/>
      <c r="SQW9" s="883"/>
      <c r="SQX9" s="883"/>
      <c r="SQY9" s="883"/>
      <c r="SQZ9" s="883"/>
      <c r="SRA9" s="883"/>
      <c r="SRB9" s="883"/>
      <c r="SRC9" s="883"/>
      <c r="SRD9" s="883"/>
      <c r="SRE9" s="883"/>
      <c r="SRF9" s="883"/>
      <c r="SRG9" s="883"/>
      <c r="SRH9" s="883"/>
      <c r="SRI9" s="883"/>
      <c r="SRJ9" s="883"/>
      <c r="SRK9" s="883"/>
      <c r="SRL9" s="883"/>
      <c r="SRM9" s="883"/>
      <c r="SRN9" s="883"/>
      <c r="SRO9" s="883"/>
      <c r="SRP9" s="883"/>
      <c r="SRQ9" s="883"/>
      <c r="SRR9" s="883"/>
      <c r="SRS9" s="883"/>
      <c r="SRT9" s="883"/>
      <c r="SRU9" s="883"/>
      <c r="SRV9" s="883"/>
      <c r="SRW9" s="883"/>
      <c r="SRX9" s="883"/>
      <c r="SRY9" s="883"/>
      <c r="SRZ9" s="883"/>
      <c r="SSA9" s="883"/>
      <c r="SSB9" s="883"/>
      <c r="SSC9" s="883"/>
      <c r="SSD9" s="883"/>
      <c r="SSE9" s="883"/>
      <c r="SSF9" s="883"/>
      <c r="SSG9" s="883"/>
      <c r="SSH9" s="883"/>
      <c r="SSI9" s="883"/>
      <c r="SSJ9" s="883"/>
      <c r="SSK9" s="883"/>
      <c r="SSL9" s="883"/>
      <c r="SSM9" s="883"/>
      <c r="SSN9" s="883"/>
      <c r="SSO9" s="883"/>
      <c r="SSP9" s="883"/>
      <c r="SSQ9" s="883"/>
      <c r="SSR9" s="883"/>
      <c r="SSS9" s="883"/>
      <c r="SST9" s="883"/>
      <c r="SSU9" s="883"/>
      <c r="SSV9" s="883"/>
      <c r="SSW9" s="883"/>
      <c r="SSX9" s="883"/>
      <c r="SSY9" s="883"/>
      <c r="SSZ9" s="883"/>
      <c r="STA9" s="883"/>
      <c r="STB9" s="883"/>
      <c r="STC9" s="883"/>
      <c r="STD9" s="883"/>
      <c r="STE9" s="883"/>
      <c r="STF9" s="883"/>
      <c r="STG9" s="883"/>
      <c r="STH9" s="883"/>
      <c r="STI9" s="883"/>
      <c r="STJ9" s="883"/>
      <c r="STK9" s="883"/>
      <c r="STL9" s="883"/>
      <c r="STM9" s="883"/>
      <c r="STN9" s="883"/>
      <c r="STO9" s="883"/>
      <c r="STP9" s="883"/>
      <c r="STQ9" s="883"/>
      <c r="STR9" s="883"/>
      <c r="STS9" s="883"/>
      <c r="STT9" s="883"/>
      <c r="STU9" s="883"/>
      <c r="STV9" s="883"/>
      <c r="STW9" s="883"/>
      <c r="STX9" s="883"/>
      <c r="STY9" s="883"/>
      <c r="STZ9" s="883"/>
      <c r="SUA9" s="883"/>
      <c r="SUB9" s="883"/>
      <c r="SUC9" s="883"/>
      <c r="SUD9" s="883"/>
      <c r="SUE9" s="883"/>
      <c r="SUF9" s="883"/>
      <c r="SUG9" s="883"/>
      <c r="SUH9" s="883"/>
      <c r="SUI9" s="883"/>
      <c r="SUJ9" s="883"/>
      <c r="SUK9" s="883"/>
      <c r="SUL9" s="883"/>
      <c r="SUM9" s="883"/>
      <c r="SUN9" s="883"/>
      <c r="SUO9" s="883"/>
      <c r="SUP9" s="883"/>
      <c r="SUQ9" s="883"/>
      <c r="SUR9" s="883"/>
      <c r="SUS9" s="883"/>
      <c r="SUT9" s="883"/>
      <c r="SUU9" s="883"/>
      <c r="SUV9" s="883"/>
      <c r="SUW9" s="883"/>
      <c r="SUX9" s="883"/>
      <c r="SUY9" s="883"/>
      <c r="SUZ9" s="883"/>
      <c r="SVA9" s="883"/>
      <c r="SVB9" s="883"/>
      <c r="SVC9" s="883"/>
      <c r="SVD9" s="883"/>
      <c r="SVE9" s="883"/>
      <c r="SVF9" s="883"/>
      <c r="SVG9" s="883"/>
      <c r="SVH9" s="883"/>
      <c r="SVI9" s="883"/>
      <c r="SVJ9" s="883"/>
      <c r="SVK9" s="883"/>
      <c r="SVL9" s="883"/>
      <c r="SVM9" s="883"/>
      <c r="SVN9" s="883"/>
      <c r="SVO9" s="883"/>
      <c r="SVP9" s="883"/>
      <c r="SVQ9" s="883"/>
      <c r="SVR9" s="883"/>
      <c r="SVS9" s="883"/>
      <c r="SVT9" s="883"/>
      <c r="SVU9" s="883"/>
      <c r="SVV9" s="883"/>
      <c r="SVW9" s="883"/>
      <c r="SVX9" s="883"/>
      <c r="SVY9" s="883"/>
      <c r="SVZ9" s="883"/>
      <c r="SWA9" s="883"/>
      <c r="SWB9" s="883"/>
      <c r="SWC9" s="883"/>
      <c r="SWD9" s="883"/>
      <c r="SWE9" s="883"/>
      <c r="SWF9" s="883"/>
      <c r="SWG9" s="883"/>
      <c r="SWH9" s="883"/>
      <c r="SWI9" s="883"/>
      <c r="SWJ9" s="883"/>
      <c r="SWK9" s="883"/>
      <c r="SWL9" s="883"/>
      <c r="SWM9" s="883"/>
      <c r="SWN9" s="883"/>
      <c r="SWO9" s="883"/>
      <c r="SWP9" s="883"/>
      <c r="SWQ9" s="883"/>
      <c r="SWR9" s="883"/>
      <c r="SWS9" s="883"/>
      <c r="SWT9" s="883"/>
      <c r="SWU9" s="883"/>
      <c r="SWV9" s="883"/>
      <c r="SWW9" s="883"/>
      <c r="SWX9" s="883"/>
      <c r="SWY9" s="883"/>
      <c r="SWZ9" s="883"/>
      <c r="SXA9" s="883"/>
      <c r="SXB9" s="883"/>
      <c r="SXC9" s="883"/>
      <c r="SXD9" s="883"/>
      <c r="SXE9" s="883"/>
      <c r="SXF9" s="883"/>
      <c r="SXG9" s="883"/>
      <c r="SXH9" s="883"/>
      <c r="SXI9" s="883"/>
      <c r="SXJ9" s="883"/>
      <c r="SXK9" s="883"/>
      <c r="SXL9" s="883"/>
      <c r="SXM9" s="883"/>
      <c r="SXN9" s="883"/>
      <c r="SXO9" s="883"/>
      <c r="SXP9" s="883"/>
      <c r="SXQ9" s="883"/>
      <c r="SXR9" s="883"/>
      <c r="SXS9" s="883"/>
      <c r="SXT9" s="883"/>
      <c r="SXU9" s="883"/>
      <c r="SXV9" s="883"/>
      <c r="SXW9" s="883"/>
      <c r="SXX9" s="883"/>
      <c r="SXY9" s="883"/>
      <c r="SXZ9" s="883"/>
      <c r="SYA9" s="883"/>
      <c r="SYB9" s="883"/>
      <c r="SYC9" s="883"/>
      <c r="SYD9" s="883"/>
      <c r="SYE9" s="883"/>
      <c r="SYF9" s="883"/>
      <c r="SYG9" s="883"/>
      <c r="SYH9" s="883"/>
      <c r="SYI9" s="883"/>
      <c r="SYJ9" s="883"/>
      <c r="SYK9" s="883"/>
      <c r="SYL9" s="883"/>
      <c r="SYM9" s="883"/>
      <c r="SYN9" s="883"/>
      <c r="SYO9" s="883"/>
      <c r="SYP9" s="883"/>
      <c r="SYQ9" s="883"/>
      <c r="SYR9" s="883"/>
      <c r="SYS9" s="883"/>
      <c r="SYT9" s="883"/>
      <c r="SYU9" s="883"/>
      <c r="SYV9" s="883"/>
      <c r="SYW9" s="883"/>
      <c r="SYX9" s="883"/>
      <c r="SYY9" s="883"/>
      <c r="SYZ9" s="883"/>
      <c r="SZA9" s="883"/>
      <c r="SZB9" s="883"/>
      <c r="SZC9" s="883"/>
      <c r="SZD9" s="883"/>
      <c r="SZE9" s="883"/>
      <c r="SZF9" s="883"/>
      <c r="SZG9" s="883"/>
      <c r="SZH9" s="883"/>
      <c r="SZI9" s="883"/>
      <c r="SZJ9" s="883"/>
      <c r="SZK9" s="883"/>
      <c r="SZL9" s="883"/>
      <c r="SZM9" s="883"/>
      <c r="SZN9" s="883"/>
      <c r="SZO9" s="883"/>
      <c r="SZP9" s="883"/>
      <c r="SZQ9" s="883"/>
      <c r="SZR9" s="883"/>
      <c r="SZS9" s="883"/>
      <c r="SZT9" s="883"/>
      <c r="SZU9" s="883"/>
      <c r="SZV9" s="883"/>
      <c r="SZW9" s="883"/>
      <c r="SZX9" s="883"/>
      <c r="SZY9" s="883"/>
      <c r="SZZ9" s="883"/>
      <c r="TAA9" s="883"/>
      <c r="TAB9" s="883"/>
      <c r="TAC9" s="883"/>
      <c r="TAD9" s="883"/>
      <c r="TAE9" s="883"/>
      <c r="TAF9" s="883"/>
      <c r="TAG9" s="883"/>
      <c r="TAH9" s="883"/>
      <c r="TAI9" s="883"/>
      <c r="TAJ9" s="883"/>
      <c r="TAK9" s="883"/>
      <c r="TAL9" s="883"/>
      <c r="TAM9" s="883"/>
      <c r="TAN9" s="883"/>
      <c r="TAO9" s="883"/>
      <c r="TAP9" s="883"/>
      <c r="TAQ9" s="883"/>
      <c r="TAR9" s="883"/>
      <c r="TAS9" s="883"/>
      <c r="TAT9" s="883"/>
      <c r="TAU9" s="883"/>
      <c r="TAV9" s="883"/>
      <c r="TAW9" s="883"/>
      <c r="TAX9" s="883"/>
      <c r="TAY9" s="883"/>
      <c r="TAZ9" s="883"/>
      <c r="TBA9" s="883"/>
      <c r="TBB9" s="883"/>
      <c r="TBC9" s="883"/>
      <c r="TBD9" s="883"/>
      <c r="TBE9" s="883"/>
      <c r="TBF9" s="883"/>
      <c r="TBG9" s="883"/>
      <c r="TBH9" s="883"/>
      <c r="TBI9" s="883"/>
      <c r="TBJ9" s="883"/>
      <c r="TBK9" s="883"/>
      <c r="TBL9" s="883"/>
      <c r="TBM9" s="883"/>
      <c r="TBN9" s="883"/>
      <c r="TBO9" s="883"/>
      <c r="TBP9" s="883"/>
      <c r="TBQ9" s="883"/>
      <c r="TBR9" s="883"/>
      <c r="TBS9" s="883"/>
      <c r="TBT9" s="883"/>
      <c r="TBU9" s="883"/>
      <c r="TBV9" s="883"/>
      <c r="TBW9" s="883"/>
      <c r="TBX9" s="883"/>
      <c r="TBY9" s="883"/>
      <c r="TBZ9" s="883"/>
      <c r="TCA9" s="883"/>
      <c r="TCB9" s="883"/>
      <c r="TCC9" s="883"/>
      <c r="TCD9" s="883"/>
      <c r="TCE9" s="883"/>
      <c r="TCF9" s="883"/>
      <c r="TCG9" s="883"/>
      <c r="TCH9" s="883"/>
      <c r="TCI9" s="883"/>
      <c r="TCJ9" s="883"/>
      <c r="TCK9" s="883"/>
      <c r="TCL9" s="883"/>
      <c r="TCM9" s="883"/>
      <c r="TCN9" s="883"/>
      <c r="TCO9" s="883"/>
      <c r="TCP9" s="883"/>
      <c r="TCQ9" s="883"/>
      <c r="TCR9" s="883"/>
      <c r="TCS9" s="883"/>
      <c r="TCT9" s="883"/>
      <c r="TCU9" s="883"/>
      <c r="TCV9" s="883"/>
      <c r="TCW9" s="883"/>
      <c r="TCX9" s="883"/>
      <c r="TCY9" s="883"/>
      <c r="TCZ9" s="883"/>
      <c r="TDA9" s="883"/>
      <c r="TDB9" s="883"/>
      <c r="TDC9" s="883"/>
      <c r="TDD9" s="883"/>
      <c r="TDE9" s="883"/>
      <c r="TDF9" s="883"/>
      <c r="TDG9" s="883"/>
      <c r="TDH9" s="883"/>
      <c r="TDI9" s="883"/>
      <c r="TDJ9" s="883"/>
      <c r="TDK9" s="883"/>
      <c r="TDL9" s="883"/>
      <c r="TDM9" s="883"/>
      <c r="TDN9" s="883"/>
      <c r="TDO9" s="883"/>
      <c r="TDP9" s="883"/>
      <c r="TDQ9" s="883"/>
      <c r="TDR9" s="883"/>
      <c r="TDS9" s="883"/>
      <c r="TDT9" s="883"/>
      <c r="TDU9" s="883"/>
      <c r="TDV9" s="883"/>
      <c r="TDW9" s="883"/>
      <c r="TDX9" s="883"/>
      <c r="TDY9" s="883"/>
      <c r="TDZ9" s="883"/>
      <c r="TEA9" s="883"/>
      <c r="TEB9" s="883"/>
      <c r="TEC9" s="883"/>
      <c r="TED9" s="883"/>
      <c r="TEE9" s="883"/>
      <c r="TEF9" s="883"/>
      <c r="TEG9" s="883"/>
      <c r="TEH9" s="883"/>
      <c r="TEI9" s="883"/>
      <c r="TEJ9" s="883"/>
      <c r="TEK9" s="883"/>
      <c r="TEL9" s="883"/>
      <c r="TEM9" s="883"/>
      <c r="TEN9" s="883"/>
      <c r="TEO9" s="883"/>
      <c r="TEP9" s="883"/>
      <c r="TEQ9" s="883"/>
      <c r="TER9" s="883"/>
      <c r="TES9" s="883"/>
      <c r="TET9" s="883"/>
      <c r="TEU9" s="883"/>
      <c r="TEV9" s="883"/>
      <c r="TEW9" s="883"/>
      <c r="TEX9" s="883"/>
      <c r="TEY9" s="883"/>
      <c r="TEZ9" s="883"/>
      <c r="TFA9" s="883"/>
      <c r="TFB9" s="883"/>
      <c r="TFC9" s="883"/>
      <c r="TFD9" s="883"/>
      <c r="TFE9" s="883"/>
      <c r="TFF9" s="883"/>
      <c r="TFG9" s="883"/>
      <c r="TFH9" s="883"/>
      <c r="TFI9" s="883"/>
      <c r="TFJ9" s="883"/>
      <c r="TFK9" s="883"/>
      <c r="TFL9" s="883"/>
      <c r="TFM9" s="883"/>
      <c r="TFN9" s="883"/>
      <c r="TFO9" s="883"/>
      <c r="TFP9" s="883"/>
      <c r="TFQ9" s="883"/>
      <c r="TFR9" s="883"/>
      <c r="TFS9" s="883"/>
      <c r="TFT9" s="883"/>
      <c r="TFU9" s="883"/>
      <c r="TFV9" s="883"/>
      <c r="TFW9" s="883"/>
      <c r="TFX9" s="883"/>
      <c r="TFY9" s="883"/>
      <c r="TFZ9" s="883"/>
      <c r="TGA9" s="883"/>
      <c r="TGB9" s="883"/>
      <c r="TGC9" s="883"/>
      <c r="TGD9" s="883"/>
      <c r="TGE9" s="883"/>
      <c r="TGF9" s="883"/>
      <c r="TGG9" s="883"/>
      <c r="TGH9" s="883"/>
      <c r="TGI9" s="883"/>
      <c r="TGJ9" s="883"/>
      <c r="TGK9" s="883"/>
      <c r="TGL9" s="883"/>
      <c r="TGM9" s="883"/>
      <c r="TGN9" s="883"/>
      <c r="TGO9" s="883"/>
      <c r="TGP9" s="883"/>
      <c r="TGQ9" s="883"/>
      <c r="TGR9" s="883"/>
      <c r="TGS9" s="883"/>
      <c r="TGT9" s="883"/>
      <c r="TGU9" s="883"/>
      <c r="TGV9" s="883"/>
      <c r="TGW9" s="883"/>
      <c r="TGX9" s="883"/>
      <c r="TGY9" s="883"/>
      <c r="TGZ9" s="883"/>
      <c r="THA9" s="883"/>
      <c r="THB9" s="883"/>
      <c r="THC9" s="883"/>
      <c r="THD9" s="883"/>
      <c r="THE9" s="883"/>
      <c r="THF9" s="883"/>
      <c r="THG9" s="883"/>
      <c r="THH9" s="883"/>
      <c r="THI9" s="883"/>
      <c r="THJ9" s="883"/>
      <c r="THK9" s="883"/>
      <c r="THL9" s="883"/>
      <c r="THM9" s="883"/>
      <c r="THN9" s="883"/>
      <c r="THO9" s="883"/>
      <c r="THP9" s="883"/>
      <c r="THQ9" s="883"/>
      <c r="THR9" s="883"/>
      <c r="THS9" s="883"/>
      <c r="THT9" s="883"/>
      <c r="THU9" s="883"/>
      <c r="THV9" s="883"/>
      <c r="THW9" s="883"/>
      <c r="THX9" s="883"/>
      <c r="THY9" s="883"/>
      <c r="THZ9" s="883"/>
      <c r="TIA9" s="883"/>
      <c r="TIB9" s="883"/>
      <c r="TIC9" s="883"/>
      <c r="TID9" s="883"/>
      <c r="TIE9" s="883"/>
      <c r="TIF9" s="883"/>
      <c r="TIG9" s="883"/>
      <c r="TIH9" s="883"/>
      <c r="TII9" s="883"/>
      <c r="TIJ9" s="883"/>
      <c r="TIK9" s="883"/>
      <c r="TIL9" s="883"/>
      <c r="TIM9" s="883"/>
      <c r="TIN9" s="883"/>
      <c r="TIO9" s="883"/>
      <c r="TIP9" s="883"/>
      <c r="TIQ9" s="883"/>
      <c r="TIR9" s="883"/>
      <c r="TIS9" s="883"/>
      <c r="TIT9" s="883"/>
      <c r="TIU9" s="883"/>
      <c r="TIV9" s="883"/>
      <c r="TIW9" s="883"/>
      <c r="TIX9" s="883"/>
      <c r="TIY9" s="883"/>
      <c r="TIZ9" s="883"/>
      <c r="TJA9" s="883"/>
      <c r="TJB9" s="883"/>
      <c r="TJC9" s="883"/>
      <c r="TJD9" s="883"/>
      <c r="TJE9" s="883"/>
      <c r="TJF9" s="883"/>
      <c r="TJG9" s="883"/>
      <c r="TJH9" s="883"/>
      <c r="TJI9" s="883"/>
      <c r="TJJ9" s="883"/>
      <c r="TJK9" s="883"/>
      <c r="TJL9" s="883"/>
      <c r="TJM9" s="883"/>
      <c r="TJN9" s="883"/>
      <c r="TJO9" s="883"/>
      <c r="TJP9" s="883"/>
      <c r="TJQ9" s="883"/>
      <c r="TJR9" s="883"/>
      <c r="TJS9" s="883"/>
      <c r="TJT9" s="883"/>
      <c r="TJU9" s="883"/>
      <c r="TJV9" s="883"/>
      <c r="TJW9" s="883"/>
      <c r="TJX9" s="883"/>
      <c r="TJY9" s="883"/>
      <c r="TJZ9" s="883"/>
      <c r="TKA9" s="883"/>
      <c r="TKB9" s="883"/>
      <c r="TKC9" s="883"/>
      <c r="TKD9" s="883"/>
      <c r="TKE9" s="883"/>
      <c r="TKF9" s="883"/>
      <c r="TKG9" s="883"/>
      <c r="TKH9" s="883"/>
      <c r="TKI9" s="883"/>
      <c r="TKJ9" s="883"/>
      <c r="TKK9" s="883"/>
      <c r="TKL9" s="883"/>
      <c r="TKM9" s="883"/>
      <c r="TKN9" s="883"/>
      <c r="TKO9" s="883"/>
      <c r="TKP9" s="883"/>
      <c r="TKQ9" s="883"/>
      <c r="TKR9" s="883"/>
      <c r="TKS9" s="883"/>
      <c r="TKT9" s="883"/>
      <c r="TKU9" s="883"/>
      <c r="TKV9" s="883"/>
      <c r="TKW9" s="883"/>
      <c r="TKX9" s="883"/>
      <c r="TKY9" s="883"/>
      <c r="TKZ9" s="883"/>
      <c r="TLA9" s="883"/>
      <c r="TLB9" s="883"/>
      <c r="TLC9" s="883"/>
      <c r="TLD9" s="883"/>
      <c r="TLE9" s="883"/>
      <c r="TLF9" s="883"/>
      <c r="TLG9" s="883"/>
      <c r="TLH9" s="883"/>
      <c r="TLI9" s="883"/>
      <c r="TLJ9" s="883"/>
      <c r="TLK9" s="883"/>
      <c r="TLL9" s="883"/>
      <c r="TLM9" s="883"/>
      <c r="TLN9" s="883"/>
      <c r="TLO9" s="883"/>
      <c r="TLP9" s="883"/>
      <c r="TLQ9" s="883"/>
      <c r="TLR9" s="883"/>
      <c r="TLS9" s="883"/>
      <c r="TLT9" s="883"/>
      <c r="TLU9" s="883"/>
      <c r="TLV9" s="883"/>
      <c r="TLW9" s="883"/>
      <c r="TLX9" s="883"/>
      <c r="TLY9" s="883"/>
      <c r="TLZ9" s="883"/>
      <c r="TMA9" s="883"/>
      <c r="TMB9" s="883"/>
      <c r="TMC9" s="883"/>
      <c r="TMD9" s="883"/>
      <c r="TME9" s="883"/>
      <c r="TMF9" s="883"/>
      <c r="TMG9" s="883"/>
      <c r="TMH9" s="883"/>
      <c r="TMI9" s="883"/>
      <c r="TMJ9" s="883"/>
      <c r="TMK9" s="883"/>
      <c r="TML9" s="883"/>
      <c r="TMM9" s="883"/>
      <c r="TMN9" s="883"/>
      <c r="TMO9" s="883"/>
      <c r="TMP9" s="883"/>
      <c r="TMQ9" s="883"/>
      <c r="TMR9" s="883"/>
      <c r="TMS9" s="883"/>
      <c r="TMT9" s="883"/>
      <c r="TMU9" s="883"/>
      <c r="TMV9" s="883"/>
      <c r="TMW9" s="883"/>
      <c r="TMX9" s="883"/>
      <c r="TMY9" s="883"/>
      <c r="TMZ9" s="883"/>
      <c r="TNA9" s="883"/>
      <c r="TNB9" s="883"/>
      <c r="TNC9" s="883"/>
      <c r="TND9" s="883"/>
      <c r="TNE9" s="883"/>
      <c r="TNF9" s="883"/>
      <c r="TNG9" s="883"/>
      <c r="TNH9" s="883"/>
      <c r="TNI9" s="883"/>
      <c r="TNJ9" s="883"/>
      <c r="TNK9" s="883"/>
      <c r="TNL9" s="883"/>
      <c r="TNM9" s="883"/>
      <c r="TNN9" s="883"/>
      <c r="TNO9" s="883"/>
      <c r="TNP9" s="883"/>
      <c r="TNQ9" s="883"/>
      <c r="TNR9" s="883"/>
      <c r="TNS9" s="883"/>
      <c r="TNT9" s="883"/>
      <c r="TNU9" s="883"/>
      <c r="TNV9" s="883"/>
      <c r="TNW9" s="883"/>
      <c r="TNX9" s="883"/>
      <c r="TNY9" s="883"/>
      <c r="TNZ9" s="883"/>
      <c r="TOA9" s="883"/>
      <c r="TOB9" s="883"/>
      <c r="TOC9" s="883"/>
      <c r="TOD9" s="883"/>
      <c r="TOE9" s="883"/>
      <c r="TOF9" s="883"/>
      <c r="TOG9" s="883"/>
      <c r="TOH9" s="883"/>
      <c r="TOI9" s="883"/>
      <c r="TOJ9" s="883"/>
      <c r="TOK9" s="883"/>
      <c r="TOL9" s="883"/>
      <c r="TOM9" s="883"/>
      <c r="TON9" s="883"/>
      <c r="TOO9" s="883"/>
      <c r="TOP9" s="883"/>
      <c r="TOQ9" s="883"/>
      <c r="TOR9" s="883"/>
      <c r="TOS9" s="883"/>
      <c r="TOT9" s="883"/>
      <c r="TOU9" s="883"/>
      <c r="TOV9" s="883"/>
      <c r="TOW9" s="883"/>
      <c r="TOX9" s="883"/>
      <c r="TOY9" s="883"/>
      <c r="TOZ9" s="883"/>
      <c r="TPA9" s="883"/>
      <c r="TPB9" s="883"/>
      <c r="TPC9" s="883"/>
      <c r="TPD9" s="883"/>
      <c r="TPE9" s="883"/>
      <c r="TPF9" s="883"/>
      <c r="TPG9" s="883"/>
      <c r="TPH9" s="883"/>
      <c r="TPI9" s="883"/>
      <c r="TPJ9" s="883"/>
      <c r="TPK9" s="883"/>
      <c r="TPL9" s="883"/>
      <c r="TPM9" s="883"/>
      <c r="TPN9" s="883"/>
      <c r="TPO9" s="883"/>
      <c r="TPP9" s="883"/>
      <c r="TPQ9" s="883"/>
      <c r="TPR9" s="883"/>
      <c r="TPS9" s="883"/>
      <c r="TPT9" s="883"/>
      <c r="TPU9" s="883"/>
      <c r="TPV9" s="883"/>
      <c r="TPW9" s="883"/>
      <c r="TPX9" s="883"/>
      <c r="TPY9" s="883"/>
      <c r="TPZ9" s="883"/>
      <c r="TQA9" s="883"/>
      <c r="TQB9" s="883"/>
      <c r="TQC9" s="883"/>
      <c r="TQD9" s="883"/>
      <c r="TQE9" s="883"/>
      <c r="TQF9" s="883"/>
      <c r="TQG9" s="883"/>
      <c r="TQH9" s="883"/>
      <c r="TQI9" s="883"/>
      <c r="TQJ9" s="883"/>
      <c r="TQK9" s="883"/>
      <c r="TQL9" s="883"/>
      <c r="TQM9" s="883"/>
      <c r="TQN9" s="883"/>
      <c r="TQO9" s="883"/>
      <c r="TQP9" s="883"/>
      <c r="TQQ9" s="883"/>
      <c r="TQR9" s="883"/>
      <c r="TQS9" s="883"/>
      <c r="TQT9" s="883"/>
      <c r="TQU9" s="883"/>
      <c r="TQV9" s="883"/>
      <c r="TQW9" s="883"/>
      <c r="TQX9" s="883"/>
      <c r="TQY9" s="883"/>
      <c r="TQZ9" s="883"/>
      <c r="TRA9" s="883"/>
      <c r="TRB9" s="883"/>
      <c r="TRC9" s="883"/>
      <c r="TRD9" s="883"/>
      <c r="TRE9" s="883"/>
      <c r="TRF9" s="883"/>
      <c r="TRG9" s="883"/>
      <c r="TRH9" s="883"/>
      <c r="TRI9" s="883"/>
      <c r="TRJ9" s="883"/>
      <c r="TRK9" s="883"/>
      <c r="TRL9" s="883"/>
      <c r="TRM9" s="883"/>
      <c r="TRN9" s="883"/>
      <c r="TRO9" s="883"/>
      <c r="TRP9" s="883"/>
      <c r="TRQ9" s="883"/>
      <c r="TRR9" s="883"/>
      <c r="TRS9" s="883"/>
      <c r="TRT9" s="883"/>
      <c r="TRU9" s="883"/>
      <c r="TRV9" s="883"/>
      <c r="TRW9" s="883"/>
      <c r="TRX9" s="883"/>
      <c r="TRY9" s="883"/>
      <c r="TRZ9" s="883"/>
      <c r="TSA9" s="883"/>
      <c r="TSB9" s="883"/>
      <c r="TSC9" s="883"/>
      <c r="TSD9" s="883"/>
      <c r="TSE9" s="883"/>
      <c r="TSF9" s="883"/>
      <c r="TSG9" s="883"/>
      <c r="TSH9" s="883"/>
      <c r="TSI9" s="883"/>
      <c r="TSJ9" s="883"/>
      <c r="TSK9" s="883"/>
      <c r="TSL9" s="883"/>
      <c r="TSM9" s="883"/>
      <c r="TSN9" s="883"/>
      <c r="TSO9" s="883"/>
      <c r="TSP9" s="883"/>
      <c r="TSQ9" s="883"/>
      <c r="TSR9" s="883"/>
      <c r="TSS9" s="883"/>
      <c r="TST9" s="883"/>
      <c r="TSU9" s="883"/>
      <c r="TSV9" s="883"/>
      <c r="TSW9" s="883"/>
      <c r="TSX9" s="883"/>
      <c r="TSY9" s="883"/>
      <c r="TSZ9" s="883"/>
      <c r="TTA9" s="883"/>
      <c r="TTB9" s="883"/>
      <c r="TTC9" s="883"/>
      <c r="TTD9" s="883"/>
      <c r="TTE9" s="883"/>
      <c r="TTF9" s="883"/>
      <c r="TTG9" s="883"/>
      <c r="TTH9" s="883"/>
      <c r="TTI9" s="883"/>
      <c r="TTJ9" s="883"/>
      <c r="TTK9" s="883"/>
      <c r="TTL9" s="883"/>
      <c r="TTM9" s="883"/>
      <c r="TTN9" s="883"/>
      <c r="TTO9" s="883"/>
      <c r="TTP9" s="883"/>
      <c r="TTQ9" s="883"/>
      <c r="TTR9" s="883"/>
      <c r="TTS9" s="883"/>
      <c r="TTT9" s="883"/>
      <c r="TTU9" s="883"/>
      <c r="TTV9" s="883"/>
      <c r="TTW9" s="883"/>
      <c r="TTX9" s="883"/>
      <c r="TTY9" s="883"/>
      <c r="TTZ9" s="883"/>
      <c r="TUA9" s="883"/>
      <c r="TUB9" s="883"/>
      <c r="TUC9" s="883"/>
      <c r="TUD9" s="883"/>
      <c r="TUE9" s="883"/>
      <c r="TUF9" s="883"/>
      <c r="TUG9" s="883"/>
      <c r="TUH9" s="883"/>
      <c r="TUI9" s="883"/>
      <c r="TUJ9" s="883"/>
      <c r="TUK9" s="883"/>
      <c r="TUL9" s="883"/>
      <c r="TUM9" s="883"/>
      <c r="TUN9" s="883"/>
      <c r="TUO9" s="883"/>
      <c r="TUP9" s="883"/>
      <c r="TUQ9" s="883"/>
      <c r="TUR9" s="883"/>
      <c r="TUS9" s="883"/>
      <c r="TUT9" s="883"/>
      <c r="TUU9" s="883"/>
      <c r="TUV9" s="883"/>
      <c r="TUW9" s="883"/>
      <c r="TUX9" s="883"/>
      <c r="TUY9" s="883"/>
      <c r="TUZ9" s="883"/>
      <c r="TVA9" s="883"/>
      <c r="TVB9" s="883"/>
      <c r="TVC9" s="883"/>
      <c r="TVD9" s="883"/>
      <c r="TVE9" s="883"/>
      <c r="TVF9" s="883"/>
      <c r="TVG9" s="883"/>
      <c r="TVH9" s="883"/>
      <c r="TVI9" s="883"/>
      <c r="TVJ9" s="883"/>
      <c r="TVK9" s="883"/>
      <c r="TVL9" s="883"/>
      <c r="TVM9" s="883"/>
      <c r="TVN9" s="883"/>
      <c r="TVO9" s="883"/>
      <c r="TVP9" s="883"/>
      <c r="TVQ9" s="883"/>
      <c r="TVR9" s="883"/>
      <c r="TVS9" s="883"/>
      <c r="TVT9" s="883"/>
      <c r="TVU9" s="883"/>
      <c r="TVV9" s="883"/>
      <c r="TVW9" s="883"/>
      <c r="TVX9" s="883"/>
      <c r="TVY9" s="883"/>
      <c r="TVZ9" s="883"/>
      <c r="TWA9" s="883"/>
      <c r="TWB9" s="883"/>
      <c r="TWC9" s="883"/>
      <c r="TWD9" s="883"/>
      <c r="TWE9" s="883"/>
      <c r="TWF9" s="883"/>
      <c r="TWG9" s="883"/>
      <c r="TWH9" s="883"/>
      <c r="TWI9" s="883"/>
      <c r="TWJ9" s="883"/>
      <c r="TWK9" s="883"/>
      <c r="TWL9" s="883"/>
      <c r="TWM9" s="883"/>
      <c r="TWN9" s="883"/>
      <c r="TWO9" s="883"/>
      <c r="TWP9" s="883"/>
      <c r="TWQ9" s="883"/>
      <c r="TWR9" s="883"/>
      <c r="TWS9" s="883"/>
      <c r="TWT9" s="883"/>
      <c r="TWU9" s="883"/>
      <c r="TWV9" s="883"/>
      <c r="TWW9" s="883"/>
      <c r="TWX9" s="883"/>
      <c r="TWY9" s="883"/>
      <c r="TWZ9" s="883"/>
      <c r="TXA9" s="883"/>
      <c r="TXB9" s="883"/>
      <c r="TXC9" s="883"/>
      <c r="TXD9" s="883"/>
      <c r="TXE9" s="883"/>
      <c r="TXF9" s="883"/>
      <c r="TXG9" s="883"/>
      <c r="TXH9" s="883"/>
      <c r="TXI9" s="883"/>
      <c r="TXJ9" s="883"/>
      <c r="TXK9" s="883"/>
      <c r="TXL9" s="883"/>
      <c r="TXM9" s="883"/>
      <c r="TXN9" s="883"/>
      <c r="TXO9" s="883"/>
      <c r="TXP9" s="883"/>
      <c r="TXQ9" s="883"/>
      <c r="TXR9" s="883"/>
      <c r="TXS9" s="883"/>
      <c r="TXT9" s="883"/>
      <c r="TXU9" s="883"/>
      <c r="TXV9" s="883"/>
      <c r="TXW9" s="883"/>
      <c r="TXX9" s="883"/>
      <c r="TXY9" s="883"/>
      <c r="TXZ9" s="883"/>
      <c r="TYA9" s="883"/>
      <c r="TYB9" s="883"/>
      <c r="TYC9" s="883"/>
      <c r="TYD9" s="883"/>
      <c r="TYE9" s="883"/>
      <c r="TYF9" s="883"/>
      <c r="TYG9" s="883"/>
      <c r="TYH9" s="883"/>
      <c r="TYI9" s="883"/>
      <c r="TYJ9" s="883"/>
      <c r="TYK9" s="883"/>
      <c r="TYL9" s="883"/>
      <c r="TYM9" s="883"/>
      <c r="TYN9" s="883"/>
      <c r="TYO9" s="883"/>
      <c r="TYP9" s="883"/>
      <c r="TYQ9" s="883"/>
      <c r="TYR9" s="883"/>
      <c r="TYS9" s="883"/>
      <c r="TYT9" s="883"/>
      <c r="TYU9" s="883"/>
      <c r="TYV9" s="883"/>
      <c r="TYW9" s="883"/>
      <c r="TYX9" s="883"/>
      <c r="TYY9" s="883"/>
      <c r="TYZ9" s="883"/>
      <c r="TZA9" s="883"/>
      <c r="TZB9" s="883"/>
      <c r="TZC9" s="883"/>
      <c r="TZD9" s="883"/>
      <c r="TZE9" s="883"/>
      <c r="TZF9" s="883"/>
      <c r="TZG9" s="883"/>
      <c r="TZH9" s="883"/>
      <c r="TZI9" s="883"/>
      <c r="TZJ9" s="883"/>
      <c r="TZK9" s="883"/>
      <c r="TZL9" s="883"/>
      <c r="TZM9" s="883"/>
      <c r="TZN9" s="883"/>
      <c r="TZO9" s="883"/>
      <c r="TZP9" s="883"/>
      <c r="TZQ9" s="883"/>
      <c r="TZR9" s="883"/>
      <c r="TZS9" s="883"/>
      <c r="TZT9" s="883"/>
      <c r="TZU9" s="883"/>
      <c r="TZV9" s="883"/>
      <c r="TZW9" s="883"/>
      <c r="TZX9" s="883"/>
      <c r="TZY9" s="883"/>
      <c r="TZZ9" s="883"/>
      <c r="UAA9" s="883"/>
      <c r="UAB9" s="883"/>
      <c r="UAC9" s="883"/>
      <c r="UAD9" s="883"/>
      <c r="UAE9" s="883"/>
      <c r="UAF9" s="883"/>
      <c r="UAG9" s="883"/>
      <c r="UAH9" s="883"/>
      <c r="UAI9" s="883"/>
      <c r="UAJ9" s="883"/>
      <c r="UAK9" s="883"/>
      <c r="UAL9" s="883"/>
      <c r="UAM9" s="883"/>
      <c r="UAN9" s="883"/>
      <c r="UAO9" s="883"/>
      <c r="UAP9" s="883"/>
      <c r="UAQ9" s="883"/>
      <c r="UAR9" s="883"/>
      <c r="UAS9" s="883"/>
      <c r="UAT9" s="883"/>
      <c r="UAU9" s="883"/>
      <c r="UAV9" s="883"/>
      <c r="UAW9" s="883"/>
      <c r="UAX9" s="883"/>
      <c r="UAY9" s="883"/>
      <c r="UAZ9" s="883"/>
      <c r="UBA9" s="883"/>
      <c r="UBB9" s="883"/>
      <c r="UBC9" s="883"/>
      <c r="UBD9" s="883"/>
      <c r="UBE9" s="883"/>
      <c r="UBF9" s="883"/>
      <c r="UBG9" s="883"/>
      <c r="UBH9" s="883"/>
      <c r="UBI9" s="883"/>
      <c r="UBJ9" s="883"/>
      <c r="UBK9" s="883"/>
      <c r="UBL9" s="883"/>
      <c r="UBM9" s="883"/>
      <c r="UBN9" s="883"/>
      <c r="UBO9" s="883"/>
      <c r="UBP9" s="883"/>
      <c r="UBQ9" s="883"/>
      <c r="UBR9" s="883"/>
      <c r="UBS9" s="883"/>
      <c r="UBT9" s="883"/>
      <c r="UBU9" s="883"/>
      <c r="UBV9" s="883"/>
      <c r="UBW9" s="883"/>
      <c r="UBX9" s="883"/>
      <c r="UBY9" s="883"/>
      <c r="UBZ9" s="883"/>
      <c r="UCA9" s="883"/>
      <c r="UCB9" s="883"/>
      <c r="UCC9" s="883"/>
      <c r="UCD9" s="883"/>
      <c r="UCE9" s="883"/>
      <c r="UCF9" s="883"/>
      <c r="UCG9" s="883"/>
      <c r="UCH9" s="883"/>
      <c r="UCI9" s="883"/>
      <c r="UCJ9" s="883"/>
      <c r="UCK9" s="883"/>
      <c r="UCL9" s="883"/>
      <c r="UCM9" s="883"/>
      <c r="UCN9" s="883"/>
      <c r="UCO9" s="883"/>
      <c r="UCP9" s="883"/>
      <c r="UCQ9" s="883"/>
      <c r="UCR9" s="883"/>
      <c r="UCS9" s="883"/>
      <c r="UCT9" s="883"/>
      <c r="UCU9" s="883"/>
      <c r="UCV9" s="883"/>
      <c r="UCW9" s="883"/>
      <c r="UCX9" s="883"/>
      <c r="UCY9" s="883"/>
      <c r="UCZ9" s="883"/>
      <c r="UDA9" s="883"/>
      <c r="UDB9" s="883"/>
      <c r="UDC9" s="883"/>
      <c r="UDD9" s="883"/>
      <c r="UDE9" s="883"/>
      <c r="UDF9" s="883"/>
      <c r="UDG9" s="883"/>
      <c r="UDH9" s="883"/>
      <c r="UDI9" s="883"/>
      <c r="UDJ9" s="883"/>
      <c r="UDK9" s="883"/>
      <c r="UDL9" s="883"/>
      <c r="UDM9" s="883"/>
      <c r="UDN9" s="883"/>
      <c r="UDO9" s="883"/>
      <c r="UDP9" s="883"/>
      <c r="UDQ9" s="883"/>
      <c r="UDR9" s="883"/>
      <c r="UDS9" s="883"/>
      <c r="UDT9" s="883"/>
      <c r="UDU9" s="883"/>
      <c r="UDV9" s="883"/>
      <c r="UDW9" s="883"/>
      <c r="UDX9" s="883"/>
      <c r="UDY9" s="883"/>
      <c r="UDZ9" s="883"/>
      <c r="UEA9" s="883"/>
      <c r="UEB9" s="883"/>
      <c r="UEC9" s="883"/>
      <c r="UED9" s="883"/>
      <c r="UEE9" s="883"/>
      <c r="UEF9" s="883"/>
      <c r="UEG9" s="883"/>
      <c r="UEH9" s="883"/>
      <c r="UEI9" s="883"/>
      <c r="UEJ9" s="883"/>
      <c r="UEK9" s="883"/>
      <c r="UEL9" s="883"/>
      <c r="UEM9" s="883"/>
      <c r="UEN9" s="883"/>
      <c r="UEO9" s="883"/>
      <c r="UEP9" s="883"/>
      <c r="UEQ9" s="883"/>
      <c r="UER9" s="883"/>
      <c r="UES9" s="883"/>
      <c r="UET9" s="883"/>
      <c r="UEU9" s="883"/>
      <c r="UEV9" s="883"/>
      <c r="UEW9" s="883"/>
      <c r="UEX9" s="883"/>
      <c r="UEY9" s="883"/>
      <c r="UEZ9" s="883"/>
      <c r="UFA9" s="883"/>
      <c r="UFB9" s="883"/>
      <c r="UFC9" s="883"/>
      <c r="UFD9" s="883"/>
      <c r="UFE9" s="883"/>
      <c r="UFF9" s="883"/>
      <c r="UFG9" s="883"/>
      <c r="UFH9" s="883"/>
      <c r="UFI9" s="883"/>
      <c r="UFJ9" s="883"/>
      <c r="UFK9" s="883"/>
      <c r="UFL9" s="883"/>
      <c r="UFM9" s="883"/>
      <c r="UFN9" s="883"/>
      <c r="UFO9" s="883"/>
      <c r="UFP9" s="883"/>
      <c r="UFQ9" s="883"/>
      <c r="UFR9" s="883"/>
      <c r="UFS9" s="883"/>
      <c r="UFT9" s="883"/>
      <c r="UFU9" s="883"/>
      <c r="UFV9" s="883"/>
      <c r="UFW9" s="883"/>
      <c r="UFX9" s="883"/>
      <c r="UFY9" s="883"/>
      <c r="UFZ9" s="883"/>
      <c r="UGA9" s="883"/>
      <c r="UGB9" s="883"/>
      <c r="UGC9" s="883"/>
      <c r="UGD9" s="883"/>
      <c r="UGE9" s="883"/>
      <c r="UGF9" s="883"/>
      <c r="UGG9" s="883"/>
      <c r="UGH9" s="883"/>
      <c r="UGI9" s="883"/>
      <c r="UGJ9" s="883"/>
      <c r="UGK9" s="883"/>
      <c r="UGL9" s="883"/>
      <c r="UGM9" s="883"/>
      <c r="UGN9" s="883"/>
      <c r="UGO9" s="883"/>
      <c r="UGP9" s="883"/>
      <c r="UGQ9" s="883"/>
      <c r="UGR9" s="883"/>
      <c r="UGS9" s="883"/>
      <c r="UGT9" s="883"/>
      <c r="UGU9" s="883"/>
      <c r="UGV9" s="883"/>
      <c r="UGW9" s="883"/>
      <c r="UGX9" s="883"/>
      <c r="UGY9" s="883"/>
      <c r="UGZ9" s="883"/>
      <c r="UHA9" s="883"/>
      <c r="UHB9" s="883"/>
      <c r="UHC9" s="883"/>
      <c r="UHD9" s="883"/>
      <c r="UHE9" s="883"/>
      <c r="UHF9" s="883"/>
      <c r="UHG9" s="883"/>
      <c r="UHH9" s="883"/>
      <c r="UHI9" s="883"/>
      <c r="UHJ9" s="883"/>
      <c r="UHK9" s="883"/>
      <c r="UHL9" s="883"/>
      <c r="UHM9" s="883"/>
      <c r="UHN9" s="883"/>
      <c r="UHO9" s="883"/>
      <c r="UHP9" s="883"/>
      <c r="UHQ9" s="883"/>
      <c r="UHR9" s="883"/>
      <c r="UHS9" s="883"/>
      <c r="UHT9" s="883"/>
      <c r="UHU9" s="883"/>
      <c r="UHV9" s="883"/>
      <c r="UHW9" s="883"/>
      <c r="UHX9" s="883"/>
      <c r="UHY9" s="883"/>
      <c r="UHZ9" s="883"/>
      <c r="UIA9" s="883"/>
      <c r="UIB9" s="883"/>
      <c r="UIC9" s="883"/>
      <c r="UID9" s="883"/>
      <c r="UIE9" s="883"/>
      <c r="UIF9" s="883"/>
      <c r="UIG9" s="883"/>
      <c r="UIH9" s="883"/>
      <c r="UII9" s="883"/>
      <c r="UIJ9" s="883"/>
      <c r="UIK9" s="883"/>
      <c r="UIL9" s="883"/>
      <c r="UIM9" s="883"/>
      <c r="UIN9" s="883"/>
      <c r="UIO9" s="883"/>
      <c r="UIP9" s="883"/>
      <c r="UIQ9" s="883"/>
      <c r="UIR9" s="883"/>
      <c r="UIS9" s="883"/>
      <c r="UIT9" s="883"/>
      <c r="UIU9" s="883"/>
      <c r="UIV9" s="883"/>
      <c r="UIW9" s="883"/>
      <c r="UIX9" s="883"/>
      <c r="UIY9" s="883"/>
      <c r="UIZ9" s="883"/>
      <c r="UJA9" s="883"/>
      <c r="UJB9" s="883"/>
      <c r="UJC9" s="883"/>
      <c r="UJD9" s="883"/>
      <c r="UJE9" s="883"/>
      <c r="UJF9" s="883"/>
      <c r="UJG9" s="883"/>
      <c r="UJH9" s="883"/>
      <c r="UJI9" s="883"/>
      <c r="UJJ9" s="883"/>
      <c r="UJK9" s="883"/>
      <c r="UJL9" s="883"/>
      <c r="UJM9" s="883"/>
      <c r="UJN9" s="883"/>
      <c r="UJO9" s="883"/>
      <c r="UJP9" s="883"/>
      <c r="UJQ9" s="883"/>
      <c r="UJR9" s="883"/>
      <c r="UJS9" s="883"/>
      <c r="UJT9" s="883"/>
      <c r="UJU9" s="883"/>
      <c r="UJV9" s="883"/>
      <c r="UJW9" s="883"/>
      <c r="UJX9" s="883"/>
      <c r="UJY9" s="883"/>
      <c r="UJZ9" s="883"/>
      <c r="UKA9" s="883"/>
      <c r="UKB9" s="883"/>
      <c r="UKC9" s="883"/>
      <c r="UKD9" s="883"/>
      <c r="UKE9" s="883"/>
      <c r="UKF9" s="883"/>
      <c r="UKG9" s="883"/>
      <c r="UKH9" s="883"/>
      <c r="UKI9" s="883"/>
      <c r="UKJ9" s="883"/>
      <c r="UKK9" s="883"/>
      <c r="UKL9" s="883"/>
      <c r="UKM9" s="883"/>
      <c r="UKN9" s="883"/>
      <c r="UKO9" s="883"/>
      <c r="UKP9" s="883"/>
      <c r="UKQ9" s="883"/>
      <c r="UKR9" s="883"/>
      <c r="UKS9" s="883"/>
      <c r="UKT9" s="883"/>
      <c r="UKU9" s="883"/>
      <c r="UKV9" s="883"/>
      <c r="UKW9" s="883"/>
      <c r="UKX9" s="883"/>
      <c r="UKY9" s="883"/>
      <c r="UKZ9" s="883"/>
      <c r="ULA9" s="883"/>
      <c r="ULB9" s="883"/>
      <c r="ULC9" s="883"/>
      <c r="ULD9" s="883"/>
      <c r="ULE9" s="883"/>
      <c r="ULF9" s="883"/>
      <c r="ULG9" s="883"/>
      <c r="ULH9" s="883"/>
      <c r="ULI9" s="883"/>
      <c r="ULJ9" s="883"/>
      <c r="ULK9" s="883"/>
      <c r="ULL9" s="883"/>
      <c r="ULM9" s="883"/>
      <c r="ULN9" s="883"/>
      <c r="ULO9" s="883"/>
      <c r="ULP9" s="883"/>
      <c r="ULQ9" s="883"/>
      <c r="ULR9" s="883"/>
      <c r="ULS9" s="883"/>
      <c r="ULT9" s="883"/>
      <c r="ULU9" s="883"/>
      <c r="ULV9" s="883"/>
      <c r="ULW9" s="883"/>
      <c r="ULX9" s="883"/>
      <c r="ULY9" s="883"/>
      <c r="ULZ9" s="883"/>
      <c r="UMA9" s="883"/>
      <c r="UMB9" s="883"/>
      <c r="UMC9" s="883"/>
      <c r="UMD9" s="883"/>
      <c r="UME9" s="883"/>
      <c r="UMF9" s="883"/>
      <c r="UMG9" s="883"/>
      <c r="UMH9" s="883"/>
      <c r="UMI9" s="883"/>
      <c r="UMJ9" s="883"/>
      <c r="UMK9" s="883"/>
      <c r="UML9" s="883"/>
      <c r="UMM9" s="883"/>
      <c r="UMN9" s="883"/>
      <c r="UMO9" s="883"/>
      <c r="UMP9" s="883"/>
      <c r="UMQ9" s="883"/>
      <c r="UMR9" s="883"/>
      <c r="UMS9" s="883"/>
      <c r="UMT9" s="883"/>
      <c r="UMU9" s="883"/>
      <c r="UMV9" s="883"/>
      <c r="UMW9" s="883"/>
      <c r="UMX9" s="883"/>
      <c r="UMY9" s="883"/>
      <c r="UMZ9" s="883"/>
      <c r="UNA9" s="883"/>
      <c r="UNB9" s="883"/>
      <c r="UNC9" s="883"/>
      <c r="UND9" s="883"/>
      <c r="UNE9" s="883"/>
      <c r="UNF9" s="883"/>
      <c r="UNG9" s="883"/>
      <c r="UNH9" s="883"/>
      <c r="UNI9" s="883"/>
      <c r="UNJ9" s="883"/>
      <c r="UNK9" s="883"/>
      <c r="UNL9" s="883"/>
      <c r="UNM9" s="883"/>
      <c r="UNN9" s="883"/>
      <c r="UNO9" s="883"/>
      <c r="UNP9" s="883"/>
      <c r="UNQ9" s="883"/>
      <c r="UNR9" s="883"/>
      <c r="UNS9" s="883"/>
      <c r="UNT9" s="883"/>
      <c r="UNU9" s="883"/>
      <c r="UNV9" s="883"/>
      <c r="UNW9" s="883"/>
      <c r="UNX9" s="883"/>
      <c r="UNY9" s="883"/>
      <c r="UNZ9" s="883"/>
      <c r="UOA9" s="883"/>
      <c r="UOB9" s="883"/>
      <c r="UOC9" s="883"/>
      <c r="UOD9" s="883"/>
      <c r="UOE9" s="883"/>
      <c r="UOF9" s="883"/>
      <c r="UOG9" s="883"/>
      <c r="UOH9" s="883"/>
      <c r="UOI9" s="883"/>
      <c r="UOJ9" s="883"/>
      <c r="UOK9" s="883"/>
      <c r="UOL9" s="883"/>
      <c r="UOM9" s="883"/>
      <c r="UON9" s="883"/>
      <c r="UOO9" s="883"/>
      <c r="UOP9" s="883"/>
      <c r="UOQ9" s="883"/>
      <c r="UOR9" s="883"/>
      <c r="UOS9" s="883"/>
      <c r="UOT9" s="883"/>
      <c r="UOU9" s="883"/>
      <c r="UOV9" s="883"/>
      <c r="UOW9" s="883"/>
      <c r="UOX9" s="883"/>
      <c r="UOY9" s="883"/>
      <c r="UOZ9" s="883"/>
      <c r="UPA9" s="883"/>
      <c r="UPB9" s="883"/>
      <c r="UPC9" s="883"/>
      <c r="UPD9" s="883"/>
      <c r="UPE9" s="883"/>
      <c r="UPF9" s="883"/>
      <c r="UPG9" s="883"/>
      <c r="UPH9" s="883"/>
      <c r="UPI9" s="883"/>
      <c r="UPJ9" s="883"/>
      <c r="UPK9" s="883"/>
      <c r="UPL9" s="883"/>
      <c r="UPM9" s="883"/>
      <c r="UPN9" s="883"/>
      <c r="UPO9" s="883"/>
      <c r="UPP9" s="883"/>
      <c r="UPQ9" s="883"/>
      <c r="UPR9" s="883"/>
      <c r="UPS9" s="883"/>
      <c r="UPT9" s="883"/>
      <c r="UPU9" s="883"/>
      <c r="UPV9" s="883"/>
      <c r="UPW9" s="883"/>
      <c r="UPX9" s="883"/>
      <c r="UPY9" s="883"/>
      <c r="UPZ9" s="883"/>
      <c r="UQA9" s="883"/>
      <c r="UQB9" s="883"/>
      <c r="UQC9" s="883"/>
      <c r="UQD9" s="883"/>
      <c r="UQE9" s="883"/>
      <c r="UQF9" s="883"/>
      <c r="UQG9" s="883"/>
      <c r="UQH9" s="883"/>
      <c r="UQI9" s="883"/>
      <c r="UQJ9" s="883"/>
      <c r="UQK9" s="883"/>
      <c r="UQL9" s="883"/>
      <c r="UQM9" s="883"/>
      <c r="UQN9" s="883"/>
      <c r="UQO9" s="883"/>
      <c r="UQP9" s="883"/>
      <c r="UQQ9" s="883"/>
      <c r="UQR9" s="883"/>
      <c r="UQS9" s="883"/>
      <c r="UQT9" s="883"/>
      <c r="UQU9" s="883"/>
      <c r="UQV9" s="883"/>
      <c r="UQW9" s="883"/>
      <c r="UQX9" s="883"/>
      <c r="UQY9" s="883"/>
      <c r="UQZ9" s="883"/>
      <c r="URA9" s="883"/>
      <c r="URB9" s="883"/>
      <c r="URC9" s="883"/>
      <c r="URD9" s="883"/>
      <c r="URE9" s="883"/>
      <c r="URF9" s="883"/>
      <c r="URG9" s="883"/>
      <c r="URH9" s="883"/>
      <c r="URI9" s="883"/>
      <c r="URJ9" s="883"/>
      <c r="URK9" s="883"/>
      <c r="URL9" s="883"/>
      <c r="URM9" s="883"/>
      <c r="URN9" s="883"/>
      <c r="URO9" s="883"/>
      <c r="URP9" s="883"/>
      <c r="URQ9" s="883"/>
      <c r="URR9" s="883"/>
      <c r="URS9" s="883"/>
      <c r="URT9" s="883"/>
      <c r="URU9" s="883"/>
      <c r="URV9" s="883"/>
      <c r="URW9" s="883"/>
      <c r="URX9" s="883"/>
      <c r="URY9" s="883"/>
      <c r="URZ9" s="883"/>
      <c r="USA9" s="883"/>
      <c r="USB9" s="883"/>
      <c r="USC9" s="883"/>
      <c r="USD9" s="883"/>
      <c r="USE9" s="883"/>
      <c r="USF9" s="883"/>
      <c r="USG9" s="883"/>
      <c r="USH9" s="883"/>
      <c r="USI9" s="883"/>
      <c r="USJ9" s="883"/>
      <c r="USK9" s="883"/>
      <c r="USL9" s="883"/>
      <c r="USM9" s="883"/>
      <c r="USN9" s="883"/>
      <c r="USO9" s="883"/>
      <c r="USP9" s="883"/>
      <c r="USQ9" s="883"/>
      <c r="USR9" s="883"/>
      <c r="USS9" s="883"/>
      <c r="UST9" s="883"/>
      <c r="USU9" s="883"/>
      <c r="USV9" s="883"/>
      <c r="USW9" s="883"/>
      <c r="USX9" s="883"/>
      <c r="USY9" s="883"/>
      <c r="USZ9" s="883"/>
      <c r="UTA9" s="883"/>
      <c r="UTB9" s="883"/>
      <c r="UTC9" s="883"/>
      <c r="UTD9" s="883"/>
      <c r="UTE9" s="883"/>
      <c r="UTF9" s="883"/>
      <c r="UTG9" s="883"/>
      <c r="UTH9" s="883"/>
      <c r="UTI9" s="883"/>
      <c r="UTJ9" s="883"/>
      <c r="UTK9" s="883"/>
      <c r="UTL9" s="883"/>
      <c r="UTM9" s="883"/>
      <c r="UTN9" s="883"/>
      <c r="UTO9" s="883"/>
      <c r="UTP9" s="883"/>
      <c r="UTQ9" s="883"/>
      <c r="UTR9" s="883"/>
      <c r="UTS9" s="883"/>
      <c r="UTT9" s="883"/>
      <c r="UTU9" s="883"/>
      <c r="UTV9" s="883"/>
      <c r="UTW9" s="883"/>
      <c r="UTX9" s="883"/>
      <c r="UTY9" s="883"/>
      <c r="UTZ9" s="883"/>
      <c r="UUA9" s="883"/>
      <c r="UUB9" s="883"/>
      <c r="UUC9" s="883"/>
      <c r="UUD9" s="883"/>
      <c r="UUE9" s="883"/>
      <c r="UUF9" s="883"/>
      <c r="UUG9" s="883"/>
      <c r="UUH9" s="883"/>
      <c r="UUI9" s="883"/>
      <c r="UUJ9" s="883"/>
      <c r="UUK9" s="883"/>
      <c r="UUL9" s="883"/>
      <c r="UUM9" s="883"/>
      <c r="UUN9" s="883"/>
      <c r="UUO9" s="883"/>
      <c r="UUP9" s="883"/>
      <c r="UUQ9" s="883"/>
      <c r="UUR9" s="883"/>
      <c r="UUS9" s="883"/>
      <c r="UUT9" s="883"/>
      <c r="UUU9" s="883"/>
      <c r="UUV9" s="883"/>
      <c r="UUW9" s="883"/>
      <c r="UUX9" s="883"/>
      <c r="UUY9" s="883"/>
      <c r="UUZ9" s="883"/>
      <c r="UVA9" s="883"/>
      <c r="UVB9" s="883"/>
      <c r="UVC9" s="883"/>
      <c r="UVD9" s="883"/>
      <c r="UVE9" s="883"/>
      <c r="UVF9" s="883"/>
      <c r="UVG9" s="883"/>
      <c r="UVH9" s="883"/>
      <c r="UVI9" s="883"/>
      <c r="UVJ9" s="883"/>
      <c r="UVK9" s="883"/>
      <c r="UVL9" s="883"/>
      <c r="UVM9" s="883"/>
      <c r="UVN9" s="883"/>
      <c r="UVO9" s="883"/>
      <c r="UVP9" s="883"/>
      <c r="UVQ9" s="883"/>
      <c r="UVR9" s="883"/>
      <c r="UVS9" s="883"/>
      <c r="UVT9" s="883"/>
      <c r="UVU9" s="883"/>
      <c r="UVV9" s="883"/>
      <c r="UVW9" s="883"/>
      <c r="UVX9" s="883"/>
      <c r="UVY9" s="883"/>
      <c r="UVZ9" s="883"/>
      <c r="UWA9" s="883"/>
      <c r="UWB9" s="883"/>
      <c r="UWC9" s="883"/>
      <c r="UWD9" s="883"/>
      <c r="UWE9" s="883"/>
      <c r="UWF9" s="883"/>
      <c r="UWG9" s="883"/>
      <c r="UWH9" s="883"/>
      <c r="UWI9" s="883"/>
      <c r="UWJ9" s="883"/>
      <c r="UWK9" s="883"/>
      <c r="UWL9" s="883"/>
      <c r="UWM9" s="883"/>
      <c r="UWN9" s="883"/>
      <c r="UWO9" s="883"/>
      <c r="UWP9" s="883"/>
      <c r="UWQ9" s="883"/>
      <c r="UWR9" s="883"/>
      <c r="UWS9" s="883"/>
      <c r="UWT9" s="883"/>
      <c r="UWU9" s="883"/>
      <c r="UWV9" s="883"/>
      <c r="UWW9" s="883"/>
      <c r="UWX9" s="883"/>
      <c r="UWY9" s="883"/>
      <c r="UWZ9" s="883"/>
      <c r="UXA9" s="883"/>
      <c r="UXB9" s="883"/>
      <c r="UXC9" s="883"/>
      <c r="UXD9" s="883"/>
      <c r="UXE9" s="883"/>
      <c r="UXF9" s="883"/>
      <c r="UXG9" s="883"/>
      <c r="UXH9" s="883"/>
      <c r="UXI9" s="883"/>
      <c r="UXJ9" s="883"/>
      <c r="UXK9" s="883"/>
      <c r="UXL9" s="883"/>
      <c r="UXM9" s="883"/>
      <c r="UXN9" s="883"/>
      <c r="UXO9" s="883"/>
      <c r="UXP9" s="883"/>
      <c r="UXQ9" s="883"/>
      <c r="UXR9" s="883"/>
      <c r="UXS9" s="883"/>
      <c r="UXT9" s="883"/>
      <c r="UXU9" s="883"/>
      <c r="UXV9" s="883"/>
      <c r="UXW9" s="883"/>
      <c r="UXX9" s="883"/>
      <c r="UXY9" s="883"/>
      <c r="UXZ9" s="883"/>
      <c r="UYA9" s="883"/>
      <c r="UYB9" s="883"/>
      <c r="UYC9" s="883"/>
      <c r="UYD9" s="883"/>
      <c r="UYE9" s="883"/>
      <c r="UYF9" s="883"/>
      <c r="UYG9" s="883"/>
      <c r="UYH9" s="883"/>
      <c r="UYI9" s="883"/>
      <c r="UYJ9" s="883"/>
      <c r="UYK9" s="883"/>
      <c r="UYL9" s="883"/>
      <c r="UYM9" s="883"/>
      <c r="UYN9" s="883"/>
      <c r="UYO9" s="883"/>
      <c r="UYP9" s="883"/>
      <c r="UYQ9" s="883"/>
      <c r="UYR9" s="883"/>
      <c r="UYS9" s="883"/>
      <c r="UYT9" s="883"/>
      <c r="UYU9" s="883"/>
      <c r="UYV9" s="883"/>
      <c r="UYW9" s="883"/>
      <c r="UYX9" s="883"/>
      <c r="UYY9" s="883"/>
      <c r="UYZ9" s="883"/>
      <c r="UZA9" s="883"/>
      <c r="UZB9" s="883"/>
      <c r="UZC9" s="883"/>
      <c r="UZD9" s="883"/>
      <c r="UZE9" s="883"/>
      <c r="UZF9" s="883"/>
      <c r="UZG9" s="883"/>
      <c r="UZH9" s="883"/>
      <c r="UZI9" s="883"/>
      <c r="UZJ9" s="883"/>
      <c r="UZK9" s="883"/>
      <c r="UZL9" s="883"/>
      <c r="UZM9" s="883"/>
      <c r="UZN9" s="883"/>
      <c r="UZO9" s="883"/>
      <c r="UZP9" s="883"/>
      <c r="UZQ9" s="883"/>
      <c r="UZR9" s="883"/>
      <c r="UZS9" s="883"/>
      <c r="UZT9" s="883"/>
      <c r="UZU9" s="883"/>
      <c r="UZV9" s="883"/>
      <c r="UZW9" s="883"/>
      <c r="UZX9" s="883"/>
      <c r="UZY9" s="883"/>
      <c r="UZZ9" s="883"/>
      <c r="VAA9" s="883"/>
      <c r="VAB9" s="883"/>
      <c r="VAC9" s="883"/>
      <c r="VAD9" s="883"/>
      <c r="VAE9" s="883"/>
      <c r="VAF9" s="883"/>
      <c r="VAG9" s="883"/>
      <c r="VAH9" s="883"/>
      <c r="VAI9" s="883"/>
      <c r="VAJ9" s="883"/>
      <c r="VAK9" s="883"/>
      <c r="VAL9" s="883"/>
      <c r="VAM9" s="883"/>
      <c r="VAN9" s="883"/>
      <c r="VAO9" s="883"/>
      <c r="VAP9" s="883"/>
      <c r="VAQ9" s="883"/>
      <c r="VAR9" s="883"/>
      <c r="VAS9" s="883"/>
      <c r="VAT9" s="883"/>
      <c r="VAU9" s="883"/>
      <c r="VAV9" s="883"/>
      <c r="VAW9" s="883"/>
      <c r="VAX9" s="883"/>
      <c r="VAY9" s="883"/>
      <c r="VAZ9" s="883"/>
      <c r="VBA9" s="883"/>
      <c r="VBB9" s="883"/>
      <c r="VBC9" s="883"/>
      <c r="VBD9" s="883"/>
      <c r="VBE9" s="883"/>
      <c r="VBF9" s="883"/>
      <c r="VBG9" s="883"/>
      <c r="VBH9" s="883"/>
      <c r="VBI9" s="883"/>
      <c r="VBJ9" s="883"/>
      <c r="VBK9" s="883"/>
      <c r="VBL9" s="883"/>
      <c r="VBM9" s="883"/>
      <c r="VBN9" s="883"/>
      <c r="VBO9" s="883"/>
      <c r="VBP9" s="883"/>
      <c r="VBQ9" s="883"/>
      <c r="VBR9" s="883"/>
      <c r="VBS9" s="883"/>
      <c r="VBT9" s="883"/>
      <c r="VBU9" s="883"/>
      <c r="VBV9" s="883"/>
      <c r="VBW9" s="883"/>
      <c r="VBX9" s="883"/>
      <c r="VBY9" s="883"/>
      <c r="VBZ9" s="883"/>
      <c r="VCA9" s="883"/>
      <c r="VCB9" s="883"/>
      <c r="VCC9" s="883"/>
      <c r="VCD9" s="883"/>
      <c r="VCE9" s="883"/>
      <c r="VCF9" s="883"/>
      <c r="VCG9" s="883"/>
      <c r="VCH9" s="883"/>
      <c r="VCI9" s="883"/>
      <c r="VCJ9" s="883"/>
      <c r="VCK9" s="883"/>
      <c r="VCL9" s="883"/>
      <c r="VCM9" s="883"/>
      <c r="VCN9" s="883"/>
      <c r="VCO9" s="883"/>
      <c r="VCP9" s="883"/>
      <c r="VCQ9" s="883"/>
      <c r="VCR9" s="883"/>
      <c r="VCS9" s="883"/>
      <c r="VCT9" s="883"/>
      <c r="VCU9" s="883"/>
      <c r="VCV9" s="883"/>
      <c r="VCW9" s="883"/>
      <c r="VCX9" s="883"/>
      <c r="VCY9" s="883"/>
      <c r="VCZ9" s="883"/>
      <c r="VDA9" s="883"/>
      <c r="VDB9" s="883"/>
      <c r="VDC9" s="883"/>
      <c r="VDD9" s="883"/>
      <c r="VDE9" s="883"/>
      <c r="VDF9" s="883"/>
      <c r="VDG9" s="883"/>
      <c r="VDH9" s="883"/>
      <c r="VDI9" s="883"/>
      <c r="VDJ9" s="883"/>
      <c r="VDK9" s="883"/>
      <c r="VDL9" s="883"/>
      <c r="VDM9" s="883"/>
      <c r="VDN9" s="883"/>
      <c r="VDO9" s="883"/>
      <c r="VDP9" s="883"/>
      <c r="VDQ9" s="883"/>
      <c r="VDR9" s="883"/>
      <c r="VDS9" s="883"/>
      <c r="VDT9" s="883"/>
      <c r="VDU9" s="883"/>
      <c r="VDV9" s="883"/>
      <c r="VDW9" s="883"/>
      <c r="VDX9" s="883"/>
      <c r="VDY9" s="883"/>
      <c r="VDZ9" s="883"/>
      <c r="VEA9" s="883"/>
      <c r="VEB9" s="883"/>
      <c r="VEC9" s="883"/>
      <c r="VED9" s="883"/>
      <c r="VEE9" s="883"/>
      <c r="VEF9" s="883"/>
      <c r="VEG9" s="883"/>
      <c r="VEH9" s="883"/>
      <c r="VEI9" s="883"/>
      <c r="VEJ9" s="883"/>
      <c r="VEK9" s="883"/>
      <c r="VEL9" s="883"/>
      <c r="VEM9" s="883"/>
      <c r="VEN9" s="883"/>
      <c r="VEO9" s="883"/>
      <c r="VEP9" s="883"/>
      <c r="VEQ9" s="883"/>
      <c r="VER9" s="883"/>
      <c r="VES9" s="883"/>
      <c r="VET9" s="883"/>
      <c r="VEU9" s="883"/>
      <c r="VEV9" s="883"/>
      <c r="VEW9" s="883"/>
      <c r="VEX9" s="883"/>
      <c r="VEY9" s="883"/>
      <c r="VEZ9" s="883"/>
      <c r="VFA9" s="883"/>
      <c r="VFB9" s="883"/>
      <c r="VFC9" s="883"/>
      <c r="VFD9" s="883"/>
      <c r="VFE9" s="883"/>
      <c r="VFF9" s="883"/>
      <c r="VFG9" s="883"/>
      <c r="VFH9" s="883"/>
      <c r="VFI9" s="883"/>
      <c r="VFJ9" s="883"/>
      <c r="VFK9" s="883"/>
      <c r="VFL9" s="883"/>
      <c r="VFM9" s="883"/>
      <c r="VFN9" s="883"/>
      <c r="VFO9" s="883"/>
      <c r="VFP9" s="883"/>
      <c r="VFQ9" s="883"/>
      <c r="VFR9" s="883"/>
      <c r="VFS9" s="883"/>
      <c r="VFT9" s="883"/>
      <c r="VFU9" s="883"/>
      <c r="VFV9" s="883"/>
      <c r="VFW9" s="883"/>
      <c r="VFX9" s="883"/>
      <c r="VFY9" s="883"/>
      <c r="VFZ9" s="883"/>
      <c r="VGA9" s="883"/>
      <c r="VGB9" s="883"/>
      <c r="VGC9" s="883"/>
      <c r="VGD9" s="883"/>
      <c r="VGE9" s="883"/>
      <c r="VGF9" s="883"/>
      <c r="VGG9" s="883"/>
      <c r="VGH9" s="883"/>
      <c r="VGI9" s="883"/>
      <c r="VGJ9" s="883"/>
      <c r="VGK9" s="883"/>
      <c r="VGL9" s="883"/>
      <c r="VGM9" s="883"/>
      <c r="VGN9" s="883"/>
      <c r="VGO9" s="883"/>
      <c r="VGP9" s="883"/>
      <c r="VGQ9" s="883"/>
      <c r="VGR9" s="883"/>
      <c r="VGS9" s="883"/>
      <c r="VGT9" s="883"/>
      <c r="VGU9" s="883"/>
      <c r="VGV9" s="883"/>
      <c r="VGW9" s="883"/>
      <c r="VGX9" s="883"/>
      <c r="VGY9" s="883"/>
      <c r="VGZ9" s="883"/>
      <c r="VHA9" s="883"/>
      <c r="VHB9" s="883"/>
      <c r="VHC9" s="883"/>
      <c r="VHD9" s="883"/>
      <c r="VHE9" s="883"/>
      <c r="VHF9" s="883"/>
      <c r="VHG9" s="883"/>
      <c r="VHH9" s="883"/>
      <c r="VHI9" s="883"/>
      <c r="VHJ9" s="883"/>
      <c r="VHK9" s="883"/>
      <c r="VHL9" s="883"/>
      <c r="VHM9" s="883"/>
      <c r="VHN9" s="883"/>
      <c r="VHO9" s="883"/>
      <c r="VHP9" s="883"/>
      <c r="VHQ9" s="883"/>
      <c r="VHR9" s="883"/>
      <c r="VHS9" s="883"/>
      <c r="VHT9" s="883"/>
      <c r="VHU9" s="883"/>
      <c r="VHV9" s="883"/>
      <c r="VHW9" s="883"/>
      <c r="VHX9" s="883"/>
      <c r="VHY9" s="883"/>
      <c r="VHZ9" s="883"/>
      <c r="VIA9" s="883"/>
      <c r="VIB9" s="883"/>
      <c r="VIC9" s="883"/>
      <c r="VID9" s="883"/>
      <c r="VIE9" s="883"/>
      <c r="VIF9" s="883"/>
      <c r="VIG9" s="883"/>
      <c r="VIH9" s="883"/>
      <c r="VII9" s="883"/>
      <c r="VIJ9" s="883"/>
      <c r="VIK9" s="883"/>
      <c r="VIL9" s="883"/>
      <c r="VIM9" s="883"/>
      <c r="VIN9" s="883"/>
      <c r="VIO9" s="883"/>
      <c r="VIP9" s="883"/>
      <c r="VIQ9" s="883"/>
      <c r="VIR9" s="883"/>
      <c r="VIS9" s="883"/>
      <c r="VIT9" s="883"/>
      <c r="VIU9" s="883"/>
      <c r="VIV9" s="883"/>
      <c r="VIW9" s="883"/>
      <c r="VIX9" s="883"/>
      <c r="VIY9" s="883"/>
      <c r="VIZ9" s="883"/>
      <c r="VJA9" s="883"/>
      <c r="VJB9" s="883"/>
      <c r="VJC9" s="883"/>
      <c r="VJD9" s="883"/>
      <c r="VJE9" s="883"/>
      <c r="VJF9" s="883"/>
      <c r="VJG9" s="883"/>
      <c r="VJH9" s="883"/>
      <c r="VJI9" s="883"/>
      <c r="VJJ9" s="883"/>
      <c r="VJK9" s="883"/>
      <c r="VJL9" s="883"/>
      <c r="VJM9" s="883"/>
      <c r="VJN9" s="883"/>
      <c r="VJO9" s="883"/>
      <c r="VJP9" s="883"/>
      <c r="VJQ9" s="883"/>
      <c r="VJR9" s="883"/>
      <c r="VJS9" s="883"/>
      <c r="VJT9" s="883"/>
      <c r="VJU9" s="883"/>
      <c r="VJV9" s="883"/>
      <c r="VJW9" s="883"/>
      <c r="VJX9" s="883"/>
      <c r="VJY9" s="883"/>
      <c r="VJZ9" s="883"/>
      <c r="VKA9" s="883"/>
      <c r="VKB9" s="883"/>
      <c r="VKC9" s="883"/>
      <c r="VKD9" s="883"/>
      <c r="VKE9" s="883"/>
      <c r="VKF9" s="883"/>
      <c r="VKG9" s="883"/>
      <c r="VKH9" s="883"/>
      <c r="VKI9" s="883"/>
      <c r="VKJ9" s="883"/>
      <c r="VKK9" s="883"/>
      <c r="VKL9" s="883"/>
      <c r="VKM9" s="883"/>
      <c r="VKN9" s="883"/>
      <c r="VKO9" s="883"/>
      <c r="VKP9" s="883"/>
      <c r="VKQ9" s="883"/>
      <c r="VKR9" s="883"/>
      <c r="VKS9" s="883"/>
      <c r="VKT9" s="883"/>
      <c r="VKU9" s="883"/>
      <c r="VKV9" s="883"/>
      <c r="VKW9" s="883"/>
      <c r="VKX9" s="883"/>
      <c r="VKY9" s="883"/>
      <c r="VKZ9" s="883"/>
      <c r="VLA9" s="883"/>
      <c r="VLB9" s="883"/>
      <c r="VLC9" s="883"/>
      <c r="VLD9" s="883"/>
      <c r="VLE9" s="883"/>
      <c r="VLF9" s="883"/>
      <c r="VLG9" s="883"/>
      <c r="VLH9" s="883"/>
      <c r="VLI9" s="883"/>
      <c r="VLJ9" s="883"/>
      <c r="VLK9" s="883"/>
      <c r="VLL9" s="883"/>
      <c r="VLM9" s="883"/>
      <c r="VLN9" s="883"/>
      <c r="VLO9" s="883"/>
      <c r="VLP9" s="883"/>
      <c r="VLQ9" s="883"/>
      <c r="VLR9" s="883"/>
      <c r="VLS9" s="883"/>
      <c r="VLT9" s="883"/>
      <c r="VLU9" s="883"/>
      <c r="VLV9" s="883"/>
      <c r="VLW9" s="883"/>
      <c r="VLX9" s="883"/>
      <c r="VLY9" s="883"/>
      <c r="VLZ9" s="883"/>
      <c r="VMA9" s="883"/>
      <c r="VMB9" s="883"/>
      <c r="VMC9" s="883"/>
      <c r="VMD9" s="883"/>
      <c r="VME9" s="883"/>
      <c r="VMF9" s="883"/>
      <c r="VMG9" s="883"/>
      <c r="VMH9" s="883"/>
      <c r="VMI9" s="883"/>
      <c r="VMJ9" s="883"/>
      <c r="VMK9" s="883"/>
      <c r="VML9" s="883"/>
      <c r="VMM9" s="883"/>
      <c r="VMN9" s="883"/>
      <c r="VMO9" s="883"/>
      <c r="VMP9" s="883"/>
      <c r="VMQ9" s="883"/>
      <c r="VMR9" s="883"/>
      <c r="VMS9" s="883"/>
      <c r="VMT9" s="883"/>
      <c r="VMU9" s="883"/>
      <c r="VMV9" s="883"/>
      <c r="VMW9" s="883"/>
      <c r="VMX9" s="883"/>
      <c r="VMY9" s="883"/>
      <c r="VMZ9" s="883"/>
      <c r="VNA9" s="883"/>
      <c r="VNB9" s="883"/>
      <c r="VNC9" s="883"/>
      <c r="VND9" s="883"/>
      <c r="VNE9" s="883"/>
      <c r="VNF9" s="883"/>
      <c r="VNG9" s="883"/>
      <c r="VNH9" s="883"/>
      <c r="VNI9" s="883"/>
      <c r="VNJ9" s="883"/>
      <c r="VNK9" s="883"/>
      <c r="VNL9" s="883"/>
      <c r="VNM9" s="883"/>
      <c r="VNN9" s="883"/>
      <c r="VNO9" s="883"/>
      <c r="VNP9" s="883"/>
      <c r="VNQ9" s="883"/>
      <c r="VNR9" s="883"/>
      <c r="VNS9" s="883"/>
      <c r="VNT9" s="883"/>
      <c r="VNU9" s="883"/>
      <c r="VNV9" s="883"/>
      <c r="VNW9" s="883"/>
      <c r="VNX9" s="883"/>
      <c r="VNY9" s="883"/>
      <c r="VNZ9" s="883"/>
      <c r="VOA9" s="883"/>
      <c r="VOB9" s="883"/>
      <c r="VOC9" s="883"/>
      <c r="VOD9" s="883"/>
      <c r="VOE9" s="883"/>
      <c r="VOF9" s="883"/>
      <c r="VOG9" s="883"/>
      <c r="VOH9" s="883"/>
      <c r="VOI9" s="883"/>
      <c r="VOJ9" s="883"/>
      <c r="VOK9" s="883"/>
      <c r="VOL9" s="883"/>
      <c r="VOM9" s="883"/>
      <c r="VON9" s="883"/>
      <c r="VOO9" s="883"/>
      <c r="VOP9" s="883"/>
      <c r="VOQ9" s="883"/>
      <c r="VOR9" s="883"/>
      <c r="VOS9" s="883"/>
      <c r="VOT9" s="883"/>
      <c r="VOU9" s="883"/>
      <c r="VOV9" s="883"/>
      <c r="VOW9" s="883"/>
      <c r="VOX9" s="883"/>
      <c r="VOY9" s="883"/>
      <c r="VOZ9" s="883"/>
      <c r="VPA9" s="883"/>
      <c r="VPB9" s="883"/>
      <c r="VPC9" s="883"/>
      <c r="VPD9" s="883"/>
      <c r="VPE9" s="883"/>
      <c r="VPF9" s="883"/>
      <c r="VPG9" s="883"/>
      <c r="VPH9" s="883"/>
      <c r="VPI9" s="883"/>
      <c r="VPJ9" s="883"/>
      <c r="VPK9" s="883"/>
      <c r="VPL9" s="883"/>
      <c r="VPM9" s="883"/>
      <c r="VPN9" s="883"/>
      <c r="VPO9" s="883"/>
      <c r="VPP9" s="883"/>
      <c r="VPQ9" s="883"/>
      <c r="VPR9" s="883"/>
      <c r="VPS9" s="883"/>
      <c r="VPT9" s="883"/>
      <c r="VPU9" s="883"/>
      <c r="VPV9" s="883"/>
      <c r="VPW9" s="883"/>
      <c r="VPX9" s="883"/>
      <c r="VPY9" s="883"/>
      <c r="VPZ9" s="883"/>
      <c r="VQA9" s="883"/>
      <c r="VQB9" s="883"/>
      <c r="VQC9" s="883"/>
      <c r="VQD9" s="883"/>
      <c r="VQE9" s="883"/>
      <c r="VQF9" s="883"/>
      <c r="VQG9" s="883"/>
      <c r="VQH9" s="883"/>
      <c r="VQI9" s="883"/>
      <c r="VQJ9" s="883"/>
      <c r="VQK9" s="883"/>
      <c r="VQL9" s="883"/>
      <c r="VQM9" s="883"/>
      <c r="VQN9" s="883"/>
      <c r="VQO9" s="883"/>
      <c r="VQP9" s="883"/>
      <c r="VQQ9" s="883"/>
      <c r="VQR9" s="883"/>
      <c r="VQS9" s="883"/>
      <c r="VQT9" s="883"/>
      <c r="VQU9" s="883"/>
      <c r="VQV9" s="883"/>
      <c r="VQW9" s="883"/>
      <c r="VQX9" s="883"/>
      <c r="VQY9" s="883"/>
      <c r="VQZ9" s="883"/>
      <c r="VRA9" s="883"/>
      <c r="VRB9" s="883"/>
      <c r="VRC9" s="883"/>
      <c r="VRD9" s="883"/>
      <c r="VRE9" s="883"/>
      <c r="VRF9" s="883"/>
      <c r="VRG9" s="883"/>
      <c r="VRH9" s="883"/>
      <c r="VRI9" s="883"/>
      <c r="VRJ9" s="883"/>
      <c r="VRK9" s="883"/>
      <c r="VRL9" s="883"/>
      <c r="VRM9" s="883"/>
      <c r="VRN9" s="883"/>
      <c r="VRO9" s="883"/>
      <c r="VRP9" s="883"/>
      <c r="VRQ9" s="883"/>
      <c r="VRR9" s="883"/>
      <c r="VRS9" s="883"/>
      <c r="VRT9" s="883"/>
      <c r="VRU9" s="883"/>
      <c r="VRV9" s="883"/>
      <c r="VRW9" s="883"/>
      <c r="VRX9" s="883"/>
      <c r="VRY9" s="883"/>
      <c r="VRZ9" s="883"/>
      <c r="VSA9" s="883"/>
      <c r="VSB9" s="883"/>
      <c r="VSC9" s="883"/>
      <c r="VSD9" s="883"/>
      <c r="VSE9" s="883"/>
      <c r="VSF9" s="883"/>
      <c r="VSG9" s="883"/>
      <c r="VSH9" s="883"/>
      <c r="VSI9" s="883"/>
      <c r="VSJ9" s="883"/>
      <c r="VSK9" s="883"/>
      <c r="VSL9" s="883"/>
      <c r="VSM9" s="883"/>
      <c r="VSN9" s="883"/>
      <c r="VSO9" s="883"/>
      <c r="VSP9" s="883"/>
      <c r="VSQ9" s="883"/>
      <c r="VSR9" s="883"/>
      <c r="VSS9" s="883"/>
      <c r="VST9" s="883"/>
      <c r="VSU9" s="883"/>
      <c r="VSV9" s="883"/>
      <c r="VSW9" s="883"/>
      <c r="VSX9" s="883"/>
      <c r="VSY9" s="883"/>
      <c r="VSZ9" s="883"/>
      <c r="VTA9" s="883"/>
      <c r="VTB9" s="883"/>
      <c r="VTC9" s="883"/>
      <c r="VTD9" s="883"/>
      <c r="VTE9" s="883"/>
      <c r="VTF9" s="883"/>
      <c r="VTG9" s="883"/>
      <c r="VTH9" s="883"/>
      <c r="VTI9" s="883"/>
      <c r="VTJ9" s="883"/>
      <c r="VTK9" s="883"/>
      <c r="VTL9" s="883"/>
      <c r="VTM9" s="883"/>
      <c r="VTN9" s="883"/>
      <c r="VTO9" s="883"/>
      <c r="VTP9" s="883"/>
      <c r="VTQ9" s="883"/>
      <c r="VTR9" s="883"/>
      <c r="VTS9" s="883"/>
      <c r="VTT9" s="883"/>
      <c r="VTU9" s="883"/>
      <c r="VTV9" s="883"/>
      <c r="VTW9" s="883"/>
      <c r="VTX9" s="883"/>
      <c r="VTY9" s="883"/>
      <c r="VTZ9" s="883"/>
      <c r="VUA9" s="883"/>
      <c r="VUB9" s="883"/>
      <c r="VUC9" s="883"/>
      <c r="VUD9" s="883"/>
      <c r="VUE9" s="883"/>
      <c r="VUF9" s="883"/>
      <c r="VUG9" s="883"/>
      <c r="VUH9" s="883"/>
      <c r="VUI9" s="883"/>
      <c r="VUJ9" s="883"/>
      <c r="VUK9" s="883"/>
      <c r="VUL9" s="883"/>
      <c r="VUM9" s="883"/>
      <c r="VUN9" s="883"/>
      <c r="VUO9" s="883"/>
      <c r="VUP9" s="883"/>
      <c r="VUQ9" s="883"/>
      <c r="VUR9" s="883"/>
      <c r="VUS9" s="883"/>
      <c r="VUT9" s="883"/>
      <c r="VUU9" s="883"/>
      <c r="VUV9" s="883"/>
      <c r="VUW9" s="883"/>
      <c r="VUX9" s="883"/>
      <c r="VUY9" s="883"/>
      <c r="VUZ9" s="883"/>
      <c r="VVA9" s="883"/>
      <c r="VVB9" s="883"/>
      <c r="VVC9" s="883"/>
      <c r="VVD9" s="883"/>
      <c r="VVE9" s="883"/>
      <c r="VVF9" s="883"/>
      <c r="VVG9" s="883"/>
      <c r="VVH9" s="883"/>
      <c r="VVI9" s="883"/>
      <c r="VVJ9" s="883"/>
      <c r="VVK9" s="883"/>
      <c r="VVL9" s="883"/>
      <c r="VVM9" s="883"/>
      <c r="VVN9" s="883"/>
      <c r="VVO9" s="883"/>
      <c r="VVP9" s="883"/>
      <c r="VVQ9" s="883"/>
      <c r="VVR9" s="883"/>
      <c r="VVS9" s="883"/>
      <c r="VVT9" s="883"/>
      <c r="VVU9" s="883"/>
      <c r="VVV9" s="883"/>
      <c r="VVW9" s="883"/>
      <c r="VVX9" s="883"/>
      <c r="VVY9" s="883"/>
      <c r="VVZ9" s="883"/>
      <c r="VWA9" s="883"/>
      <c r="VWB9" s="883"/>
      <c r="VWC9" s="883"/>
      <c r="VWD9" s="883"/>
      <c r="VWE9" s="883"/>
      <c r="VWF9" s="883"/>
      <c r="VWG9" s="883"/>
      <c r="VWH9" s="883"/>
      <c r="VWI9" s="883"/>
      <c r="VWJ9" s="883"/>
      <c r="VWK9" s="883"/>
      <c r="VWL9" s="883"/>
      <c r="VWM9" s="883"/>
      <c r="VWN9" s="883"/>
      <c r="VWO9" s="883"/>
      <c r="VWP9" s="883"/>
      <c r="VWQ9" s="883"/>
      <c r="VWR9" s="883"/>
      <c r="VWS9" s="883"/>
      <c r="VWT9" s="883"/>
      <c r="VWU9" s="883"/>
      <c r="VWV9" s="883"/>
      <c r="VWW9" s="883"/>
      <c r="VWX9" s="883"/>
      <c r="VWY9" s="883"/>
      <c r="VWZ9" s="883"/>
      <c r="VXA9" s="883"/>
      <c r="VXB9" s="883"/>
      <c r="VXC9" s="883"/>
      <c r="VXD9" s="883"/>
      <c r="VXE9" s="883"/>
      <c r="VXF9" s="883"/>
      <c r="VXG9" s="883"/>
      <c r="VXH9" s="883"/>
      <c r="VXI9" s="883"/>
      <c r="VXJ9" s="883"/>
      <c r="VXK9" s="883"/>
      <c r="VXL9" s="883"/>
      <c r="VXM9" s="883"/>
      <c r="VXN9" s="883"/>
      <c r="VXO9" s="883"/>
      <c r="VXP9" s="883"/>
      <c r="VXQ9" s="883"/>
      <c r="VXR9" s="883"/>
      <c r="VXS9" s="883"/>
      <c r="VXT9" s="883"/>
      <c r="VXU9" s="883"/>
      <c r="VXV9" s="883"/>
      <c r="VXW9" s="883"/>
      <c r="VXX9" s="883"/>
      <c r="VXY9" s="883"/>
      <c r="VXZ9" s="883"/>
      <c r="VYA9" s="883"/>
      <c r="VYB9" s="883"/>
      <c r="VYC9" s="883"/>
      <c r="VYD9" s="883"/>
      <c r="VYE9" s="883"/>
      <c r="VYF9" s="883"/>
      <c r="VYG9" s="883"/>
      <c r="VYH9" s="883"/>
      <c r="VYI9" s="883"/>
      <c r="VYJ9" s="883"/>
      <c r="VYK9" s="883"/>
      <c r="VYL9" s="883"/>
      <c r="VYM9" s="883"/>
      <c r="VYN9" s="883"/>
      <c r="VYO9" s="883"/>
      <c r="VYP9" s="883"/>
      <c r="VYQ9" s="883"/>
      <c r="VYR9" s="883"/>
      <c r="VYS9" s="883"/>
      <c r="VYT9" s="883"/>
      <c r="VYU9" s="883"/>
      <c r="VYV9" s="883"/>
      <c r="VYW9" s="883"/>
      <c r="VYX9" s="883"/>
      <c r="VYY9" s="883"/>
      <c r="VYZ9" s="883"/>
      <c r="VZA9" s="883"/>
      <c r="VZB9" s="883"/>
      <c r="VZC9" s="883"/>
      <c r="VZD9" s="883"/>
      <c r="VZE9" s="883"/>
      <c r="VZF9" s="883"/>
      <c r="VZG9" s="883"/>
      <c r="VZH9" s="883"/>
      <c r="VZI9" s="883"/>
      <c r="VZJ9" s="883"/>
      <c r="VZK9" s="883"/>
      <c r="VZL9" s="883"/>
      <c r="VZM9" s="883"/>
      <c r="VZN9" s="883"/>
      <c r="VZO9" s="883"/>
      <c r="VZP9" s="883"/>
      <c r="VZQ9" s="883"/>
      <c r="VZR9" s="883"/>
      <c r="VZS9" s="883"/>
      <c r="VZT9" s="883"/>
      <c r="VZU9" s="883"/>
      <c r="VZV9" s="883"/>
      <c r="VZW9" s="883"/>
      <c r="VZX9" s="883"/>
      <c r="VZY9" s="883"/>
      <c r="VZZ9" s="883"/>
      <c r="WAA9" s="883"/>
      <c r="WAB9" s="883"/>
      <c r="WAC9" s="883"/>
      <c r="WAD9" s="883"/>
      <c r="WAE9" s="883"/>
      <c r="WAF9" s="883"/>
      <c r="WAG9" s="883"/>
      <c r="WAH9" s="883"/>
      <c r="WAI9" s="883"/>
      <c r="WAJ9" s="883"/>
      <c r="WAK9" s="883"/>
      <c r="WAL9" s="883"/>
      <c r="WAM9" s="883"/>
      <c r="WAN9" s="883"/>
      <c r="WAO9" s="883"/>
      <c r="WAP9" s="883"/>
      <c r="WAQ9" s="883"/>
      <c r="WAR9" s="883"/>
      <c r="WAS9" s="883"/>
      <c r="WAT9" s="883"/>
      <c r="WAU9" s="883"/>
      <c r="WAV9" s="883"/>
      <c r="WAW9" s="883"/>
      <c r="WAX9" s="883"/>
      <c r="WAY9" s="883"/>
      <c r="WAZ9" s="883"/>
      <c r="WBA9" s="883"/>
      <c r="WBB9" s="883"/>
      <c r="WBC9" s="883"/>
      <c r="WBD9" s="883"/>
      <c r="WBE9" s="883"/>
      <c r="WBF9" s="883"/>
      <c r="WBG9" s="883"/>
      <c r="WBH9" s="883"/>
      <c r="WBI9" s="883"/>
      <c r="WBJ9" s="883"/>
      <c r="WBK9" s="883"/>
      <c r="WBL9" s="883"/>
      <c r="WBM9" s="883"/>
      <c r="WBN9" s="883"/>
      <c r="WBO9" s="883"/>
      <c r="WBP9" s="883"/>
      <c r="WBQ9" s="883"/>
      <c r="WBR9" s="883"/>
      <c r="WBS9" s="883"/>
      <c r="WBT9" s="883"/>
      <c r="WBU9" s="883"/>
      <c r="WBV9" s="883"/>
      <c r="WBW9" s="883"/>
      <c r="WBX9" s="883"/>
      <c r="WBY9" s="883"/>
      <c r="WBZ9" s="883"/>
      <c r="WCA9" s="883"/>
      <c r="WCB9" s="883"/>
      <c r="WCC9" s="883"/>
      <c r="WCD9" s="883"/>
      <c r="WCE9" s="883"/>
      <c r="WCF9" s="883"/>
      <c r="WCG9" s="883"/>
      <c r="WCH9" s="883"/>
      <c r="WCI9" s="883"/>
      <c r="WCJ9" s="883"/>
      <c r="WCK9" s="883"/>
      <c r="WCL9" s="883"/>
      <c r="WCM9" s="883"/>
      <c r="WCN9" s="883"/>
      <c r="WCO9" s="883"/>
      <c r="WCP9" s="883"/>
      <c r="WCQ9" s="883"/>
      <c r="WCR9" s="883"/>
      <c r="WCS9" s="883"/>
      <c r="WCT9" s="883"/>
      <c r="WCU9" s="883"/>
      <c r="WCV9" s="883"/>
      <c r="WCW9" s="883"/>
      <c r="WCX9" s="883"/>
      <c r="WCY9" s="883"/>
      <c r="WCZ9" s="883"/>
      <c r="WDA9" s="883"/>
      <c r="WDB9" s="883"/>
      <c r="WDC9" s="883"/>
      <c r="WDD9" s="883"/>
      <c r="WDE9" s="883"/>
      <c r="WDF9" s="883"/>
      <c r="WDG9" s="883"/>
      <c r="WDH9" s="883"/>
      <c r="WDI9" s="883"/>
      <c r="WDJ9" s="883"/>
      <c r="WDK9" s="883"/>
      <c r="WDL9" s="883"/>
      <c r="WDM9" s="883"/>
      <c r="WDN9" s="883"/>
      <c r="WDO9" s="883"/>
      <c r="WDP9" s="883"/>
      <c r="WDQ9" s="883"/>
      <c r="WDR9" s="883"/>
      <c r="WDS9" s="883"/>
      <c r="WDT9" s="883"/>
      <c r="WDU9" s="883"/>
      <c r="WDV9" s="883"/>
      <c r="WDW9" s="883"/>
      <c r="WDX9" s="883"/>
      <c r="WDY9" s="883"/>
      <c r="WDZ9" s="883"/>
      <c r="WEA9" s="883"/>
      <c r="WEB9" s="883"/>
      <c r="WEC9" s="883"/>
      <c r="WED9" s="883"/>
      <c r="WEE9" s="883"/>
      <c r="WEF9" s="883"/>
      <c r="WEG9" s="883"/>
      <c r="WEH9" s="883"/>
      <c r="WEI9" s="883"/>
      <c r="WEJ9" s="883"/>
      <c r="WEK9" s="883"/>
      <c r="WEL9" s="883"/>
      <c r="WEM9" s="883"/>
      <c r="WEN9" s="883"/>
      <c r="WEO9" s="883"/>
      <c r="WEP9" s="883"/>
      <c r="WEQ9" s="883"/>
      <c r="WER9" s="883"/>
      <c r="WES9" s="883"/>
      <c r="WET9" s="883"/>
      <c r="WEU9" s="883"/>
      <c r="WEV9" s="883"/>
      <c r="WEW9" s="883"/>
      <c r="WEX9" s="883"/>
      <c r="WEY9" s="883"/>
      <c r="WEZ9" s="883"/>
      <c r="WFA9" s="883"/>
      <c r="WFB9" s="883"/>
      <c r="WFC9" s="883"/>
      <c r="WFD9" s="883"/>
      <c r="WFE9" s="883"/>
      <c r="WFF9" s="883"/>
      <c r="WFG9" s="883"/>
      <c r="WFH9" s="883"/>
      <c r="WFI9" s="883"/>
      <c r="WFJ9" s="883"/>
      <c r="WFK9" s="883"/>
      <c r="WFL9" s="883"/>
      <c r="WFM9" s="883"/>
      <c r="WFN9" s="883"/>
      <c r="WFO9" s="883"/>
      <c r="WFP9" s="883"/>
      <c r="WFQ9" s="883"/>
      <c r="WFR9" s="883"/>
      <c r="WFS9" s="883"/>
      <c r="WFT9" s="883"/>
      <c r="WFU9" s="883"/>
      <c r="WFV9" s="883"/>
      <c r="WFW9" s="883"/>
      <c r="WFX9" s="883"/>
      <c r="WFY9" s="883"/>
      <c r="WFZ9" s="883"/>
      <c r="WGA9" s="883"/>
      <c r="WGB9" s="883"/>
      <c r="WGC9" s="883"/>
      <c r="WGD9" s="883"/>
      <c r="WGE9" s="883"/>
      <c r="WGF9" s="883"/>
      <c r="WGG9" s="883"/>
      <c r="WGH9" s="883"/>
      <c r="WGI9" s="883"/>
      <c r="WGJ9" s="883"/>
      <c r="WGK9" s="883"/>
      <c r="WGL9" s="883"/>
      <c r="WGM9" s="883"/>
      <c r="WGN9" s="883"/>
      <c r="WGO9" s="883"/>
      <c r="WGP9" s="883"/>
      <c r="WGQ9" s="883"/>
      <c r="WGR9" s="883"/>
      <c r="WGS9" s="883"/>
      <c r="WGT9" s="883"/>
      <c r="WGU9" s="883"/>
      <c r="WGV9" s="883"/>
      <c r="WGW9" s="883"/>
      <c r="WGX9" s="883"/>
      <c r="WGY9" s="883"/>
      <c r="WGZ9" s="883"/>
      <c r="WHA9" s="883"/>
      <c r="WHB9" s="883"/>
      <c r="WHC9" s="883"/>
      <c r="WHD9" s="883"/>
      <c r="WHE9" s="883"/>
      <c r="WHF9" s="883"/>
      <c r="WHG9" s="883"/>
      <c r="WHH9" s="883"/>
      <c r="WHI9" s="883"/>
      <c r="WHJ9" s="883"/>
      <c r="WHK9" s="883"/>
      <c r="WHL9" s="883"/>
      <c r="WHM9" s="883"/>
      <c r="WHN9" s="883"/>
      <c r="WHO9" s="883"/>
      <c r="WHP9" s="883"/>
      <c r="WHQ9" s="883"/>
      <c r="WHR9" s="883"/>
      <c r="WHS9" s="883"/>
      <c r="WHT9" s="883"/>
      <c r="WHU9" s="883"/>
      <c r="WHV9" s="883"/>
      <c r="WHW9" s="883"/>
      <c r="WHX9" s="883"/>
      <c r="WHY9" s="883"/>
      <c r="WHZ9" s="883"/>
      <c r="WIA9" s="883"/>
      <c r="WIB9" s="883"/>
      <c r="WIC9" s="883"/>
      <c r="WID9" s="883"/>
      <c r="WIE9" s="883"/>
      <c r="WIF9" s="883"/>
      <c r="WIG9" s="883"/>
      <c r="WIH9" s="883"/>
      <c r="WII9" s="883"/>
      <c r="WIJ9" s="883"/>
      <c r="WIK9" s="883"/>
      <c r="WIL9" s="883"/>
      <c r="WIM9" s="883"/>
      <c r="WIN9" s="883"/>
      <c r="WIO9" s="883"/>
      <c r="WIP9" s="883"/>
      <c r="WIQ9" s="883"/>
      <c r="WIR9" s="883"/>
      <c r="WIS9" s="883"/>
      <c r="WIT9" s="883"/>
      <c r="WIU9" s="883"/>
      <c r="WIV9" s="883"/>
      <c r="WIW9" s="883"/>
      <c r="WIX9" s="883"/>
      <c r="WIY9" s="883"/>
      <c r="WIZ9" s="883"/>
      <c r="WJA9" s="883"/>
      <c r="WJB9" s="883"/>
      <c r="WJC9" s="883"/>
      <c r="WJD9" s="883"/>
      <c r="WJE9" s="883"/>
      <c r="WJF9" s="883"/>
      <c r="WJG9" s="883"/>
      <c r="WJH9" s="883"/>
      <c r="WJI9" s="883"/>
      <c r="WJJ9" s="883"/>
      <c r="WJK9" s="883"/>
      <c r="WJL9" s="883"/>
      <c r="WJM9" s="883"/>
      <c r="WJN9" s="883"/>
      <c r="WJO9" s="883"/>
      <c r="WJP9" s="883"/>
      <c r="WJQ9" s="883"/>
      <c r="WJR9" s="883"/>
      <c r="WJS9" s="883"/>
      <c r="WJT9" s="883"/>
      <c r="WJU9" s="883"/>
      <c r="WJV9" s="883"/>
      <c r="WJW9" s="883"/>
      <c r="WJX9" s="883"/>
      <c r="WJY9" s="883"/>
      <c r="WJZ9" s="883"/>
      <c r="WKA9" s="883"/>
      <c r="WKB9" s="883"/>
      <c r="WKC9" s="883"/>
      <c r="WKD9" s="883"/>
      <c r="WKE9" s="883"/>
      <c r="WKF9" s="883"/>
      <c r="WKG9" s="883"/>
      <c r="WKH9" s="883"/>
      <c r="WKI9" s="883"/>
      <c r="WKJ9" s="883"/>
      <c r="WKK9" s="883"/>
      <c r="WKL9" s="883"/>
      <c r="WKM9" s="883"/>
      <c r="WKN9" s="883"/>
      <c r="WKO9" s="883"/>
      <c r="WKP9" s="883"/>
      <c r="WKQ9" s="883"/>
      <c r="WKR9" s="883"/>
      <c r="WKS9" s="883"/>
      <c r="WKT9" s="883"/>
      <c r="WKU9" s="883"/>
      <c r="WKV9" s="883"/>
      <c r="WKW9" s="883"/>
      <c r="WKX9" s="883"/>
      <c r="WKY9" s="883"/>
      <c r="WKZ9" s="883"/>
      <c r="WLA9" s="883"/>
      <c r="WLB9" s="883"/>
      <c r="WLC9" s="883"/>
      <c r="WLD9" s="883"/>
      <c r="WLE9" s="883"/>
      <c r="WLF9" s="883"/>
      <c r="WLG9" s="883"/>
      <c r="WLH9" s="883"/>
      <c r="WLI9" s="883"/>
      <c r="WLJ9" s="883"/>
      <c r="WLK9" s="883"/>
      <c r="WLL9" s="883"/>
      <c r="WLM9" s="883"/>
      <c r="WLN9" s="883"/>
      <c r="WLO9" s="883"/>
      <c r="WLP9" s="883"/>
      <c r="WLQ9" s="883"/>
      <c r="WLR9" s="883"/>
      <c r="WLS9" s="883"/>
      <c r="WLT9" s="883"/>
      <c r="WLU9" s="883"/>
      <c r="WLV9" s="883"/>
      <c r="WLW9" s="883"/>
      <c r="WLX9" s="883"/>
      <c r="WLY9" s="883"/>
      <c r="WLZ9" s="883"/>
      <c r="WMA9" s="883"/>
      <c r="WMB9" s="883"/>
      <c r="WMC9" s="883"/>
      <c r="WMD9" s="883"/>
      <c r="WME9" s="883"/>
      <c r="WMF9" s="883"/>
      <c r="WMG9" s="883"/>
      <c r="WMH9" s="883"/>
      <c r="WMI9" s="883"/>
      <c r="WMJ9" s="883"/>
      <c r="WMK9" s="883"/>
      <c r="WML9" s="883"/>
      <c r="WMM9" s="883"/>
      <c r="WMN9" s="883"/>
      <c r="WMO9" s="883"/>
      <c r="WMP9" s="883"/>
      <c r="WMQ9" s="883"/>
      <c r="WMR9" s="883"/>
      <c r="WMS9" s="883"/>
      <c r="WMT9" s="883"/>
      <c r="WMU9" s="883"/>
      <c r="WMV9" s="883"/>
      <c r="WMW9" s="883"/>
      <c r="WMX9" s="883"/>
      <c r="WMY9" s="883"/>
      <c r="WMZ9" s="883"/>
      <c r="WNA9" s="883"/>
      <c r="WNB9" s="883"/>
      <c r="WNC9" s="883"/>
      <c r="WND9" s="883"/>
      <c r="WNE9" s="883"/>
      <c r="WNF9" s="883"/>
      <c r="WNG9" s="883"/>
      <c r="WNH9" s="883"/>
      <c r="WNI9" s="883"/>
      <c r="WNJ9" s="883"/>
      <c r="WNK9" s="883"/>
      <c r="WNL9" s="883"/>
      <c r="WNM9" s="883"/>
      <c r="WNN9" s="883"/>
      <c r="WNO9" s="883"/>
      <c r="WNP9" s="883"/>
      <c r="WNQ9" s="883"/>
      <c r="WNR9" s="883"/>
      <c r="WNS9" s="883"/>
      <c r="WNT9" s="883"/>
      <c r="WNU9" s="883"/>
      <c r="WNV9" s="883"/>
      <c r="WNW9" s="883"/>
      <c r="WNX9" s="883"/>
      <c r="WNY9" s="883"/>
      <c r="WNZ9" s="883"/>
      <c r="WOA9" s="883"/>
      <c r="WOB9" s="883"/>
      <c r="WOC9" s="883"/>
      <c r="WOD9" s="883"/>
      <c r="WOE9" s="883"/>
      <c r="WOF9" s="883"/>
      <c r="WOG9" s="883"/>
      <c r="WOH9" s="883"/>
      <c r="WOI9" s="883"/>
      <c r="WOJ9" s="883"/>
      <c r="WOK9" s="883"/>
      <c r="WOL9" s="883"/>
      <c r="WOM9" s="883"/>
      <c r="WON9" s="883"/>
      <c r="WOO9" s="883"/>
      <c r="WOP9" s="883"/>
      <c r="WOQ9" s="883"/>
      <c r="WOR9" s="883"/>
      <c r="WOS9" s="883"/>
      <c r="WOT9" s="883"/>
      <c r="WOU9" s="883"/>
      <c r="WOV9" s="883"/>
      <c r="WOW9" s="883"/>
      <c r="WOX9" s="883"/>
      <c r="WOY9" s="883"/>
      <c r="WOZ9" s="883"/>
      <c r="WPA9" s="883"/>
      <c r="WPB9" s="883"/>
      <c r="WPC9" s="883"/>
      <c r="WPD9" s="883"/>
      <c r="WPE9" s="883"/>
      <c r="WPF9" s="883"/>
      <c r="WPG9" s="883"/>
      <c r="WPH9" s="883"/>
      <c r="WPI9" s="883"/>
      <c r="WPJ9" s="883"/>
      <c r="WPK9" s="883"/>
      <c r="WPL9" s="883"/>
      <c r="WPM9" s="883"/>
      <c r="WPN9" s="883"/>
      <c r="WPO9" s="883"/>
      <c r="WPP9" s="883"/>
      <c r="WPQ9" s="883"/>
      <c r="WPR9" s="883"/>
      <c r="WPS9" s="883"/>
      <c r="WPT9" s="883"/>
      <c r="WPU9" s="883"/>
      <c r="WPV9" s="883"/>
      <c r="WPW9" s="883"/>
      <c r="WPX9" s="883"/>
      <c r="WPY9" s="883"/>
      <c r="WPZ9" s="883"/>
      <c r="WQA9" s="883"/>
      <c r="WQB9" s="883"/>
      <c r="WQC9" s="883"/>
      <c r="WQD9" s="883"/>
      <c r="WQE9" s="883"/>
      <c r="WQF9" s="883"/>
      <c r="WQG9" s="883"/>
      <c r="WQH9" s="883"/>
      <c r="WQI9" s="883"/>
      <c r="WQJ9" s="883"/>
      <c r="WQK9" s="883"/>
      <c r="WQL9" s="883"/>
      <c r="WQM9" s="883"/>
      <c r="WQN9" s="883"/>
      <c r="WQO9" s="883"/>
      <c r="WQP9" s="883"/>
      <c r="WQQ9" s="883"/>
      <c r="WQR9" s="883"/>
      <c r="WQS9" s="883"/>
      <c r="WQT9" s="883"/>
      <c r="WQU9" s="883"/>
      <c r="WQV9" s="883"/>
      <c r="WQW9" s="883"/>
      <c r="WQX9" s="883"/>
      <c r="WQY9" s="883"/>
      <c r="WQZ9" s="883"/>
      <c r="WRA9" s="883"/>
      <c r="WRB9" s="883"/>
      <c r="WRC9" s="883"/>
      <c r="WRD9" s="883"/>
      <c r="WRE9" s="883"/>
      <c r="WRF9" s="883"/>
      <c r="WRG9" s="883"/>
      <c r="WRH9" s="883"/>
      <c r="WRI9" s="883"/>
      <c r="WRJ9" s="883"/>
      <c r="WRK9" s="883"/>
      <c r="WRL9" s="883"/>
      <c r="WRM9" s="883"/>
      <c r="WRN9" s="883"/>
      <c r="WRO9" s="883"/>
      <c r="WRP9" s="883"/>
      <c r="WRQ9" s="883"/>
      <c r="WRR9" s="883"/>
      <c r="WRS9" s="883"/>
      <c r="WRT9" s="883"/>
      <c r="WRU9" s="883"/>
      <c r="WRV9" s="883"/>
      <c r="WRW9" s="883"/>
      <c r="WRX9" s="883"/>
      <c r="WRY9" s="883"/>
      <c r="WRZ9" s="883"/>
      <c r="WSA9" s="883"/>
      <c r="WSB9" s="883"/>
      <c r="WSC9" s="883"/>
      <c r="WSD9" s="883"/>
      <c r="WSE9" s="883"/>
      <c r="WSF9" s="883"/>
      <c r="WSG9" s="883"/>
      <c r="WSH9" s="883"/>
      <c r="WSI9" s="883"/>
      <c r="WSJ9" s="883"/>
      <c r="WSK9" s="883"/>
      <c r="WSL9" s="883"/>
      <c r="WSM9" s="883"/>
      <c r="WSN9" s="883"/>
      <c r="WSO9" s="883"/>
      <c r="WSP9" s="883"/>
      <c r="WSQ9" s="883"/>
      <c r="WSR9" s="883"/>
      <c r="WSS9" s="883"/>
      <c r="WST9" s="883"/>
      <c r="WSU9" s="883"/>
      <c r="WSV9" s="883"/>
      <c r="WSW9" s="883"/>
      <c r="WSX9" s="883"/>
      <c r="WSY9" s="883"/>
      <c r="WSZ9" s="883"/>
      <c r="WTA9" s="883"/>
      <c r="WTB9" s="883"/>
      <c r="WTC9" s="883"/>
      <c r="WTD9" s="883"/>
      <c r="WTE9" s="883"/>
      <c r="WTF9" s="883"/>
      <c r="WTG9" s="883"/>
      <c r="WTH9" s="883"/>
      <c r="WTI9" s="883"/>
      <c r="WTJ9" s="883"/>
      <c r="WTK9" s="883"/>
      <c r="WTL9" s="883"/>
      <c r="WTM9" s="883"/>
      <c r="WTN9" s="883"/>
      <c r="WTO9" s="883"/>
      <c r="WTP9" s="883"/>
      <c r="WTQ9" s="883"/>
      <c r="WTR9" s="883"/>
      <c r="WTS9" s="883"/>
      <c r="WTT9" s="883"/>
      <c r="WTU9" s="883"/>
      <c r="WTV9" s="883"/>
      <c r="WTW9" s="883"/>
      <c r="WTX9" s="883"/>
      <c r="WTY9" s="883"/>
      <c r="WTZ9" s="883"/>
      <c r="WUA9" s="883"/>
      <c r="WUB9" s="883"/>
      <c r="WUC9" s="883"/>
      <c r="WUD9" s="883"/>
      <c r="WUE9" s="883"/>
      <c r="WUF9" s="883"/>
      <c r="WUG9" s="883"/>
      <c r="WUH9" s="883"/>
      <c r="WUI9" s="883"/>
      <c r="WUJ9" s="883"/>
      <c r="WUK9" s="883"/>
      <c r="WUL9" s="883"/>
      <c r="WUM9" s="883"/>
      <c r="WUN9" s="883"/>
      <c r="WUO9" s="883"/>
      <c r="WUP9" s="883"/>
      <c r="WUQ9" s="883"/>
      <c r="WUR9" s="883"/>
      <c r="WUS9" s="883"/>
      <c r="WUT9" s="883"/>
      <c r="WUU9" s="883"/>
      <c r="WUV9" s="883"/>
      <c r="WUW9" s="883"/>
      <c r="WUX9" s="883"/>
      <c r="WUY9" s="883"/>
      <c r="WUZ9" s="883"/>
      <c r="WVA9" s="883"/>
      <c r="WVB9" s="883"/>
      <c r="WVC9" s="883"/>
      <c r="WVD9" s="883"/>
      <c r="WVE9" s="883"/>
      <c r="WVF9" s="883"/>
      <c r="WVG9" s="883"/>
      <c r="WVH9" s="883"/>
      <c r="WVI9" s="883"/>
      <c r="WVJ9" s="883"/>
      <c r="WVK9" s="883"/>
      <c r="WVL9" s="883"/>
      <c r="WVM9" s="883"/>
      <c r="WVN9" s="883"/>
      <c r="WVO9" s="883"/>
      <c r="WVP9" s="883"/>
      <c r="WVQ9" s="883"/>
      <c r="WVR9" s="883"/>
      <c r="WVS9" s="883"/>
      <c r="WVT9" s="883"/>
      <c r="WVU9" s="883"/>
      <c r="WVV9" s="883"/>
      <c r="WVW9" s="883"/>
      <c r="WVX9" s="883"/>
      <c r="WVY9" s="883"/>
      <c r="WVZ9" s="883"/>
      <c r="WWA9" s="883"/>
      <c r="WWB9" s="883"/>
      <c r="WWC9" s="883"/>
      <c r="WWD9" s="883"/>
      <c r="WWE9" s="883"/>
      <c r="WWF9" s="883"/>
      <c r="WWG9" s="883"/>
      <c r="WWH9" s="883"/>
      <c r="WWI9" s="883"/>
      <c r="WWJ9" s="883"/>
      <c r="WWK9" s="883"/>
      <c r="WWL9" s="883"/>
      <c r="WWM9" s="883"/>
      <c r="WWN9" s="883"/>
      <c r="WWO9" s="883"/>
      <c r="WWP9" s="883"/>
      <c r="WWQ9" s="883"/>
      <c r="WWR9" s="883"/>
      <c r="WWS9" s="883"/>
      <c r="WWT9" s="883"/>
      <c r="WWU9" s="883"/>
      <c r="WWV9" s="883"/>
      <c r="WWW9" s="883"/>
      <c r="WWX9" s="883"/>
      <c r="WWY9" s="883"/>
      <c r="WWZ9" s="883"/>
      <c r="WXA9" s="883"/>
      <c r="WXB9" s="883"/>
      <c r="WXC9" s="883"/>
      <c r="WXD9" s="883"/>
      <c r="WXE9" s="883"/>
      <c r="WXF9" s="883"/>
      <c r="WXG9" s="883"/>
      <c r="WXH9" s="883"/>
      <c r="WXI9" s="883"/>
      <c r="WXJ9" s="883"/>
      <c r="WXK9" s="883"/>
      <c r="WXL9" s="883"/>
      <c r="WXM9" s="883"/>
      <c r="WXN9" s="883"/>
      <c r="WXO9" s="883"/>
      <c r="WXP9" s="883"/>
      <c r="WXQ9" s="883"/>
      <c r="WXR9" s="883"/>
      <c r="WXS9" s="883"/>
      <c r="WXT9" s="883"/>
      <c r="WXU9" s="883"/>
      <c r="WXV9" s="883"/>
      <c r="WXW9" s="883"/>
      <c r="WXX9" s="883"/>
      <c r="WXY9" s="883"/>
      <c r="WXZ9" s="883"/>
      <c r="WYA9" s="883"/>
      <c r="WYB9" s="883"/>
      <c r="WYC9" s="883"/>
      <c r="WYD9" s="883"/>
      <c r="WYE9" s="883"/>
      <c r="WYF9" s="883"/>
      <c r="WYG9" s="883"/>
      <c r="WYH9" s="883"/>
      <c r="WYI9" s="883"/>
      <c r="WYJ9" s="883"/>
      <c r="WYK9" s="883"/>
      <c r="WYL9" s="883"/>
      <c r="WYM9" s="883"/>
      <c r="WYN9" s="883"/>
      <c r="WYO9" s="883"/>
      <c r="WYP9" s="883"/>
      <c r="WYQ9" s="883"/>
      <c r="WYR9" s="883"/>
      <c r="WYS9" s="883"/>
      <c r="WYT9" s="883"/>
      <c r="WYU9" s="883"/>
      <c r="WYV9" s="883"/>
      <c r="WYW9" s="883"/>
      <c r="WYX9" s="883"/>
      <c r="WYY9" s="883"/>
      <c r="WYZ9" s="883"/>
      <c r="WZA9" s="883"/>
      <c r="WZB9" s="883"/>
      <c r="WZC9" s="883"/>
      <c r="WZD9" s="883"/>
      <c r="WZE9" s="883"/>
      <c r="WZF9" s="883"/>
      <c r="WZG9" s="883"/>
      <c r="WZH9" s="883"/>
      <c r="WZI9" s="883"/>
      <c r="WZJ9" s="883"/>
      <c r="WZK9" s="883"/>
      <c r="WZL9" s="883"/>
      <c r="WZM9" s="883"/>
      <c r="WZN9" s="883"/>
      <c r="WZO9" s="883"/>
      <c r="WZP9" s="883"/>
      <c r="WZQ9" s="883"/>
      <c r="WZR9" s="883"/>
      <c r="WZS9" s="883"/>
      <c r="WZT9" s="883"/>
      <c r="WZU9" s="883"/>
      <c r="WZV9" s="883"/>
      <c r="WZW9" s="883"/>
      <c r="WZX9" s="883"/>
      <c r="WZY9" s="883"/>
      <c r="WZZ9" s="883"/>
      <c r="XAA9" s="883"/>
      <c r="XAB9" s="883"/>
      <c r="XAC9" s="883"/>
      <c r="XAD9" s="883"/>
      <c r="XAE9" s="883"/>
      <c r="XAF9" s="883"/>
      <c r="XAG9" s="883"/>
      <c r="XAH9" s="883"/>
      <c r="XAI9" s="883"/>
      <c r="XAJ9" s="883"/>
      <c r="XAK9" s="883"/>
      <c r="XAL9" s="883"/>
      <c r="XAM9" s="883"/>
      <c r="XAN9" s="883"/>
      <c r="XAO9" s="883"/>
      <c r="XAP9" s="883"/>
      <c r="XAQ9" s="883"/>
      <c r="XAR9" s="883"/>
      <c r="XAS9" s="883"/>
      <c r="XAT9" s="883"/>
      <c r="XAU9" s="883"/>
      <c r="XAV9" s="883"/>
      <c r="XAW9" s="883"/>
      <c r="XAX9" s="883"/>
      <c r="XAY9" s="883"/>
      <c r="XAZ9" s="883"/>
      <c r="XBA9" s="883"/>
      <c r="XBB9" s="883"/>
      <c r="XBC9" s="883"/>
      <c r="XBD9" s="883"/>
      <c r="XBE9" s="883"/>
      <c r="XBF9" s="883"/>
      <c r="XBG9" s="883"/>
      <c r="XBH9" s="883"/>
      <c r="XBI9" s="883"/>
      <c r="XBJ9" s="883"/>
      <c r="XBK9" s="883"/>
      <c r="XBL9" s="883"/>
      <c r="XBM9" s="883"/>
      <c r="XBN9" s="883"/>
      <c r="XBO9" s="883"/>
      <c r="XBP9" s="883"/>
      <c r="XBQ9" s="883"/>
      <c r="XBR9" s="883"/>
      <c r="XBS9" s="883"/>
      <c r="XBT9" s="883"/>
      <c r="XBU9" s="883"/>
      <c r="XBV9" s="883"/>
      <c r="XBW9" s="883"/>
      <c r="XBX9" s="883"/>
      <c r="XBY9" s="883"/>
      <c r="XBZ9" s="883"/>
      <c r="XCA9" s="883"/>
      <c r="XCB9" s="883"/>
      <c r="XCC9" s="883"/>
      <c r="XCD9" s="883"/>
      <c r="XCE9" s="883"/>
      <c r="XCF9" s="883"/>
      <c r="XCG9" s="883"/>
      <c r="XCH9" s="883"/>
      <c r="XCI9" s="883"/>
      <c r="XCJ9" s="883"/>
      <c r="XCK9" s="883"/>
      <c r="XCL9" s="883"/>
      <c r="XCM9" s="883"/>
      <c r="XCN9" s="883"/>
      <c r="XCO9" s="883"/>
      <c r="XCP9" s="883"/>
      <c r="XCQ9" s="883"/>
      <c r="XCR9" s="883"/>
      <c r="XCS9" s="883"/>
      <c r="XCT9" s="883"/>
      <c r="XCU9" s="883"/>
      <c r="XCV9" s="883"/>
      <c r="XCW9" s="883"/>
      <c r="XCX9" s="883"/>
      <c r="XCY9" s="883"/>
      <c r="XCZ9" s="883"/>
      <c r="XDA9" s="883"/>
      <c r="XDB9" s="883"/>
      <c r="XDC9" s="883"/>
      <c r="XDD9" s="883"/>
      <c r="XDE9" s="883"/>
      <c r="XDF9" s="883"/>
      <c r="XDG9" s="883"/>
      <c r="XDH9" s="883"/>
      <c r="XDI9" s="883"/>
      <c r="XDJ9" s="883"/>
      <c r="XDK9" s="883"/>
      <c r="XDL9" s="883"/>
      <c r="XDM9" s="883"/>
      <c r="XDN9" s="883"/>
      <c r="XDO9" s="883"/>
      <c r="XDP9" s="883"/>
      <c r="XDQ9" s="883"/>
      <c r="XDR9" s="883"/>
      <c r="XDS9" s="883"/>
      <c r="XDT9" s="883"/>
      <c r="XDU9" s="883"/>
      <c r="XDV9" s="883"/>
      <c r="XDW9" s="883"/>
      <c r="XDX9" s="883"/>
      <c r="XDY9" s="883"/>
      <c r="XDZ9" s="883"/>
      <c r="XEA9" s="883"/>
      <c r="XEB9" s="883"/>
      <c r="XEC9" s="883"/>
      <c r="XED9" s="883"/>
      <c r="XEE9" s="883"/>
      <c r="XEF9" s="883"/>
      <c r="XEG9" s="883"/>
      <c r="XEH9" s="883"/>
      <c r="XEI9" s="883"/>
      <c r="XEJ9" s="883"/>
      <c r="XEK9" s="883"/>
      <c r="XEL9" s="883"/>
      <c r="XEM9" s="883"/>
      <c r="XEN9" s="883"/>
      <c r="XEO9" s="883"/>
      <c r="XEP9" s="883"/>
      <c r="XEQ9" s="883"/>
      <c r="XER9" s="883"/>
      <c r="XES9" s="883"/>
      <c r="XET9" s="883"/>
      <c r="XEU9" s="883"/>
      <c r="XEV9" s="883"/>
    </row>
    <row r="10" spans="1:16376" s="631" customFormat="1" ht="15" hidden="1" customHeight="1" outlineLevel="1">
      <c r="A10" s="632" t="s">
        <v>137</v>
      </c>
      <c r="B10" s="630">
        <f>SUM(C10:AF10)</f>
        <v>535032822.76027274</v>
      </c>
      <c r="C10" s="630">
        <f>SUM(C11:C12)</f>
        <v>5435442.3452727869</v>
      </c>
      <c r="D10" s="630">
        <f t="shared" ref="D10:AF10" si="7">SUM(D11:D12)</f>
        <v>4598302.6050000004</v>
      </c>
      <c r="E10" s="630">
        <f t="shared" si="7"/>
        <v>86426654.355000004</v>
      </c>
      <c r="F10" s="630">
        <f t="shared" si="7"/>
        <v>59879945.379999995</v>
      </c>
      <c r="G10" s="630">
        <f t="shared" si="7"/>
        <v>58675915.640000001</v>
      </c>
      <c r="H10" s="630">
        <f t="shared" si="7"/>
        <v>92713196.175000012</v>
      </c>
      <c r="I10" s="630">
        <f t="shared" si="7"/>
        <v>55074957.505000003</v>
      </c>
      <c r="J10" s="630">
        <f t="shared" si="7"/>
        <v>56291690.625</v>
      </c>
      <c r="K10" s="630">
        <f t="shared" si="7"/>
        <v>78493017.835000008</v>
      </c>
      <c r="L10" s="630">
        <f t="shared" si="7"/>
        <v>3591981.7</v>
      </c>
      <c r="M10" s="630">
        <f t="shared" si="7"/>
        <v>3614878.34</v>
      </c>
      <c r="N10" s="630">
        <f t="shared" si="7"/>
        <v>1456123.5100000002</v>
      </c>
      <c r="O10" s="630">
        <f t="shared" si="7"/>
        <v>1449957.5150000001</v>
      </c>
      <c r="P10" s="630">
        <f t="shared" si="7"/>
        <v>1454744.8900000001</v>
      </c>
      <c r="Q10" s="630">
        <f t="shared" si="7"/>
        <v>1451981.9750000001</v>
      </c>
      <c r="R10" s="630">
        <f t="shared" si="7"/>
        <v>1454062.8250000002</v>
      </c>
      <c r="S10" s="630">
        <f t="shared" si="7"/>
        <v>1450472.9449999998</v>
      </c>
      <c r="T10" s="630">
        <f t="shared" si="7"/>
        <v>1463469.94</v>
      </c>
      <c r="U10" s="630">
        <f t="shared" si="7"/>
        <v>1474209.1</v>
      </c>
      <c r="V10" s="630">
        <f t="shared" si="7"/>
        <v>1494446.9550000001</v>
      </c>
      <c r="W10" s="630">
        <f t="shared" si="7"/>
        <v>1507610.085</v>
      </c>
      <c r="X10" s="630">
        <f t="shared" si="7"/>
        <v>1520311.605</v>
      </c>
      <c r="Y10" s="630">
        <f t="shared" si="7"/>
        <v>1531845.645</v>
      </c>
      <c r="Z10" s="630">
        <f t="shared" si="7"/>
        <v>1548291.7949999999</v>
      </c>
      <c r="AA10" s="630">
        <f t="shared" si="7"/>
        <v>1573900.7650000001</v>
      </c>
      <c r="AB10" s="630">
        <f t="shared" si="7"/>
        <v>1578394.2349999999</v>
      </c>
      <c r="AC10" s="630">
        <f t="shared" si="7"/>
        <v>2936815.1749999998</v>
      </c>
      <c r="AD10" s="630">
        <f t="shared" si="7"/>
        <v>1619466.105</v>
      </c>
      <c r="AE10" s="630">
        <f t="shared" si="7"/>
        <v>1624817.5900000003</v>
      </c>
      <c r="AF10" s="630">
        <f t="shared" si="7"/>
        <v>1645917.6</v>
      </c>
    </row>
    <row r="11" spans="1:16376" s="4" customFormat="1" ht="15" hidden="1" customHeight="1" outlineLevel="1">
      <c r="A11" s="147" t="s">
        <v>1230</v>
      </c>
      <c r="B11" s="11">
        <f t="shared" ref="B11:B12" si="8">SUM(C11:AF11)</f>
        <v>53698114.49027279</v>
      </c>
      <c r="C11" s="11">
        <f>Investimento!D12 - Investimento!D31 - Investimento!D14</f>
        <v>5352642.3452727869</v>
      </c>
      <c r="D11" s="11">
        <f>Investimento!E12 - Investimento!E31 - Investimento!E14</f>
        <v>4515502.6050000004</v>
      </c>
      <c r="E11" s="11">
        <f>Investimento!F12 - Investimento!F31 - Investimento!F14</f>
        <v>11075029.605</v>
      </c>
      <c r="F11" s="11">
        <f>Investimento!G12 - Investimento!G31 - Investimento!G14</f>
        <v>4090761.6050000004</v>
      </c>
      <c r="G11" s="11">
        <f>Investimento!H12 - Investimento!H31 - Investimento!H14</f>
        <v>2619762.915</v>
      </c>
      <c r="H11" s="11">
        <f>Investimento!I12 - Investimento!I31 - Investimento!I14</f>
        <v>4912142.4000000004</v>
      </c>
      <c r="I11" s="11">
        <f>Investimento!J12 - Investimento!J31 - Investimento!J14</f>
        <v>2422395.915</v>
      </c>
      <c r="J11" s="11">
        <f>Investimento!K12 - Investimento!K31 - Investimento!K14</f>
        <v>2450475.915</v>
      </c>
      <c r="K11" s="11">
        <f>Investimento!L12 - Investimento!L31 - Investimento!L14</f>
        <v>2478555.915</v>
      </c>
      <c r="L11" s="11">
        <f>Investimento!M12 - Investimento!M31 - Investimento!M14</f>
        <v>2506635.915</v>
      </c>
      <c r="M11" s="11">
        <f>Investimento!N12 - Investimento!N31 - Investimento!N14</f>
        <v>2533812.7799999998</v>
      </c>
      <c r="N11" s="11">
        <f>Investimento!O12 - Investimento!O31 - Investimento!O14</f>
        <v>369507.78000000014</v>
      </c>
      <c r="O11" s="11">
        <f>Investimento!P12 - Investimento!P31 - Investimento!P14</f>
        <v>369507.78000000014</v>
      </c>
      <c r="P11" s="11">
        <f>Investimento!Q12 - Investimento!Q31 - Investimento!Q14</f>
        <v>368783.28000000014</v>
      </c>
      <c r="Q11" s="11">
        <f>Investimento!R12 - Investimento!R31 - Investimento!R14</f>
        <v>370262.29500000004</v>
      </c>
      <c r="R11" s="11">
        <f>Investimento!S12 - Investimento!S31 - Investimento!S14</f>
        <v>369517.09500000009</v>
      </c>
      <c r="S11" s="11">
        <f>Investimento!T12 - Investimento!T31 - Investimento!T14</f>
        <v>368753.26500000001</v>
      </c>
      <c r="T11" s="11">
        <f>Investimento!U12 - Investimento!U31 - Investimento!U14</f>
        <v>372405.78000000014</v>
      </c>
      <c r="U11" s="11">
        <f>Investimento!V12 - Investimento!V31 - Investimento!V14</f>
        <v>376127.64</v>
      </c>
      <c r="V11" s="11">
        <f>Investimento!W12 - Investimento!W31 - Investimento!W14</f>
        <v>379905.39</v>
      </c>
      <c r="W11" s="11">
        <f>Investimento!X12 - Investimento!X31 - Investimento!X14</f>
        <v>385131.10499999986</v>
      </c>
      <c r="X11" s="11">
        <f>Investimento!Y12 - Investimento!Y31 - Investimento!Y14</f>
        <v>388192.63500000013</v>
      </c>
      <c r="Y11" s="11">
        <f>Investimento!Z12 - Investimento!Z31 - Investimento!Z14</f>
        <v>393448.36500000011</v>
      </c>
      <c r="Z11" s="11">
        <f>Investimento!AA12 - Investimento!AA31 - Investimento!AA14</f>
        <v>398683.3949999999</v>
      </c>
      <c r="AA11" s="11">
        <f>Investimento!AB12 - Investimento!AB31 - Investimento!AB14</f>
        <v>403202.20499999996</v>
      </c>
      <c r="AB11" s="11">
        <f>Investimento!AC12 - Investimento!AC31 - Investimento!AC14</f>
        <v>406967.53500000003</v>
      </c>
      <c r="AC11" s="11">
        <f>Investimento!AD12 - Investimento!AD31 - Investimento!AD14</f>
        <v>1756244.25</v>
      </c>
      <c r="AD11" s="11">
        <f>Investimento!AE12 - Investimento!AE31 - Investimento!AE14</f>
        <v>416743.11</v>
      </c>
      <c r="AE11" s="11">
        <f>Investimento!AF12 - Investimento!AF31 - Investimento!AF14</f>
        <v>420507.40500000014</v>
      </c>
      <c r="AF11" s="11">
        <f>Investimento!AG12 - Investimento!AG31 - Investimento!AG14</f>
        <v>426506.26500000001</v>
      </c>
    </row>
    <row r="12" spans="1:16376" s="4" customFormat="1" ht="15" hidden="1" customHeight="1" outlineLevel="1">
      <c r="A12" s="147" t="s">
        <v>381</v>
      </c>
      <c r="B12" s="11">
        <f t="shared" si="8"/>
        <v>481334708.2700001</v>
      </c>
      <c r="C12" s="305">
        <f>Investimento!D34 - Investimento!D47</f>
        <v>82800</v>
      </c>
      <c r="D12" s="305">
        <f>Investimento!E34 - Investimento!E47</f>
        <v>82800</v>
      </c>
      <c r="E12" s="305">
        <f>Investimento!F34 - Investimento!F47</f>
        <v>75351624.75</v>
      </c>
      <c r="F12" s="305">
        <f>Investimento!G34 - Investimento!G47</f>
        <v>55789183.774999999</v>
      </c>
      <c r="G12" s="305">
        <f>Investimento!H34 - Investimento!H47</f>
        <v>56056152.725000001</v>
      </c>
      <c r="H12" s="305">
        <f>Investimento!I34 - Investimento!I47</f>
        <v>87801053.775000006</v>
      </c>
      <c r="I12" s="305">
        <f>Investimento!J34 - Investimento!J47</f>
        <v>52652561.590000004</v>
      </c>
      <c r="J12" s="305">
        <f>Investimento!K34 - Investimento!K47</f>
        <v>53841214.710000001</v>
      </c>
      <c r="K12" s="305">
        <f>Investimento!L34 - Investimento!L47</f>
        <v>76014461.920000002</v>
      </c>
      <c r="L12" s="305">
        <f>Investimento!M34 - Investimento!M47</f>
        <v>1085345.7849999999</v>
      </c>
      <c r="M12" s="305">
        <f>Investimento!N34 - Investimento!N47</f>
        <v>1081065.56</v>
      </c>
      <c r="N12" s="305">
        <f>Investimento!O34 - Investimento!O47</f>
        <v>1086615.73</v>
      </c>
      <c r="O12" s="305">
        <f>Investimento!P34 - Investimento!P47</f>
        <v>1080449.7350000001</v>
      </c>
      <c r="P12" s="305">
        <f>Investimento!Q34 - Investimento!Q47</f>
        <v>1085961.6100000001</v>
      </c>
      <c r="Q12" s="305">
        <f>Investimento!R34 - Investimento!R47</f>
        <v>1081719.68</v>
      </c>
      <c r="R12" s="305">
        <f>Investimento!S34 - Investimento!S47</f>
        <v>1084545.73</v>
      </c>
      <c r="S12" s="305">
        <f>Investimento!T34 - Investimento!T47</f>
        <v>1081719.68</v>
      </c>
      <c r="T12" s="305">
        <f>Investimento!U34 - Investimento!U47</f>
        <v>1091064.1599999999</v>
      </c>
      <c r="U12" s="305">
        <f>Investimento!V34 - Investimento!V47</f>
        <v>1098081.46</v>
      </c>
      <c r="V12" s="305">
        <f>Investimento!W34 - Investimento!W47</f>
        <v>1114541.5649999999</v>
      </c>
      <c r="W12" s="305">
        <f>Investimento!X34 - Investimento!X47</f>
        <v>1122478.98</v>
      </c>
      <c r="X12" s="305">
        <f>Investimento!Y34 - Investimento!Y47</f>
        <v>1132118.97</v>
      </c>
      <c r="Y12" s="305">
        <f>Investimento!Z34 - Investimento!Z47</f>
        <v>1138397.28</v>
      </c>
      <c r="Z12" s="305">
        <f>Investimento!AA34 - Investimento!AA47</f>
        <v>1149608.3999999999</v>
      </c>
      <c r="AA12" s="305">
        <f>Investimento!AB34 - Investimento!AB47</f>
        <v>1170698.56</v>
      </c>
      <c r="AB12" s="305">
        <f>Investimento!AC34 - Investimento!AC47</f>
        <v>1171426.7</v>
      </c>
      <c r="AC12" s="305">
        <f>Investimento!AD34 - Investimento!AD47</f>
        <v>1180570.925</v>
      </c>
      <c r="AD12" s="305">
        <f>Investimento!AE34 - Investimento!AE47</f>
        <v>1202722.9950000001</v>
      </c>
      <c r="AE12" s="305">
        <f>Investimento!AF34 - Investimento!AF47</f>
        <v>1204310.1850000001</v>
      </c>
      <c r="AF12" s="305">
        <f>Investimento!AG34 - Investimento!AG47</f>
        <v>1219411.335</v>
      </c>
    </row>
    <row r="13" spans="1:16376" ht="15" hidden="1" customHeight="1" outlineLevel="1">
      <c r="A13" s="141"/>
      <c r="B13" s="141"/>
    </row>
    <row r="14" spans="1:16376" ht="15" hidden="1" customHeight="1" outlineLevel="1">
      <c r="A14" s="137" t="s">
        <v>380</v>
      </c>
      <c r="B14" s="140" t="s">
        <v>4</v>
      </c>
      <c r="C14" s="11">
        <f xml:space="preserve"> ( C$9 )</f>
        <v>1</v>
      </c>
      <c r="D14" s="11">
        <f t="shared" ref="D14:AF14" si="9" xml:space="preserve"> ( D$9 )</f>
        <v>2</v>
      </c>
      <c r="E14" s="11">
        <f t="shared" si="9"/>
        <v>3</v>
      </c>
      <c r="F14" s="11">
        <f t="shared" si="9"/>
        <v>4</v>
      </c>
      <c r="G14" s="11">
        <f t="shared" si="9"/>
        <v>5</v>
      </c>
      <c r="H14" s="11">
        <f t="shared" si="9"/>
        <v>6</v>
      </c>
      <c r="I14" s="11">
        <f t="shared" si="9"/>
        <v>7</v>
      </c>
      <c r="J14" s="11">
        <f t="shared" si="9"/>
        <v>8</v>
      </c>
      <c r="K14" s="11">
        <f t="shared" si="9"/>
        <v>9</v>
      </c>
      <c r="L14" s="11">
        <f t="shared" si="9"/>
        <v>10</v>
      </c>
      <c r="M14" s="11">
        <f t="shared" si="9"/>
        <v>11</v>
      </c>
      <c r="N14" s="11">
        <f t="shared" si="9"/>
        <v>12</v>
      </c>
      <c r="O14" s="11">
        <f t="shared" si="9"/>
        <v>13</v>
      </c>
      <c r="P14" s="11">
        <f t="shared" si="9"/>
        <v>14</v>
      </c>
      <c r="Q14" s="11">
        <f t="shared" si="9"/>
        <v>15</v>
      </c>
      <c r="R14" s="11">
        <f t="shared" si="9"/>
        <v>16</v>
      </c>
      <c r="S14" s="11">
        <f t="shared" si="9"/>
        <v>17</v>
      </c>
      <c r="T14" s="11">
        <f t="shared" si="9"/>
        <v>18</v>
      </c>
      <c r="U14" s="11">
        <f t="shared" si="9"/>
        <v>19</v>
      </c>
      <c r="V14" s="11">
        <f t="shared" si="9"/>
        <v>20</v>
      </c>
      <c r="W14" s="11">
        <f t="shared" si="9"/>
        <v>21</v>
      </c>
      <c r="X14" s="11">
        <f t="shared" si="9"/>
        <v>22</v>
      </c>
      <c r="Y14" s="11">
        <f t="shared" si="9"/>
        <v>23</v>
      </c>
      <c r="Z14" s="11">
        <f t="shared" si="9"/>
        <v>24</v>
      </c>
      <c r="AA14" s="11">
        <f t="shared" si="9"/>
        <v>25</v>
      </c>
      <c r="AB14" s="11">
        <f t="shared" si="9"/>
        <v>26</v>
      </c>
      <c r="AC14" s="11">
        <f t="shared" si="9"/>
        <v>27</v>
      </c>
      <c r="AD14" s="11">
        <f t="shared" si="9"/>
        <v>28</v>
      </c>
      <c r="AE14" s="11">
        <f t="shared" si="9"/>
        <v>29</v>
      </c>
      <c r="AF14" s="11">
        <f t="shared" si="9"/>
        <v>30</v>
      </c>
    </row>
    <row r="15" spans="1:16376" ht="15" hidden="1" customHeight="1" outlineLevel="1">
      <c r="A15" s="139">
        <v>30</v>
      </c>
      <c r="B15" s="140">
        <f xml:space="preserve"> SUM( $C15:$AF15 )</f>
        <v>5435442.3452727869</v>
      </c>
      <c r="C15" s="140">
        <f xml:space="preserve"> ( ( $C$10 ) / ( $A15 ) )</f>
        <v>181181.4115090929</v>
      </c>
      <c r="D15" s="140">
        <f t="shared" ref="D15:AF15" si="10" xml:space="preserve"> ( ( $C$10 ) / ( $A15 ) )</f>
        <v>181181.4115090929</v>
      </c>
      <c r="E15" s="140">
        <f t="shared" si="10"/>
        <v>181181.4115090929</v>
      </c>
      <c r="F15" s="140">
        <f t="shared" si="10"/>
        <v>181181.4115090929</v>
      </c>
      <c r="G15" s="140">
        <f t="shared" si="10"/>
        <v>181181.4115090929</v>
      </c>
      <c r="H15" s="140">
        <f t="shared" si="10"/>
        <v>181181.4115090929</v>
      </c>
      <c r="I15" s="140">
        <f t="shared" si="10"/>
        <v>181181.4115090929</v>
      </c>
      <c r="J15" s="140">
        <f t="shared" si="10"/>
        <v>181181.4115090929</v>
      </c>
      <c r="K15" s="140">
        <f t="shared" si="10"/>
        <v>181181.4115090929</v>
      </c>
      <c r="L15" s="140">
        <f t="shared" si="10"/>
        <v>181181.4115090929</v>
      </c>
      <c r="M15" s="140">
        <f t="shared" si="10"/>
        <v>181181.4115090929</v>
      </c>
      <c r="N15" s="140">
        <f t="shared" si="10"/>
        <v>181181.4115090929</v>
      </c>
      <c r="O15" s="140">
        <f t="shared" si="10"/>
        <v>181181.4115090929</v>
      </c>
      <c r="P15" s="140">
        <f t="shared" si="10"/>
        <v>181181.4115090929</v>
      </c>
      <c r="Q15" s="140">
        <f t="shared" si="10"/>
        <v>181181.4115090929</v>
      </c>
      <c r="R15" s="140">
        <f t="shared" si="10"/>
        <v>181181.4115090929</v>
      </c>
      <c r="S15" s="140">
        <f t="shared" si="10"/>
        <v>181181.4115090929</v>
      </c>
      <c r="T15" s="140">
        <f t="shared" si="10"/>
        <v>181181.4115090929</v>
      </c>
      <c r="U15" s="140">
        <f t="shared" si="10"/>
        <v>181181.4115090929</v>
      </c>
      <c r="V15" s="140">
        <f t="shared" si="10"/>
        <v>181181.4115090929</v>
      </c>
      <c r="W15" s="140">
        <f t="shared" si="10"/>
        <v>181181.4115090929</v>
      </c>
      <c r="X15" s="140">
        <f t="shared" si="10"/>
        <v>181181.4115090929</v>
      </c>
      <c r="Y15" s="140">
        <f t="shared" si="10"/>
        <v>181181.4115090929</v>
      </c>
      <c r="Z15" s="140">
        <f t="shared" si="10"/>
        <v>181181.4115090929</v>
      </c>
      <c r="AA15" s="140">
        <f t="shared" si="10"/>
        <v>181181.4115090929</v>
      </c>
      <c r="AB15" s="140">
        <f t="shared" si="10"/>
        <v>181181.4115090929</v>
      </c>
      <c r="AC15" s="140">
        <f t="shared" si="10"/>
        <v>181181.4115090929</v>
      </c>
      <c r="AD15" s="140">
        <f t="shared" si="10"/>
        <v>181181.4115090929</v>
      </c>
      <c r="AE15" s="140">
        <f t="shared" si="10"/>
        <v>181181.4115090929</v>
      </c>
      <c r="AF15" s="140">
        <f t="shared" si="10"/>
        <v>181181.4115090929</v>
      </c>
    </row>
    <row r="16" spans="1:16376" ht="15" hidden="1" customHeight="1" outlineLevel="1">
      <c r="A16" s="139">
        <v>29</v>
      </c>
      <c r="B16" s="140">
        <f t="shared" ref="B16:B44" si="11" xml:space="preserve"> SUM( $C16:$AF16 )</f>
        <v>4598302.6050000004</v>
      </c>
      <c r="C16" s="140"/>
      <c r="D16" s="140">
        <f xml:space="preserve"> ( ( $D$10 ) / ( $A16 ) )</f>
        <v>158562.15879310347</v>
      </c>
      <c r="E16" s="140">
        <f t="shared" ref="E16:AF16" si="12" xml:space="preserve"> ( ( $D$10 ) / ( $A16 ) )</f>
        <v>158562.15879310347</v>
      </c>
      <c r="F16" s="140">
        <f t="shared" si="12"/>
        <v>158562.15879310347</v>
      </c>
      <c r="G16" s="140">
        <f t="shared" si="12"/>
        <v>158562.15879310347</v>
      </c>
      <c r="H16" s="140">
        <f t="shared" si="12"/>
        <v>158562.15879310347</v>
      </c>
      <c r="I16" s="140">
        <f t="shared" si="12"/>
        <v>158562.15879310347</v>
      </c>
      <c r="J16" s="140">
        <f t="shared" si="12"/>
        <v>158562.15879310347</v>
      </c>
      <c r="K16" s="140">
        <f t="shared" si="12"/>
        <v>158562.15879310347</v>
      </c>
      <c r="L16" s="140">
        <f t="shared" si="12"/>
        <v>158562.15879310347</v>
      </c>
      <c r="M16" s="140">
        <f t="shared" si="12"/>
        <v>158562.15879310347</v>
      </c>
      <c r="N16" s="140">
        <f t="shared" si="12"/>
        <v>158562.15879310347</v>
      </c>
      <c r="O16" s="140">
        <f t="shared" si="12"/>
        <v>158562.15879310347</v>
      </c>
      <c r="P16" s="140">
        <f t="shared" si="12"/>
        <v>158562.15879310347</v>
      </c>
      <c r="Q16" s="140">
        <f t="shared" si="12"/>
        <v>158562.15879310347</v>
      </c>
      <c r="R16" s="140">
        <f t="shared" si="12"/>
        <v>158562.15879310347</v>
      </c>
      <c r="S16" s="140">
        <f t="shared" si="12"/>
        <v>158562.15879310347</v>
      </c>
      <c r="T16" s="140">
        <f t="shared" si="12"/>
        <v>158562.15879310347</v>
      </c>
      <c r="U16" s="140">
        <f t="shared" si="12"/>
        <v>158562.15879310347</v>
      </c>
      <c r="V16" s="140">
        <f t="shared" si="12"/>
        <v>158562.15879310347</v>
      </c>
      <c r="W16" s="140">
        <f t="shared" si="12"/>
        <v>158562.15879310347</v>
      </c>
      <c r="X16" s="140">
        <f t="shared" si="12"/>
        <v>158562.15879310347</v>
      </c>
      <c r="Y16" s="140">
        <f t="shared" si="12"/>
        <v>158562.15879310347</v>
      </c>
      <c r="Z16" s="140">
        <f t="shared" si="12"/>
        <v>158562.15879310347</v>
      </c>
      <c r="AA16" s="140">
        <f t="shared" si="12"/>
        <v>158562.15879310347</v>
      </c>
      <c r="AB16" s="140">
        <f t="shared" si="12"/>
        <v>158562.15879310347</v>
      </c>
      <c r="AC16" s="140">
        <f t="shared" si="12"/>
        <v>158562.15879310347</v>
      </c>
      <c r="AD16" s="140">
        <f t="shared" si="12"/>
        <v>158562.15879310347</v>
      </c>
      <c r="AE16" s="140">
        <f t="shared" si="12"/>
        <v>158562.15879310347</v>
      </c>
      <c r="AF16" s="140">
        <f t="shared" si="12"/>
        <v>158562.15879310347</v>
      </c>
    </row>
    <row r="17" spans="1:32" ht="15" hidden="1" customHeight="1" outlineLevel="1">
      <c r="A17" s="139">
        <f xml:space="preserve"> ( ( $A16 ) - ( 1 ) )</f>
        <v>28</v>
      </c>
      <c r="B17" s="140">
        <f t="shared" si="11"/>
        <v>86426654.354999989</v>
      </c>
      <c r="C17" s="140"/>
      <c r="D17" s="140"/>
      <c r="E17" s="140">
        <f xml:space="preserve"> ( ( $E$10 ) / ( $A17 ) )</f>
        <v>3086666.2269642861</v>
      </c>
      <c r="F17" s="140">
        <f t="shared" ref="F17:AF17" si="13" xml:space="preserve"> ( ( $E$10 ) / ( $A17 ) )</f>
        <v>3086666.2269642861</v>
      </c>
      <c r="G17" s="140">
        <f t="shared" si="13"/>
        <v>3086666.2269642861</v>
      </c>
      <c r="H17" s="140">
        <f t="shared" si="13"/>
        <v>3086666.2269642861</v>
      </c>
      <c r="I17" s="140">
        <f t="shared" si="13"/>
        <v>3086666.2269642861</v>
      </c>
      <c r="J17" s="140">
        <f t="shared" si="13"/>
        <v>3086666.2269642861</v>
      </c>
      <c r="K17" s="140">
        <f t="shared" si="13"/>
        <v>3086666.2269642861</v>
      </c>
      <c r="L17" s="140">
        <f t="shared" si="13"/>
        <v>3086666.2269642861</v>
      </c>
      <c r="M17" s="140">
        <f t="shared" si="13"/>
        <v>3086666.2269642861</v>
      </c>
      <c r="N17" s="140">
        <f t="shared" si="13"/>
        <v>3086666.2269642861</v>
      </c>
      <c r="O17" s="140">
        <f t="shared" si="13"/>
        <v>3086666.2269642861</v>
      </c>
      <c r="P17" s="140">
        <f t="shared" si="13"/>
        <v>3086666.2269642861</v>
      </c>
      <c r="Q17" s="140">
        <f t="shared" si="13"/>
        <v>3086666.2269642861</v>
      </c>
      <c r="R17" s="140">
        <f t="shared" si="13"/>
        <v>3086666.2269642861</v>
      </c>
      <c r="S17" s="140">
        <f t="shared" si="13"/>
        <v>3086666.2269642861</v>
      </c>
      <c r="T17" s="140">
        <f t="shared" si="13"/>
        <v>3086666.2269642861</v>
      </c>
      <c r="U17" s="140">
        <f t="shared" si="13"/>
        <v>3086666.2269642861</v>
      </c>
      <c r="V17" s="140">
        <f t="shared" si="13"/>
        <v>3086666.2269642861</v>
      </c>
      <c r="W17" s="140">
        <f t="shared" si="13"/>
        <v>3086666.2269642861</v>
      </c>
      <c r="X17" s="140">
        <f t="shared" si="13"/>
        <v>3086666.2269642861</v>
      </c>
      <c r="Y17" s="140">
        <f t="shared" si="13"/>
        <v>3086666.2269642861</v>
      </c>
      <c r="Z17" s="140">
        <f t="shared" si="13"/>
        <v>3086666.2269642861</v>
      </c>
      <c r="AA17" s="140">
        <f t="shared" si="13"/>
        <v>3086666.2269642861</v>
      </c>
      <c r="AB17" s="140">
        <f t="shared" si="13"/>
        <v>3086666.2269642861</v>
      </c>
      <c r="AC17" s="140">
        <f t="shared" si="13"/>
        <v>3086666.2269642861</v>
      </c>
      <c r="AD17" s="140">
        <f t="shared" si="13"/>
        <v>3086666.2269642861</v>
      </c>
      <c r="AE17" s="140">
        <f t="shared" si="13"/>
        <v>3086666.2269642861</v>
      </c>
      <c r="AF17" s="140">
        <f t="shared" si="13"/>
        <v>3086666.2269642861</v>
      </c>
    </row>
    <row r="18" spans="1:32" ht="15" hidden="1" customHeight="1" outlineLevel="1">
      <c r="A18" s="139">
        <f t="shared" ref="A18:A44" si="14" xml:space="preserve"> ( ( $A17 ) - ( 1 ) )</f>
        <v>27</v>
      </c>
      <c r="B18" s="140">
        <f t="shared" si="11"/>
        <v>59879945.38000004</v>
      </c>
      <c r="C18" s="140"/>
      <c r="D18" s="140"/>
      <c r="E18" s="140"/>
      <c r="F18" s="140">
        <f xml:space="preserve"> ( ( $F$10 ) / ( $A18 ) )</f>
        <v>2217775.7548148148</v>
      </c>
      <c r="G18" s="140">
        <f t="shared" ref="G18:AF18" si="15" xml:space="preserve"> ( ( $F$10 ) / ( $A18 ) )</f>
        <v>2217775.7548148148</v>
      </c>
      <c r="H18" s="140">
        <f t="shared" si="15"/>
        <v>2217775.7548148148</v>
      </c>
      <c r="I18" s="140">
        <f t="shared" si="15"/>
        <v>2217775.7548148148</v>
      </c>
      <c r="J18" s="140">
        <f t="shared" si="15"/>
        <v>2217775.7548148148</v>
      </c>
      <c r="K18" s="140">
        <f t="shared" si="15"/>
        <v>2217775.7548148148</v>
      </c>
      <c r="L18" s="140">
        <f t="shared" si="15"/>
        <v>2217775.7548148148</v>
      </c>
      <c r="M18" s="140">
        <f t="shared" si="15"/>
        <v>2217775.7548148148</v>
      </c>
      <c r="N18" s="140">
        <f t="shared" si="15"/>
        <v>2217775.7548148148</v>
      </c>
      <c r="O18" s="140">
        <f t="shared" si="15"/>
        <v>2217775.7548148148</v>
      </c>
      <c r="P18" s="140">
        <f t="shared" si="15"/>
        <v>2217775.7548148148</v>
      </c>
      <c r="Q18" s="140">
        <f t="shared" si="15"/>
        <v>2217775.7548148148</v>
      </c>
      <c r="R18" s="140">
        <f t="shared" si="15"/>
        <v>2217775.7548148148</v>
      </c>
      <c r="S18" s="140">
        <f t="shared" si="15"/>
        <v>2217775.7548148148</v>
      </c>
      <c r="T18" s="140">
        <f t="shared" si="15"/>
        <v>2217775.7548148148</v>
      </c>
      <c r="U18" s="140">
        <f t="shared" si="15"/>
        <v>2217775.7548148148</v>
      </c>
      <c r="V18" s="140">
        <f t="shared" si="15"/>
        <v>2217775.7548148148</v>
      </c>
      <c r="W18" s="140">
        <f t="shared" si="15"/>
        <v>2217775.7548148148</v>
      </c>
      <c r="X18" s="140">
        <f t="shared" si="15"/>
        <v>2217775.7548148148</v>
      </c>
      <c r="Y18" s="140">
        <f t="shared" si="15"/>
        <v>2217775.7548148148</v>
      </c>
      <c r="Z18" s="140">
        <f t="shared" si="15"/>
        <v>2217775.7548148148</v>
      </c>
      <c r="AA18" s="140">
        <f t="shared" si="15"/>
        <v>2217775.7548148148</v>
      </c>
      <c r="AB18" s="140">
        <f t="shared" si="15"/>
        <v>2217775.7548148148</v>
      </c>
      <c r="AC18" s="140">
        <f t="shared" si="15"/>
        <v>2217775.7548148148</v>
      </c>
      <c r="AD18" s="140">
        <f t="shared" si="15"/>
        <v>2217775.7548148148</v>
      </c>
      <c r="AE18" s="140">
        <f t="shared" si="15"/>
        <v>2217775.7548148148</v>
      </c>
      <c r="AF18" s="140">
        <f t="shared" si="15"/>
        <v>2217775.7548148148</v>
      </c>
    </row>
    <row r="19" spans="1:32" ht="15" hidden="1" customHeight="1" outlineLevel="1">
      <c r="A19" s="139">
        <f t="shared" si="14"/>
        <v>26</v>
      </c>
      <c r="B19" s="140">
        <f t="shared" si="11"/>
        <v>58675915.640000015</v>
      </c>
      <c r="C19" s="140"/>
      <c r="D19" s="140"/>
      <c r="E19" s="140"/>
      <c r="F19" s="140"/>
      <c r="G19" s="140">
        <f xml:space="preserve"> ( ( $G$10 ) / ( $A19 ) )</f>
        <v>2256765.9861538461</v>
      </c>
      <c r="H19" s="140">
        <f t="shared" ref="H19:AF19" si="16" xml:space="preserve"> ( ( $G$10 ) / ( $A19 ) )</f>
        <v>2256765.9861538461</v>
      </c>
      <c r="I19" s="140">
        <f t="shared" si="16"/>
        <v>2256765.9861538461</v>
      </c>
      <c r="J19" s="140">
        <f t="shared" si="16"/>
        <v>2256765.9861538461</v>
      </c>
      <c r="K19" s="140">
        <f t="shared" si="16"/>
        <v>2256765.9861538461</v>
      </c>
      <c r="L19" s="140">
        <f t="shared" si="16"/>
        <v>2256765.9861538461</v>
      </c>
      <c r="M19" s="140">
        <f t="shared" si="16"/>
        <v>2256765.9861538461</v>
      </c>
      <c r="N19" s="140">
        <f t="shared" si="16"/>
        <v>2256765.9861538461</v>
      </c>
      <c r="O19" s="140">
        <f t="shared" si="16"/>
        <v>2256765.9861538461</v>
      </c>
      <c r="P19" s="140">
        <f t="shared" si="16"/>
        <v>2256765.9861538461</v>
      </c>
      <c r="Q19" s="140">
        <f t="shared" si="16"/>
        <v>2256765.9861538461</v>
      </c>
      <c r="R19" s="140">
        <f t="shared" si="16"/>
        <v>2256765.9861538461</v>
      </c>
      <c r="S19" s="140">
        <f t="shared" si="16"/>
        <v>2256765.9861538461</v>
      </c>
      <c r="T19" s="140">
        <f t="shared" si="16"/>
        <v>2256765.9861538461</v>
      </c>
      <c r="U19" s="140">
        <f t="shared" si="16"/>
        <v>2256765.9861538461</v>
      </c>
      <c r="V19" s="140">
        <f t="shared" si="16"/>
        <v>2256765.9861538461</v>
      </c>
      <c r="W19" s="140">
        <f t="shared" si="16"/>
        <v>2256765.9861538461</v>
      </c>
      <c r="X19" s="140">
        <f t="shared" si="16"/>
        <v>2256765.9861538461</v>
      </c>
      <c r="Y19" s="140">
        <f t="shared" si="16"/>
        <v>2256765.9861538461</v>
      </c>
      <c r="Z19" s="140">
        <f t="shared" si="16"/>
        <v>2256765.9861538461</v>
      </c>
      <c r="AA19" s="140">
        <f t="shared" si="16"/>
        <v>2256765.9861538461</v>
      </c>
      <c r="AB19" s="140">
        <f t="shared" si="16"/>
        <v>2256765.9861538461</v>
      </c>
      <c r="AC19" s="140">
        <f t="shared" si="16"/>
        <v>2256765.9861538461</v>
      </c>
      <c r="AD19" s="140">
        <f t="shared" si="16"/>
        <v>2256765.9861538461</v>
      </c>
      <c r="AE19" s="140">
        <f t="shared" si="16"/>
        <v>2256765.9861538461</v>
      </c>
      <c r="AF19" s="140">
        <f t="shared" si="16"/>
        <v>2256765.9861538461</v>
      </c>
    </row>
    <row r="20" spans="1:32" ht="15" hidden="1" customHeight="1" outlineLevel="1">
      <c r="A20" s="139">
        <f t="shared" si="14"/>
        <v>25</v>
      </c>
      <c r="B20" s="140">
        <f t="shared" si="11"/>
        <v>92713196.175000042</v>
      </c>
      <c r="C20" s="140"/>
      <c r="D20" s="140"/>
      <c r="E20" s="140"/>
      <c r="F20" s="140"/>
      <c r="G20" s="140"/>
      <c r="H20" s="140">
        <f xml:space="preserve"> ( ( $H$10 ) / ( $A20 ) )</f>
        <v>3708527.8470000005</v>
      </c>
      <c r="I20" s="140">
        <f t="shared" ref="I20:AF20" si="17" xml:space="preserve"> ( ( $H$10 ) / ( $A20 ) )</f>
        <v>3708527.8470000005</v>
      </c>
      <c r="J20" s="140">
        <f t="shared" si="17"/>
        <v>3708527.8470000005</v>
      </c>
      <c r="K20" s="140">
        <f t="shared" si="17"/>
        <v>3708527.8470000005</v>
      </c>
      <c r="L20" s="140">
        <f t="shared" si="17"/>
        <v>3708527.8470000005</v>
      </c>
      <c r="M20" s="140">
        <f t="shared" si="17"/>
        <v>3708527.8470000005</v>
      </c>
      <c r="N20" s="140">
        <f t="shared" si="17"/>
        <v>3708527.8470000005</v>
      </c>
      <c r="O20" s="140">
        <f t="shared" si="17"/>
        <v>3708527.8470000005</v>
      </c>
      <c r="P20" s="140">
        <f t="shared" si="17"/>
        <v>3708527.8470000005</v>
      </c>
      <c r="Q20" s="140">
        <f t="shared" si="17"/>
        <v>3708527.8470000005</v>
      </c>
      <c r="R20" s="140">
        <f t="shared" si="17"/>
        <v>3708527.8470000005</v>
      </c>
      <c r="S20" s="140">
        <f t="shared" si="17"/>
        <v>3708527.8470000005</v>
      </c>
      <c r="T20" s="140">
        <f t="shared" si="17"/>
        <v>3708527.8470000005</v>
      </c>
      <c r="U20" s="140">
        <f t="shared" si="17"/>
        <v>3708527.8470000005</v>
      </c>
      <c r="V20" s="140">
        <f t="shared" si="17"/>
        <v>3708527.8470000005</v>
      </c>
      <c r="W20" s="140">
        <f t="shared" si="17"/>
        <v>3708527.8470000005</v>
      </c>
      <c r="X20" s="140">
        <f t="shared" si="17"/>
        <v>3708527.8470000005</v>
      </c>
      <c r="Y20" s="140">
        <f t="shared" si="17"/>
        <v>3708527.8470000005</v>
      </c>
      <c r="Z20" s="140">
        <f t="shared" si="17"/>
        <v>3708527.8470000005</v>
      </c>
      <c r="AA20" s="140">
        <f t="shared" si="17"/>
        <v>3708527.8470000005</v>
      </c>
      <c r="AB20" s="140">
        <f t="shared" si="17"/>
        <v>3708527.8470000005</v>
      </c>
      <c r="AC20" s="140">
        <f t="shared" si="17"/>
        <v>3708527.8470000005</v>
      </c>
      <c r="AD20" s="140">
        <f t="shared" si="17"/>
        <v>3708527.8470000005</v>
      </c>
      <c r="AE20" s="140">
        <f t="shared" si="17"/>
        <v>3708527.8470000005</v>
      </c>
      <c r="AF20" s="140">
        <f t="shared" si="17"/>
        <v>3708527.8470000005</v>
      </c>
    </row>
    <row r="21" spans="1:32" ht="15" hidden="1" customHeight="1" outlineLevel="1">
      <c r="A21" s="139">
        <f t="shared" si="14"/>
        <v>24</v>
      </c>
      <c r="B21" s="140">
        <f t="shared" si="11"/>
        <v>55074957.50500001</v>
      </c>
      <c r="C21" s="140"/>
      <c r="D21" s="140"/>
      <c r="E21" s="140"/>
      <c r="F21" s="140"/>
      <c r="G21" s="140"/>
      <c r="H21" s="140"/>
      <c r="I21" s="140">
        <f xml:space="preserve"> ( ( $I$10 ) / ( $A21 ) )</f>
        <v>2294789.8960416666</v>
      </c>
      <c r="J21" s="140">
        <f t="shared" ref="J21:AF21" si="18" xml:space="preserve"> ( ( $I$10 ) / ( $A21 ) )</f>
        <v>2294789.8960416666</v>
      </c>
      <c r="K21" s="140">
        <f t="shared" si="18"/>
        <v>2294789.8960416666</v>
      </c>
      <c r="L21" s="140">
        <f t="shared" si="18"/>
        <v>2294789.8960416666</v>
      </c>
      <c r="M21" s="140">
        <f t="shared" si="18"/>
        <v>2294789.8960416666</v>
      </c>
      <c r="N21" s="140">
        <f t="shared" si="18"/>
        <v>2294789.8960416666</v>
      </c>
      <c r="O21" s="140">
        <f t="shared" si="18"/>
        <v>2294789.8960416666</v>
      </c>
      <c r="P21" s="140">
        <f t="shared" si="18"/>
        <v>2294789.8960416666</v>
      </c>
      <c r="Q21" s="140">
        <f t="shared" si="18"/>
        <v>2294789.8960416666</v>
      </c>
      <c r="R21" s="140">
        <f t="shared" si="18"/>
        <v>2294789.8960416666</v>
      </c>
      <c r="S21" s="140">
        <f t="shared" si="18"/>
        <v>2294789.8960416666</v>
      </c>
      <c r="T21" s="140">
        <f t="shared" si="18"/>
        <v>2294789.8960416666</v>
      </c>
      <c r="U21" s="140">
        <f t="shared" si="18"/>
        <v>2294789.8960416666</v>
      </c>
      <c r="V21" s="140">
        <f t="shared" si="18"/>
        <v>2294789.8960416666</v>
      </c>
      <c r="W21" s="140">
        <f t="shared" si="18"/>
        <v>2294789.8960416666</v>
      </c>
      <c r="X21" s="140">
        <f t="shared" si="18"/>
        <v>2294789.8960416666</v>
      </c>
      <c r="Y21" s="140">
        <f t="shared" si="18"/>
        <v>2294789.8960416666</v>
      </c>
      <c r="Z21" s="140">
        <f t="shared" si="18"/>
        <v>2294789.8960416666</v>
      </c>
      <c r="AA21" s="140">
        <f t="shared" si="18"/>
        <v>2294789.8960416666</v>
      </c>
      <c r="AB21" s="140">
        <f t="shared" si="18"/>
        <v>2294789.8960416666</v>
      </c>
      <c r="AC21" s="140">
        <f t="shared" si="18"/>
        <v>2294789.8960416666</v>
      </c>
      <c r="AD21" s="140">
        <f t="shared" si="18"/>
        <v>2294789.8960416666</v>
      </c>
      <c r="AE21" s="140">
        <f t="shared" si="18"/>
        <v>2294789.8960416666</v>
      </c>
      <c r="AF21" s="140">
        <f t="shared" si="18"/>
        <v>2294789.8960416666</v>
      </c>
    </row>
    <row r="22" spans="1:32" ht="15" hidden="1" customHeight="1" outlineLevel="1">
      <c r="A22" s="139">
        <f t="shared" si="14"/>
        <v>23</v>
      </c>
      <c r="B22" s="140">
        <f t="shared" si="11"/>
        <v>56291690.625000007</v>
      </c>
      <c r="C22" s="140"/>
      <c r="D22" s="140"/>
      <c r="E22" s="140"/>
      <c r="F22" s="140"/>
      <c r="G22" s="140"/>
      <c r="H22" s="140"/>
      <c r="I22" s="140"/>
      <c r="J22" s="140">
        <f xml:space="preserve"> ( ( $J$10 ) / ( $A22 ) )</f>
        <v>2447464.8097826089</v>
      </c>
      <c r="K22" s="140">
        <f t="shared" ref="K22:AF22" si="19" xml:space="preserve"> ( ( $J$10 ) / ( $A22 ) )</f>
        <v>2447464.8097826089</v>
      </c>
      <c r="L22" s="140">
        <f t="shared" si="19"/>
        <v>2447464.8097826089</v>
      </c>
      <c r="M22" s="140">
        <f t="shared" si="19"/>
        <v>2447464.8097826089</v>
      </c>
      <c r="N22" s="140">
        <f t="shared" si="19"/>
        <v>2447464.8097826089</v>
      </c>
      <c r="O22" s="140">
        <f t="shared" si="19"/>
        <v>2447464.8097826089</v>
      </c>
      <c r="P22" s="140">
        <f t="shared" si="19"/>
        <v>2447464.8097826089</v>
      </c>
      <c r="Q22" s="140">
        <f t="shared" si="19"/>
        <v>2447464.8097826089</v>
      </c>
      <c r="R22" s="140">
        <f t="shared" si="19"/>
        <v>2447464.8097826089</v>
      </c>
      <c r="S22" s="140">
        <f t="shared" si="19"/>
        <v>2447464.8097826089</v>
      </c>
      <c r="T22" s="140">
        <f t="shared" si="19"/>
        <v>2447464.8097826089</v>
      </c>
      <c r="U22" s="140">
        <f t="shared" si="19"/>
        <v>2447464.8097826089</v>
      </c>
      <c r="V22" s="140">
        <f t="shared" si="19"/>
        <v>2447464.8097826089</v>
      </c>
      <c r="W22" s="140">
        <f t="shared" si="19"/>
        <v>2447464.8097826089</v>
      </c>
      <c r="X22" s="140">
        <f t="shared" si="19"/>
        <v>2447464.8097826089</v>
      </c>
      <c r="Y22" s="140">
        <f t="shared" si="19"/>
        <v>2447464.8097826089</v>
      </c>
      <c r="Z22" s="140">
        <f t="shared" si="19"/>
        <v>2447464.8097826089</v>
      </c>
      <c r="AA22" s="140">
        <f t="shared" si="19"/>
        <v>2447464.8097826089</v>
      </c>
      <c r="AB22" s="140">
        <f t="shared" si="19"/>
        <v>2447464.8097826089</v>
      </c>
      <c r="AC22" s="140">
        <f t="shared" si="19"/>
        <v>2447464.8097826089</v>
      </c>
      <c r="AD22" s="140">
        <f t="shared" si="19"/>
        <v>2447464.8097826089</v>
      </c>
      <c r="AE22" s="140">
        <f t="shared" si="19"/>
        <v>2447464.8097826089</v>
      </c>
      <c r="AF22" s="140">
        <f t="shared" si="19"/>
        <v>2447464.8097826089</v>
      </c>
    </row>
    <row r="23" spans="1:32" ht="15" hidden="1" customHeight="1" outlineLevel="1">
      <c r="A23" s="139">
        <f t="shared" si="14"/>
        <v>22</v>
      </c>
      <c r="B23" s="140">
        <f t="shared" si="11"/>
        <v>78493017.834999993</v>
      </c>
      <c r="C23" s="140"/>
      <c r="D23" s="140"/>
      <c r="E23" s="140"/>
      <c r="F23" s="140"/>
      <c r="G23" s="140"/>
      <c r="H23" s="140"/>
      <c r="I23" s="140"/>
      <c r="J23" s="140"/>
      <c r="K23" s="140">
        <f xml:space="preserve"> ( ( $K$10 ) / ( $A23 ) )</f>
        <v>3567864.4470454548</v>
      </c>
      <c r="L23" s="140">
        <f t="shared" ref="L23:AF23" si="20" xml:space="preserve"> ( ( $K$10 ) / ( $A23 ) )</f>
        <v>3567864.4470454548</v>
      </c>
      <c r="M23" s="140">
        <f t="shared" si="20"/>
        <v>3567864.4470454548</v>
      </c>
      <c r="N23" s="140">
        <f t="shared" si="20"/>
        <v>3567864.4470454548</v>
      </c>
      <c r="O23" s="140">
        <f t="shared" si="20"/>
        <v>3567864.4470454548</v>
      </c>
      <c r="P23" s="140">
        <f t="shared" si="20"/>
        <v>3567864.4470454548</v>
      </c>
      <c r="Q23" s="140">
        <f t="shared" si="20"/>
        <v>3567864.4470454548</v>
      </c>
      <c r="R23" s="140">
        <f t="shared" si="20"/>
        <v>3567864.4470454548</v>
      </c>
      <c r="S23" s="140">
        <f t="shared" si="20"/>
        <v>3567864.4470454548</v>
      </c>
      <c r="T23" s="140">
        <f t="shared" si="20"/>
        <v>3567864.4470454548</v>
      </c>
      <c r="U23" s="140">
        <f t="shared" si="20"/>
        <v>3567864.4470454548</v>
      </c>
      <c r="V23" s="140">
        <f t="shared" si="20"/>
        <v>3567864.4470454548</v>
      </c>
      <c r="W23" s="140">
        <f t="shared" si="20"/>
        <v>3567864.4470454548</v>
      </c>
      <c r="X23" s="140">
        <f t="shared" si="20"/>
        <v>3567864.4470454548</v>
      </c>
      <c r="Y23" s="140">
        <f t="shared" si="20"/>
        <v>3567864.4470454548</v>
      </c>
      <c r="Z23" s="140">
        <f t="shared" si="20"/>
        <v>3567864.4470454548</v>
      </c>
      <c r="AA23" s="140">
        <f t="shared" si="20"/>
        <v>3567864.4470454548</v>
      </c>
      <c r="AB23" s="140">
        <f t="shared" si="20"/>
        <v>3567864.4470454548</v>
      </c>
      <c r="AC23" s="140">
        <f t="shared" si="20"/>
        <v>3567864.4470454548</v>
      </c>
      <c r="AD23" s="140">
        <f t="shared" si="20"/>
        <v>3567864.4470454548</v>
      </c>
      <c r="AE23" s="140">
        <f t="shared" si="20"/>
        <v>3567864.4470454548</v>
      </c>
      <c r="AF23" s="140">
        <f t="shared" si="20"/>
        <v>3567864.4470454548</v>
      </c>
    </row>
    <row r="24" spans="1:32" ht="15" hidden="1" customHeight="1" outlineLevel="1">
      <c r="A24" s="139">
        <f t="shared" si="14"/>
        <v>21</v>
      </c>
      <c r="B24" s="140">
        <f t="shared" si="11"/>
        <v>3591981.7000000007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40">
        <f xml:space="preserve"> ( ( $L$10 ) / ( $A24 ) )</f>
        <v>171046.74761904762</v>
      </c>
      <c r="M24" s="140">
        <f t="shared" ref="M24:AF24" si="21" xml:space="preserve"> ( ( $L$10 ) / ( $A24 ) )</f>
        <v>171046.74761904762</v>
      </c>
      <c r="N24" s="140">
        <f t="shared" si="21"/>
        <v>171046.74761904762</v>
      </c>
      <c r="O24" s="140">
        <f t="shared" si="21"/>
        <v>171046.74761904762</v>
      </c>
      <c r="P24" s="140">
        <f t="shared" si="21"/>
        <v>171046.74761904762</v>
      </c>
      <c r="Q24" s="140">
        <f t="shared" si="21"/>
        <v>171046.74761904762</v>
      </c>
      <c r="R24" s="140">
        <f t="shared" si="21"/>
        <v>171046.74761904762</v>
      </c>
      <c r="S24" s="140">
        <f t="shared" si="21"/>
        <v>171046.74761904762</v>
      </c>
      <c r="T24" s="140">
        <f t="shared" si="21"/>
        <v>171046.74761904762</v>
      </c>
      <c r="U24" s="140">
        <f t="shared" si="21"/>
        <v>171046.74761904762</v>
      </c>
      <c r="V24" s="140">
        <f t="shared" si="21"/>
        <v>171046.74761904762</v>
      </c>
      <c r="W24" s="140">
        <f t="shared" si="21"/>
        <v>171046.74761904762</v>
      </c>
      <c r="X24" s="140">
        <f t="shared" si="21"/>
        <v>171046.74761904762</v>
      </c>
      <c r="Y24" s="140">
        <f t="shared" si="21"/>
        <v>171046.74761904762</v>
      </c>
      <c r="Z24" s="140">
        <f t="shared" si="21"/>
        <v>171046.74761904762</v>
      </c>
      <c r="AA24" s="140">
        <f t="shared" si="21"/>
        <v>171046.74761904762</v>
      </c>
      <c r="AB24" s="140">
        <f t="shared" si="21"/>
        <v>171046.74761904762</v>
      </c>
      <c r="AC24" s="140">
        <f t="shared" si="21"/>
        <v>171046.74761904762</v>
      </c>
      <c r="AD24" s="140">
        <f t="shared" si="21"/>
        <v>171046.74761904762</v>
      </c>
      <c r="AE24" s="140">
        <f t="shared" si="21"/>
        <v>171046.74761904762</v>
      </c>
      <c r="AF24" s="140">
        <f t="shared" si="21"/>
        <v>171046.74761904762</v>
      </c>
    </row>
    <row r="25" spans="1:32" ht="15" hidden="1" customHeight="1" outlineLevel="1">
      <c r="A25" s="139">
        <f t="shared" si="14"/>
        <v>20</v>
      </c>
      <c r="B25" s="140">
        <f t="shared" si="11"/>
        <v>3614878.3399999985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>
        <f xml:space="preserve"> ( ( $M$10 ) / ( $A25 ) )</f>
        <v>180743.91699999999</v>
      </c>
      <c r="N25" s="140">
        <f t="shared" ref="N25:AF25" si="22" xml:space="preserve"> ( ( $M$10 ) / ( $A25 ) )</f>
        <v>180743.91699999999</v>
      </c>
      <c r="O25" s="140">
        <f t="shared" si="22"/>
        <v>180743.91699999999</v>
      </c>
      <c r="P25" s="140">
        <f t="shared" si="22"/>
        <v>180743.91699999999</v>
      </c>
      <c r="Q25" s="140">
        <f t="shared" si="22"/>
        <v>180743.91699999999</v>
      </c>
      <c r="R25" s="140">
        <f t="shared" si="22"/>
        <v>180743.91699999999</v>
      </c>
      <c r="S25" s="140">
        <f t="shared" si="22"/>
        <v>180743.91699999999</v>
      </c>
      <c r="T25" s="140">
        <f t="shared" si="22"/>
        <v>180743.91699999999</v>
      </c>
      <c r="U25" s="140">
        <f t="shared" si="22"/>
        <v>180743.91699999999</v>
      </c>
      <c r="V25" s="140">
        <f t="shared" si="22"/>
        <v>180743.91699999999</v>
      </c>
      <c r="W25" s="140">
        <f t="shared" si="22"/>
        <v>180743.91699999999</v>
      </c>
      <c r="X25" s="140">
        <f t="shared" si="22"/>
        <v>180743.91699999999</v>
      </c>
      <c r="Y25" s="140">
        <f t="shared" si="22"/>
        <v>180743.91699999999</v>
      </c>
      <c r="Z25" s="140">
        <f t="shared" si="22"/>
        <v>180743.91699999999</v>
      </c>
      <c r="AA25" s="140">
        <f t="shared" si="22"/>
        <v>180743.91699999999</v>
      </c>
      <c r="AB25" s="140">
        <f t="shared" si="22"/>
        <v>180743.91699999999</v>
      </c>
      <c r="AC25" s="140">
        <f t="shared" si="22"/>
        <v>180743.91699999999</v>
      </c>
      <c r="AD25" s="140">
        <f t="shared" si="22"/>
        <v>180743.91699999999</v>
      </c>
      <c r="AE25" s="140">
        <f t="shared" si="22"/>
        <v>180743.91699999999</v>
      </c>
      <c r="AF25" s="140">
        <f t="shared" si="22"/>
        <v>180743.91699999999</v>
      </c>
    </row>
    <row r="26" spans="1:32" ht="15" hidden="1" customHeight="1" outlineLevel="1">
      <c r="A26" s="139">
        <f t="shared" si="14"/>
        <v>19</v>
      </c>
      <c r="B26" s="140">
        <f t="shared" si="11"/>
        <v>1456123.5100000005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>
        <f xml:space="preserve"> ( ( $N$10 ) / ( $A26 ) )</f>
        <v>76638.079473684222</v>
      </c>
      <c r="O26" s="140">
        <f t="shared" ref="O26:AF26" si="23" xml:space="preserve"> ( ( $N$10 ) / ( $A26 ) )</f>
        <v>76638.079473684222</v>
      </c>
      <c r="P26" s="140">
        <f t="shared" si="23"/>
        <v>76638.079473684222</v>
      </c>
      <c r="Q26" s="140">
        <f t="shared" si="23"/>
        <v>76638.079473684222</v>
      </c>
      <c r="R26" s="140">
        <f t="shared" si="23"/>
        <v>76638.079473684222</v>
      </c>
      <c r="S26" s="140">
        <f t="shared" si="23"/>
        <v>76638.079473684222</v>
      </c>
      <c r="T26" s="140">
        <f t="shared" si="23"/>
        <v>76638.079473684222</v>
      </c>
      <c r="U26" s="140">
        <f t="shared" si="23"/>
        <v>76638.079473684222</v>
      </c>
      <c r="V26" s="140">
        <f t="shared" si="23"/>
        <v>76638.079473684222</v>
      </c>
      <c r="W26" s="140">
        <f t="shared" si="23"/>
        <v>76638.079473684222</v>
      </c>
      <c r="X26" s="140">
        <f t="shared" si="23"/>
        <v>76638.079473684222</v>
      </c>
      <c r="Y26" s="140">
        <f t="shared" si="23"/>
        <v>76638.079473684222</v>
      </c>
      <c r="Z26" s="140">
        <f t="shared" si="23"/>
        <v>76638.079473684222</v>
      </c>
      <c r="AA26" s="140">
        <f t="shared" si="23"/>
        <v>76638.079473684222</v>
      </c>
      <c r="AB26" s="140">
        <f t="shared" si="23"/>
        <v>76638.079473684222</v>
      </c>
      <c r="AC26" s="140">
        <f t="shared" si="23"/>
        <v>76638.079473684222</v>
      </c>
      <c r="AD26" s="140">
        <f t="shared" si="23"/>
        <v>76638.079473684222</v>
      </c>
      <c r="AE26" s="140">
        <f t="shared" si="23"/>
        <v>76638.079473684222</v>
      </c>
      <c r="AF26" s="140">
        <f t="shared" si="23"/>
        <v>76638.079473684222</v>
      </c>
    </row>
    <row r="27" spans="1:32" ht="15" hidden="1" customHeight="1" outlineLevel="1">
      <c r="A27" s="139">
        <f t="shared" si="14"/>
        <v>18</v>
      </c>
      <c r="B27" s="140">
        <f t="shared" si="11"/>
        <v>1449957.5149999997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>
        <f xml:space="preserve"> ( ( $O$10 ) / ( $A27 ) )</f>
        <v>80553.195277777791</v>
      </c>
      <c r="P27" s="140">
        <f t="shared" ref="P27:AF27" si="24" xml:space="preserve"> ( ( $O$10 ) / ( $A27 ) )</f>
        <v>80553.195277777791</v>
      </c>
      <c r="Q27" s="140">
        <f t="shared" si="24"/>
        <v>80553.195277777791</v>
      </c>
      <c r="R27" s="140">
        <f t="shared" si="24"/>
        <v>80553.195277777791</v>
      </c>
      <c r="S27" s="140">
        <f t="shared" si="24"/>
        <v>80553.195277777791</v>
      </c>
      <c r="T27" s="140">
        <f t="shared" si="24"/>
        <v>80553.195277777791</v>
      </c>
      <c r="U27" s="140">
        <f t="shared" si="24"/>
        <v>80553.195277777791</v>
      </c>
      <c r="V27" s="140">
        <f t="shared" si="24"/>
        <v>80553.195277777791</v>
      </c>
      <c r="W27" s="140">
        <f t="shared" si="24"/>
        <v>80553.195277777791</v>
      </c>
      <c r="X27" s="140">
        <f t="shared" si="24"/>
        <v>80553.195277777791</v>
      </c>
      <c r="Y27" s="140">
        <f t="shared" si="24"/>
        <v>80553.195277777791</v>
      </c>
      <c r="Z27" s="140">
        <f t="shared" si="24"/>
        <v>80553.195277777791</v>
      </c>
      <c r="AA27" s="140">
        <f t="shared" si="24"/>
        <v>80553.195277777791</v>
      </c>
      <c r="AB27" s="140">
        <f t="shared" si="24"/>
        <v>80553.195277777791</v>
      </c>
      <c r="AC27" s="140">
        <f t="shared" si="24"/>
        <v>80553.195277777791</v>
      </c>
      <c r="AD27" s="140">
        <f t="shared" si="24"/>
        <v>80553.195277777791</v>
      </c>
      <c r="AE27" s="140">
        <f t="shared" si="24"/>
        <v>80553.195277777791</v>
      </c>
      <c r="AF27" s="140">
        <f t="shared" si="24"/>
        <v>80553.195277777791</v>
      </c>
    </row>
    <row r="28" spans="1:32" ht="15" hidden="1" customHeight="1" outlineLevel="1">
      <c r="A28" s="139">
        <f t="shared" si="14"/>
        <v>17</v>
      </c>
      <c r="B28" s="140">
        <f t="shared" si="11"/>
        <v>1454744.89</v>
      </c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>
        <f xml:space="preserve"> ( ( $P$10 ) / ( $A28 ) )</f>
        <v>85573.228823529425</v>
      </c>
      <c r="Q28" s="140">
        <f t="shared" ref="Q28:AF28" si="25" xml:space="preserve"> ( ( $P$10 ) / ( $A28 ) )</f>
        <v>85573.228823529425</v>
      </c>
      <c r="R28" s="140">
        <f t="shared" si="25"/>
        <v>85573.228823529425</v>
      </c>
      <c r="S28" s="140">
        <f t="shared" si="25"/>
        <v>85573.228823529425</v>
      </c>
      <c r="T28" s="140">
        <f t="shared" si="25"/>
        <v>85573.228823529425</v>
      </c>
      <c r="U28" s="140">
        <f t="shared" si="25"/>
        <v>85573.228823529425</v>
      </c>
      <c r="V28" s="140">
        <f t="shared" si="25"/>
        <v>85573.228823529425</v>
      </c>
      <c r="W28" s="140">
        <f t="shared" si="25"/>
        <v>85573.228823529425</v>
      </c>
      <c r="X28" s="140">
        <f t="shared" si="25"/>
        <v>85573.228823529425</v>
      </c>
      <c r="Y28" s="140">
        <f t="shared" si="25"/>
        <v>85573.228823529425</v>
      </c>
      <c r="Z28" s="140">
        <f t="shared" si="25"/>
        <v>85573.228823529425</v>
      </c>
      <c r="AA28" s="140">
        <f t="shared" si="25"/>
        <v>85573.228823529425</v>
      </c>
      <c r="AB28" s="140">
        <f t="shared" si="25"/>
        <v>85573.228823529425</v>
      </c>
      <c r="AC28" s="140">
        <f t="shared" si="25"/>
        <v>85573.228823529425</v>
      </c>
      <c r="AD28" s="140">
        <f t="shared" si="25"/>
        <v>85573.228823529425</v>
      </c>
      <c r="AE28" s="140">
        <f t="shared" si="25"/>
        <v>85573.228823529425</v>
      </c>
      <c r="AF28" s="140">
        <f t="shared" si="25"/>
        <v>85573.228823529425</v>
      </c>
    </row>
    <row r="29" spans="1:32" ht="15" hidden="1" customHeight="1" outlineLevel="1">
      <c r="A29" s="139">
        <f t="shared" si="14"/>
        <v>16</v>
      </c>
      <c r="B29" s="140">
        <f t="shared" si="11"/>
        <v>1451981.9750000003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>
        <f xml:space="preserve"> ( ( $Q$10 ) / ( $A29 ) )</f>
        <v>90748.873437500006</v>
      </c>
      <c r="R29" s="140">
        <f t="shared" ref="R29:AF29" si="26" xml:space="preserve"> ( ( $Q$10 ) / ( $A29 ) )</f>
        <v>90748.873437500006</v>
      </c>
      <c r="S29" s="140">
        <f t="shared" si="26"/>
        <v>90748.873437500006</v>
      </c>
      <c r="T29" s="140">
        <f t="shared" si="26"/>
        <v>90748.873437500006</v>
      </c>
      <c r="U29" s="140">
        <f t="shared" si="26"/>
        <v>90748.873437500006</v>
      </c>
      <c r="V29" s="140">
        <f t="shared" si="26"/>
        <v>90748.873437500006</v>
      </c>
      <c r="W29" s="140">
        <f t="shared" si="26"/>
        <v>90748.873437500006</v>
      </c>
      <c r="X29" s="140">
        <f t="shared" si="26"/>
        <v>90748.873437500006</v>
      </c>
      <c r="Y29" s="140">
        <f t="shared" si="26"/>
        <v>90748.873437500006</v>
      </c>
      <c r="Z29" s="140">
        <f t="shared" si="26"/>
        <v>90748.873437500006</v>
      </c>
      <c r="AA29" s="140">
        <f t="shared" si="26"/>
        <v>90748.873437500006</v>
      </c>
      <c r="AB29" s="140">
        <f t="shared" si="26"/>
        <v>90748.873437500006</v>
      </c>
      <c r="AC29" s="140">
        <f t="shared" si="26"/>
        <v>90748.873437500006</v>
      </c>
      <c r="AD29" s="140">
        <f t="shared" si="26"/>
        <v>90748.873437500006</v>
      </c>
      <c r="AE29" s="140">
        <f t="shared" si="26"/>
        <v>90748.873437500006</v>
      </c>
      <c r="AF29" s="140">
        <f t="shared" si="26"/>
        <v>90748.873437500006</v>
      </c>
    </row>
    <row r="30" spans="1:32" ht="15" hidden="1" customHeight="1" outlineLevel="1">
      <c r="A30" s="139">
        <f t="shared" si="14"/>
        <v>15</v>
      </c>
      <c r="B30" s="140">
        <f t="shared" si="11"/>
        <v>1454062.8250000007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>
        <f xml:space="preserve"> ( ( $R$10 ) / ( $A30 ) )</f>
        <v>96937.521666666682</v>
      </c>
      <c r="S30" s="140">
        <f t="shared" ref="S30:AF30" si="27" xml:space="preserve"> ( ( $R$10 ) / ( $A30 ) )</f>
        <v>96937.521666666682</v>
      </c>
      <c r="T30" s="140">
        <f t="shared" si="27"/>
        <v>96937.521666666682</v>
      </c>
      <c r="U30" s="140">
        <f t="shared" si="27"/>
        <v>96937.521666666682</v>
      </c>
      <c r="V30" s="140">
        <f t="shared" si="27"/>
        <v>96937.521666666682</v>
      </c>
      <c r="W30" s="140">
        <f t="shared" si="27"/>
        <v>96937.521666666682</v>
      </c>
      <c r="X30" s="140">
        <f t="shared" si="27"/>
        <v>96937.521666666682</v>
      </c>
      <c r="Y30" s="140">
        <f t="shared" si="27"/>
        <v>96937.521666666682</v>
      </c>
      <c r="Z30" s="140">
        <f t="shared" si="27"/>
        <v>96937.521666666682</v>
      </c>
      <c r="AA30" s="140">
        <f t="shared" si="27"/>
        <v>96937.521666666682</v>
      </c>
      <c r="AB30" s="140">
        <f t="shared" si="27"/>
        <v>96937.521666666682</v>
      </c>
      <c r="AC30" s="140">
        <f t="shared" si="27"/>
        <v>96937.521666666682</v>
      </c>
      <c r="AD30" s="140">
        <f t="shared" si="27"/>
        <v>96937.521666666682</v>
      </c>
      <c r="AE30" s="140">
        <f t="shared" si="27"/>
        <v>96937.521666666682</v>
      </c>
      <c r="AF30" s="140">
        <f t="shared" si="27"/>
        <v>96937.521666666682</v>
      </c>
    </row>
    <row r="31" spans="1:32" ht="15" hidden="1" customHeight="1" outlineLevel="1">
      <c r="A31" s="139">
        <f t="shared" si="14"/>
        <v>14</v>
      </c>
      <c r="B31" s="140">
        <f t="shared" si="11"/>
        <v>1450472.9449999998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>
        <f xml:space="preserve"> ( ( $S$10 ) / ( $A31 ) )</f>
        <v>103605.21035714285</v>
      </c>
      <c r="T31" s="140">
        <f t="shared" ref="T31:AF31" si="28" xml:space="preserve"> ( ( $S$10 ) / ( $A31 ) )</f>
        <v>103605.21035714285</v>
      </c>
      <c r="U31" s="140">
        <f t="shared" si="28"/>
        <v>103605.21035714285</v>
      </c>
      <c r="V31" s="140">
        <f t="shared" si="28"/>
        <v>103605.21035714285</v>
      </c>
      <c r="W31" s="140">
        <f t="shared" si="28"/>
        <v>103605.21035714285</v>
      </c>
      <c r="X31" s="140">
        <f t="shared" si="28"/>
        <v>103605.21035714285</v>
      </c>
      <c r="Y31" s="140">
        <f t="shared" si="28"/>
        <v>103605.21035714285</v>
      </c>
      <c r="Z31" s="140">
        <f t="shared" si="28"/>
        <v>103605.21035714285</v>
      </c>
      <c r="AA31" s="140">
        <f t="shared" si="28"/>
        <v>103605.21035714285</v>
      </c>
      <c r="AB31" s="140">
        <f t="shared" si="28"/>
        <v>103605.21035714285</v>
      </c>
      <c r="AC31" s="140">
        <f t="shared" si="28"/>
        <v>103605.21035714285</v>
      </c>
      <c r="AD31" s="140">
        <f t="shared" si="28"/>
        <v>103605.21035714285</v>
      </c>
      <c r="AE31" s="140">
        <f t="shared" si="28"/>
        <v>103605.21035714285</v>
      </c>
      <c r="AF31" s="140">
        <f t="shared" si="28"/>
        <v>103605.21035714285</v>
      </c>
    </row>
    <row r="32" spans="1:32" ht="15" hidden="1" customHeight="1" outlineLevel="1">
      <c r="A32" s="139">
        <f t="shared" si="14"/>
        <v>13</v>
      </c>
      <c r="B32" s="140">
        <f t="shared" si="11"/>
        <v>1463469.9400000004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>
        <f xml:space="preserve"> ( ( $T$10 ) / ( $A32 ) )</f>
        <v>112574.61076923077</v>
      </c>
      <c r="U32" s="140">
        <f t="shared" ref="U32:AF32" si="29" xml:space="preserve"> ( ( $T$10 ) / ( $A32 ) )</f>
        <v>112574.61076923077</v>
      </c>
      <c r="V32" s="140">
        <f t="shared" si="29"/>
        <v>112574.61076923077</v>
      </c>
      <c r="W32" s="140">
        <f t="shared" si="29"/>
        <v>112574.61076923077</v>
      </c>
      <c r="X32" s="140">
        <f t="shared" si="29"/>
        <v>112574.61076923077</v>
      </c>
      <c r="Y32" s="140">
        <f t="shared" si="29"/>
        <v>112574.61076923077</v>
      </c>
      <c r="Z32" s="140">
        <f t="shared" si="29"/>
        <v>112574.61076923077</v>
      </c>
      <c r="AA32" s="140">
        <f t="shared" si="29"/>
        <v>112574.61076923077</v>
      </c>
      <c r="AB32" s="140">
        <f t="shared" si="29"/>
        <v>112574.61076923077</v>
      </c>
      <c r="AC32" s="140">
        <f t="shared" si="29"/>
        <v>112574.61076923077</v>
      </c>
      <c r="AD32" s="140">
        <f t="shared" si="29"/>
        <v>112574.61076923077</v>
      </c>
      <c r="AE32" s="140">
        <f t="shared" si="29"/>
        <v>112574.61076923077</v>
      </c>
      <c r="AF32" s="140">
        <f t="shared" si="29"/>
        <v>112574.61076923077</v>
      </c>
    </row>
    <row r="33" spans="1:32" ht="15" hidden="1" customHeight="1" outlineLevel="1">
      <c r="A33" s="139">
        <f t="shared" si="14"/>
        <v>12</v>
      </c>
      <c r="B33" s="140">
        <f t="shared" si="11"/>
        <v>1474209.0999999999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>
        <f xml:space="preserve"> ( ( $U$10 ) / ( $A33 ) )</f>
        <v>122850.75833333335</v>
      </c>
      <c r="V33" s="140">
        <f t="shared" ref="V33:AF33" si="30" xml:space="preserve"> ( ( $U$10 ) / ( $A33 ) )</f>
        <v>122850.75833333335</v>
      </c>
      <c r="W33" s="140">
        <f t="shared" si="30"/>
        <v>122850.75833333335</v>
      </c>
      <c r="X33" s="140">
        <f t="shared" si="30"/>
        <v>122850.75833333335</v>
      </c>
      <c r="Y33" s="140">
        <f t="shared" si="30"/>
        <v>122850.75833333335</v>
      </c>
      <c r="Z33" s="140">
        <f t="shared" si="30"/>
        <v>122850.75833333335</v>
      </c>
      <c r="AA33" s="140">
        <f t="shared" si="30"/>
        <v>122850.75833333335</v>
      </c>
      <c r="AB33" s="140">
        <f t="shared" si="30"/>
        <v>122850.75833333335</v>
      </c>
      <c r="AC33" s="140">
        <f t="shared" si="30"/>
        <v>122850.75833333335</v>
      </c>
      <c r="AD33" s="140">
        <f t="shared" si="30"/>
        <v>122850.75833333335</v>
      </c>
      <c r="AE33" s="140">
        <f t="shared" si="30"/>
        <v>122850.75833333335</v>
      </c>
      <c r="AF33" s="140">
        <f t="shared" si="30"/>
        <v>122850.75833333335</v>
      </c>
    </row>
    <row r="34" spans="1:32" ht="15" hidden="1" customHeight="1" outlineLevel="1">
      <c r="A34" s="139">
        <f t="shared" si="14"/>
        <v>11</v>
      </c>
      <c r="B34" s="140">
        <f t="shared" si="11"/>
        <v>1494446.9549999996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>
        <f xml:space="preserve"> ( ( $V$10 ) / ( $A34 ) )</f>
        <v>135858.81409090909</v>
      </c>
      <c r="W34" s="140">
        <f t="shared" ref="W34:AF34" si="31" xml:space="preserve"> ( ( $V$10 ) / ( $A34 ) )</f>
        <v>135858.81409090909</v>
      </c>
      <c r="X34" s="140">
        <f t="shared" si="31"/>
        <v>135858.81409090909</v>
      </c>
      <c r="Y34" s="140">
        <f t="shared" si="31"/>
        <v>135858.81409090909</v>
      </c>
      <c r="Z34" s="140">
        <f t="shared" si="31"/>
        <v>135858.81409090909</v>
      </c>
      <c r="AA34" s="140">
        <f t="shared" si="31"/>
        <v>135858.81409090909</v>
      </c>
      <c r="AB34" s="140">
        <f t="shared" si="31"/>
        <v>135858.81409090909</v>
      </c>
      <c r="AC34" s="140">
        <f t="shared" si="31"/>
        <v>135858.81409090909</v>
      </c>
      <c r="AD34" s="140">
        <f t="shared" si="31"/>
        <v>135858.81409090909</v>
      </c>
      <c r="AE34" s="140">
        <f t="shared" si="31"/>
        <v>135858.81409090909</v>
      </c>
      <c r="AF34" s="140">
        <f t="shared" si="31"/>
        <v>135858.81409090909</v>
      </c>
    </row>
    <row r="35" spans="1:32" ht="15" hidden="1" customHeight="1" outlineLevel="1">
      <c r="A35" s="139">
        <f t="shared" si="14"/>
        <v>10</v>
      </c>
      <c r="B35" s="140">
        <f t="shared" si="11"/>
        <v>1507610.085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>
        <f xml:space="preserve"> ( ( $W$10 ) / ( $A35 ) )</f>
        <v>150761.0085</v>
      </c>
      <c r="X35" s="140">
        <f t="shared" ref="X35:AF35" si="32" xml:space="preserve"> ( ( $W$10 ) / ( $A35 ) )</f>
        <v>150761.0085</v>
      </c>
      <c r="Y35" s="140">
        <f t="shared" si="32"/>
        <v>150761.0085</v>
      </c>
      <c r="Z35" s="140">
        <f t="shared" si="32"/>
        <v>150761.0085</v>
      </c>
      <c r="AA35" s="140">
        <f t="shared" si="32"/>
        <v>150761.0085</v>
      </c>
      <c r="AB35" s="140">
        <f t="shared" si="32"/>
        <v>150761.0085</v>
      </c>
      <c r="AC35" s="140">
        <f t="shared" si="32"/>
        <v>150761.0085</v>
      </c>
      <c r="AD35" s="140">
        <f t="shared" si="32"/>
        <v>150761.0085</v>
      </c>
      <c r="AE35" s="140">
        <f t="shared" si="32"/>
        <v>150761.0085</v>
      </c>
      <c r="AF35" s="140">
        <f t="shared" si="32"/>
        <v>150761.0085</v>
      </c>
    </row>
    <row r="36" spans="1:32" ht="15" hidden="1" customHeight="1" outlineLevel="1">
      <c r="A36" s="139">
        <f t="shared" si="14"/>
        <v>9</v>
      </c>
      <c r="B36" s="140">
        <f t="shared" si="11"/>
        <v>1520311.6050000002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>
        <f xml:space="preserve"> ( ( $X$10 ) / ( $A36 ) )</f>
        <v>168923.51166666666</v>
      </c>
      <c r="Y36" s="140">
        <f t="shared" ref="Y36:AF36" si="33" xml:space="preserve"> ( ( $X$10 ) / ( $A36 ) )</f>
        <v>168923.51166666666</v>
      </c>
      <c r="Z36" s="140">
        <f t="shared" si="33"/>
        <v>168923.51166666666</v>
      </c>
      <c r="AA36" s="140">
        <f t="shared" si="33"/>
        <v>168923.51166666666</v>
      </c>
      <c r="AB36" s="140">
        <f t="shared" si="33"/>
        <v>168923.51166666666</v>
      </c>
      <c r="AC36" s="140">
        <f t="shared" si="33"/>
        <v>168923.51166666666</v>
      </c>
      <c r="AD36" s="140">
        <f t="shared" si="33"/>
        <v>168923.51166666666</v>
      </c>
      <c r="AE36" s="140">
        <f t="shared" si="33"/>
        <v>168923.51166666666</v>
      </c>
      <c r="AF36" s="140">
        <f t="shared" si="33"/>
        <v>168923.51166666666</v>
      </c>
    </row>
    <row r="37" spans="1:32" ht="15" hidden="1" customHeight="1" outlineLevel="1">
      <c r="A37" s="139">
        <f t="shared" si="14"/>
        <v>8</v>
      </c>
      <c r="B37" s="140">
        <f t="shared" si="11"/>
        <v>1531845.6449999998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>
        <f xml:space="preserve"> ( ( $Y$10 ) / ( $A37 ) )</f>
        <v>191480.705625</v>
      </c>
      <c r="Z37" s="140">
        <f t="shared" ref="Z37:AF37" si="34" xml:space="preserve"> ( ( $Y$10 ) / ( $A37 ) )</f>
        <v>191480.705625</v>
      </c>
      <c r="AA37" s="140">
        <f t="shared" si="34"/>
        <v>191480.705625</v>
      </c>
      <c r="AB37" s="140">
        <f t="shared" si="34"/>
        <v>191480.705625</v>
      </c>
      <c r="AC37" s="140">
        <f t="shared" si="34"/>
        <v>191480.705625</v>
      </c>
      <c r="AD37" s="140">
        <f t="shared" si="34"/>
        <v>191480.705625</v>
      </c>
      <c r="AE37" s="140">
        <f t="shared" si="34"/>
        <v>191480.705625</v>
      </c>
      <c r="AF37" s="140">
        <f t="shared" si="34"/>
        <v>191480.705625</v>
      </c>
    </row>
    <row r="38" spans="1:32" ht="15" hidden="1" customHeight="1" outlineLevel="1">
      <c r="A38" s="139">
        <f t="shared" si="14"/>
        <v>7</v>
      </c>
      <c r="B38" s="140">
        <f t="shared" si="11"/>
        <v>1548291.7949999999</v>
      </c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>
        <f xml:space="preserve"> ( ( $Z$10 ) / ( $A38 ) )</f>
        <v>221184.54214285713</v>
      </c>
      <c r="AA38" s="140">
        <f t="shared" ref="AA38:AF38" si="35" xml:space="preserve"> ( ( $Z$10 ) / ( $A38 ) )</f>
        <v>221184.54214285713</v>
      </c>
      <c r="AB38" s="140">
        <f t="shared" si="35"/>
        <v>221184.54214285713</v>
      </c>
      <c r="AC38" s="140">
        <f t="shared" si="35"/>
        <v>221184.54214285713</v>
      </c>
      <c r="AD38" s="140">
        <f t="shared" si="35"/>
        <v>221184.54214285713</v>
      </c>
      <c r="AE38" s="140">
        <f t="shared" si="35"/>
        <v>221184.54214285713</v>
      </c>
      <c r="AF38" s="140">
        <f t="shared" si="35"/>
        <v>221184.54214285713</v>
      </c>
    </row>
    <row r="39" spans="1:32" ht="15" hidden="1" customHeight="1" outlineLevel="1">
      <c r="A39" s="139">
        <f t="shared" si="14"/>
        <v>6</v>
      </c>
      <c r="B39" s="140">
        <f t="shared" si="11"/>
        <v>1573900.7650000001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>
        <f xml:space="preserve"> ( ( $AA$10 ) / ( $A39 ) )</f>
        <v>262316.79416666669</v>
      </c>
      <c r="AB39" s="140">
        <f t="shared" ref="AB39:AF39" si="36" xml:space="preserve"> ( ( $AA$10 ) / ( $A39 ) )</f>
        <v>262316.79416666669</v>
      </c>
      <c r="AC39" s="140">
        <f t="shared" si="36"/>
        <v>262316.79416666669</v>
      </c>
      <c r="AD39" s="140">
        <f t="shared" si="36"/>
        <v>262316.79416666669</v>
      </c>
      <c r="AE39" s="140">
        <f t="shared" si="36"/>
        <v>262316.79416666669</v>
      </c>
      <c r="AF39" s="140">
        <f t="shared" si="36"/>
        <v>262316.79416666669</v>
      </c>
    </row>
    <row r="40" spans="1:32" ht="15" hidden="1" customHeight="1" outlineLevel="1">
      <c r="A40" s="139">
        <f t="shared" si="14"/>
        <v>5</v>
      </c>
      <c r="B40" s="140">
        <f t="shared" si="11"/>
        <v>1578394.2349999999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>
        <f xml:space="preserve"> ( ( $AB$10 ) / ( $A40 ) )</f>
        <v>315678.84699999995</v>
      </c>
      <c r="AC40" s="140">
        <f t="shared" ref="AC40:AF40" si="37" xml:space="preserve"> ( ( $AB$10 ) / ( $A40 ) )</f>
        <v>315678.84699999995</v>
      </c>
      <c r="AD40" s="140">
        <f t="shared" si="37"/>
        <v>315678.84699999995</v>
      </c>
      <c r="AE40" s="140">
        <f t="shared" si="37"/>
        <v>315678.84699999995</v>
      </c>
      <c r="AF40" s="140">
        <f t="shared" si="37"/>
        <v>315678.84699999995</v>
      </c>
    </row>
    <row r="41" spans="1:32" ht="15" hidden="1" customHeight="1" outlineLevel="1">
      <c r="A41" s="139">
        <f t="shared" si="14"/>
        <v>4</v>
      </c>
      <c r="B41" s="140">
        <f t="shared" si="11"/>
        <v>2936815.1749999998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>
        <f t="shared" ref="AC41:AE41" si="38" xml:space="preserve"> ( ( $AC$10 ) / ( $A41 ) )</f>
        <v>734203.79374999995</v>
      </c>
      <c r="AD41" s="140">
        <f t="shared" si="38"/>
        <v>734203.79374999995</v>
      </c>
      <c r="AE41" s="140">
        <f t="shared" si="38"/>
        <v>734203.79374999995</v>
      </c>
      <c r="AF41" s="140">
        <f xml:space="preserve"> ( ( $AC$10 ) / ( $A41 ) )</f>
        <v>734203.79374999995</v>
      </c>
    </row>
    <row r="42" spans="1:32" ht="15" hidden="1" customHeight="1" outlineLevel="1">
      <c r="A42" s="139">
        <f t="shared" si="14"/>
        <v>3</v>
      </c>
      <c r="B42" s="140">
        <f t="shared" si="11"/>
        <v>1619466.105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>
        <f t="shared" ref="AD42:AE42" si="39" xml:space="preserve"> ( ( $AD$10 ) / ( $A42 ) )</f>
        <v>539822.03500000003</v>
      </c>
      <c r="AE42" s="140">
        <f t="shared" si="39"/>
        <v>539822.03500000003</v>
      </c>
      <c r="AF42" s="140">
        <f xml:space="preserve"> ( ( $AD$10 ) / ( $A42 ) )</f>
        <v>539822.03500000003</v>
      </c>
    </row>
    <row r="43" spans="1:32" ht="15" hidden="1" customHeight="1" outlineLevel="1">
      <c r="A43" s="139">
        <f t="shared" si="14"/>
        <v>2</v>
      </c>
      <c r="B43" s="140">
        <f t="shared" si="11"/>
        <v>1624817.5900000003</v>
      </c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>
        <f xml:space="preserve"> ( ( $AE$10 ) / ( $A43 ) )</f>
        <v>812408.79500000016</v>
      </c>
      <c r="AF43" s="140">
        <f xml:space="preserve"> ( ( $AE$10 ) / ( $A43 ) )</f>
        <v>812408.79500000016</v>
      </c>
    </row>
    <row r="44" spans="1:32" ht="15" hidden="1" customHeight="1" outlineLevel="1">
      <c r="A44" s="139">
        <f t="shared" si="14"/>
        <v>1</v>
      </c>
      <c r="B44" s="140">
        <f t="shared" si="11"/>
        <v>1645917.6</v>
      </c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>
        <f xml:space="preserve"> ( ( $AF$10 ) / ( $A44 ) )</f>
        <v>1645917.6</v>
      </c>
    </row>
    <row r="45" spans="1:32" ht="15" hidden="1" customHeight="1" outlineLevel="1">
      <c r="A45" s="142" t="s">
        <v>211</v>
      </c>
      <c r="B45" s="140">
        <f xml:space="preserve"> SUM( B$15:B$44 )</f>
        <v>535032822.7602728</v>
      </c>
      <c r="C45" s="11">
        <f t="shared" ref="C45:AE45" si="40" xml:space="preserve"> SUM( C$15:C$44 )</f>
        <v>181181.4115090929</v>
      </c>
      <c r="D45" s="11">
        <f t="shared" si="40"/>
        <v>339743.57030219637</v>
      </c>
      <c r="E45" s="11">
        <f t="shared" si="40"/>
        <v>3426409.7972664824</v>
      </c>
      <c r="F45" s="11">
        <f t="shared" si="40"/>
        <v>5644185.5520812972</v>
      </c>
      <c r="G45" s="11">
        <f t="shared" si="40"/>
        <v>7900951.5382351428</v>
      </c>
      <c r="H45" s="11">
        <f t="shared" si="40"/>
        <v>11609479.385235144</v>
      </c>
      <c r="I45" s="11">
        <f t="shared" si="40"/>
        <v>13904269.281276811</v>
      </c>
      <c r="J45" s="11">
        <f t="shared" si="40"/>
        <v>16351734.09105942</v>
      </c>
      <c r="K45" s="11">
        <f t="shared" si="40"/>
        <v>19919598.538104877</v>
      </c>
      <c r="L45" s="11">
        <f t="shared" si="40"/>
        <v>20090645.285723925</v>
      </c>
      <c r="M45" s="11">
        <f t="shared" si="40"/>
        <v>20271389.202723924</v>
      </c>
      <c r="N45" s="11">
        <f t="shared" si="40"/>
        <v>20348027.28219761</v>
      </c>
      <c r="O45" s="11">
        <f t="shared" si="40"/>
        <v>20428580.477475386</v>
      </c>
      <c r="P45" s="11">
        <f t="shared" si="40"/>
        <v>20514153.706298914</v>
      </c>
      <c r="Q45" s="11">
        <f t="shared" si="40"/>
        <v>20604902.579736415</v>
      </c>
      <c r="R45" s="11">
        <f t="shared" si="40"/>
        <v>20701840.101403084</v>
      </c>
      <c r="S45" s="11">
        <f t="shared" si="40"/>
        <v>20805445.311760228</v>
      </c>
      <c r="T45" s="11">
        <f t="shared" si="40"/>
        <v>20918019.922529459</v>
      </c>
      <c r="U45" s="11">
        <f t="shared" si="40"/>
        <v>21040870.680862792</v>
      </c>
      <c r="V45" s="11">
        <f t="shared" si="40"/>
        <v>21176729.494953699</v>
      </c>
      <c r="W45" s="11">
        <f t="shared" si="40"/>
        <v>21327490.503453698</v>
      </c>
      <c r="X45" s="11">
        <f t="shared" si="40"/>
        <v>21496414.015120365</v>
      </c>
      <c r="Y45" s="11">
        <f t="shared" si="40"/>
        <v>21687894.720745366</v>
      </c>
      <c r="Z45" s="11">
        <f t="shared" si="40"/>
        <v>21909079.262888223</v>
      </c>
      <c r="AA45" s="11">
        <f t="shared" si="40"/>
        <v>22171396.057054888</v>
      </c>
      <c r="AB45" s="11">
        <f t="shared" si="40"/>
        <v>22487074.904054888</v>
      </c>
      <c r="AC45" s="11">
        <f t="shared" si="40"/>
        <v>23221278.697804887</v>
      </c>
      <c r="AD45" s="11">
        <f t="shared" si="40"/>
        <v>23761100.732804887</v>
      </c>
      <c r="AE45" s="11">
        <f t="shared" si="40"/>
        <v>24573509.527804889</v>
      </c>
      <c r="AF45" s="11">
        <f xml:space="preserve"> SUM( AF$15:AF$44 )</f>
        <v>26219427.12780489</v>
      </c>
    </row>
    <row r="46" spans="1:32" ht="15" customHeight="1" collapsed="1">
      <c r="A46" s="141"/>
      <c r="B46" s="141"/>
    </row>
    <row r="47" spans="1:32" ht="15" customHeight="1">
      <c r="A47" s="141"/>
      <c r="B47" s="141"/>
    </row>
    <row r="48" spans="1:32" ht="15" customHeight="1">
      <c r="A48" s="86" t="s">
        <v>216</v>
      </c>
      <c r="B48" s="140" t="s">
        <v>4</v>
      </c>
      <c r="C48" s="11">
        <f xml:space="preserve"> ( C$9 )</f>
        <v>1</v>
      </c>
      <c r="D48" s="11">
        <f t="shared" ref="D48:AF48" si="41" xml:space="preserve"> ( D$9 )</f>
        <v>2</v>
      </c>
      <c r="E48" s="11">
        <f t="shared" si="41"/>
        <v>3</v>
      </c>
      <c r="F48" s="11">
        <f t="shared" si="41"/>
        <v>4</v>
      </c>
      <c r="G48" s="11">
        <f t="shared" si="41"/>
        <v>5</v>
      </c>
      <c r="H48" s="11">
        <f t="shared" si="41"/>
        <v>6</v>
      </c>
      <c r="I48" s="11">
        <f t="shared" si="41"/>
        <v>7</v>
      </c>
      <c r="J48" s="11">
        <f t="shared" si="41"/>
        <v>8</v>
      </c>
      <c r="K48" s="11">
        <f t="shared" si="41"/>
        <v>9</v>
      </c>
      <c r="L48" s="11">
        <f t="shared" si="41"/>
        <v>10</v>
      </c>
      <c r="M48" s="11">
        <f t="shared" si="41"/>
        <v>11</v>
      </c>
      <c r="N48" s="11">
        <f t="shared" si="41"/>
        <v>12</v>
      </c>
      <c r="O48" s="11">
        <f t="shared" si="41"/>
        <v>13</v>
      </c>
      <c r="P48" s="11">
        <f t="shared" si="41"/>
        <v>14</v>
      </c>
      <c r="Q48" s="11">
        <f t="shared" si="41"/>
        <v>15</v>
      </c>
      <c r="R48" s="11">
        <f t="shared" si="41"/>
        <v>16</v>
      </c>
      <c r="S48" s="11">
        <f t="shared" si="41"/>
        <v>17</v>
      </c>
      <c r="T48" s="11">
        <f t="shared" si="41"/>
        <v>18</v>
      </c>
      <c r="U48" s="11">
        <f t="shared" si="41"/>
        <v>19</v>
      </c>
      <c r="V48" s="11">
        <f t="shared" si="41"/>
        <v>20</v>
      </c>
      <c r="W48" s="11">
        <f t="shared" si="41"/>
        <v>21</v>
      </c>
      <c r="X48" s="11">
        <f t="shared" si="41"/>
        <v>22</v>
      </c>
      <c r="Y48" s="11">
        <f t="shared" si="41"/>
        <v>23</v>
      </c>
      <c r="Z48" s="11">
        <f t="shared" si="41"/>
        <v>24</v>
      </c>
      <c r="AA48" s="11">
        <f t="shared" si="41"/>
        <v>25</v>
      </c>
      <c r="AB48" s="11">
        <f t="shared" si="41"/>
        <v>26</v>
      </c>
      <c r="AC48" s="11">
        <f t="shared" si="41"/>
        <v>27</v>
      </c>
      <c r="AD48" s="11">
        <f t="shared" si="41"/>
        <v>28</v>
      </c>
      <c r="AE48" s="11">
        <f t="shared" si="41"/>
        <v>29</v>
      </c>
      <c r="AF48" s="11">
        <f t="shared" si="41"/>
        <v>30</v>
      </c>
    </row>
    <row r="49" spans="1:32" s="4" customFormat="1" ht="15" hidden="1" customHeight="1" outlineLevel="1">
      <c r="A49" s="143" t="s">
        <v>137</v>
      </c>
      <c r="B49" s="140">
        <f xml:space="preserve"> SUM( $C49:$AF49 )</f>
        <v>27877770</v>
      </c>
      <c r="C49" s="11">
        <f t="shared" ref="C49:AF49" si="42" xml:space="preserve"> SUM( C$50:C$50 )</f>
        <v>929259</v>
      </c>
      <c r="D49" s="11">
        <f t="shared" si="42"/>
        <v>929259</v>
      </c>
      <c r="E49" s="11">
        <f t="shared" si="42"/>
        <v>929259</v>
      </c>
      <c r="F49" s="11">
        <f t="shared" si="42"/>
        <v>929259.00000000012</v>
      </c>
      <c r="G49" s="11">
        <f t="shared" si="42"/>
        <v>929259.00000000012</v>
      </c>
      <c r="H49" s="11">
        <f t="shared" si="42"/>
        <v>929259.00000000012</v>
      </c>
      <c r="I49" s="11">
        <f t="shared" si="42"/>
        <v>929259.00000000012</v>
      </c>
      <c r="J49" s="11">
        <f t="shared" si="42"/>
        <v>929259.00000000012</v>
      </c>
      <c r="K49" s="11">
        <f t="shared" si="42"/>
        <v>929259.00000000012</v>
      </c>
      <c r="L49" s="11">
        <f t="shared" si="42"/>
        <v>929259.00000000012</v>
      </c>
      <c r="M49" s="11">
        <f t="shared" si="42"/>
        <v>929259.00000000012</v>
      </c>
      <c r="N49" s="11">
        <f t="shared" si="42"/>
        <v>929259.00000000012</v>
      </c>
      <c r="O49" s="11">
        <f t="shared" si="42"/>
        <v>929259.00000000012</v>
      </c>
      <c r="P49" s="11">
        <f t="shared" si="42"/>
        <v>929259.00000000012</v>
      </c>
      <c r="Q49" s="11">
        <f t="shared" si="42"/>
        <v>929259.00000000012</v>
      </c>
      <c r="R49" s="11">
        <f t="shared" si="42"/>
        <v>929259.00000000012</v>
      </c>
      <c r="S49" s="11">
        <f t="shared" si="42"/>
        <v>929259.00000000012</v>
      </c>
      <c r="T49" s="11">
        <f t="shared" si="42"/>
        <v>929259.00000000012</v>
      </c>
      <c r="U49" s="11">
        <f t="shared" si="42"/>
        <v>929259.00000000012</v>
      </c>
      <c r="V49" s="11">
        <f t="shared" si="42"/>
        <v>929259.00000000012</v>
      </c>
      <c r="W49" s="11">
        <f t="shared" si="42"/>
        <v>929259.00000000012</v>
      </c>
      <c r="X49" s="11">
        <f t="shared" si="42"/>
        <v>929259.00000000012</v>
      </c>
      <c r="Y49" s="11">
        <f t="shared" si="42"/>
        <v>929259.00000000012</v>
      </c>
      <c r="Z49" s="11">
        <f t="shared" si="42"/>
        <v>929259.00000000012</v>
      </c>
      <c r="AA49" s="11">
        <f t="shared" si="42"/>
        <v>929259.00000000012</v>
      </c>
      <c r="AB49" s="11">
        <f t="shared" si="42"/>
        <v>929259.00000000012</v>
      </c>
      <c r="AC49" s="11">
        <f t="shared" si="42"/>
        <v>929259.00000000012</v>
      </c>
      <c r="AD49" s="11">
        <f t="shared" si="42"/>
        <v>929259.00000000012</v>
      </c>
      <c r="AE49" s="11">
        <f t="shared" si="42"/>
        <v>929259.00000000012</v>
      </c>
      <c r="AF49" s="11">
        <f t="shared" si="42"/>
        <v>929259.00000000012</v>
      </c>
    </row>
    <row r="50" spans="1:32" ht="15" hidden="1" customHeight="1" outlineLevel="1">
      <c r="A50" s="144" t="s">
        <v>210</v>
      </c>
      <c r="B50" s="140">
        <f xml:space="preserve"> SUM( $C50:$AF50 )</f>
        <v>27877770</v>
      </c>
      <c r="C50" s="12">
        <f>Investimento!D14</f>
        <v>929259</v>
      </c>
      <c r="D50" s="12">
        <f>Investimento!E14</f>
        <v>929259</v>
      </c>
      <c r="E50" s="12">
        <f>Investimento!F14</f>
        <v>929259</v>
      </c>
      <c r="F50" s="12">
        <f>Investimento!G14</f>
        <v>929259.00000000012</v>
      </c>
      <c r="G50" s="12">
        <f>Investimento!H14</f>
        <v>929259.00000000012</v>
      </c>
      <c r="H50" s="12">
        <f>Investimento!I14</f>
        <v>929259.00000000012</v>
      </c>
      <c r="I50" s="12">
        <f>Investimento!J14</f>
        <v>929259.00000000012</v>
      </c>
      <c r="J50" s="12">
        <f>Investimento!K14</f>
        <v>929259.00000000012</v>
      </c>
      <c r="K50" s="12">
        <f>Investimento!L14</f>
        <v>929259.00000000012</v>
      </c>
      <c r="L50" s="12">
        <f>Investimento!M14</f>
        <v>929259.00000000012</v>
      </c>
      <c r="M50" s="12">
        <f>Investimento!N14</f>
        <v>929259.00000000012</v>
      </c>
      <c r="N50" s="12">
        <f>Investimento!O14</f>
        <v>929259.00000000012</v>
      </c>
      <c r="O50" s="12">
        <f>Investimento!P14</f>
        <v>929259.00000000012</v>
      </c>
      <c r="P50" s="12">
        <f>Investimento!Q14</f>
        <v>929259.00000000012</v>
      </c>
      <c r="Q50" s="12">
        <f>Investimento!R14</f>
        <v>929259.00000000012</v>
      </c>
      <c r="R50" s="12">
        <f>Investimento!S14</f>
        <v>929259.00000000012</v>
      </c>
      <c r="S50" s="12">
        <f>Investimento!T14</f>
        <v>929259.00000000012</v>
      </c>
      <c r="T50" s="12">
        <f>Investimento!U14</f>
        <v>929259.00000000012</v>
      </c>
      <c r="U50" s="12">
        <f>Investimento!V14</f>
        <v>929259.00000000012</v>
      </c>
      <c r="V50" s="12">
        <f>Investimento!W14</f>
        <v>929259.00000000012</v>
      </c>
      <c r="W50" s="12">
        <f>Investimento!X14</f>
        <v>929259.00000000012</v>
      </c>
      <c r="X50" s="12">
        <f>Investimento!Y14</f>
        <v>929259.00000000012</v>
      </c>
      <c r="Y50" s="12">
        <f>Investimento!Z14</f>
        <v>929259.00000000012</v>
      </c>
      <c r="Z50" s="12">
        <f>Investimento!AA14</f>
        <v>929259.00000000012</v>
      </c>
      <c r="AA50" s="12">
        <f>Investimento!AB14</f>
        <v>929259.00000000012</v>
      </c>
      <c r="AB50" s="12">
        <f>Investimento!AC14</f>
        <v>929259.00000000012</v>
      </c>
      <c r="AC50" s="12">
        <f>Investimento!AD14</f>
        <v>929259.00000000012</v>
      </c>
      <c r="AD50" s="12">
        <f>Investimento!AE14</f>
        <v>929259.00000000012</v>
      </c>
      <c r="AE50" s="12">
        <f>Investimento!AF14</f>
        <v>929259.00000000012</v>
      </c>
      <c r="AF50" s="12">
        <f>Investimento!AG14</f>
        <v>929259.00000000012</v>
      </c>
    </row>
    <row r="51" spans="1:32" ht="15" hidden="1" customHeight="1" outlineLevel="1">
      <c r="A51" s="141"/>
      <c r="B51" s="141"/>
    </row>
    <row r="52" spans="1:32" ht="15" hidden="1" customHeight="1" outlineLevel="1">
      <c r="A52" s="137" t="s">
        <v>214</v>
      </c>
      <c r="B52" s="140" t="s">
        <v>4</v>
      </c>
      <c r="C52" s="11">
        <f xml:space="preserve"> ( C$9 )</f>
        <v>1</v>
      </c>
      <c r="D52" s="11">
        <f t="shared" ref="D52:AF52" si="43" xml:space="preserve"> ( D$9 )</f>
        <v>2</v>
      </c>
      <c r="E52" s="11">
        <f t="shared" si="43"/>
        <v>3</v>
      </c>
      <c r="F52" s="11">
        <f t="shared" si="43"/>
        <v>4</v>
      </c>
      <c r="G52" s="11">
        <f t="shared" si="43"/>
        <v>5</v>
      </c>
      <c r="H52" s="11">
        <f t="shared" si="43"/>
        <v>6</v>
      </c>
      <c r="I52" s="11">
        <f t="shared" si="43"/>
        <v>7</v>
      </c>
      <c r="J52" s="11">
        <f t="shared" si="43"/>
        <v>8</v>
      </c>
      <c r="K52" s="11">
        <f t="shared" si="43"/>
        <v>9</v>
      </c>
      <c r="L52" s="11">
        <f t="shared" si="43"/>
        <v>10</v>
      </c>
      <c r="M52" s="11">
        <f t="shared" si="43"/>
        <v>11</v>
      </c>
      <c r="N52" s="11">
        <f t="shared" si="43"/>
        <v>12</v>
      </c>
      <c r="O52" s="11">
        <f t="shared" si="43"/>
        <v>13</v>
      </c>
      <c r="P52" s="11">
        <f t="shared" si="43"/>
        <v>14</v>
      </c>
      <c r="Q52" s="11">
        <f t="shared" si="43"/>
        <v>15</v>
      </c>
      <c r="R52" s="11">
        <f t="shared" si="43"/>
        <v>16</v>
      </c>
      <c r="S52" s="11">
        <f t="shared" si="43"/>
        <v>17</v>
      </c>
      <c r="T52" s="11">
        <f t="shared" si="43"/>
        <v>18</v>
      </c>
      <c r="U52" s="11">
        <f t="shared" si="43"/>
        <v>19</v>
      </c>
      <c r="V52" s="11">
        <f t="shared" si="43"/>
        <v>20</v>
      </c>
      <c r="W52" s="11">
        <f t="shared" si="43"/>
        <v>21</v>
      </c>
      <c r="X52" s="11">
        <f t="shared" si="43"/>
        <v>22</v>
      </c>
      <c r="Y52" s="11">
        <f t="shared" si="43"/>
        <v>23</v>
      </c>
      <c r="Z52" s="11">
        <f t="shared" si="43"/>
        <v>24</v>
      </c>
      <c r="AA52" s="11">
        <f t="shared" si="43"/>
        <v>25</v>
      </c>
      <c r="AB52" s="11">
        <f t="shared" si="43"/>
        <v>26</v>
      </c>
      <c r="AC52" s="11">
        <f t="shared" si="43"/>
        <v>27</v>
      </c>
      <c r="AD52" s="11">
        <f t="shared" si="43"/>
        <v>28</v>
      </c>
      <c r="AE52" s="11">
        <f t="shared" si="43"/>
        <v>29</v>
      </c>
      <c r="AF52" s="11">
        <f t="shared" si="43"/>
        <v>30</v>
      </c>
    </row>
    <row r="53" spans="1:32" ht="15" hidden="1" customHeight="1" outlineLevel="1">
      <c r="A53" s="137">
        <v>5</v>
      </c>
      <c r="B53" s="140">
        <f t="shared" ref="B53:B81" si="44" xml:space="preserve"> SUM( $C53:$AE53 )</f>
        <v>929259</v>
      </c>
      <c r="C53" s="12">
        <f xml:space="preserve"> ( ( $C$49 ) / ( $A53 ) )</f>
        <v>185851.8</v>
      </c>
      <c r="D53" s="12">
        <f xml:space="preserve"> ( ( $C$49 ) / ( $A53 ) )</f>
        <v>185851.8</v>
      </c>
      <c r="E53" s="12">
        <f xml:space="preserve"> ( ( $C$49 ) / ( $A53 ) )</f>
        <v>185851.8</v>
      </c>
      <c r="F53" s="12">
        <f xml:space="preserve"> ( ( $C$49 ) / ( $A53 ) )</f>
        <v>185851.8</v>
      </c>
      <c r="G53" s="12">
        <f xml:space="preserve"> ( ( $C$49 ) / ( $A53 ) )</f>
        <v>185851.8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/>
    </row>
    <row r="54" spans="1:32" ht="15" hidden="1" customHeight="1" outlineLevel="1">
      <c r="A54" s="137">
        <v>5</v>
      </c>
      <c r="B54" s="140">
        <f t="shared" si="44"/>
        <v>929259</v>
      </c>
      <c r="C54" s="12"/>
      <c r="D54" s="12">
        <f xml:space="preserve"> ( ( $C$49 ) / ( $A54 ) )</f>
        <v>185851.8</v>
      </c>
      <c r="E54" s="12">
        <f xml:space="preserve"> ( ( $C$49 ) / ( $A54 ) )</f>
        <v>185851.8</v>
      </c>
      <c r="F54" s="12">
        <f xml:space="preserve"> ( ( $C$49 ) / ( $A54 ) )</f>
        <v>185851.8</v>
      </c>
      <c r="G54" s="12">
        <f xml:space="preserve"> ( ( $C$49 ) / ( $A54 ) )</f>
        <v>185851.8</v>
      </c>
      <c r="H54" s="12">
        <f xml:space="preserve"> ( ( $C$49 ) / ( $A54 ) )</f>
        <v>185851.8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/>
    </row>
    <row r="55" spans="1:32" ht="15" hidden="1" customHeight="1" outlineLevel="1">
      <c r="A55" s="137">
        <v>5</v>
      </c>
      <c r="B55" s="140">
        <f t="shared" si="44"/>
        <v>929259</v>
      </c>
      <c r="C55" s="12"/>
      <c r="D55" s="12"/>
      <c r="E55" s="12">
        <f xml:space="preserve"> ( ( $D$49 ) / ( $A55 ) )</f>
        <v>185851.8</v>
      </c>
      <c r="F55" s="12">
        <f xml:space="preserve"> ( ( $D$49 ) / ( $A55 ) )</f>
        <v>185851.8</v>
      </c>
      <c r="G55" s="12">
        <f xml:space="preserve"> ( ( $D$49 ) / ( $A55 ) )</f>
        <v>185851.8</v>
      </c>
      <c r="H55" s="12">
        <f xml:space="preserve"> ( ( $D$49 ) / ( $A55 ) )</f>
        <v>185851.8</v>
      </c>
      <c r="I55" s="12">
        <f xml:space="preserve"> ( ( $D$49 ) / ( $A55 ) )</f>
        <v>185851.8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1:32" ht="15" hidden="1" customHeight="1" outlineLevel="1">
      <c r="A56" s="137">
        <v>5</v>
      </c>
      <c r="B56" s="140">
        <f t="shared" si="44"/>
        <v>929259</v>
      </c>
      <c r="C56" s="12"/>
      <c r="D56" s="12"/>
      <c r="E56" s="12"/>
      <c r="F56" s="12">
        <f xml:space="preserve"> ( ( $E$49 ) / ( $A56 ) )</f>
        <v>185851.8</v>
      </c>
      <c r="G56" s="12">
        <f xml:space="preserve"> ( ( $E$49 ) / ( $A56 ) )</f>
        <v>185851.8</v>
      </c>
      <c r="H56" s="12">
        <f xml:space="preserve"> ( ( $E$49 ) / ( $A56 ) )</f>
        <v>185851.8</v>
      </c>
      <c r="I56" s="12">
        <f xml:space="preserve"> ( ( $E$49 ) / ( $A56 ) )</f>
        <v>185851.8</v>
      </c>
      <c r="J56" s="12">
        <f xml:space="preserve"> ( ( $E$49 ) / ( $A56 ) )</f>
        <v>185851.8</v>
      </c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1:32" ht="15" hidden="1" customHeight="1" outlineLevel="1">
      <c r="A57" s="137">
        <v>5</v>
      </c>
      <c r="B57" s="140">
        <f t="shared" si="44"/>
        <v>929259.00000000012</v>
      </c>
      <c r="C57" s="12"/>
      <c r="D57" s="12"/>
      <c r="E57" s="12"/>
      <c r="F57" s="12"/>
      <c r="G57" s="12">
        <f xml:space="preserve"> ( ( $F$49 ) / ( $A57 ) )</f>
        <v>185851.80000000002</v>
      </c>
      <c r="H57" s="12">
        <f xml:space="preserve"> ( ( $F$49 ) / ( $A57 ) )</f>
        <v>185851.80000000002</v>
      </c>
      <c r="I57" s="12">
        <f xml:space="preserve"> ( ( $F$49 ) / ( $A57 ) )</f>
        <v>185851.80000000002</v>
      </c>
      <c r="J57" s="12">
        <f xml:space="preserve"> ( ( $F$49 ) / ( $A57 ) )</f>
        <v>185851.80000000002</v>
      </c>
      <c r="K57" s="12">
        <f xml:space="preserve"> ( ( $F$49 ) / ( $A57 ) )</f>
        <v>185851.80000000002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1:32" ht="15" hidden="1" customHeight="1" outlineLevel="1">
      <c r="A58" s="137">
        <v>5</v>
      </c>
      <c r="B58" s="140">
        <f t="shared" si="44"/>
        <v>929259.00000000012</v>
      </c>
      <c r="C58" s="12"/>
      <c r="D58" s="12"/>
      <c r="E58" s="12"/>
      <c r="F58" s="12"/>
      <c r="G58" s="12"/>
      <c r="H58" s="12">
        <f xml:space="preserve"> ( ( $G$49 ) / ( $A58 ) )</f>
        <v>185851.80000000002</v>
      </c>
      <c r="I58" s="12">
        <f xml:space="preserve"> ( ( $G$49 ) / ( $A58 ) )</f>
        <v>185851.80000000002</v>
      </c>
      <c r="J58" s="12">
        <f xml:space="preserve"> ( ( $G$49 ) / ( $A58 ) )</f>
        <v>185851.80000000002</v>
      </c>
      <c r="K58" s="12">
        <f xml:space="preserve"> ( ( $G$49 ) / ( $A58 ) )</f>
        <v>185851.80000000002</v>
      </c>
      <c r="L58" s="12">
        <f xml:space="preserve"> ( ( $G$49 ) / ( $A58 ) )</f>
        <v>185851.80000000002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1:32" ht="15" hidden="1" customHeight="1" outlineLevel="1">
      <c r="A59" s="137">
        <v>5</v>
      </c>
      <c r="B59" s="140">
        <f t="shared" si="44"/>
        <v>929259.00000000012</v>
      </c>
      <c r="C59" s="12"/>
      <c r="D59" s="12"/>
      <c r="E59" s="12"/>
      <c r="F59" s="12"/>
      <c r="G59" s="12"/>
      <c r="H59" s="12"/>
      <c r="I59" s="12">
        <f xml:space="preserve"> ( ( $H$49 ) / ( $A59 ) )</f>
        <v>185851.80000000002</v>
      </c>
      <c r="J59" s="12">
        <f xml:space="preserve"> ( ( $H$49 ) / ( $A59 ) )</f>
        <v>185851.80000000002</v>
      </c>
      <c r="K59" s="12">
        <f xml:space="preserve"> ( ( $H$49 ) / ( $A59 ) )</f>
        <v>185851.80000000002</v>
      </c>
      <c r="L59" s="12">
        <f xml:space="preserve"> ( ( $H$49 ) / ( $A59 ) )</f>
        <v>185851.80000000002</v>
      </c>
      <c r="M59" s="12">
        <f xml:space="preserve"> ( ( $H$49 ) / ( $A59 ) )</f>
        <v>185851.80000000002</v>
      </c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1:32" ht="15" hidden="1" customHeight="1" outlineLevel="1">
      <c r="A60" s="137">
        <v>5</v>
      </c>
      <c r="B60" s="140">
        <f t="shared" si="44"/>
        <v>929259.00000000012</v>
      </c>
      <c r="C60" s="12"/>
      <c r="D60" s="12"/>
      <c r="E60" s="12"/>
      <c r="F60" s="12"/>
      <c r="G60" s="12"/>
      <c r="H60" s="12"/>
      <c r="I60" s="12"/>
      <c r="J60" s="12">
        <f xml:space="preserve"> ( ( $I$49 ) / ( $A60 ) )</f>
        <v>185851.80000000002</v>
      </c>
      <c r="K60" s="12">
        <f xml:space="preserve"> ( ( $I$49 ) / ( $A60 ) )</f>
        <v>185851.80000000002</v>
      </c>
      <c r="L60" s="12">
        <f xml:space="preserve"> ( ( $I$49 ) / ( $A60 ) )</f>
        <v>185851.80000000002</v>
      </c>
      <c r="M60" s="12">
        <f xml:space="preserve"> ( ( $I$49 ) / ( $A60 ) )</f>
        <v>185851.80000000002</v>
      </c>
      <c r="N60" s="12">
        <f xml:space="preserve"> ( ( $I$49 ) / ( $A60 ) )</f>
        <v>185851.80000000002</v>
      </c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pans="1:32" ht="15" hidden="1" customHeight="1" outlineLevel="1">
      <c r="A61" s="137">
        <v>5</v>
      </c>
      <c r="B61" s="140">
        <f t="shared" si="44"/>
        <v>929259.00000000012</v>
      </c>
      <c r="C61" s="12"/>
      <c r="D61" s="12"/>
      <c r="E61" s="12"/>
      <c r="F61" s="12"/>
      <c r="G61" s="12"/>
      <c r="H61" s="12"/>
      <c r="I61" s="12"/>
      <c r="J61" s="12"/>
      <c r="K61" s="12">
        <f xml:space="preserve"> ( ( $J$49 ) / ( $A61 ) )</f>
        <v>185851.80000000002</v>
      </c>
      <c r="L61" s="12">
        <f xml:space="preserve"> ( ( $J$49 ) / ( $A61 ) )</f>
        <v>185851.80000000002</v>
      </c>
      <c r="M61" s="12">
        <f xml:space="preserve"> ( ( $J$49 ) / ( $A61 ) )</f>
        <v>185851.80000000002</v>
      </c>
      <c r="N61" s="12">
        <f xml:space="preserve"> ( ( $J$49 ) / ( $A61 ) )</f>
        <v>185851.80000000002</v>
      </c>
      <c r="O61" s="12">
        <f xml:space="preserve"> ( ( $J$49 ) / ( $A61 ) )</f>
        <v>185851.80000000002</v>
      </c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pans="1:32" ht="15" hidden="1" customHeight="1" outlineLevel="1">
      <c r="A62" s="137">
        <v>5</v>
      </c>
      <c r="B62" s="140">
        <f t="shared" si="44"/>
        <v>929259.00000000012</v>
      </c>
      <c r="C62" s="12"/>
      <c r="D62" s="12"/>
      <c r="E62" s="12"/>
      <c r="F62" s="12"/>
      <c r="G62" s="12"/>
      <c r="H62" s="12"/>
      <c r="I62" s="12"/>
      <c r="J62" s="12"/>
      <c r="K62" s="12"/>
      <c r="L62" s="12">
        <f xml:space="preserve"> ( ( $K$49 ) / ( $A62 ) )</f>
        <v>185851.80000000002</v>
      </c>
      <c r="M62" s="12">
        <f xml:space="preserve"> ( ( $K$49 ) / ( $A62 ) )</f>
        <v>185851.80000000002</v>
      </c>
      <c r="N62" s="12">
        <f xml:space="preserve"> ( ( $K$49 ) / ( $A62 ) )</f>
        <v>185851.80000000002</v>
      </c>
      <c r="O62" s="12">
        <f xml:space="preserve"> ( ( $K$49 ) / ( $A62 ) )</f>
        <v>185851.80000000002</v>
      </c>
      <c r="P62" s="12">
        <f xml:space="preserve"> ( ( $K$49 ) / ( $A62 ) )</f>
        <v>185851.80000000002</v>
      </c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pans="1:32" ht="15" hidden="1" customHeight="1" outlineLevel="1">
      <c r="A63" s="137">
        <v>5</v>
      </c>
      <c r="B63" s="140">
        <f t="shared" si="44"/>
        <v>929259.00000000012</v>
      </c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>
        <f xml:space="preserve"> ( ( $L$49 ) / ( $A63 ) )</f>
        <v>185851.80000000002</v>
      </c>
      <c r="N63" s="12">
        <f xml:space="preserve"> ( ( $L$49 ) / ( $A63 ) )</f>
        <v>185851.80000000002</v>
      </c>
      <c r="O63" s="12">
        <f xml:space="preserve"> ( ( $L$49 ) / ( $A63 ) )</f>
        <v>185851.80000000002</v>
      </c>
      <c r="P63" s="12">
        <f xml:space="preserve"> ( ( $L$49 ) / ( $A63 ) )</f>
        <v>185851.80000000002</v>
      </c>
      <c r="Q63" s="12">
        <f xml:space="preserve"> ( ( $L$49 ) / ( $A63 ) )</f>
        <v>185851.80000000002</v>
      </c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1:32" ht="15" hidden="1" customHeight="1" outlineLevel="1">
      <c r="A64" s="137">
        <v>5</v>
      </c>
      <c r="B64" s="140">
        <f t="shared" si="44"/>
        <v>929259.00000000012</v>
      </c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>
        <f xml:space="preserve"> ( ( $M$49 ) / ( $A64 ) )</f>
        <v>185851.80000000002</v>
      </c>
      <c r="O64" s="12">
        <f xml:space="preserve"> ( ( $M$49 ) / ( $A64 ) )</f>
        <v>185851.80000000002</v>
      </c>
      <c r="P64" s="12">
        <f xml:space="preserve"> ( ( $M$49 ) / ( $A64 ) )</f>
        <v>185851.80000000002</v>
      </c>
      <c r="Q64" s="12">
        <f xml:space="preserve"> ( ( $M$49 ) / ( $A64 ) )</f>
        <v>185851.80000000002</v>
      </c>
      <c r="R64" s="12">
        <f xml:space="preserve"> ( ( $M$49 ) / ( $A64 ) )</f>
        <v>185851.80000000002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spans="1:32" ht="15" hidden="1" customHeight="1" outlineLevel="1">
      <c r="A65" s="137">
        <v>5</v>
      </c>
      <c r="B65" s="140">
        <f t="shared" si="44"/>
        <v>929259.00000000012</v>
      </c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>
        <f xml:space="preserve"> ( ( $N$49 ) / ( $A65 ) )</f>
        <v>185851.80000000002</v>
      </c>
      <c r="P65" s="12">
        <f xml:space="preserve"> ( ( $N$49 ) / ( $A65 ) )</f>
        <v>185851.80000000002</v>
      </c>
      <c r="Q65" s="12">
        <f xml:space="preserve"> ( ( $N$49 ) / ( $A65 ) )</f>
        <v>185851.80000000002</v>
      </c>
      <c r="R65" s="12">
        <f xml:space="preserve"> ( ( $N$49 ) / ( $A65 ) )</f>
        <v>185851.80000000002</v>
      </c>
      <c r="S65" s="12">
        <f xml:space="preserve"> ( ( $N$49 ) / ( $A65 ) )</f>
        <v>185851.80000000002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spans="1:32" ht="15" hidden="1" customHeight="1" outlineLevel="1">
      <c r="A66" s="137">
        <v>5</v>
      </c>
      <c r="B66" s="140">
        <f t="shared" si="44"/>
        <v>929259.00000000012</v>
      </c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>
        <f xml:space="preserve"> ( ( $O$49 ) / ( $A66 ) )</f>
        <v>185851.80000000002</v>
      </c>
      <c r="Q66" s="12">
        <f xml:space="preserve"> ( ( $O$49 ) / ( $A66 ) )</f>
        <v>185851.80000000002</v>
      </c>
      <c r="R66" s="12">
        <f xml:space="preserve"> ( ( $O$49 ) / ( $A66 ) )</f>
        <v>185851.80000000002</v>
      </c>
      <c r="S66" s="12">
        <f xml:space="preserve"> ( ( $O$49 ) / ( $A66 ) )</f>
        <v>185851.80000000002</v>
      </c>
      <c r="T66" s="12">
        <f xml:space="preserve"> ( ( $O$49 ) / ( $A66 ) )</f>
        <v>185851.80000000002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spans="1:32" ht="15" hidden="1" customHeight="1" outlineLevel="1">
      <c r="A67" s="137">
        <v>5</v>
      </c>
      <c r="B67" s="140">
        <f t="shared" si="44"/>
        <v>929259.00000000012</v>
      </c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>
        <f xml:space="preserve"> ( ( $P$49 ) / ( $A67 ) )</f>
        <v>185851.80000000002</v>
      </c>
      <c r="R67" s="12">
        <f xml:space="preserve"> ( ( $P$49 ) / ( $A67 ) )</f>
        <v>185851.80000000002</v>
      </c>
      <c r="S67" s="12">
        <f xml:space="preserve"> ( ( $P$49 ) / ( $A67 ) )</f>
        <v>185851.80000000002</v>
      </c>
      <c r="T67" s="12">
        <f xml:space="preserve"> ( ( $P$49 ) / ( $A67 ) )</f>
        <v>185851.80000000002</v>
      </c>
      <c r="U67" s="12">
        <f xml:space="preserve"> ( ( $P$49 ) / ( $A67 ) )</f>
        <v>185851.80000000002</v>
      </c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spans="1:32" ht="15" hidden="1" customHeight="1" outlineLevel="1">
      <c r="A68" s="137">
        <v>5</v>
      </c>
      <c r="B68" s="140">
        <f t="shared" si="44"/>
        <v>929259.00000000012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>
        <f xml:space="preserve"> ( ( $Q$49 ) / ( $A68 ) )</f>
        <v>185851.80000000002</v>
      </c>
      <c r="S68" s="12">
        <f xml:space="preserve"> ( ( $Q$49 ) / ( $A68 ) )</f>
        <v>185851.80000000002</v>
      </c>
      <c r="T68" s="12">
        <f xml:space="preserve"> ( ( $Q$49 ) / ( $A68 ) )</f>
        <v>185851.80000000002</v>
      </c>
      <c r="U68" s="12">
        <f xml:space="preserve"> ( ( $Q$49 ) / ( $A68 ) )</f>
        <v>185851.80000000002</v>
      </c>
      <c r="V68" s="12">
        <f xml:space="preserve"> ( ( $Q$49 ) / ( $A68 ) )</f>
        <v>185851.80000000002</v>
      </c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spans="1:32" ht="15" hidden="1" customHeight="1" outlineLevel="1">
      <c r="A69" s="137">
        <v>5</v>
      </c>
      <c r="B69" s="140">
        <f t="shared" si="44"/>
        <v>929259.00000000012</v>
      </c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>
        <f xml:space="preserve"> ( ( $R$49 ) / ( $A69 ) )</f>
        <v>185851.80000000002</v>
      </c>
      <c r="T69" s="12">
        <f xml:space="preserve"> ( ( $R$49 ) / ( $A69 ) )</f>
        <v>185851.80000000002</v>
      </c>
      <c r="U69" s="12">
        <f xml:space="preserve"> ( ( $R$49 ) / ( $A69 ) )</f>
        <v>185851.80000000002</v>
      </c>
      <c r="V69" s="12">
        <f xml:space="preserve"> ( ( $R$49 ) / ( $A69 ) )</f>
        <v>185851.80000000002</v>
      </c>
      <c r="W69" s="12">
        <f xml:space="preserve"> ( ( $R$49 ) / ( $A69 ) )</f>
        <v>185851.80000000002</v>
      </c>
      <c r="X69" s="12"/>
      <c r="Y69" s="12"/>
      <c r="Z69" s="12"/>
      <c r="AA69" s="12"/>
      <c r="AB69" s="12"/>
      <c r="AC69" s="12"/>
      <c r="AD69" s="12"/>
      <c r="AE69" s="12"/>
      <c r="AF69" s="12"/>
    </row>
    <row r="70" spans="1:32" ht="15" hidden="1" customHeight="1" outlineLevel="1">
      <c r="A70" s="137">
        <v>5</v>
      </c>
      <c r="B70" s="140">
        <f t="shared" si="44"/>
        <v>929259.00000000012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>
        <f xml:space="preserve"> ( ( $S$49 ) / ( $A70 ) )</f>
        <v>185851.80000000002</v>
      </c>
      <c r="U70" s="12">
        <f xml:space="preserve"> ( ( $S$49 ) / ( $A70 ) )</f>
        <v>185851.80000000002</v>
      </c>
      <c r="V70" s="12">
        <f xml:space="preserve"> ( ( $S$49 ) / ( $A70 ) )</f>
        <v>185851.80000000002</v>
      </c>
      <c r="W70" s="12">
        <f xml:space="preserve"> ( ( $S$49 ) / ( $A70 ) )</f>
        <v>185851.80000000002</v>
      </c>
      <c r="X70" s="12">
        <f xml:space="preserve"> ( ( $S$49 ) / ( $A70 ) )</f>
        <v>185851.80000000002</v>
      </c>
      <c r="Y70" s="12"/>
      <c r="Z70" s="12"/>
      <c r="AA70" s="12"/>
      <c r="AB70" s="12"/>
      <c r="AC70" s="12"/>
      <c r="AD70" s="12"/>
      <c r="AE70" s="12"/>
      <c r="AF70" s="12"/>
    </row>
    <row r="71" spans="1:32" ht="15" hidden="1" customHeight="1" outlineLevel="1">
      <c r="A71" s="137">
        <v>5</v>
      </c>
      <c r="B71" s="140">
        <f t="shared" si="44"/>
        <v>929259.00000000012</v>
      </c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>
        <f xml:space="preserve"> ( ( $T$49 ) / ( $A71 ) )</f>
        <v>185851.80000000002</v>
      </c>
      <c r="V71" s="12">
        <f xml:space="preserve"> ( ( $T$49 ) / ( $A71 ) )</f>
        <v>185851.80000000002</v>
      </c>
      <c r="W71" s="12">
        <f xml:space="preserve"> ( ( $T$49 ) / ( $A71 ) )</f>
        <v>185851.80000000002</v>
      </c>
      <c r="X71" s="12">
        <f xml:space="preserve"> ( ( $T$49 ) / ( $A71 ) )</f>
        <v>185851.80000000002</v>
      </c>
      <c r="Y71" s="12">
        <f xml:space="preserve"> ( ( $T$49 ) / ( $A71 ) )</f>
        <v>185851.80000000002</v>
      </c>
      <c r="Z71" s="12"/>
      <c r="AA71" s="12"/>
      <c r="AB71" s="12"/>
      <c r="AC71" s="12"/>
      <c r="AD71" s="12"/>
      <c r="AE71" s="12"/>
      <c r="AF71" s="12"/>
    </row>
    <row r="72" spans="1:32" ht="15" hidden="1" customHeight="1" outlineLevel="1">
      <c r="A72" s="137">
        <v>5</v>
      </c>
      <c r="B72" s="140">
        <f t="shared" si="44"/>
        <v>929259.00000000012</v>
      </c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>
        <f xml:space="preserve"> ( ( $U$49 ) / ( $A72 ) )</f>
        <v>185851.80000000002</v>
      </c>
      <c r="W72" s="12">
        <f xml:space="preserve"> ( ( $U$49 ) / ( $A72 ) )</f>
        <v>185851.80000000002</v>
      </c>
      <c r="X72" s="12">
        <f xml:space="preserve"> ( ( $U$49 ) / ( $A72 ) )</f>
        <v>185851.80000000002</v>
      </c>
      <c r="Y72" s="12">
        <f xml:space="preserve"> ( ( $U$49 ) / ( $A72 ) )</f>
        <v>185851.80000000002</v>
      </c>
      <c r="Z72" s="12">
        <f xml:space="preserve"> ( ( $U$49 ) / ( $A72 ) )</f>
        <v>185851.80000000002</v>
      </c>
      <c r="AA72" s="12"/>
      <c r="AB72" s="12"/>
      <c r="AC72" s="12"/>
      <c r="AD72" s="12"/>
      <c r="AE72" s="12"/>
      <c r="AF72" s="12"/>
    </row>
    <row r="73" spans="1:32" ht="15" hidden="1" customHeight="1" outlineLevel="1">
      <c r="A73" s="137">
        <v>5</v>
      </c>
      <c r="B73" s="140">
        <f t="shared" si="44"/>
        <v>929259.00000000012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>
        <f xml:space="preserve"> ( ( $V$49 ) / ( $A73 ) )</f>
        <v>185851.80000000002</v>
      </c>
      <c r="X73" s="12">
        <f xml:space="preserve"> ( ( $V$49 ) / ( $A73 ) )</f>
        <v>185851.80000000002</v>
      </c>
      <c r="Y73" s="12">
        <f xml:space="preserve"> ( ( $V$49 ) / ( $A73 ) )</f>
        <v>185851.80000000002</v>
      </c>
      <c r="Z73" s="12">
        <f xml:space="preserve"> ( ( $V$49 ) / ( $A73 ) )</f>
        <v>185851.80000000002</v>
      </c>
      <c r="AA73" s="12">
        <f xml:space="preserve"> ( ( $V$49 ) / ( $A73 ) )</f>
        <v>185851.80000000002</v>
      </c>
      <c r="AB73" s="12"/>
      <c r="AC73" s="12"/>
      <c r="AD73" s="12"/>
      <c r="AE73" s="12"/>
      <c r="AF73" s="12"/>
    </row>
    <row r="74" spans="1:32" ht="15" hidden="1" customHeight="1" outlineLevel="1">
      <c r="A74" s="137">
        <v>5</v>
      </c>
      <c r="B74" s="140">
        <f t="shared" si="44"/>
        <v>929259.00000000012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>
        <f xml:space="preserve"> ( ( $W$49 ) / ( $A74 ) )</f>
        <v>185851.80000000002</v>
      </c>
      <c r="Y74" s="12">
        <f xml:space="preserve"> ( ( $W$49 ) / ( $A74 ) )</f>
        <v>185851.80000000002</v>
      </c>
      <c r="Z74" s="12">
        <f xml:space="preserve"> ( ( $W$49 ) / ( $A74 ) )</f>
        <v>185851.80000000002</v>
      </c>
      <c r="AA74" s="12">
        <f xml:space="preserve"> ( ( $W$49 ) / ( $A74 ) )</f>
        <v>185851.80000000002</v>
      </c>
      <c r="AB74" s="12">
        <f xml:space="preserve"> ( ( $W$49 ) / ( $A74 ) )</f>
        <v>185851.80000000002</v>
      </c>
      <c r="AC74" s="12"/>
      <c r="AD74" s="12"/>
      <c r="AE74" s="12"/>
      <c r="AF74" s="12"/>
    </row>
    <row r="75" spans="1:32" ht="15" hidden="1" customHeight="1" outlineLevel="1">
      <c r="A75" s="137">
        <v>5</v>
      </c>
      <c r="B75" s="140">
        <f t="shared" si="44"/>
        <v>929259.00000000012</v>
      </c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>
        <f xml:space="preserve"> ( ( $X$49 ) / ( $A75 ) )</f>
        <v>185851.80000000002</v>
      </c>
      <c r="Z75" s="12">
        <f xml:space="preserve"> ( ( $X$49 ) / ( $A75 ) )</f>
        <v>185851.80000000002</v>
      </c>
      <c r="AA75" s="12">
        <f xml:space="preserve"> ( ( $X$49 ) / ( $A75 ) )</f>
        <v>185851.80000000002</v>
      </c>
      <c r="AB75" s="12">
        <f xml:space="preserve"> ( ( $X$49 ) / ( $A75 ) )</f>
        <v>185851.80000000002</v>
      </c>
      <c r="AC75" s="12">
        <f xml:space="preserve"> ( ( $X$49 ) / ( $A75 ) )</f>
        <v>185851.80000000002</v>
      </c>
      <c r="AD75" s="12"/>
      <c r="AE75" s="12"/>
      <c r="AF75" s="12"/>
    </row>
    <row r="76" spans="1:32" ht="15" hidden="1" customHeight="1" outlineLevel="1">
      <c r="A76" s="137">
        <v>5</v>
      </c>
      <c r="B76" s="140">
        <f t="shared" si="44"/>
        <v>929259.00000000012</v>
      </c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>
        <f xml:space="preserve"> ( ( $Y$49 ) / ( $A76 ) )</f>
        <v>185851.80000000002</v>
      </c>
      <c r="AA76" s="12">
        <f xml:space="preserve"> ( ( $Y$49 ) / ( $A76 ) )</f>
        <v>185851.80000000002</v>
      </c>
      <c r="AB76" s="12">
        <f xml:space="preserve"> ( ( $Y$49 ) / ( $A76 ) )</f>
        <v>185851.80000000002</v>
      </c>
      <c r="AC76" s="12">
        <f xml:space="preserve"> ( ( $Y$49 ) / ( $A76 ) )</f>
        <v>185851.80000000002</v>
      </c>
      <c r="AD76" s="12">
        <f xml:space="preserve"> ( ( $Y$49 ) / ( $A76 ) )</f>
        <v>185851.80000000002</v>
      </c>
      <c r="AE76" s="12"/>
      <c r="AF76" s="12"/>
    </row>
    <row r="77" spans="1:32" ht="15" hidden="1" customHeight="1" outlineLevel="1">
      <c r="A77" s="137">
        <v>5</v>
      </c>
      <c r="B77" s="140">
        <f t="shared" si="44"/>
        <v>929259.00000000012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>
        <f xml:space="preserve"> ( ( $Z$49 ) / ( $A77 ) )</f>
        <v>185851.80000000002</v>
      </c>
      <c r="AB77" s="12">
        <f xml:space="preserve"> ( ( $Z$49 ) / ( $A77 ) )</f>
        <v>185851.80000000002</v>
      </c>
      <c r="AC77" s="12">
        <f xml:space="preserve"> ( ( $Z$49 ) / ( $A77 ) )</f>
        <v>185851.80000000002</v>
      </c>
      <c r="AD77" s="12">
        <f xml:space="preserve"> ( ( $Z$49 ) / ( $A77 ) )</f>
        <v>185851.80000000002</v>
      </c>
      <c r="AE77" s="12">
        <f xml:space="preserve"> ( ( $Z$49 ) / ( $A77 ) )</f>
        <v>185851.80000000002</v>
      </c>
      <c r="AF77" s="12"/>
    </row>
    <row r="78" spans="1:32" ht="15" hidden="1" customHeight="1" outlineLevel="1">
      <c r="A78" s="137">
        <v>5</v>
      </c>
      <c r="B78" s="140">
        <f t="shared" si="44"/>
        <v>743407.20000000007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f xml:space="preserve"> ( ( $AA$49 ) / ( $A78 ) )</f>
        <v>185851.80000000002</v>
      </c>
      <c r="AC78" s="12">
        <f xml:space="preserve"> ( ( $AA$49 ) / ( $A78 ) )</f>
        <v>185851.80000000002</v>
      </c>
      <c r="AD78" s="12">
        <f xml:space="preserve"> ( ( $AA$49 ) / ( $A78 ) )</f>
        <v>185851.80000000002</v>
      </c>
      <c r="AE78" s="12">
        <f xml:space="preserve"> ( ( $AA$49 ) / ( $A78 ) )</f>
        <v>185851.80000000002</v>
      </c>
      <c r="AF78" s="12">
        <f xml:space="preserve"> ( ( $AA$49 ) / ( $A78 ) )</f>
        <v>185851.80000000002</v>
      </c>
    </row>
    <row r="79" spans="1:32" ht="15" hidden="1" customHeight="1" outlineLevel="1">
      <c r="A79" s="137">
        <v>4</v>
      </c>
      <c r="B79" s="140">
        <f t="shared" si="44"/>
        <v>696944.25000000012</v>
      </c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>
        <f xml:space="preserve"> ( ( $AB$49 ) / ( $A79 ) )</f>
        <v>232314.75000000003</v>
      </c>
      <c r="AD79" s="12">
        <f xml:space="preserve"> ( ( $AB$49 ) / ( $A79 ) )</f>
        <v>232314.75000000003</v>
      </c>
      <c r="AE79" s="12">
        <f xml:space="preserve"> ( ( $AB$49 ) / ( $A79 ) )</f>
        <v>232314.75000000003</v>
      </c>
      <c r="AF79" s="12">
        <f xml:space="preserve"> ( ( $AB$49 ) / ( $A79 ) )</f>
        <v>232314.75000000003</v>
      </c>
    </row>
    <row r="80" spans="1:32" ht="15" hidden="1" customHeight="1" outlineLevel="1">
      <c r="A80" s="137">
        <v>3</v>
      </c>
      <c r="B80" s="140">
        <f t="shared" si="44"/>
        <v>619506.00000000012</v>
      </c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>
        <f t="shared" ref="AD80:AF80" si="45" xml:space="preserve"> ( ( $AC$49 ) / ( $A80 ) )</f>
        <v>309753.00000000006</v>
      </c>
      <c r="AE80" s="12">
        <f t="shared" si="45"/>
        <v>309753.00000000006</v>
      </c>
      <c r="AF80" s="12">
        <f t="shared" si="45"/>
        <v>309753.00000000006</v>
      </c>
    </row>
    <row r="81" spans="1:32" ht="15" hidden="1" customHeight="1" outlineLevel="1">
      <c r="A81" s="137">
        <v>2</v>
      </c>
      <c r="B81" s="140">
        <f t="shared" si="44"/>
        <v>464629.50000000006</v>
      </c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>
        <f xml:space="preserve"> ( ( $AD$49 ) / ( $A81 ) )</f>
        <v>464629.50000000006</v>
      </c>
      <c r="AF81" s="12">
        <f xml:space="preserve"> ( ( $AD$49 ) / ( $A81 ) )</f>
        <v>464629.50000000006</v>
      </c>
    </row>
    <row r="82" spans="1:32" ht="15" hidden="1" customHeight="1" outlineLevel="1">
      <c r="A82" s="137">
        <v>1</v>
      </c>
      <c r="B82" s="140">
        <f xml:space="preserve"> SUM( $C82:$AF82 )</f>
        <v>1858518.0000000002</v>
      </c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>
        <f xml:space="preserve"> ( ( $AF$49 ) / ( $A82 ) )  +   ( ( $AE$49 ) / ( $A82 ) )</f>
        <v>1858518.0000000002</v>
      </c>
    </row>
    <row r="83" spans="1:32" ht="15" hidden="1" customHeight="1" outlineLevel="1">
      <c r="A83" s="142" t="s">
        <v>209</v>
      </c>
      <c r="B83" s="140">
        <f t="shared" ref="B83" si="46" xml:space="preserve"> SUM( $C83:$AF83 )</f>
        <v>27877770</v>
      </c>
      <c r="C83" s="11">
        <f xml:space="preserve"> SUM( C$54:C$82 )</f>
        <v>0</v>
      </c>
      <c r="D83" s="11">
        <f t="shared" ref="D83:AF83" si="47" xml:space="preserve"> SUM( D$54:D$82 )</f>
        <v>185851.8</v>
      </c>
      <c r="E83" s="11">
        <f t="shared" si="47"/>
        <v>371703.6</v>
      </c>
      <c r="F83" s="11">
        <f t="shared" si="47"/>
        <v>557555.39999999991</v>
      </c>
      <c r="G83" s="11">
        <f t="shared" si="47"/>
        <v>743407.2</v>
      </c>
      <c r="H83" s="11">
        <f t="shared" si="47"/>
        <v>929259</v>
      </c>
      <c r="I83" s="11">
        <f t="shared" si="47"/>
        <v>929259.00000000012</v>
      </c>
      <c r="J83" s="11">
        <f t="shared" si="47"/>
        <v>929259.00000000012</v>
      </c>
      <c r="K83" s="11">
        <f t="shared" si="47"/>
        <v>929259.00000000012</v>
      </c>
      <c r="L83" s="11">
        <f t="shared" si="47"/>
        <v>929259.00000000012</v>
      </c>
      <c r="M83" s="11">
        <f t="shared" si="47"/>
        <v>929259.00000000012</v>
      </c>
      <c r="N83" s="11">
        <f t="shared" si="47"/>
        <v>929259.00000000012</v>
      </c>
      <c r="O83" s="11">
        <f t="shared" si="47"/>
        <v>929259.00000000012</v>
      </c>
      <c r="P83" s="11">
        <f t="shared" si="47"/>
        <v>929259.00000000012</v>
      </c>
      <c r="Q83" s="11">
        <f t="shared" si="47"/>
        <v>929259.00000000012</v>
      </c>
      <c r="R83" s="11">
        <f t="shared" si="47"/>
        <v>929259.00000000012</v>
      </c>
      <c r="S83" s="11">
        <f t="shared" si="47"/>
        <v>929259.00000000012</v>
      </c>
      <c r="T83" s="11">
        <f t="shared" si="47"/>
        <v>929259.00000000012</v>
      </c>
      <c r="U83" s="11">
        <f t="shared" si="47"/>
        <v>929259.00000000012</v>
      </c>
      <c r="V83" s="11">
        <f t="shared" si="47"/>
        <v>929259.00000000012</v>
      </c>
      <c r="W83" s="11">
        <f t="shared" si="47"/>
        <v>929259.00000000012</v>
      </c>
      <c r="X83" s="11">
        <f t="shared" si="47"/>
        <v>929259.00000000012</v>
      </c>
      <c r="Y83" s="11">
        <f t="shared" si="47"/>
        <v>929259.00000000012</v>
      </c>
      <c r="Z83" s="11">
        <f t="shared" si="47"/>
        <v>929259.00000000012</v>
      </c>
      <c r="AA83" s="11">
        <f t="shared" si="47"/>
        <v>929259.00000000012</v>
      </c>
      <c r="AB83" s="11">
        <f t="shared" si="47"/>
        <v>929259.00000000012</v>
      </c>
      <c r="AC83" s="11">
        <f t="shared" si="47"/>
        <v>975721.95000000007</v>
      </c>
      <c r="AD83" s="11">
        <f t="shared" si="47"/>
        <v>1099623.1500000001</v>
      </c>
      <c r="AE83" s="11">
        <f t="shared" si="47"/>
        <v>1378400.85</v>
      </c>
      <c r="AF83" s="11">
        <f t="shared" si="47"/>
        <v>3051067.0500000003</v>
      </c>
    </row>
    <row r="84" spans="1:32" ht="15" hidden="1" customHeight="1" outlineLevel="1">
      <c r="A84" s="141"/>
      <c r="B84" s="141"/>
    </row>
    <row r="85" spans="1:32" ht="15" customHeight="1" collapsed="1">
      <c r="A85" s="141"/>
      <c r="B85" s="141"/>
    </row>
    <row r="86" spans="1:32" ht="15" customHeight="1">
      <c r="A86" s="86" t="s">
        <v>217</v>
      </c>
      <c r="B86" s="140" t="s">
        <v>4</v>
      </c>
      <c r="C86" s="11">
        <f xml:space="preserve"> ( C$9 )</f>
        <v>1</v>
      </c>
      <c r="D86" s="11">
        <f t="shared" ref="D86:AF86" si="48" xml:space="preserve"> ( D$9 )</f>
        <v>2</v>
      </c>
      <c r="E86" s="11">
        <f t="shared" si="48"/>
        <v>3</v>
      </c>
      <c r="F86" s="11">
        <f t="shared" si="48"/>
        <v>4</v>
      </c>
      <c r="G86" s="11">
        <f t="shared" si="48"/>
        <v>5</v>
      </c>
      <c r="H86" s="11">
        <f t="shared" si="48"/>
        <v>6</v>
      </c>
      <c r="I86" s="11">
        <f t="shared" si="48"/>
        <v>7</v>
      </c>
      <c r="J86" s="11">
        <f t="shared" si="48"/>
        <v>8</v>
      </c>
      <c r="K86" s="11">
        <f t="shared" si="48"/>
        <v>9</v>
      </c>
      <c r="L86" s="11">
        <f t="shared" si="48"/>
        <v>10</v>
      </c>
      <c r="M86" s="11">
        <f t="shared" si="48"/>
        <v>11</v>
      </c>
      <c r="N86" s="11">
        <f t="shared" si="48"/>
        <v>12</v>
      </c>
      <c r="O86" s="11">
        <f t="shared" si="48"/>
        <v>13</v>
      </c>
      <c r="P86" s="11">
        <f t="shared" si="48"/>
        <v>14</v>
      </c>
      <c r="Q86" s="11">
        <f t="shared" si="48"/>
        <v>15</v>
      </c>
      <c r="R86" s="11">
        <f t="shared" si="48"/>
        <v>16</v>
      </c>
      <c r="S86" s="11">
        <f t="shared" si="48"/>
        <v>17</v>
      </c>
      <c r="T86" s="11">
        <f t="shared" si="48"/>
        <v>18</v>
      </c>
      <c r="U86" s="11">
        <f t="shared" si="48"/>
        <v>19</v>
      </c>
      <c r="V86" s="11">
        <f t="shared" si="48"/>
        <v>20</v>
      </c>
      <c r="W86" s="11">
        <f t="shared" si="48"/>
        <v>21</v>
      </c>
      <c r="X86" s="11">
        <f t="shared" si="48"/>
        <v>22</v>
      </c>
      <c r="Y86" s="11">
        <f t="shared" si="48"/>
        <v>23</v>
      </c>
      <c r="Z86" s="11">
        <f t="shared" si="48"/>
        <v>24</v>
      </c>
      <c r="AA86" s="11">
        <f t="shared" si="48"/>
        <v>25</v>
      </c>
      <c r="AB86" s="11">
        <f t="shared" si="48"/>
        <v>26</v>
      </c>
      <c r="AC86" s="11">
        <f t="shared" si="48"/>
        <v>27</v>
      </c>
      <c r="AD86" s="11">
        <f t="shared" si="48"/>
        <v>28</v>
      </c>
      <c r="AE86" s="11">
        <f t="shared" si="48"/>
        <v>29</v>
      </c>
      <c r="AF86" s="11">
        <f t="shared" si="48"/>
        <v>30</v>
      </c>
    </row>
    <row r="87" spans="1:32" ht="15" hidden="1" customHeight="1" outlineLevel="1">
      <c r="A87" s="143" t="s">
        <v>137</v>
      </c>
      <c r="B87" s="140">
        <f xml:space="preserve"> SUM( $C87:$AF87 )</f>
        <v>8424000</v>
      </c>
      <c r="C87" s="11">
        <f xml:space="preserve"> SUM( C$88:C$88 )</f>
        <v>183600</v>
      </c>
      <c r="D87" s="11">
        <f t="shared" ref="D87:AF87" si="49" xml:space="preserve"> SUM( D$88:D$88 )</f>
        <v>183600</v>
      </c>
      <c r="E87" s="11">
        <f t="shared" si="49"/>
        <v>216000</v>
      </c>
      <c r="F87" s="11">
        <f t="shared" si="49"/>
        <v>234000</v>
      </c>
      <c r="G87" s="11">
        <f t="shared" si="49"/>
        <v>252000</v>
      </c>
      <c r="H87" s="11">
        <f t="shared" si="49"/>
        <v>273600</v>
      </c>
      <c r="I87" s="11">
        <f t="shared" si="49"/>
        <v>291600</v>
      </c>
      <c r="J87" s="11">
        <f t="shared" si="49"/>
        <v>295200</v>
      </c>
      <c r="K87" s="11">
        <f t="shared" si="49"/>
        <v>295200</v>
      </c>
      <c r="L87" s="11">
        <f t="shared" si="49"/>
        <v>295200</v>
      </c>
      <c r="M87" s="11">
        <f t="shared" si="49"/>
        <v>295200</v>
      </c>
      <c r="N87" s="11">
        <f t="shared" si="49"/>
        <v>295200</v>
      </c>
      <c r="O87" s="11">
        <f t="shared" si="49"/>
        <v>295200</v>
      </c>
      <c r="P87" s="11">
        <f t="shared" si="49"/>
        <v>295200</v>
      </c>
      <c r="Q87" s="11">
        <f t="shared" si="49"/>
        <v>295200</v>
      </c>
      <c r="R87" s="11">
        <f t="shared" si="49"/>
        <v>295200</v>
      </c>
      <c r="S87" s="11">
        <f t="shared" si="49"/>
        <v>295200</v>
      </c>
      <c r="T87" s="11">
        <f t="shared" si="49"/>
        <v>295200</v>
      </c>
      <c r="U87" s="11">
        <f t="shared" si="49"/>
        <v>295200</v>
      </c>
      <c r="V87" s="11">
        <f t="shared" si="49"/>
        <v>295200</v>
      </c>
      <c r="W87" s="11">
        <f t="shared" si="49"/>
        <v>295200</v>
      </c>
      <c r="X87" s="11">
        <f t="shared" si="49"/>
        <v>295200</v>
      </c>
      <c r="Y87" s="11">
        <f t="shared" si="49"/>
        <v>295200</v>
      </c>
      <c r="Z87" s="11">
        <f t="shared" si="49"/>
        <v>295200</v>
      </c>
      <c r="AA87" s="11">
        <f t="shared" si="49"/>
        <v>295200</v>
      </c>
      <c r="AB87" s="11">
        <f t="shared" si="49"/>
        <v>295200</v>
      </c>
      <c r="AC87" s="11">
        <f t="shared" si="49"/>
        <v>295200</v>
      </c>
      <c r="AD87" s="11">
        <f t="shared" si="49"/>
        <v>295200</v>
      </c>
      <c r="AE87" s="11">
        <f t="shared" si="49"/>
        <v>295200</v>
      </c>
      <c r="AF87" s="11">
        <f t="shared" si="49"/>
        <v>295200</v>
      </c>
    </row>
    <row r="88" spans="1:32" ht="15" hidden="1" customHeight="1" outlineLevel="1">
      <c r="A88" s="144" t="s">
        <v>383</v>
      </c>
      <c r="B88" s="140">
        <f>SUM(C88:AF88)</f>
        <v>8424000</v>
      </c>
      <c r="C88" s="12">
        <f>Investimento!D31+Investimento!D47</f>
        <v>183600</v>
      </c>
      <c r="D88" s="12">
        <f>Investimento!E31+Investimento!E47</f>
        <v>183600</v>
      </c>
      <c r="E88" s="12">
        <f>Investimento!F31+Investimento!F47</f>
        <v>216000</v>
      </c>
      <c r="F88" s="12">
        <f>Investimento!G31+Investimento!G47</f>
        <v>234000</v>
      </c>
      <c r="G88" s="12">
        <f>Investimento!H31+Investimento!H47</f>
        <v>252000</v>
      </c>
      <c r="H88" s="12">
        <f>Investimento!I31+Investimento!I47</f>
        <v>273600</v>
      </c>
      <c r="I88" s="12">
        <f>Investimento!J31+Investimento!J47</f>
        <v>291600</v>
      </c>
      <c r="J88" s="12">
        <f>Investimento!K31+Investimento!K47</f>
        <v>295200</v>
      </c>
      <c r="K88" s="12">
        <f>Investimento!L31+Investimento!L47</f>
        <v>295200</v>
      </c>
      <c r="L88" s="12">
        <f>Investimento!M31+Investimento!M47</f>
        <v>295200</v>
      </c>
      <c r="M88" s="12">
        <f>Investimento!N31+Investimento!N47</f>
        <v>295200</v>
      </c>
      <c r="N88" s="12">
        <f>Investimento!O31+Investimento!O47</f>
        <v>295200</v>
      </c>
      <c r="O88" s="12">
        <f>Investimento!P31+Investimento!P47</f>
        <v>295200</v>
      </c>
      <c r="P88" s="12">
        <f>Investimento!Q31+Investimento!Q47</f>
        <v>295200</v>
      </c>
      <c r="Q88" s="12">
        <f>Investimento!R31+Investimento!R47</f>
        <v>295200</v>
      </c>
      <c r="R88" s="12">
        <f>Investimento!S31+Investimento!S47</f>
        <v>295200</v>
      </c>
      <c r="S88" s="12">
        <f>Investimento!T31+Investimento!T47</f>
        <v>295200</v>
      </c>
      <c r="T88" s="12">
        <f>Investimento!U31+Investimento!U47</f>
        <v>295200</v>
      </c>
      <c r="U88" s="12">
        <f>Investimento!V31+Investimento!V47</f>
        <v>295200</v>
      </c>
      <c r="V88" s="12">
        <f>Investimento!W31+Investimento!W47</f>
        <v>295200</v>
      </c>
      <c r="W88" s="12">
        <f>Investimento!X31+Investimento!X47</f>
        <v>295200</v>
      </c>
      <c r="X88" s="12">
        <f>Investimento!Y31+Investimento!Y47</f>
        <v>295200</v>
      </c>
      <c r="Y88" s="12">
        <f>Investimento!Z31+Investimento!Z47</f>
        <v>295200</v>
      </c>
      <c r="Z88" s="12">
        <f>Investimento!AA31+Investimento!AA47</f>
        <v>295200</v>
      </c>
      <c r="AA88" s="12">
        <f>Investimento!AB31+Investimento!AB47</f>
        <v>295200</v>
      </c>
      <c r="AB88" s="12">
        <f>Investimento!AC31+Investimento!AC47</f>
        <v>295200</v>
      </c>
      <c r="AC88" s="12">
        <f>Investimento!AD31+Investimento!AD47</f>
        <v>295200</v>
      </c>
      <c r="AD88" s="12">
        <f>Investimento!AE31+Investimento!AE47</f>
        <v>295200</v>
      </c>
      <c r="AE88" s="12">
        <f>Investimento!AF31+Investimento!AF47</f>
        <v>295200</v>
      </c>
      <c r="AF88" s="12">
        <f>Investimento!AG31+Investimento!AG47</f>
        <v>295200</v>
      </c>
    </row>
    <row r="89" spans="1:32" ht="15" hidden="1" customHeight="1" outlineLevel="1">
      <c r="A89" s="141"/>
      <c r="B89" s="141"/>
    </row>
    <row r="90" spans="1:32" s="4" customFormat="1" ht="15" hidden="1" customHeight="1" outlineLevel="1">
      <c r="A90" s="137" t="s">
        <v>382</v>
      </c>
      <c r="B90" s="140" t="s">
        <v>4</v>
      </c>
      <c r="C90" s="11">
        <f xml:space="preserve"> ( C$9 )</f>
        <v>1</v>
      </c>
      <c r="D90" s="11">
        <f t="shared" ref="D90:AF90" si="50" xml:space="preserve"> ( D$9 )</f>
        <v>2</v>
      </c>
      <c r="E90" s="11">
        <f t="shared" si="50"/>
        <v>3</v>
      </c>
      <c r="F90" s="11">
        <f t="shared" si="50"/>
        <v>4</v>
      </c>
      <c r="G90" s="11">
        <f t="shared" si="50"/>
        <v>5</v>
      </c>
      <c r="H90" s="11">
        <f t="shared" si="50"/>
        <v>6</v>
      </c>
      <c r="I90" s="11">
        <f t="shared" si="50"/>
        <v>7</v>
      </c>
      <c r="J90" s="11">
        <f t="shared" si="50"/>
        <v>8</v>
      </c>
      <c r="K90" s="11">
        <f t="shared" si="50"/>
        <v>9</v>
      </c>
      <c r="L90" s="11">
        <f t="shared" si="50"/>
        <v>10</v>
      </c>
      <c r="M90" s="11">
        <f t="shared" si="50"/>
        <v>11</v>
      </c>
      <c r="N90" s="11">
        <f t="shared" si="50"/>
        <v>12</v>
      </c>
      <c r="O90" s="11">
        <f t="shared" si="50"/>
        <v>13</v>
      </c>
      <c r="P90" s="11">
        <f t="shared" si="50"/>
        <v>14</v>
      </c>
      <c r="Q90" s="11">
        <f t="shared" si="50"/>
        <v>15</v>
      </c>
      <c r="R90" s="11">
        <f t="shared" si="50"/>
        <v>16</v>
      </c>
      <c r="S90" s="11">
        <f t="shared" si="50"/>
        <v>17</v>
      </c>
      <c r="T90" s="11">
        <f t="shared" si="50"/>
        <v>18</v>
      </c>
      <c r="U90" s="11">
        <f t="shared" si="50"/>
        <v>19</v>
      </c>
      <c r="V90" s="11">
        <f t="shared" si="50"/>
        <v>20</v>
      </c>
      <c r="W90" s="11">
        <f t="shared" si="50"/>
        <v>21</v>
      </c>
      <c r="X90" s="11">
        <f t="shared" si="50"/>
        <v>22</v>
      </c>
      <c r="Y90" s="11">
        <f t="shared" si="50"/>
        <v>23</v>
      </c>
      <c r="Z90" s="11">
        <f t="shared" si="50"/>
        <v>24</v>
      </c>
      <c r="AA90" s="11">
        <f t="shared" si="50"/>
        <v>25</v>
      </c>
      <c r="AB90" s="11">
        <f t="shared" si="50"/>
        <v>26</v>
      </c>
      <c r="AC90" s="11">
        <f t="shared" si="50"/>
        <v>27</v>
      </c>
      <c r="AD90" s="11">
        <f t="shared" si="50"/>
        <v>28</v>
      </c>
      <c r="AE90" s="11">
        <f t="shared" si="50"/>
        <v>29</v>
      </c>
      <c r="AF90" s="11">
        <f t="shared" si="50"/>
        <v>30</v>
      </c>
    </row>
    <row r="91" spans="1:32" s="28" customFormat="1" ht="15" hidden="1" customHeight="1" outlineLevel="1">
      <c r="A91" s="137">
        <v>10</v>
      </c>
      <c r="B91" s="140">
        <f t="shared" ref="B91:B115" si="51" xml:space="preserve"> SUM( $C91:$AE91 )</f>
        <v>183600</v>
      </c>
      <c r="C91" s="139">
        <f xml:space="preserve"> ( ( $C$87 ) / ( $A91 ) )</f>
        <v>18360</v>
      </c>
      <c r="D91" s="139">
        <f t="shared" ref="D91:L91" si="52" xml:space="preserve"> ( ( $C$87 ) / ( $A91 ) )</f>
        <v>18360</v>
      </c>
      <c r="E91" s="139">
        <f t="shared" si="52"/>
        <v>18360</v>
      </c>
      <c r="F91" s="139">
        <f t="shared" si="52"/>
        <v>18360</v>
      </c>
      <c r="G91" s="139">
        <f t="shared" si="52"/>
        <v>18360</v>
      </c>
      <c r="H91" s="139">
        <f t="shared" si="52"/>
        <v>18360</v>
      </c>
      <c r="I91" s="139">
        <f t="shared" si="52"/>
        <v>18360</v>
      </c>
      <c r="J91" s="139">
        <f t="shared" si="52"/>
        <v>18360</v>
      </c>
      <c r="K91" s="139">
        <f t="shared" si="52"/>
        <v>18360</v>
      </c>
      <c r="L91" s="139">
        <f t="shared" si="52"/>
        <v>18360</v>
      </c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</row>
    <row r="92" spans="1:32" s="28" customFormat="1" ht="15" hidden="1" customHeight="1" outlineLevel="1">
      <c r="A92" s="137">
        <v>10</v>
      </c>
      <c r="B92" s="140">
        <f t="shared" si="51"/>
        <v>183600</v>
      </c>
      <c r="C92" s="139"/>
      <c r="D92" s="139">
        <f xml:space="preserve"> ( ( $D$87 ) / ( $A92 ) )</f>
        <v>18360</v>
      </c>
      <c r="E92" s="139">
        <f t="shared" ref="E92:M92" si="53" xml:space="preserve"> ( ( $D$87 ) / ( $A92 ) )</f>
        <v>18360</v>
      </c>
      <c r="F92" s="139">
        <f t="shared" si="53"/>
        <v>18360</v>
      </c>
      <c r="G92" s="139">
        <f t="shared" si="53"/>
        <v>18360</v>
      </c>
      <c r="H92" s="139">
        <f t="shared" si="53"/>
        <v>18360</v>
      </c>
      <c r="I92" s="139">
        <f t="shared" si="53"/>
        <v>18360</v>
      </c>
      <c r="J92" s="139">
        <f t="shared" si="53"/>
        <v>18360</v>
      </c>
      <c r="K92" s="139">
        <f t="shared" si="53"/>
        <v>18360</v>
      </c>
      <c r="L92" s="139">
        <f t="shared" si="53"/>
        <v>18360</v>
      </c>
      <c r="M92" s="139">
        <f t="shared" si="53"/>
        <v>18360</v>
      </c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</row>
    <row r="93" spans="1:32" s="28" customFormat="1" ht="15" hidden="1" customHeight="1" outlineLevel="1">
      <c r="A93" s="137">
        <v>10</v>
      </c>
      <c r="B93" s="140">
        <f t="shared" si="51"/>
        <v>216000</v>
      </c>
      <c r="C93" s="139"/>
      <c r="D93" s="139"/>
      <c r="E93" s="139">
        <f xml:space="preserve"> ( ( $E$87 ) / ( $A93 ) )</f>
        <v>21600</v>
      </c>
      <c r="F93" s="139">
        <f t="shared" ref="F93:N93" si="54" xml:space="preserve"> ( ( $E$87 ) / ( $A93 ) )</f>
        <v>21600</v>
      </c>
      <c r="G93" s="139">
        <f t="shared" si="54"/>
        <v>21600</v>
      </c>
      <c r="H93" s="139">
        <f t="shared" si="54"/>
        <v>21600</v>
      </c>
      <c r="I93" s="139">
        <f t="shared" si="54"/>
        <v>21600</v>
      </c>
      <c r="J93" s="139">
        <f t="shared" si="54"/>
        <v>21600</v>
      </c>
      <c r="K93" s="139">
        <f t="shared" si="54"/>
        <v>21600</v>
      </c>
      <c r="L93" s="139">
        <f t="shared" si="54"/>
        <v>21600</v>
      </c>
      <c r="M93" s="139">
        <f t="shared" si="54"/>
        <v>21600</v>
      </c>
      <c r="N93" s="139">
        <f t="shared" si="54"/>
        <v>21600</v>
      </c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</row>
    <row r="94" spans="1:32" s="28" customFormat="1" ht="15" hidden="1" customHeight="1" outlineLevel="1">
      <c r="A94" s="137">
        <v>10</v>
      </c>
      <c r="B94" s="140">
        <f t="shared" si="51"/>
        <v>234000</v>
      </c>
      <c r="C94" s="139"/>
      <c r="D94" s="139"/>
      <c r="E94" s="139"/>
      <c r="F94" s="139">
        <f xml:space="preserve"> ( ( $F$87 ) / ( $A94 ) )</f>
        <v>23400</v>
      </c>
      <c r="G94" s="139">
        <f t="shared" ref="G94:O94" si="55" xml:space="preserve"> ( ( $F$87 ) / ( $A94 ) )</f>
        <v>23400</v>
      </c>
      <c r="H94" s="139">
        <f t="shared" si="55"/>
        <v>23400</v>
      </c>
      <c r="I94" s="139">
        <f t="shared" si="55"/>
        <v>23400</v>
      </c>
      <c r="J94" s="139">
        <f t="shared" si="55"/>
        <v>23400</v>
      </c>
      <c r="K94" s="139">
        <f t="shared" si="55"/>
        <v>23400</v>
      </c>
      <c r="L94" s="139">
        <f t="shared" si="55"/>
        <v>23400</v>
      </c>
      <c r="M94" s="139">
        <f t="shared" si="55"/>
        <v>23400</v>
      </c>
      <c r="N94" s="139">
        <f t="shared" si="55"/>
        <v>23400</v>
      </c>
      <c r="O94" s="139">
        <f t="shared" si="55"/>
        <v>23400</v>
      </c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</row>
    <row r="95" spans="1:32" s="28" customFormat="1" ht="15" hidden="1" customHeight="1" outlineLevel="1">
      <c r="A95" s="137">
        <v>10</v>
      </c>
      <c r="B95" s="140">
        <f t="shared" si="51"/>
        <v>252000</v>
      </c>
      <c r="C95" s="139"/>
      <c r="D95" s="139"/>
      <c r="E95" s="139"/>
      <c r="F95" s="139"/>
      <c r="G95" s="139">
        <f xml:space="preserve"> ( ( $G$87 ) / ( $A95 ) )</f>
        <v>25200</v>
      </c>
      <c r="H95" s="139">
        <f t="shared" ref="H95:P95" si="56" xml:space="preserve"> ( ( $G$87 ) / ( $A95 ) )</f>
        <v>25200</v>
      </c>
      <c r="I95" s="139">
        <f t="shared" si="56"/>
        <v>25200</v>
      </c>
      <c r="J95" s="139">
        <f t="shared" si="56"/>
        <v>25200</v>
      </c>
      <c r="K95" s="139">
        <f t="shared" si="56"/>
        <v>25200</v>
      </c>
      <c r="L95" s="139">
        <f t="shared" si="56"/>
        <v>25200</v>
      </c>
      <c r="M95" s="139">
        <f t="shared" si="56"/>
        <v>25200</v>
      </c>
      <c r="N95" s="139">
        <f t="shared" si="56"/>
        <v>25200</v>
      </c>
      <c r="O95" s="139">
        <f t="shared" si="56"/>
        <v>25200</v>
      </c>
      <c r="P95" s="139">
        <f t="shared" si="56"/>
        <v>25200</v>
      </c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</row>
    <row r="96" spans="1:32" s="28" customFormat="1" ht="15" hidden="1" customHeight="1" outlineLevel="1">
      <c r="A96" s="137">
        <v>10</v>
      </c>
      <c r="B96" s="140">
        <f t="shared" si="51"/>
        <v>273600</v>
      </c>
      <c r="C96" s="139"/>
      <c r="D96" s="139"/>
      <c r="E96" s="139"/>
      <c r="F96" s="139"/>
      <c r="G96" s="139"/>
      <c r="H96" s="139">
        <f xml:space="preserve"> ( ( $H$87 ) / ( $A96 ) )</f>
        <v>27360</v>
      </c>
      <c r="I96" s="139">
        <f t="shared" ref="I96:Q96" si="57" xml:space="preserve"> ( ( $H$87 ) / ( $A96 ) )</f>
        <v>27360</v>
      </c>
      <c r="J96" s="139">
        <f t="shared" si="57"/>
        <v>27360</v>
      </c>
      <c r="K96" s="139">
        <f t="shared" si="57"/>
        <v>27360</v>
      </c>
      <c r="L96" s="139">
        <f t="shared" si="57"/>
        <v>27360</v>
      </c>
      <c r="M96" s="139">
        <f t="shared" si="57"/>
        <v>27360</v>
      </c>
      <c r="N96" s="139">
        <f t="shared" si="57"/>
        <v>27360</v>
      </c>
      <c r="O96" s="139">
        <f t="shared" si="57"/>
        <v>27360</v>
      </c>
      <c r="P96" s="139">
        <f t="shared" si="57"/>
        <v>27360</v>
      </c>
      <c r="Q96" s="139">
        <f t="shared" si="57"/>
        <v>27360</v>
      </c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</row>
    <row r="97" spans="1:32" s="28" customFormat="1" ht="15" hidden="1" customHeight="1" outlineLevel="1">
      <c r="A97" s="137">
        <v>10</v>
      </c>
      <c r="B97" s="140">
        <f t="shared" si="51"/>
        <v>291600</v>
      </c>
      <c r="C97" s="139"/>
      <c r="D97" s="139"/>
      <c r="E97" s="139"/>
      <c r="F97" s="139"/>
      <c r="G97" s="139"/>
      <c r="H97" s="139"/>
      <c r="I97" s="139">
        <f xml:space="preserve"> ( ( $I$87 ) / ( $A97 ) )</f>
        <v>29160</v>
      </c>
      <c r="J97" s="139">
        <f t="shared" ref="J97:R97" si="58" xml:space="preserve"> ( ( $I$87 ) / ( $A97 ) )</f>
        <v>29160</v>
      </c>
      <c r="K97" s="139">
        <f t="shared" si="58"/>
        <v>29160</v>
      </c>
      <c r="L97" s="139">
        <f t="shared" si="58"/>
        <v>29160</v>
      </c>
      <c r="M97" s="139">
        <f t="shared" si="58"/>
        <v>29160</v>
      </c>
      <c r="N97" s="139">
        <f t="shared" si="58"/>
        <v>29160</v>
      </c>
      <c r="O97" s="139">
        <f t="shared" si="58"/>
        <v>29160</v>
      </c>
      <c r="P97" s="139">
        <f t="shared" si="58"/>
        <v>29160</v>
      </c>
      <c r="Q97" s="139">
        <f t="shared" si="58"/>
        <v>29160</v>
      </c>
      <c r="R97" s="139">
        <f t="shared" si="58"/>
        <v>29160</v>
      </c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</row>
    <row r="98" spans="1:32" s="28" customFormat="1" ht="15" hidden="1" customHeight="1" outlineLevel="1">
      <c r="A98" s="137">
        <v>10</v>
      </c>
      <c r="B98" s="140">
        <f t="shared" si="51"/>
        <v>295200</v>
      </c>
      <c r="C98" s="139"/>
      <c r="D98" s="139"/>
      <c r="E98" s="139"/>
      <c r="F98" s="139"/>
      <c r="G98" s="139"/>
      <c r="H98" s="139"/>
      <c r="I98" s="139"/>
      <c r="J98" s="139">
        <f xml:space="preserve"> ( ( $J$87 ) / ( $A98 ) )</f>
        <v>29520</v>
      </c>
      <c r="K98" s="139">
        <f t="shared" ref="K98:S98" si="59" xml:space="preserve"> ( ( $J$87 ) / ( $A98 ) )</f>
        <v>29520</v>
      </c>
      <c r="L98" s="139">
        <f t="shared" si="59"/>
        <v>29520</v>
      </c>
      <c r="M98" s="139">
        <f t="shared" si="59"/>
        <v>29520</v>
      </c>
      <c r="N98" s="139">
        <f t="shared" si="59"/>
        <v>29520</v>
      </c>
      <c r="O98" s="139">
        <f t="shared" si="59"/>
        <v>29520</v>
      </c>
      <c r="P98" s="139">
        <f t="shared" si="59"/>
        <v>29520</v>
      </c>
      <c r="Q98" s="139">
        <f t="shared" si="59"/>
        <v>29520</v>
      </c>
      <c r="R98" s="139">
        <f t="shared" si="59"/>
        <v>29520</v>
      </c>
      <c r="S98" s="139">
        <f t="shared" si="59"/>
        <v>29520</v>
      </c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</row>
    <row r="99" spans="1:32" s="28" customFormat="1" ht="15" hidden="1" customHeight="1" outlineLevel="1">
      <c r="A99" s="137">
        <v>10</v>
      </c>
      <c r="B99" s="140">
        <f t="shared" si="51"/>
        <v>295200</v>
      </c>
      <c r="C99" s="139"/>
      <c r="D99" s="139"/>
      <c r="E99" s="139"/>
      <c r="F99" s="139"/>
      <c r="G99" s="139"/>
      <c r="H99" s="139"/>
      <c r="I99" s="139"/>
      <c r="J99" s="139"/>
      <c r="K99" s="139">
        <f xml:space="preserve"> ( ( $K$87 ) / ( $A99 ) )</f>
        <v>29520</v>
      </c>
      <c r="L99" s="139">
        <f t="shared" ref="L99:T99" si="60" xml:space="preserve"> ( ( $K$87 ) / ( $A99 ) )</f>
        <v>29520</v>
      </c>
      <c r="M99" s="139">
        <f t="shared" si="60"/>
        <v>29520</v>
      </c>
      <c r="N99" s="139">
        <f t="shared" si="60"/>
        <v>29520</v>
      </c>
      <c r="O99" s="139">
        <f t="shared" si="60"/>
        <v>29520</v>
      </c>
      <c r="P99" s="139">
        <f t="shared" si="60"/>
        <v>29520</v>
      </c>
      <c r="Q99" s="139">
        <f t="shared" si="60"/>
        <v>29520</v>
      </c>
      <c r="R99" s="139">
        <f t="shared" si="60"/>
        <v>29520</v>
      </c>
      <c r="S99" s="139">
        <f t="shared" si="60"/>
        <v>29520</v>
      </c>
      <c r="T99" s="139">
        <f t="shared" si="60"/>
        <v>29520</v>
      </c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</row>
    <row r="100" spans="1:32" s="28" customFormat="1" ht="15" hidden="1" customHeight="1" outlineLevel="1">
      <c r="A100" s="137">
        <v>10</v>
      </c>
      <c r="B100" s="140">
        <f t="shared" si="51"/>
        <v>295200</v>
      </c>
      <c r="C100" s="139"/>
      <c r="D100" s="139"/>
      <c r="E100" s="139"/>
      <c r="F100" s="139"/>
      <c r="G100" s="139"/>
      <c r="H100" s="139"/>
      <c r="I100" s="139"/>
      <c r="J100" s="139"/>
      <c r="K100" s="139"/>
      <c r="L100" s="139">
        <f t="shared" ref="L100:U100" si="61" xml:space="preserve"> ( ( $L$87 ) / ( $A100 ) )</f>
        <v>29520</v>
      </c>
      <c r="M100" s="139">
        <f t="shared" si="61"/>
        <v>29520</v>
      </c>
      <c r="N100" s="139">
        <f t="shared" si="61"/>
        <v>29520</v>
      </c>
      <c r="O100" s="139">
        <f t="shared" si="61"/>
        <v>29520</v>
      </c>
      <c r="P100" s="139">
        <f t="shared" si="61"/>
        <v>29520</v>
      </c>
      <c r="Q100" s="139">
        <f t="shared" si="61"/>
        <v>29520</v>
      </c>
      <c r="R100" s="139">
        <f t="shared" si="61"/>
        <v>29520</v>
      </c>
      <c r="S100" s="139">
        <f t="shared" si="61"/>
        <v>29520</v>
      </c>
      <c r="T100" s="139">
        <f t="shared" si="61"/>
        <v>29520</v>
      </c>
      <c r="U100" s="139">
        <f t="shared" si="61"/>
        <v>29520</v>
      </c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</row>
    <row r="101" spans="1:32" s="28" customFormat="1" ht="15" hidden="1" customHeight="1" outlineLevel="1">
      <c r="A101" s="137">
        <v>10</v>
      </c>
      <c r="B101" s="140">
        <f t="shared" si="51"/>
        <v>295200</v>
      </c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>
        <f t="shared" ref="M101:V101" si="62" xml:space="preserve"> ( ( $M$87 ) / ( $A101 ) )</f>
        <v>29520</v>
      </c>
      <c r="N101" s="139">
        <f t="shared" si="62"/>
        <v>29520</v>
      </c>
      <c r="O101" s="139">
        <f t="shared" si="62"/>
        <v>29520</v>
      </c>
      <c r="P101" s="139">
        <f t="shared" si="62"/>
        <v>29520</v>
      </c>
      <c r="Q101" s="139">
        <f t="shared" si="62"/>
        <v>29520</v>
      </c>
      <c r="R101" s="139">
        <f t="shared" si="62"/>
        <v>29520</v>
      </c>
      <c r="S101" s="139">
        <f t="shared" si="62"/>
        <v>29520</v>
      </c>
      <c r="T101" s="139">
        <f t="shared" si="62"/>
        <v>29520</v>
      </c>
      <c r="U101" s="139">
        <f t="shared" si="62"/>
        <v>29520</v>
      </c>
      <c r="V101" s="139">
        <f t="shared" si="62"/>
        <v>29520</v>
      </c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</row>
    <row r="102" spans="1:32" s="28" customFormat="1" ht="15" hidden="1" customHeight="1" outlineLevel="1">
      <c r="A102" s="137">
        <v>10</v>
      </c>
      <c r="B102" s="140">
        <f t="shared" si="51"/>
        <v>295200</v>
      </c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>
        <f t="shared" ref="N102:W102" si="63" xml:space="preserve"> ( ( $N$87 ) / ( $A102 ) )</f>
        <v>29520</v>
      </c>
      <c r="O102" s="139">
        <f t="shared" si="63"/>
        <v>29520</v>
      </c>
      <c r="P102" s="139">
        <f t="shared" si="63"/>
        <v>29520</v>
      </c>
      <c r="Q102" s="139">
        <f t="shared" si="63"/>
        <v>29520</v>
      </c>
      <c r="R102" s="139">
        <f t="shared" si="63"/>
        <v>29520</v>
      </c>
      <c r="S102" s="139">
        <f t="shared" si="63"/>
        <v>29520</v>
      </c>
      <c r="T102" s="139">
        <f t="shared" si="63"/>
        <v>29520</v>
      </c>
      <c r="U102" s="139">
        <f t="shared" si="63"/>
        <v>29520</v>
      </c>
      <c r="V102" s="139">
        <f t="shared" si="63"/>
        <v>29520</v>
      </c>
      <c r="W102" s="139">
        <f t="shared" si="63"/>
        <v>29520</v>
      </c>
      <c r="X102" s="139"/>
      <c r="Y102" s="139"/>
      <c r="Z102" s="139"/>
      <c r="AA102" s="139"/>
      <c r="AB102" s="139"/>
      <c r="AC102" s="139"/>
      <c r="AD102" s="139"/>
      <c r="AE102" s="139"/>
      <c r="AF102" s="139"/>
    </row>
    <row r="103" spans="1:32" s="28" customFormat="1" ht="15" hidden="1" customHeight="1" outlineLevel="1">
      <c r="A103" s="137">
        <v>10</v>
      </c>
      <c r="B103" s="140">
        <f t="shared" si="51"/>
        <v>295200</v>
      </c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>
        <f t="shared" ref="O103:X103" si="64" xml:space="preserve"> ( ( $O$87 ) / ( $A103 ) )</f>
        <v>29520</v>
      </c>
      <c r="P103" s="139">
        <f t="shared" si="64"/>
        <v>29520</v>
      </c>
      <c r="Q103" s="139">
        <f t="shared" si="64"/>
        <v>29520</v>
      </c>
      <c r="R103" s="139">
        <f t="shared" si="64"/>
        <v>29520</v>
      </c>
      <c r="S103" s="139">
        <f t="shared" si="64"/>
        <v>29520</v>
      </c>
      <c r="T103" s="139">
        <f t="shared" si="64"/>
        <v>29520</v>
      </c>
      <c r="U103" s="139">
        <f t="shared" si="64"/>
        <v>29520</v>
      </c>
      <c r="V103" s="139">
        <f t="shared" si="64"/>
        <v>29520</v>
      </c>
      <c r="W103" s="139">
        <f t="shared" si="64"/>
        <v>29520</v>
      </c>
      <c r="X103" s="139">
        <f t="shared" si="64"/>
        <v>29520</v>
      </c>
      <c r="Y103" s="139"/>
      <c r="Z103" s="139"/>
      <c r="AA103" s="139"/>
      <c r="AB103" s="139"/>
      <c r="AC103" s="139"/>
      <c r="AD103" s="139"/>
      <c r="AE103" s="139"/>
      <c r="AF103" s="139"/>
    </row>
    <row r="104" spans="1:32" s="28" customFormat="1" ht="15" hidden="1" customHeight="1" outlineLevel="1">
      <c r="A104" s="137">
        <v>10</v>
      </c>
      <c r="B104" s="140">
        <f t="shared" si="51"/>
        <v>295200</v>
      </c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>
        <f t="shared" ref="P104:Y104" si="65" xml:space="preserve"> ( ( $P$87 ) / ( $A104 ) )</f>
        <v>29520</v>
      </c>
      <c r="Q104" s="139">
        <f t="shared" si="65"/>
        <v>29520</v>
      </c>
      <c r="R104" s="139">
        <f t="shared" si="65"/>
        <v>29520</v>
      </c>
      <c r="S104" s="139">
        <f t="shared" si="65"/>
        <v>29520</v>
      </c>
      <c r="T104" s="139">
        <f t="shared" si="65"/>
        <v>29520</v>
      </c>
      <c r="U104" s="139">
        <f t="shared" si="65"/>
        <v>29520</v>
      </c>
      <c r="V104" s="139">
        <f t="shared" si="65"/>
        <v>29520</v>
      </c>
      <c r="W104" s="139">
        <f t="shared" si="65"/>
        <v>29520</v>
      </c>
      <c r="X104" s="139">
        <f t="shared" si="65"/>
        <v>29520</v>
      </c>
      <c r="Y104" s="139">
        <f t="shared" si="65"/>
        <v>29520</v>
      </c>
      <c r="Z104" s="139"/>
      <c r="AA104" s="139"/>
      <c r="AB104" s="139"/>
      <c r="AC104" s="139"/>
      <c r="AD104" s="139"/>
      <c r="AE104" s="139"/>
      <c r="AF104" s="139"/>
    </row>
    <row r="105" spans="1:32" s="28" customFormat="1" ht="15" hidden="1" customHeight="1" outlineLevel="1">
      <c r="A105" s="137">
        <v>10</v>
      </c>
      <c r="B105" s="140">
        <f t="shared" si="51"/>
        <v>295200</v>
      </c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>
        <f t="shared" ref="Q105:Z105" si="66" xml:space="preserve"> ( ( $Q$87 ) / ( $A105 ) )</f>
        <v>29520</v>
      </c>
      <c r="R105" s="139">
        <f t="shared" si="66"/>
        <v>29520</v>
      </c>
      <c r="S105" s="139">
        <f t="shared" si="66"/>
        <v>29520</v>
      </c>
      <c r="T105" s="139">
        <f t="shared" si="66"/>
        <v>29520</v>
      </c>
      <c r="U105" s="139">
        <f t="shared" si="66"/>
        <v>29520</v>
      </c>
      <c r="V105" s="139">
        <f t="shared" si="66"/>
        <v>29520</v>
      </c>
      <c r="W105" s="139">
        <f t="shared" si="66"/>
        <v>29520</v>
      </c>
      <c r="X105" s="139">
        <f t="shared" si="66"/>
        <v>29520</v>
      </c>
      <c r="Y105" s="139">
        <f t="shared" si="66"/>
        <v>29520</v>
      </c>
      <c r="Z105" s="139">
        <f t="shared" si="66"/>
        <v>29520</v>
      </c>
      <c r="AA105" s="139"/>
      <c r="AB105" s="139"/>
      <c r="AC105" s="139"/>
      <c r="AD105" s="139"/>
      <c r="AE105" s="139"/>
      <c r="AF105" s="139"/>
    </row>
    <row r="106" spans="1:32" s="28" customFormat="1" ht="15" hidden="1" customHeight="1" outlineLevel="1">
      <c r="A106" s="137">
        <v>10</v>
      </c>
      <c r="B106" s="140">
        <f t="shared" si="51"/>
        <v>295200</v>
      </c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>
        <f t="shared" ref="R106:AA106" si="67" xml:space="preserve"> ( ( $R$87 ) / ( $A106 ) )</f>
        <v>29520</v>
      </c>
      <c r="S106" s="139">
        <f t="shared" si="67"/>
        <v>29520</v>
      </c>
      <c r="T106" s="139">
        <f t="shared" si="67"/>
        <v>29520</v>
      </c>
      <c r="U106" s="139">
        <f t="shared" si="67"/>
        <v>29520</v>
      </c>
      <c r="V106" s="139">
        <f t="shared" si="67"/>
        <v>29520</v>
      </c>
      <c r="W106" s="139">
        <f t="shared" si="67"/>
        <v>29520</v>
      </c>
      <c r="X106" s="139">
        <f t="shared" si="67"/>
        <v>29520</v>
      </c>
      <c r="Y106" s="139">
        <f t="shared" si="67"/>
        <v>29520</v>
      </c>
      <c r="Z106" s="139">
        <f t="shared" si="67"/>
        <v>29520</v>
      </c>
      <c r="AA106" s="139">
        <f t="shared" si="67"/>
        <v>29520</v>
      </c>
      <c r="AB106" s="139"/>
      <c r="AC106" s="139"/>
      <c r="AD106" s="139"/>
      <c r="AE106" s="139"/>
      <c r="AF106" s="139"/>
    </row>
    <row r="107" spans="1:32" s="28" customFormat="1" ht="15" hidden="1" customHeight="1" outlineLevel="1">
      <c r="A107" s="137">
        <v>10</v>
      </c>
      <c r="B107" s="140">
        <f t="shared" si="51"/>
        <v>295200</v>
      </c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>
        <f t="shared" ref="S107:AB107" si="68" xml:space="preserve"> ( ( $S$87 ) / ( $A107 ) )</f>
        <v>29520</v>
      </c>
      <c r="T107" s="139">
        <f t="shared" si="68"/>
        <v>29520</v>
      </c>
      <c r="U107" s="139">
        <f t="shared" si="68"/>
        <v>29520</v>
      </c>
      <c r="V107" s="139">
        <f t="shared" si="68"/>
        <v>29520</v>
      </c>
      <c r="W107" s="139">
        <f t="shared" si="68"/>
        <v>29520</v>
      </c>
      <c r="X107" s="139">
        <f t="shared" si="68"/>
        <v>29520</v>
      </c>
      <c r="Y107" s="139">
        <f t="shared" si="68"/>
        <v>29520</v>
      </c>
      <c r="Z107" s="139">
        <f t="shared" si="68"/>
        <v>29520</v>
      </c>
      <c r="AA107" s="139">
        <f t="shared" si="68"/>
        <v>29520</v>
      </c>
      <c r="AB107" s="139">
        <f t="shared" si="68"/>
        <v>29520</v>
      </c>
      <c r="AC107" s="139"/>
      <c r="AD107" s="139"/>
      <c r="AE107" s="139"/>
      <c r="AF107" s="139"/>
    </row>
    <row r="108" spans="1:32" s="28" customFormat="1" ht="15" hidden="1" customHeight="1" outlineLevel="1">
      <c r="A108" s="137">
        <v>10</v>
      </c>
      <c r="B108" s="140">
        <f t="shared" si="51"/>
        <v>295200</v>
      </c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>
        <f t="shared" ref="T108:AC108" si="69" xml:space="preserve"> ( ( $T$87 ) / ( $A108 ) )</f>
        <v>29520</v>
      </c>
      <c r="U108" s="139">
        <f t="shared" si="69"/>
        <v>29520</v>
      </c>
      <c r="V108" s="139">
        <f t="shared" si="69"/>
        <v>29520</v>
      </c>
      <c r="W108" s="139">
        <f t="shared" si="69"/>
        <v>29520</v>
      </c>
      <c r="X108" s="139">
        <f t="shared" si="69"/>
        <v>29520</v>
      </c>
      <c r="Y108" s="139">
        <f t="shared" si="69"/>
        <v>29520</v>
      </c>
      <c r="Z108" s="139">
        <f t="shared" si="69"/>
        <v>29520</v>
      </c>
      <c r="AA108" s="139">
        <f t="shared" si="69"/>
        <v>29520</v>
      </c>
      <c r="AB108" s="139">
        <f t="shared" si="69"/>
        <v>29520</v>
      </c>
      <c r="AC108" s="139">
        <f t="shared" si="69"/>
        <v>29520</v>
      </c>
      <c r="AD108" s="139"/>
      <c r="AE108" s="139"/>
      <c r="AF108" s="139"/>
    </row>
    <row r="109" spans="1:32" s="28" customFormat="1" ht="15" hidden="1" customHeight="1" outlineLevel="1">
      <c r="A109" s="137">
        <v>10</v>
      </c>
      <c r="B109" s="140">
        <f t="shared" si="51"/>
        <v>295200</v>
      </c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>
        <f t="shared" ref="U109:AD109" si="70" xml:space="preserve"> ( ( $U$87 ) / ( $A109 ) )</f>
        <v>29520</v>
      </c>
      <c r="V109" s="139">
        <f t="shared" si="70"/>
        <v>29520</v>
      </c>
      <c r="W109" s="139">
        <f t="shared" si="70"/>
        <v>29520</v>
      </c>
      <c r="X109" s="139">
        <f t="shared" si="70"/>
        <v>29520</v>
      </c>
      <c r="Y109" s="139">
        <f t="shared" si="70"/>
        <v>29520</v>
      </c>
      <c r="Z109" s="139">
        <f t="shared" si="70"/>
        <v>29520</v>
      </c>
      <c r="AA109" s="139">
        <f t="shared" si="70"/>
        <v>29520</v>
      </c>
      <c r="AB109" s="139">
        <f t="shared" si="70"/>
        <v>29520</v>
      </c>
      <c r="AC109" s="139">
        <f t="shared" si="70"/>
        <v>29520</v>
      </c>
      <c r="AD109" s="139">
        <f t="shared" si="70"/>
        <v>29520</v>
      </c>
      <c r="AE109" s="139"/>
      <c r="AF109" s="139"/>
    </row>
    <row r="110" spans="1:32" s="28" customFormat="1" ht="15" hidden="1" customHeight="1" outlineLevel="1">
      <c r="A110" s="137">
        <v>10</v>
      </c>
      <c r="B110" s="140">
        <f t="shared" si="51"/>
        <v>295200</v>
      </c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>
        <f t="shared" ref="V110:AE110" si="71" xml:space="preserve"> ( ( $V$87 ) / ( $A110 ) )</f>
        <v>29520</v>
      </c>
      <c r="W110" s="139">
        <f t="shared" si="71"/>
        <v>29520</v>
      </c>
      <c r="X110" s="139">
        <f t="shared" si="71"/>
        <v>29520</v>
      </c>
      <c r="Y110" s="139">
        <f t="shared" si="71"/>
        <v>29520</v>
      </c>
      <c r="Z110" s="139">
        <f t="shared" si="71"/>
        <v>29520</v>
      </c>
      <c r="AA110" s="139">
        <f t="shared" si="71"/>
        <v>29520</v>
      </c>
      <c r="AB110" s="139">
        <f t="shared" si="71"/>
        <v>29520</v>
      </c>
      <c r="AC110" s="139">
        <f t="shared" si="71"/>
        <v>29520</v>
      </c>
      <c r="AD110" s="139">
        <f t="shared" si="71"/>
        <v>29520</v>
      </c>
      <c r="AE110" s="139">
        <f t="shared" si="71"/>
        <v>29520</v>
      </c>
      <c r="AF110" s="139"/>
    </row>
    <row r="111" spans="1:32" s="28" customFormat="1" ht="15" hidden="1" customHeight="1" outlineLevel="1">
      <c r="A111" s="137">
        <v>10</v>
      </c>
      <c r="B111" s="140">
        <f t="shared" si="51"/>
        <v>265680</v>
      </c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>
        <f t="shared" ref="W111:AF111" si="72" xml:space="preserve"> ( ( $W$87 ) / ( $A111 ) )</f>
        <v>29520</v>
      </c>
      <c r="X111" s="139">
        <f t="shared" si="72"/>
        <v>29520</v>
      </c>
      <c r="Y111" s="139">
        <f t="shared" si="72"/>
        <v>29520</v>
      </c>
      <c r="Z111" s="139">
        <f t="shared" si="72"/>
        <v>29520</v>
      </c>
      <c r="AA111" s="139">
        <f t="shared" si="72"/>
        <v>29520</v>
      </c>
      <c r="AB111" s="139">
        <f t="shared" si="72"/>
        <v>29520</v>
      </c>
      <c r="AC111" s="139">
        <f t="shared" si="72"/>
        <v>29520</v>
      </c>
      <c r="AD111" s="139">
        <f t="shared" si="72"/>
        <v>29520</v>
      </c>
      <c r="AE111" s="139">
        <f t="shared" si="72"/>
        <v>29520</v>
      </c>
      <c r="AF111" s="139">
        <f t="shared" si="72"/>
        <v>29520</v>
      </c>
    </row>
    <row r="112" spans="1:32" s="28" customFormat="1" ht="15" hidden="1" customHeight="1" outlineLevel="1">
      <c r="A112" s="137">
        <f t="shared" ref="A112:A120" si="73" xml:space="preserve"> ( ( A111 ) - ( 1 ) )</f>
        <v>9</v>
      </c>
      <c r="B112" s="140">
        <f t="shared" si="51"/>
        <v>262400</v>
      </c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>
        <f t="shared" ref="X112:AF112" si="74" xml:space="preserve"> ( ( $X$87 ) / ( $A112 ) )</f>
        <v>32800</v>
      </c>
      <c r="Y112" s="139">
        <f t="shared" si="74"/>
        <v>32800</v>
      </c>
      <c r="Z112" s="139">
        <f t="shared" si="74"/>
        <v>32800</v>
      </c>
      <c r="AA112" s="139">
        <f t="shared" si="74"/>
        <v>32800</v>
      </c>
      <c r="AB112" s="139">
        <f t="shared" si="74"/>
        <v>32800</v>
      </c>
      <c r="AC112" s="139">
        <f t="shared" si="74"/>
        <v>32800</v>
      </c>
      <c r="AD112" s="139">
        <f t="shared" si="74"/>
        <v>32800</v>
      </c>
      <c r="AE112" s="139">
        <f t="shared" si="74"/>
        <v>32800</v>
      </c>
      <c r="AF112" s="139">
        <f t="shared" si="74"/>
        <v>32800</v>
      </c>
    </row>
    <row r="113" spans="1:32" s="28" customFormat="1" ht="15" hidden="1" customHeight="1" outlineLevel="1">
      <c r="A113" s="137">
        <f t="shared" si="73"/>
        <v>8</v>
      </c>
      <c r="B113" s="140">
        <f t="shared" si="51"/>
        <v>258300</v>
      </c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>
        <f t="shared" ref="Y113:AF113" si="75" xml:space="preserve"> ( ( $Y$87 ) / ( $A113 ) )</f>
        <v>36900</v>
      </c>
      <c r="Z113" s="139">
        <f t="shared" si="75"/>
        <v>36900</v>
      </c>
      <c r="AA113" s="139">
        <f t="shared" si="75"/>
        <v>36900</v>
      </c>
      <c r="AB113" s="139">
        <f t="shared" si="75"/>
        <v>36900</v>
      </c>
      <c r="AC113" s="139">
        <f t="shared" si="75"/>
        <v>36900</v>
      </c>
      <c r="AD113" s="139">
        <f t="shared" si="75"/>
        <v>36900</v>
      </c>
      <c r="AE113" s="139">
        <f t="shared" si="75"/>
        <v>36900</v>
      </c>
      <c r="AF113" s="139">
        <f t="shared" si="75"/>
        <v>36900</v>
      </c>
    </row>
    <row r="114" spans="1:32" s="28" customFormat="1" ht="15" hidden="1" customHeight="1" outlineLevel="1">
      <c r="A114" s="137">
        <f t="shared" si="73"/>
        <v>7</v>
      </c>
      <c r="B114" s="140">
        <f t="shared" si="51"/>
        <v>253028.57142857145</v>
      </c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>
        <f t="shared" ref="Z114:AF114" si="76" xml:space="preserve"> ( ( $Z$87 ) / ( $A114 ) )</f>
        <v>42171.428571428572</v>
      </c>
      <c r="AA114" s="139">
        <f t="shared" si="76"/>
        <v>42171.428571428572</v>
      </c>
      <c r="AB114" s="139">
        <f t="shared" si="76"/>
        <v>42171.428571428572</v>
      </c>
      <c r="AC114" s="139">
        <f t="shared" si="76"/>
        <v>42171.428571428572</v>
      </c>
      <c r="AD114" s="139">
        <f t="shared" si="76"/>
        <v>42171.428571428572</v>
      </c>
      <c r="AE114" s="139">
        <f t="shared" si="76"/>
        <v>42171.428571428572</v>
      </c>
      <c r="AF114" s="139">
        <f t="shared" si="76"/>
        <v>42171.428571428572</v>
      </c>
    </row>
    <row r="115" spans="1:32" s="28" customFormat="1" ht="15" hidden="1" customHeight="1" outlineLevel="1">
      <c r="A115" s="137">
        <f t="shared" si="73"/>
        <v>6</v>
      </c>
      <c r="B115" s="140">
        <f t="shared" si="51"/>
        <v>246000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>
        <f xml:space="preserve"> ( ( $AA$87 ) / ( $A115 ) )</f>
        <v>49200</v>
      </c>
      <c r="AB115" s="139">
        <f t="shared" ref="AB115:AC115" si="77" xml:space="preserve"> ( ( $AA$87 ) / ( $A115 ) )</f>
        <v>49200</v>
      </c>
      <c r="AC115" s="139">
        <f t="shared" si="77"/>
        <v>49200</v>
      </c>
      <c r="AD115" s="139">
        <f xml:space="preserve"> ( ( $AA$87 ) / ( $A115 ) )</f>
        <v>49200</v>
      </c>
      <c r="AE115" s="139">
        <f xml:space="preserve"> ( ( $AA$87 ) / ( $A115 ) )</f>
        <v>49200</v>
      </c>
      <c r="AF115" s="139">
        <f xml:space="preserve"> ( ( $AA$87 ) / ( $A115 ) )</f>
        <v>49200</v>
      </c>
    </row>
    <row r="116" spans="1:32" s="28" customFormat="1" ht="15" hidden="1" customHeight="1" outlineLevel="1">
      <c r="A116" s="137">
        <f t="shared" si="73"/>
        <v>5</v>
      </c>
      <c r="B116" s="140">
        <f t="shared" ref="B116:B121" si="78" xml:space="preserve"> SUM( $C116:$AF116 )</f>
        <v>295200</v>
      </c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>
        <f xml:space="preserve"> ( ( $AB$87 ) / ( $A116 ) )</f>
        <v>59040</v>
      </c>
      <c r="AC116" s="139">
        <f t="shared" ref="AC116:AF116" si="79" xml:space="preserve"> ( ( $AB$87 ) / ( $A116 ) )</f>
        <v>59040</v>
      </c>
      <c r="AD116" s="139">
        <f t="shared" si="79"/>
        <v>59040</v>
      </c>
      <c r="AE116" s="139">
        <f t="shared" si="79"/>
        <v>59040</v>
      </c>
      <c r="AF116" s="139">
        <f t="shared" si="79"/>
        <v>59040</v>
      </c>
    </row>
    <row r="117" spans="1:32" s="28" customFormat="1" ht="15" hidden="1" customHeight="1" outlineLevel="1">
      <c r="A117" s="137">
        <f t="shared" si="73"/>
        <v>4</v>
      </c>
      <c r="B117" s="140">
        <f t="shared" si="78"/>
        <v>295200</v>
      </c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>
        <f xml:space="preserve"> ( ( $AC$87 ) / ( $A117 ) )</f>
        <v>73800</v>
      </c>
      <c r="AD117" s="139">
        <f t="shared" ref="AD117:AF117" si="80" xml:space="preserve"> ( ( $AC$87 ) / ( $A117 ) )</f>
        <v>73800</v>
      </c>
      <c r="AE117" s="139">
        <f t="shared" si="80"/>
        <v>73800</v>
      </c>
      <c r="AF117" s="139">
        <f t="shared" si="80"/>
        <v>73800</v>
      </c>
    </row>
    <row r="118" spans="1:32" s="28" customFormat="1" ht="15" hidden="1" customHeight="1" outlineLevel="1">
      <c r="A118" s="137">
        <f t="shared" si="73"/>
        <v>3</v>
      </c>
      <c r="B118" s="140">
        <f t="shared" si="78"/>
        <v>295200</v>
      </c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>
        <f xml:space="preserve"> ( ( $AD$87 ) / ( $A118 ) )</f>
        <v>98400</v>
      </c>
      <c r="AE118" s="139">
        <f t="shared" ref="AE118:AF118" si="81" xml:space="preserve"> ( ( $AD$87 ) / ( $A118 ) )</f>
        <v>98400</v>
      </c>
      <c r="AF118" s="139">
        <f t="shared" si="81"/>
        <v>98400</v>
      </c>
    </row>
    <row r="119" spans="1:32" s="28" customFormat="1" ht="15" hidden="1" customHeight="1" outlineLevel="1">
      <c r="A119" s="137">
        <f t="shared" si="73"/>
        <v>2</v>
      </c>
      <c r="B119" s="140">
        <f t="shared" si="78"/>
        <v>295200</v>
      </c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>
        <f xml:space="preserve"> ( ( $AE$87 ) / ( $A119 ) )</f>
        <v>147600</v>
      </c>
      <c r="AF119" s="139">
        <f xml:space="preserve"> ( ( $AE$87 ) / ( $A119 ) )</f>
        <v>147600</v>
      </c>
    </row>
    <row r="120" spans="1:32" s="28" customFormat="1" ht="15" hidden="1" customHeight="1" outlineLevel="1">
      <c r="A120" s="137">
        <f t="shared" si="73"/>
        <v>1</v>
      </c>
      <c r="B120" s="140">
        <f t="shared" si="78"/>
        <v>295200</v>
      </c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>
        <f xml:space="preserve"> ( ( $AF$87 ) / ( $A120 ) )</f>
        <v>295200</v>
      </c>
    </row>
    <row r="121" spans="1:32" ht="15" hidden="1" customHeight="1" outlineLevel="1">
      <c r="A121" s="96" t="s">
        <v>212</v>
      </c>
      <c r="B121" s="11">
        <f t="shared" si="78"/>
        <v>8423999.9999999981</v>
      </c>
      <c r="C121" s="11">
        <f t="shared" ref="C121:AF121" si="82" xml:space="preserve"> SUM( C$91:C$120 )</f>
        <v>18360</v>
      </c>
      <c r="D121" s="11">
        <f t="shared" si="82"/>
        <v>36720</v>
      </c>
      <c r="E121" s="11">
        <f t="shared" si="82"/>
        <v>58320</v>
      </c>
      <c r="F121" s="11">
        <f t="shared" si="82"/>
        <v>81720</v>
      </c>
      <c r="G121" s="11">
        <f t="shared" si="82"/>
        <v>106920</v>
      </c>
      <c r="H121" s="11">
        <f t="shared" si="82"/>
        <v>134280</v>
      </c>
      <c r="I121" s="11">
        <f t="shared" si="82"/>
        <v>163440</v>
      </c>
      <c r="J121" s="11">
        <f t="shared" si="82"/>
        <v>192960</v>
      </c>
      <c r="K121" s="11">
        <f t="shared" si="82"/>
        <v>222480</v>
      </c>
      <c r="L121" s="11">
        <f t="shared" si="82"/>
        <v>252000</v>
      </c>
      <c r="M121" s="11">
        <f t="shared" si="82"/>
        <v>263160</v>
      </c>
      <c r="N121" s="11">
        <f t="shared" si="82"/>
        <v>274320</v>
      </c>
      <c r="O121" s="11">
        <f t="shared" si="82"/>
        <v>282240</v>
      </c>
      <c r="P121" s="11">
        <f t="shared" si="82"/>
        <v>288360</v>
      </c>
      <c r="Q121" s="11">
        <f t="shared" si="82"/>
        <v>292680</v>
      </c>
      <c r="R121" s="11">
        <f t="shared" si="82"/>
        <v>294840</v>
      </c>
      <c r="S121" s="11">
        <f t="shared" si="82"/>
        <v>295200</v>
      </c>
      <c r="T121" s="11">
        <f t="shared" si="82"/>
        <v>295200</v>
      </c>
      <c r="U121" s="11">
        <f t="shared" si="82"/>
        <v>295200</v>
      </c>
      <c r="V121" s="11">
        <f t="shared" si="82"/>
        <v>295200</v>
      </c>
      <c r="W121" s="11">
        <f t="shared" si="82"/>
        <v>295200</v>
      </c>
      <c r="X121" s="11">
        <f t="shared" si="82"/>
        <v>298480</v>
      </c>
      <c r="Y121" s="11">
        <f t="shared" si="82"/>
        <v>305860</v>
      </c>
      <c r="Z121" s="11">
        <f t="shared" si="82"/>
        <v>318511.42857142858</v>
      </c>
      <c r="AA121" s="11">
        <f t="shared" si="82"/>
        <v>338191.42857142858</v>
      </c>
      <c r="AB121" s="11">
        <f t="shared" si="82"/>
        <v>367711.42857142858</v>
      </c>
      <c r="AC121" s="11">
        <f t="shared" si="82"/>
        <v>411991.42857142858</v>
      </c>
      <c r="AD121" s="11">
        <f t="shared" si="82"/>
        <v>480871.42857142858</v>
      </c>
      <c r="AE121" s="11">
        <f t="shared" si="82"/>
        <v>598951.42857142864</v>
      </c>
      <c r="AF121" s="11">
        <f t="shared" si="82"/>
        <v>864631.42857142864</v>
      </c>
    </row>
    <row r="122" spans="1:32" ht="15" hidden="1" customHeight="1" outlineLevel="1"/>
    <row r="123" spans="1:32" ht="15" customHeight="1" collapsed="1"/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B4:B6" formula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C00000"/>
  </sheetPr>
  <dimension ref="A1:R34"/>
  <sheetViews>
    <sheetView showGridLines="0" zoomScale="70" zoomScaleNormal="70" zoomScalePageLayoutView="90" workbookViewId="0">
      <selection activeCell="J4" sqref="J4"/>
    </sheetView>
  </sheetViews>
  <sheetFormatPr defaultColWidth="11.44140625" defaultRowHeight="15" customHeight="1"/>
  <cols>
    <col min="1" max="1" width="8.44140625" style="28" customWidth="1"/>
    <col min="2" max="4" width="22" style="28" customWidth="1"/>
    <col min="5" max="5" width="1.77734375" style="28" customWidth="1"/>
    <col min="6" max="6" width="22" style="28" customWidth="1"/>
    <col min="7" max="7" width="1.77734375" style="28" customWidth="1"/>
    <col min="8" max="8" width="22" style="28" customWidth="1"/>
    <col min="9" max="9" width="11.44140625" style="28"/>
    <col min="10" max="10" width="24.77734375" style="28" customWidth="1"/>
    <col min="11" max="226" width="11.44140625" style="28"/>
    <col min="227" max="227" width="8.44140625" style="28" customWidth="1"/>
    <col min="228" max="232" width="17.77734375" style="28" customWidth="1"/>
    <col min="233" max="233" width="14.109375" style="28" customWidth="1"/>
    <col min="234" max="234" width="11.44140625" style="28" customWidth="1"/>
    <col min="235" max="235" width="18.109375" style="28" customWidth="1"/>
    <col min="236" max="237" width="17.44140625" style="28" customWidth="1"/>
    <col min="238" max="238" width="17.109375" style="28" customWidth="1"/>
    <col min="239" max="240" width="15.44140625" style="28" customWidth="1"/>
    <col min="241" max="482" width="11.44140625" style="28"/>
    <col min="483" max="483" width="8.44140625" style="28" customWidth="1"/>
    <col min="484" max="488" width="17.77734375" style="28" customWidth="1"/>
    <col min="489" max="489" width="14.109375" style="28" customWidth="1"/>
    <col min="490" max="490" width="11.44140625" style="28" customWidth="1"/>
    <col min="491" max="491" width="18.109375" style="28" customWidth="1"/>
    <col min="492" max="493" width="17.44140625" style="28" customWidth="1"/>
    <col min="494" max="494" width="17.109375" style="28" customWidth="1"/>
    <col min="495" max="496" width="15.44140625" style="28" customWidth="1"/>
    <col min="497" max="738" width="11.44140625" style="28"/>
    <col min="739" max="739" width="8.44140625" style="28" customWidth="1"/>
    <col min="740" max="744" width="17.77734375" style="28" customWidth="1"/>
    <col min="745" max="745" width="14.109375" style="28" customWidth="1"/>
    <col min="746" max="746" width="11.44140625" style="28" customWidth="1"/>
    <col min="747" max="747" width="18.109375" style="28" customWidth="1"/>
    <col min="748" max="749" width="17.44140625" style="28" customWidth="1"/>
    <col min="750" max="750" width="17.109375" style="28" customWidth="1"/>
    <col min="751" max="752" width="15.44140625" style="28" customWidth="1"/>
    <col min="753" max="994" width="11.44140625" style="28"/>
    <col min="995" max="995" width="8.44140625" style="28" customWidth="1"/>
    <col min="996" max="1000" width="17.77734375" style="28" customWidth="1"/>
    <col min="1001" max="1001" width="14.109375" style="28" customWidth="1"/>
    <col min="1002" max="1002" width="11.44140625" style="28" customWidth="1"/>
    <col min="1003" max="1003" width="18.109375" style="28" customWidth="1"/>
    <col min="1004" max="1005" width="17.44140625" style="28" customWidth="1"/>
    <col min="1006" max="1006" width="17.109375" style="28" customWidth="1"/>
    <col min="1007" max="1008" width="15.44140625" style="28" customWidth="1"/>
    <col min="1009" max="1250" width="11.44140625" style="28"/>
    <col min="1251" max="1251" width="8.44140625" style="28" customWidth="1"/>
    <col min="1252" max="1256" width="17.77734375" style="28" customWidth="1"/>
    <col min="1257" max="1257" width="14.109375" style="28" customWidth="1"/>
    <col min="1258" max="1258" width="11.44140625" style="28" customWidth="1"/>
    <col min="1259" max="1259" width="18.109375" style="28" customWidth="1"/>
    <col min="1260" max="1261" width="17.44140625" style="28" customWidth="1"/>
    <col min="1262" max="1262" width="17.109375" style="28" customWidth="1"/>
    <col min="1263" max="1264" width="15.44140625" style="28" customWidth="1"/>
    <col min="1265" max="1506" width="11.44140625" style="28"/>
    <col min="1507" max="1507" width="8.44140625" style="28" customWidth="1"/>
    <col min="1508" max="1512" width="17.77734375" style="28" customWidth="1"/>
    <col min="1513" max="1513" width="14.109375" style="28" customWidth="1"/>
    <col min="1514" max="1514" width="11.44140625" style="28" customWidth="1"/>
    <col min="1515" max="1515" width="18.109375" style="28" customWidth="1"/>
    <col min="1516" max="1517" width="17.44140625" style="28" customWidth="1"/>
    <col min="1518" max="1518" width="17.109375" style="28" customWidth="1"/>
    <col min="1519" max="1520" width="15.44140625" style="28" customWidth="1"/>
    <col min="1521" max="1762" width="11.44140625" style="28"/>
    <col min="1763" max="1763" width="8.44140625" style="28" customWidth="1"/>
    <col min="1764" max="1768" width="17.77734375" style="28" customWidth="1"/>
    <col min="1769" max="1769" width="14.109375" style="28" customWidth="1"/>
    <col min="1770" max="1770" width="11.44140625" style="28" customWidth="1"/>
    <col min="1771" max="1771" width="18.109375" style="28" customWidth="1"/>
    <col min="1772" max="1773" width="17.44140625" style="28" customWidth="1"/>
    <col min="1774" max="1774" width="17.109375" style="28" customWidth="1"/>
    <col min="1775" max="1776" width="15.44140625" style="28" customWidth="1"/>
    <col min="1777" max="2018" width="11.44140625" style="28"/>
    <col min="2019" max="2019" width="8.44140625" style="28" customWidth="1"/>
    <col min="2020" max="2024" width="17.77734375" style="28" customWidth="1"/>
    <col min="2025" max="2025" width="14.109375" style="28" customWidth="1"/>
    <col min="2026" max="2026" width="11.44140625" style="28" customWidth="1"/>
    <col min="2027" max="2027" width="18.109375" style="28" customWidth="1"/>
    <col min="2028" max="2029" width="17.44140625" style="28" customWidth="1"/>
    <col min="2030" max="2030" width="17.109375" style="28" customWidth="1"/>
    <col min="2031" max="2032" width="15.44140625" style="28" customWidth="1"/>
    <col min="2033" max="2274" width="11.44140625" style="28"/>
    <col min="2275" max="2275" width="8.44140625" style="28" customWidth="1"/>
    <col min="2276" max="2280" width="17.77734375" style="28" customWidth="1"/>
    <col min="2281" max="2281" width="14.109375" style="28" customWidth="1"/>
    <col min="2282" max="2282" width="11.44140625" style="28" customWidth="1"/>
    <col min="2283" max="2283" width="18.109375" style="28" customWidth="1"/>
    <col min="2284" max="2285" width="17.44140625" style="28" customWidth="1"/>
    <col min="2286" max="2286" width="17.109375" style="28" customWidth="1"/>
    <col min="2287" max="2288" width="15.44140625" style="28" customWidth="1"/>
    <col min="2289" max="2530" width="11.44140625" style="28"/>
    <col min="2531" max="2531" width="8.44140625" style="28" customWidth="1"/>
    <col min="2532" max="2536" width="17.77734375" style="28" customWidth="1"/>
    <col min="2537" max="2537" width="14.109375" style="28" customWidth="1"/>
    <col min="2538" max="2538" width="11.44140625" style="28" customWidth="1"/>
    <col min="2539" max="2539" width="18.109375" style="28" customWidth="1"/>
    <col min="2540" max="2541" width="17.44140625" style="28" customWidth="1"/>
    <col min="2542" max="2542" width="17.109375" style="28" customWidth="1"/>
    <col min="2543" max="2544" width="15.44140625" style="28" customWidth="1"/>
    <col min="2545" max="2786" width="11.44140625" style="28"/>
    <col min="2787" max="2787" width="8.44140625" style="28" customWidth="1"/>
    <col min="2788" max="2792" width="17.77734375" style="28" customWidth="1"/>
    <col min="2793" max="2793" width="14.109375" style="28" customWidth="1"/>
    <col min="2794" max="2794" width="11.44140625" style="28" customWidth="1"/>
    <col min="2795" max="2795" width="18.109375" style="28" customWidth="1"/>
    <col min="2796" max="2797" width="17.44140625" style="28" customWidth="1"/>
    <col min="2798" max="2798" width="17.109375" style="28" customWidth="1"/>
    <col min="2799" max="2800" width="15.44140625" style="28" customWidth="1"/>
    <col min="2801" max="3042" width="11.44140625" style="28"/>
    <col min="3043" max="3043" width="8.44140625" style="28" customWidth="1"/>
    <col min="3044" max="3048" width="17.77734375" style="28" customWidth="1"/>
    <col min="3049" max="3049" width="14.109375" style="28" customWidth="1"/>
    <col min="3050" max="3050" width="11.44140625" style="28" customWidth="1"/>
    <col min="3051" max="3051" width="18.109375" style="28" customWidth="1"/>
    <col min="3052" max="3053" width="17.44140625" style="28" customWidth="1"/>
    <col min="3054" max="3054" width="17.109375" style="28" customWidth="1"/>
    <col min="3055" max="3056" width="15.44140625" style="28" customWidth="1"/>
    <col min="3057" max="3298" width="11.44140625" style="28"/>
    <col min="3299" max="3299" width="8.44140625" style="28" customWidth="1"/>
    <col min="3300" max="3304" width="17.77734375" style="28" customWidth="1"/>
    <col min="3305" max="3305" width="14.109375" style="28" customWidth="1"/>
    <col min="3306" max="3306" width="11.44140625" style="28" customWidth="1"/>
    <col min="3307" max="3307" width="18.109375" style="28" customWidth="1"/>
    <col min="3308" max="3309" width="17.44140625" style="28" customWidth="1"/>
    <col min="3310" max="3310" width="17.109375" style="28" customWidth="1"/>
    <col min="3311" max="3312" width="15.44140625" style="28" customWidth="1"/>
    <col min="3313" max="3554" width="11.44140625" style="28"/>
    <col min="3555" max="3555" width="8.44140625" style="28" customWidth="1"/>
    <col min="3556" max="3560" width="17.77734375" style="28" customWidth="1"/>
    <col min="3561" max="3561" width="14.109375" style="28" customWidth="1"/>
    <col min="3562" max="3562" width="11.44140625" style="28" customWidth="1"/>
    <col min="3563" max="3563" width="18.109375" style="28" customWidth="1"/>
    <col min="3564" max="3565" width="17.44140625" style="28" customWidth="1"/>
    <col min="3566" max="3566" width="17.109375" style="28" customWidth="1"/>
    <col min="3567" max="3568" width="15.44140625" style="28" customWidth="1"/>
    <col min="3569" max="3810" width="11.44140625" style="28"/>
    <col min="3811" max="3811" width="8.44140625" style="28" customWidth="1"/>
    <col min="3812" max="3816" width="17.77734375" style="28" customWidth="1"/>
    <col min="3817" max="3817" width="14.109375" style="28" customWidth="1"/>
    <col min="3818" max="3818" width="11.44140625" style="28" customWidth="1"/>
    <col min="3819" max="3819" width="18.109375" style="28" customWidth="1"/>
    <col min="3820" max="3821" width="17.44140625" style="28" customWidth="1"/>
    <col min="3822" max="3822" width="17.109375" style="28" customWidth="1"/>
    <col min="3823" max="3824" width="15.44140625" style="28" customWidth="1"/>
    <col min="3825" max="4066" width="11.44140625" style="28"/>
    <col min="4067" max="4067" width="8.44140625" style="28" customWidth="1"/>
    <col min="4068" max="4072" width="17.77734375" style="28" customWidth="1"/>
    <col min="4073" max="4073" width="14.109375" style="28" customWidth="1"/>
    <col min="4074" max="4074" width="11.44140625" style="28" customWidth="1"/>
    <col min="4075" max="4075" width="18.109375" style="28" customWidth="1"/>
    <col min="4076" max="4077" width="17.44140625" style="28" customWidth="1"/>
    <col min="4078" max="4078" width="17.109375" style="28" customWidth="1"/>
    <col min="4079" max="4080" width="15.44140625" style="28" customWidth="1"/>
    <col min="4081" max="4322" width="11.44140625" style="28"/>
    <col min="4323" max="4323" width="8.44140625" style="28" customWidth="1"/>
    <col min="4324" max="4328" width="17.77734375" style="28" customWidth="1"/>
    <col min="4329" max="4329" width="14.109375" style="28" customWidth="1"/>
    <col min="4330" max="4330" width="11.44140625" style="28" customWidth="1"/>
    <col min="4331" max="4331" width="18.109375" style="28" customWidth="1"/>
    <col min="4332" max="4333" width="17.44140625" style="28" customWidth="1"/>
    <col min="4334" max="4334" width="17.109375" style="28" customWidth="1"/>
    <col min="4335" max="4336" width="15.44140625" style="28" customWidth="1"/>
    <col min="4337" max="4578" width="11.44140625" style="28"/>
    <col min="4579" max="4579" width="8.44140625" style="28" customWidth="1"/>
    <col min="4580" max="4584" width="17.77734375" style="28" customWidth="1"/>
    <col min="4585" max="4585" width="14.109375" style="28" customWidth="1"/>
    <col min="4586" max="4586" width="11.44140625" style="28" customWidth="1"/>
    <col min="4587" max="4587" width="18.109375" style="28" customWidth="1"/>
    <col min="4588" max="4589" width="17.44140625" style="28" customWidth="1"/>
    <col min="4590" max="4590" width="17.109375" style="28" customWidth="1"/>
    <col min="4591" max="4592" width="15.44140625" style="28" customWidth="1"/>
    <col min="4593" max="4834" width="11.44140625" style="28"/>
    <col min="4835" max="4835" width="8.44140625" style="28" customWidth="1"/>
    <col min="4836" max="4840" width="17.77734375" style="28" customWidth="1"/>
    <col min="4841" max="4841" width="14.109375" style="28" customWidth="1"/>
    <col min="4842" max="4842" width="11.44140625" style="28" customWidth="1"/>
    <col min="4843" max="4843" width="18.109375" style="28" customWidth="1"/>
    <col min="4844" max="4845" width="17.44140625" style="28" customWidth="1"/>
    <col min="4846" max="4846" width="17.109375" style="28" customWidth="1"/>
    <col min="4847" max="4848" width="15.44140625" style="28" customWidth="1"/>
    <col min="4849" max="5090" width="11.44140625" style="28"/>
    <col min="5091" max="5091" width="8.44140625" style="28" customWidth="1"/>
    <col min="5092" max="5096" width="17.77734375" style="28" customWidth="1"/>
    <col min="5097" max="5097" width="14.109375" style="28" customWidth="1"/>
    <col min="5098" max="5098" width="11.44140625" style="28" customWidth="1"/>
    <col min="5099" max="5099" width="18.109375" style="28" customWidth="1"/>
    <col min="5100" max="5101" width="17.44140625" style="28" customWidth="1"/>
    <col min="5102" max="5102" width="17.109375" style="28" customWidth="1"/>
    <col min="5103" max="5104" width="15.44140625" style="28" customWidth="1"/>
    <col min="5105" max="5346" width="11.44140625" style="28"/>
    <col min="5347" max="5347" width="8.44140625" style="28" customWidth="1"/>
    <col min="5348" max="5352" width="17.77734375" style="28" customWidth="1"/>
    <col min="5353" max="5353" width="14.109375" style="28" customWidth="1"/>
    <col min="5354" max="5354" width="11.44140625" style="28" customWidth="1"/>
    <col min="5355" max="5355" width="18.109375" style="28" customWidth="1"/>
    <col min="5356" max="5357" width="17.44140625" style="28" customWidth="1"/>
    <col min="5358" max="5358" width="17.109375" style="28" customWidth="1"/>
    <col min="5359" max="5360" width="15.44140625" style="28" customWidth="1"/>
    <col min="5361" max="5602" width="11.44140625" style="28"/>
    <col min="5603" max="5603" width="8.44140625" style="28" customWidth="1"/>
    <col min="5604" max="5608" width="17.77734375" style="28" customWidth="1"/>
    <col min="5609" max="5609" width="14.109375" style="28" customWidth="1"/>
    <col min="5610" max="5610" width="11.44140625" style="28" customWidth="1"/>
    <col min="5611" max="5611" width="18.109375" style="28" customWidth="1"/>
    <col min="5612" max="5613" width="17.44140625" style="28" customWidth="1"/>
    <col min="5614" max="5614" width="17.109375" style="28" customWidth="1"/>
    <col min="5615" max="5616" width="15.44140625" style="28" customWidth="1"/>
    <col min="5617" max="5858" width="11.44140625" style="28"/>
    <col min="5859" max="5859" width="8.44140625" style="28" customWidth="1"/>
    <col min="5860" max="5864" width="17.77734375" style="28" customWidth="1"/>
    <col min="5865" max="5865" width="14.109375" style="28" customWidth="1"/>
    <col min="5866" max="5866" width="11.44140625" style="28" customWidth="1"/>
    <col min="5867" max="5867" width="18.109375" style="28" customWidth="1"/>
    <col min="5868" max="5869" width="17.44140625" style="28" customWidth="1"/>
    <col min="5870" max="5870" width="17.109375" style="28" customWidth="1"/>
    <col min="5871" max="5872" width="15.44140625" style="28" customWidth="1"/>
    <col min="5873" max="6114" width="11.44140625" style="28"/>
    <col min="6115" max="6115" width="8.44140625" style="28" customWidth="1"/>
    <col min="6116" max="6120" width="17.77734375" style="28" customWidth="1"/>
    <col min="6121" max="6121" width="14.109375" style="28" customWidth="1"/>
    <col min="6122" max="6122" width="11.44140625" style="28" customWidth="1"/>
    <col min="6123" max="6123" width="18.109375" style="28" customWidth="1"/>
    <col min="6124" max="6125" width="17.44140625" style="28" customWidth="1"/>
    <col min="6126" max="6126" width="17.109375" style="28" customWidth="1"/>
    <col min="6127" max="6128" width="15.44140625" style="28" customWidth="1"/>
    <col min="6129" max="6370" width="11.44140625" style="28"/>
    <col min="6371" max="6371" width="8.44140625" style="28" customWidth="1"/>
    <col min="6372" max="6376" width="17.77734375" style="28" customWidth="1"/>
    <col min="6377" max="6377" width="14.109375" style="28" customWidth="1"/>
    <col min="6378" max="6378" width="11.44140625" style="28" customWidth="1"/>
    <col min="6379" max="6379" width="18.109375" style="28" customWidth="1"/>
    <col min="6380" max="6381" width="17.44140625" style="28" customWidth="1"/>
    <col min="6382" max="6382" width="17.109375" style="28" customWidth="1"/>
    <col min="6383" max="6384" width="15.44140625" style="28" customWidth="1"/>
    <col min="6385" max="6626" width="11.44140625" style="28"/>
    <col min="6627" max="6627" width="8.44140625" style="28" customWidth="1"/>
    <col min="6628" max="6632" width="17.77734375" style="28" customWidth="1"/>
    <col min="6633" max="6633" width="14.109375" style="28" customWidth="1"/>
    <col min="6634" max="6634" width="11.44140625" style="28" customWidth="1"/>
    <col min="6635" max="6635" width="18.109375" style="28" customWidth="1"/>
    <col min="6636" max="6637" width="17.44140625" style="28" customWidth="1"/>
    <col min="6638" max="6638" width="17.109375" style="28" customWidth="1"/>
    <col min="6639" max="6640" width="15.44140625" style="28" customWidth="1"/>
    <col min="6641" max="6882" width="11.44140625" style="28"/>
    <col min="6883" max="6883" width="8.44140625" style="28" customWidth="1"/>
    <col min="6884" max="6888" width="17.77734375" style="28" customWidth="1"/>
    <col min="6889" max="6889" width="14.109375" style="28" customWidth="1"/>
    <col min="6890" max="6890" width="11.44140625" style="28" customWidth="1"/>
    <col min="6891" max="6891" width="18.109375" style="28" customWidth="1"/>
    <col min="6892" max="6893" width="17.44140625" style="28" customWidth="1"/>
    <col min="6894" max="6894" width="17.109375" style="28" customWidth="1"/>
    <col min="6895" max="6896" width="15.44140625" style="28" customWidth="1"/>
    <col min="6897" max="7138" width="11.44140625" style="28"/>
    <col min="7139" max="7139" width="8.44140625" style="28" customWidth="1"/>
    <col min="7140" max="7144" width="17.77734375" style="28" customWidth="1"/>
    <col min="7145" max="7145" width="14.109375" style="28" customWidth="1"/>
    <col min="7146" max="7146" width="11.44140625" style="28" customWidth="1"/>
    <col min="7147" max="7147" width="18.109375" style="28" customWidth="1"/>
    <col min="7148" max="7149" width="17.44140625" style="28" customWidth="1"/>
    <col min="7150" max="7150" width="17.109375" style="28" customWidth="1"/>
    <col min="7151" max="7152" width="15.44140625" style="28" customWidth="1"/>
    <col min="7153" max="7394" width="11.44140625" style="28"/>
    <col min="7395" max="7395" width="8.44140625" style="28" customWidth="1"/>
    <col min="7396" max="7400" width="17.77734375" style="28" customWidth="1"/>
    <col min="7401" max="7401" width="14.109375" style="28" customWidth="1"/>
    <col min="7402" max="7402" width="11.44140625" style="28" customWidth="1"/>
    <col min="7403" max="7403" width="18.109375" style="28" customWidth="1"/>
    <col min="7404" max="7405" width="17.44140625" style="28" customWidth="1"/>
    <col min="7406" max="7406" width="17.109375" style="28" customWidth="1"/>
    <col min="7407" max="7408" width="15.44140625" style="28" customWidth="1"/>
    <col min="7409" max="7650" width="11.44140625" style="28"/>
    <col min="7651" max="7651" width="8.44140625" style="28" customWidth="1"/>
    <col min="7652" max="7656" width="17.77734375" style="28" customWidth="1"/>
    <col min="7657" max="7657" width="14.109375" style="28" customWidth="1"/>
    <col min="7658" max="7658" width="11.44140625" style="28" customWidth="1"/>
    <col min="7659" max="7659" width="18.109375" style="28" customWidth="1"/>
    <col min="7660" max="7661" width="17.44140625" style="28" customWidth="1"/>
    <col min="7662" max="7662" width="17.109375" style="28" customWidth="1"/>
    <col min="7663" max="7664" width="15.44140625" style="28" customWidth="1"/>
    <col min="7665" max="7906" width="11.44140625" style="28"/>
    <col min="7907" max="7907" width="8.44140625" style="28" customWidth="1"/>
    <col min="7908" max="7912" width="17.77734375" style="28" customWidth="1"/>
    <col min="7913" max="7913" width="14.109375" style="28" customWidth="1"/>
    <col min="7914" max="7914" width="11.44140625" style="28" customWidth="1"/>
    <col min="7915" max="7915" width="18.109375" style="28" customWidth="1"/>
    <col min="7916" max="7917" width="17.44140625" style="28" customWidth="1"/>
    <col min="7918" max="7918" width="17.109375" style="28" customWidth="1"/>
    <col min="7919" max="7920" width="15.44140625" style="28" customWidth="1"/>
    <col min="7921" max="8162" width="11.44140625" style="28"/>
    <col min="8163" max="8163" width="8.44140625" style="28" customWidth="1"/>
    <col min="8164" max="8168" width="17.77734375" style="28" customWidth="1"/>
    <col min="8169" max="8169" width="14.109375" style="28" customWidth="1"/>
    <col min="8170" max="8170" width="11.44140625" style="28" customWidth="1"/>
    <col min="8171" max="8171" width="18.109375" style="28" customWidth="1"/>
    <col min="8172" max="8173" width="17.44140625" style="28" customWidth="1"/>
    <col min="8174" max="8174" width="17.109375" style="28" customWidth="1"/>
    <col min="8175" max="8176" width="15.44140625" style="28" customWidth="1"/>
    <col min="8177" max="8418" width="11.44140625" style="28"/>
    <col min="8419" max="8419" width="8.44140625" style="28" customWidth="1"/>
    <col min="8420" max="8424" width="17.77734375" style="28" customWidth="1"/>
    <col min="8425" max="8425" width="14.109375" style="28" customWidth="1"/>
    <col min="8426" max="8426" width="11.44140625" style="28" customWidth="1"/>
    <col min="8427" max="8427" width="18.109375" style="28" customWidth="1"/>
    <col min="8428" max="8429" width="17.44140625" style="28" customWidth="1"/>
    <col min="8430" max="8430" width="17.109375" style="28" customWidth="1"/>
    <col min="8431" max="8432" width="15.44140625" style="28" customWidth="1"/>
    <col min="8433" max="8674" width="11.44140625" style="28"/>
    <col min="8675" max="8675" width="8.44140625" style="28" customWidth="1"/>
    <col min="8676" max="8680" width="17.77734375" style="28" customWidth="1"/>
    <col min="8681" max="8681" width="14.109375" style="28" customWidth="1"/>
    <col min="8682" max="8682" width="11.44140625" style="28" customWidth="1"/>
    <col min="8683" max="8683" width="18.109375" style="28" customWidth="1"/>
    <col min="8684" max="8685" width="17.44140625" style="28" customWidth="1"/>
    <col min="8686" max="8686" width="17.109375" style="28" customWidth="1"/>
    <col min="8687" max="8688" width="15.44140625" style="28" customWidth="1"/>
    <col min="8689" max="8930" width="11.44140625" style="28"/>
    <col min="8931" max="8931" width="8.44140625" style="28" customWidth="1"/>
    <col min="8932" max="8936" width="17.77734375" style="28" customWidth="1"/>
    <col min="8937" max="8937" width="14.109375" style="28" customWidth="1"/>
    <col min="8938" max="8938" width="11.44140625" style="28" customWidth="1"/>
    <col min="8939" max="8939" width="18.109375" style="28" customWidth="1"/>
    <col min="8940" max="8941" width="17.44140625" style="28" customWidth="1"/>
    <col min="8942" max="8942" width="17.109375" style="28" customWidth="1"/>
    <col min="8943" max="8944" width="15.44140625" style="28" customWidth="1"/>
    <col min="8945" max="9186" width="11.44140625" style="28"/>
    <col min="9187" max="9187" width="8.44140625" style="28" customWidth="1"/>
    <col min="9188" max="9192" width="17.77734375" style="28" customWidth="1"/>
    <col min="9193" max="9193" width="14.109375" style="28" customWidth="1"/>
    <col min="9194" max="9194" width="11.44140625" style="28" customWidth="1"/>
    <col min="9195" max="9195" width="18.109375" style="28" customWidth="1"/>
    <col min="9196" max="9197" width="17.44140625" style="28" customWidth="1"/>
    <col min="9198" max="9198" width="17.109375" style="28" customWidth="1"/>
    <col min="9199" max="9200" width="15.44140625" style="28" customWidth="1"/>
    <col min="9201" max="9442" width="11.44140625" style="28"/>
    <col min="9443" max="9443" width="8.44140625" style="28" customWidth="1"/>
    <col min="9444" max="9448" width="17.77734375" style="28" customWidth="1"/>
    <col min="9449" max="9449" width="14.109375" style="28" customWidth="1"/>
    <col min="9450" max="9450" width="11.44140625" style="28" customWidth="1"/>
    <col min="9451" max="9451" width="18.109375" style="28" customWidth="1"/>
    <col min="9452" max="9453" width="17.44140625" style="28" customWidth="1"/>
    <col min="9454" max="9454" width="17.109375" style="28" customWidth="1"/>
    <col min="9455" max="9456" width="15.44140625" style="28" customWidth="1"/>
    <col min="9457" max="9698" width="11.44140625" style="28"/>
    <col min="9699" max="9699" width="8.44140625" style="28" customWidth="1"/>
    <col min="9700" max="9704" width="17.77734375" style="28" customWidth="1"/>
    <col min="9705" max="9705" width="14.109375" style="28" customWidth="1"/>
    <col min="9706" max="9706" width="11.44140625" style="28" customWidth="1"/>
    <col min="9707" max="9707" width="18.109375" style="28" customWidth="1"/>
    <col min="9708" max="9709" width="17.44140625" style="28" customWidth="1"/>
    <col min="9710" max="9710" width="17.109375" style="28" customWidth="1"/>
    <col min="9711" max="9712" width="15.44140625" style="28" customWidth="1"/>
    <col min="9713" max="9954" width="11.44140625" style="28"/>
    <col min="9955" max="9955" width="8.44140625" style="28" customWidth="1"/>
    <col min="9956" max="9960" width="17.77734375" style="28" customWidth="1"/>
    <col min="9961" max="9961" width="14.109375" style="28" customWidth="1"/>
    <col min="9962" max="9962" width="11.44140625" style="28" customWidth="1"/>
    <col min="9963" max="9963" width="18.109375" style="28" customWidth="1"/>
    <col min="9964" max="9965" width="17.44140625" style="28" customWidth="1"/>
    <col min="9966" max="9966" width="17.109375" style="28" customWidth="1"/>
    <col min="9967" max="9968" width="15.44140625" style="28" customWidth="1"/>
    <col min="9969" max="10210" width="11.44140625" style="28"/>
    <col min="10211" max="10211" width="8.44140625" style="28" customWidth="1"/>
    <col min="10212" max="10216" width="17.77734375" style="28" customWidth="1"/>
    <col min="10217" max="10217" width="14.109375" style="28" customWidth="1"/>
    <col min="10218" max="10218" width="11.44140625" style="28" customWidth="1"/>
    <col min="10219" max="10219" width="18.109375" style="28" customWidth="1"/>
    <col min="10220" max="10221" width="17.44140625" style="28" customWidth="1"/>
    <col min="10222" max="10222" width="17.109375" style="28" customWidth="1"/>
    <col min="10223" max="10224" width="15.44140625" style="28" customWidth="1"/>
    <col min="10225" max="10466" width="11.44140625" style="28"/>
    <col min="10467" max="10467" width="8.44140625" style="28" customWidth="1"/>
    <col min="10468" max="10472" width="17.77734375" style="28" customWidth="1"/>
    <col min="10473" max="10473" width="14.109375" style="28" customWidth="1"/>
    <col min="10474" max="10474" width="11.44140625" style="28" customWidth="1"/>
    <col min="10475" max="10475" width="18.109375" style="28" customWidth="1"/>
    <col min="10476" max="10477" width="17.44140625" style="28" customWidth="1"/>
    <col min="10478" max="10478" width="17.109375" style="28" customWidth="1"/>
    <col min="10479" max="10480" width="15.44140625" style="28" customWidth="1"/>
    <col min="10481" max="10722" width="11.44140625" style="28"/>
    <col min="10723" max="10723" width="8.44140625" style="28" customWidth="1"/>
    <col min="10724" max="10728" width="17.77734375" style="28" customWidth="1"/>
    <col min="10729" max="10729" width="14.109375" style="28" customWidth="1"/>
    <col min="10730" max="10730" width="11.44140625" style="28" customWidth="1"/>
    <col min="10731" max="10731" width="18.109375" style="28" customWidth="1"/>
    <col min="10732" max="10733" width="17.44140625" style="28" customWidth="1"/>
    <col min="10734" max="10734" width="17.109375" style="28" customWidth="1"/>
    <col min="10735" max="10736" width="15.44140625" style="28" customWidth="1"/>
    <col min="10737" max="10978" width="11.44140625" style="28"/>
    <col min="10979" max="10979" width="8.44140625" style="28" customWidth="1"/>
    <col min="10980" max="10984" width="17.77734375" style="28" customWidth="1"/>
    <col min="10985" max="10985" width="14.109375" style="28" customWidth="1"/>
    <col min="10986" max="10986" width="11.44140625" style="28" customWidth="1"/>
    <col min="10987" max="10987" width="18.109375" style="28" customWidth="1"/>
    <col min="10988" max="10989" width="17.44140625" style="28" customWidth="1"/>
    <col min="10990" max="10990" width="17.109375" style="28" customWidth="1"/>
    <col min="10991" max="10992" width="15.44140625" style="28" customWidth="1"/>
    <col min="10993" max="11234" width="11.44140625" style="28"/>
    <col min="11235" max="11235" width="8.44140625" style="28" customWidth="1"/>
    <col min="11236" max="11240" width="17.77734375" style="28" customWidth="1"/>
    <col min="11241" max="11241" width="14.109375" style="28" customWidth="1"/>
    <col min="11242" max="11242" width="11.44140625" style="28" customWidth="1"/>
    <col min="11243" max="11243" width="18.109375" style="28" customWidth="1"/>
    <col min="11244" max="11245" width="17.44140625" style="28" customWidth="1"/>
    <col min="11246" max="11246" width="17.109375" style="28" customWidth="1"/>
    <col min="11247" max="11248" width="15.44140625" style="28" customWidth="1"/>
    <col min="11249" max="11490" width="11.44140625" style="28"/>
    <col min="11491" max="11491" width="8.44140625" style="28" customWidth="1"/>
    <col min="11492" max="11496" width="17.77734375" style="28" customWidth="1"/>
    <col min="11497" max="11497" width="14.109375" style="28" customWidth="1"/>
    <col min="11498" max="11498" width="11.44140625" style="28" customWidth="1"/>
    <col min="11499" max="11499" width="18.109375" style="28" customWidth="1"/>
    <col min="11500" max="11501" width="17.44140625" style="28" customWidth="1"/>
    <col min="11502" max="11502" width="17.109375" style="28" customWidth="1"/>
    <col min="11503" max="11504" width="15.44140625" style="28" customWidth="1"/>
    <col min="11505" max="11746" width="11.44140625" style="28"/>
    <col min="11747" max="11747" width="8.44140625" style="28" customWidth="1"/>
    <col min="11748" max="11752" width="17.77734375" style="28" customWidth="1"/>
    <col min="11753" max="11753" width="14.109375" style="28" customWidth="1"/>
    <col min="11754" max="11754" width="11.44140625" style="28" customWidth="1"/>
    <col min="11755" max="11755" width="18.109375" style="28" customWidth="1"/>
    <col min="11756" max="11757" width="17.44140625" style="28" customWidth="1"/>
    <col min="11758" max="11758" width="17.109375" style="28" customWidth="1"/>
    <col min="11759" max="11760" width="15.44140625" style="28" customWidth="1"/>
    <col min="11761" max="12002" width="11.44140625" style="28"/>
    <col min="12003" max="12003" width="8.44140625" style="28" customWidth="1"/>
    <col min="12004" max="12008" width="17.77734375" style="28" customWidth="1"/>
    <col min="12009" max="12009" width="14.109375" style="28" customWidth="1"/>
    <col min="12010" max="12010" width="11.44140625" style="28" customWidth="1"/>
    <col min="12011" max="12011" width="18.109375" style="28" customWidth="1"/>
    <col min="12012" max="12013" width="17.44140625" style="28" customWidth="1"/>
    <col min="12014" max="12014" width="17.109375" style="28" customWidth="1"/>
    <col min="12015" max="12016" width="15.44140625" style="28" customWidth="1"/>
    <col min="12017" max="12258" width="11.44140625" style="28"/>
    <col min="12259" max="12259" width="8.44140625" style="28" customWidth="1"/>
    <col min="12260" max="12264" width="17.77734375" style="28" customWidth="1"/>
    <col min="12265" max="12265" width="14.109375" style="28" customWidth="1"/>
    <col min="12266" max="12266" width="11.44140625" style="28" customWidth="1"/>
    <col min="12267" max="12267" width="18.109375" style="28" customWidth="1"/>
    <col min="12268" max="12269" width="17.44140625" style="28" customWidth="1"/>
    <col min="12270" max="12270" width="17.109375" style="28" customWidth="1"/>
    <col min="12271" max="12272" width="15.44140625" style="28" customWidth="1"/>
    <col min="12273" max="12514" width="11.44140625" style="28"/>
    <col min="12515" max="12515" width="8.44140625" style="28" customWidth="1"/>
    <col min="12516" max="12520" width="17.77734375" style="28" customWidth="1"/>
    <col min="12521" max="12521" width="14.109375" style="28" customWidth="1"/>
    <col min="12522" max="12522" width="11.44140625" style="28" customWidth="1"/>
    <col min="12523" max="12523" width="18.109375" style="28" customWidth="1"/>
    <col min="12524" max="12525" width="17.44140625" style="28" customWidth="1"/>
    <col min="12526" max="12526" width="17.109375" style="28" customWidth="1"/>
    <col min="12527" max="12528" width="15.44140625" style="28" customWidth="1"/>
    <col min="12529" max="12770" width="11.44140625" style="28"/>
    <col min="12771" max="12771" width="8.44140625" style="28" customWidth="1"/>
    <col min="12772" max="12776" width="17.77734375" style="28" customWidth="1"/>
    <col min="12777" max="12777" width="14.109375" style="28" customWidth="1"/>
    <col min="12778" max="12778" width="11.44140625" style="28" customWidth="1"/>
    <col min="12779" max="12779" width="18.109375" style="28" customWidth="1"/>
    <col min="12780" max="12781" width="17.44140625" style="28" customWidth="1"/>
    <col min="12782" max="12782" width="17.109375" style="28" customWidth="1"/>
    <col min="12783" max="12784" width="15.44140625" style="28" customWidth="1"/>
    <col min="12785" max="13026" width="11.44140625" style="28"/>
    <col min="13027" max="13027" width="8.44140625" style="28" customWidth="1"/>
    <col min="13028" max="13032" width="17.77734375" style="28" customWidth="1"/>
    <col min="13033" max="13033" width="14.109375" style="28" customWidth="1"/>
    <col min="13034" max="13034" width="11.44140625" style="28" customWidth="1"/>
    <col min="13035" max="13035" width="18.109375" style="28" customWidth="1"/>
    <col min="13036" max="13037" width="17.44140625" style="28" customWidth="1"/>
    <col min="13038" max="13038" width="17.109375" style="28" customWidth="1"/>
    <col min="13039" max="13040" width="15.44140625" style="28" customWidth="1"/>
    <col min="13041" max="13282" width="11.44140625" style="28"/>
    <col min="13283" max="13283" width="8.44140625" style="28" customWidth="1"/>
    <col min="13284" max="13288" width="17.77734375" style="28" customWidth="1"/>
    <col min="13289" max="13289" width="14.109375" style="28" customWidth="1"/>
    <col min="13290" max="13290" width="11.44140625" style="28" customWidth="1"/>
    <col min="13291" max="13291" width="18.109375" style="28" customWidth="1"/>
    <col min="13292" max="13293" width="17.44140625" style="28" customWidth="1"/>
    <col min="13294" max="13294" width="17.109375" style="28" customWidth="1"/>
    <col min="13295" max="13296" width="15.44140625" style="28" customWidth="1"/>
    <col min="13297" max="13538" width="11.44140625" style="28"/>
    <col min="13539" max="13539" width="8.44140625" style="28" customWidth="1"/>
    <col min="13540" max="13544" width="17.77734375" style="28" customWidth="1"/>
    <col min="13545" max="13545" width="14.109375" style="28" customWidth="1"/>
    <col min="13546" max="13546" width="11.44140625" style="28" customWidth="1"/>
    <col min="13547" max="13547" width="18.109375" style="28" customWidth="1"/>
    <col min="13548" max="13549" width="17.44140625" style="28" customWidth="1"/>
    <col min="13550" max="13550" width="17.109375" style="28" customWidth="1"/>
    <col min="13551" max="13552" width="15.44140625" style="28" customWidth="1"/>
    <col min="13553" max="13794" width="11.44140625" style="28"/>
    <col min="13795" max="13795" width="8.44140625" style="28" customWidth="1"/>
    <col min="13796" max="13800" width="17.77734375" style="28" customWidth="1"/>
    <col min="13801" max="13801" width="14.109375" style="28" customWidth="1"/>
    <col min="13802" max="13802" width="11.44140625" style="28" customWidth="1"/>
    <col min="13803" max="13803" width="18.109375" style="28" customWidth="1"/>
    <col min="13804" max="13805" width="17.44140625" style="28" customWidth="1"/>
    <col min="13806" max="13806" width="17.109375" style="28" customWidth="1"/>
    <col min="13807" max="13808" width="15.44140625" style="28" customWidth="1"/>
    <col min="13809" max="14050" width="11.44140625" style="28"/>
    <col min="14051" max="14051" width="8.44140625" style="28" customWidth="1"/>
    <col min="14052" max="14056" width="17.77734375" style="28" customWidth="1"/>
    <col min="14057" max="14057" width="14.109375" style="28" customWidth="1"/>
    <col min="14058" max="14058" width="11.44140625" style="28" customWidth="1"/>
    <col min="14059" max="14059" width="18.109375" style="28" customWidth="1"/>
    <col min="14060" max="14061" width="17.44140625" style="28" customWidth="1"/>
    <col min="14062" max="14062" width="17.109375" style="28" customWidth="1"/>
    <col min="14063" max="14064" width="15.44140625" style="28" customWidth="1"/>
    <col min="14065" max="14306" width="11.44140625" style="28"/>
    <col min="14307" max="14307" width="8.44140625" style="28" customWidth="1"/>
    <col min="14308" max="14312" width="17.77734375" style="28" customWidth="1"/>
    <col min="14313" max="14313" width="14.109375" style="28" customWidth="1"/>
    <col min="14314" max="14314" width="11.44140625" style="28" customWidth="1"/>
    <col min="14315" max="14315" width="18.109375" style="28" customWidth="1"/>
    <col min="14316" max="14317" width="17.44140625" style="28" customWidth="1"/>
    <col min="14318" max="14318" width="17.109375" style="28" customWidth="1"/>
    <col min="14319" max="14320" width="15.44140625" style="28" customWidth="1"/>
    <col min="14321" max="14562" width="11.44140625" style="28"/>
    <col min="14563" max="14563" width="8.44140625" style="28" customWidth="1"/>
    <col min="14564" max="14568" width="17.77734375" style="28" customWidth="1"/>
    <col min="14569" max="14569" width="14.109375" style="28" customWidth="1"/>
    <col min="14570" max="14570" width="11.44140625" style="28" customWidth="1"/>
    <col min="14571" max="14571" width="18.109375" style="28" customWidth="1"/>
    <col min="14572" max="14573" width="17.44140625" style="28" customWidth="1"/>
    <col min="14574" max="14574" width="17.109375" style="28" customWidth="1"/>
    <col min="14575" max="14576" width="15.44140625" style="28" customWidth="1"/>
    <col min="14577" max="14818" width="11.44140625" style="28"/>
    <col min="14819" max="14819" width="8.44140625" style="28" customWidth="1"/>
    <col min="14820" max="14824" width="17.77734375" style="28" customWidth="1"/>
    <col min="14825" max="14825" width="14.109375" style="28" customWidth="1"/>
    <col min="14826" max="14826" width="11.44140625" style="28" customWidth="1"/>
    <col min="14827" max="14827" width="18.109375" style="28" customWidth="1"/>
    <col min="14828" max="14829" width="17.44140625" style="28" customWidth="1"/>
    <col min="14830" max="14830" width="17.109375" style="28" customWidth="1"/>
    <col min="14831" max="14832" width="15.44140625" style="28" customWidth="1"/>
    <col min="14833" max="15074" width="11.44140625" style="28"/>
    <col min="15075" max="15075" width="8.44140625" style="28" customWidth="1"/>
    <col min="15076" max="15080" width="17.77734375" style="28" customWidth="1"/>
    <col min="15081" max="15081" width="14.109375" style="28" customWidth="1"/>
    <col min="15082" max="15082" width="11.44140625" style="28" customWidth="1"/>
    <col min="15083" max="15083" width="18.109375" style="28" customWidth="1"/>
    <col min="15084" max="15085" width="17.44140625" style="28" customWidth="1"/>
    <col min="15086" max="15086" width="17.109375" style="28" customWidth="1"/>
    <col min="15087" max="15088" width="15.44140625" style="28" customWidth="1"/>
    <col min="15089" max="15330" width="11.44140625" style="28"/>
    <col min="15331" max="15331" width="8.44140625" style="28" customWidth="1"/>
    <col min="15332" max="15336" width="17.77734375" style="28" customWidth="1"/>
    <col min="15337" max="15337" width="14.109375" style="28" customWidth="1"/>
    <col min="15338" max="15338" width="11.44140625" style="28" customWidth="1"/>
    <col min="15339" max="15339" width="18.109375" style="28" customWidth="1"/>
    <col min="15340" max="15341" width="17.44140625" style="28" customWidth="1"/>
    <col min="15342" max="15342" width="17.109375" style="28" customWidth="1"/>
    <col min="15343" max="15344" width="15.44140625" style="28" customWidth="1"/>
    <col min="15345" max="15586" width="11.44140625" style="28"/>
    <col min="15587" max="15587" width="8.44140625" style="28" customWidth="1"/>
    <col min="15588" max="15592" width="17.77734375" style="28" customWidth="1"/>
    <col min="15593" max="15593" width="14.109375" style="28" customWidth="1"/>
    <col min="15594" max="15594" width="11.44140625" style="28" customWidth="1"/>
    <col min="15595" max="15595" width="18.109375" style="28" customWidth="1"/>
    <col min="15596" max="15597" width="17.44140625" style="28" customWidth="1"/>
    <col min="15598" max="15598" width="17.109375" style="28" customWidth="1"/>
    <col min="15599" max="15600" width="15.44140625" style="28" customWidth="1"/>
    <col min="15601" max="15842" width="11.44140625" style="28"/>
    <col min="15843" max="15843" width="8.44140625" style="28" customWidth="1"/>
    <col min="15844" max="15848" width="17.77734375" style="28" customWidth="1"/>
    <col min="15849" max="15849" width="14.109375" style="28" customWidth="1"/>
    <col min="15850" max="15850" width="11.44140625" style="28" customWidth="1"/>
    <col min="15851" max="15851" width="18.109375" style="28" customWidth="1"/>
    <col min="15852" max="15853" width="17.44140625" style="28" customWidth="1"/>
    <col min="15854" max="15854" width="17.109375" style="28" customWidth="1"/>
    <col min="15855" max="15856" width="15.44140625" style="28" customWidth="1"/>
    <col min="15857" max="16098" width="11.44140625" style="28"/>
    <col min="16099" max="16099" width="8.44140625" style="28" customWidth="1"/>
    <col min="16100" max="16104" width="17.77734375" style="28" customWidth="1"/>
    <col min="16105" max="16105" width="14.109375" style="28" customWidth="1"/>
    <col min="16106" max="16106" width="11.44140625" style="28" customWidth="1"/>
    <col min="16107" max="16107" width="18.109375" style="28" customWidth="1"/>
    <col min="16108" max="16109" width="17.44140625" style="28" customWidth="1"/>
    <col min="16110" max="16110" width="17.109375" style="28" customWidth="1"/>
    <col min="16111" max="16112" width="15.44140625" style="28" customWidth="1"/>
    <col min="16113" max="16384" width="11.44140625" style="28"/>
  </cols>
  <sheetData>
    <row r="1" spans="1:18" s="97" customFormat="1" ht="51.45" customHeight="1">
      <c r="A1" s="1047" t="s">
        <v>71</v>
      </c>
      <c r="B1" s="1048"/>
      <c r="C1" s="1048"/>
      <c r="D1" s="1048"/>
      <c r="E1" s="1048"/>
      <c r="F1" s="1048"/>
      <c r="G1" s="1048"/>
      <c r="H1" s="1049"/>
      <c r="J1" s="717" t="s">
        <v>839</v>
      </c>
    </row>
    <row r="2" spans="1:18" s="98" customFormat="1" ht="15" customHeight="1">
      <c r="A2" s="31"/>
      <c r="B2" s="10"/>
      <c r="C2" s="10"/>
      <c r="D2" s="10"/>
      <c r="E2" s="19"/>
      <c r="F2" s="10"/>
      <c r="G2" s="32"/>
      <c r="H2" s="10"/>
    </row>
    <row r="3" spans="1:18" ht="43.2" customHeight="1">
      <c r="A3" s="2" t="s">
        <v>48</v>
      </c>
      <c r="B3" s="1" t="s">
        <v>305</v>
      </c>
      <c r="C3" s="1" t="s">
        <v>69</v>
      </c>
      <c r="D3" s="1" t="s">
        <v>70</v>
      </c>
      <c r="F3" s="1" t="s">
        <v>67</v>
      </c>
      <c r="G3" s="30"/>
      <c r="H3" s="1" t="s">
        <v>68</v>
      </c>
      <c r="J3" s="676" t="s">
        <v>840</v>
      </c>
      <c r="N3" s="792"/>
      <c r="O3" s="792"/>
      <c r="P3" s="792"/>
      <c r="Q3" s="792"/>
      <c r="R3" s="792"/>
    </row>
    <row r="4" spans="1:18" ht="15" customHeight="1">
      <c r="A4" s="2">
        <v>1</v>
      </c>
      <c r="B4" s="12"/>
      <c r="C4" s="12"/>
      <c r="D4" s="12">
        <f xml:space="preserve"> SUM( $B4:$C4 )</f>
        <v>0</v>
      </c>
      <c r="F4" s="139">
        <f>'Composição Faturamento 1'!N5*'Dados de Entrada'!D88</f>
        <v>1341899.6158708471</v>
      </c>
      <c r="H4" s="12">
        <f xml:space="preserve"> ( ( $D4 ) + ( $F4 ) )</f>
        <v>1341899.6158708471</v>
      </c>
      <c r="J4" s="139">
        <f>'Dados de Entrada'!D90</f>
        <v>0</v>
      </c>
      <c r="N4" s="792"/>
      <c r="O4" s="792"/>
      <c r="P4" s="792"/>
      <c r="Q4" s="792"/>
      <c r="R4" s="792"/>
    </row>
    <row r="5" spans="1:18" ht="15" customHeight="1">
      <c r="A5" s="2">
        <f xml:space="preserve"> ( ( A4 ) + ( 1 ) )</f>
        <v>2</v>
      </c>
      <c r="B5" s="12"/>
      <c r="C5" s="12"/>
      <c r="D5" s="12">
        <f t="shared" ref="D5:D33" si="0" xml:space="preserve"> SUM( $B5:$C5 )</f>
        <v>0</v>
      </c>
      <c r="F5" s="139">
        <f>'Composição Faturamento 1'!N6*'Dados de Entrada'!$D$89</f>
        <v>1020480.3651191045</v>
      </c>
      <c r="H5" s="12">
        <f t="shared" ref="H5:H33" si="1" xml:space="preserve"> ( ( $D5 ) + ( $F5 ) )</f>
        <v>1020480.3651191045</v>
      </c>
      <c r="J5" s="139">
        <f>J4</f>
        <v>0</v>
      </c>
    </row>
    <row r="6" spans="1:18" ht="15" customHeight="1">
      <c r="A6" s="2">
        <f t="shared" ref="A6:A33" si="2" xml:space="preserve"> ( ( A5 ) + ( 1 ) )</f>
        <v>3</v>
      </c>
      <c r="B6" s="12"/>
      <c r="C6" s="12"/>
      <c r="D6" s="12">
        <f t="shared" si="0"/>
        <v>0</v>
      </c>
      <c r="F6" s="139">
        <f>'Composição Faturamento 1'!N7*'Dados de Entrada'!$D$89</f>
        <v>1044881.3785184245</v>
      </c>
      <c r="H6" s="12">
        <f t="shared" si="1"/>
        <v>1044881.3785184245</v>
      </c>
      <c r="J6" s="139">
        <f t="shared" ref="J6:J33" si="3">J5</f>
        <v>0</v>
      </c>
    </row>
    <row r="7" spans="1:18" ht="15" customHeight="1">
      <c r="A7" s="2">
        <f t="shared" si="2"/>
        <v>4</v>
      </c>
      <c r="B7" s="12"/>
      <c r="C7" s="12"/>
      <c r="D7" s="12">
        <f t="shared" si="0"/>
        <v>0</v>
      </c>
      <c r="F7" s="139">
        <f>'Composição Faturamento 1'!N8*'Dados de Entrada'!$D$89</f>
        <v>1174159.745681996</v>
      </c>
      <c r="H7" s="12">
        <f t="shared" si="1"/>
        <v>1174159.745681996</v>
      </c>
      <c r="J7" s="139">
        <f t="shared" si="3"/>
        <v>0</v>
      </c>
    </row>
    <row r="8" spans="1:18" ht="15" customHeight="1">
      <c r="A8" s="2">
        <f t="shared" si="2"/>
        <v>5</v>
      </c>
      <c r="B8" s="12"/>
      <c r="C8" s="12"/>
      <c r="D8" s="12">
        <f t="shared" si="0"/>
        <v>0</v>
      </c>
      <c r="F8" s="139">
        <f>'Composição Faturamento 1'!N9*'Dados de Entrada'!$D$89</f>
        <v>1308653.2953199816</v>
      </c>
      <c r="H8" s="12">
        <f t="shared" si="1"/>
        <v>1308653.2953199816</v>
      </c>
      <c r="J8" s="139">
        <f t="shared" si="3"/>
        <v>0</v>
      </c>
      <c r="N8" s="786" t="s">
        <v>1194</v>
      </c>
    </row>
    <row r="9" spans="1:18" ht="15" customHeight="1">
      <c r="A9" s="2">
        <f t="shared" si="2"/>
        <v>6</v>
      </c>
      <c r="B9" s="12"/>
      <c r="C9" s="12"/>
      <c r="D9" s="12">
        <f t="shared" si="0"/>
        <v>0</v>
      </c>
      <c r="F9" s="139">
        <f>'Composição Faturamento 1'!N10*'Dados de Entrada'!$D$89</f>
        <v>1434315.4350345714</v>
      </c>
      <c r="H9" s="12">
        <f t="shared" si="1"/>
        <v>1434315.4350345714</v>
      </c>
      <c r="J9" s="139">
        <f t="shared" si="3"/>
        <v>0</v>
      </c>
      <c r="N9" s="786" t="s">
        <v>1195</v>
      </c>
    </row>
    <row r="10" spans="1:18" ht="15" customHeight="1">
      <c r="A10" s="2">
        <f t="shared" si="2"/>
        <v>7</v>
      </c>
      <c r="B10" s="12"/>
      <c r="C10" s="12"/>
      <c r="D10" s="12">
        <f t="shared" si="0"/>
        <v>0</v>
      </c>
      <c r="F10" s="139">
        <f>'Composição Faturamento 1'!N11*'Dados de Entrada'!$D$89</f>
        <v>1507902.522569902</v>
      </c>
      <c r="H10" s="12">
        <f t="shared" si="1"/>
        <v>1507902.522569902</v>
      </c>
      <c r="J10" s="139">
        <f t="shared" si="3"/>
        <v>0</v>
      </c>
      <c r="N10" s="786" t="s">
        <v>1196</v>
      </c>
    </row>
    <row r="11" spans="1:18" ht="15" customHeight="1">
      <c r="A11" s="2">
        <f t="shared" si="2"/>
        <v>8</v>
      </c>
      <c r="B11" s="12"/>
      <c r="C11" s="12"/>
      <c r="D11" s="12">
        <f t="shared" si="0"/>
        <v>0</v>
      </c>
      <c r="F11" s="139">
        <f>'Composição Faturamento 1'!N12*'Dados de Entrada'!$D$89</f>
        <v>1582919.7717228462</v>
      </c>
      <c r="H11" s="12">
        <f t="shared" si="1"/>
        <v>1582919.7717228462</v>
      </c>
      <c r="J11" s="139">
        <f t="shared" si="3"/>
        <v>0</v>
      </c>
      <c r="N11" s="786" t="s">
        <v>1197</v>
      </c>
    </row>
    <row r="12" spans="1:18" ht="15" customHeight="1">
      <c r="A12" s="2">
        <f t="shared" si="2"/>
        <v>9</v>
      </c>
      <c r="B12" s="12"/>
      <c r="C12" s="12"/>
      <c r="D12" s="12">
        <f t="shared" si="0"/>
        <v>0</v>
      </c>
      <c r="F12" s="139">
        <f>'Composição Faturamento 1'!N13*'Dados de Entrada'!$D$89</f>
        <v>1659322.5126925239</v>
      </c>
      <c r="H12" s="12">
        <f t="shared" si="1"/>
        <v>1659322.5126925239</v>
      </c>
      <c r="J12" s="139">
        <f t="shared" si="3"/>
        <v>0</v>
      </c>
      <c r="N12" s="786" t="s">
        <v>1198</v>
      </c>
    </row>
    <row r="13" spans="1:18" ht="15" customHeight="1">
      <c r="A13" s="2">
        <f t="shared" si="2"/>
        <v>10</v>
      </c>
      <c r="B13" s="12"/>
      <c r="C13" s="12"/>
      <c r="D13" s="12">
        <f t="shared" si="0"/>
        <v>0</v>
      </c>
      <c r="F13" s="139">
        <f>'Composição Faturamento 1'!N14*'Dados de Entrada'!$D$89</f>
        <v>1680169.0170203503</v>
      </c>
      <c r="H13" s="12">
        <f t="shared" si="1"/>
        <v>1680169.0170203503</v>
      </c>
      <c r="J13" s="139">
        <f t="shared" si="3"/>
        <v>0</v>
      </c>
    </row>
    <row r="14" spans="1:18" ht="15" customHeight="1">
      <c r="A14" s="2">
        <f t="shared" si="2"/>
        <v>11</v>
      </c>
      <c r="B14" s="12"/>
      <c r="C14" s="12"/>
      <c r="D14" s="12">
        <f t="shared" si="0"/>
        <v>0</v>
      </c>
      <c r="F14" s="139">
        <f>'Composição Faturamento 1'!N15*'Dados de Entrada'!$D$89</f>
        <v>1701007.2053612843</v>
      </c>
      <c r="H14" s="12">
        <f t="shared" si="1"/>
        <v>1701007.2053612843</v>
      </c>
      <c r="J14" s="139">
        <f t="shared" si="3"/>
        <v>0</v>
      </c>
    </row>
    <row r="15" spans="1:18" ht="15" customHeight="1">
      <c r="A15" s="2">
        <f t="shared" si="2"/>
        <v>12</v>
      </c>
      <c r="B15" s="12"/>
      <c r="C15" s="12"/>
      <c r="D15" s="12">
        <f t="shared" si="0"/>
        <v>0</v>
      </c>
      <c r="F15" s="139">
        <f>'Composição Faturamento 1'!N16*'Dados de Entrada'!$D$89</f>
        <v>1721862.7980374247</v>
      </c>
      <c r="H15" s="12">
        <f t="shared" si="1"/>
        <v>1721862.7980374247</v>
      </c>
      <c r="J15" s="139">
        <f t="shared" si="3"/>
        <v>0</v>
      </c>
      <c r="N15" s="560"/>
    </row>
    <row r="16" spans="1:18" ht="15" customHeight="1">
      <c r="A16" s="2">
        <f t="shared" si="2"/>
        <v>13</v>
      </c>
      <c r="B16" s="12"/>
      <c r="C16" s="12"/>
      <c r="D16" s="12">
        <f t="shared" si="0"/>
        <v>0</v>
      </c>
      <c r="F16" s="139">
        <f>'Composição Faturamento 1'!N17*'Dados de Entrada'!$D$89</f>
        <v>1742700.9863722429</v>
      </c>
      <c r="H16" s="12">
        <f t="shared" si="1"/>
        <v>1742700.9863722429</v>
      </c>
      <c r="J16" s="139">
        <f t="shared" si="3"/>
        <v>0</v>
      </c>
      <c r="N16" s="560"/>
    </row>
    <row r="17" spans="1:10" ht="15" customHeight="1">
      <c r="A17" s="2">
        <f t="shared" si="2"/>
        <v>14</v>
      </c>
      <c r="B17" s="12"/>
      <c r="C17" s="12"/>
      <c r="D17" s="12">
        <f t="shared" si="0"/>
        <v>0</v>
      </c>
      <c r="F17" s="139">
        <f>'Composição Faturamento 1'!N18*'Dados de Entrada'!$D$89</f>
        <v>1763547.4907195393</v>
      </c>
      <c r="H17" s="12">
        <f t="shared" si="1"/>
        <v>1763547.4907195393</v>
      </c>
      <c r="J17" s="139">
        <f t="shared" si="3"/>
        <v>0</v>
      </c>
    </row>
    <row r="18" spans="1:10" ht="15" customHeight="1">
      <c r="A18" s="2">
        <f t="shared" si="2"/>
        <v>15</v>
      </c>
      <c r="B18" s="12"/>
      <c r="C18" s="12"/>
      <c r="D18" s="12">
        <f t="shared" si="0"/>
        <v>0</v>
      </c>
      <c r="F18" s="139">
        <f>'Composição Faturamento 1'!N19*'Dados de Entrada'!$D$89</f>
        <v>1784400.8644656364</v>
      </c>
      <c r="H18" s="12">
        <f t="shared" si="1"/>
        <v>1784400.8644656364</v>
      </c>
      <c r="J18" s="139">
        <f t="shared" si="3"/>
        <v>0</v>
      </c>
    </row>
    <row r="19" spans="1:10" ht="15" customHeight="1">
      <c r="A19" s="2">
        <f t="shared" si="2"/>
        <v>16</v>
      </c>
      <c r="B19" s="12"/>
      <c r="C19" s="12"/>
      <c r="D19" s="12">
        <f t="shared" si="0"/>
        <v>0</v>
      </c>
      <c r="F19" s="139">
        <f>'Composição Faturamento 1'!N20*'Dados de Entrada'!$D$89</f>
        <v>1805247.3688453985</v>
      </c>
      <c r="H19" s="12">
        <f t="shared" si="1"/>
        <v>1805247.3688453985</v>
      </c>
      <c r="J19" s="139">
        <f t="shared" si="3"/>
        <v>0</v>
      </c>
    </row>
    <row r="20" spans="1:10" ht="15" customHeight="1">
      <c r="A20" s="2">
        <f t="shared" si="2"/>
        <v>17</v>
      </c>
      <c r="B20" s="12"/>
      <c r="C20" s="12"/>
      <c r="D20" s="12">
        <f t="shared" si="0"/>
        <v>0</v>
      </c>
      <c r="F20" s="139">
        <f>'Composição Faturamento 1'!N21*'Dados de Entrada'!$D$89</f>
        <v>1826102.490887363</v>
      </c>
      <c r="H20" s="12">
        <f t="shared" si="1"/>
        <v>1826102.490887363</v>
      </c>
      <c r="J20" s="139">
        <f t="shared" si="3"/>
        <v>0</v>
      </c>
    </row>
    <row r="21" spans="1:10" ht="15" customHeight="1">
      <c r="A21" s="2">
        <f t="shared" si="2"/>
        <v>18</v>
      </c>
      <c r="B21" s="12"/>
      <c r="C21" s="12"/>
      <c r="D21" s="12">
        <f t="shared" si="0"/>
        <v>0</v>
      </c>
      <c r="F21" s="139">
        <f>'Composição Faturamento 1'!N22*'Dados de Entrada'!$D$89</f>
        <v>1847100.7322885133</v>
      </c>
      <c r="H21" s="12">
        <f t="shared" si="1"/>
        <v>1847100.7322885133</v>
      </c>
      <c r="J21" s="139">
        <f t="shared" si="3"/>
        <v>0</v>
      </c>
    </row>
    <row r="22" spans="1:10" ht="15" customHeight="1">
      <c r="A22" s="2">
        <f t="shared" si="2"/>
        <v>19</v>
      </c>
      <c r="B22" s="12"/>
      <c r="C22" s="12"/>
      <c r="D22" s="12">
        <f t="shared" si="0"/>
        <v>0</v>
      </c>
      <c r="F22" s="139">
        <f>'Composição Faturamento 1'!N23*'Dados de Entrada'!$D$89</f>
        <v>1868329.0066407227</v>
      </c>
      <c r="H22" s="12">
        <f t="shared" si="1"/>
        <v>1868329.0066407227</v>
      </c>
      <c r="J22" s="139">
        <f t="shared" si="3"/>
        <v>0</v>
      </c>
    </row>
    <row r="23" spans="1:10" ht="15" customHeight="1">
      <c r="A23" s="2">
        <f t="shared" si="2"/>
        <v>20</v>
      </c>
      <c r="B23" s="12"/>
      <c r="C23" s="12"/>
      <c r="D23" s="12">
        <f t="shared" si="0"/>
        <v>0</v>
      </c>
      <c r="F23" s="139">
        <f>'Composição Faturamento 1'!N24*'Dados de Entrada'!$D$89</f>
        <v>1889821.6516687172</v>
      </c>
      <c r="H23" s="12">
        <f t="shared" si="1"/>
        <v>1889821.6516687172</v>
      </c>
      <c r="J23" s="139">
        <f t="shared" si="3"/>
        <v>0</v>
      </c>
    </row>
    <row r="24" spans="1:10" ht="15" customHeight="1">
      <c r="A24" s="2">
        <f t="shared" si="2"/>
        <v>21</v>
      </c>
      <c r="B24" s="12"/>
      <c r="C24" s="12"/>
      <c r="D24" s="12">
        <f t="shared" si="0"/>
        <v>0</v>
      </c>
      <c r="F24" s="139">
        <f>'Composição Faturamento 1'!N25*'Dados de Entrada'!$D$89</f>
        <v>1911560.7575657335</v>
      </c>
      <c r="H24" s="12">
        <f t="shared" si="1"/>
        <v>1911560.7575657335</v>
      </c>
      <c r="J24" s="139">
        <f t="shared" si="3"/>
        <v>0</v>
      </c>
    </row>
    <row r="25" spans="1:10" ht="15" customHeight="1">
      <c r="A25" s="2">
        <f t="shared" si="2"/>
        <v>22</v>
      </c>
      <c r="B25" s="12"/>
      <c r="C25" s="12"/>
      <c r="D25" s="12">
        <f t="shared" si="0"/>
        <v>0</v>
      </c>
      <c r="F25" s="139">
        <f>'Composição Faturamento 1'!N26*'Dados de Entrada'!$D$89</f>
        <v>1933551.6845805102</v>
      </c>
      <c r="H25" s="12">
        <f t="shared" si="1"/>
        <v>1933551.6845805102</v>
      </c>
      <c r="J25" s="139">
        <f t="shared" si="3"/>
        <v>0</v>
      </c>
    </row>
    <row r="26" spans="1:10" ht="15" customHeight="1">
      <c r="A26" s="2">
        <f t="shared" si="2"/>
        <v>23</v>
      </c>
      <c r="B26" s="12"/>
      <c r="C26" s="12"/>
      <c r="D26" s="12">
        <f t="shared" si="0"/>
        <v>0</v>
      </c>
      <c r="F26" s="139">
        <f>'Composição Faturamento 1'!N27*'Dados de Entrada'!$D$89</f>
        <v>1955787.8297850196</v>
      </c>
      <c r="H26" s="12">
        <f t="shared" si="1"/>
        <v>1955787.8297850196</v>
      </c>
      <c r="J26" s="139">
        <f t="shared" si="3"/>
        <v>0</v>
      </c>
    </row>
    <row r="27" spans="1:10" ht="15" customHeight="1">
      <c r="A27" s="2">
        <f t="shared" si="2"/>
        <v>24</v>
      </c>
      <c r="B27" s="12"/>
      <c r="C27" s="12"/>
      <c r="D27" s="12">
        <f t="shared" si="0"/>
        <v>0</v>
      </c>
      <c r="F27" s="139">
        <f>'Composição Faturamento 1'!N28*'Dados de Entrada'!$D$89</f>
        <v>1978293.4665508713</v>
      </c>
      <c r="H27" s="12">
        <f t="shared" si="1"/>
        <v>1978293.4665508713</v>
      </c>
      <c r="J27" s="139">
        <f t="shared" si="3"/>
        <v>0</v>
      </c>
    </row>
    <row r="28" spans="1:10" ht="15" customHeight="1">
      <c r="A28" s="2">
        <f t="shared" si="2"/>
        <v>25</v>
      </c>
      <c r="B28" s="12"/>
      <c r="C28" s="12"/>
      <c r="D28" s="12">
        <f t="shared" si="0"/>
        <v>0</v>
      </c>
      <c r="F28" s="139">
        <f>'Composição Faturamento 1'!N29*'Dados de Entrada'!$D$89</f>
        <v>2001074.8962403601</v>
      </c>
      <c r="H28" s="12">
        <f t="shared" si="1"/>
        <v>2001074.8962403601</v>
      </c>
      <c r="J28" s="139">
        <f t="shared" si="3"/>
        <v>0</v>
      </c>
    </row>
    <row r="29" spans="1:10" ht="15" customHeight="1">
      <c r="A29" s="2">
        <f t="shared" si="2"/>
        <v>26</v>
      </c>
      <c r="B29" s="12"/>
      <c r="C29" s="12"/>
      <c r="D29" s="12">
        <f t="shared" si="0"/>
        <v>0</v>
      </c>
      <c r="F29" s="139">
        <f>'Composição Faturamento 1'!N30*'Dados de Entrada'!$D$89</f>
        <v>2024085.8884478374</v>
      </c>
      <c r="H29" s="12">
        <f t="shared" si="1"/>
        <v>2024085.8884478374</v>
      </c>
      <c r="J29" s="139">
        <f t="shared" si="3"/>
        <v>0</v>
      </c>
    </row>
    <row r="30" spans="1:10" ht="15" customHeight="1">
      <c r="A30" s="2">
        <f t="shared" si="2"/>
        <v>27</v>
      </c>
      <c r="B30" s="12"/>
      <c r="C30" s="12"/>
      <c r="D30" s="12">
        <f t="shared" si="0"/>
        <v>0</v>
      </c>
      <c r="F30" s="139">
        <f>'Composição Faturamento 1'!N31*'Dados de Entrada'!$D$89</f>
        <v>2047372.9752466062</v>
      </c>
      <c r="H30" s="12">
        <f t="shared" si="1"/>
        <v>2047372.9752466062</v>
      </c>
      <c r="J30" s="139">
        <f t="shared" si="3"/>
        <v>0</v>
      </c>
    </row>
    <row r="31" spans="1:10" ht="15" customHeight="1">
      <c r="A31" s="2">
        <f t="shared" si="2"/>
        <v>28</v>
      </c>
      <c r="B31" s="12"/>
      <c r="C31" s="12"/>
      <c r="D31" s="12">
        <f t="shared" si="0"/>
        <v>0</v>
      </c>
      <c r="F31" s="139">
        <f>'Composição Faturamento 1'!N32*'Dados de Entrada'!$D$89</f>
        <v>2070929.2518376922</v>
      </c>
      <c r="H31" s="12">
        <f t="shared" si="1"/>
        <v>2070929.2518376922</v>
      </c>
      <c r="J31" s="139">
        <f t="shared" si="3"/>
        <v>0</v>
      </c>
    </row>
    <row r="32" spans="1:10" ht="15" customHeight="1">
      <c r="A32" s="2">
        <f t="shared" si="2"/>
        <v>29</v>
      </c>
      <c r="B32" s="12"/>
      <c r="C32" s="12"/>
      <c r="D32" s="12">
        <f t="shared" si="0"/>
        <v>0</v>
      </c>
      <c r="F32" s="139">
        <f>'Composição Faturamento 1'!N33*'Dados de Entrada'!$D$89</f>
        <v>2094744.2190134542</v>
      </c>
      <c r="H32" s="12">
        <f t="shared" si="1"/>
        <v>2094744.2190134542</v>
      </c>
      <c r="J32" s="139">
        <f t="shared" si="3"/>
        <v>0</v>
      </c>
    </row>
    <row r="33" spans="1:10" ht="15" customHeight="1">
      <c r="A33" s="2">
        <f t="shared" si="2"/>
        <v>30</v>
      </c>
      <c r="B33" s="12"/>
      <c r="C33" s="12"/>
      <c r="D33" s="12">
        <f t="shared" si="0"/>
        <v>0</v>
      </c>
      <c r="F33" s="139">
        <f>'Composição Faturamento 1'!N34*'Dados de Entrada'!$D$89</f>
        <v>2118843.0908543556</v>
      </c>
      <c r="H33" s="12">
        <f t="shared" si="1"/>
        <v>2118843.0908543556</v>
      </c>
      <c r="J33" s="139">
        <f t="shared" si="3"/>
        <v>0</v>
      </c>
    </row>
    <row r="34" spans="1:10" ht="15" customHeight="1">
      <c r="A34" s="3" t="s">
        <v>4</v>
      </c>
      <c r="B34" s="11">
        <f xml:space="preserve"> SUM( $B4:$B33 )</f>
        <v>0</v>
      </c>
      <c r="C34" s="11">
        <f xml:space="preserve"> SUM( $C4:$C33 )</f>
        <v>0</v>
      </c>
      <c r="D34" s="11">
        <f xml:space="preserve"> SUM( $D4:$D33 )</f>
        <v>0</v>
      </c>
      <c r="F34" s="140">
        <f>'Composição Faturamento 1'!N35*'Dados de Entrada'!$D$89</f>
        <v>51505593.410992116</v>
      </c>
      <c r="H34" s="11">
        <f xml:space="preserve"> SUM( $H4:$H33 )</f>
        <v>51841068.314959832</v>
      </c>
      <c r="J34" s="140">
        <f>SUM(J4:J33)</f>
        <v>0</v>
      </c>
    </row>
  </sheetData>
  <mergeCells count="1">
    <mergeCell ref="A1:H1"/>
  </mergeCells>
  <printOptions horizontalCentered="1"/>
  <pageMargins left="1.3779527559055118" right="0.39370078740157483" top="1.1811023622047245" bottom="0.59055118110236227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fitToPage="1"/>
  </sheetPr>
  <dimension ref="A1:AG54"/>
  <sheetViews>
    <sheetView showGridLines="0" topLeftCell="A41" zoomScale="130" zoomScaleNormal="130" zoomScalePageLayoutView="120" workbookViewId="0">
      <pane xSplit="1" topLeftCell="B1" activePane="topRight" state="frozen"/>
      <selection activeCell="L3" sqref="L3:L108"/>
      <selection pane="topRight" activeCell="C6" sqref="C6"/>
    </sheetView>
  </sheetViews>
  <sheetFormatPr defaultColWidth="8.77734375" defaultRowHeight="15" customHeight="1"/>
  <cols>
    <col min="1" max="1" width="59.44140625" style="116" bestFit="1" customWidth="1"/>
    <col min="2" max="2" width="14.44140625" style="111" bestFit="1" customWidth="1"/>
    <col min="3" max="5" width="11.44140625" style="111" bestFit="1" customWidth="1"/>
    <col min="6" max="31" width="12.33203125" style="111" bestFit="1" customWidth="1"/>
    <col min="32" max="32" width="13.33203125" style="111" bestFit="1" customWidth="1"/>
    <col min="33" max="33" width="11" style="111" bestFit="1" customWidth="1"/>
    <col min="34" max="16384" width="8.77734375" style="111"/>
  </cols>
  <sheetData>
    <row r="1" spans="1:33" s="34" customFormat="1" ht="40.049999999999997" customHeight="1">
      <c r="A1" s="688" t="s">
        <v>388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</row>
    <row r="2" spans="1:33" s="104" customFormat="1" ht="15" customHeight="1">
      <c r="A2" s="101"/>
      <c r="B2" s="206"/>
      <c r="C2" s="132"/>
      <c r="D2" s="103"/>
      <c r="E2" s="102"/>
      <c r="F2" s="103"/>
      <c r="G2" s="102"/>
      <c r="H2" s="103"/>
      <c r="I2" s="102"/>
      <c r="J2" s="103"/>
      <c r="K2" s="102"/>
      <c r="L2" s="103"/>
      <c r="M2" s="102"/>
      <c r="N2" s="103"/>
      <c r="O2" s="102"/>
      <c r="P2" s="103"/>
      <c r="Q2" s="102"/>
      <c r="R2" s="103"/>
      <c r="S2" s="102"/>
      <c r="T2" s="103"/>
      <c r="U2" s="102"/>
      <c r="V2" s="103"/>
      <c r="W2" s="102"/>
      <c r="X2" s="103"/>
      <c r="Y2" s="102"/>
      <c r="Z2" s="103"/>
      <c r="AA2" s="102"/>
      <c r="AB2" s="103"/>
      <c r="AC2" s="102"/>
      <c r="AD2" s="103"/>
      <c r="AE2" s="102"/>
      <c r="AF2" s="103"/>
    </row>
    <row r="3" spans="1:33" s="106" customFormat="1" ht="15" customHeight="1">
      <c r="A3" s="105" t="s">
        <v>8</v>
      </c>
      <c r="B3" s="105" t="s">
        <v>4</v>
      </c>
      <c r="C3" s="105" t="s">
        <v>74</v>
      </c>
      <c r="D3" s="105" t="s">
        <v>73</v>
      </c>
      <c r="E3" s="105" t="s">
        <v>75</v>
      </c>
      <c r="F3" s="105" t="s">
        <v>76</v>
      </c>
      <c r="G3" s="105" t="s">
        <v>77</v>
      </c>
      <c r="H3" s="105" t="s">
        <v>78</v>
      </c>
      <c r="I3" s="105" t="s">
        <v>79</v>
      </c>
      <c r="J3" s="105" t="s">
        <v>80</v>
      </c>
      <c r="K3" s="105" t="s">
        <v>81</v>
      </c>
      <c r="L3" s="105" t="s">
        <v>82</v>
      </c>
      <c r="M3" s="105" t="s">
        <v>83</v>
      </c>
      <c r="N3" s="105" t="s">
        <v>84</v>
      </c>
      <c r="O3" s="105" t="s">
        <v>85</v>
      </c>
      <c r="P3" s="105" t="s">
        <v>86</v>
      </c>
      <c r="Q3" s="105" t="s">
        <v>87</v>
      </c>
      <c r="R3" s="105" t="s">
        <v>88</v>
      </c>
      <c r="S3" s="105" t="s">
        <v>89</v>
      </c>
      <c r="T3" s="105" t="s">
        <v>90</v>
      </c>
      <c r="U3" s="105" t="s">
        <v>91</v>
      </c>
      <c r="V3" s="105" t="s">
        <v>92</v>
      </c>
      <c r="W3" s="105" t="s">
        <v>93</v>
      </c>
      <c r="X3" s="105" t="s">
        <v>94</v>
      </c>
      <c r="Y3" s="105" t="s">
        <v>95</v>
      </c>
      <c r="Z3" s="105" t="s">
        <v>96</v>
      </c>
      <c r="AA3" s="105" t="s">
        <v>97</v>
      </c>
      <c r="AB3" s="105" t="s">
        <v>98</v>
      </c>
      <c r="AC3" s="105" t="s">
        <v>99</v>
      </c>
      <c r="AD3" s="105" t="s">
        <v>100</v>
      </c>
      <c r="AE3" s="105" t="s">
        <v>101</v>
      </c>
      <c r="AF3" s="105" t="s">
        <v>102</v>
      </c>
    </row>
    <row r="4" spans="1:33" s="106" customFormat="1" ht="15" customHeight="1">
      <c r="A4" s="107" t="s">
        <v>30</v>
      </c>
      <c r="B4" s="207">
        <f xml:space="preserve"> SUM( $C4:$AF4 )</f>
        <v>3533007032.9852133</v>
      </c>
      <c r="C4" s="108">
        <f t="shared" ref="C4:AF4" si="0">SUM( C$5:C$6 )</f>
        <v>69035328.977785349</v>
      </c>
      <c r="D4" s="108">
        <f t="shared" si="0"/>
        <v>69999471.284990028</v>
      </c>
      <c r="E4" s="108">
        <f t="shared" si="0"/>
        <v>71673249.728116661</v>
      </c>
      <c r="F4" s="108">
        <f t="shared" si="0"/>
        <v>80541051.264876887</v>
      </c>
      <c r="G4" s="108">
        <f t="shared" si="0"/>
        <v>89766586.304741919</v>
      </c>
      <c r="H4" s="108">
        <f t="shared" si="0"/>
        <v>98386334.063960373</v>
      </c>
      <c r="I4" s="108">
        <f t="shared" si="0"/>
        <v>103434012.97767884</v>
      </c>
      <c r="J4" s="108">
        <f t="shared" si="0"/>
        <v>108579793.29589942</v>
      </c>
      <c r="K4" s="108">
        <f t="shared" si="0"/>
        <v>113820610.91023666</v>
      </c>
      <c r="L4" s="108">
        <f t="shared" si="0"/>
        <v>115250569.12498172</v>
      </c>
      <c r="M4" s="108">
        <f t="shared" si="0"/>
        <v>116679956.90769733</v>
      </c>
      <c r="N4" s="108">
        <f t="shared" si="0"/>
        <v>118110538.53431644</v>
      </c>
      <c r="O4" s="108">
        <f t="shared" si="0"/>
        <v>119539926.31661256</v>
      </c>
      <c r="P4" s="108">
        <f t="shared" si="0"/>
        <v>120969884.53269316</v>
      </c>
      <c r="Q4" s="108">
        <f t="shared" si="0"/>
        <v>122400313.9526308</v>
      </c>
      <c r="R4" s="108">
        <f t="shared" si="0"/>
        <v>123830272.17093837</v>
      </c>
      <c r="S4" s="108">
        <f t="shared" si="0"/>
        <v>125260821.51458113</v>
      </c>
      <c r="T4" s="108">
        <f t="shared" si="0"/>
        <v>126701188.07746308</v>
      </c>
      <c r="U4" s="108">
        <f t="shared" si="0"/>
        <v>128157333.66510889</v>
      </c>
      <c r="V4" s="108">
        <f t="shared" si="0"/>
        <v>129631613.66098121</v>
      </c>
      <c r="W4" s="108">
        <f t="shared" si="0"/>
        <v>131122799.54854304</v>
      </c>
      <c r="X4" s="108">
        <f t="shared" si="0"/>
        <v>132631259.01206395</v>
      </c>
      <c r="Y4" s="108">
        <f t="shared" si="0"/>
        <v>134156539.12615046</v>
      </c>
      <c r="Z4" s="108">
        <f t="shared" si="0"/>
        <v>135700304.91370463</v>
      </c>
      <c r="AA4" s="108">
        <f t="shared" si="0"/>
        <v>137262988.61433053</v>
      </c>
      <c r="AB4" s="108">
        <f t="shared" si="0"/>
        <v>138841419.0705387</v>
      </c>
      <c r="AC4" s="108">
        <f t="shared" si="0"/>
        <v>140438788.1325992</v>
      </c>
      <c r="AD4" s="108">
        <f t="shared" si="0"/>
        <v>142054622.16839328</v>
      </c>
      <c r="AE4" s="108">
        <f t="shared" si="0"/>
        <v>143688200.9886758</v>
      </c>
      <c r="AF4" s="108">
        <f t="shared" si="0"/>
        <v>145341254.14392287</v>
      </c>
    </row>
    <row r="5" spans="1:33" ht="15" customHeight="1">
      <c r="A5" s="109" t="s">
        <v>304</v>
      </c>
      <c r="B5" s="208">
        <f xml:space="preserve"> SUM( $C5:$AF5 )</f>
        <v>3433706227.3994746</v>
      </c>
      <c r="C5" s="110">
        <f t="array" ref="C5:AF5">TRANSPOSE('Composição Faturamento 2'!D4:D33)</f>
        <v>67094980.793542355</v>
      </c>
      <c r="D5" s="110">
        <v>68032024.341273636</v>
      </c>
      <c r="E5" s="110">
        <v>69658758.567894965</v>
      </c>
      <c r="F5" s="110">
        <v>78277316.378799736</v>
      </c>
      <c r="G5" s="110">
        <v>87243553.021332115</v>
      </c>
      <c r="H5" s="110">
        <v>95621029.002304763</v>
      </c>
      <c r="I5" s="110">
        <v>100526834.83799347</v>
      </c>
      <c r="J5" s="110">
        <v>105527984.78152308</v>
      </c>
      <c r="K5" s="110">
        <v>110621500.84616826</v>
      </c>
      <c r="L5" s="110">
        <v>112011267.80135669</v>
      </c>
      <c r="M5" s="110">
        <v>113400480.35741895</v>
      </c>
      <c r="N5" s="110">
        <v>114790853.20249498</v>
      </c>
      <c r="O5" s="110">
        <v>116180065.75814953</v>
      </c>
      <c r="P5" s="110">
        <v>117569832.71463597</v>
      </c>
      <c r="Q5" s="110">
        <v>118960057.63104244</v>
      </c>
      <c r="R5" s="110">
        <v>120349824.58969323</v>
      </c>
      <c r="S5" s="110">
        <v>121740166.05915754</v>
      </c>
      <c r="T5" s="110">
        <v>123140048.81923422</v>
      </c>
      <c r="U5" s="110">
        <v>124555267.10938153</v>
      </c>
      <c r="V5" s="110">
        <v>125988110.11124781</v>
      </c>
      <c r="W5" s="110">
        <v>127437383.83771557</v>
      </c>
      <c r="X5" s="110">
        <v>128903445.63870069</v>
      </c>
      <c r="Y5" s="110">
        <v>130385855.31900132</v>
      </c>
      <c r="Z5" s="110">
        <v>131886231.10339142</v>
      </c>
      <c r="AA5" s="110">
        <v>133404993.08269069</v>
      </c>
      <c r="AB5" s="110">
        <v>134939059.22985584</v>
      </c>
      <c r="AC5" s="110">
        <v>136491531.68310708</v>
      </c>
      <c r="AD5" s="110">
        <v>138061950.12251282</v>
      </c>
      <c r="AE5" s="110">
        <v>139649614.60089695</v>
      </c>
      <c r="AF5" s="110">
        <v>141256206.05695704</v>
      </c>
    </row>
    <row r="6" spans="1:33" ht="15" customHeight="1">
      <c r="A6" s="109" t="s">
        <v>250</v>
      </c>
      <c r="B6" s="208">
        <f xml:space="preserve"> SUM( $C6:$AF6 )</f>
        <v>99300805.585738614</v>
      </c>
      <c r="C6" s="208">
        <f t="array" ref="C6:AF6">TRANSPOSE('Composição Faturamento 2'!I4:I33)</f>
        <v>1940348.1842429896</v>
      </c>
      <c r="D6" s="208">
        <v>1967446.9437163956</v>
      </c>
      <c r="E6" s="208">
        <v>2014491.1602216996</v>
      </c>
      <c r="F6" s="208">
        <v>2263734.8860771488</v>
      </c>
      <c r="G6" s="208">
        <v>2523033.2834098018</v>
      </c>
      <c r="H6" s="208">
        <v>2765305.0616556052</v>
      </c>
      <c r="I6" s="208">
        <v>2907178.1396853616</v>
      </c>
      <c r="J6" s="208">
        <v>3051808.5143763488</v>
      </c>
      <c r="K6" s="208">
        <v>3199110.0640683938</v>
      </c>
      <c r="L6" s="208">
        <v>3239301.3236250295</v>
      </c>
      <c r="M6" s="208">
        <v>3279476.5502783833</v>
      </c>
      <c r="N6" s="208">
        <v>3319685.3318214533</v>
      </c>
      <c r="O6" s="208">
        <v>3359860.5584630165</v>
      </c>
      <c r="P6" s="208">
        <v>3400051.8180571902</v>
      </c>
      <c r="Q6" s="208">
        <v>3440256.3215883733</v>
      </c>
      <c r="R6" s="208">
        <v>3480447.5812451392</v>
      </c>
      <c r="S6" s="208">
        <v>3520655.4554235968</v>
      </c>
      <c r="T6" s="208">
        <v>3561139.2582288478</v>
      </c>
      <c r="U6" s="208">
        <v>3602066.5557273678</v>
      </c>
      <c r="V6" s="208">
        <v>3643503.5497333948</v>
      </c>
      <c r="W6" s="208">
        <v>3685415.7108274694</v>
      </c>
      <c r="X6" s="208">
        <v>3727813.3733632532</v>
      </c>
      <c r="Y6" s="208">
        <v>3770683.8071491495</v>
      </c>
      <c r="Z6" s="208">
        <v>3814073.8103131969</v>
      </c>
      <c r="AA6" s="208">
        <v>3857995.5316398423</v>
      </c>
      <c r="AB6" s="208">
        <v>3902359.8406828674</v>
      </c>
      <c r="AC6" s="208">
        <v>3947256.4494921397</v>
      </c>
      <c r="AD6" s="208">
        <v>3992672.0458804751</v>
      </c>
      <c r="AE6" s="208">
        <v>4038586.3877788521</v>
      </c>
      <c r="AF6" s="208">
        <v>4085048.0869658431</v>
      </c>
    </row>
    <row r="7" spans="1:33" ht="15" customHeight="1">
      <c r="A7" s="112"/>
      <c r="B7" s="312"/>
      <c r="C7" s="113"/>
      <c r="D7" s="114"/>
      <c r="E7" s="113"/>
      <c r="F7" s="114"/>
      <c r="G7" s="113"/>
      <c r="H7" s="114"/>
      <c r="I7" s="113"/>
      <c r="J7" s="114"/>
      <c r="K7" s="113"/>
      <c r="L7" s="114"/>
      <c r="M7" s="113"/>
      <c r="N7" s="114"/>
      <c r="O7" s="113"/>
      <c r="P7" s="114"/>
      <c r="Q7" s="113"/>
      <c r="R7" s="114"/>
      <c r="S7" s="113"/>
      <c r="T7" s="114"/>
      <c r="U7" s="113"/>
      <c r="V7" s="114"/>
      <c r="W7" s="113"/>
      <c r="X7" s="114"/>
      <c r="Y7" s="113"/>
      <c r="Z7" s="114"/>
      <c r="AA7" s="113"/>
      <c r="AB7" s="114"/>
      <c r="AC7" s="113"/>
      <c r="AD7" s="114"/>
      <c r="AE7" s="113"/>
      <c r="AF7" s="114"/>
    </row>
    <row r="8" spans="1:33" s="106" customFormat="1" ht="15" customHeight="1">
      <c r="A8" s="107" t="s">
        <v>31</v>
      </c>
      <c r="B8" s="207">
        <f xml:space="preserve"> SUM( $C8:$AF8 )</f>
        <v>-352387327.94524884</v>
      </c>
      <c r="C8" s="108">
        <f t="shared" ref="C8:AF8" si="1">SUM( C$9:C$12 )</f>
        <v>-7076121.2202229975</v>
      </c>
      <c r="D8" s="108">
        <f t="shared" si="1"/>
        <v>-7174945.8067114782</v>
      </c>
      <c r="E8" s="108">
        <f t="shared" si="1"/>
        <v>-7346508.0971319573</v>
      </c>
      <c r="F8" s="108">
        <f t="shared" si="1"/>
        <v>-8040438.0054655308</v>
      </c>
      <c r="G8" s="108">
        <f t="shared" si="1"/>
        <v>-8959451.942441415</v>
      </c>
      <c r="H8" s="108">
        <f t="shared" si="1"/>
        <v>-9815299.4826417118</v>
      </c>
      <c r="I8" s="108">
        <f t="shared" si="1"/>
        <v>-10306827.3280202</v>
      </c>
      <c r="J8" s="108">
        <f t="shared" si="1"/>
        <v>-10819126.773896653</v>
      </c>
      <c r="K8" s="108">
        <f t="shared" si="1"/>
        <v>-11340873.238411561</v>
      </c>
      <c r="L8" s="108">
        <f t="shared" si="1"/>
        <v>-11471721.502579916</v>
      </c>
      <c r="M8" s="108">
        <f t="shared" si="1"/>
        <v>-11613943.875664033</v>
      </c>
      <c r="N8" s="108">
        <f t="shared" si="1"/>
        <v>-11756290.329044344</v>
      </c>
      <c r="O8" s="108">
        <f t="shared" si="1"/>
        <v>-11898510.831849838</v>
      </c>
      <c r="P8" s="108">
        <f t="shared" si="1"/>
        <v>-12040793.385651212</v>
      </c>
      <c r="Q8" s="108">
        <f t="shared" si="1"/>
        <v>-12183122.526546577</v>
      </c>
      <c r="R8" s="108">
        <f t="shared" si="1"/>
        <v>-12325401.955663292</v>
      </c>
      <c r="S8" s="108">
        <f t="shared" si="1"/>
        <v>-12467743.388731752</v>
      </c>
      <c r="T8" s="108">
        <f t="shared" si="1"/>
        <v>-12611089.313396223</v>
      </c>
      <c r="U8" s="108">
        <f t="shared" si="1"/>
        <v>-12756023.136441274</v>
      </c>
      <c r="V8" s="108">
        <f t="shared" si="1"/>
        <v>-12902768.399255246</v>
      </c>
      <c r="W8" s="108">
        <f t="shared" si="1"/>
        <v>-13051192.112742716</v>
      </c>
      <c r="X8" s="108">
        <f t="shared" si="1"/>
        <v>-13201335.650090924</v>
      </c>
      <c r="Y8" s="108">
        <f t="shared" si="1"/>
        <v>-13353151.483394232</v>
      </c>
      <c r="Z8" s="108">
        <f t="shared" si="1"/>
        <v>-13506811.636276273</v>
      </c>
      <c r="AA8" s="108">
        <f t="shared" si="1"/>
        <v>-13662355.418227766</v>
      </c>
      <c r="AB8" s="108">
        <f t="shared" si="1"/>
        <v>-13819456.488887224</v>
      </c>
      <c r="AC8" s="108">
        <f t="shared" si="1"/>
        <v>-13978451.526379803</v>
      </c>
      <c r="AD8" s="108">
        <f t="shared" si="1"/>
        <v>-14139282.407862514</v>
      </c>
      <c r="AE8" s="108">
        <f t="shared" si="1"/>
        <v>-14301876.734834092</v>
      </c>
      <c r="AF8" s="108">
        <f t="shared" si="1"/>
        <v>-14466413.946786065</v>
      </c>
    </row>
    <row r="9" spans="1:33" ht="15" customHeight="1">
      <c r="A9" s="109" t="s">
        <v>103</v>
      </c>
      <c r="B9" s="208">
        <f xml:space="preserve"> SUM( $C9:$AF9 )</f>
        <v>-58294616.044256024</v>
      </c>
      <c r="C9" s="110">
        <f xml:space="preserve"> - ( ( C$4 ) * ( 1.65% ) )</f>
        <v>-1139082.9281334584</v>
      </c>
      <c r="D9" s="110">
        <f t="shared" ref="D9:AF9" si="2" xml:space="preserve"> - ( ( D$4 ) * ( 1.65% ) )</f>
        <v>-1154991.2762023355</v>
      </c>
      <c r="E9" s="110">
        <f t="shared" si="2"/>
        <v>-1182608.6205139249</v>
      </c>
      <c r="F9" s="110">
        <f t="shared" si="2"/>
        <v>-1328927.3458704688</v>
      </c>
      <c r="G9" s="110">
        <f t="shared" si="2"/>
        <v>-1481148.6740282418</v>
      </c>
      <c r="H9" s="110">
        <f t="shared" si="2"/>
        <v>-1623374.5120553463</v>
      </c>
      <c r="I9" s="110">
        <f t="shared" si="2"/>
        <v>-1706661.2141317008</v>
      </c>
      <c r="J9" s="110">
        <f t="shared" si="2"/>
        <v>-1791566.5893823404</v>
      </c>
      <c r="K9" s="110">
        <f t="shared" si="2"/>
        <v>-1878040.080018905</v>
      </c>
      <c r="L9" s="110">
        <f t="shared" si="2"/>
        <v>-1901634.3905621984</v>
      </c>
      <c r="M9" s="110">
        <f t="shared" si="2"/>
        <v>-1925219.2889770062</v>
      </c>
      <c r="N9" s="110">
        <f t="shared" si="2"/>
        <v>-1948823.8858162214</v>
      </c>
      <c r="O9" s="110">
        <f t="shared" si="2"/>
        <v>-1972408.7842241072</v>
      </c>
      <c r="P9" s="110">
        <f t="shared" si="2"/>
        <v>-1996003.0947894373</v>
      </c>
      <c r="Q9" s="110">
        <f t="shared" si="2"/>
        <v>-2019605.1802184083</v>
      </c>
      <c r="R9" s="110">
        <f t="shared" si="2"/>
        <v>-2043199.4908204833</v>
      </c>
      <c r="S9" s="110">
        <f t="shared" si="2"/>
        <v>-2066803.5549905887</v>
      </c>
      <c r="T9" s="110">
        <f t="shared" si="2"/>
        <v>-2090569.6032781408</v>
      </c>
      <c r="U9" s="110">
        <f t="shared" si="2"/>
        <v>-2114596.0054742969</v>
      </c>
      <c r="V9" s="110">
        <f t="shared" si="2"/>
        <v>-2138921.6254061898</v>
      </c>
      <c r="W9" s="110">
        <f t="shared" si="2"/>
        <v>-2163526.19255096</v>
      </c>
      <c r="X9" s="110">
        <f t="shared" si="2"/>
        <v>-2188415.7736990554</v>
      </c>
      <c r="Y9" s="110">
        <f t="shared" si="2"/>
        <v>-2213582.8955814829</v>
      </c>
      <c r="Z9" s="110">
        <f t="shared" si="2"/>
        <v>-2239055.0310761267</v>
      </c>
      <c r="AA9" s="110">
        <f t="shared" si="2"/>
        <v>-2264839.312136454</v>
      </c>
      <c r="AB9" s="110">
        <f t="shared" si="2"/>
        <v>-2290883.4146638885</v>
      </c>
      <c r="AC9" s="110">
        <f t="shared" si="2"/>
        <v>-2317240.0041878871</v>
      </c>
      <c r="AD9" s="110">
        <f t="shared" si="2"/>
        <v>-2343901.2657784894</v>
      </c>
      <c r="AE9" s="110">
        <f t="shared" si="2"/>
        <v>-2370855.3163131508</v>
      </c>
      <c r="AF9" s="110">
        <f t="shared" si="2"/>
        <v>-2398130.6933747274</v>
      </c>
    </row>
    <row r="10" spans="1:33" ht="15" customHeight="1">
      <c r="A10" s="109" t="s">
        <v>104</v>
      </c>
      <c r="B10" s="208">
        <f t="shared" ref="B10:B12" si="3" xml:space="preserve"> SUM( $C10:$AF10 )</f>
        <v>-268508534.50687623</v>
      </c>
      <c r="C10" s="110">
        <f xml:space="preserve"> - ( ( C$4 ) * ( 7.6% ) )</f>
        <v>-5246685.0023116861</v>
      </c>
      <c r="D10" s="110">
        <f t="shared" ref="D10:AF10" si="4" xml:space="preserve"> -( ( D$4 ) * ( 7.6% ) )</f>
        <v>-5319959.8176592421</v>
      </c>
      <c r="E10" s="110">
        <f t="shared" si="4"/>
        <v>-5447166.9793368662</v>
      </c>
      <c r="F10" s="110">
        <f t="shared" si="4"/>
        <v>-6121119.8961306429</v>
      </c>
      <c r="G10" s="110">
        <f t="shared" si="4"/>
        <v>-6822260.5591603853</v>
      </c>
      <c r="H10" s="110">
        <f t="shared" si="4"/>
        <v>-7477361.3888609884</v>
      </c>
      <c r="I10" s="110">
        <f t="shared" si="4"/>
        <v>-7860984.9863035912</v>
      </c>
      <c r="J10" s="110">
        <f t="shared" si="4"/>
        <v>-8252064.2904883558</v>
      </c>
      <c r="K10" s="110">
        <f t="shared" si="4"/>
        <v>-8650366.4291779865</v>
      </c>
      <c r="L10" s="110">
        <f t="shared" si="4"/>
        <v>-8759043.2534986101</v>
      </c>
      <c r="M10" s="110">
        <f t="shared" si="4"/>
        <v>-8867676.7249849979</v>
      </c>
      <c r="N10" s="110">
        <f t="shared" si="4"/>
        <v>-8976400.9286080487</v>
      </c>
      <c r="O10" s="110">
        <f t="shared" si="4"/>
        <v>-9085034.4000625536</v>
      </c>
      <c r="P10" s="110">
        <f t="shared" si="4"/>
        <v>-9193711.2244846802</v>
      </c>
      <c r="Q10" s="110">
        <f t="shared" si="4"/>
        <v>-9302423.860399941</v>
      </c>
      <c r="R10" s="110">
        <f t="shared" si="4"/>
        <v>-9411100.6849913169</v>
      </c>
      <c r="S10" s="110">
        <f t="shared" si="4"/>
        <v>-9519822.4351081662</v>
      </c>
      <c r="T10" s="110">
        <f t="shared" si="4"/>
        <v>-9629290.2938871942</v>
      </c>
      <c r="U10" s="110">
        <f t="shared" si="4"/>
        <v>-9739957.3585482761</v>
      </c>
      <c r="V10" s="110">
        <f t="shared" si="4"/>
        <v>-9852002.6382345725</v>
      </c>
      <c r="W10" s="110">
        <f t="shared" si="4"/>
        <v>-9965332.7656892706</v>
      </c>
      <c r="X10" s="110">
        <f t="shared" si="4"/>
        <v>-10079975.684916859</v>
      </c>
      <c r="Y10" s="110">
        <f t="shared" si="4"/>
        <v>-10195896.973587435</v>
      </c>
      <c r="Z10" s="110">
        <f t="shared" si="4"/>
        <v>-10313223.173441552</v>
      </c>
      <c r="AA10" s="110">
        <f t="shared" si="4"/>
        <v>-10431987.134689121</v>
      </c>
      <c r="AB10" s="110">
        <f t="shared" si="4"/>
        <v>-10551947.849360941</v>
      </c>
      <c r="AC10" s="110">
        <f t="shared" si="4"/>
        <v>-10673347.89807754</v>
      </c>
      <c r="AD10" s="110">
        <f t="shared" si="4"/>
        <v>-10796151.28479789</v>
      </c>
      <c r="AE10" s="110">
        <f t="shared" si="4"/>
        <v>-10920303.275139362</v>
      </c>
      <c r="AF10" s="110">
        <f t="shared" si="4"/>
        <v>-11045935.314938137</v>
      </c>
    </row>
    <row r="11" spans="1:33" ht="15" customHeight="1">
      <c r="A11" s="109" t="s">
        <v>196</v>
      </c>
      <c r="B11" s="208">
        <f t="shared" si="3"/>
        <v>0</v>
      </c>
      <c r="C11" s="110">
        <f xml:space="preserve"> - ( ( C$6 ) * ( 'Dados de Entrada'!$D$91 ) )</f>
        <v>0</v>
      </c>
      <c r="D11" s="110">
        <f xml:space="preserve"> - ( ( D$6 ) * ( 'Dados de Entrada'!$D$91 ) )</f>
        <v>0</v>
      </c>
      <c r="E11" s="110">
        <f xml:space="preserve"> - ( ( E$6 ) * ( 'Dados de Entrada'!$D$91 ) )</f>
        <v>0</v>
      </c>
      <c r="F11" s="110">
        <f xml:space="preserve"> - ( ( F$6 ) * ( 'Dados de Entrada'!$D$91 ) )</f>
        <v>0</v>
      </c>
      <c r="G11" s="110">
        <f xml:space="preserve"> - ( ( G$6 ) * ( 'Dados de Entrada'!$D$91 ) )</f>
        <v>0</v>
      </c>
      <c r="H11" s="110">
        <f xml:space="preserve"> - ( ( H$6 ) * ( 'Dados de Entrada'!$D$91 ) )</f>
        <v>0</v>
      </c>
      <c r="I11" s="110">
        <f xml:space="preserve"> - ( ( I$6 ) * ( 'Dados de Entrada'!$D$91 ) )</f>
        <v>0</v>
      </c>
      <c r="J11" s="110">
        <f xml:space="preserve"> - ( ( J$6 ) * ( 'Dados de Entrada'!$D$91 ) )</f>
        <v>0</v>
      </c>
      <c r="K11" s="110">
        <f xml:space="preserve"> - ( ( K$6 ) * ( 'Dados de Entrada'!$D$91 ) )</f>
        <v>0</v>
      </c>
      <c r="L11" s="110">
        <f xml:space="preserve"> - ( ( L$6 ) * ( 'Dados de Entrada'!$D$91 ) )</f>
        <v>0</v>
      </c>
      <c r="M11" s="110">
        <f xml:space="preserve"> - ( ( M$6 ) * ( 'Dados de Entrada'!$D$91 ) )</f>
        <v>0</v>
      </c>
      <c r="N11" s="110">
        <f xml:space="preserve"> - ( ( N$6 ) * ( 'Dados de Entrada'!$D$91 ) )</f>
        <v>0</v>
      </c>
      <c r="O11" s="110">
        <f xml:space="preserve"> - ( ( O$6 ) * ( 'Dados de Entrada'!$D$91 ) )</f>
        <v>0</v>
      </c>
      <c r="P11" s="110">
        <f xml:space="preserve"> - ( ( P$6 ) * ( 'Dados de Entrada'!$D$91 ) )</f>
        <v>0</v>
      </c>
      <c r="Q11" s="110">
        <f xml:space="preserve"> - ( ( Q$6 ) * ( 'Dados de Entrada'!$D$91 ) )</f>
        <v>0</v>
      </c>
      <c r="R11" s="110">
        <f xml:space="preserve"> - ( ( R$6 ) * ( 'Dados de Entrada'!$D$91 ) )</f>
        <v>0</v>
      </c>
      <c r="S11" s="110">
        <f xml:space="preserve"> - ( ( S$6 ) * ( 'Dados de Entrada'!$D$91 ) )</f>
        <v>0</v>
      </c>
      <c r="T11" s="110">
        <f xml:space="preserve"> - ( ( T$6 ) * ( 'Dados de Entrada'!$D$91 ) )</f>
        <v>0</v>
      </c>
      <c r="U11" s="110">
        <f xml:space="preserve"> - ( ( U$6 ) * ( 'Dados de Entrada'!$D$91 ) )</f>
        <v>0</v>
      </c>
      <c r="V11" s="110">
        <f xml:space="preserve"> - ( ( V$6 ) * ( 'Dados de Entrada'!$D$91 ) )</f>
        <v>0</v>
      </c>
      <c r="W11" s="110">
        <f xml:space="preserve"> - ( ( W$6 ) * ( 'Dados de Entrada'!$D$91 ) )</f>
        <v>0</v>
      </c>
      <c r="X11" s="110">
        <f xml:space="preserve"> - ( ( X$6 ) * ( 'Dados de Entrada'!$D$91 ) )</f>
        <v>0</v>
      </c>
      <c r="Y11" s="110">
        <f xml:space="preserve"> - ( ( Y$6 ) * ( 'Dados de Entrada'!$D$91 ) )</f>
        <v>0</v>
      </c>
      <c r="Z11" s="110">
        <f xml:space="preserve"> - ( ( Z$6 ) * ( 'Dados de Entrada'!$D$91 ) )</f>
        <v>0</v>
      </c>
      <c r="AA11" s="110">
        <f xml:space="preserve"> - ( ( AA$6 ) * ( 'Dados de Entrada'!$D$91 ) )</f>
        <v>0</v>
      </c>
      <c r="AB11" s="110">
        <f xml:space="preserve"> - ( ( AB$6 ) * ( 'Dados de Entrada'!$D$91 ) )</f>
        <v>0</v>
      </c>
      <c r="AC11" s="110">
        <f xml:space="preserve"> - ( ( AC$6 ) * ( 'Dados de Entrada'!$D$91 ) )</f>
        <v>0</v>
      </c>
      <c r="AD11" s="110">
        <f xml:space="preserve"> - ( ( AD$6 ) * ( 'Dados de Entrada'!$D$91 ) )</f>
        <v>0</v>
      </c>
      <c r="AE11" s="110">
        <f xml:space="preserve"> - ( ( AE$6 ) * ( 'Dados de Entrada'!$D$91 ) )</f>
        <v>0</v>
      </c>
      <c r="AF11" s="110">
        <f xml:space="preserve"> - ( ( AF$6 ) * ( 'Dados de Entrada'!$D$91 ) )</f>
        <v>0</v>
      </c>
    </row>
    <row r="12" spans="1:33" ht="15" customHeight="1">
      <c r="A12" s="109" t="s">
        <v>242</v>
      </c>
      <c r="B12" s="208">
        <f t="shared" si="3"/>
        <v>-25584177.394116588</v>
      </c>
      <c r="C12" s="110">
        <f t="array" ref="C12:AF12">-TRANSPOSE('Perfil da Arrecadação'!I4:I33)</f>
        <v>-690353.28977785353</v>
      </c>
      <c r="D12" s="110">
        <v>-699994.71284990024</v>
      </c>
      <c r="E12" s="110">
        <v>-716732.49728116661</v>
      </c>
      <c r="F12" s="110">
        <v>-590390.76346441882</v>
      </c>
      <c r="G12" s="110">
        <v>-656042.70925278857</v>
      </c>
      <c r="H12" s="110">
        <v>-714563.58172537806</v>
      </c>
      <c r="I12" s="110">
        <v>-739181.12758490723</v>
      </c>
      <c r="J12" s="110">
        <v>-775495.89402595779</v>
      </c>
      <c r="K12" s="110">
        <v>-812466.72921466827</v>
      </c>
      <c r="L12" s="110">
        <v>-811043.85851910722</v>
      </c>
      <c r="M12" s="110">
        <v>-821047.86170202843</v>
      </c>
      <c r="N12" s="110">
        <v>-831065.51462007244</v>
      </c>
      <c r="O12" s="110">
        <v>-841067.64756317623</v>
      </c>
      <c r="P12" s="110">
        <v>-851079.06637709402</v>
      </c>
      <c r="Q12" s="110">
        <v>-861093.48592822859</v>
      </c>
      <c r="R12" s="110">
        <v>-871101.77985149133</v>
      </c>
      <c r="S12" s="110">
        <v>-881117.39863299613</v>
      </c>
      <c r="T12" s="110">
        <v>-891229.41623088741</v>
      </c>
      <c r="U12" s="110">
        <v>-901469.77241869969</v>
      </c>
      <c r="V12" s="110">
        <v>-911844.13561448536</v>
      </c>
      <c r="W12" s="110">
        <v>-922333.15450248681</v>
      </c>
      <c r="X12" s="110">
        <v>-932944.19147501024</v>
      </c>
      <c r="Y12" s="110">
        <v>-943671.61422531283</v>
      </c>
      <c r="Z12" s="110">
        <v>-954533.43175859493</v>
      </c>
      <c r="AA12" s="110">
        <v>-965528.97140219144</v>
      </c>
      <c r="AB12" s="110">
        <v>-976625.22486239532</v>
      </c>
      <c r="AC12" s="110">
        <v>-987863.62411437603</v>
      </c>
      <c r="AD12" s="110">
        <v>-999229.85728613532</v>
      </c>
      <c r="AE12" s="110">
        <v>-1010718.1433815784</v>
      </c>
      <c r="AF12" s="110">
        <v>-1022347.9384732012</v>
      </c>
      <c r="AG12" s="270"/>
    </row>
    <row r="13" spans="1:33" ht="15" customHeight="1">
      <c r="A13" s="112"/>
      <c r="B13" s="209"/>
      <c r="C13" s="271"/>
      <c r="D13" s="114"/>
      <c r="E13" s="113"/>
      <c r="F13" s="114"/>
      <c r="G13" s="113"/>
      <c r="H13" s="114"/>
      <c r="I13" s="113"/>
      <c r="J13" s="114"/>
      <c r="K13" s="113"/>
      <c r="L13" s="114"/>
      <c r="M13" s="113"/>
      <c r="N13" s="114"/>
      <c r="O13" s="113"/>
      <c r="P13" s="114"/>
      <c r="Q13" s="113"/>
      <c r="R13" s="114"/>
      <c r="S13" s="113"/>
      <c r="T13" s="114"/>
      <c r="U13" s="113"/>
      <c r="V13" s="114"/>
      <c r="W13" s="113"/>
      <c r="X13" s="114"/>
      <c r="Y13" s="113"/>
      <c r="Z13" s="114"/>
      <c r="AA13" s="113"/>
      <c r="AB13" s="114"/>
      <c r="AC13" s="113"/>
      <c r="AD13" s="114"/>
      <c r="AE13" s="113"/>
      <c r="AF13" s="114"/>
    </row>
    <row r="14" spans="1:33" s="106" customFormat="1" ht="15" customHeight="1">
      <c r="A14" s="107" t="s">
        <v>32</v>
      </c>
      <c r="B14" s="207">
        <f xml:space="preserve"> SUM( $C14:$AF14 )</f>
        <v>3180619705.0399647</v>
      </c>
      <c r="C14" s="108">
        <f t="shared" ref="C14:AF14" si="5" xml:space="preserve"> ( ( C$4 ) + ( C$8 ) )</f>
        <v>61959207.757562354</v>
      </c>
      <c r="D14" s="108">
        <f t="shared" si="5"/>
        <v>62824525.478278548</v>
      </c>
      <c r="E14" s="108">
        <f t="shared" si="5"/>
        <v>64326741.630984701</v>
      </c>
      <c r="F14" s="108">
        <f t="shared" si="5"/>
        <v>72500613.25941135</v>
      </c>
      <c r="G14" s="108">
        <f t="shared" si="5"/>
        <v>80807134.3623005</v>
      </c>
      <c r="H14" s="108">
        <f t="shared" si="5"/>
        <v>88571034.581318662</v>
      </c>
      <c r="I14" s="108">
        <f t="shared" si="5"/>
        <v>93127185.649658635</v>
      </c>
      <c r="J14" s="108">
        <f t="shared" si="5"/>
        <v>97760666.522002771</v>
      </c>
      <c r="K14" s="108">
        <f t="shared" si="5"/>
        <v>102479737.6718251</v>
      </c>
      <c r="L14" s="108">
        <f t="shared" si="5"/>
        <v>103778847.6224018</v>
      </c>
      <c r="M14" s="108">
        <f t="shared" si="5"/>
        <v>105066013.03203329</v>
      </c>
      <c r="N14" s="108">
        <f t="shared" si="5"/>
        <v>106354248.20527209</v>
      </c>
      <c r="O14" s="108">
        <f t="shared" si="5"/>
        <v>107641415.48476271</v>
      </c>
      <c r="P14" s="108">
        <f t="shared" si="5"/>
        <v>108929091.14704195</v>
      </c>
      <c r="Q14" s="108">
        <f t="shared" si="5"/>
        <v>110217191.42608422</v>
      </c>
      <c r="R14" s="108">
        <f t="shared" si="5"/>
        <v>111504870.21527508</v>
      </c>
      <c r="S14" s="108">
        <f t="shared" si="5"/>
        <v>112793078.12584938</v>
      </c>
      <c r="T14" s="108">
        <f t="shared" si="5"/>
        <v>114090098.76406685</v>
      </c>
      <c r="U14" s="108">
        <f t="shared" si="5"/>
        <v>115401310.52866761</v>
      </c>
      <c r="V14" s="108">
        <f t="shared" si="5"/>
        <v>116728845.26172596</v>
      </c>
      <c r="W14" s="108">
        <f t="shared" si="5"/>
        <v>118071607.43580031</v>
      </c>
      <c r="X14" s="108">
        <f t="shared" si="5"/>
        <v>119429923.36197303</v>
      </c>
      <c r="Y14" s="108">
        <f t="shared" si="5"/>
        <v>120803387.64275622</v>
      </c>
      <c r="Z14" s="108">
        <f t="shared" si="5"/>
        <v>122193493.27742836</v>
      </c>
      <c r="AA14" s="108">
        <f t="shared" si="5"/>
        <v>123600633.19610277</v>
      </c>
      <c r="AB14" s="108">
        <f t="shared" si="5"/>
        <v>125021962.58165148</v>
      </c>
      <c r="AC14" s="108">
        <f t="shared" si="5"/>
        <v>126460336.6062194</v>
      </c>
      <c r="AD14" s="108">
        <f t="shared" si="5"/>
        <v>127915339.76053077</v>
      </c>
      <c r="AE14" s="108">
        <f t="shared" si="5"/>
        <v>129386324.25384171</v>
      </c>
      <c r="AF14" s="108">
        <f t="shared" si="5"/>
        <v>130874840.1971368</v>
      </c>
    </row>
    <row r="15" spans="1:33" ht="15" customHeight="1">
      <c r="A15" s="112"/>
      <c r="B15" s="209"/>
      <c r="C15" s="113"/>
      <c r="D15" s="114"/>
      <c r="E15" s="113"/>
      <c r="F15" s="114"/>
      <c r="G15" s="113"/>
      <c r="H15" s="114"/>
      <c r="I15" s="113"/>
      <c r="J15" s="114"/>
      <c r="K15" s="113"/>
      <c r="L15" s="114"/>
      <c r="M15" s="113"/>
      <c r="N15" s="114"/>
      <c r="O15" s="113"/>
      <c r="P15" s="114"/>
      <c r="Q15" s="113"/>
      <c r="R15" s="114"/>
      <c r="S15" s="113"/>
      <c r="T15" s="114"/>
      <c r="U15" s="113"/>
      <c r="V15" s="114"/>
      <c r="W15" s="113"/>
      <c r="X15" s="114"/>
      <c r="Y15" s="113"/>
      <c r="Z15" s="114"/>
      <c r="AA15" s="113"/>
      <c r="AB15" s="114"/>
      <c r="AC15" s="113"/>
      <c r="AD15" s="114"/>
      <c r="AE15" s="113"/>
      <c r="AF15" s="114"/>
    </row>
    <row r="16" spans="1:33" s="106" customFormat="1" ht="15" customHeight="1">
      <c r="A16" s="107" t="s">
        <v>33</v>
      </c>
      <c r="B16" s="207">
        <f>SUM(C16:AF16)</f>
        <v>-950367062.74857318</v>
      </c>
      <c r="C16" s="108">
        <f xml:space="preserve"> SUM( C$17:C$24 )</f>
        <v>-17976465.604635742</v>
      </c>
      <c r="D16" s="108">
        <f t="shared" ref="D16:AF16" si="6" xml:space="preserve"> SUM( D$17:D$24 )</f>
        <v>-17813141.800160069</v>
      </c>
      <c r="E16" s="108">
        <f t="shared" si="6"/>
        <v>-18629319.974964108</v>
      </c>
      <c r="F16" s="108">
        <f xml:space="preserve"> SUM( F$17:F$24 )</f>
        <v>-25612394.982865497</v>
      </c>
      <c r="G16" s="108">
        <f t="shared" si="6"/>
        <v>-26697540.615047928</v>
      </c>
      <c r="H16" s="108">
        <f t="shared" si="6"/>
        <v>-27331393.546754453</v>
      </c>
      <c r="I16" s="108">
        <f xml:space="preserve"> SUM( I$17:I$24 )</f>
        <v>-30804628.741467137</v>
      </c>
      <c r="J16" s="108">
        <f t="shared" si="6"/>
        <v>-30709185.347855121</v>
      </c>
      <c r="K16" s="108">
        <f xml:space="preserve"> SUM( K$17:K$24 )</f>
        <v>-31206848.778565194</v>
      </c>
      <c r="L16" s="108">
        <f t="shared" si="6"/>
        <v>-31349274.271775264</v>
      </c>
      <c r="M16" s="108">
        <f t="shared" si="6"/>
        <v>-31724343.105921619</v>
      </c>
      <c r="N16" s="108">
        <f t="shared" si="6"/>
        <v>-32063701.754229955</v>
      </c>
      <c r="O16" s="108">
        <f t="shared" si="6"/>
        <v>-32347587.607047524</v>
      </c>
      <c r="P16" s="108">
        <f t="shared" si="6"/>
        <v>-32651845.683640402</v>
      </c>
      <c r="Q16" s="108">
        <f t="shared" si="6"/>
        <v>-32992512.764806084</v>
      </c>
      <c r="R16" s="108">
        <f t="shared" si="6"/>
        <v>-33277538.850866288</v>
      </c>
      <c r="S16" s="108">
        <f t="shared" si="6"/>
        <v>-33507125.220808469</v>
      </c>
      <c r="T16" s="108">
        <f t="shared" si="6"/>
        <v>-33850666.750872895</v>
      </c>
      <c r="U16" s="108">
        <f t="shared" si="6"/>
        <v>-34141924.118835151</v>
      </c>
      <c r="V16" s="108">
        <f t="shared" si="6"/>
        <v>-34381095.498825237</v>
      </c>
      <c r="W16" s="108">
        <f t="shared" si="6"/>
        <v>-34735816.850220166</v>
      </c>
      <c r="X16" s="108">
        <f t="shared" si="6"/>
        <v>-35038519.902617589</v>
      </c>
      <c r="Y16" s="108">
        <f t="shared" si="6"/>
        <v>-35289386.904392891</v>
      </c>
      <c r="Z16" s="108">
        <f t="shared" si="6"/>
        <v>-35656023.841267124</v>
      </c>
      <c r="AA16" s="108">
        <f t="shared" si="6"/>
        <v>-35971000.266932391</v>
      </c>
      <c r="AB16" s="108">
        <f t="shared" si="6"/>
        <v>-36233917.626762338</v>
      </c>
      <c r="AC16" s="108">
        <f t="shared" si="6"/>
        <v>-36612544.565874167</v>
      </c>
      <c r="AD16" s="108">
        <f t="shared" si="6"/>
        <v>-36939639.636783183</v>
      </c>
      <c r="AE16" s="108">
        <f t="shared" si="6"/>
        <v>-37215072.346421398</v>
      </c>
      <c r="AF16" s="108">
        <f t="shared" si="6"/>
        <v>-37606605.787357822</v>
      </c>
    </row>
    <row r="17" spans="1:32" ht="15" customHeight="1">
      <c r="A17" s="109" t="s">
        <v>105</v>
      </c>
      <c r="B17" s="208">
        <f xml:space="preserve"> SUM( $C17:$AF17 )</f>
        <v>-172318920</v>
      </c>
      <c r="C17" s="110">
        <f t="array" ref="C17:AF17">-TRANSPOSE('Composição de Custeio'!B4:B33)</f>
        <v>-3899364</v>
      </c>
      <c r="D17" s="110">
        <v>-3899364</v>
      </c>
      <c r="E17" s="110">
        <v>-4940052</v>
      </c>
      <c r="F17" s="110">
        <v>-5711484</v>
      </c>
      <c r="G17" s="110">
        <v>-5776284</v>
      </c>
      <c r="H17" s="110">
        <v>-5776284</v>
      </c>
      <c r="I17" s="110">
        <v>-5776284</v>
      </c>
      <c r="J17" s="110">
        <v>-5776284</v>
      </c>
      <c r="K17" s="110">
        <v>-5776284</v>
      </c>
      <c r="L17" s="110">
        <v>-5776284</v>
      </c>
      <c r="M17" s="110">
        <v>-5896104</v>
      </c>
      <c r="N17" s="110">
        <v>-5896104</v>
      </c>
      <c r="O17" s="110">
        <v>-5896104</v>
      </c>
      <c r="P17" s="110">
        <v>-5971920</v>
      </c>
      <c r="Q17" s="110">
        <v>-5971920</v>
      </c>
      <c r="R17" s="110">
        <v>-5971920</v>
      </c>
      <c r="S17" s="110">
        <v>-5971920</v>
      </c>
      <c r="T17" s="110">
        <v>-5971920</v>
      </c>
      <c r="U17" s="110">
        <v>-5971920</v>
      </c>
      <c r="V17" s="110">
        <v>-5971920</v>
      </c>
      <c r="W17" s="110">
        <v>-5971920</v>
      </c>
      <c r="X17" s="110">
        <v>-5971920</v>
      </c>
      <c r="Y17" s="110">
        <v>-5971920</v>
      </c>
      <c r="Z17" s="110">
        <v>-5971920</v>
      </c>
      <c r="AA17" s="110">
        <v>-5971920</v>
      </c>
      <c r="AB17" s="110">
        <v>-5971920</v>
      </c>
      <c r="AC17" s="110">
        <v>-5971920</v>
      </c>
      <c r="AD17" s="110">
        <v>-5971920</v>
      </c>
      <c r="AE17" s="110">
        <v>-5971920</v>
      </c>
      <c r="AF17" s="110">
        <v>-5971920</v>
      </c>
    </row>
    <row r="18" spans="1:32" ht="15" customHeight="1">
      <c r="A18" s="109" t="s">
        <v>190</v>
      </c>
      <c r="B18" s="208">
        <f t="shared" ref="B18:B23" si="7" xml:space="preserve"> SUM( $C18:$AF18 )</f>
        <v>-469016060.13186044</v>
      </c>
      <c r="C18" s="110">
        <f t="array" ref="C18:AF18">-TRANSPOSE('Composição de Custeio'!C4:C33)</f>
        <v>-9366051.4839957282</v>
      </c>
      <c r="D18" s="110">
        <v>-9217077.5092225093</v>
      </c>
      <c r="E18" s="110">
        <v>-9106330.5337750874</v>
      </c>
      <c r="F18" s="110">
        <v>-14675990.062410237</v>
      </c>
      <c r="G18" s="110">
        <v>-15074400.950603684</v>
      </c>
      <c r="H18" s="110">
        <v>-15145293.94324759</v>
      </c>
      <c r="I18" s="110">
        <v>-15004096.601612905</v>
      </c>
      <c r="J18" s="110">
        <v>-14729095.856513208</v>
      </c>
      <c r="K18" s="110">
        <v>-14846735.176972721</v>
      </c>
      <c r="L18" s="110">
        <v>-14866101.482650179</v>
      </c>
      <c r="M18" s="110">
        <v>-15050527.781108862</v>
      </c>
      <c r="N18" s="110">
        <v>-15234954.079558428</v>
      </c>
      <c r="O18" s="110">
        <v>-15419380.377999198</v>
      </c>
      <c r="P18" s="110">
        <v>-15603806.676431488</v>
      </c>
      <c r="Q18" s="110">
        <v>-15788359.141284404</v>
      </c>
      <c r="R18" s="110">
        <v>-15972785.439696858</v>
      </c>
      <c r="S18" s="110">
        <v>-16157211.73810176</v>
      </c>
      <c r="T18" s="110">
        <v>-16343006.177168248</v>
      </c>
      <c r="U18" s="110">
        <v>-16530925.755429162</v>
      </c>
      <c r="V18" s="110">
        <v>-16720970.47285061</v>
      </c>
      <c r="W18" s="110">
        <v>-16913266.495804384</v>
      </c>
      <c r="X18" s="110">
        <v>-17107789.463183656</v>
      </c>
      <c r="Y18" s="110">
        <v>-17304563.736171521</v>
      </c>
      <c r="Z18" s="110">
        <v>-17503715.481259551</v>
      </c>
      <c r="AA18" s="110">
        <v>-17705244.698573802</v>
      </c>
      <c r="AB18" s="110">
        <v>-17908879.364874229</v>
      </c>
      <c r="AC18" s="110">
        <v>-18114891.503272217</v>
      </c>
      <c r="AD18" s="110">
        <v>-18323281.113811046</v>
      </c>
      <c r="AE18" s="110">
        <v>-18534028.505985864</v>
      </c>
      <c r="AF18" s="110">
        <v>-18747298.528291289</v>
      </c>
    </row>
    <row r="19" spans="1:32" ht="15" customHeight="1">
      <c r="A19" s="109" t="s">
        <v>191</v>
      </c>
      <c r="B19" s="208">
        <f t="shared" si="7"/>
        <v>-98021469.135639101</v>
      </c>
      <c r="C19" s="110">
        <f t="array" ref="C19:AF19">-TRANSPOSE('Composição de Custeio'!D4:D33)</f>
        <v>-2417093.1839467138</v>
      </c>
      <c r="D19" s="110">
        <v>-2396641.5780435996</v>
      </c>
      <c r="E19" s="110">
        <v>-2385622.7868815488</v>
      </c>
      <c r="F19" s="110">
        <v>-2515633.2949225819</v>
      </c>
      <c r="G19" s="110">
        <v>-2677168.064169223</v>
      </c>
      <c r="H19" s="110">
        <v>-2784494.7961673448</v>
      </c>
      <c r="I19" s="110">
        <v>-2836857.4114531605</v>
      </c>
      <c r="J19" s="110">
        <v>-2860781.0801739483</v>
      </c>
      <c r="K19" s="110">
        <v>-2951112.0299199992</v>
      </c>
      <c r="L19" s="110">
        <v>-2979659.1165206642</v>
      </c>
      <c r="M19" s="110">
        <v>-3031331.7452583602</v>
      </c>
      <c r="N19" s="110">
        <v>-3083379.1489671688</v>
      </c>
      <c r="O19" s="110">
        <v>-3135799.6846940024</v>
      </c>
      <c r="P19" s="110">
        <v>-3188595.6284046089</v>
      </c>
      <c r="Q19" s="110">
        <v>-3241790.550325694</v>
      </c>
      <c r="R19" s="110">
        <v>-3295346.3918234888</v>
      </c>
      <c r="S19" s="110">
        <v>-3349266.3722108048</v>
      </c>
      <c r="T19" s="110">
        <v>-3403836.3470999319</v>
      </c>
      <c r="U19" s="110">
        <v>-3459342.6394833764</v>
      </c>
      <c r="V19" s="110">
        <v>-3515871.8585250098</v>
      </c>
      <c r="W19" s="110">
        <v>-3573460.1547883684</v>
      </c>
      <c r="X19" s="110">
        <v>-3632133.769877892</v>
      </c>
      <c r="Y19" s="110">
        <v>-3691905.6242858884</v>
      </c>
      <c r="Z19" s="110">
        <v>-3752820.2031001551</v>
      </c>
      <c r="AA19" s="110">
        <v>-3814902.8632866875</v>
      </c>
      <c r="AB19" s="110">
        <v>-3878111.3916426254</v>
      </c>
      <c r="AC19" s="110">
        <v>-3942492.545290364</v>
      </c>
      <c r="AD19" s="110">
        <v>-4008090.0217019292</v>
      </c>
      <c r="AE19" s="110">
        <v>-4074913.347514159</v>
      </c>
      <c r="AF19" s="110">
        <v>-4143015.5051597883</v>
      </c>
    </row>
    <row r="20" spans="1:32" ht="15" customHeight="1">
      <c r="A20" s="109" t="s">
        <v>192</v>
      </c>
      <c r="B20" s="208">
        <f t="shared" si="7"/>
        <v>-32085368.345577359</v>
      </c>
      <c r="C20" s="110">
        <f t="array" ref="C20:AF20">-TRANSPOSE('Composição de Custeio'!E4:E33)</f>
        <v>-674801.93669329886</v>
      </c>
      <c r="D20" s="110">
        <v>-664068.71289395855</v>
      </c>
      <c r="E20" s="110">
        <v>-656089.65430747299</v>
      </c>
      <c r="F20" s="110">
        <v>-638070.92709484056</v>
      </c>
      <c r="G20" s="110">
        <v>-736249.12760368816</v>
      </c>
      <c r="H20" s="110">
        <v>-822083.48463905917</v>
      </c>
      <c r="I20" s="110">
        <v>-912576.36619147309</v>
      </c>
      <c r="J20" s="110">
        <v>-945314.37945140956</v>
      </c>
      <c r="K20" s="110">
        <v>-996825.60885111906</v>
      </c>
      <c r="L20" s="110">
        <v>-1057496.9273928546</v>
      </c>
      <c r="M20" s="110">
        <v>-1070690.2361526056</v>
      </c>
      <c r="N20" s="110">
        <v>-1083893.3999123566</v>
      </c>
      <c r="O20" s="110">
        <v>-1097091.6361721074</v>
      </c>
      <c r="P20" s="110">
        <v>-1110289.8724318584</v>
      </c>
      <c r="Q20" s="110">
        <v>-1123492.7844333274</v>
      </c>
      <c r="R20" s="110">
        <v>-1136695.9481930784</v>
      </c>
      <c r="S20" s="110">
        <v>-1149889.256952829</v>
      </c>
      <c r="T20" s="110">
        <v>-1163143.853871482</v>
      </c>
      <c r="U20" s="110">
        <v>-1176517.3583993472</v>
      </c>
      <c r="V20" s="110">
        <v>-1190039.335536425</v>
      </c>
      <c r="W20" s="110">
        <v>-1203729.2435244331</v>
      </c>
      <c r="X20" s="110">
        <v>-1217572.299863372</v>
      </c>
      <c r="Y20" s="110">
        <v>-1231583.2870532412</v>
      </c>
      <c r="Z20" s="110">
        <v>-1245747.1708357597</v>
      </c>
      <c r="AA20" s="110">
        <v>-1260093.5162109274</v>
      </c>
      <c r="AB20" s="110">
        <v>-1274598.1891953072</v>
      </c>
      <c r="AC20" s="110">
        <v>-1289260.6862723362</v>
      </c>
      <c r="AD20" s="110">
        <v>-1304090.8624420138</v>
      </c>
      <c r="AE20" s="110">
        <v>-1319098.5727043408</v>
      </c>
      <c r="AF20" s="110">
        <v>-1334273.7103010353</v>
      </c>
    </row>
    <row r="21" spans="1:32" ht="15" customHeight="1">
      <c r="A21" s="109" t="s">
        <v>227</v>
      </c>
      <c r="B21" s="208">
        <f t="shared" si="7"/>
        <v>-97569900</v>
      </c>
      <c r="C21" s="110">
        <f t="array" ref="C21:AF21">-TRANSPOSE('Composição de Custeio'!F4:F33)</f>
        <v>-394560</v>
      </c>
      <c r="D21" s="110">
        <v>-394560</v>
      </c>
      <c r="E21" s="110">
        <v>-282960</v>
      </c>
      <c r="F21" s="110">
        <v>-534060</v>
      </c>
      <c r="G21" s="110">
        <v>-589860</v>
      </c>
      <c r="H21" s="110">
        <v>-645660</v>
      </c>
      <c r="I21" s="110">
        <v>-3942360</v>
      </c>
      <c r="J21" s="110">
        <v>-3886560</v>
      </c>
      <c r="K21" s="110">
        <v>-3942360</v>
      </c>
      <c r="L21" s="110">
        <v>-3942360</v>
      </c>
      <c r="M21" s="110">
        <v>-3914460</v>
      </c>
      <c r="N21" s="110">
        <v>-3970260</v>
      </c>
      <c r="O21" s="110">
        <v>-3970260</v>
      </c>
      <c r="P21" s="110">
        <v>-3914460</v>
      </c>
      <c r="Q21" s="110">
        <v>-3970260</v>
      </c>
      <c r="R21" s="110">
        <v>-3970260</v>
      </c>
      <c r="S21" s="110">
        <v>-3914460</v>
      </c>
      <c r="T21" s="110">
        <v>-3970260</v>
      </c>
      <c r="U21" s="110">
        <v>-3970260</v>
      </c>
      <c r="V21" s="110">
        <v>-3914460</v>
      </c>
      <c r="W21" s="110">
        <v>-3970260</v>
      </c>
      <c r="X21" s="110">
        <v>-3970260</v>
      </c>
      <c r="Y21" s="110">
        <v>-3914460</v>
      </c>
      <c r="Z21" s="110">
        <v>-3970260</v>
      </c>
      <c r="AA21" s="110">
        <v>-3970260</v>
      </c>
      <c r="AB21" s="110">
        <v>-3914460</v>
      </c>
      <c r="AC21" s="110">
        <v>-3970260</v>
      </c>
      <c r="AD21" s="110">
        <v>-3970260</v>
      </c>
      <c r="AE21" s="110">
        <v>-3914460</v>
      </c>
      <c r="AF21" s="110">
        <v>-3970260</v>
      </c>
    </row>
    <row r="22" spans="1:32" ht="15" customHeight="1">
      <c r="A22" s="109" t="s">
        <v>228</v>
      </c>
      <c r="B22" s="208">
        <f t="shared" si="7"/>
        <v>-75770807.7985944</v>
      </c>
      <c r="C22" s="110">
        <f t="array" ref="C22:AF22">-TRANSPOSE('Composição de Custeio'!G4:G33)</f>
        <v>-1204595</v>
      </c>
      <c r="D22" s="110">
        <v>-1221430</v>
      </c>
      <c r="E22" s="110">
        <v>-1238265</v>
      </c>
      <c r="F22" s="110">
        <v>-1495880.1084225476</v>
      </c>
      <c r="G22" s="110">
        <v>-1759923.3303291821</v>
      </c>
      <c r="H22" s="110">
        <v>-2030429.665719904</v>
      </c>
      <c r="I22" s="110">
        <v>-2182178.6018862431</v>
      </c>
      <c r="J22" s="110">
        <v>-2337187.3441482778</v>
      </c>
      <c r="K22" s="110">
        <v>-2495342.8950913986</v>
      </c>
      <c r="L22" s="110">
        <v>-2526695.0264001167</v>
      </c>
      <c r="M22" s="110">
        <v>-2558060.6590015292</v>
      </c>
      <c r="N22" s="110">
        <v>-2589447.7903102469</v>
      </c>
      <c r="O22" s="110">
        <v>-2620799.9216189645</v>
      </c>
      <c r="P22" s="110">
        <v>-2652130.5542203775</v>
      </c>
      <c r="Q22" s="110">
        <v>-2683552.6855290951</v>
      </c>
      <c r="R22" s="110">
        <v>-2714904.8168378128</v>
      </c>
      <c r="S22" s="110">
        <v>-2746256.94814653</v>
      </c>
      <c r="T22" s="110">
        <v>-2777870.074284466</v>
      </c>
      <c r="U22" s="110">
        <v>-2809795.1900808392</v>
      </c>
      <c r="V22" s="110">
        <v>-2842102.2955356492</v>
      </c>
      <c r="W22" s="110">
        <v>-2874847.889356201</v>
      </c>
      <c r="X22" s="110">
        <v>-2907883.9741278859</v>
      </c>
      <c r="Y22" s="110">
        <v>-2941337.048558007</v>
      </c>
      <c r="Z22" s="110">
        <v>-2975250.1100611752</v>
      </c>
      <c r="AA22" s="110">
        <v>-3009545.1612227811</v>
      </c>
      <c r="AB22" s="110">
        <v>-3044165.7033355185</v>
      </c>
      <c r="AC22" s="110">
        <v>-3079154.7338139974</v>
      </c>
      <c r="AD22" s="110">
        <v>-3114617.2526582186</v>
      </c>
      <c r="AE22" s="110">
        <v>-3150426.7611608771</v>
      </c>
      <c r="AF22" s="110">
        <v>-3186731.2567365817</v>
      </c>
    </row>
    <row r="23" spans="1:32" ht="15" customHeight="1">
      <c r="A23" s="109" t="s">
        <v>229</v>
      </c>
      <c r="B23" s="208">
        <f t="shared" si="7"/>
        <v>-5584537.3369019022</v>
      </c>
      <c r="C23" s="110">
        <f t="array" ref="C23:AF23">-TRANSPOSE('Composição de Custeio'!H4:H33)</f>
        <v>-20000</v>
      </c>
      <c r="D23" s="110">
        <v>-20000</v>
      </c>
      <c r="E23" s="110">
        <v>-20000</v>
      </c>
      <c r="F23" s="110">
        <v>-41276.590015293863</v>
      </c>
      <c r="G23" s="110">
        <v>-83655.142342145526</v>
      </c>
      <c r="H23" s="110">
        <v>-127147.65698055497</v>
      </c>
      <c r="I23" s="110">
        <v>-150275.76032335591</v>
      </c>
      <c r="J23" s="110">
        <v>-173962.68756827616</v>
      </c>
      <c r="K23" s="110">
        <v>-198189.06772995414</v>
      </c>
      <c r="L23" s="110">
        <v>-200677.71881144858</v>
      </c>
      <c r="M23" s="110">
        <v>-203168.68440026219</v>
      </c>
      <c r="N23" s="110">
        <v>-205663.33548175663</v>
      </c>
      <c r="O23" s="110">
        <v>-208151.98656325103</v>
      </c>
      <c r="P23" s="110">
        <v>-210642.95215206468</v>
      </c>
      <c r="Q23" s="110">
        <v>-213137.60323355912</v>
      </c>
      <c r="R23" s="110">
        <v>-215626.25431505352</v>
      </c>
      <c r="S23" s="110">
        <v>-218120.90539654798</v>
      </c>
      <c r="T23" s="110">
        <v>-220630.29844876559</v>
      </c>
      <c r="U23" s="110">
        <v>-223163.17544242955</v>
      </c>
      <c r="V23" s="110">
        <v>-225731.53637753992</v>
      </c>
      <c r="W23" s="110">
        <v>-228333.06674677736</v>
      </c>
      <c r="X23" s="110">
        <v>-230960.39556478043</v>
      </c>
      <c r="Y23" s="110">
        <v>-233617.20832422987</v>
      </c>
      <c r="Z23" s="110">
        <v>-236310.87601048726</v>
      </c>
      <c r="AA23" s="110">
        <v>-239034.02763819095</v>
      </c>
      <c r="AB23" s="110">
        <v>-241782.97771466029</v>
      </c>
      <c r="AC23" s="110">
        <v>-244565.09722525673</v>
      </c>
      <c r="AD23" s="110">
        <v>-247380.38616998034</v>
      </c>
      <c r="AE23" s="110">
        <v>-250225.1590561503</v>
      </c>
      <c r="AF23" s="110">
        <v>-253106.78686912823</v>
      </c>
    </row>
    <row r="24" spans="1:32" ht="15" customHeight="1">
      <c r="A24" s="109" t="s">
        <v>841</v>
      </c>
      <c r="B24" s="208">
        <f xml:space="preserve"> SUM( $C24:$AF24 )</f>
        <v>0</v>
      </c>
      <c r="C24" s="208">
        <f t="array" ref="C24:AF24">-TRANSPOSE('Outorga e Regulação'!J4:J33)</f>
        <v>0</v>
      </c>
      <c r="D24" s="208">
        <v>0</v>
      </c>
      <c r="E24" s="208">
        <v>0</v>
      </c>
      <c r="F24" s="208">
        <v>0</v>
      </c>
      <c r="G24" s="208">
        <v>0</v>
      </c>
      <c r="H24" s="208">
        <v>0</v>
      </c>
      <c r="I24" s="208">
        <v>0</v>
      </c>
      <c r="J24" s="208">
        <v>0</v>
      </c>
      <c r="K24" s="208">
        <v>0</v>
      </c>
      <c r="L24" s="208">
        <v>0</v>
      </c>
      <c r="M24" s="208">
        <v>0</v>
      </c>
      <c r="N24" s="208">
        <v>0</v>
      </c>
      <c r="O24" s="208">
        <v>0</v>
      </c>
      <c r="P24" s="208">
        <v>0</v>
      </c>
      <c r="Q24" s="208">
        <v>0</v>
      </c>
      <c r="R24" s="208">
        <v>0</v>
      </c>
      <c r="S24" s="208">
        <v>0</v>
      </c>
      <c r="T24" s="208">
        <v>0</v>
      </c>
      <c r="U24" s="208">
        <v>0</v>
      </c>
      <c r="V24" s="208">
        <v>0</v>
      </c>
      <c r="W24" s="208">
        <v>0</v>
      </c>
      <c r="X24" s="208">
        <v>0</v>
      </c>
      <c r="Y24" s="208">
        <v>0</v>
      </c>
      <c r="Z24" s="208">
        <v>0</v>
      </c>
      <c r="AA24" s="208">
        <v>0</v>
      </c>
      <c r="AB24" s="208">
        <v>0</v>
      </c>
      <c r="AC24" s="208">
        <v>0</v>
      </c>
      <c r="AD24" s="208">
        <v>0</v>
      </c>
      <c r="AE24" s="208">
        <v>0</v>
      </c>
      <c r="AF24" s="208">
        <v>0</v>
      </c>
    </row>
    <row r="25" spans="1:32" ht="15" customHeight="1">
      <c r="A25" s="112"/>
      <c r="B25" s="209"/>
      <c r="C25" s="113"/>
      <c r="D25" s="114"/>
      <c r="E25" s="113"/>
      <c r="F25" s="114"/>
      <c r="G25" s="113"/>
      <c r="H25" s="114"/>
      <c r="I25" s="113"/>
      <c r="J25" s="114"/>
      <c r="K25" s="113"/>
      <c r="L25" s="114"/>
      <c r="M25" s="113"/>
      <c r="N25" s="114"/>
      <c r="O25" s="113"/>
      <c r="P25" s="114"/>
      <c r="Q25" s="113"/>
      <c r="R25" s="114"/>
      <c r="S25" s="113"/>
      <c r="T25" s="114"/>
      <c r="U25" s="113"/>
      <c r="V25" s="114"/>
      <c r="W25" s="113"/>
      <c r="X25" s="114"/>
      <c r="Y25" s="113"/>
      <c r="Z25" s="114"/>
      <c r="AA25" s="113"/>
      <c r="AB25" s="114"/>
      <c r="AC25" s="113"/>
      <c r="AD25" s="114"/>
      <c r="AE25" s="113"/>
      <c r="AF25" s="114"/>
    </row>
    <row r="26" spans="1:32" s="106" customFormat="1" ht="15" customHeight="1">
      <c r="A26" s="107" t="s">
        <v>34</v>
      </c>
      <c r="B26" s="207">
        <f>SUM(C26:AF26)</f>
        <v>2230252642.2913914</v>
      </c>
      <c r="C26" s="108">
        <f t="shared" ref="C26:AF26" si="8" xml:space="preserve"> ( ( C$14 ) + ( C$16 ) )</f>
        <v>43982742.152926609</v>
      </c>
      <c r="D26" s="108">
        <f t="shared" si="8"/>
        <v>45011383.678118482</v>
      </c>
      <c r="E26" s="108">
        <f t="shared" si="8"/>
        <v>45697421.656020597</v>
      </c>
      <c r="F26" s="108">
        <f t="shared" si="8"/>
        <v>46888218.276545852</v>
      </c>
      <c r="G26" s="108">
        <f t="shared" si="8"/>
        <v>54109593.747252569</v>
      </c>
      <c r="H26" s="108">
        <f t="shared" si="8"/>
        <v>61239641.034564212</v>
      </c>
      <c r="I26" s="108">
        <f t="shared" si="8"/>
        <v>62322556.908191502</v>
      </c>
      <c r="J26" s="108">
        <f t="shared" si="8"/>
        <v>67051481.174147651</v>
      </c>
      <c r="K26" s="108">
        <f t="shared" si="8"/>
        <v>71272888.893259898</v>
      </c>
      <c r="L26" s="108">
        <f t="shared" si="8"/>
        <v>72429573.350626543</v>
      </c>
      <c r="M26" s="108">
        <f t="shared" si="8"/>
        <v>73341669.926111668</v>
      </c>
      <c r="N26" s="108">
        <f t="shared" si="8"/>
        <v>74290546.451042145</v>
      </c>
      <c r="O26" s="108">
        <f t="shared" si="8"/>
        <v>75293827.877715185</v>
      </c>
      <c r="P26" s="108">
        <f t="shared" si="8"/>
        <v>76277245.463401541</v>
      </c>
      <c r="Q26" s="108">
        <f t="shared" si="8"/>
        <v>77224678.661278129</v>
      </c>
      <c r="R26" s="108">
        <f t="shared" si="8"/>
        <v>78227331.364408791</v>
      </c>
      <c r="S26" s="108">
        <f t="shared" si="8"/>
        <v>79285952.90504092</v>
      </c>
      <c r="T26" s="108">
        <f t="shared" si="8"/>
        <v>80239432.01319395</v>
      </c>
      <c r="U26" s="108">
        <f t="shared" si="8"/>
        <v>81259386.409832463</v>
      </c>
      <c r="V26" s="108">
        <f t="shared" si="8"/>
        <v>82347749.762900725</v>
      </c>
      <c r="W26" s="108">
        <f t="shared" si="8"/>
        <v>83335790.58558014</v>
      </c>
      <c r="X26" s="108">
        <f t="shared" si="8"/>
        <v>84391403.459355444</v>
      </c>
      <c r="Y26" s="108">
        <f t="shared" si="8"/>
        <v>85514000.738363326</v>
      </c>
      <c r="Z26" s="108">
        <f t="shared" si="8"/>
        <v>86537469.436161235</v>
      </c>
      <c r="AA26" s="108">
        <f t="shared" si="8"/>
        <v>87629632.92917037</v>
      </c>
      <c r="AB26" s="108">
        <f t="shared" si="8"/>
        <v>88788044.954889148</v>
      </c>
      <c r="AC26" s="108">
        <f t="shared" si="8"/>
        <v>89847792.040345222</v>
      </c>
      <c r="AD26" s="108">
        <f t="shared" si="8"/>
        <v>90975700.123747587</v>
      </c>
      <c r="AE26" s="108">
        <f t="shared" si="8"/>
        <v>92171251.907420307</v>
      </c>
      <c r="AF26" s="108">
        <f t="shared" si="8"/>
        <v>93268234.409778982</v>
      </c>
    </row>
    <row r="27" spans="1:32" ht="15" customHeight="1">
      <c r="A27" s="112"/>
      <c r="B27" s="209"/>
      <c r="C27" s="113">
        <v>1</v>
      </c>
      <c r="D27" s="114"/>
      <c r="E27" s="113"/>
      <c r="F27" s="114"/>
      <c r="G27" s="113"/>
      <c r="H27" s="114"/>
      <c r="I27" s="113"/>
      <c r="J27" s="114"/>
      <c r="K27" s="113"/>
      <c r="L27" s="114"/>
      <c r="M27" s="113"/>
      <c r="N27" s="114"/>
      <c r="O27" s="113"/>
      <c r="P27" s="114"/>
      <c r="Q27" s="113"/>
      <c r="R27" s="114"/>
      <c r="S27" s="113"/>
      <c r="T27" s="114"/>
      <c r="U27" s="113"/>
      <c r="V27" s="114"/>
      <c r="W27" s="113"/>
      <c r="X27" s="114"/>
      <c r="Y27" s="113"/>
      <c r="Z27" s="114"/>
      <c r="AA27" s="113"/>
      <c r="AB27" s="114"/>
      <c r="AC27" s="113"/>
      <c r="AD27" s="114"/>
      <c r="AE27" s="113"/>
      <c r="AF27" s="114"/>
    </row>
    <row r="28" spans="1:32" s="106" customFormat="1" ht="15" customHeight="1">
      <c r="A28" s="107" t="s">
        <v>35</v>
      </c>
      <c r="B28" s="207">
        <f xml:space="preserve"> SUM( $C28:$AF28 )</f>
        <v>-88154764.11171478</v>
      </c>
      <c r="C28" s="108">
        <f t="shared" ref="C28:AF28" si="9" xml:space="preserve"> SUM( C$29:C$32 )</f>
        <v>-2300230.9636848597</v>
      </c>
      <c r="D28" s="108">
        <f t="shared" si="9"/>
        <v>-2300772.9388743276</v>
      </c>
      <c r="E28" s="108">
        <f t="shared" si="9"/>
        <v>-2301713.8232044335</v>
      </c>
      <c r="F28" s="108">
        <f t="shared" si="9"/>
        <v>-2428714.6977215428</v>
      </c>
      <c r="G28" s="108">
        <f t="shared" si="9"/>
        <v>-2628300.665668196</v>
      </c>
      <c r="H28" s="108">
        <f t="shared" si="9"/>
        <v>-2633146.1012331117</v>
      </c>
      <c r="I28" s="108">
        <f t="shared" si="9"/>
        <v>-2757999.5627937075</v>
      </c>
      <c r="J28" s="108">
        <f t="shared" si="9"/>
        <v>-2760892.1702875271</v>
      </c>
      <c r="K28" s="108">
        <f t="shared" si="9"/>
        <v>-2763838.2012813678</v>
      </c>
      <c r="L28" s="108">
        <f t="shared" si="9"/>
        <v>-2764642.0264725005</v>
      </c>
      <c r="M28" s="108">
        <f t="shared" si="9"/>
        <v>-3084945.5310055679</v>
      </c>
      <c r="N28" s="108">
        <f t="shared" si="9"/>
        <v>-3085749.7066364288</v>
      </c>
      <c r="O28" s="108">
        <f t="shared" si="9"/>
        <v>-3086553.2111692606</v>
      </c>
      <c r="P28" s="108">
        <f t="shared" si="9"/>
        <v>-3087357.0363611439</v>
      </c>
      <c r="Q28" s="108">
        <f t="shared" si="9"/>
        <v>-3088161.1264317678</v>
      </c>
      <c r="R28" s="108">
        <f t="shared" si="9"/>
        <v>-3088964.9516249029</v>
      </c>
      <c r="S28" s="108">
        <f t="shared" si="9"/>
        <v>-3089769.1091084722</v>
      </c>
      <c r="T28" s="108">
        <f t="shared" si="9"/>
        <v>-3090578.785164577</v>
      </c>
      <c r="U28" s="108">
        <f t="shared" si="9"/>
        <v>-3091397.3311145473</v>
      </c>
      <c r="V28" s="108">
        <f t="shared" si="9"/>
        <v>-3092226.0709946677</v>
      </c>
      <c r="W28" s="108">
        <f t="shared" si="9"/>
        <v>-3093064.3142165495</v>
      </c>
      <c r="X28" s="108">
        <f t="shared" si="9"/>
        <v>-3093912.267467265</v>
      </c>
      <c r="Y28" s="108">
        <f t="shared" si="9"/>
        <v>-3094769.6761429831</v>
      </c>
      <c r="Z28" s="108">
        <f t="shared" si="9"/>
        <v>-3189753.4762062635</v>
      </c>
      <c r="AA28" s="108">
        <f t="shared" si="9"/>
        <v>-3190631.9106327966</v>
      </c>
      <c r="AB28" s="108">
        <f t="shared" si="9"/>
        <v>-3191519.1968136569</v>
      </c>
      <c r="AC28" s="108">
        <f t="shared" si="9"/>
        <v>-3192417.1289898427</v>
      </c>
      <c r="AD28" s="108">
        <f t="shared" si="9"/>
        <v>-3193325.4409176093</v>
      </c>
      <c r="AE28" s="108">
        <f t="shared" si="9"/>
        <v>-3194243.7277555773</v>
      </c>
      <c r="AF28" s="108">
        <f t="shared" si="9"/>
        <v>-3195172.9617393166</v>
      </c>
    </row>
    <row r="29" spans="1:32" ht="12.45" customHeight="1">
      <c r="A29" s="109" t="s">
        <v>193</v>
      </c>
      <c r="B29" s="208">
        <f t="shared" ref="B29:B32" si="10" xml:space="preserve"> SUM( $C29:$AF29 )</f>
        <v>-81676848</v>
      </c>
      <c r="C29" s="110">
        <f t="array" ref="C29:AF29">-TRANSPOSE('Composição de Custeio'!K4:K33)</f>
        <v>-2177724</v>
      </c>
      <c r="D29" s="110">
        <v>-2177724</v>
      </c>
      <c r="E29" s="110">
        <v>-2177724</v>
      </c>
      <c r="F29" s="110">
        <v>-2271840</v>
      </c>
      <c r="G29" s="110">
        <v>-2466240</v>
      </c>
      <c r="H29" s="110">
        <v>-2466240</v>
      </c>
      <c r="I29" s="110">
        <v>-2560356</v>
      </c>
      <c r="J29" s="110">
        <v>-2560356</v>
      </c>
      <c r="K29" s="110">
        <v>-2560356</v>
      </c>
      <c r="L29" s="110">
        <v>-2560356</v>
      </c>
      <c r="M29" s="110">
        <v>-2851956</v>
      </c>
      <c r="N29" s="110">
        <v>-2851956</v>
      </c>
      <c r="O29" s="110">
        <v>-2851956</v>
      </c>
      <c r="P29" s="110">
        <v>-2851956</v>
      </c>
      <c r="Q29" s="110">
        <v>-2851956</v>
      </c>
      <c r="R29" s="110">
        <v>-2851956</v>
      </c>
      <c r="S29" s="110">
        <v>-2851956</v>
      </c>
      <c r="T29" s="110">
        <v>-2851956</v>
      </c>
      <c r="U29" s="110">
        <v>-2851956</v>
      </c>
      <c r="V29" s="110">
        <v>-2851956</v>
      </c>
      <c r="W29" s="110">
        <v>-2851956</v>
      </c>
      <c r="X29" s="110">
        <v>-2851956</v>
      </c>
      <c r="Y29" s="110">
        <v>-2851956</v>
      </c>
      <c r="Z29" s="110">
        <v>-2946072</v>
      </c>
      <c r="AA29" s="110">
        <v>-2946072</v>
      </c>
      <c r="AB29" s="110">
        <v>-2946072</v>
      </c>
      <c r="AC29" s="110">
        <v>-2946072</v>
      </c>
      <c r="AD29" s="110">
        <v>-2946072</v>
      </c>
      <c r="AE29" s="110">
        <v>-2946072</v>
      </c>
      <c r="AF29" s="110">
        <v>-2946072</v>
      </c>
    </row>
    <row r="30" spans="1:32" ht="15" customHeight="1">
      <c r="A30" s="109" t="s">
        <v>194</v>
      </c>
      <c r="B30" s="208">
        <f t="shared" si="10"/>
        <v>-4491900</v>
      </c>
      <c r="C30" s="110">
        <f t="array" ref="C30:AF30">-TRANSPOSE('Composição de Custeio'!L4:L34)</f>
        <v>-83700</v>
      </c>
      <c r="D30" s="110">
        <v>-83700</v>
      </c>
      <c r="E30" s="110">
        <v>-83700</v>
      </c>
      <c r="F30" s="110">
        <v>-111600</v>
      </c>
      <c r="G30" s="110">
        <v>-111600</v>
      </c>
      <c r="H30" s="110">
        <v>-111600</v>
      </c>
      <c r="I30" s="110">
        <v>-139500</v>
      </c>
      <c r="J30" s="110">
        <v>-139500</v>
      </c>
      <c r="K30" s="110">
        <v>-139500</v>
      </c>
      <c r="L30" s="110">
        <v>-139500</v>
      </c>
      <c r="M30" s="110">
        <v>-167400</v>
      </c>
      <c r="N30" s="110">
        <v>-167400</v>
      </c>
      <c r="O30" s="110">
        <v>-167400</v>
      </c>
      <c r="P30" s="110">
        <v>-167400</v>
      </c>
      <c r="Q30" s="110">
        <v>-167400</v>
      </c>
      <c r="R30" s="110">
        <v>-167400</v>
      </c>
      <c r="S30" s="110">
        <v>-167400</v>
      </c>
      <c r="T30" s="110">
        <v>-167400</v>
      </c>
      <c r="U30" s="110">
        <v>-167400</v>
      </c>
      <c r="V30" s="110">
        <v>-167400</v>
      </c>
      <c r="W30" s="110">
        <v>-167400</v>
      </c>
      <c r="X30" s="110">
        <v>-167400</v>
      </c>
      <c r="Y30" s="110">
        <v>-167400</v>
      </c>
      <c r="Z30" s="110">
        <v>-167400</v>
      </c>
      <c r="AA30" s="110">
        <v>-167400</v>
      </c>
      <c r="AB30" s="110">
        <v>-167400</v>
      </c>
      <c r="AC30" s="110">
        <v>-167400</v>
      </c>
      <c r="AD30" s="110">
        <v>-167400</v>
      </c>
      <c r="AE30" s="110">
        <v>-167400</v>
      </c>
      <c r="AF30" s="110">
        <v>-167400</v>
      </c>
    </row>
    <row r="31" spans="1:32" ht="15" customHeight="1">
      <c r="A31" s="109" t="s">
        <v>195</v>
      </c>
      <c r="B31" s="208">
        <f t="shared" si="10"/>
        <v>-993008.05585738609</v>
      </c>
      <c r="C31" s="110">
        <f t="array" ref="C31:AF31">-TRANSPOSE('Composição de Custeio'!M4:M34)</f>
        <v>-19403.481842429897</v>
      </c>
      <c r="D31" s="110">
        <v>-19674.469437163956</v>
      </c>
      <c r="E31" s="110">
        <v>-20144.911602216998</v>
      </c>
      <c r="F31" s="110">
        <v>-22637.34886077149</v>
      </c>
      <c r="G31" s="110">
        <v>-25230.332834098019</v>
      </c>
      <c r="H31" s="110">
        <v>-27653.050616556051</v>
      </c>
      <c r="I31" s="110">
        <v>-29071.781396853617</v>
      </c>
      <c r="J31" s="110">
        <v>-30518.085143763488</v>
      </c>
      <c r="K31" s="110">
        <v>-31991.100640683937</v>
      </c>
      <c r="L31" s="110">
        <v>-32393.013236250295</v>
      </c>
      <c r="M31" s="110">
        <v>-32794.765502783834</v>
      </c>
      <c r="N31" s="110">
        <v>-33196.853318214533</v>
      </c>
      <c r="O31" s="110">
        <v>-33598.605584630168</v>
      </c>
      <c r="P31" s="110">
        <v>-34000.518180571904</v>
      </c>
      <c r="Q31" s="110">
        <v>-34402.563215883732</v>
      </c>
      <c r="R31" s="110">
        <v>-34804.47581245139</v>
      </c>
      <c r="S31" s="110">
        <v>-35206.554554235969</v>
      </c>
      <c r="T31" s="110">
        <v>-35611.392582288478</v>
      </c>
      <c r="U31" s="110">
        <v>-36020.665557273678</v>
      </c>
      <c r="V31" s="110">
        <v>-36435.035497333949</v>
      </c>
      <c r="W31" s="110">
        <v>-36854.157108274696</v>
      </c>
      <c r="X31" s="110">
        <v>-37278.13373363253</v>
      </c>
      <c r="Y31" s="110">
        <v>-37706.838071491497</v>
      </c>
      <c r="Z31" s="110">
        <v>-38140.738103131967</v>
      </c>
      <c r="AA31" s="110">
        <v>-38579.955316398424</v>
      </c>
      <c r="AB31" s="110">
        <v>-39023.598406828678</v>
      </c>
      <c r="AC31" s="110">
        <v>-39472.564494921397</v>
      </c>
      <c r="AD31" s="110">
        <v>-39926.720458804753</v>
      </c>
      <c r="AE31" s="110">
        <v>-40385.863877788521</v>
      </c>
      <c r="AF31" s="110">
        <v>-40850.48086965843</v>
      </c>
    </row>
    <row r="32" spans="1:32" ht="15" customHeight="1">
      <c r="A32" s="109" t="s">
        <v>231</v>
      </c>
      <c r="B32" s="208">
        <f t="shared" si="10"/>
        <v>-993008.05585738609</v>
      </c>
      <c r="C32" s="110">
        <f t="array" ref="C32:AF32">-TRANSPOSE('Composição de Custeio'!O4:O34)</f>
        <v>-19403.481842429897</v>
      </c>
      <c r="D32" s="110">
        <v>-19674.469437163956</v>
      </c>
      <c r="E32" s="110">
        <v>-20144.911602216998</v>
      </c>
      <c r="F32" s="110">
        <v>-22637.34886077149</v>
      </c>
      <c r="G32" s="110">
        <v>-25230.332834098019</v>
      </c>
      <c r="H32" s="110">
        <v>-27653.050616556051</v>
      </c>
      <c r="I32" s="110">
        <v>-29071.781396853617</v>
      </c>
      <c r="J32" s="110">
        <v>-30518.085143763488</v>
      </c>
      <c r="K32" s="110">
        <v>-31991.100640683937</v>
      </c>
      <c r="L32" s="110">
        <v>-32393.013236250295</v>
      </c>
      <c r="M32" s="110">
        <v>-32794.765502783834</v>
      </c>
      <c r="N32" s="110">
        <v>-33196.853318214533</v>
      </c>
      <c r="O32" s="110">
        <v>-33598.605584630168</v>
      </c>
      <c r="P32" s="110">
        <v>-34000.518180571904</v>
      </c>
      <c r="Q32" s="110">
        <v>-34402.563215883732</v>
      </c>
      <c r="R32" s="110">
        <v>-34804.47581245139</v>
      </c>
      <c r="S32" s="110">
        <v>-35206.554554235969</v>
      </c>
      <c r="T32" s="110">
        <v>-35611.392582288478</v>
      </c>
      <c r="U32" s="110">
        <v>-36020.665557273678</v>
      </c>
      <c r="V32" s="110">
        <v>-36435.035497333949</v>
      </c>
      <c r="W32" s="110">
        <v>-36854.157108274696</v>
      </c>
      <c r="X32" s="110">
        <v>-37278.13373363253</v>
      </c>
      <c r="Y32" s="110">
        <v>-37706.838071491497</v>
      </c>
      <c r="Z32" s="110">
        <v>-38140.738103131967</v>
      </c>
      <c r="AA32" s="110">
        <v>-38579.955316398424</v>
      </c>
      <c r="AB32" s="110">
        <v>-39023.598406828678</v>
      </c>
      <c r="AC32" s="110">
        <v>-39472.564494921397</v>
      </c>
      <c r="AD32" s="110">
        <v>-39926.720458804753</v>
      </c>
      <c r="AE32" s="110">
        <v>-40385.863877788521</v>
      </c>
      <c r="AF32" s="110">
        <v>-40850.48086965843</v>
      </c>
    </row>
    <row r="33" spans="1:32" ht="15" customHeight="1">
      <c r="A33" s="112"/>
      <c r="B33" s="209"/>
      <c r="C33" s="113"/>
      <c r="D33" s="114"/>
      <c r="E33" s="113"/>
      <c r="F33" s="114"/>
      <c r="G33" s="113"/>
      <c r="H33" s="114"/>
      <c r="I33" s="113"/>
      <c r="J33" s="114"/>
      <c r="K33" s="113"/>
      <c r="L33" s="114"/>
      <c r="M33" s="113"/>
      <c r="N33" s="114"/>
      <c r="O33" s="113"/>
      <c r="P33" s="114"/>
      <c r="Q33" s="113"/>
      <c r="R33" s="114"/>
      <c r="S33" s="113"/>
      <c r="T33" s="114"/>
      <c r="U33" s="113"/>
      <c r="V33" s="114"/>
      <c r="W33" s="113"/>
      <c r="X33" s="114"/>
      <c r="Y33" s="113"/>
      <c r="Z33" s="114"/>
      <c r="AA33" s="113"/>
      <c r="AB33" s="114"/>
      <c r="AC33" s="113"/>
      <c r="AD33" s="114"/>
      <c r="AE33" s="113"/>
      <c r="AF33" s="114"/>
    </row>
    <row r="34" spans="1:32" s="106" customFormat="1" ht="15" customHeight="1">
      <c r="A34" s="107" t="s">
        <v>1217</v>
      </c>
      <c r="B34" s="207">
        <f>SUM(C34:AF34)</f>
        <v>-51841068.314959832</v>
      </c>
      <c r="C34" s="108" cm="1">
        <f t="array" ref="C34:AF34">-TRANSPOSE('Outorga e Regulação'!F4:F33+'Outorga e Regulação'!J4:J33)</f>
        <v>-1341899.6158708471</v>
      </c>
      <c r="D34" s="108">
        <v>-1020480.3651191045</v>
      </c>
      <c r="E34" s="108">
        <v>-1044881.3785184245</v>
      </c>
      <c r="F34" s="108">
        <v>-1174159.745681996</v>
      </c>
      <c r="G34" s="108">
        <v>-1308653.2953199816</v>
      </c>
      <c r="H34" s="108">
        <v>-1434315.4350345714</v>
      </c>
      <c r="I34" s="108">
        <v>-1507902.522569902</v>
      </c>
      <c r="J34" s="108">
        <v>-1582919.7717228462</v>
      </c>
      <c r="K34" s="108">
        <v>-1659322.5126925239</v>
      </c>
      <c r="L34" s="108">
        <v>-1680169.0170203503</v>
      </c>
      <c r="M34" s="108">
        <v>-1701007.2053612843</v>
      </c>
      <c r="N34" s="108">
        <v>-1721862.7980374247</v>
      </c>
      <c r="O34" s="108">
        <v>-1742700.9863722429</v>
      </c>
      <c r="P34" s="108">
        <v>-1763547.4907195393</v>
      </c>
      <c r="Q34" s="108">
        <v>-1784400.8644656364</v>
      </c>
      <c r="R34" s="108">
        <v>-1805247.3688453985</v>
      </c>
      <c r="S34" s="108">
        <v>-1826102.490887363</v>
      </c>
      <c r="T34" s="108">
        <v>-1847100.7322885133</v>
      </c>
      <c r="U34" s="108">
        <v>-1868329.0066407227</v>
      </c>
      <c r="V34" s="108">
        <v>-1889821.6516687172</v>
      </c>
      <c r="W34" s="108">
        <v>-1911560.7575657335</v>
      </c>
      <c r="X34" s="108">
        <v>-1933551.6845805102</v>
      </c>
      <c r="Y34" s="108">
        <v>-1955787.8297850196</v>
      </c>
      <c r="Z34" s="108">
        <v>-1978293.4665508713</v>
      </c>
      <c r="AA34" s="108">
        <v>-2001074.8962403601</v>
      </c>
      <c r="AB34" s="108">
        <v>-2024085.8884478374</v>
      </c>
      <c r="AC34" s="108">
        <v>-2047372.9752466062</v>
      </c>
      <c r="AD34" s="108">
        <v>-2070929.2518376922</v>
      </c>
      <c r="AE34" s="108">
        <v>-2094744.2190134542</v>
      </c>
      <c r="AF34" s="108">
        <v>-2118843.0908543556</v>
      </c>
    </row>
    <row r="35" spans="1:32" ht="15" customHeight="1">
      <c r="A35" s="112"/>
      <c r="B35" s="209"/>
      <c r="C35" s="113">
        <v>1</v>
      </c>
      <c r="D35" s="114"/>
      <c r="E35" s="113"/>
      <c r="F35" s="114"/>
      <c r="G35" s="113"/>
      <c r="H35" s="114"/>
      <c r="I35" s="113"/>
      <c r="J35" s="114"/>
      <c r="K35" s="113"/>
      <c r="L35" s="114"/>
      <c r="M35" s="113"/>
      <c r="N35" s="114"/>
      <c r="O35" s="113"/>
      <c r="P35" s="114"/>
      <c r="Q35" s="113"/>
      <c r="R35" s="114"/>
      <c r="S35" s="113"/>
      <c r="T35" s="114"/>
      <c r="U35" s="113"/>
      <c r="V35" s="114"/>
      <c r="W35" s="113"/>
      <c r="X35" s="114"/>
      <c r="Y35" s="113"/>
      <c r="Z35" s="114"/>
      <c r="AA35" s="113"/>
      <c r="AB35" s="114"/>
      <c r="AC35" s="113"/>
      <c r="AD35" s="114"/>
      <c r="AE35" s="113"/>
      <c r="AF35" s="114"/>
    </row>
    <row r="36" spans="1:32" s="106" customFormat="1" ht="15" customHeight="1">
      <c r="A36" s="115" t="s">
        <v>232</v>
      </c>
      <c r="B36" s="207">
        <f xml:space="preserve"> SUM( $C36:$AF36 )</f>
        <v>2090256809.864717</v>
      </c>
      <c r="C36" s="108">
        <f t="shared" ref="C36:AF36" si="11" xml:space="preserve"> ( ( C$26 ) + ( C$28 ) + ( C$34 ) )</f>
        <v>40340611.573370904</v>
      </c>
      <c r="D36" s="108">
        <f t="shared" si="11"/>
        <v>41690130.374125049</v>
      </c>
      <c r="E36" s="108">
        <f t="shared" si="11"/>
        <v>42350826.454297736</v>
      </c>
      <c r="F36" s="108">
        <f t="shared" si="11"/>
        <v>43285343.833142318</v>
      </c>
      <c r="G36" s="108">
        <f t="shared" si="11"/>
        <v>50172639.78626439</v>
      </c>
      <c r="H36" s="108">
        <f t="shared" si="11"/>
        <v>57172179.498296529</v>
      </c>
      <c r="I36" s="108">
        <f t="shared" si="11"/>
        <v>58056654.822827891</v>
      </c>
      <c r="J36" s="108">
        <f t="shared" si="11"/>
        <v>62707669.232137278</v>
      </c>
      <c r="K36" s="108">
        <f t="shared" si="11"/>
        <v>66849728.179286003</v>
      </c>
      <c r="L36" s="108">
        <f t="shared" si="11"/>
        <v>67984762.307133704</v>
      </c>
      <c r="M36" s="108">
        <f t="shared" si="11"/>
        <v>68555717.18974483</v>
      </c>
      <c r="N36" s="108">
        <f t="shared" si="11"/>
        <v>69482933.946368292</v>
      </c>
      <c r="O36" s="108">
        <f t="shared" si="11"/>
        <v>70464573.68017368</v>
      </c>
      <c r="P36" s="108">
        <f t="shared" si="11"/>
        <v>71426340.936320856</v>
      </c>
      <c r="Q36" s="108">
        <f t="shared" si="11"/>
        <v>72352116.670380726</v>
      </c>
      <c r="R36" s="108">
        <f t="shared" si="11"/>
        <v>73333119.043938488</v>
      </c>
      <c r="S36" s="108">
        <f t="shared" si="11"/>
        <v>74370081.305045083</v>
      </c>
      <c r="T36" s="108">
        <f t="shared" si="11"/>
        <v>75301752.495740861</v>
      </c>
      <c r="U36" s="108">
        <f t="shared" si="11"/>
        <v>76299660.0720772</v>
      </c>
      <c r="V36" s="108">
        <f t="shared" si="11"/>
        <v>77365702.040237352</v>
      </c>
      <c r="W36" s="108">
        <f t="shared" si="11"/>
        <v>78331165.513797849</v>
      </c>
      <c r="X36" s="108">
        <f t="shared" si="11"/>
        <v>79363939.507307678</v>
      </c>
      <c r="Y36" s="108">
        <f t="shared" si="11"/>
        <v>80463443.232435316</v>
      </c>
      <c r="Z36" s="108">
        <f t="shared" si="11"/>
        <v>81369422.493404105</v>
      </c>
      <c r="AA36" s="108">
        <f t="shared" si="11"/>
        <v>82437926.122297227</v>
      </c>
      <c r="AB36" s="108">
        <f t="shared" si="11"/>
        <v>83572439.869627655</v>
      </c>
      <c r="AC36" s="108">
        <f t="shared" si="11"/>
        <v>84608001.936108768</v>
      </c>
      <c r="AD36" s="108">
        <f t="shared" si="11"/>
        <v>85711445.43099229</v>
      </c>
      <c r="AE36" s="108">
        <f t="shared" si="11"/>
        <v>86882263.960651278</v>
      </c>
      <c r="AF36" s="108">
        <f t="shared" si="11"/>
        <v>87954218.357185304</v>
      </c>
    </row>
    <row r="37" spans="1:32" ht="15" customHeight="1">
      <c r="A37" s="112"/>
      <c r="B37" s="210"/>
      <c r="C37" s="113">
        <v>1</v>
      </c>
      <c r="D37" s="114"/>
      <c r="E37" s="113"/>
      <c r="F37" s="114"/>
      <c r="G37" s="113"/>
      <c r="H37" s="114"/>
      <c r="I37" s="113"/>
      <c r="J37" s="114"/>
      <c r="K37" s="113"/>
      <c r="L37" s="114"/>
      <c r="M37" s="113"/>
      <c r="N37" s="114"/>
      <c r="O37" s="113"/>
      <c r="P37" s="114"/>
      <c r="Q37" s="113"/>
      <c r="R37" s="114"/>
      <c r="S37" s="113"/>
      <c r="T37" s="114"/>
      <c r="U37" s="113"/>
      <c r="V37" s="114"/>
      <c r="W37" s="113"/>
      <c r="X37" s="114"/>
      <c r="Y37" s="113"/>
      <c r="Z37" s="114"/>
      <c r="AA37" s="113"/>
      <c r="AB37" s="114"/>
      <c r="AC37" s="113"/>
      <c r="AD37" s="114"/>
      <c r="AE37" s="113"/>
      <c r="AF37" s="114"/>
    </row>
    <row r="38" spans="1:32" s="106" customFormat="1" ht="15" customHeight="1">
      <c r="A38" s="115" t="s">
        <v>233</v>
      </c>
      <c r="B38" s="207">
        <f xml:space="preserve"> SUM( $C38:$AF38 )</f>
        <v>-571334592.76027286</v>
      </c>
      <c r="C38" s="108">
        <f xml:space="preserve"> - Depreciação!C$7</f>
        <v>-199541.4115090929</v>
      </c>
      <c r="D38" s="108">
        <f xml:space="preserve"> - Depreciação!D$7</f>
        <v>-562315.37030219636</v>
      </c>
      <c r="E38" s="108">
        <f xml:space="preserve"> - Depreciação!E$7</f>
        <v>-3856433.3972664825</v>
      </c>
      <c r="F38" s="108">
        <f xml:space="preserve"> - Depreciação!F$7</f>
        <v>-6283460.9520812966</v>
      </c>
      <c r="G38" s="108">
        <f xml:space="preserve"> - Depreciação!G$7</f>
        <v>-8751278.7382351421</v>
      </c>
      <c r="H38" s="108">
        <f xml:space="preserve"> - Depreciação!H$7</f>
        <v>-12673018.385235144</v>
      </c>
      <c r="I38" s="108">
        <f xml:space="preserve"> - Depreciação!I$7</f>
        <v>-14996968.281276811</v>
      </c>
      <c r="J38" s="108">
        <f xml:space="preserve"> - Depreciação!J$7</f>
        <v>-17473953.09105942</v>
      </c>
      <c r="K38" s="108">
        <f xml:space="preserve"> - Depreciação!K$7</f>
        <v>-21071337.538104877</v>
      </c>
      <c r="L38" s="108">
        <f xml:space="preserve"> - Depreciação!L$7</f>
        <v>-21271904.285723925</v>
      </c>
      <c r="M38" s="108">
        <f xml:space="preserve"> - Depreciação!M$7</f>
        <v>-21463808.202723924</v>
      </c>
      <c r="N38" s="108">
        <f xml:space="preserve"> - Depreciação!N$7</f>
        <v>-21551606.28219761</v>
      </c>
      <c r="O38" s="108">
        <f xml:space="preserve"> - Depreciação!O$7</f>
        <v>-21640079.477475386</v>
      </c>
      <c r="P38" s="108">
        <f xml:space="preserve"> - Depreciação!P$7</f>
        <v>-21731772.706298914</v>
      </c>
      <c r="Q38" s="108">
        <f xml:space="preserve"> - Depreciação!Q$7</f>
        <v>-21826841.579736415</v>
      </c>
      <c r="R38" s="108">
        <f xml:space="preserve"> - Depreciação!R$7</f>
        <v>-21925939.101403084</v>
      </c>
      <c r="S38" s="108">
        <f xml:space="preserve"> - Depreciação!S$7</f>
        <v>-22029904.311760228</v>
      </c>
      <c r="T38" s="108">
        <f xml:space="preserve"> - Depreciação!T$7</f>
        <v>-22142478.922529459</v>
      </c>
      <c r="U38" s="108">
        <f xml:space="preserve"> - Depreciação!U$7</f>
        <v>-22265329.680862792</v>
      </c>
      <c r="V38" s="108">
        <f xml:space="preserve"> - Depreciação!V$7</f>
        <v>-22401188.494953699</v>
      </c>
      <c r="W38" s="108">
        <f xml:space="preserve"> - Depreciação!W$7</f>
        <v>-22551949.503453698</v>
      </c>
      <c r="X38" s="108">
        <f xml:space="preserve"> - Depreciação!X$7</f>
        <v>-22724153.015120365</v>
      </c>
      <c r="Y38" s="108">
        <f xml:space="preserve"> - Depreciação!Y$7</f>
        <v>-22923013.720745366</v>
      </c>
      <c r="Z38" s="108">
        <f xml:space="preserve"> - Depreciação!Z$7</f>
        <v>-23156849.691459652</v>
      </c>
      <c r="AA38" s="108">
        <f xml:space="preserve"> - Depreciação!AA$7</f>
        <v>-23438846.485626318</v>
      </c>
      <c r="AB38" s="108">
        <f xml:space="preserve"> - Depreciação!AB$7</f>
        <v>-23784045.332626317</v>
      </c>
      <c r="AC38" s="108">
        <f xml:space="preserve"> - Depreciação!AC$7</f>
        <v>-24608992.076376315</v>
      </c>
      <c r="AD38" s="108">
        <f xml:space="preserve"> - Depreciação!AD$7</f>
        <v>-25341595.311376315</v>
      </c>
      <c r="AE38" s="108">
        <f xml:space="preserve"> - Depreciação!AE$7</f>
        <v>-26550861.806376319</v>
      </c>
      <c r="AF38" s="108">
        <f xml:space="preserve"> - Depreciação!AF$7</f>
        <v>-30135125.60637632</v>
      </c>
    </row>
    <row r="39" spans="1:32" ht="15" customHeight="1">
      <c r="A39" s="112"/>
      <c r="B39" s="209"/>
      <c r="C39" s="113">
        <v>1</v>
      </c>
      <c r="D39" s="114"/>
      <c r="E39" s="113"/>
      <c r="F39" s="114"/>
      <c r="G39" s="113"/>
      <c r="H39" s="114"/>
      <c r="I39" s="113"/>
      <c r="J39" s="114"/>
      <c r="K39" s="113"/>
      <c r="L39" s="114"/>
      <c r="M39" s="113"/>
      <c r="N39" s="114"/>
      <c r="O39" s="113"/>
      <c r="P39" s="114"/>
      <c r="Q39" s="113"/>
      <c r="R39" s="114"/>
      <c r="S39" s="113"/>
      <c r="T39" s="114"/>
      <c r="U39" s="113"/>
      <c r="V39" s="114"/>
      <c r="W39" s="113"/>
      <c r="X39" s="114"/>
      <c r="Y39" s="113"/>
      <c r="Z39" s="114"/>
      <c r="AA39" s="113"/>
      <c r="AB39" s="114"/>
      <c r="AC39" s="113"/>
      <c r="AD39" s="114"/>
      <c r="AE39" s="113"/>
      <c r="AF39" s="114"/>
    </row>
    <row r="40" spans="1:32" s="106" customFormat="1" ht="15" customHeight="1">
      <c r="A40" s="107" t="s">
        <v>234</v>
      </c>
      <c r="B40" s="207">
        <f xml:space="preserve"> SUM( $C40:$AF40 )</f>
        <v>1518922217.1044438</v>
      </c>
      <c r="C40" s="108">
        <f t="shared" ref="C40:AF40" si="12" xml:space="preserve"> ( ( C$36 ) + ( C$38 ) )</f>
        <v>40141070.161861807</v>
      </c>
      <c r="D40" s="108">
        <f t="shared" si="12"/>
        <v>41127815.003822856</v>
      </c>
      <c r="E40" s="108">
        <f t="shared" si="12"/>
        <v>38494393.057031251</v>
      </c>
      <c r="F40" s="108">
        <f t="shared" si="12"/>
        <v>37001882.881061018</v>
      </c>
      <c r="G40" s="108">
        <f t="shared" si="12"/>
        <v>41421361.048029244</v>
      </c>
      <c r="H40" s="108">
        <f t="shared" si="12"/>
        <v>44499161.113061383</v>
      </c>
      <c r="I40" s="108">
        <f t="shared" si="12"/>
        <v>43059686.541551083</v>
      </c>
      <c r="J40" s="108">
        <f t="shared" si="12"/>
        <v>45233716.141077861</v>
      </c>
      <c r="K40" s="108">
        <f t="shared" si="12"/>
        <v>45778390.641181126</v>
      </c>
      <c r="L40" s="108">
        <f t="shared" si="12"/>
        <v>46712858.02140978</v>
      </c>
      <c r="M40" s="108">
        <f t="shared" si="12"/>
        <v>47091908.98702091</v>
      </c>
      <c r="N40" s="108">
        <f t="shared" si="12"/>
        <v>47931327.664170682</v>
      </c>
      <c r="O40" s="108">
        <f t="shared" si="12"/>
        <v>48824494.20269829</v>
      </c>
      <c r="P40" s="108">
        <f t="shared" si="12"/>
        <v>49694568.230021939</v>
      </c>
      <c r="Q40" s="108">
        <f t="shared" si="12"/>
        <v>50525275.090644315</v>
      </c>
      <c r="R40" s="108">
        <f t="shared" si="12"/>
        <v>51407179.9425354</v>
      </c>
      <c r="S40" s="108">
        <f t="shared" si="12"/>
        <v>52340176.993284851</v>
      </c>
      <c r="T40" s="108">
        <f t="shared" si="12"/>
        <v>53159273.573211402</v>
      </c>
      <c r="U40" s="108">
        <f t="shared" si="12"/>
        <v>54034330.391214408</v>
      </c>
      <c r="V40" s="108">
        <f t="shared" si="12"/>
        <v>54964513.545283653</v>
      </c>
      <c r="W40" s="108">
        <f t="shared" si="12"/>
        <v>55779216.010344148</v>
      </c>
      <c r="X40" s="108">
        <f t="shared" si="12"/>
        <v>56639786.492187314</v>
      </c>
      <c r="Y40" s="108">
        <f t="shared" si="12"/>
        <v>57540429.511689946</v>
      </c>
      <c r="Z40" s="108">
        <f t="shared" si="12"/>
        <v>58212572.80194445</v>
      </c>
      <c r="AA40" s="108">
        <f t="shared" si="12"/>
        <v>58999079.63667091</v>
      </c>
      <c r="AB40" s="108">
        <f t="shared" si="12"/>
        <v>59788394.537001342</v>
      </c>
      <c r="AC40" s="108">
        <f t="shared" si="12"/>
        <v>59999009.859732449</v>
      </c>
      <c r="AD40" s="108">
        <f t="shared" si="12"/>
        <v>60369850.119615972</v>
      </c>
      <c r="AE40" s="108">
        <f t="shared" si="12"/>
        <v>60331402.154274955</v>
      </c>
      <c r="AF40" s="108">
        <f t="shared" si="12"/>
        <v>57819092.750808984</v>
      </c>
    </row>
    <row r="41" spans="1:32" ht="15" customHeight="1">
      <c r="A41" s="112"/>
      <c r="B41" s="209"/>
      <c r="C41" s="113">
        <v>1</v>
      </c>
      <c r="D41" s="114"/>
      <c r="E41" s="113"/>
      <c r="F41" s="114"/>
      <c r="G41" s="113"/>
      <c r="H41" s="114"/>
      <c r="I41" s="113"/>
      <c r="J41" s="114"/>
      <c r="K41" s="113"/>
      <c r="L41" s="114"/>
      <c r="M41" s="113"/>
      <c r="N41" s="114"/>
      <c r="O41" s="113"/>
      <c r="P41" s="114"/>
      <c r="Q41" s="113"/>
      <c r="R41" s="114"/>
      <c r="S41" s="113"/>
      <c r="T41" s="114"/>
      <c r="U41" s="113"/>
      <c r="V41" s="114"/>
      <c r="W41" s="113"/>
      <c r="X41" s="114"/>
      <c r="Y41" s="113"/>
      <c r="Z41" s="114"/>
      <c r="AA41" s="113"/>
      <c r="AB41" s="114"/>
      <c r="AC41" s="113"/>
      <c r="AD41" s="114"/>
      <c r="AE41" s="113"/>
      <c r="AF41" s="114"/>
    </row>
    <row r="42" spans="1:32" s="106" customFormat="1" ht="15" customHeight="1">
      <c r="A42" s="107" t="s">
        <v>235</v>
      </c>
      <c r="B42" s="207">
        <f xml:space="preserve"> SUM( $C42:$AF42 )</f>
        <v>-515713553.81551087</v>
      </c>
      <c r="C42" s="108">
        <f t="shared" ref="C42:AF42" si="13" xml:space="preserve"> SUM( C$43:C$44 )</f>
        <v>-13623963.855033014</v>
      </c>
      <c r="D42" s="108">
        <f t="shared" si="13"/>
        <v>-13959457.10129977</v>
      </c>
      <c r="E42" s="108">
        <f t="shared" si="13"/>
        <v>-13064093.639390625</v>
      </c>
      <c r="F42" s="108">
        <f t="shared" si="13"/>
        <v>-12556640.179560745</v>
      </c>
      <c r="G42" s="108">
        <f t="shared" si="13"/>
        <v>-14059262.756329942</v>
      </c>
      <c r="H42" s="108">
        <f t="shared" si="13"/>
        <v>-15105714.77844087</v>
      </c>
      <c r="I42" s="108">
        <f t="shared" si="13"/>
        <v>-14616293.424127368</v>
      </c>
      <c r="J42" s="108">
        <f t="shared" si="13"/>
        <v>-15355463.487966472</v>
      </c>
      <c r="K42" s="108">
        <f t="shared" si="13"/>
        <v>-15540652.818001583</v>
      </c>
      <c r="L42" s="108">
        <f t="shared" si="13"/>
        <v>-15858371.727279324</v>
      </c>
      <c r="M42" s="108">
        <f t="shared" si="13"/>
        <v>-15987249.055587109</v>
      </c>
      <c r="N42" s="108">
        <f t="shared" si="13"/>
        <v>-16272651.405818032</v>
      </c>
      <c r="O42" s="108">
        <f t="shared" si="13"/>
        <v>-16576328.028917419</v>
      </c>
      <c r="P42" s="108">
        <f t="shared" si="13"/>
        <v>-16872153.19820746</v>
      </c>
      <c r="Q42" s="108">
        <f t="shared" si="13"/>
        <v>-17154593.530819066</v>
      </c>
      <c r="R42" s="108">
        <f t="shared" si="13"/>
        <v>-17454441.180462036</v>
      </c>
      <c r="S42" s="108">
        <f t="shared" si="13"/>
        <v>-17771660.177716851</v>
      </c>
      <c r="T42" s="108">
        <f t="shared" si="13"/>
        <v>-18050153.014891878</v>
      </c>
      <c r="U42" s="108">
        <f t="shared" si="13"/>
        <v>-18347672.333012898</v>
      </c>
      <c r="V42" s="108">
        <f t="shared" si="13"/>
        <v>-18663934.605396442</v>
      </c>
      <c r="W42" s="108">
        <f t="shared" si="13"/>
        <v>-18940933.443517011</v>
      </c>
      <c r="X42" s="108">
        <f t="shared" si="13"/>
        <v>-19233527.407343686</v>
      </c>
      <c r="Y42" s="108">
        <f t="shared" si="13"/>
        <v>-19539746.03397458</v>
      </c>
      <c r="Z42" s="108">
        <f t="shared" si="13"/>
        <v>-19768274.752661113</v>
      </c>
      <c r="AA42" s="108">
        <f t="shared" si="13"/>
        <v>-20035687.07646811</v>
      </c>
      <c r="AB42" s="108">
        <f t="shared" si="13"/>
        <v>-20304054.142580457</v>
      </c>
      <c r="AC42" s="108">
        <f t="shared" si="13"/>
        <v>-20375663.352309033</v>
      </c>
      <c r="AD42" s="108">
        <f t="shared" si="13"/>
        <v>-20501749.04066943</v>
      </c>
      <c r="AE42" s="108">
        <f t="shared" si="13"/>
        <v>-20488676.732453484</v>
      </c>
      <c r="AF42" s="108">
        <f t="shared" si="13"/>
        <v>-19634491.535275053</v>
      </c>
    </row>
    <row r="43" spans="1:32" s="106" customFormat="1" ht="15" customHeight="1">
      <c r="A43" s="109" t="s">
        <v>236</v>
      </c>
      <c r="B43" s="208">
        <f t="shared" ref="B43:B44" si="14" xml:space="preserve"> SUM( $C43:$AF43 )</f>
        <v>-379010554.27611095</v>
      </c>
      <c r="C43" s="110">
        <f xml:space="preserve"> - IF( ( ( C$40 ) &gt; ( 0 ) ), ( ( C$40 ) * ( 15% ) ), ( 0 ) ) - IF( AND( ( ( C$40 ) &gt; ( 0 ) ), ( ( C$40 ) &gt; ( 240000 ) ) ), ( ( ( C$40 ) - ( 240000 ) ) * ( 10% ) ), ( 0 ) )</f>
        <v>-10011267.540465452</v>
      </c>
      <c r="D43" s="110">
        <f t="shared" ref="D43:AF43" si="15" xml:space="preserve"> - IF( ( ( D$40 ) &gt; ( 0 ) ), ( ( D$40 ) * ( 15% ) ), ( 0 ) ) - IF( AND( ( ( D$40 ) &gt; ( 0 ) ), ( ( D$40 ) &gt; ( 240000 ) ) ), ( ( ( D$40 ) - ( 240000 ) ) * ( 10% ) ), ( 0 ) )</f>
        <v>-10257953.750955714</v>
      </c>
      <c r="E43" s="110">
        <f t="shared" si="15"/>
        <v>-9599598.2642578129</v>
      </c>
      <c r="F43" s="110">
        <f t="shared" si="15"/>
        <v>-9226470.7202652544</v>
      </c>
      <c r="G43" s="110">
        <f t="shared" si="15"/>
        <v>-10331340.262007311</v>
      </c>
      <c r="H43" s="110">
        <f t="shared" si="15"/>
        <v>-11100790.278265346</v>
      </c>
      <c r="I43" s="110">
        <f t="shared" si="15"/>
        <v>-10740921.635387771</v>
      </c>
      <c r="J43" s="110">
        <f t="shared" si="15"/>
        <v>-11284429.035269465</v>
      </c>
      <c r="K43" s="110">
        <f t="shared" si="15"/>
        <v>-11420597.660295282</v>
      </c>
      <c r="L43" s="110">
        <f t="shared" si="15"/>
        <v>-11654214.505352445</v>
      </c>
      <c r="M43" s="110">
        <f t="shared" si="15"/>
        <v>-11748977.246755227</v>
      </c>
      <c r="N43" s="110">
        <f t="shared" si="15"/>
        <v>-11958831.916042671</v>
      </c>
      <c r="O43" s="110">
        <f t="shared" si="15"/>
        <v>-12182123.550674573</v>
      </c>
      <c r="P43" s="110">
        <f t="shared" si="15"/>
        <v>-12399642.057505485</v>
      </c>
      <c r="Q43" s="110">
        <f t="shared" si="15"/>
        <v>-12607318.772661079</v>
      </c>
      <c r="R43" s="110">
        <f t="shared" si="15"/>
        <v>-12827794.98563385</v>
      </c>
      <c r="S43" s="110">
        <f t="shared" si="15"/>
        <v>-13061044.248321213</v>
      </c>
      <c r="T43" s="110">
        <f t="shared" si="15"/>
        <v>-13265818.39330285</v>
      </c>
      <c r="U43" s="110">
        <f t="shared" si="15"/>
        <v>-13484582.597803602</v>
      </c>
      <c r="V43" s="110">
        <f t="shared" si="15"/>
        <v>-13717128.386320913</v>
      </c>
      <c r="W43" s="110">
        <f t="shared" si="15"/>
        <v>-13920804.002586037</v>
      </c>
      <c r="X43" s="110">
        <f t="shared" si="15"/>
        <v>-14135946.623046827</v>
      </c>
      <c r="Y43" s="110">
        <f t="shared" si="15"/>
        <v>-14361107.377922487</v>
      </c>
      <c r="Z43" s="110">
        <f t="shared" si="15"/>
        <v>-14529143.200486112</v>
      </c>
      <c r="AA43" s="110">
        <f t="shared" si="15"/>
        <v>-14725769.909167727</v>
      </c>
      <c r="AB43" s="110">
        <f t="shared" si="15"/>
        <v>-14923098.634250335</v>
      </c>
      <c r="AC43" s="110">
        <f t="shared" si="15"/>
        <v>-14975752.464933112</v>
      </c>
      <c r="AD43" s="110">
        <f t="shared" si="15"/>
        <v>-15068462.529903993</v>
      </c>
      <c r="AE43" s="110">
        <f t="shared" si="15"/>
        <v>-15058850.538568739</v>
      </c>
      <c r="AF43" s="110">
        <f t="shared" si="15"/>
        <v>-14430773.187702246</v>
      </c>
    </row>
    <row r="44" spans="1:32" s="106" customFormat="1" ht="15" customHeight="1">
      <c r="A44" s="109" t="s">
        <v>237</v>
      </c>
      <c r="B44" s="208">
        <f t="shared" si="14"/>
        <v>-136702999.53939992</v>
      </c>
      <c r="C44" s="110">
        <f t="shared" ref="C44:AF44" si="16" xml:space="preserve"> - IF( ( ( C$40 ) &gt; ( 0 ) ), ( ( C$40 ) * ( 9% ) ), ( 0 ) )</f>
        <v>-3612696.3145675627</v>
      </c>
      <c r="D44" s="110">
        <f t="shared" si="16"/>
        <v>-3701503.3503440567</v>
      </c>
      <c r="E44" s="110">
        <f t="shared" si="16"/>
        <v>-3464495.3751328127</v>
      </c>
      <c r="F44" s="110">
        <f t="shared" si="16"/>
        <v>-3330169.4592954912</v>
      </c>
      <c r="G44" s="110">
        <f t="shared" si="16"/>
        <v>-3727922.494322632</v>
      </c>
      <c r="H44" s="110">
        <f t="shared" si="16"/>
        <v>-4004924.5001755245</v>
      </c>
      <c r="I44" s="110">
        <f t="shared" si="16"/>
        <v>-3875371.7887395974</v>
      </c>
      <c r="J44" s="110">
        <f t="shared" si="16"/>
        <v>-4071034.4526970075</v>
      </c>
      <c r="K44" s="110">
        <f t="shared" si="16"/>
        <v>-4120055.1577063012</v>
      </c>
      <c r="L44" s="110">
        <f t="shared" si="16"/>
        <v>-4204157.2219268801</v>
      </c>
      <c r="M44" s="110">
        <f t="shared" si="16"/>
        <v>-4238271.8088318817</v>
      </c>
      <c r="N44" s="110">
        <f t="shared" si="16"/>
        <v>-4313819.4897753615</v>
      </c>
      <c r="O44" s="110">
        <f t="shared" si="16"/>
        <v>-4394204.4782428462</v>
      </c>
      <c r="P44" s="110">
        <f t="shared" si="16"/>
        <v>-4472511.1407019747</v>
      </c>
      <c r="Q44" s="110">
        <f t="shared" si="16"/>
        <v>-4547274.7581579881</v>
      </c>
      <c r="R44" s="110">
        <f t="shared" si="16"/>
        <v>-4626646.1948281862</v>
      </c>
      <c r="S44" s="110">
        <f t="shared" si="16"/>
        <v>-4710615.9293956365</v>
      </c>
      <c r="T44" s="110">
        <f t="shared" si="16"/>
        <v>-4784334.6215890264</v>
      </c>
      <c r="U44" s="110">
        <f t="shared" si="16"/>
        <v>-4863089.7352092965</v>
      </c>
      <c r="V44" s="110">
        <f t="shared" si="16"/>
        <v>-4946806.2190755289</v>
      </c>
      <c r="W44" s="110">
        <f t="shared" si="16"/>
        <v>-5020129.4409309728</v>
      </c>
      <c r="X44" s="110">
        <f t="shared" si="16"/>
        <v>-5097580.7842968581</v>
      </c>
      <c r="Y44" s="110">
        <f t="shared" si="16"/>
        <v>-5178638.6560520949</v>
      </c>
      <c r="Z44" s="110">
        <f t="shared" si="16"/>
        <v>-5239131.5521750003</v>
      </c>
      <c r="AA44" s="110">
        <f t="shared" si="16"/>
        <v>-5309917.1673003817</v>
      </c>
      <c r="AB44" s="110">
        <f t="shared" si="16"/>
        <v>-5380955.5083301207</v>
      </c>
      <c r="AC44" s="110">
        <f t="shared" si="16"/>
        <v>-5399910.8873759201</v>
      </c>
      <c r="AD44" s="110">
        <f t="shared" si="16"/>
        <v>-5433286.510765437</v>
      </c>
      <c r="AE44" s="110">
        <f t="shared" si="16"/>
        <v>-5429826.1938847462</v>
      </c>
      <c r="AF44" s="110">
        <f t="shared" si="16"/>
        <v>-5203718.3475728082</v>
      </c>
    </row>
    <row r="45" spans="1:32" ht="15" customHeight="1">
      <c r="A45" s="112"/>
      <c r="B45" s="209"/>
      <c r="C45" s="113">
        <v>1</v>
      </c>
      <c r="D45" s="114"/>
      <c r="E45" s="113"/>
      <c r="F45" s="114"/>
      <c r="G45" s="113"/>
      <c r="H45" s="114"/>
      <c r="I45" s="113"/>
      <c r="J45" s="114"/>
      <c r="K45" s="113"/>
      <c r="L45" s="114"/>
      <c r="M45" s="113"/>
      <c r="N45" s="114"/>
      <c r="O45" s="113"/>
      <c r="P45" s="114"/>
      <c r="Q45" s="113"/>
      <c r="R45" s="114"/>
      <c r="S45" s="113"/>
      <c r="T45" s="114"/>
      <c r="U45" s="113"/>
      <c r="V45" s="114"/>
      <c r="W45" s="113"/>
      <c r="X45" s="114"/>
      <c r="Y45" s="113"/>
      <c r="Z45" s="114"/>
      <c r="AA45" s="113"/>
      <c r="AB45" s="114"/>
      <c r="AC45" s="113"/>
      <c r="AD45" s="114"/>
      <c r="AE45" s="113"/>
      <c r="AF45" s="114"/>
    </row>
    <row r="46" spans="1:32" s="106" customFormat="1" ht="15" customHeight="1">
      <c r="A46" s="107" t="s">
        <v>1221</v>
      </c>
      <c r="B46" s="207">
        <f xml:space="preserve"> SUM( $C46:$AF46 )</f>
        <v>-1080000</v>
      </c>
      <c r="C46" s="207">
        <f>-'Dados de Entrada'!D70</f>
        <v>-1080000</v>
      </c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</row>
    <row r="47" spans="1:32" ht="15" customHeight="1">
      <c r="A47" s="112"/>
      <c r="B47" s="209"/>
      <c r="C47" s="113"/>
      <c r="D47" s="114"/>
      <c r="E47" s="113"/>
      <c r="F47" s="114"/>
      <c r="G47" s="113"/>
      <c r="H47" s="114"/>
      <c r="I47" s="113"/>
      <c r="J47" s="114"/>
      <c r="K47" s="113"/>
      <c r="L47" s="114"/>
      <c r="M47" s="113"/>
      <c r="N47" s="114"/>
      <c r="O47" s="113"/>
      <c r="P47" s="114"/>
      <c r="Q47" s="113"/>
      <c r="R47" s="114"/>
      <c r="S47" s="113"/>
      <c r="T47" s="114"/>
      <c r="U47" s="113"/>
      <c r="V47" s="114"/>
      <c r="W47" s="113"/>
      <c r="X47" s="114"/>
      <c r="Y47" s="113"/>
      <c r="Z47" s="114"/>
      <c r="AA47" s="113"/>
      <c r="AB47" s="114"/>
      <c r="AC47" s="113"/>
      <c r="AD47" s="114"/>
      <c r="AE47" s="113"/>
      <c r="AF47" s="114"/>
    </row>
    <row r="48" spans="1:32" s="106" customFormat="1" ht="15" customHeight="1">
      <c r="A48" s="107" t="s">
        <v>712</v>
      </c>
      <c r="B48" s="207">
        <f xml:space="preserve"> SUM( $C48:$AF48 )</f>
        <v>-140000000</v>
      </c>
      <c r="C48" s="207">
        <f>-'Dados de Entrada'!D73</f>
        <v>-140000000</v>
      </c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</row>
    <row r="49" spans="1:32" s="106" customFormat="1" ht="15" customHeight="1">
      <c r="A49" s="121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56"/>
      <c r="M49" s="856"/>
      <c r="N49" s="856"/>
      <c r="O49" s="857"/>
      <c r="P49" s="857"/>
      <c r="Q49" s="857"/>
      <c r="R49" s="857"/>
      <c r="S49" s="857"/>
      <c r="T49" s="857"/>
      <c r="U49" s="857"/>
      <c r="V49" s="857"/>
      <c r="W49" s="857"/>
      <c r="X49" s="857"/>
      <c r="Y49" s="857"/>
      <c r="Z49" s="857"/>
      <c r="AA49" s="857"/>
      <c r="AB49" s="857"/>
      <c r="AC49" s="857"/>
      <c r="AD49" s="857"/>
      <c r="AE49" s="857"/>
      <c r="AF49" s="857"/>
    </row>
    <row r="50" spans="1:32" s="106" customFormat="1" ht="15" customHeight="1">
      <c r="A50" s="107" t="s">
        <v>1239</v>
      </c>
      <c r="B50" s="207">
        <f>SUM(C50:AF50)</f>
        <v>0</v>
      </c>
      <c r="C50" s="207">
        <f t="array" ref="C50:AF50">TRANSPOSE(-'Composição Faturamento 2'!D4:D33*'Dados de Entrada'!$D$97)</f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</row>
    <row r="51" spans="1:32" ht="15" customHeight="1">
      <c r="A51" s="112"/>
      <c r="B51" s="209"/>
      <c r="C51" s="113"/>
      <c r="D51" s="114"/>
      <c r="E51" s="113"/>
      <c r="F51" s="114"/>
      <c r="G51" s="113"/>
      <c r="H51" s="114"/>
      <c r="I51" s="113"/>
      <c r="J51" s="114"/>
      <c r="K51" s="113"/>
      <c r="L51" s="114"/>
      <c r="M51" s="113"/>
      <c r="N51" s="114"/>
      <c r="O51" s="113"/>
      <c r="P51" s="114"/>
      <c r="Q51" s="113"/>
      <c r="R51" s="114"/>
      <c r="S51" s="113"/>
      <c r="T51" s="114"/>
      <c r="U51" s="113"/>
      <c r="V51" s="114"/>
      <c r="W51" s="113"/>
      <c r="X51" s="114"/>
      <c r="Y51" s="113"/>
      <c r="Z51" s="114"/>
      <c r="AA51" s="113"/>
      <c r="AB51" s="114"/>
      <c r="AC51" s="113"/>
      <c r="AD51" s="114"/>
      <c r="AE51" s="113"/>
      <c r="AF51" s="114"/>
    </row>
    <row r="52" spans="1:32" s="106" customFormat="1" ht="15" customHeight="1">
      <c r="A52" s="107" t="s">
        <v>749</v>
      </c>
      <c r="B52" s="207">
        <f xml:space="preserve"> SUM( $C52:$AF52 )</f>
        <v>862128663.28893292</v>
      </c>
      <c r="C52" s="108">
        <f t="shared" ref="C52:AF52" si="17">C40+C42+C46+C48</f>
        <v>-114562893.6931712</v>
      </c>
      <c r="D52" s="108">
        <f t="shared" si="17"/>
        <v>27168357.902523085</v>
      </c>
      <c r="E52" s="108">
        <f t="shared" si="17"/>
        <v>25430299.417640626</v>
      </c>
      <c r="F52" s="108">
        <f t="shared" si="17"/>
        <v>24445242.701500274</v>
      </c>
      <c r="G52" s="108">
        <f t="shared" si="17"/>
        <v>27362098.291699301</v>
      </c>
      <c r="H52" s="108">
        <f t="shared" si="17"/>
        <v>29393446.334620513</v>
      </c>
      <c r="I52" s="108">
        <f t="shared" si="17"/>
        <v>28443393.117423713</v>
      </c>
      <c r="J52" s="108">
        <f t="shared" si="17"/>
        <v>29878252.653111391</v>
      </c>
      <c r="K52" s="108">
        <f t="shared" si="17"/>
        <v>30237737.823179543</v>
      </c>
      <c r="L52" s="108">
        <f t="shared" si="17"/>
        <v>30854486.294130456</v>
      </c>
      <c r="M52" s="108">
        <f t="shared" si="17"/>
        <v>31104659.931433801</v>
      </c>
      <c r="N52" s="108">
        <f t="shared" si="17"/>
        <v>31658676.258352652</v>
      </c>
      <c r="O52" s="108">
        <f t="shared" si="17"/>
        <v>32248166.173780873</v>
      </c>
      <c r="P52" s="108">
        <f t="shared" si="17"/>
        <v>32822415.031814478</v>
      </c>
      <c r="Q52" s="108">
        <f t="shared" si="17"/>
        <v>33370681.559825249</v>
      </c>
      <c r="R52" s="108">
        <f t="shared" si="17"/>
        <v>33952738.762073368</v>
      </c>
      <c r="S52" s="108">
        <f t="shared" si="17"/>
        <v>34568516.815568</v>
      </c>
      <c r="T52" s="108">
        <f t="shared" si="17"/>
        <v>35109120.558319524</v>
      </c>
      <c r="U52" s="108">
        <f t="shared" si="17"/>
        <v>35686658.058201507</v>
      </c>
      <c r="V52" s="108">
        <f t="shared" si="17"/>
        <v>36300578.939887211</v>
      </c>
      <c r="W52" s="108">
        <f t="shared" si="17"/>
        <v>36838282.566827133</v>
      </c>
      <c r="X52" s="108">
        <f t="shared" si="17"/>
        <v>37406259.084843628</v>
      </c>
      <c r="Y52" s="108">
        <f t="shared" si="17"/>
        <v>38000683.477715366</v>
      </c>
      <c r="Z52" s="108">
        <f t="shared" si="17"/>
        <v>38444298.049283341</v>
      </c>
      <c r="AA52" s="108">
        <f t="shared" si="17"/>
        <v>38963392.5602028</v>
      </c>
      <c r="AB52" s="108">
        <f t="shared" si="17"/>
        <v>39484340.394420885</v>
      </c>
      <c r="AC52" s="108">
        <f t="shared" si="17"/>
        <v>39623346.507423416</v>
      </c>
      <c r="AD52" s="108">
        <f t="shared" si="17"/>
        <v>39868101.078946546</v>
      </c>
      <c r="AE52" s="108">
        <f t="shared" si="17"/>
        <v>39842725.421821475</v>
      </c>
      <c r="AF52" s="108">
        <f t="shared" si="17"/>
        <v>38184601.215533927</v>
      </c>
    </row>
    <row r="54" spans="1:32" ht="15" customHeight="1">
      <c r="R54" s="106"/>
    </row>
  </sheetData>
  <phoneticPr fontId="12" type="noConversion"/>
  <printOptions horizontalCentered="1"/>
  <pageMargins left="1.3779527559055118" right="0.39370078740157483" top="1.1811023622047245" bottom="1.1811023622047245" header="0.31496062992125984" footer="0.31496062992125984"/>
  <pageSetup paperSize="9" scale="2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  <pageSetUpPr fitToPage="1"/>
  </sheetPr>
  <dimension ref="A1:AF38"/>
  <sheetViews>
    <sheetView showGridLines="0" tabSelected="1" zoomScale="115" zoomScaleNormal="115" zoomScalePageLayoutView="150" workbookViewId="0">
      <selection activeCell="A35" sqref="A35"/>
    </sheetView>
  </sheetViews>
  <sheetFormatPr defaultColWidth="8.77734375" defaultRowHeight="15" customHeight="1"/>
  <cols>
    <col min="1" max="1" width="42.44140625" style="116" customWidth="1"/>
    <col min="2" max="2" width="20.77734375" style="121" bestFit="1" customWidth="1"/>
    <col min="3" max="3" width="9.109375" style="116" bestFit="1" customWidth="1"/>
    <col min="4" max="4" width="8.33203125" style="116" bestFit="1" customWidth="1"/>
    <col min="5" max="11" width="9.109375" style="116" bestFit="1" customWidth="1"/>
    <col min="12" max="32" width="8.6640625" style="116" bestFit="1" customWidth="1"/>
    <col min="33" max="16384" width="8.77734375" style="116"/>
  </cols>
  <sheetData>
    <row r="1" spans="1:32" s="22" customFormat="1" ht="17.399999999999999">
      <c r="A1" s="99" t="s">
        <v>387</v>
      </c>
      <c r="B1" s="99"/>
      <c r="C1" s="117"/>
      <c r="D1" s="117"/>
      <c r="E1" s="117"/>
      <c r="F1" s="117"/>
      <c r="G1" s="117"/>
      <c r="H1" s="117"/>
      <c r="I1" s="117"/>
      <c r="J1" s="117"/>
      <c r="K1" s="117"/>
      <c r="L1" s="117"/>
      <c r="N1" s="118"/>
      <c r="O1" s="118"/>
      <c r="P1" s="118"/>
      <c r="Q1" s="119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050"/>
      <c r="AD1" s="1050"/>
      <c r="AE1" s="1050"/>
      <c r="AF1" s="1050"/>
    </row>
    <row r="2" spans="1:32" s="25" customFormat="1" ht="15" customHeight="1">
      <c r="A2" s="101"/>
      <c r="B2" s="101"/>
      <c r="D2" s="120"/>
    </row>
    <row r="3" spans="1:32" s="121" customFormat="1" ht="15" customHeight="1">
      <c r="A3" s="105" t="s">
        <v>8</v>
      </c>
      <c r="B3" s="105" t="s">
        <v>4</v>
      </c>
      <c r="C3" s="105" t="s">
        <v>74</v>
      </c>
      <c r="D3" s="105" t="s">
        <v>73</v>
      </c>
      <c r="E3" s="105" t="s">
        <v>75</v>
      </c>
      <c r="F3" s="105" t="s">
        <v>76</v>
      </c>
      <c r="G3" s="105" t="s">
        <v>77</v>
      </c>
      <c r="H3" s="105" t="s">
        <v>78</v>
      </c>
      <c r="I3" s="105" t="s">
        <v>79</v>
      </c>
      <c r="J3" s="105" t="s">
        <v>80</v>
      </c>
      <c r="K3" s="105" t="s">
        <v>81</v>
      </c>
      <c r="L3" s="105" t="s">
        <v>82</v>
      </c>
      <c r="M3" s="105" t="s">
        <v>83</v>
      </c>
      <c r="N3" s="105" t="s">
        <v>84</v>
      </c>
      <c r="O3" s="105" t="s">
        <v>85</v>
      </c>
      <c r="P3" s="105" t="s">
        <v>86</v>
      </c>
      <c r="Q3" s="105" t="s">
        <v>87</v>
      </c>
      <c r="R3" s="105" t="s">
        <v>88</v>
      </c>
      <c r="S3" s="105" t="s">
        <v>89</v>
      </c>
      <c r="T3" s="105" t="s">
        <v>90</v>
      </c>
      <c r="U3" s="105" t="s">
        <v>91</v>
      </c>
      <c r="V3" s="105" t="s">
        <v>92</v>
      </c>
      <c r="W3" s="105" t="s">
        <v>93</v>
      </c>
      <c r="X3" s="105" t="s">
        <v>94</v>
      </c>
      <c r="Y3" s="105" t="s">
        <v>95</v>
      </c>
      <c r="Z3" s="105" t="s">
        <v>96</v>
      </c>
      <c r="AA3" s="105" t="s">
        <v>97</v>
      </c>
      <c r="AB3" s="105" t="s">
        <v>98</v>
      </c>
      <c r="AC3" s="105" t="s">
        <v>99</v>
      </c>
      <c r="AD3" s="105" t="s">
        <v>100</v>
      </c>
      <c r="AE3" s="105" t="s">
        <v>101</v>
      </c>
      <c r="AF3" s="105" t="s">
        <v>102</v>
      </c>
    </row>
    <row r="4" spans="1:32" s="121" customFormat="1" ht="15" customHeight="1">
      <c r="A4" s="107" t="s">
        <v>36</v>
      </c>
      <c r="B4" s="108">
        <f xml:space="preserve"> SUM( $C4:$AF4 )</f>
        <v>3533007032.9852133</v>
      </c>
      <c r="C4" s="108">
        <f>'DRE Sem Financiamento'!C4</f>
        <v>69035328.977785349</v>
      </c>
      <c r="D4" s="108">
        <f t="shared" ref="D4:AF4" si="0" xml:space="preserve"> ( D$5 )</f>
        <v>69999471.284990028</v>
      </c>
      <c r="E4" s="108">
        <f t="shared" si="0"/>
        <v>71673249.728116661</v>
      </c>
      <c r="F4" s="108">
        <f t="shared" si="0"/>
        <v>80541051.264876887</v>
      </c>
      <c r="G4" s="108">
        <f t="shared" si="0"/>
        <v>89766586.304741919</v>
      </c>
      <c r="H4" s="108">
        <f t="shared" si="0"/>
        <v>98386334.063960373</v>
      </c>
      <c r="I4" s="108">
        <f t="shared" si="0"/>
        <v>103434012.97767884</v>
      </c>
      <c r="J4" s="108">
        <f t="shared" si="0"/>
        <v>108579793.29589942</v>
      </c>
      <c r="K4" s="108">
        <f t="shared" si="0"/>
        <v>113820610.91023666</v>
      </c>
      <c r="L4" s="108">
        <f t="shared" si="0"/>
        <v>115250569.12498172</v>
      </c>
      <c r="M4" s="108">
        <f t="shared" si="0"/>
        <v>116679956.90769733</v>
      </c>
      <c r="N4" s="108">
        <f t="shared" si="0"/>
        <v>118110538.53431644</v>
      </c>
      <c r="O4" s="108">
        <f t="shared" si="0"/>
        <v>119539926.31661256</v>
      </c>
      <c r="P4" s="108">
        <f t="shared" si="0"/>
        <v>120969884.53269316</v>
      </c>
      <c r="Q4" s="108">
        <f t="shared" si="0"/>
        <v>122400313.9526308</v>
      </c>
      <c r="R4" s="108">
        <f t="shared" si="0"/>
        <v>123830272.17093837</v>
      </c>
      <c r="S4" s="108">
        <f t="shared" si="0"/>
        <v>125260821.51458113</v>
      </c>
      <c r="T4" s="108">
        <f t="shared" si="0"/>
        <v>126701188.07746308</v>
      </c>
      <c r="U4" s="108">
        <f t="shared" si="0"/>
        <v>128157333.66510889</v>
      </c>
      <c r="V4" s="108">
        <f t="shared" si="0"/>
        <v>129631613.66098121</v>
      </c>
      <c r="W4" s="108">
        <f t="shared" si="0"/>
        <v>131122799.54854304</v>
      </c>
      <c r="X4" s="108">
        <f t="shared" si="0"/>
        <v>132631259.01206395</v>
      </c>
      <c r="Y4" s="108">
        <f t="shared" si="0"/>
        <v>134156539.12615046</v>
      </c>
      <c r="Z4" s="108">
        <f t="shared" si="0"/>
        <v>135700304.91370463</v>
      </c>
      <c r="AA4" s="108">
        <f t="shared" si="0"/>
        <v>137262988.61433053</v>
      </c>
      <c r="AB4" s="108">
        <f t="shared" si="0"/>
        <v>138841419.0705387</v>
      </c>
      <c r="AC4" s="108">
        <f t="shared" si="0"/>
        <v>140438788.1325992</v>
      </c>
      <c r="AD4" s="108">
        <f t="shared" si="0"/>
        <v>142054622.16839328</v>
      </c>
      <c r="AE4" s="108">
        <f t="shared" si="0"/>
        <v>143688200.9886758</v>
      </c>
      <c r="AF4" s="108">
        <f t="shared" si="0"/>
        <v>145341254.14392287</v>
      </c>
    </row>
    <row r="5" spans="1:32" s="121" customFormat="1" ht="15" customHeight="1">
      <c r="A5" s="123" t="s">
        <v>222</v>
      </c>
      <c r="B5" s="108">
        <f xml:space="preserve"> SUM( $C5:$AF5 )</f>
        <v>3533007032.9852133</v>
      </c>
      <c r="C5" s="108">
        <f t="shared" ref="C5:AF5" si="1">SUM( C$6:C$7 )</f>
        <v>69035328.977785349</v>
      </c>
      <c r="D5" s="108">
        <f t="shared" si="1"/>
        <v>69999471.284990028</v>
      </c>
      <c r="E5" s="108">
        <f t="shared" si="1"/>
        <v>71673249.728116661</v>
      </c>
      <c r="F5" s="108">
        <f t="shared" si="1"/>
        <v>80541051.264876887</v>
      </c>
      <c r="G5" s="108">
        <f t="shared" si="1"/>
        <v>89766586.304741919</v>
      </c>
      <c r="H5" s="108">
        <f t="shared" si="1"/>
        <v>98386334.063960373</v>
      </c>
      <c r="I5" s="108">
        <f t="shared" si="1"/>
        <v>103434012.97767884</v>
      </c>
      <c r="J5" s="108">
        <f t="shared" si="1"/>
        <v>108579793.29589942</v>
      </c>
      <c r="K5" s="108">
        <f t="shared" si="1"/>
        <v>113820610.91023666</v>
      </c>
      <c r="L5" s="108">
        <f t="shared" si="1"/>
        <v>115250569.12498172</v>
      </c>
      <c r="M5" s="108">
        <f t="shared" si="1"/>
        <v>116679956.90769733</v>
      </c>
      <c r="N5" s="108">
        <f t="shared" si="1"/>
        <v>118110538.53431644</v>
      </c>
      <c r="O5" s="108">
        <f t="shared" si="1"/>
        <v>119539926.31661256</v>
      </c>
      <c r="P5" s="108">
        <f t="shared" si="1"/>
        <v>120969884.53269316</v>
      </c>
      <c r="Q5" s="108">
        <f t="shared" si="1"/>
        <v>122400313.9526308</v>
      </c>
      <c r="R5" s="108">
        <f t="shared" si="1"/>
        <v>123830272.17093837</v>
      </c>
      <c r="S5" s="108">
        <f t="shared" si="1"/>
        <v>125260821.51458113</v>
      </c>
      <c r="T5" s="108">
        <f t="shared" si="1"/>
        <v>126701188.07746308</v>
      </c>
      <c r="U5" s="108">
        <f t="shared" si="1"/>
        <v>128157333.66510889</v>
      </c>
      <c r="V5" s="108">
        <f t="shared" si="1"/>
        <v>129631613.66098121</v>
      </c>
      <c r="W5" s="108">
        <f t="shared" si="1"/>
        <v>131122799.54854304</v>
      </c>
      <c r="X5" s="108">
        <f t="shared" si="1"/>
        <v>132631259.01206395</v>
      </c>
      <c r="Y5" s="108">
        <f t="shared" si="1"/>
        <v>134156539.12615046</v>
      </c>
      <c r="Z5" s="108">
        <f t="shared" si="1"/>
        <v>135700304.91370463</v>
      </c>
      <c r="AA5" s="108">
        <f t="shared" si="1"/>
        <v>137262988.61433053</v>
      </c>
      <c r="AB5" s="108">
        <f t="shared" si="1"/>
        <v>138841419.0705387</v>
      </c>
      <c r="AC5" s="108">
        <f t="shared" si="1"/>
        <v>140438788.1325992</v>
      </c>
      <c r="AD5" s="108">
        <f t="shared" si="1"/>
        <v>142054622.16839328</v>
      </c>
      <c r="AE5" s="108">
        <f t="shared" si="1"/>
        <v>143688200.9886758</v>
      </c>
      <c r="AF5" s="108">
        <f t="shared" si="1"/>
        <v>145341254.14392287</v>
      </c>
    </row>
    <row r="6" spans="1:32" ht="15" customHeight="1">
      <c r="A6" s="109" t="s">
        <v>310</v>
      </c>
      <c r="B6" s="110">
        <f xml:space="preserve"> SUM( $C6:$AF6 )</f>
        <v>3433706227.3994746</v>
      </c>
      <c r="C6" s="110">
        <f>( 'DRE Sem Financiamento'!C$5 )</f>
        <v>67094980.793542355</v>
      </c>
      <c r="D6" s="110">
        <f>( 'DRE Sem Financiamento'!D$5 )</f>
        <v>68032024.341273636</v>
      </c>
      <c r="E6" s="110">
        <f>( 'DRE Sem Financiamento'!E$5 )</f>
        <v>69658758.567894965</v>
      </c>
      <c r="F6" s="110">
        <f>( 'DRE Sem Financiamento'!F$5 )</f>
        <v>78277316.378799736</v>
      </c>
      <c r="G6" s="110">
        <f>( 'DRE Sem Financiamento'!G$5 )</f>
        <v>87243553.021332115</v>
      </c>
      <c r="H6" s="110">
        <f>( 'DRE Sem Financiamento'!H$5 )</f>
        <v>95621029.002304763</v>
      </c>
      <c r="I6" s="110">
        <f>( 'DRE Sem Financiamento'!I$5 )</f>
        <v>100526834.83799347</v>
      </c>
      <c r="J6" s="110">
        <f>( 'DRE Sem Financiamento'!J$5 )</f>
        <v>105527984.78152308</v>
      </c>
      <c r="K6" s="110">
        <f>( 'DRE Sem Financiamento'!K$5 )</f>
        <v>110621500.84616826</v>
      </c>
      <c r="L6" s="110">
        <f>( 'DRE Sem Financiamento'!L$5 )</f>
        <v>112011267.80135669</v>
      </c>
      <c r="M6" s="110">
        <f>( 'DRE Sem Financiamento'!M$5 )</f>
        <v>113400480.35741895</v>
      </c>
      <c r="N6" s="110">
        <f>( 'DRE Sem Financiamento'!N$5 )</f>
        <v>114790853.20249498</v>
      </c>
      <c r="O6" s="110">
        <f>( 'DRE Sem Financiamento'!O$5 )</f>
        <v>116180065.75814953</v>
      </c>
      <c r="P6" s="110">
        <f>( 'DRE Sem Financiamento'!P$5 )</f>
        <v>117569832.71463597</v>
      </c>
      <c r="Q6" s="110">
        <f>( 'DRE Sem Financiamento'!Q$5 )</f>
        <v>118960057.63104244</v>
      </c>
      <c r="R6" s="110">
        <f>( 'DRE Sem Financiamento'!R$5 )</f>
        <v>120349824.58969323</v>
      </c>
      <c r="S6" s="110">
        <f>( 'DRE Sem Financiamento'!S$5 )</f>
        <v>121740166.05915754</v>
      </c>
      <c r="T6" s="110">
        <f>( 'DRE Sem Financiamento'!T$5 )</f>
        <v>123140048.81923422</v>
      </c>
      <c r="U6" s="110">
        <f>( 'DRE Sem Financiamento'!U$5 )</f>
        <v>124555267.10938153</v>
      </c>
      <c r="V6" s="110">
        <f>( 'DRE Sem Financiamento'!V$5 )</f>
        <v>125988110.11124781</v>
      </c>
      <c r="W6" s="110">
        <f>( 'DRE Sem Financiamento'!W$5 )</f>
        <v>127437383.83771557</v>
      </c>
      <c r="X6" s="110">
        <f>( 'DRE Sem Financiamento'!X$5 )</f>
        <v>128903445.63870069</v>
      </c>
      <c r="Y6" s="110">
        <f>( 'DRE Sem Financiamento'!Y$5 )</f>
        <v>130385855.31900132</v>
      </c>
      <c r="Z6" s="110">
        <f>( 'DRE Sem Financiamento'!Z$5 )</f>
        <v>131886231.10339142</v>
      </c>
      <c r="AA6" s="110">
        <f>( 'DRE Sem Financiamento'!AA$5 )</f>
        <v>133404993.08269069</v>
      </c>
      <c r="AB6" s="110">
        <f>( 'DRE Sem Financiamento'!AB$5 )</f>
        <v>134939059.22985584</v>
      </c>
      <c r="AC6" s="110">
        <f>( 'DRE Sem Financiamento'!AC$5 )</f>
        <v>136491531.68310708</v>
      </c>
      <c r="AD6" s="110">
        <f>( 'DRE Sem Financiamento'!AD$5 )</f>
        <v>138061950.12251282</v>
      </c>
      <c r="AE6" s="110">
        <f>( 'DRE Sem Financiamento'!AE$5 )</f>
        <v>139649614.60089695</v>
      </c>
      <c r="AF6" s="110">
        <f>( 'DRE Sem Financiamento'!AF$5 )</f>
        <v>141256206.05695704</v>
      </c>
    </row>
    <row r="7" spans="1:32" ht="15" customHeight="1">
      <c r="A7" s="109" t="s">
        <v>251</v>
      </c>
      <c r="B7" s="110">
        <f xml:space="preserve"> SUM( $C7:$AF7 )</f>
        <v>99300805.585738614</v>
      </c>
      <c r="C7" s="110">
        <f>( 'DRE Sem Financiamento'!C$6 )</f>
        <v>1940348.1842429896</v>
      </c>
      <c r="D7" s="110">
        <f>( 'DRE Sem Financiamento'!D$6 )</f>
        <v>1967446.9437163956</v>
      </c>
      <c r="E7" s="110">
        <f>( 'DRE Sem Financiamento'!E$6 )</f>
        <v>2014491.1602216996</v>
      </c>
      <c r="F7" s="110">
        <f>( 'DRE Sem Financiamento'!F$6 )</f>
        <v>2263734.8860771488</v>
      </c>
      <c r="G7" s="110">
        <f>( 'DRE Sem Financiamento'!G$6 )</f>
        <v>2523033.2834098018</v>
      </c>
      <c r="H7" s="110">
        <f>( 'DRE Sem Financiamento'!H$6 )</f>
        <v>2765305.0616556052</v>
      </c>
      <c r="I7" s="110">
        <f>( 'DRE Sem Financiamento'!I$6 )</f>
        <v>2907178.1396853616</v>
      </c>
      <c r="J7" s="110">
        <f>( 'DRE Sem Financiamento'!J$6 )</f>
        <v>3051808.5143763488</v>
      </c>
      <c r="K7" s="110">
        <f>( 'DRE Sem Financiamento'!K$6 )</f>
        <v>3199110.0640683938</v>
      </c>
      <c r="L7" s="110">
        <f>( 'DRE Sem Financiamento'!L$6 )</f>
        <v>3239301.3236250295</v>
      </c>
      <c r="M7" s="110">
        <f>( 'DRE Sem Financiamento'!M$6 )</f>
        <v>3279476.5502783833</v>
      </c>
      <c r="N7" s="110">
        <f>( 'DRE Sem Financiamento'!N$6 )</f>
        <v>3319685.3318214533</v>
      </c>
      <c r="O7" s="110">
        <f>( 'DRE Sem Financiamento'!O$6 )</f>
        <v>3359860.5584630165</v>
      </c>
      <c r="P7" s="110">
        <f>( 'DRE Sem Financiamento'!P$6 )</f>
        <v>3400051.8180571902</v>
      </c>
      <c r="Q7" s="110">
        <f>( 'DRE Sem Financiamento'!Q$6 )</f>
        <v>3440256.3215883733</v>
      </c>
      <c r="R7" s="110">
        <f>( 'DRE Sem Financiamento'!R$6 )</f>
        <v>3480447.5812451392</v>
      </c>
      <c r="S7" s="110">
        <f>( 'DRE Sem Financiamento'!S$6 )</f>
        <v>3520655.4554235968</v>
      </c>
      <c r="T7" s="110">
        <f>( 'DRE Sem Financiamento'!T$6 )</f>
        <v>3561139.2582288478</v>
      </c>
      <c r="U7" s="110">
        <f>( 'DRE Sem Financiamento'!U$6 )</f>
        <v>3602066.5557273678</v>
      </c>
      <c r="V7" s="110">
        <f>( 'DRE Sem Financiamento'!V$6 )</f>
        <v>3643503.5497333948</v>
      </c>
      <c r="W7" s="110">
        <f>( 'DRE Sem Financiamento'!W$6 )</f>
        <v>3685415.7108274694</v>
      </c>
      <c r="X7" s="110">
        <f>( 'DRE Sem Financiamento'!X$6 )</f>
        <v>3727813.3733632532</v>
      </c>
      <c r="Y7" s="110">
        <f>( 'DRE Sem Financiamento'!Y$6 )</f>
        <v>3770683.8071491495</v>
      </c>
      <c r="Z7" s="110">
        <f>( 'DRE Sem Financiamento'!Z$6 )</f>
        <v>3814073.8103131969</v>
      </c>
      <c r="AA7" s="110">
        <f>( 'DRE Sem Financiamento'!AA$6 )</f>
        <v>3857995.5316398423</v>
      </c>
      <c r="AB7" s="110">
        <f>( 'DRE Sem Financiamento'!AB$6 )</f>
        <v>3902359.8406828674</v>
      </c>
      <c r="AC7" s="110">
        <f>( 'DRE Sem Financiamento'!AC$6 )</f>
        <v>3947256.4494921397</v>
      </c>
      <c r="AD7" s="110">
        <f>( 'DRE Sem Financiamento'!AD$6 )</f>
        <v>3992672.0458804751</v>
      </c>
      <c r="AE7" s="110">
        <f>( 'DRE Sem Financiamento'!AE$6 )</f>
        <v>4038586.3877788521</v>
      </c>
      <c r="AF7" s="110">
        <f>( 'DRE Sem Financiamento'!AF$6 )</f>
        <v>4085048.0869658431</v>
      </c>
    </row>
    <row r="8" spans="1:32" ht="15" customHeight="1">
      <c r="A8" s="124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s="121" customFormat="1" ht="15" customHeight="1">
      <c r="A9" s="107" t="s">
        <v>37</v>
      </c>
      <c r="B9" s="108">
        <f xml:space="preserve"> SUM( $C9:$AF9 )</f>
        <v>-2537239365.0762811</v>
      </c>
      <c r="C9" s="108">
        <f>((C$10)+(C$15)+(C$20))</f>
        <v>-51427480.294720247</v>
      </c>
      <c r="D9" s="108">
        <f>((D$10)+(D$15)+(D$20))</f>
        <v>-50940457.307164744</v>
      </c>
      <c r="E9" s="108">
        <f t="shared" ref="E9:AF9" si="2" xml:space="preserve"> ( ( E$10 ) + ( E$15 ) + ( E$20 ) )</f>
        <v>-130018430.26820955</v>
      </c>
      <c r="F9" s="108">
        <f t="shared" si="2"/>
        <v>-110915551.99129531</v>
      </c>
      <c r="G9" s="108">
        <f t="shared" si="2"/>
        <v>-113610383.91480745</v>
      </c>
      <c r="H9" s="108">
        <f t="shared" si="2"/>
        <v>-150295924.51910472</v>
      </c>
      <c r="I9" s="108">
        <f t="shared" si="2"/>
        <v>-116349468.08397833</v>
      </c>
      <c r="J9" s="108">
        <f t="shared" si="2"/>
        <v>-118803737.17672864</v>
      </c>
      <c r="K9" s="108">
        <f t="shared" si="2"/>
        <v>-142289012.38395226</v>
      </c>
      <c r="L9" s="108">
        <f t="shared" si="2"/>
        <v>-68040619.245127365</v>
      </c>
      <c r="M9" s="108">
        <f t="shared" si="2"/>
        <v>-69010826.113539621</v>
      </c>
      <c r="N9" s="108">
        <f t="shared" si="2"/>
        <v>-67640838.503766179</v>
      </c>
      <c r="O9" s="108">
        <f t="shared" si="2"/>
        <v>-68386097.180356279</v>
      </c>
      <c r="P9" s="108">
        <f t="shared" si="2"/>
        <v>-69154900.68457976</v>
      </c>
      <c r="Q9" s="108">
        <f t="shared" si="2"/>
        <v>-69979231.788069129</v>
      </c>
      <c r="R9" s="108">
        <f t="shared" si="2"/>
        <v>-70690116.13246192</v>
      </c>
      <c r="S9" s="108">
        <f t="shared" si="2"/>
        <v>-71397332.332252905</v>
      </c>
      <c r="T9" s="108">
        <f t="shared" si="2"/>
        <v>-72197517.53661409</v>
      </c>
      <c r="U9" s="108">
        <f t="shared" si="2"/>
        <v>-72964014.026044592</v>
      </c>
      <c r="V9" s="108">
        <f t="shared" si="2"/>
        <v>-73748752.181140304</v>
      </c>
      <c r="W9" s="108">
        <f t="shared" si="2"/>
        <v>-74524636.563262179</v>
      </c>
      <c r="X9" s="108">
        <f t="shared" si="2"/>
        <v>-75305617.517099977</v>
      </c>
      <c r="Y9" s="108">
        <f t="shared" si="2"/>
        <v>-76049146.572689712</v>
      </c>
      <c r="Z9" s="108">
        <f t="shared" si="2"/>
        <v>-76931907.967961654</v>
      </c>
      <c r="AA9" s="108">
        <f t="shared" si="2"/>
        <v>-77759109.333501428</v>
      </c>
      <c r="AB9" s="108">
        <f t="shared" si="2"/>
        <v>-78435886.578491509</v>
      </c>
      <c r="AC9" s="108">
        <f t="shared" si="2"/>
        <v>-80427723.723799452</v>
      </c>
      <c r="AD9" s="108">
        <f t="shared" si="2"/>
        <v>-79748850.883070424</v>
      </c>
      <c r="AE9" s="108">
        <f t="shared" si="2"/>
        <v>-80203890.350478008</v>
      </c>
      <c r="AF9" s="108">
        <f t="shared" si="2"/>
        <v>-79991903.922012612</v>
      </c>
    </row>
    <row r="10" spans="1:32" s="121" customFormat="1" ht="15" customHeight="1">
      <c r="A10" s="123" t="s">
        <v>107</v>
      </c>
      <c r="B10" s="108">
        <f xml:space="preserve"> SUM( $C10:$AF10 )</f>
        <v>-1442750223.1204965</v>
      </c>
      <c r="C10" s="108">
        <f xml:space="preserve"> SUM( C$11:C$14 )</f>
        <v>-28694717.404414449</v>
      </c>
      <c r="D10" s="108">
        <f t="shared" ref="D10:AF10" si="3">SUM(D11:D14)</f>
        <v>-28309340.910864975</v>
      </c>
      <c r="E10" s="108">
        <f t="shared" si="3"/>
        <v>-29322423.273818921</v>
      </c>
      <c r="F10" s="108">
        <f t="shared" si="3"/>
        <v>-37255707.431734562</v>
      </c>
      <c r="G10" s="108">
        <f t="shared" si="3"/>
        <v>-39593946.518477522</v>
      </c>
      <c r="H10" s="108">
        <f t="shared" si="3"/>
        <v>-41214154.565663852</v>
      </c>
      <c r="I10" s="108">
        <f t="shared" si="3"/>
        <v>-45377358.154850945</v>
      </c>
      <c r="J10" s="108">
        <f t="shared" si="3"/>
        <v>-45872124.063762151</v>
      </c>
      <c r="K10" s="108">
        <f t="shared" si="3"/>
        <v>-46970882.730950646</v>
      </c>
      <c r="L10" s="108">
        <f t="shared" si="3"/>
        <v>-47265806.817848034</v>
      </c>
      <c r="M10" s="108">
        <f t="shared" si="3"/>
        <v>-48124239.717952505</v>
      </c>
      <c r="N10" s="108">
        <f t="shared" si="3"/>
        <v>-48627604.587948151</v>
      </c>
      <c r="O10" s="108">
        <f t="shared" si="3"/>
        <v>-49075352.636438861</v>
      </c>
      <c r="P10" s="108">
        <f t="shared" si="3"/>
        <v>-49543543.596372306</v>
      </c>
      <c r="Q10" s="108">
        <f t="shared" si="3"/>
        <v>-50048197.282250069</v>
      </c>
      <c r="R10" s="108">
        <f t="shared" si="3"/>
        <v>-50497153.126999877</v>
      </c>
      <c r="S10" s="108">
        <f t="shared" si="3"/>
        <v>-50890740.209536053</v>
      </c>
      <c r="T10" s="108">
        <f t="shared" si="3"/>
        <v>-51399435.581722215</v>
      </c>
      <c r="U10" s="108">
        <f t="shared" si="3"/>
        <v>-51857673.593031697</v>
      </c>
      <c r="V10" s="108">
        <f t="shared" si="3"/>
        <v>-52265911.620743871</v>
      </c>
      <c r="W10" s="108">
        <f t="shared" si="3"/>
        <v>-52791634.034745164</v>
      </c>
      <c r="X10" s="108">
        <f t="shared" si="3"/>
        <v>-53267319.504756294</v>
      </c>
      <c r="Y10" s="108">
        <f t="shared" si="3"/>
        <v>-53693095.893715128</v>
      </c>
      <c r="Z10" s="108">
        <f t="shared" si="3"/>
        <v>-54330882.420300536</v>
      </c>
      <c r="AA10" s="108">
        <f t="shared" si="3"/>
        <v>-54825062.49203331</v>
      </c>
      <c r="AB10" s="108">
        <f t="shared" si="3"/>
        <v>-55268979.20091106</v>
      </c>
      <c r="AC10" s="108">
        <f t="shared" si="3"/>
        <v>-55830786.196490422</v>
      </c>
      <c r="AD10" s="108">
        <f t="shared" si="3"/>
        <v>-56343176.737401001</v>
      </c>
      <c r="AE10" s="108">
        <f t="shared" si="3"/>
        <v>-56805937.028024517</v>
      </c>
      <c r="AF10" s="108">
        <f t="shared" si="3"/>
        <v>-57387035.786737554</v>
      </c>
    </row>
    <row r="11" spans="1:32" ht="15" customHeight="1">
      <c r="A11" s="126" t="s">
        <v>108</v>
      </c>
      <c r="B11" s="110">
        <f xml:space="preserve"> SUM( $C11:$AF11 )</f>
        <v>-950367062.74857318</v>
      </c>
      <c r="C11" s="110">
        <f>'DRE Sem Financiamento'!C16</f>
        <v>-17976465.604635742</v>
      </c>
      <c r="D11" s="110">
        <f xml:space="preserve"> ( 'DRE Sem Financiamento'!D$16 )</f>
        <v>-17813141.800160069</v>
      </c>
      <c r="E11" s="110">
        <f xml:space="preserve"> ( 'DRE Sem Financiamento'!E$16 )</f>
        <v>-18629319.974964108</v>
      </c>
      <c r="F11" s="110">
        <f xml:space="preserve"> ( 'DRE Sem Financiamento'!F$16 )</f>
        <v>-25612394.982865497</v>
      </c>
      <c r="G11" s="110">
        <f xml:space="preserve"> ( 'DRE Sem Financiamento'!G$16 )</f>
        <v>-26697540.615047928</v>
      </c>
      <c r="H11" s="110">
        <f xml:space="preserve"> ( 'DRE Sem Financiamento'!H$16 )</f>
        <v>-27331393.546754453</v>
      </c>
      <c r="I11" s="110">
        <f xml:space="preserve"> ( 'DRE Sem Financiamento'!I$16 )</f>
        <v>-30804628.741467137</v>
      </c>
      <c r="J11" s="110">
        <f xml:space="preserve"> ( 'DRE Sem Financiamento'!J$16 )</f>
        <v>-30709185.347855121</v>
      </c>
      <c r="K11" s="110">
        <f xml:space="preserve"> ( 'DRE Sem Financiamento'!K$16 )</f>
        <v>-31206848.778565194</v>
      </c>
      <c r="L11" s="110">
        <f xml:space="preserve"> ( 'DRE Sem Financiamento'!L$16 )</f>
        <v>-31349274.271775264</v>
      </c>
      <c r="M11" s="110">
        <f xml:space="preserve"> ( 'DRE Sem Financiamento'!M$16 )</f>
        <v>-31724343.105921619</v>
      </c>
      <c r="N11" s="110">
        <f xml:space="preserve"> ( 'DRE Sem Financiamento'!N$16 )</f>
        <v>-32063701.754229955</v>
      </c>
      <c r="O11" s="110">
        <f xml:space="preserve"> ( 'DRE Sem Financiamento'!O$16 )</f>
        <v>-32347587.607047524</v>
      </c>
      <c r="P11" s="110">
        <f xml:space="preserve"> ( 'DRE Sem Financiamento'!P$16 )</f>
        <v>-32651845.683640402</v>
      </c>
      <c r="Q11" s="110">
        <f xml:space="preserve"> ( 'DRE Sem Financiamento'!Q$16 )</f>
        <v>-32992512.764806084</v>
      </c>
      <c r="R11" s="110">
        <f xml:space="preserve"> ( 'DRE Sem Financiamento'!R$16 )</f>
        <v>-33277538.850866288</v>
      </c>
      <c r="S11" s="110">
        <f xml:space="preserve"> ( 'DRE Sem Financiamento'!S$16 )</f>
        <v>-33507125.220808469</v>
      </c>
      <c r="T11" s="110">
        <f xml:space="preserve"> ( 'DRE Sem Financiamento'!T$16 )</f>
        <v>-33850666.750872895</v>
      </c>
      <c r="U11" s="110">
        <f xml:space="preserve"> ( 'DRE Sem Financiamento'!U$16 )</f>
        <v>-34141924.118835151</v>
      </c>
      <c r="V11" s="110">
        <f xml:space="preserve"> ( 'DRE Sem Financiamento'!V$16 )</f>
        <v>-34381095.498825237</v>
      </c>
      <c r="W11" s="110">
        <f xml:space="preserve"> ( 'DRE Sem Financiamento'!W$16 )</f>
        <v>-34735816.850220166</v>
      </c>
      <c r="X11" s="110">
        <f xml:space="preserve"> ( 'DRE Sem Financiamento'!X$16 )</f>
        <v>-35038519.902617589</v>
      </c>
      <c r="Y11" s="110">
        <f xml:space="preserve"> ( 'DRE Sem Financiamento'!Y$16 )</f>
        <v>-35289386.904392891</v>
      </c>
      <c r="Z11" s="110">
        <f xml:space="preserve"> ( 'DRE Sem Financiamento'!Z$16 )</f>
        <v>-35656023.841267124</v>
      </c>
      <c r="AA11" s="110">
        <f xml:space="preserve"> ( 'DRE Sem Financiamento'!AA$16 )</f>
        <v>-35971000.266932391</v>
      </c>
      <c r="AB11" s="110">
        <f xml:space="preserve"> ( 'DRE Sem Financiamento'!AB$16 )</f>
        <v>-36233917.626762338</v>
      </c>
      <c r="AC11" s="110">
        <f xml:space="preserve"> ( 'DRE Sem Financiamento'!AC$16 )</f>
        <v>-36612544.565874167</v>
      </c>
      <c r="AD11" s="110">
        <f xml:space="preserve"> ( 'DRE Sem Financiamento'!AD$16 )</f>
        <v>-36939639.636783183</v>
      </c>
      <c r="AE11" s="110">
        <f xml:space="preserve"> ( 'DRE Sem Financiamento'!AE$16 )</f>
        <v>-37215072.346421398</v>
      </c>
      <c r="AF11" s="110">
        <f xml:space="preserve"> ( 'DRE Sem Financiamento'!AF$16 )</f>
        <v>-37606605.787357822</v>
      </c>
    </row>
    <row r="12" spans="1:32" ht="15" customHeight="1">
      <c r="A12" s="126" t="s">
        <v>110</v>
      </c>
      <c r="B12" s="110">
        <f t="shared" ref="B12:B14" si="4" xml:space="preserve"> SUM( $C12:$AF12 )</f>
        <v>-88154764.11171478</v>
      </c>
      <c r="C12" s="110">
        <f xml:space="preserve"> ( 'DRE Sem Financiamento'!C$28 )</f>
        <v>-2300230.9636848597</v>
      </c>
      <c r="D12" s="110">
        <f xml:space="preserve"> ( 'DRE Sem Financiamento'!D$28 )</f>
        <v>-2300772.9388743276</v>
      </c>
      <c r="E12" s="110">
        <f xml:space="preserve"> ( 'DRE Sem Financiamento'!E$28 )</f>
        <v>-2301713.8232044335</v>
      </c>
      <c r="F12" s="110">
        <f xml:space="preserve"> ( 'DRE Sem Financiamento'!F$28 )</f>
        <v>-2428714.6977215428</v>
      </c>
      <c r="G12" s="110">
        <f xml:space="preserve"> ( 'DRE Sem Financiamento'!G$28 )</f>
        <v>-2628300.665668196</v>
      </c>
      <c r="H12" s="110">
        <f xml:space="preserve"> ( 'DRE Sem Financiamento'!H$28 )</f>
        <v>-2633146.1012331117</v>
      </c>
      <c r="I12" s="110">
        <f xml:space="preserve"> ( 'DRE Sem Financiamento'!I$28 )</f>
        <v>-2757999.5627937075</v>
      </c>
      <c r="J12" s="110">
        <f xml:space="preserve"> ( 'DRE Sem Financiamento'!J$28 )</f>
        <v>-2760892.1702875271</v>
      </c>
      <c r="K12" s="110">
        <f xml:space="preserve"> ( 'DRE Sem Financiamento'!K$28 )</f>
        <v>-2763838.2012813678</v>
      </c>
      <c r="L12" s="110">
        <f xml:space="preserve"> ( 'DRE Sem Financiamento'!L$28 )</f>
        <v>-2764642.0264725005</v>
      </c>
      <c r="M12" s="110">
        <f xml:space="preserve"> ( 'DRE Sem Financiamento'!M$28 )</f>
        <v>-3084945.5310055679</v>
      </c>
      <c r="N12" s="110">
        <f xml:space="preserve"> ( 'DRE Sem Financiamento'!N$28 )</f>
        <v>-3085749.7066364288</v>
      </c>
      <c r="O12" s="110">
        <f xml:space="preserve"> ( 'DRE Sem Financiamento'!O$28 )</f>
        <v>-3086553.2111692606</v>
      </c>
      <c r="P12" s="110">
        <f xml:space="preserve"> ( 'DRE Sem Financiamento'!P$28 )</f>
        <v>-3087357.0363611439</v>
      </c>
      <c r="Q12" s="110">
        <f xml:space="preserve"> ( 'DRE Sem Financiamento'!Q$28 )</f>
        <v>-3088161.1264317678</v>
      </c>
      <c r="R12" s="110">
        <f xml:space="preserve"> ( 'DRE Sem Financiamento'!R$28 )</f>
        <v>-3088964.9516249029</v>
      </c>
      <c r="S12" s="110">
        <f xml:space="preserve"> ( 'DRE Sem Financiamento'!S$28 )</f>
        <v>-3089769.1091084722</v>
      </c>
      <c r="T12" s="110">
        <f xml:space="preserve"> ( 'DRE Sem Financiamento'!T$28 )</f>
        <v>-3090578.785164577</v>
      </c>
      <c r="U12" s="110">
        <f xml:space="preserve"> ( 'DRE Sem Financiamento'!U$28 )</f>
        <v>-3091397.3311145473</v>
      </c>
      <c r="V12" s="110">
        <f xml:space="preserve"> ( 'DRE Sem Financiamento'!V$28 )</f>
        <v>-3092226.0709946677</v>
      </c>
      <c r="W12" s="110">
        <f xml:space="preserve"> ( 'DRE Sem Financiamento'!W$28 )</f>
        <v>-3093064.3142165495</v>
      </c>
      <c r="X12" s="110">
        <f xml:space="preserve"> ( 'DRE Sem Financiamento'!X$28 )</f>
        <v>-3093912.267467265</v>
      </c>
      <c r="Y12" s="110">
        <f xml:space="preserve"> ( 'DRE Sem Financiamento'!Y$28 )</f>
        <v>-3094769.6761429831</v>
      </c>
      <c r="Z12" s="110">
        <f xml:space="preserve"> ( 'DRE Sem Financiamento'!Z$28 )</f>
        <v>-3189753.4762062635</v>
      </c>
      <c r="AA12" s="110">
        <f xml:space="preserve"> ( 'DRE Sem Financiamento'!AA$28 )</f>
        <v>-3190631.9106327966</v>
      </c>
      <c r="AB12" s="110">
        <f xml:space="preserve"> ( 'DRE Sem Financiamento'!AB$28 )</f>
        <v>-3191519.1968136569</v>
      </c>
      <c r="AC12" s="110">
        <f xml:space="preserve"> ( 'DRE Sem Financiamento'!AC$28 )</f>
        <v>-3192417.1289898427</v>
      </c>
      <c r="AD12" s="110">
        <f xml:space="preserve"> ( 'DRE Sem Financiamento'!AD$28 )</f>
        <v>-3193325.4409176093</v>
      </c>
      <c r="AE12" s="110">
        <f xml:space="preserve"> ( 'DRE Sem Financiamento'!AE$28 )</f>
        <v>-3194243.7277555773</v>
      </c>
      <c r="AF12" s="110">
        <f xml:space="preserve"> ( 'DRE Sem Financiamento'!AF$28 )</f>
        <v>-3195172.9617393166</v>
      </c>
    </row>
    <row r="13" spans="1:32" ht="15" customHeight="1">
      <c r="A13" s="126" t="s">
        <v>109</v>
      </c>
      <c r="B13" s="110">
        <f t="shared" si="4"/>
        <v>-352387327.94524884</v>
      </c>
      <c r="C13" s="110">
        <f xml:space="preserve"> ( 'DRE Sem Financiamento'!C$8 )</f>
        <v>-7076121.2202229975</v>
      </c>
      <c r="D13" s="110">
        <f xml:space="preserve"> ( 'DRE Sem Financiamento'!D$8 )</f>
        <v>-7174945.8067114782</v>
      </c>
      <c r="E13" s="110">
        <f xml:space="preserve"> ( 'DRE Sem Financiamento'!E$8 )</f>
        <v>-7346508.0971319573</v>
      </c>
      <c r="F13" s="110">
        <f xml:space="preserve"> ( 'DRE Sem Financiamento'!F$8 )</f>
        <v>-8040438.0054655308</v>
      </c>
      <c r="G13" s="110">
        <f xml:space="preserve"> ( 'DRE Sem Financiamento'!G$8 )</f>
        <v>-8959451.942441415</v>
      </c>
      <c r="H13" s="110">
        <f xml:space="preserve"> ( 'DRE Sem Financiamento'!H$8 )</f>
        <v>-9815299.4826417118</v>
      </c>
      <c r="I13" s="110">
        <f xml:space="preserve"> ( 'DRE Sem Financiamento'!I$8 )</f>
        <v>-10306827.3280202</v>
      </c>
      <c r="J13" s="110">
        <f xml:space="preserve"> ( 'DRE Sem Financiamento'!J$8 )</f>
        <v>-10819126.773896653</v>
      </c>
      <c r="K13" s="110">
        <f xml:space="preserve"> ( 'DRE Sem Financiamento'!K$8 )</f>
        <v>-11340873.238411561</v>
      </c>
      <c r="L13" s="110">
        <f xml:space="preserve"> ( 'DRE Sem Financiamento'!L$8 )</f>
        <v>-11471721.502579916</v>
      </c>
      <c r="M13" s="110">
        <f xml:space="preserve"> ( 'DRE Sem Financiamento'!M$8 )</f>
        <v>-11613943.875664033</v>
      </c>
      <c r="N13" s="110">
        <f xml:space="preserve"> ( 'DRE Sem Financiamento'!N$8 )</f>
        <v>-11756290.329044344</v>
      </c>
      <c r="O13" s="110">
        <f xml:space="preserve"> ( 'DRE Sem Financiamento'!O$8 )</f>
        <v>-11898510.831849838</v>
      </c>
      <c r="P13" s="110">
        <f xml:space="preserve"> ( 'DRE Sem Financiamento'!P$8 )</f>
        <v>-12040793.385651212</v>
      </c>
      <c r="Q13" s="110">
        <f xml:space="preserve"> ( 'DRE Sem Financiamento'!Q$8 )</f>
        <v>-12183122.526546577</v>
      </c>
      <c r="R13" s="110">
        <f xml:space="preserve"> ( 'DRE Sem Financiamento'!R$8 )</f>
        <v>-12325401.955663292</v>
      </c>
      <c r="S13" s="110">
        <f xml:space="preserve"> ( 'DRE Sem Financiamento'!S$8 )</f>
        <v>-12467743.388731752</v>
      </c>
      <c r="T13" s="110">
        <f xml:space="preserve"> ( 'DRE Sem Financiamento'!T$8 )</f>
        <v>-12611089.313396223</v>
      </c>
      <c r="U13" s="110">
        <f xml:space="preserve"> ( 'DRE Sem Financiamento'!U$8 )</f>
        <v>-12756023.136441274</v>
      </c>
      <c r="V13" s="110">
        <f xml:space="preserve"> ( 'DRE Sem Financiamento'!V$8 )</f>
        <v>-12902768.399255246</v>
      </c>
      <c r="W13" s="110">
        <f xml:space="preserve"> ( 'DRE Sem Financiamento'!W$8 )</f>
        <v>-13051192.112742716</v>
      </c>
      <c r="X13" s="110">
        <f xml:space="preserve"> ( 'DRE Sem Financiamento'!X$8 )</f>
        <v>-13201335.650090924</v>
      </c>
      <c r="Y13" s="110">
        <f xml:space="preserve"> ( 'DRE Sem Financiamento'!Y$8 )</f>
        <v>-13353151.483394232</v>
      </c>
      <c r="Z13" s="110">
        <f xml:space="preserve"> ( 'DRE Sem Financiamento'!Z$8 )</f>
        <v>-13506811.636276273</v>
      </c>
      <c r="AA13" s="110">
        <f xml:space="preserve"> ( 'DRE Sem Financiamento'!AA$8 )</f>
        <v>-13662355.418227766</v>
      </c>
      <c r="AB13" s="110">
        <f xml:space="preserve"> ( 'DRE Sem Financiamento'!AB$8 )</f>
        <v>-13819456.488887224</v>
      </c>
      <c r="AC13" s="110">
        <f xml:space="preserve"> ( 'DRE Sem Financiamento'!AC$8 )</f>
        <v>-13978451.526379803</v>
      </c>
      <c r="AD13" s="110">
        <f xml:space="preserve"> ( 'DRE Sem Financiamento'!AD$8 )</f>
        <v>-14139282.407862514</v>
      </c>
      <c r="AE13" s="110">
        <f xml:space="preserve"> ( 'DRE Sem Financiamento'!AE$8 )</f>
        <v>-14301876.734834092</v>
      </c>
      <c r="AF13" s="110">
        <f xml:space="preserve"> ( 'DRE Sem Financiamento'!AF$8 )</f>
        <v>-14466413.946786065</v>
      </c>
    </row>
    <row r="14" spans="1:32" ht="15" customHeight="1">
      <c r="A14" s="126" t="s">
        <v>1218</v>
      </c>
      <c r="B14" s="110">
        <f t="shared" si="4"/>
        <v>-51841068.314959832</v>
      </c>
      <c r="C14" s="110">
        <f xml:space="preserve"> ( 'DRE Sem Financiamento'!C$34 )</f>
        <v>-1341899.6158708471</v>
      </c>
      <c r="D14" s="110">
        <f xml:space="preserve"> ( 'DRE Sem Financiamento'!D$34 )</f>
        <v>-1020480.3651191045</v>
      </c>
      <c r="E14" s="110">
        <f xml:space="preserve"> ( 'DRE Sem Financiamento'!E$34 )</f>
        <v>-1044881.3785184245</v>
      </c>
      <c r="F14" s="110">
        <f xml:space="preserve"> ( 'DRE Sem Financiamento'!F$34 )</f>
        <v>-1174159.745681996</v>
      </c>
      <c r="G14" s="110">
        <f xml:space="preserve"> ( 'DRE Sem Financiamento'!G$34 )</f>
        <v>-1308653.2953199816</v>
      </c>
      <c r="H14" s="110">
        <f xml:space="preserve"> ( 'DRE Sem Financiamento'!H$34 )</f>
        <v>-1434315.4350345714</v>
      </c>
      <c r="I14" s="110">
        <f xml:space="preserve"> ( 'DRE Sem Financiamento'!I$34 )</f>
        <v>-1507902.522569902</v>
      </c>
      <c r="J14" s="110">
        <f xml:space="preserve"> ( 'DRE Sem Financiamento'!J$34 )</f>
        <v>-1582919.7717228462</v>
      </c>
      <c r="K14" s="110">
        <f xml:space="preserve"> ( 'DRE Sem Financiamento'!K$34 )</f>
        <v>-1659322.5126925239</v>
      </c>
      <c r="L14" s="110">
        <f xml:space="preserve"> ( 'DRE Sem Financiamento'!L$34 )</f>
        <v>-1680169.0170203503</v>
      </c>
      <c r="M14" s="110">
        <f xml:space="preserve"> ( 'DRE Sem Financiamento'!M$34 )</f>
        <v>-1701007.2053612843</v>
      </c>
      <c r="N14" s="110">
        <f xml:space="preserve"> ( 'DRE Sem Financiamento'!N$34 )</f>
        <v>-1721862.7980374247</v>
      </c>
      <c r="O14" s="110">
        <f xml:space="preserve"> ( 'DRE Sem Financiamento'!O$34 )</f>
        <v>-1742700.9863722429</v>
      </c>
      <c r="P14" s="110">
        <f xml:space="preserve"> ( 'DRE Sem Financiamento'!P$34 )</f>
        <v>-1763547.4907195393</v>
      </c>
      <c r="Q14" s="110">
        <f xml:space="preserve"> ( 'DRE Sem Financiamento'!Q$34 )</f>
        <v>-1784400.8644656364</v>
      </c>
      <c r="R14" s="110">
        <f xml:space="preserve"> ( 'DRE Sem Financiamento'!R$34 )</f>
        <v>-1805247.3688453985</v>
      </c>
      <c r="S14" s="110">
        <f xml:space="preserve"> ( 'DRE Sem Financiamento'!S$34 )</f>
        <v>-1826102.490887363</v>
      </c>
      <c r="T14" s="110">
        <f xml:space="preserve"> ( 'DRE Sem Financiamento'!T$34 )</f>
        <v>-1847100.7322885133</v>
      </c>
      <c r="U14" s="110">
        <f xml:space="preserve"> ( 'DRE Sem Financiamento'!U$34 )</f>
        <v>-1868329.0066407227</v>
      </c>
      <c r="V14" s="110">
        <f xml:space="preserve"> ( 'DRE Sem Financiamento'!V$34 )</f>
        <v>-1889821.6516687172</v>
      </c>
      <c r="W14" s="110">
        <f xml:space="preserve"> ( 'DRE Sem Financiamento'!W$34 )</f>
        <v>-1911560.7575657335</v>
      </c>
      <c r="X14" s="110">
        <f xml:space="preserve"> ( 'DRE Sem Financiamento'!X$34 )</f>
        <v>-1933551.6845805102</v>
      </c>
      <c r="Y14" s="110">
        <f xml:space="preserve"> ( 'DRE Sem Financiamento'!Y$34 )</f>
        <v>-1955787.8297850196</v>
      </c>
      <c r="Z14" s="110">
        <f xml:space="preserve"> ( 'DRE Sem Financiamento'!Z$34 )</f>
        <v>-1978293.4665508713</v>
      </c>
      <c r="AA14" s="110">
        <f xml:space="preserve"> ( 'DRE Sem Financiamento'!AA$34 )</f>
        <v>-2001074.8962403601</v>
      </c>
      <c r="AB14" s="110">
        <f xml:space="preserve"> ( 'DRE Sem Financiamento'!AB$34 )</f>
        <v>-2024085.8884478374</v>
      </c>
      <c r="AC14" s="110">
        <f xml:space="preserve"> ( 'DRE Sem Financiamento'!AC$34 )</f>
        <v>-2047372.9752466062</v>
      </c>
      <c r="AD14" s="110">
        <f xml:space="preserve"> ( 'DRE Sem Financiamento'!AD$34 )</f>
        <v>-2070929.2518376922</v>
      </c>
      <c r="AE14" s="110">
        <f xml:space="preserve"> ( 'DRE Sem Financiamento'!AE$34 )</f>
        <v>-2094744.2190134542</v>
      </c>
      <c r="AF14" s="110">
        <f xml:space="preserve"> ( 'DRE Sem Financiamento'!AF$34 )</f>
        <v>-2118843.0908543556</v>
      </c>
    </row>
    <row r="15" spans="1:32" s="121" customFormat="1" ht="15" customHeight="1">
      <c r="A15" s="123" t="s">
        <v>114</v>
      </c>
      <c r="B15" s="108">
        <f xml:space="preserve"> SUM( $C15:$AF15 )</f>
        <v>-578775588.14027297</v>
      </c>
      <c r="C15" s="108">
        <f t="shared" ref="C15:AF15" si="5" xml:space="preserve"> SUM( C$16:C$18 )</f>
        <v>-9108799.0352727864</v>
      </c>
      <c r="D15" s="108">
        <f t="shared" si="5"/>
        <v>-8671659.2949999999</v>
      </c>
      <c r="E15" s="108">
        <f t="shared" si="5"/>
        <v>-87631913.355000004</v>
      </c>
      <c r="F15" s="108">
        <f t="shared" si="5"/>
        <v>-61103204.379999995</v>
      </c>
      <c r="G15" s="108">
        <f t="shared" si="5"/>
        <v>-59957174.640000001</v>
      </c>
      <c r="H15" s="108">
        <f t="shared" si="5"/>
        <v>-93976055.175000012</v>
      </c>
      <c r="I15" s="108">
        <f t="shared" si="5"/>
        <v>-56355816.505000003</v>
      </c>
      <c r="J15" s="108">
        <f t="shared" si="5"/>
        <v>-57576149.625</v>
      </c>
      <c r="K15" s="108">
        <f t="shared" si="5"/>
        <v>-79777476.835000008</v>
      </c>
      <c r="L15" s="108">
        <f t="shared" si="5"/>
        <v>-4916440.7</v>
      </c>
      <c r="M15" s="108">
        <f t="shared" si="5"/>
        <v>-4899337.34</v>
      </c>
      <c r="N15" s="108">
        <f t="shared" si="5"/>
        <v>-2740582.5100000002</v>
      </c>
      <c r="O15" s="108">
        <f t="shared" si="5"/>
        <v>-2734416.5150000006</v>
      </c>
      <c r="P15" s="108">
        <f t="shared" si="5"/>
        <v>-2739203.8900000006</v>
      </c>
      <c r="Q15" s="108">
        <f t="shared" si="5"/>
        <v>-2776440.9750000001</v>
      </c>
      <c r="R15" s="108">
        <f t="shared" si="5"/>
        <v>-2738521.8250000002</v>
      </c>
      <c r="S15" s="108">
        <f t="shared" si="5"/>
        <v>-2734931.9450000003</v>
      </c>
      <c r="T15" s="108">
        <f t="shared" si="5"/>
        <v>-2747928.9400000004</v>
      </c>
      <c r="U15" s="108">
        <f t="shared" si="5"/>
        <v>-2758668.1</v>
      </c>
      <c r="V15" s="108">
        <f t="shared" si="5"/>
        <v>-2818905.9550000001</v>
      </c>
      <c r="W15" s="108">
        <f t="shared" si="5"/>
        <v>-2792069.085</v>
      </c>
      <c r="X15" s="108">
        <f t="shared" si="5"/>
        <v>-2804770.6050000004</v>
      </c>
      <c r="Y15" s="108">
        <f t="shared" si="5"/>
        <v>-2816304.6450000005</v>
      </c>
      <c r="Z15" s="108">
        <f t="shared" si="5"/>
        <v>-2832750.7949999999</v>
      </c>
      <c r="AA15" s="108">
        <f t="shared" si="5"/>
        <v>-2898359.7650000001</v>
      </c>
      <c r="AB15" s="108">
        <f t="shared" si="5"/>
        <v>-2862853.2350000003</v>
      </c>
      <c r="AC15" s="108">
        <f t="shared" si="5"/>
        <v>-4221274.1749999998</v>
      </c>
      <c r="AD15" s="108">
        <f t="shared" si="5"/>
        <v>-2903925.1050000004</v>
      </c>
      <c r="AE15" s="108">
        <f t="shared" si="5"/>
        <v>-2909276.5900000003</v>
      </c>
      <c r="AF15" s="108">
        <f t="shared" si="5"/>
        <v>-2970376.6</v>
      </c>
    </row>
    <row r="16" spans="1:32" ht="15" customHeight="1">
      <c r="A16" s="126" t="s">
        <v>311</v>
      </c>
      <c r="B16" s="110">
        <f xml:space="preserve"> SUM( $C16:$AF16 )</f>
        <v>-87937084.49027279</v>
      </c>
      <c r="C16" s="110">
        <f>-Investimento!D5</f>
        <v>-6465501.3452727869</v>
      </c>
      <c r="D16" s="110">
        <f>-Investimento!E5</f>
        <v>-5628361.6050000004</v>
      </c>
      <c r="E16" s="110">
        <f>-Investimento!F5</f>
        <v>-12195088.605</v>
      </c>
      <c r="F16" s="110">
        <f>-Investimento!G5</f>
        <v>-5218020.6050000004</v>
      </c>
      <c r="G16" s="110">
        <f>-Investimento!H5</f>
        <v>-3754221.915</v>
      </c>
      <c r="H16" s="110">
        <f>-Investimento!I5</f>
        <v>-6057401.4000000004</v>
      </c>
      <c r="I16" s="110">
        <f>-Investimento!J5</f>
        <v>-3567654.915</v>
      </c>
      <c r="J16" s="110">
        <f>-Investimento!K5</f>
        <v>-3595734.915</v>
      </c>
      <c r="K16" s="110">
        <f>-Investimento!L5</f>
        <v>-3623814.915</v>
      </c>
      <c r="L16" s="110">
        <f>-Investimento!M5</f>
        <v>-3651894.915</v>
      </c>
      <c r="M16" s="110">
        <f>-Investimento!N5</f>
        <v>-3679071.78</v>
      </c>
      <c r="N16" s="110">
        <f>-Investimento!O5</f>
        <v>-1514766.7800000003</v>
      </c>
      <c r="O16" s="110">
        <f>-Investimento!P5</f>
        <v>-1514766.7800000003</v>
      </c>
      <c r="P16" s="110">
        <f>-Investimento!Q5</f>
        <v>-1514042.2800000003</v>
      </c>
      <c r="Q16" s="110">
        <f>-Investimento!R5</f>
        <v>-1515521.2950000002</v>
      </c>
      <c r="R16" s="110">
        <f>-Investimento!S5</f>
        <v>-1514776.0950000002</v>
      </c>
      <c r="S16" s="110">
        <f>-Investimento!T5</f>
        <v>-1514012.2650000001</v>
      </c>
      <c r="T16" s="110">
        <f>-Investimento!U5</f>
        <v>-1517664.7800000003</v>
      </c>
      <c r="U16" s="110">
        <f>-Investimento!V5</f>
        <v>-1521386.6400000001</v>
      </c>
      <c r="V16" s="110">
        <f>-Investimento!W5</f>
        <v>-1525164.3900000001</v>
      </c>
      <c r="W16" s="110">
        <f>-Investimento!X5</f>
        <v>-1530390.105</v>
      </c>
      <c r="X16" s="110">
        <f>-Investimento!Y5</f>
        <v>-1533451.6350000002</v>
      </c>
      <c r="Y16" s="110">
        <f>-Investimento!Z5</f>
        <v>-1538707.3650000002</v>
      </c>
      <c r="Z16" s="110">
        <f>-Investimento!AA5</f>
        <v>-1543942.395</v>
      </c>
      <c r="AA16" s="110">
        <f>-Investimento!AB5</f>
        <v>-1548461.2050000001</v>
      </c>
      <c r="AB16" s="110">
        <f>-Investimento!AC5</f>
        <v>-1552226.5350000001</v>
      </c>
      <c r="AC16" s="110">
        <f>-Investimento!AD5</f>
        <v>-2901503.25</v>
      </c>
      <c r="AD16" s="110">
        <f>-Investimento!AE5</f>
        <v>-1562002.11</v>
      </c>
      <c r="AE16" s="110">
        <f>-Investimento!AF5</f>
        <v>-1565766.4050000003</v>
      </c>
      <c r="AF16" s="110">
        <f>-Investimento!AG5</f>
        <v>-1571765.2650000001</v>
      </c>
    </row>
    <row r="17" spans="1:32" ht="15" customHeight="1">
      <c r="A17" s="126" t="s">
        <v>136</v>
      </c>
      <c r="B17" s="110">
        <f t="shared" ref="B17:B18" si="6" xml:space="preserve"> SUM( $C17:$AF17 )</f>
        <v>-483397508.2700001</v>
      </c>
      <c r="C17" s="110">
        <f>-Investimento!D6</f>
        <v>-82800</v>
      </c>
      <c r="D17" s="110">
        <f>-Investimento!E6</f>
        <v>-82800</v>
      </c>
      <c r="E17" s="110">
        <f>-Investimento!F6</f>
        <v>-75376824.75</v>
      </c>
      <c r="F17" s="110">
        <f>-Investimento!G6</f>
        <v>-55825183.774999999</v>
      </c>
      <c r="G17" s="110">
        <f>-Investimento!H6</f>
        <v>-56102952.725000001</v>
      </c>
      <c r="H17" s="110">
        <f>-Investimento!I6</f>
        <v>-87858653.775000006</v>
      </c>
      <c r="I17" s="110">
        <f>-Investimento!J6</f>
        <v>-52728161.590000004</v>
      </c>
      <c r="J17" s="110">
        <f>-Investimento!K6</f>
        <v>-53920414.710000001</v>
      </c>
      <c r="K17" s="110">
        <f>-Investimento!L6</f>
        <v>-76093661.920000002</v>
      </c>
      <c r="L17" s="110">
        <f>-Investimento!M6</f>
        <v>-1164545.7849999999</v>
      </c>
      <c r="M17" s="110">
        <f>-Investimento!N6</f>
        <v>-1160265.56</v>
      </c>
      <c r="N17" s="110">
        <f>-Investimento!O6</f>
        <v>-1165815.73</v>
      </c>
      <c r="O17" s="110">
        <f>-Investimento!P6</f>
        <v>-1159649.7350000001</v>
      </c>
      <c r="P17" s="110">
        <f>-Investimento!Q6</f>
        <v>-1165161.6100000001</v>
      </c>
      <c r="Q17" s="110">
        <f>-Investimento!R6</f>
        <v>-1160919.68</v>
      </c>
      <c r="R17" s="110">
        <f>-Investimento!S6</f>
        <v>-1163745.73</v>
      </c>
      <c r="S17" s="110">
        <f>-Investimento!T6</f>
        <v>-1160919.68</v>
      </c>
      <c r="T17" s="110">
        <f>-Investimento!U6</f>
        <v>-1170264.1599999999</v>
      </c>
      <c r="U17" s="110">
        <f>-Investimento!V6</f>
        <v>-1177281.46</v>
      </c>
      <c r="V17" s="110">
        <f>-Investimento!W6</f>
        <v>-1193741.5649999999</v>
      </c>
      <c r="W17" s="110">
        <f>-Investimento!X6</f>
        <v>-1201678.98</v>
      </c>
      <c r="X17" s="110">
        <f>-Investimento!Y6</f>
        <v>-1211318.97</v>
      </c>
      <c r="Y17" s="110">
        <f>-Investimento!Z6</f>
        <v>-1217597.28</v>
      </c>
      <c r="Z17" s="110">
        <f>-Investimento!AA6</f>
        <v>-1228808.3999999999</v>
      </c>
      <c r="AA17" s="110">
        <f>-Investimento!AB6</f>
        <v>-1249898.56</v>
      </c>
      <c r="AB17" s="110">
        <f>-Investimento!AC6</f>
        <v>-1250626.7</v>
      </c>
      <c r="AC17" s="110">
        <f>-Investimento!AD6</f>
        <v>-1259770.925</v>
      </c>
      <c r="AD17" s="110">
        <f>-Investimento!AE6</f>
        <v>-1281922.9950000001</v>
      </c>
      <c r="AE17" s="110">
        <f>-Investimento!AF6</f>
        <v>-1283510.1850000001</v>
      </c>
      <c r="AF17" s="110">
        <f>-Investimento!AG6</f>
        <v>-1298611.335</v>
      </c>
    </row>
    <row r="18" spans="1:32" ht="15" customHeight="1">
      <c r="A18" s="126" t="s">
        <v>1220</v>
      </c>
      <c r="B18" s="110">
        <f t="shared" si="6"/>
        <v>-7440995.3799999999</v>
      </c>
      <c r="C18" s="110">
        <f>-Investimento!D7</f>
        <v>-2560497.69</v>
      </c>
      <c r="D18" s="110">
        <f>-Investimento!E7</f>
        <v>-2960497.69</v>
      </c>
      <c r="E18" s="110">
        <f>-Investimento!F7</f>
        <v>-60000</v>
      </c>
      <c r="F18" s="110">
        <f>-Investimento!G7</f>
        <v>-60000</v>
      </c>
      <c r="G18" s="110">
        <f>-Investimento!H7</f>
        <v>-100000</v>
      </c>
      <c r="H18" s="110">
        <f>-Investimento!I7</f>
        <v>-60000</v>
      </c>
      <c r="I18" s="110">
        <f>-Investimento!J7</f>
        <v>-60000</v>
      </c>
      <c r="J18" s="110">
        <f>-Investimento!K7</f>
        <v>-60000</v>
      </c>
      <c r="K18" s="110">
        <f>-Investimento!L7</f>
        <v>-60000</v>
      </c>
      <c r="L18" s="110">
        <f>-Investimento!M7</f>
        <v>-100000</v>
      </c>
      <c r="M18" s="110">
        <f>-Investimento!N7</f>
        <v>-60000</v>
      </c>
      <c r="N18" s="110">
        <f>-Investimento!O7</f>
        <v>-60000</v>
      </c>
      <c r="O18" s="110">
        <f>-Investimento!P7</f>
        <v>-60000</v>
      </c>
      <c r="P18" s="110">
        <f>-Investimento!Q7</f>
        <v>-60000</v>
      </c>
      <c r="Q18" s="110">
        <f>-Investimento!R7</f>
        <v>-100000</v>
      </c>
      <c r="R18" s="110">
        <f>-Investimento!S7</f>
        <v>-60000</v>
      </c>
      <c r="S18" s="110">
        <f>-Investimento!T7</f>
        <v>-60000</v>
      </c>
      <c r="T18" s="110">
        <f>-Investimento!U7</f>
        <v>-60000</v>
      </c>
      <c r="U18" s="110">
        <f>-Investimento!V7</f>
        <v>-60000</v>
      </c>
      <c r="V18" s="110">
        <f>-Investimento!W7</f>
        <v>-100000</v>
      </c>
      <c r="W18" s="110">
        <f>-Investimento!X7</f>
        <v>-60000</v>
      </c>
      <c r="X18" s="110">
        <f>-Investimento!Y7</f>
        <v>-60000</v>
      </c>
      <c r="Y18" s="110">
        <f>-Investimento!Z7</f>
        <v>-60000</v>
      </c>
      <c r="Z18" s="110">
        <f>-Investimento!AA7</f>
        <v>-60000</v>
      </c>
      <c r="AA18" s="110">
        <f>-Investimento!AB7</f>
        <v>-100000</v>
      </c>
      <c r="AB18" s="110">
        <f>-Investimento!AC7</f>
        <v>-60000</v>
      </c>
      <c r="AC18" s="110">
        <f>-Investimento!AD7</f>
        <v>-60000</v>
      </c>
      <c r="AD18" s="110">
        <f>-Investimento!AE7</f>
        <v>-60000</v>
      </c>
      <c r="AE18" s="110">
        <f>-Investimento!AF7</f>
        <v>-60000</v>
      </c>
      <c r="AF18" s="110">
        <f>-Investimento!AG7</f>
        <v>-100000</v>
      </c>
    </row>
    <row r="19" spans="1:32" ht="15" customHeight="1">
      <c r="A19" s="314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</row>
    <row r="20" spans="1:32" s="121" customFormat="1" ht="15" customHeight="1">
      <c r="A20" s="123" t="s">
        <v>111</v>
      </c>
      <c r="B20" s="108">
        <f xml:space="preserve"> SUM( $C20:$AF20 )</f>
        <v>-515713553.81551087</v>
      </c>
      <c r="C20" s="108">
        <f t="shared" ref="C20:AF20" si="7" xml:space="preserve"> SUM( C$21:C$22 )</f>
        <v>-13623963.855033014</v>
      </c>
      <c r="D20" s="108">
        <f t="shared" si="7"/>
        <v>-13959457.10129977</v>
      </c>
      <c r="E20" s="108">
        <f t="shared" si="7"/>
        <v>-13064093.639390625</v>
      </c>
      <c r="F20" s="108">
        <f t="shared" si="7"/>
        <v>-12556640.179560745</v>
      </c>
      <c r="G20" s="108">
        <f t="shared" si="7"/>
        <v>-14059262.756329942</v>
      </c>
      <c r="H20" s="108">
        <f t="shared" si="7"/>
        <v>-15105714.77844087</v>
      </c>
      <c r="I20" s="108">
        <f t="shared" si="7"/>
        <v>-14616293.424127368</v>
      </c>
      <c r="J20" s="108">
        <f t="shared" si="7"/>
        <v>-15355463.487966472</v>
      </c>
      <c r="K20" s="108">
        <f t="shared" si="7"/>
        <v>-15540652.818001583</v>
      </c>
      <c r="L20" s="108">
        <f t="shared" si="7"/>
        <v>-15858371.727279324</v>
      </c>
      <c r="M20" s="108">
        <f t="shared" si="7"/>
        <v>-15987249.055587109</v>
      </c>
      <c r="N20" s="108">
        <f t="shared" si="7"/>
        <v>-16272651.405818032</v>
      </c>
      <c r="O20" s="108">
        <f t="shared" si="7"/>
        <v>-16576328.028917419</v>
      </c>
      <c r="P20" s="108">
        <f t="shared" si="7"/>
        <v>-16872153.19820746</v>
      </c>
      <c r="Q20" s="108">
        <f t="shared" si="7"/>
        <v>-17154593.530819066</v>
      </c>
      <c r="R20" s="108">
        <f t="shared" si="7"/>
        <v>-17454441.180462036</v>
      </c>
      <c r="S20" s="108">
        <f t="shared" si="7"/>
        <v>-17771660.177716851</v>
      </c>
      <c r="T20" s="108">
        <f t="shared" si="7"/>
        <v>-18050153.014891878</v>
      </c>
      <c r="U20" s="108">
        <f t="shared" si="7"/>
        <v>-18347672.333012898</v>
      </c>
      <c r="V20" s="108">
        <f t="shared" si="7"/>
        <v>-18663934.605396442</v>
      </c>
      <c r="W20" s="108">
        <f t="shared" si="7"/>
        <v>-18940933.443517011</v>
      </c>
      <c r="X20" s="108">
        <f t="shared" si="7"/>
        <v>-19233527.407343686</v>
      </c>
      <c r="Y20" s="108">
        <f t="shared" si="7"/>
        <v>-19539746.03397458</v>
      </c>
      <c r="Z20" s="108">
        <f t="shared" si="7"/>
        <v>-19768274.752661113</v>
      </c>
      <c r="AA20" s="108">
        <f t="shared" si="7"/>
        <v>-20035687.07646811</v>
      </c>
      <c r="AB20" s="108">
        <f t="shared" si="7"/>
        <v>-20304054.142580457</v>
      </c>
      <c r="AC20" s="108">
        <f t="shared" si="7"/>
        <v>-20375663.352309033</v>
      </c>
      <c r="AD20" s="108">
        <f t="shared" si="7"/>
        <v>-20501749.04066943</v>
      </c>
      <c r="AE20" s="108">
        <f t="shared" si="7"/>
        <v>-20488676.732453484</v>
      </c>
      <c r="AF20" s="108">
        <f t="shared" si="7"/>
        <v>-19634491.535275053</v>
      </c>
    </row>
    <row r="21" spans="1:32" ht="15" customHeight="1">
      <c r="A21" s="126" t="s">
        <v>112</v>
      </c>
      <c r="B21" s="110">
        <f xml:space="preserve"> SUM( $C21:$AF21 )</f>
        <v>-379010554.27611095</v>
      </c>
      <c r="C21" s="110">
        <f xml:space="preserve"> ( 'DRE Sem Financiamento'!C$43 )</f>
        <v>-10011267.540465452</v>
      </c>
      <c r="D21" s="110">
        <f xml:space="preserve"> ( 'DRE Sem Financiamento'!D$43 )</f>
        <v>-10257953.750955714</v>
      </c>
      <c r="E21" s="110">
        <f xml:space="preserve"> ( 'DRE Sem Financiamento'!E$43 )</f>
        <v>-9599598.2642578129</v>
      </c>
      <c r="F21" s="110">
        <f xml:space="preserve"> ( 'DRE Sem Financiamento'!F$43 )</f>
        <v>-9226470.7202652544</v>
      </c>
      <c r="G21" s="110">
        <f xml:space="preserve"> ( 'DRE Sem Financiamento'!G$43 )</f>
        <v>-10331340.262007311</v>
      </c>
      <c r="H21" s="110">
        <f xml:space="preserve"> ( 'DRE Sem Financiamento'!H$43 )</f>
        <v>-11100790.278265346</v>
      </c>
      <c r="I21" s="110">
        <f xml:space="preserve"> ( 'DRE Sem Financiamento'!I$43 )</f>
        <v>-10740921.635387771</v>
      </c>
      <c r="J21" s="110">
        <f xml:space="preserve"> ( 'DRE Sem Financiamento'!J$43 )</f>
        <v>-11284429.035269465</v>
      </c>
      <c r="K21" s="110">
        <f xml:space="preserve"> ( 'DRE Sem Financiamento'!K$43 )</f>
        <v>-11420597.660295282</v>
      </c>
      <c r="L21" s="110">
        <f xml:space="preserve"> ( 'DRE Sem Financiamento'!L$43 )</f>
        <v>-11654214.505352445</v>
      </c>
      <c r="M21" s="110">
        <f xml:space="preserve"> ( 'DRE Sem Financiamento'!M$43 )</f>
        <v>-11748977.246755227</v>
      </c>
      <c r="N21" s="110">
        <f xml:space="preserve"> ( 'DRE Sem Financiamento'!N$43 )</f>
        <v>-11958831.916042671</v>
      </c>
      <c r="O21" s="110">
        <f xml:space="preserve"> ( 'DRE Sem Financiamento'!O$43 )</f>
        <v>-12182123.550674573</v>
      </c>
      <c r="P21" s="110">
        <f xml:space="preserve"> ( 'DRE Sem Financiamento'!P$43 )</f>
        <v>-12399642.057505485</v>
      </c>
      <c r="Q21" s="110">
        <f xml:space="preserve"> ( 'DRE Sem Financiamento'!Q$43 )</f>
        <v>-12607318.772661079</v>
      </c>
      <c r="R21" s="110">
        <f xml:space="preserve"> ( 'DRE Sem Financiamento'!R$43 )</f>
        <v>-12827794.98563385</v>
      </c>
      <c r="S21" s="110">
        <f xml:space="preserve"> ( 'DRE Sem Financiamento'!S$43 )</f>
        <v>-13061044.248321213</v>
      </c>
      <c r="T21" s="110">
        <f xml:space="preserve"> ( 'DRE Sem Financiamento'!T$43 )</f>
        <v>-13265818.39330285</v>
      </c>
      <c r="U21" s="110">
        <f xml:space="preserve"> ( 'DRE Sem Financiamento'!U$43 )</f>
        <v>-13484582.597803602</v>
      </c>
      <c r="V21" s="110">
        <f xml:space="preserve"> ( 'DRE Sem Financiamento'!V$43 )</f>
        <v>-13717128.386320913</v>
      </c>
      <c r="W21" s="110">
        <f xml:space="preserve"> ( 'DRE Sem Financiamento'!W$43 )</f>
        <v>-13920804.002586037</v>
      </c>
      <c r="X21" s="110">
        <f xml:space="preserve"> ( 'DRE Sem Financiamento'!X$43 )</f>
        <v>-14135946.623046827</v>
      </c>
      <c r="Y21" s="110">
        <f xml:space="preserve"> ( 'DRE Sem Financiamento'!Y$43 )</f>
        <v>-14361107.377922487</v>
      </c>
      <c r="Z21" s="110">
        <f xml:space="preserve"> ( 'DRE Sem Financiamento'!Z$43 )</f>
        <v>-14529143.200486112</v>
      </c>
      <c r="AA21" s="110">
        <f xml:space="preserve"> ( 'DRE Sem Financiamento'!AA$43 )</f>
        <v>-14725769.909167727</v>
      </c>
      <c r="AB21" s="110">
        <f xml:space="preserve"> ( 'DRE Sem Financiamento'!AB$43 )</f>
        <v>-14923098.634250335</v>
      </c>
      <c r="AC21" s="110">
        <f xml:space="preserve"> ( 'DRE Sem Financiamento'!AC$43 )</f>
        <v>-14975752.464933112</v>
      </c>
      <c r="AD21" s="110">
        <f xml:space="preserve"> ( 'DRE Sem Financiamento'!AD$43 )</f>
        <v>-15068462.529903993</v>
      </c>
      <c r="AE21" s="110">
        <f xml:space="preserve"> ( 'DRE Sem Financiamento'!AE$43 )</f>
        <v>-15058850.538568739</v>
      </c>
      <c r="AF21" s="110">
        <f xml:space="preserve"> ( 'DRE Sem Financiamento'!AF$43 )</f>
        <v>-14430773.187702246</v>
      </c>
    </row>
    <row r="22" spans="1:32" ht="15" customHeight="1">
      <c r="A22" s="126" t="s">
        <v>113</v>
      </c>
      <c r="B22" s="110">
        <f xml:space="preserve"> SUM( $C22:$AF22 )</f>
        <v>-136702999.53939992</v>
      </c>
      <c r="C22" s="110">
        <f xml:space="preserve"> ( 'DRE Sem Financiamento'!C$44 )</f>
        <v>-3612696.3145675627</v>
      </c>
      <c r="D22" s="110">
        <f xml:space="preserve"> ( 'DRE Sem Financiamento'!D$44 )</f>
        <v>-3701503.3503440567</v>
      </c>
      <c r="E22" s="110">
        <f xml:space="preserve"> ( 'DRE Sem Financiamento'!E$44 )</f>
        <v>-3464495.3751328127</v>
      </c>
      <c r="F22" s="110">
        <f xml:space="preserve"> ( 'DRE Sem Financiamento'!F$44 )</f>
        <v>-3330169.4592954912</v>
      </c>
      <c r="G22" s="110">
        <f xml:space="preserve"> ( 'DRE Sem Financiamento'!G$44 )</f>
        <v>-3727922.494322632</v>
      </c>
      <c r="H22" s="110">
        <f xml:space="preserve"> ( 'DRE Sem Financiamento'!H$44 )</f>
        <v>-4004924.5001755245</v>
      </c>
      <c r="I22" s="110">
        <f xml:space="preserve"> ( 'DRE Sem Financiamento'!I$44 )</f>
        <v>-3875371.7887395974</v>
      </c>
      <c r="J22" s="110">
        <f xml:space="preserve"> ( 'DRE Sem Financiamento'!J$44 )</f>
        <v>-4071034.4526970075</v>
      </c>
      <c r="K22" s="110">
        <f xml:space="preserve"> ( 'DRE Sem Financiamento'!K$44 )</f>
        <v>-4120055.1577063012</v>
      </c>
      <c r="L22" s="110">
        <f xml:space="preserve"> ( 'DRE Sem Financiamento'!L$44 )</f>
        <v>-4204157.2219268801</v>
      </c>
      <c r="M22" s="110">
        <f xml:space="preserve"> ( 'DRE Sem Financiamento'!M$44 )</f>
        <v>-4238271.8088318817</v>
      </c>
      <c r="N22" s="110">
        <f xml:space="preserve"> ( 'DRE Sem Financiamento'!N$44 )</f>
        <v>-4313819.4897753615</v>
      </c>
      <c r="O22" s="110">
        <f xml:space="preserve"> ( 'DRE Sem Financiamento'!O$44 )</f>
        <v>-4394204.4782428462</v>
      </c>
      <c r="P22" s="110">
        <f xml:space="preserve"> ( 'DRE Sem Financiamento'!P$44 )</f>
        <v>-4472511.1407019747</v>
      </c>
      <c r="Q22" s="110">
        <f xml:space="preserve"> ( 'DRE Sem Financiamento'!Q$44 )</f>
        <v>-4547274.7581579881</v>
      </c>
      <c r="R22" s="110">
        <f xml:space="preserve"> ( 'DRE Sem Financiamento'!R$44 )</f>
        <v>-4626646.1948281862</v>
      </c>
      <c r="S22" s="110">
        <f xml:space="preserve"> ( 'DRE Sem Financiamento'!S$44 )</f>
        <v>-4710615.9293956365</v>
      </c>
      <c r="T22" s="110">
        <f xml:space="preserve"> ( 'DRE Sem Financiamento'!T$44 )</f>
        <v>-4784334.6215890264</v>
      </c>
      <c r="U22" s="110">
        <f xml:space="preserve"> ( 'DRE Sem Financiamento'!U$44 )</f>
        <v>-4863089.7352092965</v>
      </c>
      <c r="V22" s="110">
        <f xml:space="preserve"> ( 'DRE Sem Financiamento'!V$44 )</f>
        <v>-4946806.2190755289</v>
      </c>
      <c r="W22" s="110">
        <f xml:space="preserve"> ( 'DRE Sem Financiamento'!W$44 )</f>
        <v>-5020129.4409309728</v>
      </c>
      <c r="X22" s="110">
        <f xml:space="preserve"> ( 'DRE Sem Financiamento'!X$44 )</f>
        <v>-5097580.7842968581</v>
      </c>
      <c r="Y22" s="110">
        <f xml:space="preserve"> ( 'DRE Sem Financiamento'!Y$44 )</f>
        <v>-5178638.6560520949</v>
      </c>
      <c r="Z22" s="110">
        <f xml:space="preserve"> ( 'DRE Sem Financiamento'!Z$44 )</f>
        <v>-5239131.5521750003</v>
      </c>
      <c r="AA22" s="110">
        <f xml:space="preserve"> ( 'DRE Sem Financiamento'!AA$44 )</f>
        <v>-5309917.1673003817</v>
      </c>
      <c r="AB22" s="110">
        <f xml:space="preserve"> ( 'DRE Sem Financiamento'!AB$44 )</f>
        <v>-5380955.5083301207</v>
      </c>
      <c r="AC22" s="110">
        <f xml:space="preserve"> ( 'DRE Sem Financiamento'!AC$44 )</f>
        <v>-5399910.8873759201</v>
      </c>
      <c r="AD22" s="110">
        <f xml:space="preserve"> ( 'DRE Sem Financiamento'!AD$44 )</f>
        <v>-5433286.510765437</v>
      </c>
      <c r="AE22" s="110">
        <f xml:space="preserve"> ( 'DRE Sem Financiamento'!AE$44 )</f>
        <v>-5429826.1938847462</v>
      </c>
      <c r="AF22" s="110">
        <f xml:space="preserve"> ( 'DRE Sem Financiamento'!AF$44 )</f>
        <v>-5203718.3475728082</v>
      </c>
    </row>
    <row r="23" spans="1:32" ht="15" customHeight="1">
      <c r="A23" s="316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</row>
    <row r="24" spans="1:32" ht="15" customHeight="1">
      <c r="A24" s="107" t="s">
        <v>1222</v>
      </c>
      <c r="B24" s="108">
        <f xml:space="preserve"> SUM( $C24:$AF24 )</f>
        <v>-1080000</v>
      </c>
      <c r="C24" s="315">
        <f>'DRE Sem Financiamento'!C46</f>
        <v>-1080000</v>
      </c>
      <c r="D24" s="315">
        <f>'DRE Sem Financiamento'!D46</f>
        <v>0</v>
      </c>
      <c r="E24" s="315">
        <f>'DRE Sem Financiamento'!E46</f>
        <v>0</v>
      </c>
      <c r="F24" s="315">
        <f>'DRE Sem Financiamento'!F46</f>
        <v>0</v>
      </c>
      <c r="G24" s="315">
        <f>'DRE Sem Financiamento'!G46</f>
        <v>0</v>
      </c>
      <c r="H24" s="315">
        <f>'DRE Sem Financiamento'!H46</f>
        <v>0</v>
      </c>
      <c r="I24" s="315">
        <f>'DRE Sem Financiamento'!I46</f>
        <v>0</v>
      </c>
      <c r="J24" s="315">
        <f>'DRE Sem Financiamento'!J46</f>
        <v>0</v>
      </c>
      <c r="K24" s="315">
        <f>'DRE Sem Financiamento'!K46</f>
        <v>0</v>
      </c>
      <c r="L24" s="315">
        <f>'DRE Sem Financiamento'!L46</f>
        <v>0</v>
      </c>
      <c r="M24" s="315">
        <f>'DRE Sem Financiamento'!M46</f>
        <v>0</v>
      </c>
      <c r="N24" s="315">
        <f>'DRE Sem Financiamento'!N46</f>
        <v>0</v>
      </c>
      <c r="O24" s="315">
        <f>'DRE Sem Financiamento'!O46</f>
        <v>0</v>
      </c>
      <c r="P24" s="315">
        <f>'DRE Sem Financiamento'!P46</f>
        <v>0</v>
      </c>
      <c r="Q24" s="315">
        <f>'DRE Sem Financiamento'!Q46</f>
        <v>0</v>
      </c>
      <c r="R24" s="315">
        <f>'DRE Sem Financiamento'!R46</f>
        <v>0</v>
      </c>
      <c r="S24" s="315">
        <f>'DRE Sem Financiamento'!S46</f>
        <v>0</v>
      </c>
      <c r="T24" s="315">
        <f>'DRE Sem Financiamento'!T46</f>
        <v>0</v>
      </c>
      <c r="U24" s="315">
        <f>'DRE Sem Financiamento'!U46</f>
        <v>0</v>
      </c>
      <c r="V24" s="315">
        <f>'DRE Sem Financiamento'!V46</f>
        <v>0</v>
      </c>
      <c r="W24" s="315">
        <f>'DRE Sem Financiamento'!W46</f>
        <v>0</v>
      </c>
      <c r="X24" s="315">
        <f>'DRE Sem Financiamento'!X46</f>
        <v>0</v>
      </c>
      <c r="Y24" s="315">
        <f>'DRE Sem Financiamento'!Y46</f>
        <v>0</v>
      </c>
      <c r="Z24" s="315">
        <f>'DRE Sem Financiamento'!Z46</f>
        <v>0</v>
      </c>
      <c r="AA24" s="315">
        <f>'DRE Sem Financiamento'!AA46</f>
        <v>0</v>
      </c>
      <c r="AB24" s="315">
        <f>'DRE Sem Financiamento'!AB46</f>
        <v>0</v>
      </c>
      <c r="AC24" s="315">
        <f>'DRE Sem Financiamento'!AC46</f>
        <v>0</v>
      </c>
      <c r="AD24" s="315">
        <f>'DRE Sem Financiamento'!AD46</f>
        <v>0</v>
      </c>
      <c r="AE24" s="315">
        <f>'DRE Sem Financiamento'!AE46</f>
        <v>0</v>
      </c>
      <c r="AF24" s="315">
        <f>'DRE Sem Financiamento'!AF46</f>
        <v>0</v>
      </c>
    </row>
    <row r="25" spans="1:32" ht="15" customHeight="1">
      <c r="A25" s="316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</row>
    <row r="26" spans="1:32" ht="15" customHeight="1">
      <c r="A26" s="107" t="s">
        <v>713</v>
      </c>
      <c r="B26" s="108">
        <f xml:space="preserve"> SUM( $C26:$AF26 )</f>
        <v>-140000000</v>
      </c>
      <c r="C26" s="315">
        <f>-'Dados de Entrada'!D73</f>
        <v>-140000000</v>
      </c>
      <c r="D26" s="315"/>
      <c r="E26" s="315">
        <f>'DRE Sem Financiamento'!E48</f>
        <v>0</v>
      </c>
      <c r="F26" s="315">
        <f>'DRE Sem Financiamento'!F48</f>
        <v>0</v>
      </c>
      <c r="G26" s="315">
        <f>'DRE Sem Financiamento'!G48</f>
        <v>0</v>
      </c>
      <c r="H26" s="315">
        <f>'DRE Sem Financiamento'!H48</f>
        <v>0</v>
      </c>
      <c r="I26" s="315">
        <f>'DRE Sem Financiamento'!I48</f>
        <v>0</v>
      </c>
      <c r="J26" s="315">
        <f>'DRE Sem Financiamento'!J48</f>
        <v>0</v>
      </c>
      <c r="K26" s="315">
        <f>'DRE Sem Financiamento'!K48</f>
        <v>0</v>
      </c>
      <c r="L26" s="315">
        <f>'DRE Sem Financiamento'!L48</f>
        <v>0</v>
      </c>
      <c r="M26" s="315">
        <f>'DRE Sem Financiamento'!M48</f>
        <v>0</v>
      </c>
      <c r="N26" s="315">
        <f>'DRE Sem Financiamento'!N48</f>
        <v>0</v>
      </c>
      <c r="O26" s="315">
        <f>'DRE Sem Financiamento'!O48</f>
        <v>0</v>
      </c>
      <c r="P26" s="315">
        <f>'DRE Sem Financiamento'!P48</f>
        <v>0</v>
      </c>
      <c r="Q26" s="315">
        <f>'DRE Sem Financiamento'!Q48</f>
        <v>0</v>
      </c>
      <c r="R26" s="315">
        <f>'DRE Sem Financiamento'!R48</f>
        <v>0</v>
      </c>
      <c r="S26" s="315">
        <f>'DRE Sem Financiamento'!S48</f>
        <v>0</v>
      </c>
      <c r="T26" s="315">
        <f>'DRE Sem Financiamento'!T48</f>
        <v>0</v>
      </c>
      <c r="U26" s="315">
        <f>'DRE Sem Financiamento'!U48</f>
        <v>0</v>
      </c>
      <c r="V26" s="315">
        <f>'DRE Sem Financiamento'!V48</f>
        <v>0</v>
      </c>
      <c r="W26" s="315">
        <f>'DRE Sem Financiamento'!W48</f>
        <v>0</v>
      </c>
      <c r="X26" s="315">
        <f>'DRE Sem Financiamento'!X48</f>
        <v>0</v>
      </c>
      <c r="Y26" s="315">
        <f>'DRE Sem Financiamento'!Y48</f>
        <v>0</v>
      </c>
      <c r="Z26" s="315">
        <f>'DRE Sem Financiamento'!Z48</f>
        <v>0</v>
      </c>
      <c r="AA26" s="315">
        <f>'DRE Sem Financiamento'!AA48</f>
        <v>0</v>
      </c>
      <c r="AB26" s="315">
        <f>'DRE Sem Financiamento'!AB48</f>
        <v>0</v>
      </c>
      <c r="AC26" s="315">
        <f>'DRE Sem Financiamento'!AC48</f>
        <v>0</v>
      </c>
      <c r="AD26" s="315">
        <f>'DRE Sem Financiamento'!AD48</f>
        <v>0</v>
      </c>
      <c r="AE26" s="315">
        <f>'DRE Sem Financiamento'!AE48</f>
        <v>0</v>
      </c>
      <c r="AF26" s="315">
        <f>'DRE Sem Financiamento'!AF48</f>
        <v>0</v>
      </c>
    </row>
    <row r="27" spans="1:32" ht="15" customHeight="1">
      <c r="A27" s="798"/>
      <c r="B27" s="799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</row>
    <row r="28" spans="1:32" ht="15" customHeight="1">
      <c r="A28" s="124"/>
      <c r="B28" s="125"/>
      <c r="C28" s="125">
        <v>1</v>
      </c>
      <c r="D28" s="125">
        <v>2</v>
      </c>
      <c r="E28" s="125">
        <v>3</v>
      </c>
      <c r="F28" s="125">
        <v>4</v>
      </c>
      <c r="G28" s="125">
        <v>5</v>
      </c>
      <c r="H28" s="125">
        <v>6</v>
      </c>
      <c r="I28" s="125">
        <v>7</v>
      </c>
      <c r="J28" s="125">
        <v>8</v>
      </c>
      <c r="K28" s="125">
        <v>9</v>
      </c>
      <c r="L28" s="125">
        <v>10</v>
      </c>
      <c r="M28" s="125">
        <v>11</v>
      </c>
      <c r="N28" s="125">
        <v>12</v>
      </c>
      <c r="O28" s="125">
        <v>13</v>
      </c>
      <c r="P28" s="125">
        <v>14</v>
      </c>
      <c r="Q28" s="125">
        <v>15</v>
      </c>
      <c r="R28" s="125">
        <v>16</v>
      </c>
      <c r="S28" s="125">
        <v>17</v>
      </c>
      <c r="T28" s="125">
        <v>18</v>
      </c>
      <c r="U28" s="125">
        <v>19</v>
      </c>
      <c r="V28" s="125">
        <v>20</v>
      </c>
      <c r="W28" s="125">
        <v>21</v>
      </c>
      <c r="X28" s="125">
        <v>22</v>
      </c>
      <c r="Y28" s="125">
        <v>23</v>
      </c>
      <c r="Z28" s="125">
        <v>24</v>
      </c>
      <c r="AA28" s="125">
        <v>25</v>
      </c>
      <c r="AB28" s="125">
        <v>26</v>
      </c>
      <c r="AC28" s="125">
        <v>27</v>
      </c>
      <c r="AD28" s="125">
        <v>28</v>
      </c>
      <c r="AE28" s="125">
        <v>29</v>
      </c>
      <c r="AF28" s="125">
        <v>30</v>
      </c>
    </row>
    <row r="29" spans="1:32" s="121" customFormat="1" ht="15" customHeight="1">
      <c r="A29" s="107" t="s">
        <v>1223</v>
      </c>
      <c r="B29" s="108">
        <f>SUM(C29:AF29)</f>
        <v>854687667.90893292</v>
      </c>
      <c r="C29" s="108">
        <f xml:space="preserve"> ( ( C$4 ) + ( C$9 + C24  + C26) )</f>
        <v>-123472151.31693488</v>
      </c>
      <c r="D29" s="108">
        <f t="shared" ref="D29:AF29" si="8" xml:space="preserve"> ( ( D$4 ) + ( D$9 + D24  + D26) )</f>
        <v>19059013.977825284</v>
      </c>
      <c r="E29" s="108">
        <f t="shared" si="8"/>
        <v>-58345180.540092885</v>
      </c>
      <c r="F29" s="108">
        <f t="shared" si="8"/>
        <v>-30374500.726418421</v>
      </c>
      <c r="G29" s="108">
        <f t="shared" si="8"/>
        <v>-23843797.610065535</v>
      </c>
      <c r="H29" s="108">
        <f t="shared" si="8"/>
        <v>-51909590.455144346</v>
      </c>
      <c r="I29" s="108">
        <f t="shared" si="8"/>
        <v>-12915455.10629949</v>
      </c>
      <c r="J29" s="108">
        <f t="shared" si="8"/>
        <v>-10223943.880829215</v>
      </c>
      <c r="K29" s="108">
        <f t="shared" si="8"/>
        <v>-28468401.473715603</v>
      </c>
      <c r="L29" s="108">
        <f t="shared" si="8"/>
        <v>47209949.879854351</v>
      </c>
      <c r="M29" s="108">
        <f t="shared" si="8"/>
        <v>47669130.794157714</v>
      </c>
      <c r="N29" s="108">
        <f t="shared" si="8"/>
        <v>50469700.030550256</v>
      </c>
      <c r="O29" s="108">
        <f t="shared" si="8"/>
        <v>51153829.136256278</v>
      </c>
      <c r="P29" s="108">
        <f t="shared" si="8"/>
        <v>51814983.848113403</v>
      </c>
      <c r="Q29" s="108">
        <f t="shared" si="8"/>
        <v>52421082.164561674</v>
      </c>
      <c r="R29" s="108">
        <f t="shared" si="8"/>
        <v>53140156.038476452</v>
      </c>
      <c r="S29" s="108">
        <f t="shared" si="8"/>
        <v>53863489.182328224</v>
      </c>
      <c r="T29" s="108">
        <f t="shared" si="8"/>
        <v>54503670.540848985</v>
      </c>
      <c r="U29" s="108">
        <f t="shared" si="8"/>
        <v>55193319.639064297</v>
      </c>
      <c r="V29" s="108">
        <f t="shared" si="8"/>
        <v>55882861.479840904</v>
      </c>
      <c r="W29" s="108">
        <f t="shared" si="8"/>
        <v>56598162.985280856</v>
      </c>
      <c r="X29" s="108">
        <f t="shared" si="8"/>
        <v>57325641.494963974</v>
      </c>
      <c r="Y29" s="108">
        <f t="shared" si="8"/>
        <v>58107392.553460747</v>
      </c>
      <c r="Z29" s="108">
        <f t="shared" si="8"/>
        <v>58768396.94574298</v>
      </c>
      <c r="AA29" s="108">
        <f t="shared" si="8"/>
        <v>59503879.280829102</v>
      </c>
      <c r="AB29" s="108">
        <f t="shared" si="8"/>
        <v>60405532.492047191</v>
      </c>
      <c r="AC29" s="108">
        <f t="shared" si="8"/>
        <v>60011064.408799753</v>
      </c>
      <c r="AD29" s="108">
        <f t="shared" si="8"/>
        <v>62305771.28532286</v>
      </c>
      <c r="AE29" s="108">
        <f t="shared" si="8"/>
        <v>63484310.638197795</v>
      </c>
      <c r="AF29" s="108">
        <f t="shared" si="8"/>
        <v>65349350.221910253</v>
      </c>
    </row>
    <row r="30" spans="1:32" ht="15" customHeight="1">
      <c r="A30" s="127"/>
      <c r="B30" s="128"/>
    </row>
    <row r="31" spans="1:32" ht="15" customHeight="1">
      <c r="A31" s="107" t="s">
        <v>1224</v>
      </c>
      <c r="B31" s="153">
        <f>IRR((C29:AF29 ))</f>
        <v>8.7917646999729815E-2</v>
      </c>
      <c r="C31" s="306"/>
      <c r="D31" s="592"/>
    </row>
    <row r="32" spans="1:32" ht="15" customHeight="1">
      <c r="D32" s="211"/>
      <c r="E32" s="211"/>
    </row>
    <row r="33" spans="1:32" ht="15" customHeight="1">
      <c r="A33" s="107" t="s">
        <v>1225</v>
      </c>
      <c r="B33" s="840">
        <f>NPV(0.085,C29:AF29)</f>
        <v>9341041.0306517817</v>
      </c>
      <c r="C33" s="129"/>
      <c r="D33" s="211"/>
    </row>
    <row r="34" spans="1:32" ht="15" customHeight="1">
      <c r="C34" s="130"/>
    </row>
    <row r="36" spans="1:32" ht="15" customHeight="1">
      <c r="B36" s="21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</row>
    <row r="37" spans="1:32" ht="15" customHeight="1"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</row>
    <row r="38" spans="1:32" ht="15" customHeight="1"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</row>
  </sheetData>
  <mergeCells count="1">
    <mergeCell ref="AC1:AF1"/>
  </mergeCells>
  <phoneticPr fontId="12" type="noConversion"/>
  <conditionalFormatting sqref="C29:AF29">
    <cfRule type="cellIs" dxfId="1" priority="1" operator="lessThan">
      <formula>0</formula>
    </cfRule>
    <cfRule type="cellIs" dxfId="0" priority="2" operator="lessThan">
      <formula>0</formula>
    </cfRule>
  </conditionalFormatting>
  <printOptions horizontalCentered="1"/>
  <pageMargins left="1.3779527559055118" right="0.39370078740157483" top="1.1811023622047245" bottom="1.1811023622047245" header="0.31496062992125984" footer="0.31496062992125984"/>
  <pageSetup paperSize="8" scale="53" orientation="landscape" r:id="rId1"/>
  <ignoredErrors>
    <ignoredError sqref="B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236"/>
  <sheetViews>
    <sheetView zoomScale="85" zoomScaleNormal="85" workbookViewId="0">
      <pane xSplit="1" ySplit="3" topLeftCell="B28" activePane="bottomRight" state="frozen"/>
      <selection activeCell="L3" sqref="L3:L108"/>
      <selection pane="topRight" activeCell="L3" sqref="L3:L108"/>
      <selection pane="bottomLeft" activeCell="L3" sqref="L3:L108"/>
      <selection pane="bottomRight" activeCell="AP39" activeCellId="9" sqref="E39 J39 N39 R39 V39 Z39 AD39 AH39 AL39 AP39"/>
    </sheetView>
  </sheetViews>
  <sheetFormatPr defaultColWidth="8.77734375" defaultRowHeight="14.4"/>
  <cols>
    <col min="1" max="1" width="20.77734375" style="613" bestFit="1" customWidth="1"/>
    <col min="2" max="2" width="12.109375" style="612" bestFit="1" customWidth="1"/>
    <col min="3" max="3" width="19.33203125" style="612" customWidth="1"/>
    <col min="4" max="4" width="27.44140625" style="611" bestFit="1" customWidth="1"/>
    <col min="5" max="5" width="19.109375" style="611" bestFit="1" customWidth="1"/>
    <col min="6" max="6" width="17" style="611" customWidth="1"/>
    <col min="7" max="7" width="14.77734375" style="612" customWidth="1"/>
    <col min="8" max="8" width="10.6640625" style="612" customWidth="1"/>
    <col min="9" max="10" width="10.6640625" style="611" customWidth="1"/>
    <col min="11" max="12" width="10.6640625" style="612" customWidth="1"/>
    <col min="13" max="14" width="10.6640625" style="611" customWidth="1"/>
    <col min="15" max="16" width="10.6640625" style="612" customWidth="1"/>
    <col min="17" max="17" width="12.109375" style="611" bestFit="1" customWidth="1"/>
    <col min="18" max="18" width="10.6640625" style="611" customWidth="1"/>
    <col min="19" max="20" width="10.6640625" style="612" customWidth="1"/>
    <col min="21" max="22" width="10.6640625" style="611" customWidth="1"/>
    <col min="23" max="24" width="8.77734375" style="610"/>
    <col min="25" max="26" width="8.77734375" style="609"/>
    <col min="27" max="28" width="8.77734375" style="610"/>
    <col min="29" max="30" width="8.77734375" style="609"/>
    <col min="31" max="32" width="8.77734375" style="610"/>
    <col min="33" max="34" width="8.77734375" style="609"/>
    <col min="35" max="36" width="8.77734375" style="610"/>
    <col min="37" max="38" width="8.77734375" style="609"/>
    <col min="39" max="40" width="8.77734375" style="610"/>
    <col min="41" max="42" width="8.77734375" style="609"/>
    <col min="43" max="43" width="12.109375" style="610" bestFit="1" customWidth="1"/>
    <col min="44" max="44" width="12" style="610" bestFit="1" customWidth="1"/>
    <col min="45" max="45" width="12.109375" style="609" bestFit="1" customWidth="1"/>
    <col min="46" max="46" width="11" style="609" bestFit="1" customWidth="1"/>
    <col min="48" max="48" width="30.109375" bestFit="1" customWidth="1"/>
    <col min="49" max="49" width="26.33203125" customWidth="1"/>
    <col min="50" max="50" width="15.33203125" customWidth="1"/>
  </cols>
  <sheetData>
    <row r="1" spans="1:49" s="624" customFormat="1">
      <c r="A1" s="613"/>
      <c r="B1" s="937" t="s">
        <v>746</v>
      </c>
      <c r="C1" s="937"/>
      <c r="D1" s="937"/>
      <c r="E1" s="937"/>
      <c r="F1" s="625"/>
      <c r="G1" s="937" t="s">
        <v>745</v>
      </c>
      <c r="H1" s="937"/>
      <c r="I1" s="937"/>
      <c r="J1" s="937"/>
      <c r="K1" s="937" t="s">
        <v>744</v>
      </c>
      <c r="L1" s="937"/>
      <c r="M1" s="937"/>
      <c r="N1" s="937"/>
      <c r="O1" s="937" t="s">
        <v>743</v>
      </c>
      <c r="P1" s="937"/>
      <c r="Q1" s="937"/>
      <c r="R1" s="937"/>
      <c r="S1" s="937" t="s">
        <v>742</v>
      </c>
      <c r="T1" s="937"/>
      <c r="U1" s="937"/>
      <c r="V1" s="937"/>
      <c r="W1" s="937" t="s">
        <v>741</v>
      </c>
      <c r="X1" s="937"/>
      <c r="Y1" s="937"/>
      <c r="Z1" s="937"/>
      <c r="AA1" s="937" t="s">
        <v>740</v>
      </c>
      <c r="AB1" s="937"/>
      <c r="AC1" s="937"/>
      <c r="AD1" s="937"/>
      <c r="AE1" s="937" t="s">
        <v>739</v>
      </c>
      <c r="AF1" s="937"/>
      <c r="AG1" s="937"/>
      <c r="AH1" s="937"/>
      <c r="AI1" s="937" t="s">
        <v>738</v>
      </c>
      <c r="AJ1" s="937"/>
      <c r="AK1" s="937"/>
      <c r="AL1" s="937"/>
      <c r="AM1" s="937" t="s">
        <v>737</v>
      </c>
      <c r="AN1" s="937"/>
      <c r="AO1" s="937"/>
      <c r="AP1" s="937"/>
      <c r="AQ1" s="937" t="s">
        <v>736</v>
      </c>
      <c r="AR1" s="937"/>
      <c r="AS1" s="937"/>
      <c r="AT1" s="937"/>
    </row>
    <row r="2" spans="1:49">
      <c r="B2" s="938" t="s">
        <v>735</v>
      </c>
      <c r="C2" s="938"/>
      <c r="D2" s="939" t="s">
        <v>734</v>
      </c>
      <c r="E2" s="939"/>
      <c r="F2" s="623"/>
      <c r="G2" s="938" t="s">
        <v>735</v>
      </c>
      <c r="H2" s="938"/>
      <c r="I2" s="939" t="s">
        <v>734</v>
      </c>
      <c r="J2" s="939"/>
      <c r="K2" s="938" t="s">
        <v>735</v>
      </c>
      <c r="L2" s="938"/>
      <c r="M2" s="939" t="s">
        <v>734</v>
      </c>
      <c r="N2" s="939"/>
      <c r="O2" s="938" t="s">
        <v>735</v>
      </c>
      <c r="P2" s="938"/>
      <c r="Q2" s="939" t="s">
        <v>734</v>
      </c>
      <c r="R2" s="939"/>
      <c r="S2" s="938" t="s">
        <v>735</v>
      </c>
      <c r="T2" s="938"/>
      <c r="U2" s="939" t="s">
        <v>734</v>
      </c>
      <c r="V2" s="939"/>
      <c r="W2" s="938" t="s">
        <v>735</v>
      </c>
      <c r="X2" s="938"/>
      <c r="Y2" s="939" t="s">
        <v>734</v>
      </c>
      <c r="Z2" s="939"/>
      <c r="AA2" s="938" t="s">
        <v>735</v>
      </c>
      <c r="AB2" s="938"/>
      <c r="AC2" s="939" t="s">
        <v>734</v>
      </c>
      <c r="AD2" s="939"/>
      <c r="AE2" s="938" t="s">
        <v>735</v>
      </c>
      <c r="AF2" s="938"/>
      <c r="AG2" s="939" t="s">
        <v>734</v>
      </c>
      <c r="AH2" s="939"/>
      <c r="AI2" s="938" t="s">
        <v>735</v>
      </c>
      <c r="AJ2" s="938"/>
      <c r="AK2" s="939" t="s">
        <v>734</v>
      </c>
      <c r="AL2" s="939"/>
      <c r="AM2" s="938" t="s">
        <v>735</v>
      </c>
      <c r="AN2" s="938"/>
      <c r="AO2" s="939" t="s">
        <v>734</v>
      </c>
      <c r="AP2" s="939"/>
      <c r="AQ2" s="938" t="s">
        <v>735</v>
      </c>
      <c r="AR2" s="938"/>
      <c r="AS2" s="939" t="s">
        <v>734</v>
      </c>
      <c r="AT2" s="939"/>
      <c r="AV2" t="s">
        <v>733</v>
      </c>
      <c r="AW2" t="s">
        <v>732</v>
      </c>
    </row>
    <row r="3" spans="1:49">
      <c r="A3" s="613" t="s">
        <v>772</v>
      </c>
      <c r="B3" s="612" t="s">
        <v>731</v>
      </c>
      <c r="C3" s="612" t="s">
        <v>730</v>
      </c>
      <c r="D3" s="611" t="s">
        <v>731</v>
      </c>
      <c r="E3" s="611" t="s">
        <v>730</v>
      </c>
      <c r="G3" s="612" t="s">
        <v>731</v>
      </c>
      <c r="H3" s="612" t="s">
        <v>730</v>
      </c>
      <c r="I3" s="611" t="s">
        <v>731</v>
      </c>
      <c r="J3" s="611" t="s">
        <v>730</v>
      </c>
      <c r="K3" s="612" t="s">
        <v>731</v>
      </c>
      <c r="L3" s="612" t="s">
        <v>730</v>
      </c>
      <c r="M3" s="611" t="s">
        <v>731</v>
      </c>
      <c r="N3" s="611" t="s">
        <v>730</v>
      </c>
      <c r="O3" s="612" t="s">
        <v>731</v>
      </c>
      <c r="P3" s="612" t="s">
        <v>730</v>
      </c>
      <c r="Q3" s="611" t="s">
        <v>731</v>
      </c>
      <c r="R3" s="611" t="s">
        <v>730</v>
      </c>
      <c r="S3" s="612" t="s">
        <v>731</v>
      </c>
      <c r="T3" s="612" t="s">
        <v>730</v>
      </c>
      <c r="U3" s="611" t="s">
        <v>731</v>
      </c>
      <c r="V3" s="611" t="s">
        <v>730</v>
      </c>
      <c r="W3" s="612" t="s">
        <v>731</v>
      </c>
      <c r="X3" s="612" t="s">
        <v>730</v>
      </c>
      <c r="Y3" s="611" t="s">
        <v>731</v>
      </c>
      <c r="Z3" s="611" t="s">
        <v>730</v>
      </c>
      <c r="AA3" s="612" t="s">
        <v>731</v>
      </c>
      <c r="AB3" s="612" t="s">
        <v>730</v>
      </c>
      <c r="AC3" s="611" t="s">
        <v>731</v>
      </c>
      <c r="AD3" s="611" t="s">
        <v>730</v>
      </c>
      <c r="AE3" s="612" t="s">
        <v>731</v>
      </c>
      <c r="AF3" s="612" t="s">
        <v>730</v>
      </c>
      <c r="AG3" s="611" t="s">
        <v>731</v>
      </c>
      <c r="AH3" s="611" t="s">
        <v>730</v>
      </c>
      <c r="AI3" s="612" t="s">
        <v>731</v>
      </c>
      <c r="AJ3" s="612" t="s">
        <v>730</v>
      </c>
      <c r="AK3" s="611" t="s">
        <v>731</v>
      </c>
      <c r="AL3" s="611" t="s">
        <v>730</v>
      </c>
      <c r="AM3" s="612" t="s">
        <v>731</v>
      </c>
      <c r="AN3" s="612" t="s">
        <v>730</v>
      </c>
      <c r="AO3" s="611" t="s">
        <v>731</v>
      </c>
      <c r="AP3" s="611" t="s">
        <v>730</v>
      </c>
      <c r="AQ3" s="612" t="s">
        <v>731</v>
      </c>
      <c r="AR3" s="612" t="s">
        <v>730</v>
      </c>
      <c r="AS3" s="611" t="s">
        <v>731</v>
      </c>
      <c r="AT3" s="611" t="s">
        <v>730</v>
      </c>
    </row>
    <row r="4" spans="1:49">
      <c r="A4" s="613">
        <v>0</v>
      </c>
      <c r="B4" s="612">
        <v>0</v>
      </c>
      <c r="C4" s="612">
        <v>0</v>
      </c>
      <c r="D4" s="611">
        <v>84</v>
      </c>
      <c r="E4" s="611">
        <v>0</v>
      </c>
      <c r="G4" s="612">
        <v>0</v>
      </c>
      <c r="H4" s="612">
        <v>0</v>
      </c>
      <c r="I4" s="611">
        <v>0</v>
      </c>
      <c r="J4" s="611">
        <v>0</v>
      </c>
      <c r="K4" s="612">
        <v>0</v>
      </c>
      <c r="L4" s="612">
        <v>0</v>
      </c>
      <c r="M4" s="611">
        <v>0</v>
      </c>
      <c r="N4" s="611">
        <v>0</v>
      </c>
      <c r="O4" s="612">
        <v>0</v>
      </c>
      <c r="P4" s="612">
        <v>0</v>
      </c>
      <c r="Q4" s="611">
        <v>26</v>
      </c>
      <c r="R4" s="611">
        <v>0</v>
      </c>
      <c r="S4" s="612">
        <v>0</v>
      </c>
      <c r="T4" s="612">
        <v>0</v>
      </c>
      <c r="U4" s="611">
        <v>0</v>
      </c>
      <c r="V4" s="611">
        <v>0</v>
      </c>
      <c r="W4" s="610">
        <v>0</v>
      </c>
      <c r="X4" s="610">
        <v>0</v>
      </c>
      <c r="Y4" s="609">
        <v>0</v>
      </c>
      <c r="Z4" s="609">
        <v>0</v>
      </c>
      <c r="AA4" s="610">
        <v>0</v>
      </c>
      <c r="AB4" s="610">
        <v>0</v>
      </c>
      <c r="AC4" s="609">
        <v>4</v>
      </c>
      <c r="AD4" s="609">
        <v>0</v>
      </c>
      <c r="AE4" s="610">
        <v>0</v>
      </c>
      <c r="AF4" s="610">
        <v>0</v>
      </c>
      <c r="AG4" s="609">
        <v>0</v>
      </c>
      <c r="AH4" s="609">
        <v>0</v>
      </c>
      <c r="AI4" s="610">
        <v>0</v>
      </c>
      <c r="AJ4" s="610">
        <v>0</v>
      </c>
      <c r="AK4" s="609">
        <v>0</v>
      </c>
      <c r="AL4" s="609">
        <v>0</v>
      </c>
      <c r="AM4" s="610">
        <v>0</v>
      </c>
      <c r="AN4" s="610">
        <v>0</v>
      </c>
      <c r="AO4" s="609">
        <v>3</v>
      </c>
      <c r="AP4" s="609">
        <v>0</v>
      </c>
      <c r="AQ4" s="622">
        <f t="shared" ref="AQ4:AQ35" si="0">AM4+AI4+AE4+AA4+W4+S4+O4+K4+G4+B4</f>
        <v>0</v>
      </c>
      <c r="AR4" s="622">
        <f t="shared" ref="AR4:AR35" si="1">AN4+AJ4+AF4+AB4+X4+T4+P4+L4+H4+C4</f>
        <v>0</v>
      </c>
      <c r="AS4" s="621">
        <f t="shared" ref="AS4:AS35" si="2">AO4+AK4+AG4+AC4+Y4+U4+Q4+M4+I4+D4</f>
        <v>117</v>
      </c>
      <c r="AT4" s="621">
        <f t="shared" ref="AT4:AT35" si="3">AP4+AL4+AH4+AD4+Z4+V4+R4+N4+J4+E4</f>
        <v>0</v>
      </c>
      <c r="AV4" s="620">
        <f>D4+I4+M4+Q4+U4+Y4+AC4+AG4+AK4+AO4</f>
        <v>117</v>
      </c>
      <c r="AW4" s="620">
        <f t="shared" ref="AW4:AW35" si="4">E4+J4+N4+R4+V4+Z4+AD4+AH4+AL4+AP4</f>
        <v>0</v>
      </c>
    </row>
    <row r="5" spans="1:49">
      <c r="A5" s="613">
        <v>1</v>
      </c>
      <c r="B5" s="612">
        <v>0</v>
      </c>
      <c r="C5" s="612">
        <v>0</v>
      </c>
      <c r="D5" s="611">
        <v>80</v>
      </c>
      <c r="E5" s="611">
        <v>76</v>
      </c>
      <c r="G5" s="612">
        <v>0</v>
      </c>
      <c r="H5" s="612">
        <v>0</v>
      </c>
      <c r="I5" s="611">
        <v>0</v>
      </c>
      <c r="J5" s="611">
        <v>0</v>
      </c>
      <c r="K5" s="612">
        <v>0</v>
      </c>
      <c r="L5" s="612">
        <v>0</v>
      </c>
      <c r="M5" s="611">
        <v>0</v>
      </c>
      <c r="N5" s="611">
        <v>0</v>
      </c>
      <c r="O5" s="612">
        <v>0</v>
      </c>
      <c r="P5" s="612">
        <v>0</v>
      </c>
      <c r="Q5" s="611">
        <v>24</v>
      </c>
      <c r="R5" s="611">
        <v>24</v>
      </c>
      <c r="S5" s="612">
        <v>0</v>
      </c>
      <c r="T5" s="612">
        <v>0</v>
      </c>
      <c r="U5" s="611">
        <v>0</v>
      </c>
      <c r="V5" s="611">
        <v>0</v>
      </c>
      <c r="W5" s="610">
        <v>0</v>
      </c>
      <c r="X5" s="610">
        <v>0</v>
      </c>
      <c r="Y5" s="609">
        <v>0</v>
      </c>
      <c r="Z5" s="609">
        <v>0</v>
      </c>
      <c r="AA5" s="610">
        <v>0</v>
      </c>
      <c r="AB5" s="610">
        <v>0</v>
      </c>
      <c r="AC5" s="609">
        <v>3</v>
      </c>
      <c r="AD5" s="609">
        <v>4</v>
      </c>
      <c r="AE5" s="610">
        <v>0</v>
      </c>
      <c r="AF5" s="610">
        <v>0</v>
      </c>
      <c r="AG5" s="609">
        <v>0</v>
      </c>
      <c r="AH5" s="609">
        <v>0</v>
      </c>
      <c r="AI5" s="610">
        <v>0</v>
      </c>
      <c r="AJ5" s="610">
        <v>0</v>
      </c>
      <c r="AK5" s="609">
        <v>0</v>
      </c>
      <c r="AL5" s="609">
        <v>0</v>
      </c>
      <c r="AM5" s="610">
        <v>0</v>
      </c>
      <c r="AN5" s="610">
        <v>0</v>
      </c>
      <c r="AO5" s="609">
        <v>6</v>
      </c>
      <c r="AP5" s="609">
        <v>6</v>
      </c>
      <c r="AQ5" s="622">
        <f t="shared" si="0"/>
        <v>0</v>
      </c>
      <c r="AR5" s="622">
        <f t="shared" si="1"/>
        <v>0</v>
      </c>
      <c r="AS5" s="621">
        <f t="shared" si="2"/>
        <v>113</v>
      </c>
      <c r="AT5" s="621">
        <f t="shared" si="3"/>
        <v>110</v>
      </c>
      <c r="AV5" s="620">
        <f t="shared" ref="AV5:AV35" si="5">D5+I5+M5+Q5+U5+Y5+AC5+AG5+AK5+AO5</f>
        <v>113</v>
      </c>
      <c r="AW5" s="620">
        <f t="shared" si="4"/>
        <v>110</v>
      </c>
    </row>
    <row r="6" spans="1:49">
      <c r="A6" s="613">
        <v>2</v>
      </c>
      <c r="B6" s="612">
        <v>0</v>
      </c>
      <c r="C6" s="612">
        <v>0</v>
      </c>
      <c r="D6" s="611">
        <v>90</v>
      </c>
      <c r="E6" s="611">
        <v>164</v>
      </c>
      <c r="G6" s="612">
        <v>0</v>
      </c>
      <c r="H6" s="612">
        <v>0</v>
      </c>
      <c r="I6" s="611">
        <v>1</v>
      </c>
      <c r="J6" s="611">
        <v>2</v>
      </c>
      <c r="K6" s="612">
        <v>0</v>
      </c>
      <c r="L6" s="612">
        <v>0</v>
      </c>
      <c r="M6" s="611">
        <v>0</v>
      </c>
      <c r="N6" s="611">
        <v>0</v>
      </c>
      <c r="O6" s="612">
        <v>0</v>
      </c>
      <c r="P6" s="612">
        <v>0</v>
      </c>
      <c r="Q6" s="611">
        <v>31</v>
      </c>
      <c r="R6" s="611">
        <v>72</v>
      </c>
      <c r="S6" s="612">
        <v>0</v>
      </c>
      <c r="T6" s="612">
        <v>0</v>
      </c>
      <c r="U6" s="611">
        <v>0</v>
      </c>
      <c r="V6" s="611">
        <v>0</v>
      </c>
      <c r="W6" s="610">
        <v>0</v>
      </c>
      <c r="X6" s="610">
        <v>0</v>
      </c>
      <c r="Y6" s="609">
        <v>0</v>
      </c>
      <c r="Z6" s="609">
        <v>0</v>
      </c>
      <c r="AA6" s="610">
        <v>0</v>
      </c>
      <c r="AB6" s="610">
        <v>0</v>
      </c>
      <c r="AC6" s="609">
        <v>4</v>
      </c>
      <c r="AD6" s="609">
        <v>8</v>
      </c>
      <c r="AE6" s="610">
        <v>0</v>
      </c>
      <c r="AF6" s="610">
        <v>0</v>
      </c>
      <c r="AG6" s="609">
        <v>0</v>
      </c>
      <c r="AH6" s="609">
        <v>0</v>
      </c>
      <c r="AI6" s="610">
        <v>0</v>
      </c>
      <c r="AJ6" s="610">
        <v>0</v>
      </c>
      <c r="AK6" s="609">
        <v>0</v>
      </c>
      <c r="AL6" s="609">
        <v>0</v>
      </c>
      <c r="AM6" s="610">
        <v>0</v>
      </c>
      <c r="AN6" s="610">
        <v>0</v>
      </c>
      <c r="AO6" s="609">
        <v>3</v>
      </c>
      <c r="AP6" s="609">
        <v>6</v>
      </c>
      <c r="AQ6" s="622">
        <f t="shared" si="0"/>
        <v>0</v>
      </c>
      <c r="AR6" s="622">
        <f t="shared" si="1"/>
        <v>0</v>
      </c>
      <c r="AS6" s="621">
        <f t="shared" si="2"/>
        <v>129</v>
      </c>
      <c r="AT6" s="621">
        <f t="shared" si="3"/>
        <v>252</v>
      </c>
      <c r="AV6" s="620">
        <f t="shared" si="5"/>
        <v>129</v>
      </c>
      <c r="AW6" s="620">
        <f t="shared" si="4"/>
        <v>252</v>
      </c>
    </row>
    <row r="7" spans="1:49">
      <c r="A7" s="613">
        <v>3</v>
      </c>
      <c r="B7" s="612">
        <v>0</v>
      </c>
      <c r="C7" s="612">
        <v>0</v>
      </c>
      <c r="D7" s="611">
        <v>126</v>
      </c>
      <c r="E7" s="611">
        <v>351</v>
      </c>
      <c r="G7" s="612">
        <v>0</v>
      </c>
      <c r="H7" s="612">
        <v>0</v>
      </c>
      <c r="I7" s="611">
        <v>2</v>
      </c>
      <c r="J7" s="611">
        <v>6</v>
      </c>
      <c r="K7" s="612">
        <v>0</v>
      </c>
      <c r="L7" s="612">
        <v>0</v>
      </c>
      <c r="M7" s="611">
        <v>0</v>
      </c>
      <c r="N7" s="611">
        <v>0</v>
      </c>
      <c r="O7" s="612">
        <v>0</v>
      </c>
      <c r="P7" s="612">
        <v>0</v>
      </c>
      <c r="Q7" s="611">
        <v>34</v>
      </c>
      <c r="R7" s="611">
        <v>119</v>
      </c>
      <c r="S7" s="612">
        <v>0</v>
      </c>
      <c r="T7" s="612">
        <v>0</v>
      </c>
      <c r="U7" s="611">
        <v>0</v>
      </c>
      <c r="V7" s="611">
        <v>0</v>
      </c>
      <c r="W7" s="610">
        <v>0</v>
      </c>
      <c r="X7" s="610">
        <v>0</v>
      </c>
      <c r="Y7" s="609">
        <v>0</v>
      </c>
      <c r="Z7" s="609">
        <v>0</v>
      </c>
      <c r="AA7" s="610">
        <v>0</v>
      </c>
      <c r="AB7" s="610">
        <v>0</v>
      </c>
      <c r="AC7" s="609">
        <v>5</v>
      </c>
      <c r="AD7" s="609">
        <v>18</v>
      </c>
      <c r="AE7" s="610">
        <v>0</v>
      </c>
      <c r="AF7" s="610">
        <v>0</v>
      </c>
      <c r="AG7" s="609">
        <v>0</v>
      </c>
      <c r="AH7" s="609">
        <v>0</v>
      </c>
      <c r="AI7" s="610">
        <v>0</v>
      </c>
      <c r="AJ7" s="610">
        <v>0</v>
      </c>
      <c r="AK7" s="609">
        <v>0</v>
      </c>
      <c r="AL7" s="609">
        <v>0</v>
      </c>
      <c r="AM7" s="610">
        <v>0</v>
      </c>
      <c r="AN7" s="610">
        <v>0</v>
      </c>
      <c r="AO7" s="609">
        <v>2</v>
      </c>
      <c r="AP7" s="609">
        <v>6</v>
      </c>
      <c r="AQ7" s="622">
        <f t="shared" si="0"/>
        <v>0</v>
      </c>
      <c r="AR7" s="622">
        <f t="shared" si="1"/>
        <v>0</v>
      </c>
      <c r="AS7" s="621">
        <f t="shared" si="2"/>
        <v>169</v>
      </c>
      <c r="AT7" s="621">
        <f t="shared" si="3"/>
        <v>500</v>
      </c>
      <c r="AV7" s="620">
        <f t="shared" si="5"/>
        <v>169</v>
      </c>
      <c r="AW7" s="620">
        <f t="shared" si="4"/>
        <v>500</v>
      </c>
    </row>
    <row r="8" spans="1:49">
      <c r="A8" s="613">
        <v>4</v>
      </c>
      <c r="B8" s="612">
        <v>0</v>
      </c>
      <c r="C8" s="612">
        <v>0</v>
      </c>
      <c r="D8" s="611">
        <v>154</v>
      </c>
      <c r="E8" s="611">
        <v>553</v>
      </c>
      <c r="G8" s="612">
        <v>0</v>
      </c>
      <c r="H8" s="612">
        <v>0</v>
      </c>
      <c r="I8" s="611">
        <v>1</v>
      </c>
      <c r="J8" s="611">
        <v>4</v>
      </c>
      <c r="K8" s="612">
        <v>0</v>
      </c>
      <c r="L8" s="612">
        <v>0</v>
      </c>
      <c r="M8" s="611">
        <v>0</v>
      </c>
      <c r="N8" s="611">
        <v>0</v>
      </c>
      <c r="O8" s="612">
        <v>0</v>
      </c>
      <c r="P8" s="612">
        <v>0</v>
      </c>
      <c r="Q8" s="611">
        <v>27</v>
      </c>
      <c r="R8" s="611">
        <v>129</v>
      </c>
      <c r="S8" s="612">
        <v>0</v>
      </c>
      <c r="T8" s="612">
        <v>0</v>
      </c>
      <c r="U8" s="611">
        <v>1</v>
      </c>
      <c r="V8" s="611">
        <v>8</v>
      </c>
      <c r="W8" s="610">
        <v>0</v>
      </c>
      <c r="X8" s="610">
        <v>0</v>
      </c>
      <c r="Y8" s="609">
        <v>0</v>
      </c>
      <c r="Z8" s="609">
        <v>0</v>
      </c>
      <c r="AA8" s="610">
        <v>0</v>
      </c>
      <c r="AB8" s="610">
        <v>0</v>
      </c>
      <c r="AC8" s="609">
        <v>4</v>
      </c>
      <c r="AD8" s="609">
        <v>24</v>
      </c>
      <c r="AE8" s="610">
        <v>0</v>
      </c>
      <c r="AF8" s="610">
        <v>0</v>
      </c>
      <c r="AG8" s="609">
        <v>0</v>
      </c>
      <c r="AH8" s="609">
        <v>0</v>
      </c>
      <c r="AI8" s="610">
        <v>0</v>
      </c>
      <c r="AJ8" s="610">
        <v>0</v>
      </c>
      <c r="AK8" s="609">
        <v>0</v>
      </c>
      <c r="AL8" s="609">
        <v>0</v>
      </c>
      <c r="AM8" s="610">
        <v>0</v>
      </c>
      <c r="AN8" s="610">
        <v>0</v>
      </c>
      <c r="AO8" s="609">
        <v>1</v>
      </c>
      <c r="AP8" s="609">
        <v>4</v>
      </c>
      <c r="AQ8" s="622">
        <f t="shared" si="0"/>
        <v>0</v>
      </c>
      <c r="AR8" s="622">
        <f t="shared" si="1"/>
        <v>0</v>
      </c>
      <c r="AS8" s="621">
        <f t="shared" si="2"/>
        <v>188</v>
      </c>
      <c r="AT8" s="621">
        <f t="shared" si="3"/>
        <v>722</v>
      </c>
      <c r="AV8" s="620">
        <f t="shared" si="5"/>
        <v>188</v>
      </c>
      <c r="AW8" s="620">
        <f t="shared" si="4"/>
        <v>722</v>
      </c>
    </row>
    <row r="9" spans="1:49">
      <c r="A9" s="613">
        <v>5</v>
      </c>
      <c r="B9" s="612">
        <v>0</v>
      </c>
      <c r="C9" s="612">
        <v>0</v>
      </c>
      <c r="D9" s="611">
        <v>187</v>
      </c>
      <c r="E9" s="611">
        <v>841</v>
      </c>
      <c r="G9" s="612">
        <v>0</v>
      </c>
      <c r="H9" s="612">
        <v>0</v>
      </c>
      <c r="I9" s="611">
        <v>2</v>
      </c>
      <c r="J9" s="611">
        <v>10</v>
      </c>
      <c r="K9" s="612">
        <v>0</v>
      </c>
      <c r="L9" s="612">
        <v>0</v>
      </c>
      <c r="M9" s="611">
        <v>0</v>
      </c>
      <c r="N9" s="611">
        <v>0</v>
      </c>
      <c r="O9" s="612">
        <v>0</v>
      </c>
      <c r="P9" s="612">
        <v>0</v>
      </c>
      <c r="Q9" s="611">
        <v>33</v>
      </c>
      <c r="R9" s="611">
        <v>198</v>
      </c>
      <c r="S9" s="612">
        <v>0</v>
      </c>
      <c r="T9" s="612">
        <v>0</v>
      </c>
      <c r="U9" s="611">
        <v>0</v>
      </c>
      <c r="V9" s="611">
        <v>0</v>
      </c>
      <c r="W9" s="610">
        <v>0</v>
      </c>
      <c r="X9" s="610">
        <v>0</v>
      </c>
      <c r="Y9" s="609">
        <v>0</v>
      </c>
      <c r="Z9" s="609">
        <v>0</v>
      </c>
      <c r="AA9" s="610">
        <v>0</v>
      </c>
      <c r="AB9" s="610">
        <v>0</v>
      </c>
      <c r="AC9" s="609">
        <v>3</v>
      </c>
      <c r="AD9" s="609">
        <v>25</v>
      </c>
      <c r="AE9" s="610">
        <v>0</v>
      </c>
      <c r="AF9" s="610">
        <v>0</v>
      </c>
      <c r="AG9" s="609">
        <v>1</v>
      </c>
      <c r="AH9" s="609">
        <v>10</v>
      </c>
      <c r="AI9" s="610">
        <v>0</v>
      </c>
      <c r="AJ9" s="610">
        <v>0</v>
      </c>
      <c r="AK9" s="609">
        <v>0</v>
      </c>
      <c r="AL9" s="609">
        <v>0</v>
      </c>
      <c r="AM9" s="610">
        <v>0</v>
      </c>
      <c r="AN9" s="610">
        <v>0</v>
      </c>
      <c r="AO9" s="609">
        <v>4</v>
      </c>
      <c r="AP9" s="609">
        <v>20</v>
      </c>
      <c r="AQ9" s="622">
        <f t="shared" si="0"/>
        <v>0</v>
      </c>
      <c r="AR9" s="622">
        <f t="shared" si="1"/>
        <v>0</v>
      </c>
      <c r="AS9" s="621">
        <f t="shared" si="2"/>
        <v>230</v>
      </c>
      <c r="AT9" s="621">
        <f t="shared" si="3"/>
        <v>1104</v>
      </c>
      <c r="AV9" s="620">
        <f t="shared" si="5"/>
        <v>230</v>
      </c>
      <c r="AW9" s="620">
        <f t="shared" si="4"/>
        <v>1104</v>
      </c>
    </row>
    <row r="10" spans="1:49">
      <c r="A10" s="613">
        <v>6</v>
      </c>
      <c r="B10" s="612">
        <v>0</v>
      </c>
      <c r="C10" s="612">
        <v>0</v>
      </c>
      <c r="D10" s="611">
        <v>245</v>
      </c>
      <c r="E10" s="611">
        <v>1415</v>
      </c>
      <c r="G10" s="612">
        <v>0</v>
      </c>
      <c r="H10" s="612">
        <v>0</v>
      </c>
      <c r="I10" s="611">
        <v>3</v>
      </c>
      <c r="J10" s="611">
        <v>18</v>
      </c>
      <c r="K10" s="612">
        <v>0</v>
      </c>
      <c r="L10" s="612">
        <v>0</v>
      </c>
      <c r="M10" s="611">
        <v>0</v>
      </c>
      <c r="N10" s="611">
        <v>0</v>
      </c>
      <c r="O10" s="612">
        <v>0</v>
      </c>
      <c r="P10" s="612">
        <v>0</v>
      </c>
      <c r="Q10" s="611">
        <v>31</v>
      </c>
      <c r="R10" s="611">
        <v>262</v>
      </c>
      <c r="S10" s="612">
        <v>0</v>
      </c>
      <c r="T10" s="612">
        <v>0</v>
      </c>
      <c r="U10" s="611">
        <v>0</v>
      </c>
      <c r="V10" s="611">
        <v>0</v>
      </c>
      <c r="W10" s="610">
        <v>0</v>
      </c>
      <c r="X10" s="610">
        <v>0</v>
      </c>
      <c r="Y10" s="609">
        <v>0</v>
      </c>
      <c r="Z10" s="609">
        <v>0</v>
      </c>
      <c r="AA10" s="610">
        <v>0</v>
      </c>
      <c r="AB10" s="610">
        <v>0</v>
      </c>
      <c r="AC10" s="609">
        <v>2</v>
      </c>
      <c r="AD10" s="609">
        <v>22</v>
      </c>
      <c r="AE10" s="610">
        <v>0</v>
      </c>
      <c r="AF10" s="610">
        <v>0</v>
      </c>
      <c r="AG10" s="609">
        <v>0</v>
      </c>
      <c r="AH10" s="609">
        <v>0</v>
      </c>
      <c r="AI10" s="610">
        <v>0</v>
      </c>
      <c r="AJ10" s="610">
        <v>0</v>
      </c>
      <c r="AK10" s="609">
        <v>0</v>
      </c>
      <c r="AL10" s="609">
        <v>0</v>
      </c>
      <c r="AM10" s="610">
        <v>0</v>
      </c>
      <c r="AN10" s="610">
        <v>0</v>
      </c>
      <c r="AO10" s="609">
        <v>1</v>
      </c>
      <c r="AP10" s="609">
        <v>6</v>
      </c>
      <c r="AQ10" s="622">
        <f t="shared" si="0"/>
        <v>0</v>
      </c>
      <c r="AR10" s="622">
        <f t="shared" si="1"/>
        <v>0</v>
      </c>
      <c r="AS10" s="621">
        <f t="shared" si="2"/>
        <v>282</v>
      </c>
      <c r="AT10" s="621">
        <f t="shared" si="3"/>
        <v>1723</v>
      </c>
      <c r="AV10" s="620">
        <f t="shared" si="5"/>
        <v>282</v>
      </c>
      <c r="AW10" s="620">
        <f t="shared" si="4"/>
        <v>1723</v>
      </c>
    </row>
    <row r="11" spans="1:49">
      <c r="A11" s="613">
        <v>7</v>
      </c>
      <c r="B11" s="612">
        <v>0</v>
      </c>
      <c r="C11" s="612">
        <v>0</v>
      </c>
      <c r="D11" s="611">
        <v>220</v>
      </c>
      <c r="E11" s="611">
        <v>1476</v>
      </c>
      <c r="G11" s="612">
        <v>0</v>
      </c>
      <c r="H11" s="612">
        <v>0</v>
      </c>
      <c r="I11" s="611">
        <v>2</v>
      </c>
      <c r="J11" s="611">
        <v>14</v>
      </c>
      <c r="K11" s="612">
        <v>0</v>
      </c>
      <c r="L11" s="612">
        <v>0</v>
      </c>
      <c r="M11" s="611">
        <v>0</v>
      </c>
      <c r="N11" s="611">
        <v>0</v>
      </c>
      <c r="O11" s="612">
        <v>0</v>
      </c>
      <c r="P11" s="612">
        <v>0</v>
      </c>
      <c r="Q11" s="611">
        <v>16</v>
      </c>
      <c r="R11" s="611">
        <v>148</v>
      </c>
      <c r="S11" s="612">
        <v>0</v>
      </c>
      <c r="T11" s="612">
        <v>0</v>
      </c>
      <c r="U11" s="611">
        <v>0</v>
      </c>
      <c r="V11" s="611">
        <v>0</v>
      </c>
      <c r="W11" s="610">
        <v>0</v>
      </c>
      <c r="X11" s="610">
        <v>0</v>
      </c>
      <c r="Y11" s="609">
        <v>0</v>
      </c>
      <c r="Z11" s="609">
        <v>0</v>
      </c>
      <c r="AA11" s="610">
        <v>0</v>
      </c>
      <c r="AB11" s="610">
        <v>0</v>
      </c>
      <c r="AC11" s="609">
        <v>3</v>
      </c>
      <c r="AD11" s="609">
        <v>21</v>
      </c>
      <c r="AE11" s="610">
        <v>0</v>
      </c>
      <c r="AF11" s="610">
        <v>0</v>
      </c>
      <c r="AG11" s="609">
        <v>0</v>
      </c>
      <c r="AH11" s="609">
        <v>0</v>
      </c>
      <c r="AI11" s="610">
        <v>0</v>
      </c>
      <c r="AJ11" s="610">
        <v>0</v>
      </c>
      <c r="AK11" s="609">
        <v>0</v>
      </c>
      <c r="AL11" s="609">
        <v>0</v>
      </c>
      <c r="AM11" s="610">
        <v>0</v>
      </c>
      <c r="AN11" s="610">
        <v>0</v>
      </c>
      <c r="AO11" s="609">
        <v>1</v>
      </c>
      <c r="AP11" s="609">
        <v>7</v>
      </c>
      <c r="AQ11" s="622">
        <f t="shared" si="0"/>
        <v>0</v>
      </c>
      <c r="AR11" s="622">
        <f t="shared" si="1"/>
        <v>0</v>
      </c>
      <c r="AS11" s="621">
        <f t="shared" si="2"/>
        <v>242</v>
      </c>
      <c r="AT11" s="621">
        <f t="shared" si="3"/>
        <v>1666</v>
      </c>
      <c r="AV11" s="620">
        <f t="shared" si="5"/>
        <v>242</v>
      </c>
      <c r="AW11" s="620">
        <f t="shared" si="4"/>
        <v>1666</v>
      </c>
    </row>
    <row r="12" spans="1:49">
      <c r="A12" s="613">
        <v>8</v>
      </c>
      <c r="B12" s="612">
        <v>0</v>
      </c>
      <c r="C12" s="612">
        <v>0</v>
      </c>
      <c r="D12" s="611">
        <v>264</v>
      </c>
      <c r="E12" s="611">
        <v>1991</v>
      </c>
      <c r="G12" s="612">
        <v>0</v>
      </c>
      <c r="H12" s="612">
        <v>0</v>
      </c>
      <c r="I12" s="611">
        <v>1</v>
      </c>
      <c r="J12" s="611">
        <v>8</v>
      </c>
      <c r="K12" s="612">
        <v>0</v>
      </c>
      <c r="L12" s="612">
        <v>0</v>
      </c>
      <c r="M12" s="611">
        <v>0</v>
      </c>
      <c r="N12" s="611">
        <v>0</v>
      </c>
      <c r="O12" s="612">
        <v>0</v>
      </c>
      <c r="P12" s="612">
        <v>0</v>
      </c>
      <c r="Q12" s="611">
        <v>29</v>
      </c>
      <c r="R12" s="611">
        <v>321</v>
      </c>
      <c r="S12" s="612">
        <v>0</v>
      </c>
      <c r="T12" s="612">
        <v>0</v>
      </c>
      <c r="U12" s="611">
        <v>1</v>
      </c>
      <c r="V12" s="611">
        <v>8</v>
      </c>
      <c r="W12" s="610">
        <v>0</v>
      </c>
      <c r="X12" s="610">
        <v>0</v>
      </c>
      <c r="Y12" s="609">
        <v>0</v>
      </c>
      <c r="Z12" s="609">
        <v>0</v>
      </c>
      <c r="AA12" s="610">
        <v>0</v>
      </c>
      <c r="AB12" s="610">
        <v>0</v>
      </c>
      <c r="AC12" s="609">
        <v>4</v>
      </c>
      <c r="AD12" s="609">
        <v>48</v>
      </c>
      <c r="AE12" s="610">
        <v>0</v>
      </c>
      <c r="AF12" s="610">
        <v>0</v>
      </c>
      <c r="AG12" s="609">
        <v>0</v>
      </c>
      <c r="AH12" s="609">
        <v>0</v>
      </c>
      <c r="AI12" s="610">
        <v>0</v>
      </c>
      <c r="AJ12" s="610">
        <v>0</v>
      </c>
      <c r="AK12" s="609">
        <v>0</v>
      </c>
      <c r="AL12" s="609">
        <v>0</v>
      </c>
      <c r="AM12" s="610">
        <v>0</v>
      </c>
      <c r="AN12" s="610">
        <v>0</v>
      </c>
      <c r="AO12" s="609">
        <v>2</v>
      </c>
      <c r="AP12" s="609">
        <v>23</v>
      </c>
      <c r="AQ12" s="622">
        <f t="shared" si="0"/>
        <v>0</v>
      </c>
      <c r="AR12" s="622">
        <f t="shared" si="1"/>
        <v>0</v>
      </c>
      <c r="AS12" s="621">
        <f t="shared" si="2"/>
        <v>301</v>
      </c>
      <c r="AT12" s="621">
        <f t="shared" si="3"/>
        <v>2399</v>
      </c>
      <c r="AV12" s="620">
        <f t="shared" si="5"/>
        <v>301</v>
      </c>
      <c r="AW12" s="620">
        <f t="shared" si="4"/>
        <v>2399</v>
      </c>
    </row>
    <row r="13" spans="1:49">
      <c r="A13" s="613">
        <v>9</v>
      </c>
      <c r="B13" s="612">
        <v>0</v>
      </c>
      <c r="C13" s="612">
        <v>0</v>
      </c>
      <c r="D13" s="611">
        <v>238</v>
      </c>
      <c r="E13" s="611">
        <v>2068</v>
      </c>
      <c r="G13" s="612">
        <v>0</v>
      </c>
      <c r="H13" s="612">
        <v>0</v>
      </c>
      <c r="I13" s="611">
        <v>0</v>
      </c>
      <c r="J13" s="611">
        <v>0</v>
      </c>
      <c r="K13" s="612">
        <v>0</v>
      </c>
      <c r="L13" s="612">
        <v>0</v>
      </c>
      <c r="M13" s="611">
        <v>0</v>
      </c>
      <c r="N13" s="611">
        <v>0</v>
      </c>
      <c r="O13" s="612">
        <v>0</v>
      </c>
      <c r="P13" s="612">
        <v>0</v>
      </c>
      <c r="Q13" s="611">
        <v>13</v>
      </c>
      <c r="R13" s="611">
        <v>151</v>
      </c>
      <c r="S13" s="612">
        <v>0</v>
      </c>
      <c r="T13" s="612">
        <v>0</v>
      </c>
      <c r="U13" s="611">
        <v>0</v>
      </c>
      <c r="V13" s="611">
        <v>0</v>
      </c>
      <c r="W13" s="610">
        <v>0</v>
      </c>
      <c r="X13" s="610">
        <v>0</v>
      </c>
      <c r="Y13" s="609">
        <v>0</v>
      </c>
      <c r="Z13" s="609">
        <v>0</v>
      </c>
      <c r="AA13" s="610">
        <v>0</v>
      </c>
      <c r="AB13" s="610">
        <v>0</v>
      </c>
      <c r="AC13" s="609">
        <v>6</v>
      </c>
      <c r="AD13" s="609">
        <v>71</v>
      </c>
      <c r="AE13" s="610">
        <v>0</v>
      </c>
      <c r="AF13" s="610">
        <v>0</v>
      </c>
      <c r="AG13" s="609">
        <v>0</v>
      </c>
      <c r="AH13" s="609">
        <v>0</v>
      </c>
      <c r="AI13" s="610">
        <v>0</v>
      </c>
      <c r="AJ13" s="610">
        <v>0</v>
      </c>
      <c r="AK13" s="609">
        <v>0</v>
      </c>
      <c r="AL13" s="609">
        <v>0</v>
      </c>
      <c r="AM13" s="610">
        <v>0</v>
      </c>
      <c r="AN13" s="610">
        <v>0</v>
      </c>
      <c r="AO13" s="609">
        <v>1</v>
      </c>
      <c r="AP13" s="609">
        <v>9</v>
      </c>
      <c r="AQ13" s="622">
        <f t="shared" si="0"/>
        <v>0</v>
      </c>
      <c r="AR13" s="622">
        <f t="shared" si="1"/>
        <v>0</v>
      </c>
      <c r="AS13" s="621">
        <f t="shared" si="2"/>
        <v>258</v>
      </c>
      <c r="AT13" s="621">
        <f t="shared" si="3"/>
        <v>2299</v>
      </c>
      <c r="AV13" s="620">
        <f t="shared" si="5"/>
        <v>258</v>
      </c>
      <c r="AW13" s="620">
        <f t="shared" si="4"/>
        <v>2299</v>
      </c>
    </row>
    <row r="14" spans="1:49">
      <c r="A14" s="613">
        <v>10</v>
      </c>
      <c r="B14" s="612">
        <v>2211</v>
      </c>
      <c r="C14" s="612">
        <v>22110</v>
      </c>
      <c r="D14" s="611">
        <v>526</v>
      </c>
      <c r="E14" s="611">
        <v>5120</v>
      </c>
      <c r="G14" s="612">
        <v>15</v>
      </c>
      <c r="H14" s="612">
        <v>150</v>
      </c>
      <c r="I14" s="611">
        <v>3</v>
      </c>
      <c r="J14" s="611">
        <v>30</v>
      </c>
      <c r="K14" s="612">
        <v>0</v>
      </c>
      <c r="L14" s="612">
        <v>0</v>
      </c>
      <c r="M14" s="611">
        <v>0</v>
      </c>
      <c r="N14" s="611">
        <v>0</v>
      </c>
      <c r="O14" s="612">
        <v>311</v>
      </c>
      <c r="P14" s="612">
        <v>3110</v>
      </c>
      <c r="Q14" s="611">
        <v>47</v>
      </c>
      <c r="R14" s="611">
        <v>615</v>
      </c>
      <c r="S14" s="612">
        <v>2</v>
      </c>
      <c r="T14" s="612">
        <v>20</v>
      </c>
      <c r="U14" s="611">
        <v>0</v>
      </c>
      <c r="V14" s="611">
        <v>0</v>
      </c>
      <c r="W14" s="610">
        <v>0</v>
      </c>
      <c r="X14" s="610">
        <v>0</v>
      </c>
      <c r="Y14" s="609">
        <v>0</v>
      </c>
      <c r="Z14" s="609">
        <v>0</v>
      </c>
      <c r="AA14" s="610">
        <v>45</v>
      </c>
      <c r="AB14" s="610">
        <v>450</v>
      </c>
      <c r="AC14" s="609">
        <v>8</v>
      </c>
      <c r="AD14" s="609">
        <v>89</v>
      </c>
      <c r="AE14" s="610">
        <v>1</v>
      </c>
      <c r="AF14" s="610">
        <v>10</v>
      </c>
      <c r="AG14" s="609">
        <v>0</v>
      </c>
      <c r="AH14" s="609">
        <v>0</v>
      </c>
      <c r="AI14" s="610">
        <v>0</v>
      </c>
      <c r="AJ14" s="610">
        <v>0</v>
      </c>
      <c r="AK14" s="609">
        <v>0</v>
      </c>
      <c r="AL14" s="609">
        <v>0</v>
      </c>
      <c r="AM14" s="610">
        <v>36</v>
      </c>
      <c r="AN14" s="610">
        <v>360</v>
      </c>
      <c r="AO14" s="609">
        <v>12</v>
      </c>
      <c r="AP14" s="609">
        <v>110</v>
      </c>
      <c r="AQ14" s="622">
        <f t="shared" si="0"/>
        <v>2621</v>
      </c>
      <c r="AR14" s="622">
        <f t="shared" si="1"/>
        <v>26210</v>
      </c>
      <c r="AS14" s="621">
        <f t="shared" si="2"/>
        <v>596</v>
      </c>
      <c r="AT14" s="621">
        <f t="shared" si="3"/>
        <v>5964</v>
      </c>
      <c r="AV14" s="620">
        <f t="shared" si="5"/>
        <v>596</v>
      </c>
      <c r="AW14" s="620">
        <f t="shared" si="4"/>
        <v>5964</v>
      </c>
    </row>
    <row r="15" spans="1:49">
      <c r="A15" s="613">
        <v>11</v>
      </c>
      <c r="B15" s="612">
        <v>267</v>
      </c>
      <c r="C15" s="612">
        <v>2932</v>
      </c>
      <c r="D15" s="611">
        <v>265</v>
      </c>
      <c r="E15" s="611">
        <v>2852</v>
      </c>
      <c r="G15" s="612">
        <v>1</v>
      </c>
      <c r="H15" s="612">
        <v>11</v>
      </c>
      <c r="I15" s="611">
        <v>1</v>
      </c>
      <c r="J15" s="611">
        <v>11</v>
      </c>
      <c r="K15" s="612">
        <v>0</v>
      </c>
      <c r="L15" s="612">
        <v>0</v>
      </c>
      <c r="M15" s="611">
        <v>0</v>
      </c>
      <c r="N15" s="611">
        <v>0</v>
      </c>
      <c r="O15" s="612">
        <v>13</v>
      </c>
      <c r="P15" s="612">
        <v>141</v>
      </c>
      <c r="Q15" s="611">
        <v>13</v>
      </c>
      <c r="R15" s="611">
        <v>193</v>
      </c>
      <c r="S15" s="612">
        <v>0</v>
      </c>
      <c r="T15" s="612">
        <v>0</v>
      </c>
      <c r="U15" s="611">
        <v>0</v>
      </c>
      <c r="V15" s="611">
        <v>0</v>
      </c>
      <c r="W15" s="610">
        <v>0</v>
      </c>
      <c r="X15" s="610">
        <v>0</v>
      </c>
      <c r="Y15" s="609">
        <v>0</v>
      </c>
      <c r="Z15" s="609">
        <v>0</v>
      </c>
      <c r="AA15" s="610">
        <v>1</v>
      </c>
      <c r="AB15" s="610">
        <v>11</v>
      </c>
      <c r="AC15" s="609">
        <v>1</v>
      </c>
      <c r="AD15" s="609">
        <v>22</v>
      </c>
      <c r="AE15" s="610">
        <v>0</v>
      </c>
      <c r="AF15" s="610">
        <v>0</v>
      </c>
      <c r="AG15" s="609">
        <v>0</v>
      </c>
      <c r="AH15" s="609">
        <v>0</v>
      </c>
      <c r="AI15" s="610">
        <v>0</v>
      </c>
      <c r="AJ15" s="610">
        <v>0</v>
      </c>
      <c r="AK15" s="609">
        <v>0</v>
      </c>
      <c r="AL15" s="609">
        <v>0</v>
      </c>
      <c r="AM15" s="610">
        <v>2</v>
      </c>
      <c r="AN15" s="610">
        <v>22</v>
      </c>
      <c r="AO15" s="609">
        <v>2</v>
      </c>
      <c r="AP15" s="609">
        <v>22</v>
      </c>
      <c r="AQ15" s="622">
        <f t="shared" si="0"/>
        <v>284</v>
      </c>
      <c r="AR15" s="622">
        <f t="shared" si="1"/>
        <v>3117</v>
      </c>
      <c r="AS15" s="621">
        <f t="shared" si="2"/>
        <v>282</v>
      </c>
      <c r="AT15" s="621">
        <f t="shared" si="3"/>
        <v>3100</v>
      </c>
      <c r="AV15" s="620">
        <f t="shared" si="5"/>
        <v>282</v>
      </c>
      <c r="AW15" s="620">
        <f t="shared" si="4"/>
        <v>3100</v>
      </c>
    </row>
    <row r="16" spans="1:49">
      <c r="A16" s="613">
        <v>12</v>
      </c>
      <c r="B16" s="612">
        <v>214</v>
      </c>
      <c r="C16" s="612">
        <v>2564</v>
      </c>
      <c r="D16" s="611">
        <v>213</v>
      </c>
      <c r="E16" s="611">
        <v>2480</v>
      </c>
      <c r="G16" s="612">
        <v>3</v>
      </c>
      <c r="H16" s="612">
        <v>36</v>
      </c>
      <c r="I16" s="611">
        <v>3</v>
      </c>
      <c r="J16" s="611">
        <v>36</v>
      </c>
      <c r="K16" s="612">
        <v>0</v>
      </c>
      <c r="L16" s="612">
        <v>0</v>
      </c>
      <c r="M16" s="611">
        <v>0</v>
      </c>
      <c r="N16" s="611">
        <v>0</v>
      </c>
      <c r="O16" s="612">
        <v>12</v>
      </c>
      <c r="P16" s="612">
        <v>144</v>
      </c>
      <c r="Q16" s="611">
        <v>12</v>
      </c>
      <c r="R16" s="611">
        <v>199</v>
      </c>
      <c r="S16" s="612">
        <v>0</v>
      </c>
      <c r="T16" s="612">
        <v>0</v>
      </c>
      <c r="U16" s="611">
        <v>0</v>
      </c>
      <c r="V16" s="611">
        <v>0</v>
      </c>
      <c r="W16" s="610">
        <v>0</v>
      </c>
      <c r="X16" s="610">
        <v>0</v>
      </c>
      <c r="Y16" s="609">
        <v>0</v>
      </c>
      <c r="Z16" s="609">
        <v>0</v>
      </c>
      <c r="AA16" s="610">
        <v>4</v>
      </c>
      <c r="AB16" s="610">
        <v>48</v>
      </c>
      <c r="AC16" s="609">
        <v>4</v>
      </c>
      <c r="AD16" s="609">
        <v>48</v>
      </c>
      <c r="AE16" s="610">
        <v>0</v>
      </c>
      <c r="AF16" s="610">
        <v>0</v>
      </c>
      <c r="AG16" s="609">
        <v>0</v>
      </c>
      <c r="AH16" s="609">
        <v>0</v>
      </c>
      <c r="AI16" s="610">
        <v>0</v>
      </c>
      <c r="AJ16" s="610">
        <v>0</v>
      </c>
      <c r="AK16" s="609">
        <v>0</v>
      </c>
      <c r="AL16" s="609">
        <v>0</v>
      </c>
      <c r="AM16" s="610">
        <v>1</v>
      </c>
      <c r="AN16" s="610">
        <v>12</v>
      </c>
      <c r="AO16" s="609">
        <v>1</v>
      </c>
      <c r="AP16" s="609">
        <v>12</v>
      </c>
      <c r="AQ16" s="622">
        <f t="shared" si="0"/>
        <v>234</v>
      </c>
      <c r="AR16" s="622">
        <f t="shared" si="1"/>
        <v>2804</v>
      </c>
      <c r="AS16" s="621">
        <f t="shared" si="2"/>
        <v>233</v>
      </c>
      <c r="AT16" s="621">
        <f t="shared" si="3"/>
        <v>2775</v>
      </c>
      <c r="AV16" s="620">
        <f t="shared" si="5"/>
        <v>233</v>
      </c>
      <c r="AW16" s="620">
        <f t="shared" si="4"/>
        <v>2775</v>
      </c>
    </row>
    <row r="17" spans="1:49">
      <c r="A17" s="613">
        <v>13</v>
      </c>
      <c r="B17" s="612">
        <v>175</v>
      </c>
      <c r="C17" s="612">
        <v>2274</v>
      </c>
      <c r="D17" s="611">
        <v>175</v>
      </c>
      <c r="E17" s="611">
        <v>2273</v>
      </c>
      <c r="G17" s="612">
        <v>0</v>
      </c>
      <c r="H17" s="612">
        <v>0</v>
      </c>
      <c r="I17" s="611">
        <v>0</v>
      </c>
      <c r="J17" s="611">
        <v>0</v>
      </c>
      <c r="K17" s="612">
        <v>0</v>
      </c>
      <c r="L17" s="612">
        <v>0</v>
      </c>
      <c r="M17" s="611">
        <v>0</v>
      </c>
      <c r="N17" s="611">
        <v>0</v>
      </c>
      <c r="O17" s="612">
        <v>10</v>
      </c>
      <c r="P17" s="612">
        <v>128</v>
      </c>
      <c r="Q17" s="611">
        <v>10</v>
      </c>
      <c r="R17" s="611">
        <v>176</v>
      </c>
      <c r="S17" s="612">
        <v>0</v>
      </c>
      <c r="T17" s="612">
        <v>0</v>
      </c>
      <c r="U17" s="611">
        <v>0</v>
      </c>
      <c r="V17" s="611">
        <v>0</v>
      </c>
      <c r="W17" s="610">
        <v>0</v>
      </c>
      <c r="X17" s="610">
        <v>0</v>
      </c>
      <c r="Y17" s="609">
        <v>0</v>
      </c>
      <c r="Z17" s="609">
        <v>0</v>
      </c>
      <c r="AA17" s="610">
        <v>2</v>
      </c>
      <c r="AB17" s="610">
        <v>26</v>
      </c>
      <c r="AC17" s="609">
        <v>2</v>
      </c>
      <c r="AD17" s="609">
        <v>38</v>
      </c>
      <c r="AE17" s="610">
        <v>0</v>
      </c>
      <c r="AF17" s="610">
        <v>0</v>
      </c>
      <c r="AG17" s="609">
        <v>0</v>
      </c>
      <c r="AH17" s="609">
        <v>0</v>
      </c>
      <c r="AI17" s="610">
        <v>0</v>
      </c>
      <c r="AJ17" s="610">
        <v>0</v>
      </c>
      <c r="AK17" s="609">
        <v>0</v>
      </c>
      <c r="AL17" s="609">
        <v>0</v>
      </c>
      <c r="AM17" s="610">
        <v>0</v>
      </c>
      <c r="AN17" s="610">
        <v>0</v>
      </c>
      <c r="AO17" s="609">
        <v>0</v>
      </c>
      <c r="AP17" s="609">
        <v>0</v>
      </c>
      <c r="AQ17" s="622">
        <f t="shared" si="0"/>
        <v>187</v>
      </c>
      <c r="AR17" s="622">
        <f t="shared" si="1"/>
        <v>2428</v>
      </c>
      <c r="AS17" s="621">
        <f t="shared" si="2"/>
        <v>187</v>
      </c>
      <c r="AT17" s="621">
        <f t="shared" si="3"/>
        <v>2487</v>
      </c>
      <c r="AV17" s="620">
        <f t="shared" si="5"/>
        <v>187</v>
      </c>
      <c r="AW17" s="620">
        <f t="shared" si="4"/>
        <v>2487</v>
      </c>
    </row>
    <row r="18" spans="1:49">
      <c r="A18" s="613">
        <v>14</v>
      </c>
      <c r="B18" s="612">
        <v>152</v>
      </c>
      <c r="C18" s="612">
        <v>2126</v>
      </c>
      <c r="D18" s="611">
        <v>152</v>
      </c>
      <c r="E18" s="611">
        <v>2112</v>
      </c>
      <c r="G18" s="612">
        <v>0</v>
      </c>
      <c r="H18" s="612">
        <v>0</v>
      </c>
      <c r="I18" s="611">
        <v>0</v>
      </c>
      <c r="J18" s="611">
        <v>0</v>
      </c>
      <c r="K18" s="612">
        <v>0</v>
      </c>
      <c r="L18" s="612">
        <v>0</v>
      </c>
      <c r="M18" s="611">
        <v>0</v>
      </c>
      <c r="N18" s="611">
        <v>0</v>
      </c>
      <c r="O18" s="612">
        <v>6</v>
      </c>
      <c r="P18" s="612">
        <v>83</v>
      </c>
      <c r="Q18" s="611">
        <v>6</v>
      </c>
      <c r="R18" s="611">
        <v>110</v>
      </c>
      <c r="S18" s="612">
        <v>0</v>
      </c>
      <c r="T18" s="612">
        <v>0</v>
      </c>
      <c r="U18" s="611">
        <v>0</v>
      </c>
      <c r="V18" s="611">
        <v>0</v>
      </c>
      <c r="W18" s="610">
        <v>0</v>
      </c>
      <c r="X18" s="610">
        <v>0</v>
      </c>
      <c r="Y18" s="609">
        <v>0</v>
      </c>
      <c r="Z18" s="609">
        <v>0</v>
      </c>
      <c r="AA18" s="610">
        <v>3</v>
      </c>
      <c r="AB18" s="610">
        <v>42</v>
      </c>
      <c r="AC18" s="609">
        <v>3</v>
      </c>
      <c r="AD18" s="609">
        <v>42</v>
      </c>
      <c r="AE18" s="610">
        <v>0</v>
      </c>
      <c r="AF18" s="610">
        <v>0</v>
      </c>
      <c r="AG18" s="609">
        <v>0</v>
      </c>
      <c r="AH18" s="609">
        <v>0</v>
      </c>
      <c r="AI18" s="610">
        <v>0</v>
      </c>
      <c r="AJ18" s="610">
        <v>0</v>
      </c>
      <c r="AK18" s="609">
        <v>0</v>
      </c>
      <c r="AL18" s="609">
        <v>0</v>
      </c>
      <c r="AM18" s="610">
        <v>0</v>
      </c>
      <c r="AN18" s="610">
        <v>0</v>
      </c>
      <c r="AO18" s="609">
        <v>0</v>
      </c>
      <c r="AP18" s="609">
        <v>0</v>
      </c>
      <c r="AQ18" s="622">
        <f t="shared" si="0"/>
        <v>161</v>
      </c>
      <c r="AR18" s="622">
        <f t="shared" si="1"/>
        <v>2251</v>
      </c>
      <c r="AS18" s="621">
        <f t="shared" si="2"/>
        <v>161</v>
      </c>
      <c r="AT18" s="621">
        <f t="shared" si="3"/>
        <v>2264</v>
      </c>
      <c r="AV18" s="620">
        <f t="shared" si="5"/>
        <v>161</v>
      </c>
      <c r="AW18" s="620">
        <f t="shared" si="4"/>
        <v>2264</v>
      </c>
    </row>
    <row r="19" spans="1:49">
      <c r="A19" s="613">
        <v>15</v>
      </c>
      <c r="B19" s="612">
        <v>130</v>
      </c>
      <c r="C19" s="612">
        <v>1948</v>
      </c>
      <c r="D19" s="611">
        <v>130</v>
      </c>
      <c r="E19" s="611">
        <v>1933</v>
      </c>
      <c r="G19" s="612">
        <v>1</v>
      </c>
      <c r="H19" s="612">
        <v>15</v>
      </c>
      <c r="I19" s="611">
        <v>1</v>
      </c>
      <c r="J19" s="611">
        <v>15</v>
      </c>
      <c r="K19" s="612">
        <v>0</v>
      </c>
      <c r="L19" s="612">
        <v>0</v>
      </c>
      <c r="M19" s="611">
        <v>0</v>
      </c>
      <c r="N19" s="611">
        <v>0</v>
      </c>
      <c r="O19" s="612">
        <v>2</v>
      </c>
      <c r="P19" s="612">
        <v>30</v>
      </c>
      <c r="Q19" s="611">
        <v>2</v>
      </c>
      <c r="R19" s="611">
        <v>30</v>
      </c>
      <c r="S19" s="612">
        <v>0</v>
      </c>
      <c r="T19" s="612">
        <v>0</v>
      </c>
      <c r="U19" s="611">
        <v>0</v>
      </c>
      <c r="V19" s="611">
        <v>0</v>
      </c>
      <c r="W19" s="610">
        <v>0</v>
      </c>
      <c r="X19" s="610">
        <v>0</v>
      </c>
      <c r="Y19" s="609">
        <v>0</v>
      </c>
      <c r="Z19" s="609">
        <v>0</v>
      </c>
      <c r="AA19" s="610">
        <v>0</v>
      </c>
      <c r="AB19" s="610">
        <v>0</v>
      </c>
      <c r="AC19" s="609">
        <v>0</v>
      </c>
      <c r="AD19" s="609">
        <v>0</v>
      </c>
      <c r="AE19" s="610">
        <v>0</v>
      </c>
      <c r="AF19" s="610">
        <v>0</v>
      </c>
      <c r="AG19" s="609">
        <v>0</v>
      </c>
      <c r="AH19" s="609">
        <v>0</v>
      </c>
      <c r="AI19" s="610">
        <v>0</v>
      </c>
      <c r="AJ19" s="610">
        <v>0</v>
      </c>
      <c r="AK19" s="609">
        <v>0</v>
      </c>
      <c r="AL19" s="609">
        <v>0</v>
      </c>
      <c r="AM19" s="610">
        <v>0</v>
      </c>
      <c r="AN19" s="610">
        <v>0</v>
      </c>
      <c r="AO19" s="609">
        <v>0</v>
      </c>
      <c r="AP19" s="609">
        <v>0</v>
      </c>
      <c r="AQ19" s="622">
        <f t="shared" si="0"/>
        <v>133</v>
      </c>
      <c r="AR19" s="622">
        <f t="shared" si="1"/>
        <v>1993</v>
      </c>
      <c r="AS19" s="621">
        <f t="shared" si="2"/>
        <v>133</v>
      </c>
      <c r="AT19" s="621">
        <f t="shared" si="3"/>
        <v>1978</v>
      </c>
      <c r="AV19" s="620">
        <f t="shared" si="5"/>
        <v>133</v>
      </c>
      <c r="AW19" s="620">
        <f t="shared" si="4"/>
        <v>1978</v>
      </c>
    </row>
    <row r="20" spans="1:49">
      <c r="A20" s="613">
        <v>16</v>
      </c>
      <c r="B20" s="612">
        <v>105</v>
      </c>
      <c r="C20" s="612">
        <v>1679</v>
      </c>
      <c r="D20" s="611">
        <v>105</v>
      </c>
      <c r="E20" s="611">
        <v>1663</v>
      </c>
      <c r="G20" s="612">
        <v>0</v>
      </c>
      <c r="H20" s="612">
        <v>0</v>
      </c>
      <c r="I20" s="611">
        <v>0</v>
      </c>
      <c r="J20" s="611">
        <v>0</v>
      </c>
      <c r="K20" s="612">
        <v>0</v>
      </c>
      <c r="L20" s="612">
        <v>0</v>
      </c>
      <c r="M20" s="611">
        <v>0</v>
      </c>
      <c r="N20" s="611">
        <v>0</v>
      </c>
      <c r="O20" s="612">
        <v>0</v>
      </c>
      <c r="P20" s="612">
        <v>0</v>
      </c>
      <c r="Q20" s="611">
        <v>0</v>
      </c>
      <c r="R20" s="611">
        <v>0</v>
      </c>
      <c r="S20" s="612">
        <v>0</v>
      </c>
      <c r="T20" s="612">
        <v>0</v>
      </c>
      <c r="U20" s="611">
        <v>0</v>
      </c>
      <c r="V20" s="611">
        <v>0</v>
      </c>
      <c r="W20" s="610">
        <v>0</v>
      </c>
      <c r="X20" s="610">
        <v>0</v>
      </c>
      <c r="Y20" s="609">
        <v>0</v>
      </c>
      <c r="Z20" s="609">
        <v>0</v>
      </c>
      <c r="AA20" s="610">
        <v>1</v>
      </c>
      <c r="AB20" s="610">
        <v>16</v>
      </c>
      <c r="AC20" s="609">
        <v>1</v>
      </c>
      <c r="AD20" s="609">
        <v>16</v>
      </c>
      <c r="AE20" s="610">
        <v>0</v>
      </c>
      <c r="AF20" s="610">
        <v>0</v>
      </c>
      <c r="AG20" s="609">
        <v>0</v>
      </c>
      <c r="AH20" s="609">
        <v>0</v>
      </c>
      <c r="AI20" s="610">
        <v>0</v>
      </c>
      <c r="AJ20" s="610">
        <v>0</v>
      </c>
      <c r="AK20" s="609">
        <v>0</v>
      </c>
      <c r="AL20" s="609">
        <v>0</v>
      </c>
      <c r="AM20" s="610">
        <v>4</v>
      </c>
      <c r="AN20" s="610">
        <v>63</v>
      </c>
      <c r="AO20" s="609">
        <v>4</v>
      </c>
      <c r="AP20" s="609">
        <v>78</v>
      </c>
      <c r="AQ20" s="622">
        <f t="shared" si="0"/>
        <v>110</v>
      </c>
      <c r="AR20" s="622">
        <f t="shared" si="1"/>
        <v>1758</v>
      </c>
      <c r="AS20" s="621">
        <f t="shared" si="2"/>
        <v>110</v>
      </c>
      <c r="AT20" s="621">
        <f t="shared" si="3"/>
        <v>1757</v>
      </c>
      <c r="AV20" s="620">
        <f t="shared" si="5"/>
        <v>110</v>
      </c>
      <c r="AW20" s="620">
        <f t="shared" si="4"/>
        <v>1757</v>
      </c>
    </row>
    <row r="21" spans="1:49">
      <c r="A21" s="613">
        <v>17</v>
      </c>
      <c r="B21" s="612">
        <v>79</v>
      </c>
      <c r="C21" s="612">
        <v>1343</v>
      </c>
      <c r="D21" s="611">
        <v>79</v>
      </c>
      <c r="E21" s="611">
        <v>1309</v>
      </c>
      <c r="G21" s="612">
        <v>1</v>
      </c>
      <c r="H21" s="612">
        <v>17</v>
      </c>
      <c r="I21" s="611">
        <v>1</v>
      </c>
      <c r="J21" s="611">
        <v>17</v>
      </c>
      <c r="K21" s="612">
        <v>0</v>
      </c>
      <c r="L21" s="612">
        <v>0</v>
      </c>
      <c r="M21" s="611">
        <v>0</v>
      </c>
      <c r="N21" s="611">
        <v>0</v>
      </c>
      <c r="O21" s="612">
        <v>5</v>
      </c>
      <c r="P21" s="612">
        <v>85</v>
      </c>
      <c r="Q21" s="611">
        <v>5</v>
      </c>
      <c r="R21" s="611">
        <v>135</v>
      </c>
      <c r="S21" s="612">
        <v>0</v>
      </c>
      <c r="T21" s="612">
        <v>0</v>
      </c>
      <c r="U21" s="611">
        <v>0</v>
      </c>
      <c r="V21" s="611">
        <v>0</v>
      </c>
      <c r="W21" s="610">
        <v>0</v>
      </c>
      <c r="X21" s="610">
        <v>0</v>
      </c>
      <c r="Y21" s="609">
        <v>0</v>
      </c>
      <c r="Z21" s="609">
        <v>0</v>
      </c>
      <c r="AA21" s="610">
        <v>1</v>
      </c>
      <c r="AB21" s="610">
        <v>17</v>
      </c>
      <c r="AC21" s="609">
        <v>1</v>
      </c>
      <c r="AD21" s="609">
        <v>17</v>
      </c>
      <c r="AE21" s="610">
        <v>0</v>
      </c>
      <c r="AF21" s="610">
        <v>0</v>
      </c>
      <c r="AG21" s="609">
        <v>0</v>
      </c>
      <c r="AH21" s="609">
        <v>0</v>
      </c>
      <c r="AI21" s="610">
        <v>0</v>
      </c>
      <c r="AJ21" s="610">
        <v>0</v>
      </c>
      <c r="AK21" s="609">
        <v>0</v>
      </c>
      <c r="AL21" s="609">
        <v>0</v>
      </c>
      <c r="AM21" s="610">
        <v>1</v>
      </c>
      <c r="AN21" s="610">
        <v>17</v>
      </c>
      <c r="AO21" s="609">
        <v>1</v>
      </c>
      <c r="AP21" s="609">
        <v>17</v>
      </c>
      <c r="AQ21" s="622">
        <f t="shared" si="0"/>
        <v>87</v>
      </c>
      <c r="AR21" s="622">
        <f t="shared" si="1"/>
        <v>1479</v>
      </c>
      <c r="AS21" s="621">
        <f t="shared" si="2"/>
        <v>87</v>
      </c>
      <c r="AT21" s="621">
        <f t="shared" si="3"/>
        <v>1495</v>
      </c>
      <c r="AV21" s="620">
        <f t="shared" si="5"/>
        <v>87</v>
      </c>
      <c r="AW21" s="620">
        <f t="shared" si="4"/>
        <v>1495</v>
      </c>
    </row>
    <row r="22" spans="1:49">
      <c r="A22" s="613">
        <v>18</v>
      </c>
      <c r="B22" s="612">
        <v>78</v>
      </c>
      <c r="C22" s="612">
        <v>1404</v>
      </c>
      <c r="D22" s="611">
        <v>78</v>
      </c>
      <c r="E22" s="611">
        <v>1386</v>
      </c>
      <c r="G22" s="612">
        <v>0</v>
      </c>
      <c r="H22" s="612">
        <v>0</v>
      </c>
      <c r="I22" s="611">
        <v>0</v>
      </c>
      <c r="J22" s="611">
        <v>0</v>
      </c>
      <c r="K22" s="612">
        <v>0</v>
      </c>
      <c r="L22" s="612">
        <v>0</v>
      </c>
      <c r="M22" s="611">
        <v>0</v>
      </c>
      <c r="N22" s="611">
        <v>0</v>
      </c>
      <c r="O22" s="612">
        <v>1</v>
      </c>
      <c r="P22" s="612">
        <v>18</v>
      </c>
      <c r="Q22" s="611">
        <v>1</v>
      </c>
      <c r="R22" s="611">
        <v>18</v>
      </c>
      <c r="S22" s="612">
        <v>0</v>
      </c>
      <c r="T22" s="612">
        <v>0</v>
      </c>
      <c r="U22" s="611">
        <v>0</v>
      </c>
      <c r="V22" s="611">
        <v>0</v>
      </c>
      <c r="W22" s="610">
        <v>0</v>
      </c>
      <c r="X22" s="610">
        <v>0</v>
      </c>
      <c r="Y22" s="609">
        <v>0</v>
      </c>
      <c r="Z22" s="609">
        <v>0</v>
      </c>
      <c r="AA22" s="610">
        <v>0</v>
      </c>
      <c r="AB22" s="610">
        <v>0</v>
      </c>
      <c r="AC22" s="609">
        <v>0</v>
      </c>
      <c r="AD22" s="609">
        <v>0</v>
      </c>
      <c r="AE22" s="610">
        <v>0</v>
      </c>
      <c r="AF22" s="610">
        <v>0</v>
      </c>
      <c r="AG22" s="609">
        <v>0</v>
      </c>
      <c r="AH22" s="609">
        <v>0</v>
      </c>
      <c r="AI22" s="610">
        <v>0</v>
      </c>
      <c r="AJ22" s="610">
        <v>0</v>
      </c>
      <c r="AK22" s="609">
        <v>0</v>
      </c>
      <c r="AL22" s="609">
        <v>0</v>
      </c>
      <c r="AM22" s="610">
        <v>0</v>
      </c>
      <c r="AN22" s="610">
        <v>0</v>
      </c>
      <c r="AO22" s="609">
        <v>0</v>
      </c>
      <c r="AP22" s="609">
        <v>0</v>
      </c>
      <c r="AQ22" s="622">
        <f t="shared" si="0"/>
        <v>79</v>
      </c>
      <c r="AR22" s="622">
        <f t="shared" si="1"/>
        <v>1422</v>
      </c>
      <c r="AS22" s="621">
        <f t="shared" si="2"/>
        <v>79</v>
      </c>
      <c r="AT22" s="621">
        <f t="shared" si="3"/>
        <v>1404</v>
      </c>
      <c r="AV22" s="620">
        <f t="shared" si="5"/>
        <v>79</v>
      </c>
      <c r="AW22" s="620">
        <f t="shared" si="4"/>
        <v>1404</v>
      </c>
    </row>
    <row r="23" spans="1:49">
      <c r="A23" s="613">
        <v>19</v>
      </c>
      <c r="B23" s="612">
        <v>62</v>
      </c>
      <c r="C23" s="612">
        <v>1178</v>
      </c>
      <c r="D23" s="611">
        <v>62</v>
      </c>
      <c r="E23" s="611">
        <v>1178</v>
      </c>
      <c r="G23" s="612">
        <v>0</v>
      </c>
      <c r="H23" s="612">
        <v>0</v>
      </c>
      <c r="I23" s="611">
        <v>0</v>
      </c>
      <c r="J23" s="611">
        <v>0</v>
      </c>
      <c r="K23" s="612">
        <v>0</v>
      </c>
      <c r="L23" s="612">
        <v>0</v>
      </c>
      <c r="M23" s="611">
        <v>0</v>
      </c>
      <c r="N23" s="611">
        <v>0</v>
      </c>
      <c r="O23" s="612">
        <v>5</v>
      </c>
      <c r="P23" s="612">
        <v>95</v>
      </c>
      <c r="Q23" s="611">
        <v>5</v>
      </c>
      <c r="R23" s="611">
        <v>113</v>
      </c>
      <c r="S23" s="612">
        <v>0</v>
      </c>
      <c r="T23" s="612">
        <v>0</v>
      </c>
      <c r="U23" s="611">
        <v>0</v>
      </c>
      <c r="V23" s="611">
        <v>0</v>
      </c>
      <c r="W23" s="610">
        <v>0</v>
      </c>
      <c r="X23" s="610">
        <v>0</v>
      </c>
      <c r="Y23" s="609">
        <v>0</v>
      </c>
      <c r="Z23" s="609">
        <v>0</v>
      </c>
      <c r="AA23" s="610">
        <v>3</v>
      </c>
      <c r="AB23" s="610">
        <v>57</v>
      </c>
      <c r="AC23" s="609">
        <v>3</v>
      </c>
      <c r="AD23" s="609">
        <v>57</v>
      </c>
      <c r="AE23" s="610">
        <v>0</v>
      </c>
      <c r="AF23" s="610">
        <v>0</v>
      </c>
      <c r="AG23" s="609">
        <v>0</v>
      </c>
      <c r="AH23" s="609">
        <v>0</v>
      </c>
      <c r="AI23" s="610">
        <v>0</v>
      </c>
      <c r="AJ23" s="610">
        <v>0</v>
      </c>
      <c r="AK23" s="609">
        <v>0</v>
      </c>
      <c r="AL23" s="609">
        <v>0</v>
      </c>
      <c r="AM23" s="610">
        <v>0</v>
      </c>
      <c r="AN23" s="610">
        <v>0</v>
      </c>
      <c r="AO23" s="609">
        <v>0</v>
      </c>
      <c r="AP23" s="609">
        <v>0</v>
      </c>
      <c r="AQ23" s="622">
        <f t="shared" si="0"/>
        <v>70</v>
      </c>
      <c r="AR23" s="622">
        <f t="shared" si="1"/>
        <v>1330</v>
      </c>
      <c r="AS23" s="621">
        <f t="shared" si="2"/>
        <v>70</v>
      </c>
      <c r="AT23" s="621">
        <f t="shared" si="3"/>
        <v>1348</v>
      </c>
      <c r="AV23" s="620">
        <f t="shared" si="5"/>
        <v>70</v>
      </c>
      <c r="AW23" s="620">
        <f t="shared" si="4"/>
        <v>1348</v>
      </c>
    </row>
    <row r="24" spans="1:49">
      <c r="A24" s="613">
        <v>20</v>
      </c>
      <c r="B24" s="612">
        <v>46</v>
      </c>
      <c r="C24" s="612">
        <v>920</v>
      </c>
      <c r="D24" s="611">
        <v>46</v>
      </c>
      <c r="E24" s="611">
        <v>900</v>
      </c>
      <c r="G24" s="612">
        <v>1</v>
      </c>
      <c r="H24" s="612">
        <v>20</v>
      </c>
      <c r="I24" s="611">
        <v>1</v>
      </c>
      <c r="J24" s="611">
        <v>20</v>
      </c>
      <c r="K24" s="612">
        <v>0</v>
      </c>
      <c r="L24" s="612">
        <v>0</v>
      </c>
      <c r="M24" s="611">
        <v>0</v>
      </c>
      <c r="N24" s="611">
        <v>0</v>
      </c>
      <c r="O24" s="612">
        <v>2</v>
      </c>
      <c r="P24" s="612">
        <v>40</v>
      </c>
      <c r="Q24" s="611">
        <v>2</v>
      </c>
      <c r="R24" s="611">
        <v>60</v>
      </c>
      <c r="S24" s="612">
        <v>0</v>
      </c>
      <c r="T24" s="612">
        <v>0</v>
      </c>
      <c r="U24" s="611">
        <v>0</v>
      </c>
      <c r="V24" s="611">
        <v>0</v>
      </c>
      <c r="W24" s="610">
        <v>0</v>
      </c>
      <c r="X24" s="610">
        <v>0</v>
      </c>
      <c r="Y24" s="609">
        <v>0</v>
      </c>
      <c r="Z24" s="609">
        <v>0</v>
      </c>
      <c r="AA24" s="610">
        <v>0</v>
      </c>
      <c r="AB24" s="610">
        <v>0</v>
      </c>
      <c r="AC24" s="609">
        <v>0</v>
      </c>
      <c r="AD24" s="609">
        <v>0</v>
      </c>
      <c r="AE24" s="610">
        <v>0</v>
      </c>
      <c r="AF24" s="610">
        <v>0</v>
      </c>
      <c r="AG24" s="609">
        <v>0</v>
      </c>
      <c r="AH24" s="609">
        <v>0</v>
      </c>
      <c r="AI24" s="610">
        <v>0</v>
      </c>
      <c r="AJ24" s="610">
        <v>0</v>
      </c>
      <c r="AK24" s="609">
        <v>0</v>
      </c>
      <c r="AL24" s="609">
        <v>0</v>
      </c>
      <c r="AM24" s="610">
        <v>0</v>
      </c>
      <c r="AN24" s="610">
        <v>0</v>
      </c>
      <c r="AO24" s="609">
        <v>0</v>
      </c>
      <c r="AP24" s="609">
        <v>0</v>
      </c>
      <c r="AQ24" s="622">
        <f t="shared" si="0"/>
        <v>49</v>
      </c>
      <c r="AR24" s="622">
        <f t="shared" si="1"/>
        <v>980</v>
      </c>
      <c r="AS24" s="621">
        <f t="shared" si="2"/>
        <v>49</v>
      </c>
      <c r="AT24" s="621">
        <f t="shared" si="3"/>
        <v>980</v>
      </c>
      <c r="AV24" s="620">
        <f t="shared" si="5"/>
        <v>49</v>
      </c>
      <c r="AW24" s="620">
        <f t="shared" si="4"/>
        <v>980</v>
      </c>
    </row>
    <row r="25" spans="1:49">
      <c r="A25" s="613">
        <v>21</v>
      </c>
      <c r="B25" s="612">
        <v>33</v>
      </c>
      <c r="C25" s="612">
        <v>691</v>
      </c>
      <c r="D25" s="611">
        <v>33</v>
      </c>
      <c r="E25" s="611">
        <v>691</v>
      </c>
      <c r="G25" s="612">
        <v>1</v>
      </c>
      <c r="H25" s="612">
        <v>21</v>
      </c>
      <c r="I25" s="611">
        <v>1</v>
      </c>
      <c r="J25" s="611">
        <v>21</v>
      </c>
      <c r="K25" s="612">
        <v>0</v>
      </c>
      <c r="L25" s="612">
        <v>0</v>
      </c>
      <c r="M25" s="611">
        <v>0</v>
      </c>
      <c r="N25" s="611">
        <v>0</v>
      </c>
      <c r="O25" s="612">
        <v>2</v>
      </c>
      <c r="P25" s="612">
        <v>42</v>
      </c>
      <c r="Q25" s="611">
        <v>2</v>
      </c>
      <c r="R25" s="611">
        <v>42</v>
      </c>
      <c r="S25" s="612">
        <v>0</v>
      </c>
      <c r="T25" s="612">
        <v>0</v>
      </c>
      <c r="U25" s="611">
        <v>0</v>
      </c>
      <c r="V25" s="611">
        <v>0</v>
      </c>
      <c r="W25" s="610">
        <v>0</v>
      </c>
      <c r="X25" s="610">
        <v>0</v>
      </c>
      <c r="Y25" s="609">
        <v>0</v>
      </c>
      <c r="Z25" s="609">
        <v>0</v>
      </c>
      <c r="AA25" s="610">
        <v>1</v>
      </c>
      <c r="AB25" s="610">
        <v>21</v>
      </c>
      <c r="AC25" s="609">
        <v>1</v>
      </c>
      <c r="AD25" s="609">
        <v>21</v>
      </c>
      <c r="AE25" s="610">
        <v>0</v>
      </c>
      <c r="AF25" s="610">
        <v>0</v>
      </c>
      <c r="AG25" s="609">
        <v>0</v>
      </c>
      <c r="AH25" s="609">
        <v>0</v>
      </c>
      <c r="AI25" s="610">
        <v>0</v>
      </c>
      <c r="AJ25" s="610">
        <v>0</v>
      </c>
      <c r="AK25" s="609">
        <v>0</v>
      </c>
      <c r="AL25" s="609">
        <v>0</v>
      </c>
      <c r="AM25" s="610">
        <v>0</v>
      </c>
      <c r="AN25" s="610">
        <v>0</v>
      </c>
      <c r="AO25" s="609">
        <v>0</v>
      </c>
      <c r="AP25" s="609">
        <v>0</v>
      </c>
      <c r="AQ25" s="622">
        <f t="shared" si="0"/>
        <v>37</v>
      </c>
      <c r="AR25" s="622">
        <f t="shared" si="1"/>
        <v>775</v>
      </c>
      <c r="AS25" s="621">
        <f t="shared" si="2"/>
        <v>37</v>
      </c>
      <c r="AT25" s="621">
        <f t="shared" si="3"/>
        <v>775</v>
      </c>
      <c r="AV25" s="620">
        <f t="shared" si="5"/>
        <v>37</v>
      </c>
      <c r="AW25" s="620">
        <f t="shared" si="4"/>
        <v>775</v>
      </c>
    </row>
    <row r="26" spans="1:49">
      <c r="A26" s="613">
        <v>22</v>
      </c>
      <c r="B26" s="612">
        <v>36</v>
      </c>
      <c r="C26" s="612">
        <v>792</v>
      </c>
      <c r="D26" s="611">
        <v>36</v>
      </c>
      <c r="E26" s="611">
        <v>792</v>
      </c>
      <c r="G26" s="612">
        <v>0</v>
      </c>
      <c r="H26" s="612">
        <v>0</v>
      </c>
      <c r="I26" s="611">
        <v>0</v>
      </c>
      <c r="J26" s="611">
        <v>0</v>
      </c>
      <c r="K26" s="612">
        <v>0</v>
      </c>
      <c r="L26" s="612">
        <v>0</v>
      </c>
      <c r="M26" s="611">
        <v>0</v>
      </c>
      <c r="N26" s="611">
        <v>0</v>
      </c>
      <c r="O26" s="612">
        <v>4</v>
      </c>
      <c r="P26" s="612">
        <v>88</v>
      </c>
      <c r="Q26" s="611">
        <v>4</v>
      </c>
      <c r="R26" s="611">
        <v>88</v>
      </c>
      <c r="S26" s="612">
        <v>0</v>
      </c>
      <c r="T26" s="612">
        <v>0</v>
      </c>
      <c r="U26" s="611">
        <v>0</v>
      </c>
      <c r="V26" s="611">
        <v>0</v>
      </c>
      <c r="W26" s="610">
        <v>0</v>
      </c>
      <c r="X26" s="610">
        <v>0</v>
      </c>
      <c r="Y26" s="609">
        <v>0</v>
      </c>
      <c r="Z26" s="609">
        <v>0</v>
      </c>
      <c r="AA26" s="610">
        <v>2</v>
      </c>
      <c r="AB26" s="610">
        <v>44</v>
      </c>
      <c r="AC26" s="609">
        <v>2</v>
      </c>
      <c r="AD26" s="609">
        <v>44</v>
      </c>
      <c r="AE26" s="610">
        <v>0</v>
      </c>
      <c r="AF26" s="610">
        <v>0</v>
      </c>
      <c r="AG26" s="609">
        <v>0</v>
      </c>
      <c r="AH26" s="609">
        <v>0</v>
      </c>
      <c r="AI26" s="610">
        <v>0</v>
      </c>
      <c r="AJ26" s="610">
        <v>0</v>
      </c>
      <c r="AK26" s="609">
        <v>0</v>
      </c>
      <c r="AL26" s="609">
        <v>0</v>
      </c>
      <c r="AM26" s="610">
        <v>0</v>
      </c>
      <c r="AN26" s="610">
        <v>0</v>
      </c>
      <c r="AO26" s="609">
        <v>0</v>
      </c>
      <c r="AP26" s="609">
        <v>0</v>
      </c>
      <c r="AQ26" s="622">
        <f t="shared" si="0"/>
        <v>42</v>
      </c>
      <c r="AR26" s="622">
        <f t="shared" si="1"/>
        <v>924</v>
      </c>
      <c r="AS26" s="621">
        <f t="shared" si="2"/>
        <v>42</v>
      </c>
      <c r="AT26" s="621">
        <f t="shared" si="3"/>
        <v>924</v>
      </c>
      <c r="AV26" s="620">
        <f t="shared" si="5"/>
        <v>42</v>
      </c>
      <c r="AW26" s="620">
        <f t="shared" si="4"/>
        <v>924</v>
      </c>
    </row>
    <row r="27" spans="1:49">
      <c r="A27" s="613">
        <v>23</v>
      </c>
      <c r="B27" s="612">
        <v>21</v>
      </c>
      <c r="C27" s="612">
        <v>483</v>
      </c>
      <c r="D27" s="611">
        <v>21</v>
      </c>
      <c r="E27" s="611">
        <v>483</v>
      </c>
      <c r="G27" s="612">
        <v>0</v>
      </c>
      <c r="H27" s="612">
        <v>0</v>
      </c>
      <c r="I27" s="611">
        <v>0</v>
      </c>
      <c r="J27" s="611">
        <v>0</v>
      </c>
      <c r="K27" s="612">
        <v>0</v>
      </c>
      <c r="L27" s="612">
        <v>0</v>
      </c>
      <c r="M27" s="611">
        <v>0</v>
      </c>
      <c r="N27" s="611">
        <v>0</v>
      </c>
      <c r="O27" s="612">
        <v>3</v>
      </c>
      <c r="P27" s="612">
        <v>69</v>
      </c>
      <c r="Q27" s="611">
        <v>3</v>
      </c>
      <c r="R27" s="611">
        <v>69</v>
      </c>
      <c r="S27" s="612">
        <v>0</v>
      </c>
      <c r="T27" s="612">
        <v>0</v>
      </c>
      <c r="U27" s="611">
        <v>0</v>
      </c>
      <c r="V27" s="611">
        <v>0</v>
      </c>
      <c r="W27" s="610">
        <v>0</v>
      </c>
      <c r="X27" s="610">
        <v>0</v>
      </c>
      <c r="Y27" s="609">
        <v>0</v>
      </c>
      <c r="Z27" s="609">
        <v>0</v>
      </c>
      <c r="AA27" s="610">
        <v>1</v>
      </c>
      <c r="AB27" s="610">
        <v>23</v>
      </c>
      <c r="AC27" s="609">
        <v>1</v>
      </c>
      <c r="AD27" s="609">
        <v>23</v>
      </c>
      <c r="AE27" s="610">
        <v>0</v>
      </c>
      <c r="AF27" s="610">
        <v>0</v>
      </c>
      <c r="AG27" s="609">
        <v>0</v>
      </c>
      <c r="AH27" s="609">
        <v>0</v>
      </c>
      <c r="AI27" s="610">
        <v>0</v>
      </c>
      <c r="AJ27" s="610">
        <v>0</v>
      </c>
      <c r="AK27" s="609">
        <v>0</v>
      </c>
      <c r="AL27" s="609">
        <v>0</v>
      </c>
      <c r="AM27" s="610">
        <v>0</v>
      </c>
      <c r="AN27" s="610">
        <v>0</v>
      </c>
      <c r="AO27" s="609">
        <v>0</v>
      </c>
      <c r="AP27" s="609">
        <v>0</v>
      </c>
      <c r="AQ27" s="622">
        <f t="shared" si="0"/>
        <v>25</v>
      </c>
      <c r="AR27" s="622">
        <f t="shared" si="1"/>
        <v>575</v>
      </c>
      <c r="AS27" s="621">
        <f t="shared" si="2"/>
        <v>25</v>
      </c>
      <c r="AT27" s="621">
        <f t="shared" si="3"/>
        <v>575</v>
      </c>
      <c r="AV27" s="620">
        <f t="shared" si="5"/>
        <v>25</v>
      </c>
      <c r="AW27" s="620">
        <f t="shared" si="4"/>
        <v>575</v>
      </c>
    </row>
    <row r="28" spans="1:49">
      <c r="A28" s="613">
        <v>24</v>
      </c>
      <c r="B28" s="612">
        <v>28</v>
      </c>
      <c r="C28" s="612">
        <v>672</v>
      </c>
      <c r="D28" s="611">
        <v>28</v>
      </c>
      <c r="E28" s="611">
        <v>648</v>
      </c>
      <c r="G28" s="612">
        <v>0</v>
      </c>
      <c r="H28" s="612">
        <v>0</v>
      </c>
      <c r="I28" s="611">
        <v>0</v>
      </c>
      <c r="J28" s="611">
        <v>0</v>
      </c>
      <c r="K28" s="612">
        <v>0</v>
      </c>
      <c r="L28" s="612">
        <v>0</v>
      </c>
      <c r="M28" s="611">
        <v>0</v>
      </c>
      <c r="N28" s="611">
        <v>0</v>
      </c>
      <c r="O28" s="612">
        <v>1</v>
      </c>
      <c r="P28" s="612">
        <v>24</v>
      </c>
      <c r="Q28" s="611">
        <v>1</v>
      </c>
      <c r="R28" s="611">
        <v>0</v>
      </c>
      <c r="S28" s="612">
        <v>0</v>
      </c>
      <c r="T28" s="612">
        <v>0</v>
      </c>
      <c r="U28" s="611">
        <v>0</v>
      </c>
      <c r="V28" s="611">
        <v>0</v>
      </c>
      <c r="W28" s="610">
        <v>0</v>
      </c>
      <c r="X28" s="610">
        <v>0</v>
      </c>
      <c r="Y28" s="609">
        <v>0</v>
      </c>
      <c r="Z28" s="609">
        <v>0</v>
      </c>
      <c r="AA28" s="610">
        <v>0</v>
      </c>
      <c r="AB28" s="610">
        <v>0</v>
      </c>
      <c r="AC28" s="609">
        <v>0</v>
      </c>
      <c r="AD28" s="609">
        <v>0</v>
      </c>
      <c r="AE28" s="610">
        <v>0</v>
      </c>
      <c r="AF28" s="610">
        <v>0</v>
      </c>
      <c r="AG28" s="609">
        <v>0</v>
      </c>
      <c r="AH28" s="609">
        <v>0</v>
      </c>
      <c r="AI28" s="610">
        <v>0</v>
      </c>
      <c r="AJ28" s="610">
        <v>0</v>
      </c>
      <c r="AK28" s="609">
        <v>0</v>
      </c>
      <c r="AL28" s="609">
        <v>0</v>
      </c>
      <c r="AM28" s="610">
        <v>1</v>
      </c>
      <c r="AN28" s="610">
        <v>24</v>
      </c>
      <c r="AO28" s="609">
        <v>1</v>
      </c>
      <c r="AP28" s="609">
        <v>24</v>
      </c>
      <c r="AQ28" s="622">
        <f t="shared" si="0"/>
        <v>30</v>
      </c>
      <c r="AR28" s="622">
        <f t="shared" si="1"/>
        <v>720</v>
      </c>
      <c r="AS28" s="621">
        <f t="shared" si="2"/>
        <v>30</v>
      </c>
      <c r="AT28" s="621">
        <f t="shared" si="3"/>
        <v>672</v>
      </c>
      <c r="AV28" s="620">
        <f t="shared" si="5"/>
        <v>30</v>
      </c>
      <c r="AW28" s="620">
        <f t="shared" si="4"/>
        <v>672</v>
      </c>
    </row>
    <row r="29" spans="1:49">
      <c r="A29" s="613">
        <v>25</v>
      </c>
      <c r="B29" s="612">
        <v>13</v>
      </c>
      <c r="C29" s="612">
        <v>325</v>
      </c>
      <c r="D29" s="611">
        <v>13</v>
      </c>
      <c r="E29" s="611">
        <v>325</v>
      </c>
      <c r="G29" s="612">
        <v>0</v>
      </c>
      <c r="H29" s="612">
        <v>0</v>
      </c>
      <c r="I29" s="611">
        <v>0</v>
      </c>
      <c r="J29" s="611">
        <v>0</v>
      </c>
      <c r="K29" s="612">
        <v>0</v>
      </c>
      <c r="L29" s="612">
        <v>0</v>
      </c>
      <c r="M29" s="611">
        <v>0</v>
      </c>
      <c r="N29" s="611">
        <v>0</v>
      </c>
      <c r="O29" s="612">
        <v>2</v>
      </c>
      <c r="P29" s="612">
        <v>50</v>
      </c>
      <c r="Q29" s="611">
        <v>2</v>
      </c>
      <c r="R29" s="611">
        <v>50</v>
      </c>
      <c r="S29" s="612">
        <v>0</v>
      </c>
      <c r="T29" s="612">
        <v>0</v>
      </c>
      <c r="U29" s="611">
        <v>0</v>
      </c>
      <c r="V29" s="611">
        <v>0</v>
      </c>
      <c r="W29" s="610">
        <v>0</v>
      </c>
      <c r="X29" s="610">
        <v>0</v>
      </c>
      <c r="Y29" s="609">
        <v>0</v>
      </c>
      <c r="Z29" s="609">
        <v>0</v>
      </c>
      <c r="AA29" s="610">
        <v>2</v>
      </c>
      <c r="AB29" s="610">
        <v>50</v>
      </c>
      <c r="AC29" s="609">
        <v>2</v>
      </c>
      <c r="AD29" s="609">
        <v>98</v>
      </c>
      <c r="AE29" s="610">
        <v>0</v>
      </c>
      <c r="AF29" s="610">
        <v>0</v>
      </c>
      <c r="AG29" s="609">
        <v>0</v>
      </c>
      <c r="AH29" s="609">
        <v>0</v>
      </c>
      <c r="AI29" s="610">
        <v>0</v>
      </c>
      <c r="AJ29" s="610">
        <v>0</v>
      </c>
      <c r="AK29" s="609">
        <v>0</v>
      </c>
      <c r="AL29" s="609">
        <v>0</v>
      </c>
      <c r="AM29" s="610">
        <v>0</v>
      </c>
      <c r="AN29" s="610">
        <v>0</v>
      </c>
      <c r="AO29" s="609">
        <v>0</v>
      </c>
      <c r="AP29" s="609">
        <v>0</v>
      </c>
      <c r="AQ29" s="622">
        <f t="shared" si="0"/>
        <v>17</v>
      </c>
      <c r="AR29" s="622">
        <f t="shared" si="1"/>
        <v>425</v>
      </c>
      <c r="AS29" s="621">
        <f t="shared" si="2"/>
        <v>17</v>
      </c>
      <c r="AT29" s="621">
        <f t="shared" si="3"/>
        <v>473</v>
      </c>
      <c r="AV29" s="620">
        <f t="shared" si="5"/>
        <v>17</v>
      </c>
      <c r="AW29" s="620">
        <f t="shared" si="4"/>
        <v>473</v>
      </c>
    </row>
    <row r="30" spans="1:49">
      <c r="A30" s="613">
        <v>26</v>
      </c>
      <c r="B30" s="612">
        <v>9</v>
      </c>
      <c r="C30" s="612">
        <v>234</v>
      </c>
      <c r="D30" s="611">
        <v>9</v>
      </c>
      <c r="E30" s="611">
        <v>234</v>
      </c>
      <c r="G30" s="612">
        <v>0</v>
      </c>
      <c r="H30" s="612">
        <v>0</v>
      </c>
      <c r="I30" s="611">
        <v>0</v>
      </c>
      <c r="J30" s="611">
        <v>0</v>
      </c>
      <c r="K30" s="612">
        <v>0</v>
      </c>
      <c r="L30" s="612">
        <v>0</v>
      </c>
      <c r="M30" s="611">
        <v>0</v>
      </c>
      <c r="N30" s="611">
        <v>0</v>
      </c>
      <c r="O30" s="612">
        <v>1</v>
      </c>
      <c r="P30" s="612">
        <v>26</v>
      </c>
      <c r="Q30" s="611">
        <v>1</v>
      </c>
      <c r="R30" s="611">
        <v>26</v>
      </c>
      <c r="S30" s="612">
        <v>0</v>
      </c>
      <c r="T30" s="612">
        <v>0</v>
      </c>
      <c r="U30" s="611">
        <v>0</v>
      </c>
      <c r="V30" s="611">
        <v>0</v>
      </c>
      <c r="W30" s="610">
        <v>0</v>
      </c>
      <c r="X30" s="610">
        <v>0</v>
      </c>
      <c r="Y30" s="609">
        <v>0</v>
      </c>
      <c r="Z30" s="609">
        <v>0</v>
      </c>
      <c r="AA30" s="610">
        <v>1</v>
      </c>
      <c r="AB30" s="610">
        <v>26</v>
      </c>
      <c r="AC30" s="609">
        <v>1</v>
      </c>
      <c r="AD30" s="609">
        <v>26</v>
      </c>
      <c r="AE30" s="610">
        <v>0</v>
      </c>
      <c r="AF30" s="610">
        <v>0</v>
      </c>
      <c r="AG30" s="609">
        <v>0</v>
      </c>
      <c r="AH30" s="609">
        <v>0</v>
      </c>
      <c r="AI30" s="610">
        <v>0</v>
      </c>
      <c r="AJ30" s="610">
        <v>0</v>
      </c>
      <c r="AK30" s="609">
        <v>0</v>
      </c>
      <c r="AL30" s="609">
        <v>0</v>
      </c>
      <c r="AM30" s="610">
        <v>0</v>
      </c>
      <c r="AN30" s="610">
        <v>0</v>
      </c>
      <c r="AO30" s="609">
        <v>0</v>
      </c>
      <c r="AP30" s="609">
        <v>0</v>
      </c>
      <c r="AQ30" s="622">
        <f t="shared" si="0"/>
        <v>11</v>
      </c>
      <c r="AR30" s="622">
        <f t="shared" si="1"/>
        <v>286</v>
      </c>
      <c r="AS30" s="621">
        <f t="shared" si="2"/>
        <v>11</v>
      </c>
      <c r="AT30" s="621">
        <f t="shared" si="3"/>
        <v>286</v>
      </c>
      <c r="AV30" s="620">
        <f t="shared" si="5"/>
        <v>11</v>
      </c>
      <c r="AW30" s="620">
        <f t="shared" si="4"/>
        <v>286</v>
      </c>
    </row>
    <row r="31" spans="1:49">
      <c r="A31" s="613">
        <v>27</v>
      </c>
      <c r="B31" s="612">
        <v>11</v>
      </c>
      <c r="C31" s="612">
        <v>297</v>
      </c>
      <c r="D31" s="611">
        <v>11</v>
      </c>
      <c r="E31" s="611">
        <v>297</v>
      </c>
      <c r="G31" s="612">
        <v>1</v>
      </c>
      <c r="H31" s="612">
        <v>27</v>
      </c>
      <c r="I31" s="611">
        <v>1</v>
      </c>
      <c r="J31" s="611">
        <v>27</v>
      </c>
      <c r="K31" s="612">
        <v>0</v>
      </c>
      <c r="L31" s="612">
        <v>0</v>
      </c>
      <c r="M31" s="611">
        <v>0</v>
      </c>
      <c r="N31" s="611">
        <v>0</v>
      </c>
      <c r="O31" s="612">
        <v>2</v>
      </c>
      <c r="P31" s="612">
        <v>54</v>
      </c>
      <c r="Q31" s="611">
        <v>2</v>
      </c>
      <c r="R31" s="611">
        <v>27</v>
      </c>
      <c r="S31" s="612">
        <v>0</v>
      </c>
      <c r="T31" s="612">
        <v>0</v>
      </c>
      <c r="U31" s="611">
        <v>0</v>
      </c>
      <c r="V31" s="611">
        <v>0</v>
      </c>
      <c r="W31" s="610">
        <v>0</v>
      </c>
      <c r="X31" s="610">
        <v>0</v>
      </c>
      <c r="Y31" s="609">
        <v>0</v>
      </c>
      <c r="Z31" s="609">
        <v>0</v>
      </c>
      <c r="AA31" s="610">
        <v>1</v>
      </c>
      <c r="AB31" s="610">
        <v>27</v>
      </c>
      <c r="AC31" s="609">
        <v>1</v>
      </c>
      <c r="AD31" s="609">
        <v>27</v>
      </c>
      <c r="AE31" s="610">
        <v>0</v>
      </c>
      <c r="AF31" s="610">
        <v>0</v>
      </c>
      <c r="AG31" s="609">
        <v>0</v>
      </c>
      <c r="AH31" s="609">
        <v>0</v>
      </c>
      <c r="AI31" s="610">
        <v>0</v>
      </c>
      <c r="AJ31" s="610">
        <v>0</v>
      </c>
      <c r="AK31" s="609">
        <v>0</v>
      </c>
      <c r="AL31" s="609">
        <v>0</v>
      </c>
      <c r="AM31" s="610">
        <v>0</v>
      </c>
      <c r="AN31" s="610">
        <v>0</v>
      </c>
      <c r="AO31" s="609">
        <v>0</v>
      </c>
      <c r="AP31" s="609">
        <v>0</v>
      </c>
      <c r="AQ31" s="622">
        <f t="shared" si="0"/>
        <v>15</v>
      </c>
      <c r="AR31" s="622">
        <f t="shared" si="1"/>
        <v>405</v>
      </c>
      <c r="AS31" s="621">
        <f t="shared" si="2"/>
        <v>15</v>
      </c>
      <c r="AT31" s="621">
        <f t="shared" si="3"/>
        <v>378</v>
      </c>
      <c r="AV31" s="620">
        <f t="shared" si="5"/>
        <v>15</v>
      </c>
      <c r="AW31" s="620">
        <f t="shared" si="4"/>
        <v>378</v>
      </c>
    </row>
    <row r="32" spans="1:49">
      <c r="A32" s="613">
        <v>28</v>
      </c>
      <c r="B32" s="612">
        <v>10</v>
      </c>
      <c r="C32" s="612">
        <v>280</v>
      </c>
      <c r="D32" s="611">
        <v>10</v>
      </c>
      <c r="E32" s="611">
        <v>252</v>
      </c>
      <c r="G32" s="612">
        <v>0</v>
      </c>
      <c r="H32" s="612">
        <v>0</v>
      </c>
      <c r="I32" s="611">
        <v>0</v>
      </c>
      <c r="J32" s="611">
        <v>0</v>
      </c>
      <c r="K32" s="612">
        <v>0</v>
      </c>
      <c r="L32" s="612">
        <v>0</v>
      </c>
      <c r="M32" s="611">
        <v>0</v>
      </c>
      <c r="N32" s="611">
        <v>0</v>
      </c>
      <c r="O32" s="612">
        <v>1</v>
      </c>
      <c r="P32" s="612">
        <v>28</v>
      </c>
      <c r="Q32" s="611">
        <v>1</v>
      </c>
      <c r="R32" s="611">
        <v>56</v>
      </c>
      <c r="S32" s="612">
        <v>0</v>
      </c>
      <c r="T32" s="612">
        <v>0</v>
      </c>
      <c r="U32" s="611">
        <v>0</v>
      </c>
      <c r="V32" s="611">
        <v>0</v>
      </c>
      <c r="W32" s="610">
        <v>0</v>
      </c>
      <c r="X32" s="610">
        <v>0</v>
      </c>
      <c r="Y32" s="609">
        <v>0</v>
      </c>
      <c r="Z32" s="609">
        <v>0</v>
      </c>
      <c r="AA32" s="610">
        <v>1</v>
      </c>
      <c r="AB32" s="610">
        <v>28</v>
      </c>
      <c r="AC32" s="609">
        <v>1</v>
      </c>
      <c r="AD32" s="609">
        <v>55</v>
      </c>
      <c r="AE32" s="610">
        <v>0</v>
      </c>
      <c r="AF32" s="610">
        <v>0</v>
      </c>
      <c r="AG32" s="609">
        <v>0</v>
      </c>
      <c r="AH32" s="609">
        <v>0</v>
      </c>
      <c r="AI32" s="610">
        <v>0</v>
      </c>
      <c r="AJ32" s="610">
        <v>0</v>
      </c>
      <c r="AK32" s="609">
        <v>0</v>
      </c>
      <c r="AL32" s="609">
        <v>0</v>
      </c>
      <c r="AM32" s="610">
        <v>0</v>
      </c>
      <c r="AN32" s="610">
        <v>0</v>
      </c>
      <c r="AO32" s="609">
        <v>0</v>
      </c>
      <c r="AP32" s="609">
        <v>0</v>
      </c>
      <c r="AQ32" s="622">
        <f t="shared" si="0"/>
        <v>12</v>
      </c>
      <c r="AR32" s="622">
        <f t="shared" si="1"/>
        <v>336</v>
      </c>
      <c r="AS32" s="621">
        <f t="shared" si="2"/>
        <v>12</v>
      </c>
      <c r="AT32" s="621">
        <f t="shared" si="3"/>
        <v>363</v>
      </c>
      <c r="AV32" s="620">
        <f t="shared" si="5"/>
        <v>12</v>
      </c>
      <c r="AW32" s="620">
        <f t="shared" si="4"/>
        <v>363</v>
      </c>
    </row>
    <row r="33" spans="1:49">
      <c r="A33" s="613">
        <v>29</v>
      </c>
      <c r="B33" s="612">
        <v>10</v>
      </c>
      <c r="C33" s="612">
        <v>290</v>
      </c>
      <c r="D33" s="611">
        <v>10</v>
      </c>
      <c r="E33" s="611">
        <v>290</v>
      </c>
      <c r="G33" s="612">
        <v>0</v>
      </c>
      <c r="H33" s="612">
        <v>0</v>
      </c>
      <c r="I33" s="611">
        <v>0</v>
      </c>
      <c r="J33" s="611">
        <v>0</v>
      </c>
      <c r="K33" s="612">
        <v>0</v>
      </c>
      <c r="L33" s="612">
        <v>0</v>
      </c>
      <c r="M33" s="611">
        <v>0</v>
      </c>
      <c r="N33" s="611">
        <v>0</v>
      </c>
      <c r="O33" s="612">
        <v>0</v>
      </c>
      <c r="P33" s="612">
        <v>0</v>
      </c>
      <c r="Q33" s="611">
        <v>0</v>
      </c>
      <c r="R33" s="611">
        <v>0</v>
      </c>
      <c r="S33" s="612">
        <v>0</v>
      </c>
      <c r="T33" s="612">
        <v>0</v>
      </c>
      <c r="U33" s="611">
        <v>0</v>
      </c>
      <c r="V33" s="611">
        <v>0</v>
      </c>
      <c r="W33" s="610">
        <v>0</v>
      </c>
      <c r="X33" s="610">
        <v>0</v>
      </c>
      <c r="Y33" s="609">
        <v>0</v>
      </c>
      <c r="Z33" s="609">
        <v>0</v>
      </c>
      <c r="AA33" s="610">
        <v>2</v>
      </c>
      <c r="AB33" s="610">
        <v>58</v>
      </c>
      <c r="AC33" s="609">
        <v>1</v>
      </c>
      <c r="AD33" s="609">
        <v>29</v>
      </c>
      <c r="AE33" s="610">
        <v>0</v>
      </c>
      <c r="AF33" s="610">
        <v>0</v>
      </c>
      <c r="AG33" s="609">
        <v>0</v>
      </c>
      <c r="AH33" s="609">
        <v>0</v>
      </c>
      <c r="AI33" s="610">
        <v>0</v>
      </c>
      <c r="AJ33" s="610">
        <v>0</v>
      </c>
      <c r="AK33" s="609">
        <v>0</v>
      </c>
      <c r="AL33" s="609">
        <v>0</v>
      </c>
      <c r="AM33" s="610">
        <v>0</v>
      </c>
      <c r="AN33" s="610">
        <v>0</v>
      </c>
      <c r="AO33" s="609">
        <v>0</v>
      </c>
      <c r="AP33" s="609">
        <v>0</v>
      </c>
      <c r="AQ33" s="622">
        <f t="shared" si="0"/>
        <v>12</v>
      </c>
      <c r="AR33" s="622">
        <f t="shared" si="1"/>
        <v>348</v>
      </c>
      <c r="AS33" s="621">
        <f t="shared" si="2"/>
        <v>11</v>
      </c>
      <c r="AT33" s="621">
        <f t="shared" si="3"/>
        <v>319</v>
      </c>
      <c r="AV33" s="620">
        <f t="shared" si="5"/>
        <v>11</v>
      </c>
      <c r="AW33" s="620">
        <f t="shared" si="4"/>
        <v>319</v>
      </c>
    </row>
    <row r="34" spans="1:49">
      <c r="A34" s="613">
        <v>30</v>
      </c>
      <c r="B34" s="612">
        <v>6</v>
      </c>
      <c r="C34" s="612">
        <v>180</v>
      </c>
      <c r="D34" s="611">
        <v>6</v>
      </c>
      <c r="E34" s="611">
        <v>180</v>
      </c>
      <c r="G34" s="612">
        <v>0</v>
      </c>
      <c r="H34" s="612">
        <v>0</v>
      </c>
      <c r="I34" s="611">
        <v>0</v>
      </c>
      <c r="J34" s="611">
        <v>0</v>
      </c>
      <c r="K34" s="612">
        <v>0</v>
      </c>
      <c r="L34" s="612">
        <v>0</v>
      </c>
      <c r="M34" s="611">
        <v>0</v>
      </c>
      <c r="N34" s="611">
        <v>0</v>
      </c>
      <c r="O34" s="612">
        <v>1</v>
      </c>
      <c r="P34" s="612">
        <v>30</v>
      </c>
      <c r="Q34" s="611">
        <v>1</v>
      </c>
      <c r="R34" s="611">
        <v>30</v>
      </c>
      <c r="S34" s="612">
        <v>0</v>
      </c>
      <c r="T34" s="612">
        <v>0</v>
      </c>
      <c r="U34" s="611">
        <v>0</v>
      </c>
      <c r="V34" s="611">
        <v>0</v>
      </c>
      <c r="W34" s="610">
        <v>0</v>
      </c>
      <c r="X34" s="610">
        <v>0</v>
      </c>
      <c r="Y34" s="609">
        <v>0</v>
      </c>
      <c r="Z34" s="609">
        <v>0</v>
      </c>
      <c r="AA34" s="610">
        <v>0</v>
      </c>
      <c r="AB34" s="610">
        <v>0</v>
      </c>
      <c r="AC34" s="609">
        <v>0</v>
      </c>
      <c r="AD34" s="609">
        <v>0</v>
      </c>
      <c r="AE34" s="610">
        <v>0</v>
      </c>
      <c r="AF34" s="610">
        <v>0</v>
      </c>
      <c r="AG34" s="609">
        <v>0</v>
      </c>
      <c r="AH34" s="609">
        <v>0</v>
      </c>
      <c r="AI34" s="610">
        <v>0</v>
      </c>
      <c r="AJ34" s="610">
        <v>0</v>
      </c>
      <c r="AK34" s="609">
        <v>0</v>
      </c>
      <c r="AL34" s="609">
        <v>0</v>
      </c>
      <c r="AM34" s="610">
        <v>1</v>
      </c>
      <c r="AN34" s="610">
        <v>30</v>
      </c>
      <c r="AO34" s="609">
        <v>1</v>
      </c>
      <c r="AP34" s="609">
        <v>30</v>
      </c>
      <c r="AQ34" s="622">
        <f t="shared" si="0"/>
        <v>8</v>
      </c>
      <c r="AR34" s="622">
        <f t="shared" si="1"/>
        <v>240</v>
      </c>
      <c r="AS34" s="621">
        <f t="shared" si="2"/>
        <v>8</v>
      </c>
      <c r="AT34" s="621">
        <f t="shared" si="3"/>
        <v>240</v>
      </c>
      <c r="AV34" s="620">
        <f t="shared" si="5"/>
        <v>8</v>
      </c>
      <c r="AW34" s="620">
        <f t="shared" si="4"/>
        <v>240</v>
      </c>
    </row>
    <row r="35" spans="1:49">
      <c r="A35" s="613">
        <v>31</v>
      </c>
      <c r="B35" s="612">
        <v>10</v>
      </c>
      <c r="C35" s="612">
        <v>310</v>
      </c>
      <c r="D35" s="611">
        <v>10</v>
      </c>
      <c r="E35" s="611">
        <v>310</v>
      </c>
      <c r="G35" s="612">
        <v>0</v>
      </c>
      <c r="H35" s="612">
        <v>0</v>
      </c>
      <c r="I35" s="611">
        <v>0</v>
      </c>
      <c r="J35" s="611">
        <v>0</v>
      </c>
      <c r="K35" s="612">
        <v>0</v>
      </c>
      <c r="L35" s="612">
        <v>0</v>
      </c>
      <c r="M35" s="611">
        <v>0</v>
      </c>
      <c r="N35" s="611">
        <v>0</v>
      </c>
      <c r="O35" s="612">
        <v>0</v>
      </c>
      <c r="P35" s="612">
        <v>0</v>
      </c>
      <c r="Q35" s="611">
        <v>0</v>
      </c>
      <c r="R35" s="611">
        <v>0</v>
      </c>
      <c r="S35" s="612">
        <v>0</v>
      </c>
      <c r="T35" s="612">
        <v>0</v>
      </c>
      <c r="U35" s="611">
        <v>0</v>
      </c>
      <c r="V35" s="611">
        <v>0</v>
      </c>
      <c r="W35" s="610">
        <v>0</v>
      </c>
      <c r="X35" s="610">
        <v>0</v>
      </c>
      <c r="Y35" s="609">
        <v>0</v>
      </c>
      <c r="Z35" s="609">
        <v>0</v>
      </c>
      <c r="AA35" s="610">
        <v>0</v>
      </c>
      <c r="AB35" s="610">
        <v>0</v>
      </c>
      <c r="AC35" s="609">
        <v>0</v>
      </c>
      <c r="AD35" s="609">
        <v>0</v>
      </c>
      <c r="AE35" s="610">
        <v>0</v>
      </c>
      <c r="AF35" s="610">
        <v>0</v>
      </c>
      <c r="AG35" s="609">
        <v>0</v>
      </c>
      <c r="AH35" s="609">
        <v>0</v>
      </c>
      <c r="AI35" s="610">
        <v>0</v>
      </c>
      <c r="AJ35" s="610">
        <v>0</v>
      </c>
      <c r="AK35" s="609">
        <v>0</v>
      </c>
      <c r="AL35" s="609">
        <v>0</v>
      </c>
      <c r="AM35" s="610">
        <v>0</v>
      </c>
      <c r="AN35" s="610">
        <v>0</v>
      </c>
      <c r="AO35" s="609">
        <v>0</v>
      </c>
      <c r="AP35" s="609">
        <v>0</v>
      </c>
      <c r="AQ35" s="622">
        <f t="shared" si="0"/>
        <v>10</v>
      </c>
      <c r="AR35" s="622">
        <f t="shared" si="1"/>
        <v>310</v>
      </c>
      <c r="AS35" s="621">
        <f t="shared" si="2"/>
        <v>10</v>
      </c>
      <c r="AT35" s="621">
        <f t="shared" si="3"/>
        <v>310</v>
      </c>
      <c r="AV35" s="620">
        <f t="shared" si="5"/>
        <v>10</v>
      </c>
      <c r="AW35" s="620">
        <f t="shared" si="4"/>
        <v>310</v>
      </c>
    </row>
    <row r="36" spans="1:49">
      <c r="A36" s="613">
        <v>32</v>
      </c>
      <c r="B36" s="612">
        <v>5</v>
      </c>
      <c r="C36" s="612">
        <v>160</v>
      </c>
      <c r="D36" s="611">
        <v>5</v>
      </c>
      <c r="E36" s="611">
        <v>160</v>
      </c>
      <c r="G36" s="612">
        <v>0</v>
      </c>
      <c r="H36" s="612">
        <v>0</v>
      </c>
      <c r="I36" s="611">
        <v>0</v>
      </c>
      <c r="J36" s="611">
        <v>0</v>
      </c>
      <c r="K36" s="612">
        <v>0</v>
      </c>
      <c r="L36" s="612">
        <v>0</v>
      </c>
      <c r="M36" s="611">
        <v>0</v>
      </c>
      <c r="N36" s="611">
        <v>0</v>
      </c>
      <c r="O36" s="612">
        <v>0</v>
      </c>
      <c r="P36" s="612">
        <v>0</v>
      </c>
      <c r="Q36" s="611">
        <v>0</v>
      </c>
      <c r="R36" s="611">
        <v>0</v>
      </c>
      <c r="S36" s="612">
        <v>0</v>
      </c>
      <c r="T36" s="612">
        <v>0</v>
      </c>
      <c r="U36" s="611">
        <v>0</v>
      </c>
      <c r="V36" s="611">
        <v>0</v>
      </c>
      <c r="W36" s="610">
        <v>0</v>
      </c>
      <c r="X36" s="610">
        <v>0</v>
      </c>
      <c r="Y36" s="609">
        <v>0</v>
      </c>
      <c r="Z36" s="609">
        <v>0</v>
      </c>
      <c r="AA36" s="610">
        <v>0</v>
      </c>
      <c r="AB36" s="610">
        <v>0</v>
      </c>
      <c r="AC36" s="609">
        <v>0</v>
      </c>
      <c r="AD36" s="609">
        <v>0</v>
      </c>
      <c r="AE36" s="610">
        <v>0</v>
      </c>
      <c r="AF36" s="610">
        <v>0</v>
      </c>
      <c r="AG36" s="609">
        <v>0</v>
      </c>
      <c r="AH36" s="609">
        <v>0</v>
      </c>
      <c r="AI36" s="610">
        <v>0</v>
      </c>
      <c r="AJ36" s="610">
        <v>0</v>
      </c>
      <c r="AK36" s="609">
        <v>0</v>
      </c>
      <c r="AL36" s="609">
        <v>0</v>
      </c>
      <c r="AM36" s="610">
        <v>1</v>
      </c>
      <c r="AN36" s="610">
        <v>32</v>
      </c>
      <c r="AO36" s="609">
        <v>1</v>
      </c>
      <c r="AP36" s="609">
        <v>32</v>
      </c>
      <c r="AQ36" s="622">
        <f t="shared" ref="AQ36:AQ67" si="6">AM36+AI36+AE36+AA36+W36+S36+O36+K36+G36+B36</f>
        <v>6</v>
      </c>
      <c r="AR36" s="622">
        <f t="shared" ref="AR36:AR67" si="7">AN36+AJ36+AF36+AB36+X36+T36+P36+L36+H36+C36</f>
        <v>192</v>
      </c>
      <c r="AS36" s="621">
        <f t="shared" ref="AS36:AS67" si="8">AO36+AK36+AG36+AC36+Y36+U36+Q36+M36+I36+D36</f>
        <v>6</v>
      </c>
      <c r="AT36" s="621">
        <f t="shared" ref="AT36:AT67" si="9">AP36+AL36+AH36+AD36+Z36+V36+R36+N36+J36+E36</f>
        <v>192</v>
      </c>
      <c r="AV36" s="620">
        <f t="shared" ref="AV36:AV67" si="10">D36+I36+M36+Q36+U36+Y36+AC36+AG36+AK36+AO36</f>
        <v>6</v>
      </c>
      <c r="AW36" s="620">
        <f t="shared" ref="AW36:AW67" si="11">E36+J36+N36+R36+V36+Z36+AD36+AH36+AL36+AP36</f>
        <v>192</v>
      </c>
    </row>
    <row r="37" spans="1:49">
      <c r="A37" s="613">
        <v>33</v>
      </c>
      <c r="B37" s="612">
        <v>3</v>
      </c>
      <c r="C37" s="612">
        <v>99</v>
      </c>
      <c r="D37" s="611">
        <v>3</v>
      </c>
      <c r="E37" s="611">
        <v>66</v>
      </c>
      <c r="G37" s="612">
        <v>0</v>
      </c>
      <c r="H37" s="612">
        <v>0</v>
      </c>
      <c r="I37" s="611">
        <v>0</v>
      </c>
      <c r="J37" s="611">
        <v>0</v>
      </c>
      <c r="K37" s="612">
        <v>0</v>
      </c>
      <c r="L37" s="612">
        <v>0</v>
      </c>
      <c r="M37" s="611">
        <v>0</v>
      </c>
      <c r="N37" s="611">
        <v>0</v>
      </c>
      <c r="O37" s="612">
        <v>0</v>
      </c>
      <c r="P37" s="612">
        <v>0</v>
      </c>
      <c r="Q37" s="611">
        <v>0</v>
      </c>
      <c r="R37" s="611">
        <v>0</v>
      </c>
      <c r="S37" s="612">
        <v>0</v>
      </c>
      <c r="T37" s="612">
        <v>0</v>
      </c>
      <c r="U37" s="611">
        <v>0</v>
      </c>
      <c r="V37" s="611">
        <v>0</v>
      </c>
      <c r="W37" s="610">
        <v>0</v>
      </c>
      <c r="X37" s="610">
        <v>0</v>
      </c>
      <c r="Y37" s="609">
        <v>0</v>
      </c>
      <c r="Z37" s="609">
        <v>0</v>
      </c>
      <c r="AA37" s="610">
        <v>1</v>
      </c>
      <c r="AB37" s="610">
        <v>33</v>
      </c>
      <c r="AC37" s="609">
        <v>1</v>
      </c>
      <c r="AD37" s="609">
        <v>66</v>
      </c>
      <c r="AE37" s="610">
        <v>0</v>
      </c>
      <c r="AF37" s="610">
        <v>0</v>
      </c>
      <c r="AG37" s="609">
        <v>0</v>
      </c>
      <c r="AH37" s="609">
        <v>0</v>
      </c>
      <c r="AI37" s="610">
        <v>0</v>
      </c>
      <c r="AJ37" s="610">
        <v>0</v>
      </c>
      <c r="AK37" s="609">
        <v>0</v>
      </c>
      <c r="AL37" s="609">
        <v>0</v>
      </c>
      <c r="AM37" s="610">
        <v>0</v>
      </c>
      <c r="AN37" s="610">
        <v>0</v>
      </c>
      <c r="AO37" s="609">
        <v>0</v>
      </c>
      <c r="AP37" s="609">
        <v>0</v>
      </c>
      <c r="AQ37" s="622">
        <f t="shared" si="6"/>
        <v>4</v>
      </c>
      <c r="AR37" s="622">
        <f t="shared" si="7"/>
        <v>132</v>
      </c>
      <c r="AS37" s="621">
        <f t="shared" si="8"/>
        <v>4</v>
      </c>
      <c r="AT37" s="621">
        <f t="shared" si="9"/>
        <v>132</v>
      </c>
      <c r="AV37" s="620">
        <f t="shared" si="10"/>
        <v>4</v>
      </c>
      <c r="AW37" s="620">
        <f t="shared" si="11"/>
        <v>132</v>
      </c>
    </row>
    <row r="38" spans="1:49">
      <c r="A38" s="613">
        <v>34</v>
      </c>
      <c r="B38" s="612">
        <v>5</v>
      </c>
      <c r="C38" s="612">
        <v>170</v>
      </c>
      <c r="D38" s="611">
        <v>5</v>
      </c>
      <c r="E38" s="611">
        <v>136</v>
      </c>
      <c r="G38" s="612">
        <v>0</v>
      </c>
      <c r="H38" s="612">
        <v>0</v>
      </c>
      <c r="I38" s="611">
        <v>0</v>
      </c>
      <c r="J38" s="611">
        <v>0</v>
      </c>
      <c r="K38" s="612">
        <v>0</v>
      </c>
      <c r="L38" s="612">
        <v>0</v>
      </c>
      <c r="M38" s="611">
        <v>0</v>
      </c>
      <c r="N38" s="611">
        <v>0</v>
      </c>
      <c r="O38" s="612">
        <v>2</v>
      </c>
      <c r="P38" s="612">
        <v>68</v>
      </c>
      <c r="Q38" s="611">
        <v>2</v>
      </c>
      <c r="R38" s="611">
        <v>68</v>
      </c>
      <c r="S38" s="612">
        <v>0</v>
      </c>
      <c r="T38" s="612">
        <v>0</v>
      </c>
      <c r="U38" s="611">
        <v>0</v>
      </c>
      <c r="V38" s="611">
        <v>0</v>
      </c>
      <c r="W38" s="610">
        <v>0</v>
      </c>
      <c r="X38" s="610">
        <v>0</v>
      </c>
      <c r="Y38" s="609">
        <v>0</v>
      </c>
      <c r="Z38" s="609">
        <v>0</v>
      </c>
      <c r="AA38" s="610">
        <v>0</v>
      </c>
      <c r="AB38" s="610">
        <v>0</v>
      </c>
      <c r="AC38" s="609">
        <v>0</v>
      </c>
      <c r="AD38" s="609">
        <v>0</v>
      </c>
      <c r="AE38" s="610">
        <v>0</v>
      </c>
      <c r="AF38" s="610">
        <v>0</v>
      </c>
      <c r="AG38" s="609">
        <v>0</v>
      </c>
      <c r="AH38" s="609">
        <v>0</v>
      </c>
      <c r="AI38" s="610">
        <v>0</v>
      </c>
      <c r="AJ38" s="610">
        <v>0</v>
      </c>
      <c r="AK38" s="609">
        <v>0</v>
      </c>
      <c r="AL38" s="609">
        <v>0</v>
      </c>
      <c r="AM38" s="610">
        <v>0</v>
      </c>
      <c r="AN38" s="610">
        <v>0</v>
      </c>
      <c r="AO38" s="609">
        <v>0</v>
      </c>
      <c r="AP38" s="609">
        <v>0</v>
      </c>
      <c r="AQ38" s="622">
        <f t="shared" si="6"/>
        <v>7</v>
      </c>
      <c r="AR38" s="622">
        <f t="shared" si="7"/>
        <v>238</v>
      </c>
      <c r="AS38" s="621">
        <f t="shared" si="8"/>
        <v>7</v>
      </c>
      <c r="AT38" s="621">
        <f t="shared" si="9"/>
        <v>204</v>
      </c>
      <c r="AV38" s="620">
        <f t="shared" si="10"/>
        <v>7</v>
      </c>
      <c r="AW38" s="620">
        <f t="shared" si="11"/>
        <v>204</v>
      </c>
    </row>
    <row r="39" spans="1:49">
      <c r="A39" s="613">
        <v>35</v>
      </c>
      <c r="B39" s="612">
        <v>2</v>
      </c>
      <c r="C39" s="612">
        <v>70</v>
      </c>
      <c r="D39" s="611">
        <v>2</v>
      </c>
      <c r="E39" s="611">
        <v>70</v>
      </c>
      <c r="G39" s="612">
        <v>0</v>
      </c>
      <c r="H39" s="612">
        <v>0</v>
      </c>
      <c r="I39" s="611">
        <v>0</v>
      </c>
      <c r="J39" s="611">
        <v>0</v>
      </c>
      <c r="K39" s="612">
        <v>0</v>
      </c>
      <c r="L39" s="612">
        <v>0</v>
      </c>
      <c r="M39" s="611">
        <v>0</v>
      </c>
      <c r="N39" s="611">
        <v>0</v>
      </c>
      <c r="O39" s="612">
        <v>1</v>
      </c>
      <c r="P39" s="612">
        <v>35</v>
      </c>
      <c r="Q39" s="611">
        <v>1</v>
      </c>
      <c r="R39" s="611">
        <v>69</v>
      </c>
      <c r="S39" s="612">
        <v>0</v>
      </c>
      <c r="T39" s="612">
        <v>0</v>
      </c>
      <c r="U39" s="611">
        <v>0</v>
      </c>
      <c r="V39" s="611">
        <v>0</v>
      </c>
      <c r="W39" s="610">
        <v>0</v>
      </c>
      <c r="X39" s="610">
        <v>0</v>
      </c>
      <c r="Y39" s="609">
        <v>0</v>
      </c>
      <c r="Z39" s="609">
        <v>0</v>
      </c>
      <c r="AA39" s="610">
        <v>0</v>
      </c>
      <c r="AB39" s="610">
        <v>0</v>
      </c>
      <c r="AC39" s="609">
        <v>0</v>
      </c>
      <c r="AD39" s="609">
        <v>0</v>
      </c>
      <c r="AE39" s="610">
        <v>0</v>
      </c>
      <c r="AF39" s="610">
        <v>0</v>
      </c>
      <c r="AG39" s="609">
        <v>0</v>
      </c>
      <c r="AH39" s="609">
        <v>0</v>
      </c>
      <c r="AI39" s="610">
        <v>0</v>
      </c>
      <c r="AJ39" s="610">
        <v>0</v>
      </c>
      <c r="AK39" s="609">
        <v>0</v>
      </c>
      <c r="AL39" s="609">
        <v>0</v>
      </c>
      <c r="AM39" s="610">
        <v>2</v>
      </c>
      <c r="AN39" s="610">
        <v>70</v>
      </c>
      <c r="AO39" s="609">
        <v>2</v>
      </c>
      <c r="AP39" s="609">
        <v>70</v>
      </c>
      <c r="AQ39" s="622">
        <f t="shared" si="6"/>
        <v>5</v>
      </c>
      <c r="AR39" s="622">
        <f t="shared" si="7"/>
        <v>175</v>
      </c>
      <c r="AS39" s="621">
        <f t="shared" si="8"/>
        <v>5</v>
      </c>
      <c r="AT39" s="621">
        <f t="shared" si="9"/>
        <v>209</v>
      </c>
      <c r="AV39" s="620">
        <f t="shared" si="10"/>
        <v>5</v>
      </c>
      <c r="AW39" s="620">
        <f t="shared" si="11"/>
        <v>209</v>
      </c>
    </row>
    <row r="40" spans="1:49">
      <c r="A40" s="613">
        <v>36</v>
      </c>
      <c r="B40" s="612">
        <v>4</v>
      </c>
      <c r="C40" s="612">
        <v>144</v>
      </c>
      <c r="D40" s="611">
        <v>4</v>
      </c>
      <c r="E40" s="611">
        <v>144</v>
      </c>
      <c r="G40" s="612">
        <v>0</v>
      </c>
      <c r="H40" s="612">
        <v>0</v>
      </c>
      <c r="I40" s="611">
        <v>0</v>
      </c>
      <c r="J40" s="611">
        <v>0</v>
      </c>
      <c r="K40" s="612">
        <v>0</v>
      </c>
      <c r="L40" s="612">
        <v>0</v>
      </c>
      <c r="M40" s="611">
        <v>0</v>
      </c>
      <c r="N40" s="611">
        <v>0</v>
      </c>
      <c r="O40" s="612">
        <v>0</v>
      </c>
      <c r="P40" s="612">
        <v>0</v>
      </c>
      <c r="Q40" s="611">
        <v>0</v>
      </c>
      <c r="R40" s="611">
        <v>0</v>
      </c>
      <c r="S40" s="612">
        <v>0</v>
      </c>
      <c r="T40" s="612">
        <v>0</v>
      </c>
      <c r="U40" s="611">
        <v>0</v>
      </c>
      <c r="V40" s="611">
        <v>0</v>
      </c>
      <c r="W40" s="610">
        <v>0</v>
      </c>
      <c r="X40" s="610">
        <v>0</v>
      </c>
      <c r="Y40" s="609">
        <v>0</v>
      </c>
      <c r="Z40" s="609">
        <v>0</v>
      </c>
      <c r="AA40" s="610">
        <v>0</v>
      </c>
      <c r="AB40" s="610">
        <v>0</v>
      </c>
      <c r="AC40" s="609">
        <v>0</v>
      </c>
      <c r="AD40" s="609">
        <v>0</v>
      </c>
      <c r="AE40" s="610">
        <v>0</v>
      </c>
      <c r="AF40" s="610">
        <v>0</v>
      </c>
      <c r="AG40" s="609">
        <v>0</v>
      </c>
      <c r="AH40" s="609">
        <v>0</v>
      </c>
      <c r="AI40" s="610">
        <v>0</v>
      </c>
      <c r="AJ40" s="610">
        <v>0</v>
      </c>
      <c r="AK40" s="609">
        <v>0</v>
      </c>
      <c r="AL40" s="609">
        <v>0</v>
      </c>
      <c r="AM40" s="610">
        <v>1</v>
      </c>
      <c r="AN40" s="610">
        <v>36</v>
      </c>
      <c r="AO40" s="609">
        <v>1</v>
      </c>
      <c r="AP40" s="609">
        <v>36</v>
      </c>
      <c r="AQ40" s="622">
        <f t="shared" si="6"/>
        <v>5</v>
      </c>
      <c r="AR40" s="622">
        <f t="shared" si="7"/>
        <v>180</v>
      </c>
      <c r="AS40" s="621">
        <f t="shared" si="8"/>
        <v>5</v>
      </c>
      <c r="AT40" s="621">
        <f t="shared" si="9"/>
        <v>180</v>
      </c>
      <c r="AV40" s="620">
        <f t="shared" si="10"/>
        <v>5</v>
      </c>
      <c r="AW40" s="620">
        <f t="shared" si="11"/>
        <v>180</v>
      </c>
    </row>
    <row r="41" spans="1:49">
      <c r="A41" s="613">
        <v>37</v>
      </c>
      <c r="B41" s="612">
        <v>1</v>
      </c>
      <c r="C41" s="612">
        <v>37</v>
      </c>
      <c r="D41" s="611">
        <v>1</v>
      </c>
      <c r="E41" s="611">
        <v>37</v>
      </c>
      <c r="G41" s="612">
        <v>0</v>
      </c>
      <c r="H41" s="612">
        <v>0</v>
      </c>
      <c r="I41" s="611">
        <v>0</v>
      </c>
      <c r="J41" s="611">
        <v>0</v>
      </c>
      <c r="K41" s="612">
        <v>0</v>
      </c>
      <c r="L41" s="612">
        <v>0</v>
      </c>
      <c r="M41" s="611">
        <v>0</v>
      </c>
      <c r="N41" s="611">
        <v>0</v>
      </c>
      <c r="O41" s="612">
        <v>1</v>
      </c>
      <c r="P41" s="612">
        <v>37</v>
      </c>
      <c r="Q41" s="611">
        <v>1</v>
      </c>
      <c r="R41" s="611">
        <v>37</v>
      </c>
      <c r="S41" s="612">
        <v>0</v>
      </c>
      <c r="T41" s="612">
        <v>0</v>
      </c>
      <c r="U41" s="611">
        <v>0</v>
      </c>
      <c r="V41" s="611">
        <v>0</v>
      </c>
      <c r="W41" s="610">
        <v>0</v>
      </c>
      <c r="X41" s="610">
        <v>0</v>
      </c>
      <c r="Y41" s="609">
        <v>0</v>
      </c>
      <c r="Z41" s="609">
        <v>0</v>
      </c>
      <c r="AA41" s="610">
        <v>0</v>
      </c>
      <c r="AB41" s="610">
        <v>0</v>
      </c>
      <c r="AC41" s="609">
        <v>0</v>
      </c>
      <c r="AD41" s="609">
        <v>0</v>
      </c>
      <c r="AE41" s="610">
        <v>0</v>
      </c>
      <c r="AF41" s="610">
        <v>0</v>
      </c>
      <c r="AG41" s="609">
        <v>0</v>
      </c>
      <c r="AH41" s="609">
        <v>0</v>
      </c>
      <c r="AI41" s="610">
        <v>0</v>
      </c>
      <c r="AJ41" s="610">
        <v>0</v>
      </c>
      <c r="AK41" s="609">
        <v>0</v>
      </c>
      <c r="AL41" s="609">
        <v>0</v>
      </c>
      <c r="AM41" s="610">
        <v>0</v>
      </c>
      <c r="AN41" s="610">
        <v>0</v>
      </c>
      <c r="AO41" s="609">
        <v>0</v>
      </c>
      <c r="AP41" s="609">
        <v>0</v>
      </c>
      <c r="AQ41" s="622">
        <f t="shared" si="6"/>
        <v>2</v>
      </c>
      <c r="AR41" s="622">
        <f t="shared" si="7"/>
        <v>74</v>
      </c>
      <c r="AS41" s="621">
        <f t="shared" si="8"/>
        <v>2</v>
      </c>
      <c r="AT41" s="621">
        <f t="shared" si="9"/>
        <v>74</v>
      </c>
      <c r="AV41" s="620">
        <f t="shared" si="10"/>
        <v>2</v>
      </c>
      <c r="AW41" s="620">
        <f t="shared" si="11"/>
        <v>74</v>
      </c>
    </row>
    <row r="42" spans="1:49">
      <c r="A42" s="613">
        <v>38</v>
      </c>
      <c r="B42" s="612">
        <v>3</v>
      </c>
      <c r="C42" s="612">
        <v>114</v>
      </c>
      <c r="D42" s="611">
        <v>3</v>
      </c>
      <c r="E42" s="611">
        <v>114</v>
      </c>
      <c r="G42" s="612">
        <v>0</v>
      </c>
      <c r="H42" s="612">
        <v>0</v>
      </c>
      <c r="I42" s="611">
        <v>0</v>
      </c>
      <c r="J42" s="611">
        <v>0</v>
      </c>
      <c r="K42" s="612">
        <v>0</v>
      </c>
      <c r="L42" s="612">
        <v>0</v>
      </c>
      <c r="M42" s="611">
        <v>0</v>
      </c>
      <c r="N42" s="611">
        <v>0</v>
      </c>
      <c r="O42" s="612">
        <v>0</v>
      </c>
      <c r="P42" s="612">
        <v>0</v>
      </c>
      <c r="Q42" s="611">
        <v>0</v>
      </c>
      <c r="R42" s="611">
        <v>0</v>
      </c>
      <c r="S42" s="612">
        <v>0</v>
      </c>
      <c r="T42" s="612">
        <v>0</v>
      </c>
      <c r="U42" s="611">
        <v>0</v>
      </c>
      <c r="V42" s="611">
        <v>0</v>
      </c>
      <c r="W42" s="610">
        <v>0</v>
      </c>
      <c r="X42" s="610">
        <v>0</v>
      </c>
      <c r="Y42" s="609">
        <v>0</v>
      </c>
      <c r="Z42" s="609">
        <v>0</v>
      </c>
      <c r="AA42" s="610">
        <v>0</v>
      </c>
      <c r="AB42" s="610">
        <v>0</v>
      </c>
      <c r="AC42" s="609">
        <v>0</v>
      </c>
      <c r="AD42" s="609">
        <v>0</v>
      </c>
      <c r="AE42" s="610">
        <v>0</v>
      </c>
      <c r="AF42" s="610">
        <v>0</v>
      </c>
      <c r="AG42" s="609">
        <v>0</v>
      </c>
      <c r="AH42" s="609">
        <v>0</v>
      </c>
      <c r="AI42" s="610">
        <v>0</v>
      </c>
      <c r="AJ42" s="610">
        <v>0</v>
      </c>
      <c r="AK42" s="609">
        <v>0</v>
      </c>
      <c r="AL42" s="609">
        <v>0</v>
      </c>
      <c r="AM42" s="610">
        <v>1</v>
      </c>
      <c r="AN42" s="610">
        <v>38</v>
      </c>
      <c r="AO42" s="609">
        <v>1</v>
      </c>
      <c r="AP42" s="609">
        <v>38</v>
      </c>
      <c r="AQ42" s="622">
        <f t="shared" si="6"/>
        <v>4</v>
      </c>
      <c r="AR42" s="622">
        <f t="shared" si="7"/>
        <v>152</v>
      </c>
      <c r="AS42" s="621">
        <f t="shared" si="8"/>
        <v>4</v>
      </c>
      <c r="AT42" s="621">
        <f t="shared" si="9"/>
        <v>152</v>
      </c>
      <c r="AV42" s="620">
        <f t="shared" si="10"/>
        <v>4</v>
      </c>
      <c r="AW42" s="620">
        <f t="shared" si="11"/>
        <v>152</v>
      </c>
    </row>
    <row r="43" spans="1:49">
      <c r="A43" s="613">
        <v>39</v>
      </c>
      <c r="B43" s="612">
        <v>2</v>
      </c>
      <c r="C43" s="612">
        <v>78</v>
      </c>
      <c r="D43" s="611">
        <v>2</v>
      </c>
      <c r="E43" s="611">
        <v>78</v>
      </c>
      <c r="G43" s="612">
        <v>0</v>
      </c>
      <c r="H43" s="612">
        <v>0</v>
      </c>
      <c r="I43" s="611">
        <v>0</v>
      </c>
      <c r="J43" s="611">
        <v>0</v>
      </c>
      <c r="K43" s="612">
        <v>0</v>
      </c>
      <c r="L43" s="612">
        <v>0</v>
      </c>
      <c r="M43" s="611">
        <v>0</v>
      </c>
      <c r="N43" s="611">
        <v>0</v>
      </c>
      <c r="O43" s="612">
        <v>0</v>
      </c>
      <c r="P43" s="612">
        <v>0</v>
      </c>
      <c r="Q43" s="611">
        <v>0</v>
      </c>
      <c r="R43" s="611">
        <v>0</v>
      </c>
      <c r="S43" s="612">
        <v>0</v>
      </c>
      <c r="T43" s="612">
        <v>0</v>
      </c>
      <c r="U43" s="611">
        <v>0</v>
      </c>
      <c r="V43" s="611">
        <v>0</v>
      </c>
      <c r="W43" s="610">
        <v>0</v>
      </c>
      <c r="X43" s="610">
        <v>0</v>
      </c>
      <c r="Y43" s="609">
        <v>0</v>
      </c>
      <c r="Z43" s="609">
        <v>0</v>
      </c>
      <c r="AA43" s="610">
        <v>0</v>
      </c>
      <c r="AB43" s="610">
        <v>0</v>
      </c>
      <c r="AC43" s="609">
        <v>0</v>
      </c>
      <c r="AD43" s="609">
        <v>0</v>
      </c>
      <c r="AE43" s="610">
        <v>0</v>
      </c>
      <c r="AF43" s="610">
        <v>0</v>
      </c>
      <c r="AG43" s="609">
        <v>0</v>
      </c>
      <c r="AH43" s="609">
        <v>0</v>
      </c>
      <c r="AI43" s="610">
        <v>0</v>
      </c>
      <c r="AJ43" s="610">
        <v>0</v>
      </c>
      <c r="AK43" s="609">
        <v>0</v>
      </c>
      <c r="AL43" s="609">
        <v>0</v>
      </c>
      <c r="AM43" s="610">
        <v>0</v>
      </c>
      <c r="AN43" s="610">
        <v>0</v>
      </c>
      <c r="AO43" s="609">
        <v>0</v>
      </c>
      <c r="AP43" s="609">
        <v>0</v>
      </c>
      <c r="AQ43" s="622">
        <f t="shared" si="6"/>
        <v>2</v>
      </c>
      <c r="AR43" s="622">
        <f t="shared" si="7"/>
        <v>78</v>
      </c>
      <c r="AS43" s="621">
        <f t="shared" si="8"/>
        <v>2</v>
      </c>
      <c r="AT43" s="621">
        <f t="shared" si="9"/>
        <v>78</v>
      </c>
      <c r="AV43" s="620">
        <f t="shared" si="10"/>
        <v>2</v>
      </c>
      <c r="AW43" s="620">
        <f t="shared" si="11"/>
        <v>78</v>
      </c>
    </row>
    <row r="44" spans="1:49">
      <c r="A44" s="613">
        <v>40</v>
      </c>
      <c r="B44" s="612">
        <v>0</v>
      </c>
      <c r="C44" s="612">
        <v>0</v>
      </c>
      <c r="D44" s="611">
        <v>0</v>
      </c>
      <c r="E44" s="611">
        <v>0</v>
      </c>
      <c r="G44" s="612">
        <v>0</v>
      </c>
      <c r="H44" s="612">
        <v>0</v>
      </c>
      <c r="I44" s="611">
        <v>0</v>
      </c>
      <c r="J44" s="611">
        <v>0</v>
      </c>
      <c r="K44" s="612">
        <v>0</v>
      </c>
      <c r="L44" s="612">
        <v>0</v>
      </c>
      <c r="M44" s="611">
        <v>0</v>
      </c>
      <c r="N44" s="611">
        <v>0</v>
      </c>
      <c r="O44" s="612">
        <v>2</v>
      </c>
      <c r="P44" s="612">
        <v>80</v>
      </c>
      <c r="Q44" s="611">
        <v>2</v>
      </c>
      <c r="R44" s="611">
        <v>80</v>
      </c>
      <c r="S44" s="612">
        <v>0</v>
      </c>
      <c r="T44" s="612">
        <v>0</v>
      </c>
      <c r="U44" s="611">
        <v>0</v>
      </c>
      <c r="V44" s="611">
        <v>0</v>
      </c>
      <c r="W44" s="610">
        <v>0</v>
      </c>
      <c r="X44" s="610">
        <v>0</v>
      </c>
      <c r="Y44" s="609">
        <v>0</v>
      </c>
      <c r="Z44" s="609">
        <v>0</v>
      </c>
      <c r="AA44" s="610">
        <v>0</v>
      </c>
      <c r="AB44" s="610">
        <v>0</v>
      </c>
      <c r="AC44" s="609">
        <v>0</v>
      </c>
      <c r="AD44" s="609">
        <v>0</v>
      </c>
      <c r="AE44" s="610">
        <v>0</v>
      </c>
      <c r="AF44" s="610">
        <v>0</v>
      </c>
      <c r="AG44" s="609">
        <v>0</v>
      </c>
      <c r="AH44" s="609">
        <v>0</v>
      </c>
      <c r="AI44" s="610">
        <v>0</v>
      </c>
      <c r="AJ44" s="610">
        <v>0</v>
      </c>
      <c r="AK44" s="609">
        <v>0</v>
      </c>
      <c r="AL44" s="609">
        <v>0</v>
      </c>
      <c r="AM44" s="610">
        <v>0</v>
      </c>
      <c r="AN44" s="610">
        <v>0</v>
      </c>
      <c r="AO44" s="609">
        <v>0</v>
      </c>
      <c r="AP44" s="609">
        <v>0</v>
      </c>
      <c r="AQ44" s="622">
        <f t="shared" si="6"/>
        <v>2</v>
      </c>
      <c r="AR44" s="622">
        <f t="shared" si="7"/>
        <v>80</v>
      </c>
      <c r="AS44" s="621">
        <f t="shared" si="8"/>
        <v>2</v>
      </c>
      <c r="AT44" s="621">
        <f t="shared" si="9"/>
        <v>80</v>
      </c>
      <c r="AV44" s="620">
        <f t="shared" si="10"/>
        <v>2</v>
      </c>
      <c r="AW44" s="620">
        <f t="shared" si="11"/>
        <v>80</v>
      </c>
    </row>
    <row r="45" spans="1:49">
      <c r="A45" s="613">
        <v>41</v>
      </c>
      <c r="B45" s="612">
        <v>2</v>
      </c>
      <c r="C45" s="612">
        <v>82</v>
      </c>
      <c r="D45" s="611">
        <v>2</v>
      </c>
      <c r="E45" s="611">
        <v>82</v>
      </c>
      <c r="G45" s="612">
        <v>0</v>
      </c>
      <c r="H45" s="612">
        <v>0</v>
      </c>
      <c r="I45" s="611">
        <v>0</v>
      </c>
      <c r="J45" s="611">
        <v>0</v>
      </c>
      <c r="K45" s="612">
        <v>0</v>
      </c>
      <c r="L45" s="612">
        <v>0</v>
      </c>
      <c r="M45" s="611">
        <v>0</v>
      </c>
      <c r="N45" s="611">
        <v>0</v>
      </c>
      <c r="O45" s="612">
        <v>0</v>
      </c>
      <c r="P45" s="612">
        <v>0</v>
      </c>
      <c r="Q45" s="611">
        <v>0</v>
      </c>
      <c r="R45" s="611">
        <v>0</v>
      </c>
      <c r="S45" s="612">
        <v>0</v>
      </c>
      <c r="T45" s="612">
        <v>0</v>
      </c>
      <c r="U45" s="611">
        <v>0</v>
      </c>
      <c r="V45" s="611">
        <v>0</v>
      </c>
      <c r="W45" s="610">
        <v>0</v>
      </c>
      <c r="X45" s="610">
        <v>0</v>
      </c>
      <c r="Y45" s="609">
        <v>0</v>
      </c>
      <c r="Z45" s="609">
        <v>0</v>
      </c>
      <c r="AA45" s="610">
        <v>0</v>
      </c>
      <c r="AB45" s="610">
        <v>0</v>
      </c>
      <c r="AC45" s="609">
        <v>0</v>
      </c>
      <c r="AD45" s="609">
        <v>0</v>
      </c>
      <c r="AE45" s="610">
        <v>0</v>
      </c>
      <c r="AF45" s="610">
        <v>0</v>
      </c>
      <c r="AG45" s="609">
        <v>0</v>
      </c>
      <c r="AH45" s="609">
        <v>0</v>
      </c>
      <c r="AI45" s="610">
        <v>0</v>
      </c>
      <c r="AJ45" s="610">
        <v>0</v>
      </c>
      <c r="AK45" s="609">
        <v>0</v>
      </c>
      <c r="AL45" s="609">
        <v>0</v>
      </c>
      <c r="AM45" s="610">
        <v>0</v>
      </c>
      <c r="AN45" s="610">
        <v>0</v>
      </c>
      <c r="AO45" s="609">
        <v>0</v>
      </c>
      <c r="AP45" s="609">
        <v>0</v>
      </c>
      <c r="AQ45" s="622">
        <f t="shared" si="6"/>
        <v>2</v>
      </c>
      <c r="AR45" s="622">
        <f t="shared" si="7"/>
        <v>82</v>
      </c>
      <c r="AS45" s="621">
        <f t="shared" si="8"/>
        <v>2</v>
      </c>
      <c r="AT45" s="621">
        <f t="shared" si="9"/>
        <v>82</v>
      </c>
      <c r="AV45" s="620">
        <f t="shared" si="10"/>
        <v>2</v>
      </c>
      <c r="AW45" s="620">
        <f t="shared" si="11"/>
        <v>82</v>
      </c>
    </row>
    <row r="46" spans="1:49">
      <c r="A46" s="613">
        <v>42</v>
      </c>
      <c r="B46" s="612">
        <v>1</v>
      </c>
      <c r="C46" s="612">
        <v>42</v>
      </c>
      <c r="D46" s="611">
        <v>1</v>
      </c>
      <c r="E46" s="611">
        <v>42</v>
      </c>
      <c r="G46" s="612">
        <v>0</v>
      </c>
      <c r="H46" s="612">
        <v>0</v>
      </c>
      <c r="I46" s="611">
        <v>0</v>
      </c>
      <c r="J46" s="611">
        <v>0</v>
      </c>
      <c r="K46" s="612">
        <v>0</v>
      </c>
      <c r="L46" s="612">
        <v>0</v>
      </c>
      <c r="M46" s="611">
        <v>0</v>
      </c>
      <c r="N46" s="611">
        <v>0</v>
      </c>
      <c r="O46" s="612">
        <v>0</v>
      </c>
      <c r="P46" s="612">
        <v>0</v>
      </c>
      <c r="Q46" s="611">
        <v>0</v>
      </c>
      <c r="R46" s="611">
        <v>0</v>
      </c>
      <c r="S46" s="612">
        <v>0</v>
      </c>
      <c r="T46" s="612">
        <v>0</v>
      </c>
      <c r="U46" s="611">
        <v>0</v>
      </c>
      <c r="V46" s="611">
        <v>0</v>
      </c>
      <c r="W46" s="610">
        <v>0</v>
      </c>
      <c r="X46" s="610">
        <v>0</v>
      </c>
      <c r="Y46" s="609">
        <v>0</v>
      </c>
      <c r="Z46" s="609">
        <v>0</v>
      </c>
      <c r="AA46" s="610">
        <v>0</v>
      </c>
      <c r="AB46" s="610">
        <v>0</v>
      </c>
      <c r="AC46" s="609">
        <v>0</v>
      </c>
      <c r="AD46" s="609">
        <v>0</v>
      </c>
      <c r="AE46" s="610">
        <v>0</v>
      </c>
      <c r="AF46" s="610">
        <v>0</v>
      </c>
      <c r="AG46" s="609">
        <v>0</v>
      </c>
      <c r="AH46" s="609">
        <v>0</v>
      </c>
      <c r="AI46" s="610">
        <v>0</v>
      </c>
      <c r="AJ46" s="610">
        <v>0</v>
      </c>
      <c r="AK46" s="609">
        <v>0</v>
      </c>
      <c r="AL46" s="609">
        <v>0</v>
      </c>
      <c r="AM46" s="610">
        <v>1</v>
      </c>
      <c r="AN46" s="610">
        <v>42</v>
      </c>
      <c r="AO46" s="609">
        <v>1</v>
      </c>
      <c r="AP46" s="609">
        <v>42</v>
      </c>
      <c r="AQ46" s="622">
        <f t="shared" si="6"/>
        <v>2</v>
      </c>
      <c r="AR46" s="622">
        <f t="shared" si="7"/>
        <v>84</v>
      </c>
      <c r="AS46" s="621">
        <f t="shared" si="8"/>
        <v>2</v>
      </c>
      <c r="AT46" s="621">
        <f t="shared" si="9"/>
        <v>84</v>
      </c>
      <c r="AV46" s="620">
        <f t="shared" si="10"/>
        <v>2</v>
      </c>
      <c r="AW46" s="620">
        <f t="shared" si="11"/>
        <v>84</v>
      </c>
    </row>
    <row r="47" spans="1:49">
      <c r="A47" s="613">
        <v>43</v>
      </c>
      <c r="B47" s="612">
        <v>0</v>
      </c>
      <c r="C47" s="612">
        <v>0</v>
      </c>
      <c r="D47" s="611">
        <v>0</v>
      </c>
      <c r="E47" s="611">
        <v>0</v>
      </c>
      <c r="G47" s="612">
        <v>0</v>
      </c>
      <c r="H47" s="612">
        <v>0</v>
      </c>
      <c r="I47" s="611">
        <v>0</v>
      </c>
      <c r="J47" s="611">
        <v>0</v>
      </c>
      <c r="K47" s="612">
        <v>0</v>
      </c>
      <c r="L47" s="612">
        <v>0</v>
      </c>
      <c r="M47" s="611">
        <v>0</v>
      </c>
      <c r="N47" s="611">
        <v>0</v>
      </c>
      <c r="O47" s="612">
        <v>1</v>
      </c>
      <c r="P47" s="612">
        <v>43</v>
      </c>
      <c r="Q47" s="611">
        <v>1</v>
      </c>
      <c r="R47" s="611">
        <v>43</v>
      </c>
      <c r="S47" s="612">
        <v>0</v>
      </c>
      <c r="T47" s="612">
        <v>0</v>
      </c>
      <c r="U47" s="611">
        <v>0</v>
      </c>
      <c r="V47" s="611">
        <v>0</v>
      </c>
      <c r="W47" s="610">
        <v>0</v>
      </c>
      <c r="X47" s="610">
        <v>0</v>
      </c>
      <c r="Y47" s="609">
        <v>0</v>
      </c>
      <c r="Z47" s="609">
        <v>0</v>
      </c>
      <c r="AA47" s="610">
        <v>1</v>
      </c>
      <c r="AB47" s="610">
        <v>43</v>
      </c>
      <c r="AC47" s="609">
        <v>1</v>
      </c>
      <c r="AD47" s="609">
        <v>43</v>
      </c>
      <c r="AE47" s="610">
        <v>0</v>
      </c>
      <c r="AF47" s="610">
        <v>0</v>
      </c>
      <c r="AG47" s="609">
        <v>0</v>
      </c>
      <c r="AH47" s="609">
        <v>0</v>
      </c>
      <c r="AI47" s="610">
        <v>0</v>
      </c>
      <c r="AJ47" s="610">
        <v>0</v>
      </c>
      <c r="AK47" s="609">
        <v>0</v>
      </c>
      <c r="AL47" s="609">
        <v>0</v>
      </c>
      <c r="AM47" s="610">
        <v>0</v>
      </c>
      <c r="AN47" s="610">
        <v>0</v>
      </c>
      <c r="AO47" s="609">
        <v>0</v>
      </c>
      <c r="AP47" s="609">
        <v>0</v>
      </c>
      <c r="AQ47" s="622">
        <f t="shared" si="6"/>
        <v>2</v>
      </c>
      <c r="AR47" s="622">
        <f t="shared" si="7"/>
        <v>86</v>
      </c>
      <c r="AS47" s="621">
        <f t="shared" si="8"/>
        <v>2</v>
      </c>
      <c r="AT47" s="621">
        <f t="shared" si="9"/>
        <v>86</v>
      </c>
      <c r="AV47" s="620">
        <f t="shared" si="10"/>
        <v>2</v>
      </c>
      <c r="AW47" s="620">
        <f t="shared" si="11"/>
        <v>86</v>
      </c>
    </row>
    <row r="48" spans="1:49">
      <c r="A48" s="613">
        <v>44</v>
      </c>
      <c r="B48" s="612">
        <v>0</v>
      </c>
      <c r="C48" s="612">
        <v>0</v>
      </c>
      <c r="D48" s="611">
        <v>0</v>
      </c>
      <c r="E48" s="611">
        <v>0</v>
      </c>
      <c r="G48" s="612">
        <v>0</v>
      </c>
      <c r="H48" s="612">
        <v>0</v>
      </c>
      <c r="I48" s="611">
        <v>0</v>
      </c>
      <c r="J48" s="611">
        <v>0</v>
      </c>
      <c r="K48" s="612">
        <v>0</v>
      </c>
      <c r="L48" s="612">
        <v>0</v>
      </c>
      <c r="M48" s="611">
        <v>0</v>
      </c>
      <c r="N48" s="611">
        <v>0</v>
      </c>
      <c r="O48" s="612">
        <v>0</v>
      </c>
      <c r="P48" s="612">
        <v>0</v>
      </c>
      <c r="Q48" s="611">
        <v>0</v>
      </c>
      <c r="R48" s="611">
        <v>0</v>
      </c>
      <c r="S48" s="612">
        <v>0</v>
      </c>
      <c r="T48" s="612">
        <v>0</v>
      </c>
      <c r="U48" s="611">
        <v>0</v>
      </c>
      <c r="V48" s="611">
        <v>0</v>
      </c>
      <c r="W48" s="610">
        <v>0</v>
      </c>
      <c r="X48" s="610">
        <v>0</v>
      </c>
      <c r="Y48" s="609">
        <v>0</v>
      </c>
      <c r="Z48" s="609">
        <v>0</v>
      </c>
      <c r="AA48" s="610">
        <v>0</v>
      </c>
      <c r="AB48" s="610">
        <v>0</v>
      </c>
      <c r="AC48" s="609">
        <v>0</v>
      </c>
      <c r="AD48" s="609">
        <v>0</v>
      </c>
      <c r="AE48" s="610">
        <v>0</v>
      </c>
      <c r="AF48" s="610">
        <v>0</v>
      </c>
      <c r="AG48" s="609">
        <v>0</v>
      </c>
      <c r="AH48" s="609">
        <v>0</v>
      </c>
      <c r="AI48" s="610">
        <v>0</v>
      </c>
      <c r="AJ48" s="610">
        <v>0</v>
      </c>
      <c r="AK48" s="609">
        <v>0</v>
      </c>
      <c r="AL48" s="609">
        <v>0</v>
      </c>
      <c r="AM48" s="610">
        <v>1</v>
      </c>
      <c r="AN48" s="610">
        <v>44</v>
      </c>
      <c r="AO48" s="609">
        <v>1</v>
      </c>
      <c r="AP48" s="609">
        <v>44</v>
      </c>
      <c r="AQ48" s="622">
        <f t="shared" si="6"/>
        <v>1</v>
      </c>
      <c r="AR48" s="622">
        <f t="shared" si="7"/>
        <v>44</v>
      </c>
      <c r="AS48" s="621">
        <f t="shared" si="8"/>
        <v>1</v>
      </c>
      <c r="AT48" s="621">
        <f t="shared" si="9"/>
        <v>44</v>
      </c>
      <c r="AV48" s="620">
        <f t="shared" si="10"/>
        <v>1</v>
      </c>
      <c r="AW48" s="620">
        <f t="shared" si="11"/>
        <v>44</v>
      </c>
    </row>
    <row r="49" spans="1:49">
      <c r="A49" s="613">
        <v>45</v>
      </c>
      <c r="B49" s="612">
        <v>1</v>
      </c>
      <c r="C49" s="612">
        <v>45</v>
      </c>
      <c r="D49" s="611">
        <v>1</v>
      </c>
      <c r="E49" s="611">
        <v>45</v>
      </c>
      <c r="G49" s="612">
        <v>0</v>
      </c>
      <c r="H49" s="612">
        <v>0</v>
      </c>
      <c r="I49" s="611">
        <v>0</v>
      </c>
      <c r="J49" s="611">
        <v>0</v>
      </c>
      <c r="K49" s="612">
        <v>0</v>
      </c>
      <c r="L49" s="612">
        <v>0</v>
      </c>
      <c r="M49" s="611">
        <v>0</v>
      </c>
      <c r="N49" s="611">
        <v>0</v>
      </c>
      <c r="O49" s="612">
        <v>0</v>
      </c>
      <c r="P49" s="612">
        <v>0</v>
      </c>
      <c r="Q49" s="611">
        <v>0</v>
      </c>
      <c r="R49" s="611">
        <v>0</v>
      </c>
      <c r="S49" s="612">
        <v>0</v>
      </c>
      <c r="T49" s="612">
        <v>0</v>
      </c>
      <c r="U49" s="611">
        <v>0</v>
      </c>
      <c r="V49" s="611">
        <v>0</v>
      </c>
      <c r="W49" s="610">
        <v>0</v>
      </c>
      <c r="X49" s="610">
        <v>0</v>
      </c>
      <c r="Y49" s="609">
        <v>0</v>
      </c>
      <c r="Z49" s="609">
        <v>0</v>
      </c>
      <c r="AA49" s="610">
        <v>1</v>
      </c>
      <c r="AB49" s="610">
        <v>45</v>
      </c>
      <c r="AC49" s="609">
        <v>1</v>
      </c>
      <c r="AD49" s="609">
        <v>45</v>
      </c>
      <c r="AE49" s="610">
        <v>0</v>
      </c>
      <c r="AF49" s="610">
        <v>0</v>
      </c>
      <c r="AG49" s="609">
        <v>0</v>
      </c>
      <c r="AH49" s="609">
        <v>0</v>
      </c>
      <c r="AI49" s="610">
        <v>0</v>
      </c>
      <c r="AJ49" s="610">
        <v>0</v>
      </c>
      <c r="AK49" s="609">
        <v>0</v>
      </c>
      <c r="AL49" s="609">
        <v>0</v>
      </c>
      <c r="AM49" s="610">
        <v>0</v>
      </c>
      <c r="AN49" s="610">
        <v>0</v>
      </c>
      <c r="AO49" s="609">
        <v>0</v>
      </c>
      <c r="AP49" s="609">
        <v>0</v>
      </c>
      <c r="AQ49" s="622">
        <f t="shared" si="6"/>
        <v>2</v>
      </c>
      <c r="AR49" s="622">
        <f t="shared" si="7"/>
        <v>90</v>
      </c>
      <c r="AS49" s="621">
        <f t="shared" si="8"/>
        <v>2</v>
      </c>
      <c r="AT49" s="621">
        <f t="shared" si="9"/>
        <v>90</v>
      </c>
      <c r="AV49" s="620">
        <f t="shared" si="10"/>
        <v>2</v>
      </c>
      <c r="AW49" s="620">
        <f t="shared" si="11"/>
        <v>90</v>
      </c>
    </row>
    <row r="50" spans="1:49">
      <c r="A50" s="613">
        <v>46</v>
      </c>
      <c r="B50" s="612">
        <v>1</v>
      </c>
      <c r="C50" s="612">
        <v>46</v>
      </c>
      <c r="D50" s="611">
        <v>1</v>
      </c>
      <c r="E50" s="611">
        <v>46</v>
      </c>
      <c r="G50" s="612">
        <v>0</v>
      </c>
      <c r="H50" s="612">
        <v>0</v>
      </c>
      <c r="I50" s="611">
        <v>0</v>
      </c>
      <c r="J50" s="611">
        <v>0</v>
      </c>
      <c r="K50" s="612">
        <v>0</v>
      </c>
      <c r="L50" s="612">
        <v>0</v>
      </c>
      <c r="M50" s="611">
        <v>0</v>
      </c>
      <c r="N50" s="611">
        <v>0</v>
      </c>
      <c r="O50" s="612">
        <v>0</v>
      </c>
      <c r="P50" s="612">
        <v>0</v>
      </c>
      <c r="Q50" s="611">
        <v>0</v>
      </c>
      <c r="R50" s="611">
        <v>0</v>
      </c>
      <c r="S50" s="612">
        <v>0</v>
      </c>
      <c r="T50" s="612">
        <v>0</v>
      </c>
      <c r="U50" s="611">
        <v>0</v>
      </c>
      <c r="V50" s="611">
        <v>0</v>
      </c>
      <c r="W50" s="610">
        <v>0</v>
      </c>
      <c r="X50" s="610">
        <v>0</v>
      </c>
      <c r="Y50" s="609">
        <v>0</v>
      </c>
      <c r="Z50" s="609">
        <v>0</v>
      </c>
      <c r="AA50" s="610">
        <v>0</v>
      </c>
      <c r="AB50" s="610">
        <v>0</v>
      </c>
      <c r="AC50" s="609">
        <v>0</v>
      </c>
      <c r="AD50" s="609">
        <v>0</v>
      </c>
      <c r="AE50" s="610">
        <v>0</v>
      </c>
      <c r="AF50" s="610">
        <v>0</v>
      </c>
      <c r="AG50" s="609">
        <v>0</v>
      </c>
      <c r="AH50" s="609">
        <v>0</v>
      </c>
      <c r="AI50" s="610">
        <v>0</v>
      </c>
      <c r="AJ50" s="610">
        <v>0</v>
      </c>
      <c r="AK50" s="609">
        <v>0</v>
      </c>
      <c r="AL50" s="609">
        <v>0</v>
      </c>
      <c r="AM50" s="610">
        <v>0</v>
      </c>
      <c r="AN50" s="610">
        <v>0</v>
      </c>
      <c r="AO50" s="609">
        <v>0</v>
      </c>
      <c r="AP50" s="609">
        <v>0</v>
      </c>
      <c r="AQ50" s="622">
        <f t="shared" si="6"/>
        <v>1</v>
      </c>
      <c r="AR50" s="622">
        <f t="shared" si="7"/>
        <v>46</v>
      </c>
      <c r="AS50" s="621">
        <f t="shared" si="8"/>
        <v>1</v>
      </c>
      <c r="AT50" s="621">
        <f t="shared" si="9"/>
        <v>46</v>
      </c>
      <c r="AV50" s="620">
        <f t="shared" si="10"/>
        <v>1</v>
      </c>
      <c r="AW50" s="620">
        <f t="shared" si="11"/>
        <v>46</v>
      </c>
    </row>
    <row r="51" spans="1:49">
      <c r="A51" s="613">
        <v>47</v>
      </c>
      <c r="B51" s="612">
        <v>0</v>
      </c>
      <c r="C51" s="612">
        <v>0</v>
      </c>
      <c r="D51" s="611">
        <v>0</v>
      </c>
      <c r="E51" s="611">
        <v>0</v>
      </c>
      <c r="G51" s="612">
        <v>0</v>
      </c>
      <c r="H51" s="612">
        <v>0</v>
      </c>
      <c r="I51" s="611">
        <v>0</v>
      </c>
      <c r="J51" s="611">
        <v>0</v>
      </c>
      <c r="K51" s="612">
        <v>0</v>
      </c>
      <c r="L51" s="612">
        <v>0</v>
      </c>
      <c r="M51" s="611">
        <v>0</v>
      </c>
      <c r="N51" s="611">
        <v>0</v>
      </c>
      <c r="O51" s="612">
        <v>0</v>
      </c>
      <c r="P51" s="612">
        <v>0</v>
      </c>
      <c r="Q51" s="611">
        <v>0</v>
      </c>
      <c r="R51" s="611">
        <v>0</v>
      </c>
      <c r="S51" s="612">
        <v>0</v>
      </c>
      <c r="T51" s="612">
        <v>0</v>
      </c>
      <c r="U51" s="611">
        <v>0</v>
      </c>
      <c r="V51" s="611">
        <v>0</v>
      </c>
      <c r="W51" s="610">
        <v>0</v>
      </c>
      <c r="X51" s="610">
        <v>0</v>
      </c>
      <c r="Y51" s="609">
        <v>0</v>
      </c>
      <c r="Z51" s="609">
        <v>0</v>
      </c>
      <c r="AA51" s="610">
        <v>0</v>
      </c>
      <c r="AB51" s="610">
        <v>0</v>
      </c>
      <c r="AC51" s="609">
        <v>0</v>
      </c>
      <c r="AD51" s="609">
        <v>0</v>
      </c>
      <c r="AE51" s="610">
        <v>0</v>
      </c>
      <c r="AF51" s="610">
        <v>0</v>
      </c>
      <c r="AG51" s="609">
        <v>0</v>
      </c>
      <c r="AH51" s="609">
        <v>0</v>
      </c>
      <c r="AI51" s="610">
        <v>0</v>
      </c>
      <c r="AJ51" s="610">
        <v>0</v>
      </c>
      <c r="AK51" s="609">
        <v>0</v>
      </c>
      <c r="AL51" s="609">
        <v>0</v>
      </c>
      <c r="AM51" s="610">
        <v>0</v>
      </c>
      <c r="AN51" s="610">
        <v>0</v>
      </c>
      <c r="AO51" s="609">
        <v>0</v>
      </c>
      <c r="AP51" s="609">
        <v>0</v>
      </c>
      <c r="AQ51" s="622">
        <f t="shared" si="6"/>
        <v>0</v>
      </c>
      <c r="AR51" s="622">
        <f t="shared" si="7"/>
        <v>0</v>
      </c>
      <c r="AS51" s="621">
        <f t="shared" si="8"/>
        <v>0</v>
      </c>
      <c r="AT51" s="621">
        <f t="shared" si="9"/>
        <v>0</v>
      </c>
      <c r="AV51" s="620">
        <f t="shared" si="10"/>
        <v>0</v>
      </c>
      <c r="AW51" s="620">
        <f t="shared" si="11"/>
        <v>0</v>
      </c>
    </row>
    <row r="52" spans="1:49">
      <c r="A52" s="613">
        <v>48</v>
      </c>
      <c r="B52" s="612">
        <v>0</v>
      </c>
      <c r="C52" s="612">
        <v>0</v>
      </c>
      <c r="D52" s="611">
        <v>0</v>
      </c>
      <c r="E52" s="611">
        <v>0</v>
      </c>
      <c r="G52" s="612">
        <v>0</v>
      </c>
      <c r="H52" s="612">
        <v>0</v>
      </c>
      <c r="I52" s="611">
        <v>0</v>
      </c>
      <c r="J52" s="611">
        <v>0</v>
      </c>
      <c r="K52" s="612">
        <v>0</v>
      </c>
      <c r="L52" s="612">
        <v>0</v>
      </c>
      <c r="M52" s="611">
        <v>0</v>
      </c>
      <c r="N52" s="611">
        <v>0</v>
      </c>
      <c r="O52" s="612">
        <v>1</v>
      </c>
      <c r="P52" s="612">
        <v>48</v>
      </c>
      <c r="Q52" s="611">
        <v>1</v>
      </c>
      <c r="R52" s="611">
        <v>48</v>
      </c>
      <c r="S52" s="612">
        <v>0</v>
      </c>
      <c r="T52" s="612">
        <v>0</v>
      </c>
      <c r="U52" s="611">
        <v>0</v>
      </c>
      <c r="V52" s="611">
        <v>0</v>
      </c>
      <c r="W52" s="610">
        <v>0</v>
      </c>
      <c r="X52" s="610">
        <v>0</v>
      </c>
      <c r="Y52" s="609">
        <v>0</v>
      </c>
      <c r="Z52" s="609">
        <v>0</v>
      </c>
      <c r="AA52" s="610">
        <v>0</v>
      </c>
      <c r="AB52" s="610">
        <v>0</v>
      </c>
      <c r="AC52" s="609">
        <v>0</v>
      </c>
      <c r="AD52" s="609">
        <v>0</v>
      </c>
      <c r="AE52" s="610">
        <v>0</v>
      </c>
      <c r="AF52" s="610">
        <v>0</v>
      </c>
      <c r="AG52" s="609">
        <v>0</v>
      </c>
      <c r="AH52" s="609">
        <v>0</v>
      </c>
      <c r="AI52" s="610">
        <v>0</v>
      </c>
      <c r="AJ52" s="610">
        <v>0</v>
      </c>
      <c r="AK52" s="609">
        <v>0</v>
      </c>
      <c r="AL52" s="609">
        <v>0</v>
      </c>
      <c r="AM52" s="610">
        <v>0</v>
      </c>
      <c r="AN52" s="610">
        <v>0</v>
      </c>
      <c r="AO52" s="609">
        <v>0</v>
      </c>
      <c r="AP52" s="609">
        <v>0</v>
      </c>
      <c r="AQ52" s="622">
        <f t="shared" si="6"/>
        <v>1</v>
      </c>
      <c r="AR52" s="622">
        <f t="shared" si="7"/>
        <v>48</v>
      </c>
      <c r="AS52" s="621">
        <f t="shared" si="8"/>
        <v>1</v>
      </c>
      <c r="AT52" s="621">
        <f t="shared" si="9"/>
        <v>48</v>
      </c>
      <c r="AV52" s="620">
        <f t="shared" si="10"/>
        <v>1</v>
      </c>
      <c r="AW52" s="620">
        <f t="shared" si="11"/>
        <v>48</v>
      </c>
    </row>
    <row r="53" spans="1:49">
      <c r="A53" s="613">
        <v>49</v>
      </c>
      <c r="B53" s="612">
        <v>0</v>
      </c>
      <c r="C53" s="612">
        <v>0</v>
      </c>
      <c r="D53" s="611">
        <v>0</v>
      </c>
      <c r="E53" s="611">
        <v>0</v>
      </c>
      <c r="G53" s="612">
        <v>0</v>
      </c>
      <c r="H53" s="612">
        <v>0</v>
      </c>
      <c r="I53" s="611">
        <v>0</v>
      </c>
      <c r="J53" s="611">
        <v>0</v>
      </c>
      <c r="K53" s="612">
        <v>0</v>
      </c>
      <c r="L53" s="612">
        <v>0</v>
      </c>
      <c r="M53" s="611">
        <v>0</v>
      </c>
      <c r="N53" s="611">
        <v>0</v>
      </c>
      <c r="O53" s="612">
        <v>0</v>
      </c>
      <c r="P53" s="612">
        <v>0</v>
      </c>
      <c r="Q53" s="611">
        <v>0</v>
      </c>
      <c r="R53" s="611">
        <v>0</v>
      </c>
      <c r="S53" s="612">
        <v>0</v>
      </c>
      <c r="T53" s="612">
        <v>0</v>
      </c>
      <c r="U53" s="611">
        <v>0</v>
      </c>
      <c r="V53" s="611">
        <v>0</v>
      </c>
      <c r="W53" s="610">
        <v>0</v>
      </c>
      <c r="X53" s="610">
        <v>0</v>
      </c>
      <c r="Y53" s="609">
        <v>0</v>
      </c>
      <c r="Z53" s="609">
        <v>0</v>
      </c>
      <c r="AA53" s="610">
        <v>0</v>
      </c>
      <c r="AB53" s="610">
        <v>0</v>
      </c>
      <c r="AC53" s="609">
        <v>0</v>
      </c>
      <c r="AD53" s="609">
        <v>0</v>
      </c>
      <c r="AE53" s="610">
        <v>0</v>
      </c>
      <c r="AF53" s="610">
        <v>0</v>
      </c>
      <c r="AG53" s="609">
        <v>0</v>
      </c>
      <c r="AH53" s="609">
        <v>0</v>
      </c>
      <c r="AI53" s="610">
        <v>0</v>
      </c>
      <c r="AJ53" s="610">
        <v>0</v>
      </c>
      <c r="AK53" s="609">
        <v>0</v>
      </c>
      <c r="AL53" s="609">
        <v>0</v>
      </c>
      <c r="AM53" s="610">
        <v>1</v>
      </c>
      <c r="AN53" s="610">
        <v>49</v>
      </c>
      <c r="AO53" s="609">
        <v>1</v>
      </c>
      <c r="AP53" s="609">
        <v>49</v>
      </c>
      <c r="AQ53" s="622">
        <f t="shared" si="6"/>
        <v>1</v>
      </c>
      <c r="AR53" s="622">
        <f t="shared" si="7"/>
        <v>49</v>
      </c>
      <c r="AS53" s="621">
        <f t="shared" si="8"/>
        <v>1</v>
      </c>
      <c r="AT53" s="621">
        <f t="shared" si="9"/>
        <v>49</v>
      </c>
      <c r="AV53" s="620">
        <f t="shared" si="10"/>
        <v>1</v>
      </c>
      <c r="AW53" s="620">
        <f t="shared" si="11"/>
        <v>49</v>
      </c>
    </row>
    <row r="54" spans="1:49">
      <c r="A54" s="613">
        <v>50</v>
      </c>
      <c r="B54" s="612">
        <v>0</v>
      </c>
      <c r="C54" s="612">
        <v>0</v>
      </c>
      <c r="D54" s="611">
        <v>0</v>
      </c>
      <c r="E54" s="611">
        <v>0</v>
      </c>
      <c r="G54" s="612">
        <v>0</v>
      </c>
      <c r="H54" s="612">
        <v>0</v>
      </c>
      <c r="I54" s="611">
        <v>0</v>
      </c>
      <c r="J54" s="611">
        <v>0</v>
      </c>
      <c r="K54" s="612">
        <v>0</v>
      </c>
      <c r="L54" s="612">
        <v>0</v>
      </c>
      <c r="M54" s="611">
        <v>0</v>
      </c>
      <c r="N54" s="611">
        <v>0</v>
      </c>
      <c r="O54" s="612">
        <v>0</v>
      </c>
      <c r="P54" s="612">
        <v>0</v>
      </c>
      <c r="Q54" s="611">
        <v>0</v>
      </c>
      <c r="R54" s="611">
        <v>0</v>
      </c>
      <c r="S54" s="612">
        <v>0</v>
      </c>
      <c r="T54" s="612">
        <v>0</v>
      </c>
      <c r="U54" s="611">
        <v>0</v>
      </c>
      <c r="V54" s="611">
        <v>0</v>
      </c>
      <c r="W54" s="610">
        <v>0</v>
      </c>
      <c r="X54" s="610">
        <v>0</v>
      </c>
      <c r="Y54" s="609">
        <v>0</v>
      </c>
      <c r="Z54" s="609">
        <v>0</v>
      </c>
      <c r="AA54" s="610">
        <v>0</v>
      </c>
      <c r="AB54" s="610">
        <v>0</v>
      </c>
      <c r="AC54" s="609">
        <v>0</v>
      </c>
      <c r="AD54" s="609">
        <v>0</v>
      </c>
      <c r="AE54" s="610">
        <v>0</v>
      </c>
      <c r="AF54" s="610">
        <v>0</v>
      </c>
      <c r="AG54" s="609">
        <v>0</v>
      </c>
      <c r="AH54" s="609">
        <v>0</v>
      </c>
      <c r="AI54" s="610">
        <v>0</v>
      </c>
      <c r="AJ54" s="610">
        <v>0</v>
      </c>
      <c r="AK54" s="609">
        <v>0</v>
      </c>
      <c r="AL54" s="609">
        <v>0</v>
      </c>
      <c r="AM54" s="610">
        <v>0</v>
      </c>
      <c r="AN54" s="610">
        <v>0</v>
      </c>
      <c r="AO54" s="609">
        <v>0</v>
      </c>
      <c r="AP54" s="609">
        <v>0</v>
      </c>
      <c r="AQ54" s="622">
        <f t="shared" si="6"/>
        <v>0</v>
      </c>
      <c r="AR54" s="622">
        <f t="shared" si="7"/>
        <v>0</v>
      </c>
      <c r="AS54" s="621">
        <f t="shared" si="8"/>
        <v>0</v>
      </c>
      <c r="AT54" s="621">
        <f t="shared" si="9"/>
        <v>0</v>
      </c>
      <c r="AV54" s="620">
        <f t="shared" si="10"/>
        <v>0</v>
      </c>
      <c r="AW54" s="620">
        <f t="shared" si="11"/>
        <v>0</v>
      </c>
    </row>
    <row r="55" spans="1:49">
      <c r="A55" s="613">
        <v>51</v>
      </c>
      <c r="B55" s="612">
        <v>1</v>
      </c>
      <c r="C55" s="612">
        <v>51</v>
      </c>
      <c r="D55" s="611">
        <v>1</v>
      </c>
      <c r="E55" s="611">
        <v>51</v>
      </c>
      <c r="G55" s="612">
        <v>0</v>
      </c>
      <c r="H55" s="612">
        <v>0</v>
      </c>
      <c r="I55" s="611">
        <v>0</v>
      </c>
      <c r="J55" s="611">
        <v>0</v>
      </c>
      <c r="K55" s="612">
        <v>0</v>
      </c>
      <c r="L55" s="612">
        <v>0</v>
      </c>
      <c r="M55" s="611">
        <v>0</v>
      </c>
      <c r="N55" s="611">
        <v>0</v>
      </c>
      <c r="O55" s="612">
        <v>0</v>
      </c>
      <c r="P55" s="612">
        <v>0</v>
      </c>
      <c r="Q55" s="611">
        <v>0</v>
      </c>
      <c r="R55" s="611">
        <v>0</v>
      </c>
      <c r="S55" s="612">
        <v>0</v>
      </c>
      <c r="T55" s="612">
        <v>0</v>
      </c>
      <c r="U55" s="611">
        <v>0</v>
      </c>
      <c r="V55" s="611">
        <v>0</v>
      </c>
      <c r="W55" s="610">
        <v>0</v>
      </c>
      <c r="X55" s="610">
        <v>0</v>
      </c>
      <c r="Y55" s="609">
        <v>0</v>
      </c>
      <c r="Z55" s="609">
        <v>0</v>
      </c>
      <c r="AA55" s="610">
        <v>0</v>
      </c>
      <c r="AB55" s="610">
        <v>0</v>
      </c>
      <c r="AC55" s="609">
        <v>0</v>
      </c>
      <c r="AD55" s="609">
        <v>0</v>
      </c>
      <c r="AE55" s="610">
        <v>0</v>
      </c>
      <c r="AF55" s="610">
        <v>0</v>
      </c>
      <c r="AG55" s="609">
        <v>0</v>
      </c>
      <c r="AH55" s="609">
        <v>0</v>
      </c>
      <c r="AI55" s="610">
        <v>0</v>
      </c>
      <c r="AJ55" s="610">
        <v>0</v>
      </c>
      <c r="AK55" s="609">
        <v>0</v>
      </c>
      <c r="AL55" s="609">
        <v>0</v>
      </c>
      <c r="AM55" s="610">
        <v>0</v>
      </c>
      <c r="AN55" s="610">
        <v>0</v>
      </c>
      <c r="AO55" s="609">
        <v>0</v>
      </c>
      <c r="AP55" s="609">
        <v>0</v>
      </c>
      <c r="AQ55" s="622">
        <f t="shared" si="6"/>
        <v>1</v>
      </c>
      <c r="AR55" s="622">
        <f t="shared" si="7"/>
        <v>51</v>
      </c>
      <c r="AS55" s="621">
        <f t="shared" si="8"/>
        <v>1</v>
      </c>
      <c r="AT55" s="621">
        <f t="shared" si="9"/>
        <v>51</v>
      </c>
      <c r="AV55" s="620">
        <f t="shared" si="10"/>
        <v>1</v>
      </c>
      <c r="AW55" s="620">
        <f t="shared" si="11"/>
        <v>51</v>
      </c>
    </row>
    <row r="56" spans="1:49">
      <c r="A56" s="613">
        <v>52</v>
      </c>
      <c r="B56" s="612">
        <v>0</v>
      </c>
      <c r="C56" s="612">
        <v>0</v>
      </c>
      <c r="D56" s="611">
        <v>0</v>
      </c>
      <c r="E56" s="611">
        <v>0</v>
      </c>
      <c r="G56" s="612">
        <v>0</v>
      </c>
      <c r="H56" s="612">
        <v>0</v>
      </c>
      <c r="I56" s="611">
        <v>0</v>
      </c>
      <c r="J56" s="611">
        <v>0</v>
      </c>
      <c r="K56" s="612">
        <v>0</v>
      </c>
      <c r="L56" s="612">
        <v>0</v>
      </c>
      <c r="M56" s="611">
        <v>0</v>
      </c>
      <c r="N56" s="611">
        <v>0</v>
      </c>
      <c r="O56" s="612">
        <v>0</v>
      </c>
      <c r="P56" s="612">
        <v>0</v>
      </c>
      <c r="Q56" s="611">
        <v>0</v>
      </c>
      <c r="R56" s="611">
        <v>0</v>
      </c>
      <c r="S56" s="612">
        <v>0</v>
      </c>
      <c r="T56" s="612">
        <v>0</v>
      </c>
      <c r="U56" s="611">
        <v>0</v>
      </c>
      <c r="V56" s="611">
        <v>0</v>
      </c>
      <c r="W56" s="610">
        <v>0</v>
      </c>
      <c r="X56" s="610">
        <v>0</v>
      </c>
      <c r="Y56" s="609">
        <v>0</v>
      </c>
      <c r="Z56" s="609">
        <v>0</v>
      </c>
      <c r="AA56" s="610">
        <v>0</v>
      </c>
      <c r="AB56" s="610">
        <v>0</v>
      </c>
      <c r="AC56" s="609">
        <v>0</v>
      </c>
      <c r="AD56" s="609">
        <v>0</v>
      </c>
      <c r="AE56" s="610">
        <v>0</v>
      </c>
      <c r="AF56" s="610">
        <v>0</v>
      </c>
      <c r="AG56" s="609">
        <v>0</v>
      </c>
      <c r="AH56" s="609">
        <v>0</v>
      </c>
      <c r="AI56" s="610">
        <v>0</v>
      </c>
      <c r="AJ56" s="610">
        <v>0</v>
      </c>
      <c r="AK56" s="609">
        <v>0</v>
      </c>
      <c r="AL56" s="609">
        <v>0</v>
      </c>
      <c r="AM56" s="610">
        <v>0</v>
      </c>
      <c r="AN56" s="610">
        <v>0</v>
      </c>
      <c r="AO56" s="609">
        <v>0</v>
      </c>
      <c r="AP56" s="609">
        <v>0</v>
      </c>
      <c r="AQ56" s="622">
        <f t="shared" si="6"/>
        <v>0</v>
      </c>
      <c r="AR56" s="622">
        <f t="shared" si="7"/>
        <v>0</v>
      </c>
      <c r="AS56" s="621">
        <f t="shared" si="8"/>
        <v>0</v>
      </c>
      <c r="AT56" s="621">
        <f t="shared" si="9"/>
        <v>0</v>
      </c>
      <c r="AV56" s="620">
        <f t="shared" si="10"/>
        <v>0</v>
      </c>
      <c r="AW56" s="620">
        <f t="shared" si="11"/>
        <v>0</v>
      </c>
    </row>
    <row r="57" spans="1:49">
      <c r="A57" s="613">
        <v>53</v>
      </c>
      <c r="B57" s="612">
        <v>0</v>
      </c>
      <c r="C57" s="612">
        <v>0</v>
      </c>
      <c r="D57" s="611">
        <v>0</v>
      </c>
      <c r="E57" s="611">
        <v>0</v>
      </c>
      <c r="G57" s="612">
        <v>0</v>
      </c>
      <c r="H57" s="612">
        <v>0</v>
      </c>
      <c r="I57" s="611">
        <v>0</v>
      </c>
      <c r="J57" s="611">
        <v>0</v>
      </c>
      <c r="K57" s="612">
        <v>0</v>
      </c>
      <c r="L57" s="612">
        <v>0</v>
      </c>
      <c r="M57" s="611">
        <v>0</v>
      </c>
      <c r="N57" s="611">
        <v>0</v>
      </c>
      <c r="O57" s="612">
        <v>0</v>
      </c>
      <c r="P57" s="612">
        <v>0</v>
      </c>
      <c r="Q57" s="611">
        <v>0</v>
      </c>
      <c r="R57" s="611">
        <v>0</v>
      </c>
      <c r="S57" s="612">
        <v>0</v>
      </c>
      <c r="T57" s="612">
        <v>0</v>
      </c>
      <c r="U57" s="611">
        <v>0</v>
      </c>
      <c r="V57" s="611">
        <v>0</v>
      </c>
      <c r="W57" s="610">
        <v>0</v>
      </c>
      <c r="X57" s="610">
        <v>0</v>
      </c>
      <c r="Y57" s="609">
        <v>0</v>
      </c>
      <c r="Z57" s="609">
        <v>0</v>
      </c>
      <c r="AA57" s="610">
        <v>0</v>
      </c>
      <c r="AB57" s="610">
        <v>0</v>
      </c>
      <c r="AC57" s="609">
        <v>0</v>
      </c>
      <c r="AD57" s="609">
        <v>0</v>
      </c>
      <c r="AE57" s="610">
        <v>0</v>
      </c>
      <c r="AF57" s="610">
        <v>0</v>
      </c>
      <c r="AG57" s="609">
        <v>0</v>
      </c>
      <c r="AH57" s="609">
        <v>0</v>
      </c>
      <c r="AI57" s="610">
        <v>0</v>
      </c>
      <c r="AJ57" s="610">
        <v>0</v>
      </c>
      <c r="AK57" s="609">
        <v>0</v>
      </c>
      <c r="AL57" s="609">
        <v>0</v>
      </c>
      <c r="AM57" s="610">
        <v>0</v>
      </c>
      <c r="AN57" s="610">
        <v>0</v>
      </c>
      <c r="AO57" s="609">
        <v>0</v>
      </c>
      <c r="AP57" s="609">
        <v>0</v>
      </c>
      <c r="AQ57" s="622">
        <f t="shared" si="6"/>
        <v>0</v>
      </c>
      <c r="AR57" s="622">
        <f t="shared" si="7"/>
        <v>0</v>
      </c>
      <c r="AS57" s="621">
        <f t="shared" si="8"/>
        <v>0</v>
      </c>
      <c r="AT57" s="621">
        <f t="shared" si="9"/>
        <v>0</v>
      </c>
      <c r="AV57" s="620">
        <f t="shared" si="10"/>
        <v>0</v>
      </c>
      <c r="AW57" s="620">
        <f t="shared" si="11"/>
        <v>0</v>
      </c>
    </row>
    <row r="58" spans="1:49">
      <c r="A58" s="613">
        <v>54</v>
      </c>
      <c r="B58" s="612">
        <v>0</v>
      </c>
      <c r="C58" s="612">
        <v>0</v>
      </c>
      <c r="D58" s="611">
        <v>0</v>
      </c>
      <c r="E58" s="611">
        <v>0</v>
      </c>
      <c r="G58" s="612">
        <v>0</v>
      </c>
      <c r="H58" s="612">
        <v>0</v>
      </c>
      <c r="I58" s="611">
        <v>0</v>
      </c>
      <c r="J58" s="611">
        <v>0</v>
      </c>
      <c r="K58" s="612">
        <v>0</v>
      </c>
      <c r="L58" s="612">
        <v>0</v>
      </c>
      <c r="M58" s="611">
        <v>0</v>
      </c>
      <c r="N58" s="611">
        <v>0</v>
      </c>
      <c r="O58" s="612">
        <v>0</v>
      </c>
      <c r="P58" s="612">
        <v>0</v>
      </c>
      <c r="Q58" s="611">
        <v>0</v>
      </c>
      <c r="R58" s="611">
        <v>0</v>
      </c>
      <c r="S58" s="612">
        <v>0</v>
      </c>
      <c r="T58" s="612">
        <v>0</v>
      </c>
      <c r="U58" s="611">
        <v>0</v>
      </c>
      <c r="V58" s="611">
        <v>0</v>
      </c>
      <c r="W58" s="610">
        <v>0</v>
      </c>
      <c r="X58" s="610">
        <v>0</v>
      </c>
      <c r="Y58" s="609">
        <v>0</v>
      </c>
      <c r="Z58" s="609">
        <v>0</v>
      </c>
      <c r="AA58" s="610">
        <v>0</v>
      </c>
      <c r="AB58" s="610">
        <v>0</v>
      </c>
      <c r="AC58" s="609">
        <v>0</v>
      </c>
      <c r="AD58" s="609">
        <v>0</v>
      </c>
      <c r="AE58" s="610">
        <v>0</v>
      </c>
      <c r="AF58" s="610">
        <v>0</v>
      </c>
      <c r="AG58" s="609">
        <v>0</v>
      </c>
      <c r="AH58" s="609">
        <v>0</v>
      </c>
      <c r="AI58" s="610">
        <v>0</v>
      </c>
      <c r="AJ58" s="610">
        <v>0</v>
      </c>
      <c r="AK58" s="609">
        <v>0</v>
      </c>
      <c r="AL58" s="609">
        <v>0</v>
      </c>
      <c r="AM58" s="610">
        <v>0</v>
      </c>
      <c r="AN58" s="610">
        <v>0</v>
      </c>
      <c r="AO58" s="609">
        <v>0</v>
      </c>
      <c r="AP58" s="609">
        <v>0</v>
      </c>
      <c r="AQ58" s="622">
        <f t="shared" si="6"/>
        <v>0</v>
      </c>
      <c r="AR58" s="622">
        <f t="shared" si="7"/>
        <v>0</v>
      </c>
      <c r="AS58" s="621">
        <f t="shared" si="8"/>
        <v>0</v>
      </c>
      <c r="AT58" s="621">
        <f t="shared" si="9"/>
        <v>0</v>
      </c>
      <c r="AV58" s="620">
        <f t="shared" si="10"/>
        <v>0</v>
      </c>
      <c r="AW58" s="620">
        <f t="shared" si="11"/>
        <v>0</v>
      </c>
    </row>
    <row r="59" spans="1:49">
      <c r="A59" s="613">
        <v>55</v>
      </c>
      <c r="B59" s="612">
        <v>1</v>
      </c>
      <c r="C59" s="612">
        <v>55</v>
      </c>
      <c r="D59" s="611">
        <v>1</v>
      </c>
      <c r="E59" s="611">
        <v>55</v>
      </c>
      <c r="G59" s="612">
        <v>0</v>
      </c>
      <c r="H59" s="612">
        <v>0</v>
      </c>
      <c r="I59" s="611">
        <v>0</v>
      </c>
      <c r="J59" s="611">
        <v>0</v>
      </c>
      <c r="K59" s="612">
        <v>0</v>
      </c>
      <c r="L59" s="612">
        <v>0</v>
      </c>
      <c r="M59" s="611">
        <v>0</v>
      </c>
      <c r="N59" s="611">
        <v>0</v>
      </c>
      <c r="O59" s="612">
        <v>0</v>
      </c>
      <c r="P59" s="612">
        <v>0</v>
      </c>
      <c r="Q59" s="611">
        <v>0</v>
      </c>
      <c r="R59" s="611">
        <v>0</v>
      </c>
      <c r="S59" s="612">
        <v>0</v>
      </c>
      <c r="T59" s="612">
        <v>0</v>
      </c>
      <c r="U59" s="611">
        <v>0</v>
      </c>
      <c r="V59" s="611">
        <v>0</v>
      </c>
      <c r="W59" s="610">
        <v>0</v>
      </c>
      <c r="X59" s="610">
        <v>0</v>
      </c>
      <c r="Y59" s="609">
        <v>0</v>
      </c>
      <c r="Z59" s="609">
        <v>0</v>
      </c>
      <c r="AA59" s="610">
        <v>0</v>
      </c>
      <c r="AB59" s="610">
        <v>0</v>
      </c>
      <c r="AC59" s="609">
        <v>0</v>
      </c>
      <c r="AD59" s="609">
        <v>0</v>
      </c>
      <c r="AE59" s="610">
        <v>0</v>
      </c>
      <c r="AF59" s="610">
        <v>0</v>
      </c>
      <c r="AG59" s="609">
        <v>0</v>
      </c>
      <c r="AH59" s="609">
        <v>0</v>
      </c>
      <c r="AI59" s="610">
        <v>0</v>
      </c>
      <c r="AJ59" s="610">
        <v>0</v>
      </c>
      <c r="AK59" s="609">
        <v>0</v>
      </c>
      <c r="AL59" s="609">
        <v>0</v>
      </c>
      <c r="AM59" s="610">
        <v>0</v>
      </c>
      <c r="AN59" s="610">
        <v>0</v>
      </c>
      <c r="AO59" s="609">
        <v>0</v>
      </c>
      <c r="AP59" s="609">
        <v>0</v>
      </c>
      <c r="AQ59" s="622">
        <f t="shared" si="6"/>
        <v>1</v>
      </c>
      <c r="AR59" s="622">
        <f t="shared" si="7"/>
        <v>55</v>
      </c>
      <c r="AS59" s="621">
        <f t="shared" si="8"/>
        <v>1</v>
      </c>
      <c r="AT59" s="621">
        <f t="shared" si="9"/>
        <v>55</v>
      </c>
      <c r="AV59" s="620">
        <f t="shared" si="10"/>
        <v>1</v>
      </c>
      <c r="AW59" s="620">
        <f t="shared" si="11"/>
        <v>55</v>
      </c>
    </row>
    <row r="60" spans="1:49">
      <c r="A60" s="613">
        <v>56</v>
      </c>
      <c r="B60" s="612">
        <v>0</v>
      </c>
      <c r="C60" s="612">
        <v>0</v>
      </c>
      <c r="D60" s="611">
        <v>0</v>
      </c>
      <c r="E60" s="611">
        <v>0</v>
      </c>
      <c r="G60" s="612">
        <v>0</v>
      </c>
      <c r="H60" s="612">
        <v>0</v>
      </c>
      <c r="I60" s="611">
        <v>0</v>
      </c>
      <c r="J60" s="611">
        <v>0</v>
      </c>
      <c r="K60" s="612">
        <v>0</v>
      </c>
      <c r="L60" s="612">
        <v>0</v>
      </c>
      <c r="M60" s="611">
        <v>0</v>
      </c>
      <c r="N60" s="611">
        <v>0</v>
      </c>
      <c r="O60" s="612">
        <v>0</v>
      </c>
      <c r="P60" s="612">
        <v>0</v>
      </c>
      <c r="Q60" s="611">
        <v>0</v>
      </c>
      <c r="R60" s="611">
        <v>0</v>
      </c>
      <c r="S60" s="612">
        <v>0</v>
      </c>
      <c r="T60" s="612">
        <v>0</v>
      </c>
      <c r="U60" s="611">
        <v>0</v>
      </c>
      <c r="V60" s="611">
        <v>0</v>
      </c>
      <c r="W60" s="610">
        <v>0</v>
      </c>
      <c r="X60" s="610">
        <v>0</v>
      </c>
      <c r="Y60" s="609">
        <v>0</v>
      </c>
      <c r="Z60" s="609">
        <v>0</v>
      </c>
      <c r="AA60" s="610">
        <v>0</v>
      </c>
      <c r="AB60" s="610">
        <v>0</v>
      </c>
      <c r="AC60" s="609">
        <v>0</v>
      </c>
      <c r="AD60" s="609">
        <v>0</v>
      </c>
      <c r="AE60" s="610">
        <v>0</v>
      </c>
      <c r="AF60" s="610">
        <v>0</v>
      </c>
      <c r="AG60" s="609">
        <v>0</v>
      </c>
      <c r="AH60" s="609">
        <v>0</v>
      </c>
      <c r="AI60" s="610">
        <v>0</v>
      </c>
      <c r="AJ60" s="610">
        <v>0</v>
      </c>
      <c r="AK60" s="609">
        <v>0</v>
      </c>
      <c r="AL60" s="609">
        <v>0</v>
      </c>
      <c r="AM60" s="610">
        <v>0</v>
      </c>
      <c r="AN60" s="610">
        <v>0</v>
      </c>
      <c r="AO60" s="609">
        <v>0</v>
      </c>
      <c r="AP60" s="609">
        <v>0</v>
      </c>
      <c r="AQ60" s="622">
        <f t="shared" si="6"/>
        <v>0</v>
      </c>
      <c r="AR60" s="622">
        <f t="shared" si="7"/>
        <v>0</v>
      </c>
      <c r="AS60" s="621">
        <f t="shared" si="8"/>
        <v>0</v>
      </c>
      <c r="AT60" s="621">
        <f t="shared" si="9"/>
        <v>0</v>
      </c>
      <c r="AV60" s="620">
        <f t="shared" si="10"/>
        <v>0</v>
      </c>
      <c r="AW60" s="620">
        <f t="shared" si="11"/>
        <v>0</v>
      </c>
    </row>
    <row r="61" spans="1:49">
      <c r="A61" s="613">
        <v>57</v>
      </c>
      <c r="B61" s="612">
        <v>0</v>
      </c>
      <c r="C61" s="612">
        <v>0</v>
      </c>
      <c r="D61" s="611">
        <v>0</v>
      </c>
      <c r="E61" s="611">
        <v>0</v>
      </c>
      <c r="G61" s="612">
        <v>0</v>
      </c>
      <c r="H61" s="612">
        <v>0</v>
      </c>
      <c r="I61" s="611">
        <v>0</v>
      </c>
      <c r="J61" s="611">
        <v>0</v>
      </c>
      <c r="K61" s="612">
        <v>0</v>
      </c>
      <c r="L61" s="612">
        <v>0</v>
      </c>
      <c r="M61" s="611">
        <v>0</v>
      </c>
      <c r="N61" s="611">
        <v>0</v>
      </c>
      <c r="O61" s="612">
        <v>0</v>
      </c>
      <c r="P61" s="612">
        <v>0</v>
      </c>
      <c r="Q61" s="611">
        <v>0</v>
      </c>
      <c r="R61" s="611">
        <v>0</v>
      </c>
      <c r="S61" s="612">
        <v>0</v>
      </c>
      <c r="T61" s="612">
        <v>0</v>
      </c>
      <c r="U61" s="611">
        <v>0</v>
      </c>
      <c r="V61" s="611">
        <v>0</v>
      </c>
      <c r="W61" s="610">
        <v>0</v>
      </c>
      <c r="X61" s="610">
        <v>0</v>
      </c>
      <c r="Y61" s="609">
        <v>0</v>
      </c>
      <c r="Z61" s="609">
        <v>0</v>
      </c>
      <c r="AA61" s="610">
        <v>0</v>
      </c>
      <c r="AB61" s="610">
        <v>0</v>
      </c>
      <c r="AC61" s="609">
        <v>0</v>
      </c>
      <c r="AD61" s="609">
        <v>0</v>
      </c>
      <c r="AE61" s="610">
        <v>0</v>
      </c>
      <c r="AF61" s="610">
        <v>0</v>
      </c>
      <c r="AG61" s="609">
        <v>0</v>
      </c>
      <c r="AH61" s="609">
        <v>0</v>
      </c>
      <c r="AI61" s="610">
        <v>0</v>
      </c>
      <c r="AJ61" s="610">
        <v>0</v>
      </c>
      <c r="AK61" s="609">
        <v>0</v>
      </c>
      <c r="AL61" s="609">
        <v>0</v>
      </c>
      <c r="AM61" s="610">
        <v>0</v>
      </c>
      <c r="AN61" s="610">
        <v>0</v>
      </c>
      <c r="AO61" s="609">
        <v>0</v>
      </c>
      <c r="AP61" s="609">
        <v>0</v>
      </c>
      <c r="AQ61" s="622">
        <f t="shared" si="6"/>
        <v>0</v>
      </c>
      <c r="AR61" s="622">
        <f t="shared" si="7"/>
        <v>0</v>
      </c>
      <c r="AS61" s="621">
        <f t="shared" si="8"/>
        <v>0</v>
      </c>
      <c r="AT61" s="621">
        <f t="shared" si="9"/>
        <v>0</v>
      </c>
      <c r="AV61" s="620">
        <f t="shared" si="10"/>
        <v>0</v>
      </c>
      <c r="AW61" s="620">
        <f t="shared" si="11"/>
        <v>0</v>
      </c>
    </row>
    <row r="62" spans="1:49">
      <c r="A62" s="613">
        <v>58</v>
      </c>
      <c r="B62" s="612">
        <v>1</v>
      </c>
      <c r="C62" s="612">
        <v>58</v>
      </c>
      <c r="D62" s="611">
        <v>1</v>
      </c>
      <c r="E62" s="611">
        <v>58</v>
      </c>
      <c r="G62" s="612">
        <v>0</v>
      </c>
      <c r="H62" s="612">
        <v>0</v>
      </c>
      <c r="I62" s="611">
        <v>0</v>
      </c>
      <c r="J62" s="611">
        <v>0</v>
      </c>
      <c r="K62" s="612">
        <v>0</v>
      </c>
      <c r="L62" s="612">
        <v>0</v>
      </c>
      <c r="M62" s="611">
        <v>0</v>
      </c>
      <c r="N62" s="611">
        <v>0</v>
      </c>
      <c r="O62" s="612">
        <v>0</v>
      </c>
      <c r="P62" s="612">
        <v>0</v>
      </c>
      <c r="Q62" s="611">
        <v>0</v>
      </c>
      <c r="R62" s="611">
        <v>0</v>
      </c>
      <c r="S62" s="612">
        <v>0</v>
      </c>
      <c r="T62" s="612">
        <v>0</v>
      </c>
      <c r="U62" s="611">
        <v>0</v>
      </c>
      <c r="V62" s="611">
        <v>0</v>
      </c>
      <c r="W62" s="610">
        <v>0</v>
      </c>
      <c r="X62" s="610">
        <v>0</v>
      </c>
      <c r="Y62" s="609">
        <v>0</v>
      </c>
      <c r="Z62" s="609">
        <v>0</v>
      </c>
      <c r="AA62" s="610">
        <v>0</v>
      </c>
      <c r="AB62" s="610">
        <v>0</v>
      </c>
      <c r="AC62" s="609">
        <v>0</v>
      </c>
      <c r="AD62" s="609">
        <v>0</v>
      </c>
      <c r="AE62" s="610">
        <v>0</v>
      </c>
      <c r="AF62" s="610">
        <v>0</v>
      </c>
      <c r="AG62" s="609">
        <v>0</v>
      </c>
      <c r="AH62" s="609">
        <v>0</v>
      </c>
      <c r="AI62" s="610">
        <v>0</v>
      </c>
      <c r="AJ62" s="610">
        <v>0</v>
      </c>
      <c r="AK62" s="609">
        <v>0</v>
      </c>
      <c r="AL62" s="609">
        <v>0</v>
      </c>
      <c r="AM62" s="610">
        <v>0</v>
      </c>
      <c r="AN62" s="610">
        <v>0</v>
      </c>
      <c r="AO62" s="609">
        <v>0</v>
      </c>
      <c r="AP62" s="609">
        <v>0</v>
      </c>
      <c r="AQ62" s="622">
        <f t="shared" si="6"/>
        <v>1</v>
      </c>
      <c r="AR62" s="622">
        <f t="shared" si="7"/>
        <v>58</v>
      </c>
      <c r="AS62" s="621">
        <f t="shared" si="8"/>
        <v>1</v>
      </c>
      <c r="AT62" s="621">
        <f t="shared" si="9"/>
        <v>58</v>
      </c>
      <c r="AV62" s="620">
        <f t="shared" si="10"/>
        <v>1</v>
      </c>
      <c r="AW62" s="620">
        <f t="shared" si="11"/>
        <v>58</v>
      </c>
    </row>
    <row r="63" spans="1:49">
      <c r="A63" s="613">
        <v>59</v>
      </c>
      <c r="B63" s="612">
        <v>0</v>
      </c>
      <c r="C63" s="612">
        <v>0</v>
      </c>
      <c r="D63" s="611">
        <v>0</v>
      </c>
      <c r="E63" s="611">
        <v>0</v>
      </c>
      <c r="G63" s="612">
        <v>0</v>
      </c>
      <c r="H63" s="612">
        <v>0</v>
      </c>
      <c r="I63" s="611">
        <v>0</v>
      </c>
      <c r="J63" s="611">
        <v>0</v>
      </c>
      <c r="K63" s="612">
        <v>0</v>
      </c>
      <c r="L63" s="612">
        <v>0</v>
      </c>
      <c r="M63" s="611">
        <v>0</v>
      </c>
      <c r="N63" s="611">
        <v>0</v>
      </c>
      <c r="O63" s="612">
        <v>1</v>
      </c>
      <c r="P63" s="612">
        <v>59</v>
      </c>
      <c r="Q63" s="611">
        <v>1</v>
      </c>
      <c r="R63" s="611">
        <v>59</v>
      </c>
      <c r="S63" s="612">
        <v>0</v>
      </c>
      <c r="T63" s="612">
        <v>0</v>
      </c>
      <c r="U63" s="611">
        <v>0</v>
      </c>
      <c r="V63" s="611">
        <v>0</v>
      </c>
      <c r="W63" s="610">
        <v>0</v>
      </c>
      <c r="X63" s="610">
        <v>0</v>
      </c>
      <c r="Y63" s="609">
        <v>0</v>
      </c>
      <c r="Z63" s="609">
        <v>0</v>
      </c>
      <c r="AA63" s="610">
        <v>0</v>
      </c>
      <c r="AB63" s="610">
        <v>0</v>
      </c>
      <c r="AC63" s="609">
        <v>0</v>
      </c>
      <c r="AD63" s="609">
        <v>0</v>
      </c>
      <c r="AE63" s="610">
        <v>0</v>
      </c>
      <c r="AF63" s="610">
        <v>0</v>
      </c>
      <c r="AG63" s="609">
        <v>0</v>
      </c>
      <c r="AH63" s="609">
        <v>0</v>
      </c>
      <c r="AI63" s="610">
        <v>0</v>
      </c>
      <c r="AJ63" s="610">
        <v>0</v>
      </c>
      <c r="AK63" s="609">
        <v>0</v>
      </c>
      <c r="AL63" s="609">
        <v>0</v>
      </c>
      <c r="AM63" s="610">
        <v>0</v>
      </c>
      <c r="AN63" s="610">
        <v>0</v>
      </c>
      <c r="AO63" s="609">
        <v>0</v>
      </c>
      <c r="AP63" s="609">
        <v>0</v>
      </c>
      <c r="AQ63" s="622">
        <f t="shared" si="6"/>
        <v>1</v>
      </c>
      <c r="AR63" s="622">
        <f t="shared" si="7"/>
        <v>59</v>
      </c>
      <c r="AS63" s="621">
        <f t="shared" si="8"/>
        <v>1</v>
      </c>
      <c r="AT63" s="621">
        <f t="shared" si="9"/>
        <v>59</v>
      </c>
      <c r="AV63" s="620">
        <f t="shared" si="10"/>
        <v>1</v>
      </c>
      <c r="AW63" s="620">
        <f t="shared" si="11"/>
        <v>59</v>
      </c>
    </row>
    <row r="64" spans="1:49">
      <c r="A64" s="613">
        <v>60</v>
      </c>
      <c r="B64" s="612">
        <v>0</v>
      </c>
      <c r="C64" s="612">
        <v>0</v>
      </c>
      <c r="D64" s="611">
        <v>0</v>
      </c>
      <c r="E64" s="611">
        <v>0</v>
      </c>
      <c r="G64" s="612">
        <v>0</v>
      </c>
      <c r="H64" s="612">
        <v>0</v>
      </c>
      <c r="I64" s="611">
        <v>0</v>
      </c>
      <c r="J64" s="611">
        <v>0</v>
      </c>
      <c r="K64" s="612">
        <v>0</v>
      </c>
      <c r="L64" s="612">
        <v>0</v>
      </c>
      <c r="M64" s="611">
        <v>0</v>
      </c>
      <c r="N64" s="611">
        <v>0</v>
      </c>
      <c r="O64" s="612">
        <v>0</v>
      </c>
      <c r="P64" s="612">
        <v>0</v>
      </c>
      <c r="Q64" s="611">
        <v>0</v>
      </c>
      <c r="R64" s="611">
        <v>0</v>
      </c>
      <c r="S64" s="612">
        <v>0</v>
      </c>
      <c r="T64" s="612">
        <v>0</v>
      </c>
      <c r="U64" s="611">
        <v>0</v>
      </c>
      <c r="V64" s="611">
        <v>0</v>
      </c>
      <c r="W64" s="610">
        <v>0</v>
      </c>
      <c r="X64" s="610">
        <v>0</v>
      </c>
      <c r="Y64" s="609">
        <v>0</v>
      </c>
      <c r="Z64" s="609">
        <v>0</v>
      </c>
      <c r="AA64" s="610">
        <v>0</v>
      </c>
      <c r="AB64" s="610">
        <v>0</v>
      </c>
      <c r="AC64" s="609">
        <v>0</v>
      </c>
      <c r="AD64" s="609">
        <v>0</v>
      </c>
      <c r="AE64" s="610">
        <v>0</v>
      </c>
      <c r="AF64" s="610">
        <v>0</v>
      </c>
      <c r="AG64" s="609">
        <v>0</v>
      </c>
      <c r="AH64" s="609">
        <v>0</v>
      </c>
      <c r="AI64" s="610">
        <v>0</v>
      </c>
      <c r="AJ64" s="610">
        <v>0</v>
      </c>
      <c r="AK64" s="609">
        <v>0</v>
      </c>
      <c r="AL64" s="609">
        <v>0</v>
      </c>
      <c r="AM64" s="610">
        <v>0</v>
      </c>
      <c r="AN64" s="610">
        <v>0</v>
      </c>
      <c r="AO64" s="609">
        <v>0</v>
      </c>
      <c r="AP64" s="609">
        <v>0</v>
      </c>
      <c r="AQ64" s="622">
        <f t="shared" si="6"/>
        <v>0</v>
      </c>
      <c r="AR64" s="622">
        <f t="shared" si="7"/>
        <v>0</v>
      </c>
      <c r="AS64" s="621">
        <f t="shared" si="8"/>
        <v>0</v>
      </c>
      <c r="AT64" s="621">
        <f t="shared" si="9"/>
        <v>0</v>
      </c>
      <c r="AV64" s="620">
        <f t="shared" si="10"/>
        <v>0</v>
      </c>
      <c r="AW64" s="620">
        <f t="shared" si="11"/>
        <v>0</v>
      </c>
    </row>
    <row r="65" spans="1:49">
      <c r="A65" s="613">
        <v>61</v>
      </c>
      <c r="B65" s="612">
        <v>0</v>
      </c>
      <c r="C65" s="612">
        <v>0</v>
      </c>
      <c r="D65" s="611">
        <v>0</v>
      </c>
      <c r="E65" s="611">
        <v>0</v>
      </c>
      <c r="G65" s="612">
        <v>0</v>
      </c>
      <c r="H65" s="612">
        <v>0</v>
      </c>
      <c r="I65" s="611">
        <v>0</v>
      </c>
      <c r="J65" s="611">
        <v>0</v>
      </c>
      <c r="K65" s="612">
        <v>0</v>
      </c>
      <c r="L65" s="612">
        <v>0</v>
      </c>
      <c r="M65" s="611">
        <v>0</v>
      </c>
      <c r="N65" s="611">
        <v>0</v>
      </c>
      <c r="O65" s="612">
        <v>0</v>
      </c>
      <c r="P65" s="612">
        <v>0</v>
      </c>
      <c r="Q65" s="611">
        <v>0</v>
      </c>
      <c r="R65" s="611">
        <v>0</v>
      </c>
      <c r="S65" s="612">
        <v>0</v>
      </c>
      <c r="T65" s="612">
        <v>0</v>
      </c>
      <c r="U65" s="611">
        <v>0</v>
      </c>
      <c r="V65" s="611">
        <v>0</v>
      </c>
      <c r="W65" s="610">
        <v>0</v>
      </c>
      <c r="X65" s="610">
        <v>0</v>
      </c>
      <c r="Y65" s="609">
        <v>0</v>
      </c>
      <c r="Z65" s="609">
        <v>0</v>
      </c>
      <c r="AA65" s="610">
        <v>0</v>
      </c>
      <c r="AB65" s="610">
        <v>0</v>
      </c>
      <c r="AC65" s="609">
        <v>0</v>
      </c>
      <c r="AD65" s="609">
        <v>0</v>
      </c>
      <c r="AE65" s="610">
        <v>0</v>
      </c>
      <c r="AF65" s="610">
        <v>0</v>
      </c>
      <c r="AG65" s="609">
        <v>0</v>
      </c>
      <c r="AH65" s="609">
        <v>0</v>
      </c>
      <c r="AI65" s="610">
        <v>0</v>
      </c>
      <c r="AJ65" s="610">
        <v>0</v>
      </c>
      <c r="AK65" s="609">
        <v>0</v>
      </c>
      <c r="AL65" s="609">
        <v>0</v>
      </c>
      <c r="AM65" s="610">
        <v>0</v>
      </c>
      <c r="AN65" s="610">
        <v>0</v>
      </c>
      <c r="AO65" s="609">
        <v>0</v>
      </c>
      <c r="AP65" s="609">
        <v>0</v>
      </c>
      <c r="AQ65" s="622">
        <f t="shared" si="6"/>
        <v>0</v>
      </c>
      <c r="AR65" s="622">
        <f t="shared" si="7"/>
        <v>0</v>
      </c>
      <c r="AS65" s="621">
        <f t="shared" si="8"/>
        <v>0</v>
      </c>
      <c r="AT65" s="621">
        <f t="shared" si="9"/>
        <v>0</v>
      </c>
      <c r="AV65" s="620">
        <f t="shared" si="10"/>
        <v>0</v>
      </c>
      <c r="AW65" s="620">
        <f t="shared" si="11"/>
        <v>0</v>
      </c>
    </row>
    <row r="66" spans="1:49">
      <c r="A66" s="613">
        <v>62</v>
      </c>
      <c r="B66" s="612">
        <v>0</v>
      </c>
      <c r="C66" s="612">
        <v>0</v>
      </c>
      <c r="D66" s="611">
        <v>0</v>
      </c>
      <c r="E66" s="611">
        <v>0</v>
      </c>
      <c r="G66" s="612">
        <v>0</v>
      </c>
      <c r="H66" s="612">
        <v>0</v>
      </c>
      <c r="I66" s="611">
        <v>0</v>
      </c>
      <c r="J66" s="611">
        <v>0</v>
      </c>
      <c r="K66" s="612">
        <v>0</v>
      </c>
      <c r="L66" s="612">
        <v>0</v>
      </c>
      <c r="M66" s="611">
        <v>0</v>
      </c>
      <c r="N66" s="611">
        <v>0</v>
      </c>
      <c r="O66" s="612">
        <v>0</v>
      </c>
      <c r="P66" s="612">
        <v>0</v>
      </c>
      <c r="Q66" s="611">
        <v>0</v>
      </c>
      <c r="R66" s="611">
        <v>0</v>
      </c>
      <c r="S66" s="612">
        <v>0</v>
      </c>
      <c r="T66" s="612">
        <v>0</v>
      </c>
      <c r="U66" s="611">
        <v>0</v>
      </c>
      <c r="V66" s="611">
        <v>0</v>
      </c>
      <c r="W66" s="610">
        <v>0</v>
      </c>
      <c r="X66" s="610">
        <v>0</v>
      </c>
      <c r="Y66" s="609">
        <v>0</v>
      </c>
      <c r="Z66" s="609">
        <v>0</v>
      </c>
      <c r="AA66" s="610">
        <v>0</v>
      </c>
      <c r="AB66" s="610">
        <v>0</v>
      </c>
      <c r="AC66" s="609">
        <v>0</v>
      </c>
      <c r="AD66" s="609">
        <v>0</v>
      </c>
      <c r="AE66" s="610">
        <v>0</v>
      </c>
      <c r="AF66" s="610">
        <v>0</v>
      </c>
      <c r="AG66" s="609">
        <v>0</v>
      </c>
      <c r="AH66" s="609">
        <v>0</v>
      </c>
      <c r="AI66" s="610">
        <v>0</v>
      </c>
      <c r="AJ66" s="610">
        <v>0</v>
      </c>
      <c r="AK66" s="609">
        <v>0</v>
      </c>
      <c r="AL66" s="609">
        <v>0</v>
      </c>
      <c r="AM66" s="610">
        <v>0</v>
      </c>
      <c r="AN66" s="610">
        <v>0</v>
      </c>
      <c r="AO66" s="609">
        <v>0</v>
      </c>
      <c r="AP66" s="609">
        <v>0</v>
      </c>
      <c r="AQ66" s="622">
        <f t="shared" si="6"/>
        <v>0</v>
      </c>
      <c r="AR66" s="622">
        <f t="shared" si="7"/>
        <v>0</v>
      </c>
      <c r="AS66" s="621">
        <f t="shared" si="8"/>
        <v>0</v>
      </c>
      <c r="AT66" s="621">
        <f t="shared" si="9"/>
        <v>0</v>
      </c>
      <c r="AV66" s="620">
        <f t="shared" si="10"/>
        <v>0</v>
      </c>
      <c r="AW66" s="620">
        <f t="shared" si="11"/>
        <v>0</v>
      </c>
    </row>
    <row r="67" spans="1:49">
      <c r="A67" s="613">
        <v>63</v>
      </c>
      <c r="B67" s="612">
        <v>0</v>
      </c>
      <c r="C67" s="612">
        <v>0</v>
      </c>
      <c r="D67" s="611">
        <v>0</v>
      </c>
      <c r="E67" s="611">
        <v>0</v>
      </c>
      <c r="G67" s="612">
        <v>0</v>
      </c>
      <c r="H67" s="612">
        <v>0</v>
      </c>
      <c r="I67" s="611">
        <v>0</v>
      </c>
      <c r="J67" s="611">
        <v>0</v>
      </c>
      <c r="K67" s="612">
        <v>0</v>
      </c>
      <c r="L67" s="612">
        <v>0</v>
      </c>
      <c r="M67" s="611">
        <v>0</v>
      </c>
      <c r="N67" s="611">
        <v>0</v>
      </c>
      <c r="O67" s="612">
        <v>0</v>
      </c>
      <c r="P67" s="612">
        <v>0</v>
      </c>
      <c r="Q67" s="611">
        <v>0</v>
      </c>
      <c r="R67" s="611">
        <v>0</v>
      </c>
      <c r="S67" s="612">
        <v>0</v>
      </c>
      <c r="T67" s="612">
        <v>0</v>
      </c>
      <c r="U67" s="611">
        <v>0</v>
      </c>
      <c r="V67" s="611">
        <v>0</v>
      </c>
      <c r="W67" s="610">
        <v>0</v>
      </c>
      <c r="X67" s="610">
        <v>0</v>
      </c>
      <c r="Y67" s="609">
        <v>0</v>
      </c>
      <c r="Z67" s="609">
        <v>0</v>
      </c>
      <c r="AA67" s="610">
        <v>0</v>
      </c>
      <c r="AB67" s="610">
        <v>0</v>
      </c>
      <c r="AC67" s="609">
        <v>0</v>
      </c>
      <c r="AD67" s="609">
        <v>0</v>
      </c>
      <c r="AE67" s="610">
        <v>0</v>
      </c>
      <c r="AF67" s="610">
        <v>0</v>
      </c>
      <c r="AG67" s="609">
        <v>0</v>
      </c>
      <c r="AH67" s="609">
        <v>0</v>
      </c>
      <c r="AI67" s="610">
        <v>0</v>
      </c>
      <c r="AJ67" s="610">
        <v>0</v>
      </c>
      <c r="AK67" s="609">
        <v>0</v>
      </c>
      <c r="AL67" s="609">
        <v>0</v>
      </c>
      <c r="AM67" s="610">
        <v>1</v>
      </c>
      <c r="AN67" s="610">
        <v>63</v>
      </c>
      <c r="AO67" s="609">
        <v>1</v>
      </c>
      <c r="AP67" s="609">
        <v>63</v>
      </c>
      <c r="AQ67" s="622">
        <f t="shared" si="6"/>
        <v>1</v>
      </c>
      <c r="AR67" s="622">
        <f t="shared" si="7"/>
        <v>63</v>
      </c>
      <c r="AS67" s="621">
        <f t="shared" si="8"/>
        <v>1</v>
      </c>
      <c r="AT67" s="621">
        <f t="shared" si="9"/>
        <v>63</v>
      </c>
      <c r="AV67" s="620">
        <f t="shared" si="10"/>
        <v>1</v>
      </c>
      <c r="AW67" s="620">
        <f t="shared" si="11"/>
        <v>63</v>
      </c>
    </row>
    <row r="68" spans="1:49">
      <c r="A68" s="613">
        <v>64</v>
      </c>
      <c r="B68" s="612">
        <v>0</v>
      </c>
      <c r="C68" s="612">
        <v>0</v>
      </c>
      <c r="D68" s="611">
        <v>0</v>
      </c>
      <c r="E68" s="611">
        <v>0</v>
      </c>
      <c r="G68" s="612">
        <v>0</v>
      </c>
      <c r="H68" s="612">
        <v>0</v>
      </c>
      <c r="I68" s="611">
        <v>0</v>
      </c>
      <c r="J68" s="611">
        <v>0</v>
      </c>
      <c r="K68" s="612">
        <v>0</v>
      </c>
      <c r="L68" s="612">
        <v>0</v>
      </c>
      <c r="M68" s="611">
        <v>0</v>
      </c>
      <c r="N68" s="611">
        <v>0</v>
      </c>
      <c r="O68" s="612">
        <v>0</v>
      </c>
      <c r="P68" s="612">
        <v>0</v>
      </c>
      <c r="Q68" s="611">
        <v>0</v>
      </c>
      <c r="R68" s="611">
        <v>0</v>
      </c>
      <c r="S68" s="612">
        <v>0</v>
      </c>
      <c r="T68" s="612">
        <v>0</v>
      </c>
      <c r="U68" s="611">
        <v>0</v>
      </c>
      <c r="V68" s="611">
        <v>0</v>
      </c>
      <c r="W68" s="610">
        <v>0</v>
      </c>
      <c r="X68" s="610">
        <v>0</v>
      </c>
      <c r="Y68" s="609">
        <v>0</v>
      </c>
      <c r="Z68" s="609">
        <v>0</v>
      </c>
      <c r="AA68" s="610">
        <v>0</v>
      </c>
      <c r="AB68" s="610">
        <v>0</v>
      </c>
      <c r="AC68" s="609">
        <v>0</v>
      </c>
      <c r="AD68" s="609">
        <v>0</v>
      </c>
      <c r="AE68" s="610">
        <v>0</v>
      </c>
      <c r="AF68" s="610">
        <v>0</v>
      </c>
      <c r="AG68" s="609">
        <v>0</v>
      </c>
      <c r="AH68" s="609">
        <v>0</v>
      </c>
      <c r="AI68" s="610">
        <v>0</v>
      </c>
      <c r="AJ68" s="610">
        <v>0</v>
      </c>
      <c r="AK68" s="609">
        <v>0</v>
      </c>
      <c r="AL68" s="609">
        <v>0</v>
      </c>
      <c r="AM68" s="610">
        <v>1</v>
      </c>
      <c r="AN68" s="610">
        <v>64</v>
      </c>
      <c r="AO68" s="609">
        <v>1</v>
      </c>
      <c r="AP68" s="609">
        <v>64</v>
      </c>
      <c r="AQ68" s="622">
        <f t="shared" ref="AQ68:AQ99" si="12">AM68+AI68+AE68+AA68+W68+S68+O68+K68+G68+B68</f>
        <v>1</v>
      </c>
      <c r="AR68" s="622">
        <f t="shared" ref="AR68:AR99" si="13">AN68+AJ68+AF68+AB68+X68+T68+P68+L68+H68+C68</f>
        <v>64</v>
      </c>
      <c r="AS68" s="621">
        <f t="shared" ref="AS68:AS99" si="14">AO68+AK68+AG68+AC68+Y68+U68+Q68+M68+I68+D68</f>
        <v>1</v>
      </c>
      <c r="AT68" s="621">
        <f t="shared" ref="AT68:AT99" si="15">AP68+AL68+AH68+AD68+Z68+V68+R68+N68+J68+E68</f>
        <v>64</v>
      </c>
      <c r="AV68" s="620">
        <f t="shared" ref="AV68:AV99" si="16">D68+I68+M68+Q68+U68+Y68+AC68+AG68+AK68+AO68</f>
        <v>1</v>
      </c>
      <c r="AW68" s="620">
        <f t="shared" ref="AW68:AW99" si="17">E68+J68+N68+R68+V68+Z68+AD68+AH68+AL68+AP68</f>
        <v>64</v>
      </c>
    </row>
    <row r="69" spans="1:49">
      <c r="A69" s="613">
        <v>65</v>
      </c>
      <c r="B69" s="612">
        <v>0</v>
      </c>
      <c r="C69" s="612">
        <v>0</v>
      </c>
      <c r="D69" s="611">
        <v>0</v>
      </c>
      <c r="E69" s="611">
        <v>0</v>
      </c>
      <c r="G69" s="612">
        <v>0</v>
      </c>
      <c r="H69" s="612">
        <v>0</v>
      </c>
      <c r="I69" s="611">
        <v>0</v>
      </c>
      <c r="J69" s="611">
        <v>0</v>
      </c>
      <c r="K69" s="612">
        <v>0</v>
      </c>
      <c r="L69" s="612">
        <v>0</v>
      </c>
      <c r="M69" s="611">
        <v>0</v>
      </c>
      <c r="N69" s="611">
        <v>0</v>
      </c>
      <c r="O69" s="612">
        <v>0</v>
      </c>
      <c r="P69" s="612">
        <v>0</v>
      </c>
      <c r="Q69" s="611">
        <v>0</v>
      </c>
      <c r="R69" s="611">
        <v>0</v>
      </c>
      <c r="S69" s="612">
        <v>0</v>
      </c>
      <c r="T69" s="612">
        <v>0</v>
      </c>
      <c r="U69" s="611">
        <v>0</v>
      </c>
      <c r="V69" s="611">
        <v>0</v>
      </c>
      <c r="W69" s="610">
        <v>0</v>
      </c>
      <c r="X69" s="610">
        <v>0</v>
      </c>
      <c r="Y69" s="609">
        <v>0</v>
      </c>
      <c r="Z69" s="609">
        <v>0</v>
      </c>
      <c r="AA69" s="610">
        <v>0</v>
      </c>
      <c r="AB69" s="610">
        <v>0</v>
      </c>
      <c r="AC69" s="609">
        <v>0</v>
      </c>
      <c r="AD69" s="609">
        <v>0</v>
      </c>
      <c r="AE69" s="610">
        <v>0</v>
      </c>
      <c r="AF69" s="610">
        <v>0</v>
      </c>
      <c r="AG69" s="609">
        <v>0</v>
      </c>
      <c r="AH69" s="609">
        <v>0</v>
      </c>
      <c r="AI69" s="610">
        <v>0</v>
      </c>
      <c r="AJ69" s="610">
        <v>0</v>
      </c>
      <c r="AK69" s="609">
        <v>0</v>
      </c>
      <c r="AL69" s="609">
        <v>0</v>
      </c>
      <c r="AM69" s="610">
        <v>0</v>
      </c>
      <c r="AN69" s="610">
        <v>0</v>
      </c>
      <c r="AO69" s="609">
        <v>0</v>
      </c>
      <c r="AP69" s="609">
        <v>0</v>
      </c>
      <c r="AQ69" s="622">
        <f t="shared" si="12"/>
        <v>0</v>
      </c>
      <c r="AR69" s="622">
        <f t="shared" si="13"/>
        <v>0</v>
      </c>
      <c r="AS69" s="621">
        <f t="shared" si="14"/>
        <v>0</v>
      </c>
      <c r="AT69" s="621">
        <f t="shared" si="15"/>
        <v>0</v>
      </c>
      <c r="AV69" s="620">
        <f t="shared" si="16"/>
        <v>0</v>
      </c>
      <c r="AW69" s="620">
        <f t="shared" si="17"/>
        <v>0</v>
      </c>
    </row>
    <row r="70" spans="1:49">
      <c r="A70" s="613">
        <v>66</v>
      </c>
      <c r="B70" s="612">
        <v>0</v>
      </c>
      <c r="C70" s="612">
        <v>0</v>
      </c>
      <c r="D70" s="611">
        <v>0</v>
      </c>
      <c r="E70" s="611">
        <v>0</v>
      </c>
      <c r="G70" s="612">
        <v>0</v>
      </c>
      <c r="H70" s="612">
        <v>0</v>
      </c>
      <c r="I70" s="611">
        <v>0</v>
      </c>
      <c r="J70" s="611">
        <v>0</v>
      </c>
      <c r="K70" s="612">
        <v>0</v>
      </c>
      <c r="L70" s="612">
        <v>0</v>
      </c>
      <c r="M70" s="611">
        <v>0</v>
      </c>
      <c r="N70" s="611">
        <v>0</v>
      </c>
      <c r="O70" s="612">
        <v>0</v>
      </c>
      <c r="P70" s="612">
        <v>0</v>
      </c>
      <c r="Q70" s="611">
        <v>0</v>
      </c>
      <c r="R70" s="611">
        <v>0</v>
      </c>
      <c r="S70" s="612">
        <v>0</v>
      </c>
      <c r="T70" s="612">
        <v>0</v>
      </c>
      <c r="U70" s="611">
        <v>0</v>
      </c>
      <c r="V70" s="611">
        <v>0</v>
      </c>
      <c r="W70" s="610">
        <v>0</v>
      </c>
      <c r="X70" s="610">
        <v>0</v>
      </c>
      <c r="Y70" s="609">
        <v>0</v>
      </c>
      <c r="Z70" s="609">
        <v>0</v>
      </c>
      <c r="AA70" s="610">
        <v>0</v>
      </c>
      <c r="AB70" s="610">
        <v>0</v>
      </c>
      <c r="AC70" s="609">
        <v>0</v>
      </c>
      <c r="AD70" s="609">
        <v>0</v>
      </c>
      <c r="AE70" s="610">
        <v>0</v>
      </c>
      <c r="AF70" s="610">
        <v>0</v>
      </c>
      <c r="AG70" s="609">
        <v>0</v>
      </c>
      <c r="AH70" s="609">
        <v>0</v>
      </c>
      <c r="AI70" s="610">
        <v>0</v>
      </c>
      <c r="AJ70" s="610">
        <v>0</v>
      </c>
      <c r="AK70" s="609">
        <v>0</v>
      </c>
      <c r="AL70" s="609">
        <v>0</v>
      </c>
      <c r="AM70" s="610">
        <v>0</v>
      </c>
      <c r="AN70" s="610">
        <v>0</v>
      </c>
      <c r="AO70" s="609">
        <v>0</v>
      </c>
      <c r="AP70" s="609">
        <v>0</v>
      </c>
      <c r="AQ70" s="622">
        <f t="shared" si="12"/>
        <v>0</v>
      </c>
      <c r="AR70" s="622">
        <f t="shared" si="13"/>
        <v>0</v>
      </c>
      <c r="AS70" s="621">
        <f t="shared" si="14"/>
        <v>0</v>
      </c>
      <c r="AT70" s="621">
        <f t="shared" si="15"/>
        <v>0</v>
      </c>
      <c r="AV70" s="620">
        <f t="shared" si="16"/>
        <v>0</v>
      </c>
      <c r="AW70" s="620">
        <f t="shared" si="17"/>
        <v>0</v>
      </c>
    </row>
    <row r="71" spans="1:49">
      <c r="A71" s="613">
        <v>67</v>
      </c>
      <c r="B71" s="612">
        <v>0</v>
      </c>
      <c r="C71" s="612">
        <v>0</v>
      </c>
      <c r="D71" s="611">
        <v>0</v>
      </c>
      <c r="E71" s="611">
        <v>0</v>
      </c>
      <c r="G71" s="612">
        <v>0</v>
      </c>
      <c r="H71" s="612">
        <v>0</v>
      </c>
      <c r="I71" s="611">
        <v>0</v>
      </c>
      <c r="J71" s="611">
        <v>0</v>
      </c>
      <c r="K71" s="612">
        <v>0</v>
      </c>
      <c r="L71" s="612">
        <v>0</v>
      </c>
      <c r="M71" s="611">
        <v>0</v>
      </c>
      <c r="N71" s="611">
        <v>0</v>
      </c>
      <c r="O71" s="612">
        <v>0</v>
      </c>
      <c r="P71" s="612">
        <v>0</v>
      </c>
      <c r="Q71" s="611">
        <v>0</v>
      </c>
      <c r="R71" s="611">
        <v>0</v>
      </c>
      <c r="S71" s="612">
        <v>0</v>
      </c>
      <c r="T71" s="612">
        <v>0</v>
      </c>
      <c r="U71" s="611">
        <v>0</v>
      </c>
      <c r="V71" s="611">
        <v>0</v>
      </c>
      <c r="W71" s="610">
        <v>0</v>
      </c>
      <c r="X71" s="610">
        <v>0</v>
      </c>
      <c r="Y71" s="609">
        <v>0</v>
      </c>
      <c r="Z71" s="609">
        <v>0</v>
      </c>
      <c r="AA71" s="610">
        <v>0</v>
      </c>
      <c r="AB71" s="610">
        <v>0</v>
      </c>
      <c r="AC71" s="609">
        <v>0</v>
      </c>
      <c r="AD71" s="609">
        <v>0</v>
      </c>
      <c r="AE71" s="610">
        <v>0</v>
      </c>
      <c r="AF71" s="610">
        <v>0</v>
      </c>
      <c r="AG71" s="609">
        <v>0</v>
      </c>
      <c r="AH71" s="609">
        <v>0</v>
      </c>
      <c r="AI71" s="610">
        <v>0</v>
      </c>
      <c r="AJ71" s="610">
        <v>0</v>
      </c>
      <c r="AK71" s="609">
        <v>0</v>
      </c>
      <c r="AL71" s="609">
        <v>0</v>
      </c>
      <c r="AM71" s="610">
        <v>0</v>
      </c>
      <c r="AN71" s="610">
        <v>0</v>
      </c>
      <c r="AO71" s="609">
        <v>0</v>
      </c>
      <c r="AP71" s="609">
        <v>0</v>
      </c>
      <c r="AQ71" s="622">
        <f t="shared" si="12"/>
        <v>0</v>
      </c>
      <c r="AR71" s="622">
        <f t="shared" si="13"/>
        <v>0</v>
      </c>
      <c r="AS71" s="621">
        <f t="shared" si="14"/>
        <v>0</v>
      </c>
      <c r="AT71" s="621">
        <f t="shared" si="15"/>
        <v>0</v>
      </c>
      <c r="AV71" s="620">
        <f t="shared" si="16"/>
        <v>0</v>
      </c>
      <c r="AW71" s="620">
        <f t="shared" si="17"/>
        <v>0</v>
      </c>
    </row>
    <row r="72" spans="1:49">
      <c r="A72" s="613">
        <v>68</v>
      </c>
      <c r="B72" s="612">
        <v>0</v>
      </c>
      <c r="C72" s="612">
        <v>0</v>
      </c>
      <c r="D72" s="611">
        <v>0</v>
      </c>
      <c r="E72" s="611">
        <v>0</v>
      </c>
      <c r="G72" s="612">
        <v>0</v>
      </c>
      <c r="H72" s="612">
        <v>0</v>
      </c>
      <c r="I72" s="611">
        <v>0</v>
      </c>
      <c r="J72" s="611">
        <v>0</v>
      </c>
      <c r="K72" s="612">
        <v>0</v>
      </c>
      <c r="L72" s="612">
        <v>0</v>
      </c>
      <c r="M72" s="611">
        <v>0</v>
      </c>
      <c r="N72" s="611">
        <v>0</v>
      </c>
      <c r="O72" s="612">
        <v>1</v>
      </c>
      <c r="P72" s="612">
        <v>68</v>
      </c>
      <c r="Q72" s="611">
        <v>1</v>
      </c>
      <c r="R72" s="611">
        <v>68</v>
      </c>
      <c r="S72" s="612">
        <v>0</v>
      </c>
      <c r="T72" s="612">
        <v>0</v>
      </c>
      <c r="U72" s="611">
        <v>0</v>
      </c>
      <c r="V72" s="611">
        <v>0</v>
      </c>
      <c r="W72" s="610">
        <v>0</v>
      </c>
      <c r="X72" s="610">
        <v>0</v>
      </c>
      <c r="Y72" s="609">
        <v>0</v>
      </c>
      <c r="Z72" s="609">
        <v>0</v>
      </c>
      <c r="AA72" s="610">
        <v>0</v>
      </c>
      <c r="AB72" s="610">
        <v>0</v>
      </c>
      <c r="AC72" s="609">
        <v>0</v>
      </c>
      <c r="AD72" s="609">
        <v>0</v>
      </c>
      <c r="AE72" s="610">
        <v>0</v>
      </c>
      <c r="AF72" s="610">
        <v>0</v>
      </c>
      <c r="AG72" s="609">
        <v>0</v>
      </c>
      <c r="AH72" s="609">
        <v>0</v>
      </c>
      <c r="AI72" s="610">
        <v>0</v>
      </c>
      <c r="AJ72" s="610">
        <v>0</v>
      </c>
      <c r="AK72" s="609">
        <v>0</v>
      </c>
      <c r="AL72" s="609">
        <v>0</v>
      </c>
      <c r="AM72" s="610">
        <v>0</v>
      </c>
      <c r="AN72" s="610">
        <v>0</v>
      </c>
      <c r="AO72" s="609">
        <v>0</v>
      </c>
      <c r="AP72" s="609">
        <v>0</v>
      </c>
      <c r="AQ72" s="622">
        <f t="shared" si="12"/>
        <v>1</v>
      </c>
      <c r="AR72" s="622">
        <f t="shared" si="13"/>
        <v>68</v>
      </c>
      <c r="AS72" s="621">
        <f t="shared" si="14"/>
        <v>1</v>
      </c>
      <c r="AT72" s="621">
        <f t="shared" si="15"/>
        <v>68</v>
      </c>
      <c r="AV72" s="620">
        <f t="shared" si="16"/>
        <v>1</v>
      </c>
      <c r="AW72" s="620">
        <f t="shared" si="17"/>
        <v>68</v>
      </c>
    </row>
    <row r="73" spans="1:49">
      <c r="A73" s="613">
        <v>69</v>
      </c>
      <c r="B73" s="612">
        <v>0</v>
      </c>
      <c r="C73" s="612">
        <v>0</v>
      </c>
      <c r="D73" s="611">
        <v>0</v>
      </c>
      <c r="E73" s="611">
        <v>0</v>
      </c>
      <c r="G73" s="612">
        <v>0</v>
      </c>
      <c r="H73" s="612">
        <v>0</v>
      </c>
      <c r="I73" s="611">
        <v>0</v>
      </c>
      <c r="J73" s="611">
        <v>0</v>
      </c>
      <c r="K73" s="612">
        <v>0</v>
      </c>
      <c r="L73" s="612">
        <v>0</v>
      </c>
      <c r="M73" s="611">
        <v>0</v>
      </c>
      <c r="N73" s="611">
        <v>0</v>
      </c>
      <c r="O73" s="612">
        <v>0</v>
      </c>
      <c r="P73" s="612">
        <v>0</v>
      </c>
      <c r="Q73" s="611">
        <v>0</v>
      </c>
      <c r="R73" s="611">
        <v>0</v>
      </c>
      <c r="S73" s="612">
        <v>0</v>
      </c>
      <c r="T73" s="612">
        <v>0</v>
      </c>
      <c r="U73" s="611">
        <v>0</v>
      </c>
      <c r="V73" s="611">
        <v>0</v>
      </c>
      <c r="W73" s="610">
        <v>0</v>
      </c>
      <c r="X73" s="610">
        <v>0</v>
      </c>
      <c r="Y73" s="609">
        <v>0</v>
      </c>
      <c r="Z73" s="609">
        <v>0</v>
      </c>
      <c r="AA73" s="610">
        <v>1</v>
      </c>
      <c r="AB73" s="610">
        <v>69</v>
      </c>
      <c r="AC73" s="609">
        <v>1</v>
      </c>
      <c r="AD73" s="609">
        <v>69</v>
      </c>
      <c r="AE73" s="610">
        <v>0</v>
      </c>
      <c r="AF73" s="610">
        <v>0</v>
      </c>
      <c r="AG73" s="609">
        <v>0</v>
      </c>
      <c r="AH73" s="609">
        <v>0</v>
      </c>
      <c r="AI73" s="610">
        <v>0</v>
      </c>
      <c r="AJ73" s="610">
        <v>0</v>
      </c>
      <c r="AK73" s="609">
        <v>0</v>
      </c>
      <c r="AL73" s="609">
        <v>0</v>
      </c>
      <c r="AM73" s="610">
        <v>0</v>
      </c>
      <c r="AN73" s="610">
        <v>0</v>
      </c>
      <c r="AO73" s="609">
        <v>0</v>
      </c>
      <c r="AP73" s="609">
        <v>0</v>
      </c>
      <c r="AQ73" s="622">
        <f t="shared" si="12"/>
        <v>1</v>
      </c>
      <c r="AR73" s="622">
        <f t="shared" si="13"/>
        <v>69</v>
      </c>
      <c r="AS73" s="621">
        <f t="shared" si="14"/>
        <v>1</v>
      </c>
      <c r="AT73" s="621">
        <f t="shared" si="15"/>
        <v>69</v>
      </c>
      <c r="AV73" s="620">
        <f t="shared" si="16"/>
        <v>1</v>
      </c>
      <c r="AW73" s="620">
        <f t="shared" si="17"/>
        <v>69</v>
      </c>
    </row>
    <row r="74" spans="1:49">
      <c r="A74" s="613">
        <v>70</v>
      </c>
      <c r="B74" s="612">
        <v>0</v>
      </c>
      <c r="C74" s="612">
        <v>0</v>
      </c>
      <c r="D74" s="611">
        <v>0</v>
      </c>
      <c r="E74" s="611">
        <v>0</v>
      </c>
      <c r="G74" s="612">
        <v>0</v>
      </c>
      <c r="H74" s="612">
        <v>0</v>
      </c>
      <c r="I74" s="611">
        <v>0</v>
      </c>
      <c r="J74" s="611">
        <v>0</v>
      </c>
      <c r="K74" s="612">
        <v>0</v>
      </c>
      <c r="L74" s="612">
        <v>0</v>
      </c>
      <c r="M74" s="611">
        <v>0</v>
      </c>
      <c r="N74" s="611">
        <v>0</v>
      </c>
      <c r="O74" s="612">
        <v>0</v>
      </c>
      <c r="P74" s="612">
        <v>0</v>
      </c>
      <c r="Q74" s="611">
        <v>0</v>
      </c>
      <c r="R74" s="611">
        <v>0</v>
      </c>
      <c r="S74" s="612">
        <v>0</v>
      </c>
      <c r="T74" s="612">
        <v>0</v>
      </c>
      <c r="U74" s="611">
        <v>0</v>
      </c>
      <c r="V74" s="611">
        <v>0</v>
      </c>
      <c r="W74" s="610">
        <v>0</v>
      </c>
      <c r="X74" s="610">
        <v>0</v>
      </c>
      <c r="Y74" s="609">
        <v>0</v>
      </c>
      <c r="Z74" s="609">
        <v>0</v>
      </c>
      <c r="AA74" s="610">
        <v>0</v>
      </c>
      <c r="AB74" s="610">
        <v>0</v>
      </c>
      <c r="AC74" s="609">
        <v>0</v>
      </c>
      <c r="AD74" s="609">
        <v>0</v>
      </c>
      <c r="AE74" s="610">
        <v>0</v>
      </c>
      <c r="AF74" s="610">
        <v>0</v>
      </c>
      <c r="AG74" s="609">
        <v>0</v>
      </c>
      <c r="AH74" s="609">
        <v>0</v>
      </c>
      <c r="AI74" s="610">
        <v>0</v>
      </c>
      <c r="AJ74" s="610">
        <v>0</v>
      </c>
      <c r="AK74" s="609">
        <v>0</v>
      </c>
      <c r="AL74" s="609">
        <v>0</v>
      </c>
      <c r="AM74" s="610">
        <v>0</v>
      </c>
      <c r="AN74" s="610">
        <v>0</v>
      </c>
      <c r="AO74" s="609">
        <v>0</v>
      </c>
      <c r="AP74" s="609">
        <v>0</v>
      </c>
      <c r="AQ74" s="622">
        <f t="shared" si="12"/>
        <v>0</v>
      </c>
      <c r="AR74" s="622">
        <f t="shared" si="13"/>
        <v>0</v>
      </c>
      <c r="AS74" s="621">
        <f t="shared" si="14"/>
        <v>0</v>
      </c>
      <c r="AT74" s="621">
        <f t="shared" si="15"/>
        <v>0</v>
      </c>
      <c r="AV74" s="620">
        <f t="shared" si="16"/>
        <v>0</v>
      </c>
      <c r="AW74" s="620">
        <f t="shared" si="17"/>
        <v>0</v>
      </c>
    </row>
    <row r="75" spans="1:49">
      <c r="A75" s="613">
        <v>71</v>
      </c>
      <c r="B75" s="612">
        <v>0</v>
      </c>
      <c r="C75" s="612">
        <v>0</v>
      </c>
      <c r="D75" s="611">
        <v>0</v>
      </c>
      <c r="E75" s="611">
        <v>0</v>
      </c>
      <c r="G75" s="612">
        <v>0</v>
      </c>
      <c r="H75" s="612">
        <v>0</v>
      </c>
      <c r="I75" s="611">
        <v>0</v>
      </c>
      <c r="J75" s="611">
        <v>0</v>
      </c>
      <c r="K75" s="612">
        <v>0</v>
      </c>
      <c r="L75" s="612">
        <v>0</v>
      </c>
      <c r="M75" s="611">
        <v>0</v>
      </c>
      <c r="N75" s="611">
        <v>0</v>
      </c>
      <c r="O75" s="612">
        <v>0</v>
      </c>
      <c r="P75" s="612">
        <v>0</v>
      </c>
      <c r="Q75" s="611">
        <v>0</v>
      </c>
      <c r="R75" s="611">
        <v>0</v>
      </c>
      <c r="S75" s="612">
        <v>0</v>
      </c>
      <c r="T75" s="612">
        <v>0</v>
      </c>
      <c r="U75" s="611">
        <v>0</v>
      </c>
      <c r="V75" s="611">
        <v>0</v>
      </c>
      <c r="W75" s="610">
        <v>0</v>
      </c>
      <c r="X75" s="610">
        <v>0</v>
      </c>
      <c r="Y75" s="609">
        <v>0</v>
      </c>
      <c r="Z75" s="609">
        <v>0</v>
      </c>
      <c r="AA75" s="610">
        <v>0</v>
      </c>
      <c r="AB75" s="610">
        <v>0</v>
      </c>
      <c r="AC75" s="609">
        <v>0</v>
      </c>
      <c r="AD75" s="609">
        <v>0</v>
      </c>
      <c r="AE75" s="610">
        <v>0</v>
      </c>
      <c r="AF75" s="610">
        <v>0</v>
      </c>
      <c r="AG75" s="609">
        <v>0</v>
      </c>
      <c r="AH75" s="609">
        <v>0</v>
      </c>
      <c r="AI75" s="610">
        <v>0</v>
      </c>
      <c r="AJ75" s="610">
        <v>0</v>
      </c>
      <c r="AK75" s="609">
        <v>0</v>
      </c>
      <c r="AL75" s="609">
        <v>0</v>
      </c>
      <c r="AM75" s="610">
        <v>0</v>
      </c>
      <c r="AN75" s="610">
        <v>0</v>
      </c>
      <c r="AO75" s="609">
        <v>0</v>
      </c>
      <c r="AP75" s="609">
        <v>0</v>
      </c>
      <c r="AQ75" s="622">
        <f t="shared" si="12"/>
        <v>0</v>
      </c>
      <c r="AR75" s="622">
        <f t="shared" si="13"/>
        <v>0</v>
      </c>
      <c r="AS75" s="621">
        <f t="shared" si="14"/>
        <v>0</v>
      </c>
      <c r="AT75" s="621">
        <f t="shared" si="15"/>
        <v>0</v>
      </c>
      <c r="AV75" s="620">
        <f t="shared" si="16"/>
        <v>0</v>
      </c>
      <c r="AW75" s="620">
        <f t="shared" si="17"/>
        <v>0</v>
      </c>
    </row>
    <row r="76" spans="1:49">
      <c r="A76" s="613">
        <v>72</v>
      </c>
      <c r="B76" s="612">
        <v>0</v>
      </c>
      <c r="C76" s="612">
        <v>0</v>
      </c>
      <c r="D76" s="611">
        <v>0</v>
      </c>
      <c r="E76" s="611">
        <v>0</v>
      </c>
      <c r="G76" s="612">
        <v>0</v>
      </c>
      <c r="H76" s="612">
        <v>0</v>
      </c>
      <c r="I76" s="611">
        <v>0</v>
      </c>
      <c r="J76" s="611">
        <v>0</v>
      </c>
      <c r="K76" s="612">
        <v>0</v>
      </c>
      <c r="L76" s="612">
        <v>0</v>
      </c>
      <c r="M76" s="611">
        <v>0</v>
      </c>
      <c r="N76" s="611">
        <v>0</v>
      </c>
      <c r="O76" s="612">
        <v>0</v>
      </c>
      <c r="P76" s="612">
        <v>0</v>
      </c>
      <c r="Q76" s="611">
        <v>0</v>
      </c>
      <c r="R76" s="611">
        <v>0</v>
      </c>
      <c r="S76" s="612">
        <v>0</v>
      </c>
      <c r="T76" s="612">
        <v>0</v>
      </c>
      <c r="U76" s="611">
        <v>0</v>
      </c>
      <c r="V76" s="611">
        <v>0</v>
      </c>
      <c r="W76" s="610">
        <v>0</v>
      </c>
      <c r="X76" s="610">
        <v>0</v>
      </c>
      <c r="Y76" s="609">
        <v>0</v>
      </c>
      <c r="Z76" s="609">
        <v>0</v>
      </c>
      <c r="AA76" s="610">
        <v>0</v>
      </c>
      <c r="AB76" s="610">
        <v>0</v>
      </c>
      <c r="AC76" s="609">
        <v>0</v>
      </c>
      <c r="AD76" s="609">
        <v>0</v>
      </c>
      <c r="AE76" s="610">
        <v>0</v>
      </c>
      <c r="AF76" s="610">
        <v>0</v>
      </c>
      <c r="AG76" s="609">
        <v>0</v>
      </c>
      <c r="AH76" s="609">
        <v>0</v>
      </c>
      <c r="AI76" s="610">
        <v>0</v>
      </c>
      <c r="AJ76" s="610">
        <v>0</v>
      </c>
      <c r="AK76" s="609">
        <v>0</v>
      </c>
      <c r="AL76" s="609">
        <v>0</v>
      </c>
      <c r="AM76" s="610">
        <v>0</v>
      </c>
      <c r="AN76" s="610">
        <v>0</v>
      </c>
      <c r="AO76" s="609">
        <v>0</v>
      </c>
      <c r="AP76" s="609">
        <v>0</v>
      </c>
      <c r="AQ76" s="622">
        <f t="shared" si="12"/>
        <v>0</v>
      </c>
      <c r="AR76" s="622">
        <f t="shared" si="13"/>
        <v>0</v>
      </c>
      <c r="AS76" s="621">
        <f t="shared" si="14"/>
        <v>0</v>
      </c>
      <c r="AT76" s="621">
        <f t="shared" si="15"/>
        <v>0</v>
      </c>
      <c r="AV76" s="620">
        <f t="shared" si="16"/>
        <v>0</v>
      </c>
      <c r="AW76" s="620">
        <f t="shared" si="17"/>
        <v>0</v>
      </c>
    </row>
    <row r="77" spans="1:49">
      <c r="A77" s="613">
        <v>73</v>
      </c>
      <c r="B77" s="612">
        <v>0</v>
      </c>
      <c r="C77" s="612">
        <v>0</v>
      </c>
      <c r="D77" s="611">
        <v>0</v>
      </c>
      <c r="E77" s="611">
        <v>0</v>
      </c>
      <c r="G77" s="612">
        <v>0</v>
      </c>
      <c r="H77" s="612">
        <v>0</v>
      </c>
      <c r="I77" s="611">
        <v>0</v>
      </c>
      <c r="J77" s="611">
        <v>0</v>
      </c>
      <c r="K77" s="612">
        <v>0</v>
      </c>
      <c r="L77" s="612">
        <v>0</v>
      </c>
      <c r="M77" s="611">
        <v>0</v>
      </c>
      <c r="N77" s="611">
        <v>0</v>
      </c>
      <c r="O77" s="612">
        <v>0</v>
      </c>
      <c r="P77" s="612">
        <v>0</v>
      </c>
      <c r="Q77" s="611">
        <v>0</v>
      </c>
      <c r="R77" s="611">
        <v>0</v>
      </c>
      <c r="S77" s="612">
        <v>0</v>
      </c>
      <c r="T77" s="612">
        <v>0</v>
      </c>
      <c r="U77" s="611">
        <v>0</v>
      </c>
      <c r="V77" s="611">
        <v>0</v>
      </c>
      <c r="W77" s="610">
        <v>0</v>
      </c>
      <c r="X77" s="610">
        <v>0</v>
      </c>
      <c r="Y77" s="609">
        <v>0</v>
      </c>
      <c r="Z77" s="609">
        <v>0</v>
      </c>
      <c r="AA77" s="610">
        <v>0</v>
      </c>
      <c r="AB77" s="610">
        <v>0</v>
      </c>
      <c r="AC77" s="609">
        <v>0</v>
      </c>
      <c r="AD77" s="609">
        <v>0</v>
      </c>
      <c r="AE77" s="610">
        <v>0</v>
      </c>
      <c r="AF77" s="610">
        <v>0</v>
      </c>
      <c r="AG77" s="609">
        <v>0</v>
      </c>
      <c r="AH77" s="609">
        <v>0</v>
      </c>
      <c r="AI77" s="610">
        <v>0</v>
      </c>
      <c r="AJ77" s="610">
        <v>0</v>
      </c>
      <c r="AK77" s="609">
        <v>0</v>
      </c>
      <c r="AL77" s="609">
        <v>0</v>
      </c>
      <c r="AM77" s="610">
        <v>0</v>
      </c>
      <c r="AN77" s="610">
        <v>0</v>
      </c>
      <c r="AO77" s="609">
        <v>0</v>
      </c>
      <c r="AP77" s="609">
        <v>0</v>
      </c>
      <c r="AQ77" s="622">
        <f t="shared" si="12"/>
        <v>0</v>
      </c>
      <c r="AR77" s="622">
        <f t="shared" si="13"/>
        <v>0</v>
      </c>
      <c r="AS77" s="621">
        <f t="shared" si="14"/>
        <v>0</v>
      </c>
      <c r="AT77" s="621">
        <f t="shared" si="15"/>
        <v>0</v>
      </c>
      <c r="AV77" s="620">
        <f t="shared" si="16"/>
        <v>0</v>
      </c>
      <c r="AW77" s="620">
        <f t="shared" si="17"/>
        <v>0</v>
      </c>
    </row>
    <row r="78" spans="1:49">
      <c r="A78" s="613">
        <v>74</v>
      </c>
      <c r="B78" s="612">
        <v>0</v>
      </c>
      <c r="C78" s="612">
        <v>0</v>
      </c>
      <c r="D78" s="611">
        <v>0</v>
      </c>
      <c r="E78" s="611">
        <v>0</v>
      </c>
      <c r="G78" s="612">
        <v>0</v>
      </c>
      <c r="H78" s="612">
        <v>0</v>
      </c>
      <c r="I78" s="611">
        <v>0</v>
      </c>
      <c r="J78" s="611">
        <v>0</v>
      </c>
      <c r="K78" s="612">
        <v>0</v>
      </c>
      <c r="L78" s="612">
        <v>0</v>
      </c>
      <c r="M78" s="611">
        <v>0</v>
      </c>
      <c r="N78" s="611">
        <v>0</v>
      </c>
      <c r="O78" s="612">
        <v>0</v>
      </c>
      <c r="P78" s="612">
        <v>0</v>
      </c>
      <c r="Q78" s="611">
        <v>0</v>
      </c>
      <c r="R78" s="611">
        <v>0</v>
      </c>
      <c r="S78" s="612">
        <v>0</v>
      </c>
      <c r="T78" s="612">
        <v>0</v>
      </c>
      <c r="U78" s="611">
        <v>0</v>
      </c>
      <c r="V78" s="611">
        <v>0</v>
      </c>
      <c r="W78" s="610">
        <v>0</v>
      </c>
      <c r="X78" s="610">
        <v>0</v>
      </c>
      <c r="Y78" s="609">
        <v>0</v>
      </c>
      <c r="Z78" s="609">
        <v>0</v>
      </c>
      <c r="AA78" s="610">
        <v>0</v>
      </c>
      <c r="AB78" s="610">
        <v>0</v>
      </c>
      <c r="AC78" s="609">
        <v>0</v>
      </c>
      <c r="AD78" s="609">
        <v>0</v>
      </c>
      <c r="AE78" s="610">
        <v>0</v>
      </c>
      <c r="AF78" s="610">
        <v>0</v>
      </c>
      <c r="AG78" s="609">
        <v>0</v>
      </c>
      <c r="AH78" s="609">
        <v>0</v>
      </c>
      <c r="AI78" s="610">
        <v>0</v>
      </c>
      <c r="AJ78" s="610">
        <v>0</v>
      </c>
      <c r="AK78" s="609">
        <v>0</v>
      </c>
      <c r="AL78" s="609">
        <v>0</v>
      </c>
      <c r="AM78" s="610">
        <v>0</v>
      </c>
      <c r="AN78" s="610">
        <v>0</v>
      </c>
      <c r="AO78" s="609">
        <v>0</v>
      </c>
      <c r="AP78" s="609">
        <v>0</v>
      </c>
      <c r="AQ78" s="622">
        <f t="shared" si="12"/>
        <v>0</v>
      </c>
      <c r="AR78" s="622">
        <f t="shared" si="13"/>
        <v>0</v>
      </c>
      <c r="AS78" s="621">
        <f t="shared" si="14"/>
        <v>0</v>
      </c>
      <c r="AT78" s="621">
        <f t="shared" si="15"/>
        <v>0</v>
      </c>
      <c r="AV78" s="620">
        <f t="shared" si="16"/>
        <v>0</v>
      </c>
      <c r="AW78" s="620">
        <f t="shared" si="17"/>
        <v>0</v>
      </c>
    </row>
    <row r="79" spans="1:49">
      <c r="A79" s="613">
        <v>75</v>
      </c>
      <c r="B79" s="612">
        <v>0</v>
      </c>
      <c r="C79" s="612">
        <v>0</v>
      </c>
      <c r="D79" s="611">
        <v>0</v>
      </c>
      <c r="E79" s="611">
        <v>0</v>
      </c>
      <c r="G79" s="612">
        <v>0</v>
      </c>
      <c r="H79" s="612">
        <v>0</v>
      </c>
      <c r="I79" s="611">
        <v>0</v>
      </c>
      <c r="J79" s="611">
        <v>0</v>
      </c>
      <c r="K79" s="612">
        <v>0</v>
      </c>
      <c r="L79" s="612">
        <v>0</v>
      </c>
      <c r="M79" s="611">
        <v>0</v>
      </c>
      <c r="N79" s="611">
        <v>0</v>
      </c>
      <c r="O79" s="612">
        <v>1</v>
      </c>
      <c r="P79" s="612">
        <v>75</v>
      </c>
      <c r="Q79" s="611">
        <v>1</v>
      </c>
      <c r="R79" s="611">
        <v>75</v>
      </c>
      <c r="S79" s="612">
        <v>0</v>
      </c>
      <c r="T79" s="612">
        <v>0</v>
      </c>
      <c r="U79" s="611">
        <v>0</v>
      </c>
      <c r="V79" s="611">
        <v>0</v>
      </c>
      <c r="W79" s="610">
        <v>0</v>
      </c>
      <c r="X79" s="610">
        <v>0</v>
      </c>
      <c r="Y79" s="609">
        <v>0</v>
      </c>
      <c r="Z79" s="609">
        <v>0</v>
      </c>
      <c r="AA79" s="610">
        <v>0</v>
      </c>
      <c r="AB79" s="610">
        <v>0</v>
      </c>
      <c r="AC79" s="609">
        <v>0</v>
      </c>
      <c r="AD79" s="609">
        <v>0</v>
      </c>
      <c r="AE79" s="610">
        <v>0</v>
      </c>
      <c r="AF79" s="610">
        <v>0</v>
      </c>
      <c r="AG79" s="609">
        <v>0</v>
      </c>
      <c r="AH79" s="609">
        <v>0</v>
      </c>
      <c r="AI79" s="610">
        <v>0</v>
      </c>
      <c r="AJ79" s="610">
        <v>0</v>
      </c>
      <c r="AK79" s="609">
        <v>0</v>
      </c>
      <c r="AL79" s="609">
        <v>0</v>
      </c>
      <c r="AM79" s="610">
        <v>0</v>
      </c>
      <c r="AN79" s="610">
        <v>0</v>
      </c>
      <c r="AO79" s="609">
        <v>0</v>
      </c>
      <c r="AP79" s="609">
        <v>0</v>
      </c>
      <c r="AQ79" s="622">
        <f t="shared" si="12"/>
        <v>1</v>
      </c>
      <c r="AR79" s="622">
        <f t="shared" si="13"/>
        <v>75</v>
      </c>
      <c r="AS79" s="621">
        <f t="shared" si="14"/>
        <v>1</v>
      </c>
      <c r="AT79" s="621">
        <f t="shared" si="15"/>
        <v>75</v>
      </c>
      <c r="AV79" s="620">
        <f t="shared" si="16"/>
        <v>1</v>
      </c>
      <c r="AW79" s="620">
        <f t="shared" si="17"/>
        <v>75</v>
      </c>
    </row>
    <row r="80" spans="1:49">
      <c r="A80" s="613">
        <v>76</v>
      </c>
      <c r="B80" s="612">
        <v>0</v>
      </c>
      <c r="C80" s="612">
        <v>0</v>
      </c>
      <c r="D80" s="611">
        <v>0</v>
      </c>
      <c r="E80" s="611">
        <v>0</v>
      </c>
      <c r="G80" s="612">
        <v>0</v>
      </c>
      <c r="H80" s="612">
        <v>0</v>
      </c>
      <c r="I80" s="611">
        <v>0</v>
      </c>
      <c r="J80" s="611">
        <v>0</v>
      </c>
      <c r="K80" s="612">
        <v>0</v>
      </c>
      <c r="L80" s="612">
        <v>0</v>
      </c>
      <c r="M80" s="611">
        <v>0</v>
      </c>
      <c r="N80" s="611">
        <v>0</v>
      </c>
      <c r="O80" s="612">
        <v>0</v>
      </c>
      <c r="P80" s="612">
        <v>0</v>
      </c>
      <c r="Q80" s="611">
        <v>0</v>
      </c>
      <c r="R80" s="611">
        <v>0</v>
      </c>
      <c r="S80" s="612">
        <v>0</v>
      </c>
      <c r="T80" s="612">
        <v>0</v>
      </c>
      <c r="U80" s="611">
        <v>0</v>
      </c>
      <c r="V80" s="611">
        <v>0</v>
      </c>
      <c r="W80" s="610">
        <v>0</v>
      </c>
      <c r="X80" s="610">
        <v>0</v>
      </c>
      <c r="Y80" s="609">
        <v>0</v>
      </c>
      <c r="Z80" s="609">
        <v>0</v>
      </c>
      <c r="AA80" s="610">
        <v>0</v>
      </c>
      <c r="AB80" s="610">
        <v>0</v>
      </c>
      <c r="AC80" s="609">
        <v>0</v>
      </c>
      <c r="AD80" s="609">
        <v>0</v>
      </c>
      <c r="AE80" s="610">
        <v>0</v>
      </c>
      <c r="AF80" s="610">
        <v>0</v>
      </c>
      <c r="AG80" s="609">
        <v>0</v>
      </c>
      <c r="AH80" s="609">
        <v>0</v>
      </c>
      <c r="AI80" s="610">
        <v>0</v>
      </c>
      <c r="AJ80" s="610">
        <v>0</v>
      </c>
      <c r="AK80" s="609">
        <v>0</v>
      </c>
      <c r="AL80" s="609">
        <v>0</v>
      </c>
      <c r="AM80" s="610">
        <v>0</v>
      </c>
      <c r="AN80" s="610">
        <v>0</v>
      </c>
      <c r="AO80" s="609">
        <v>0</v>
      </c>
      <c r="AP80" s="609">
        <v>0</v>
      </c>
      <c r="AQ80" s="622">
        <f t="shared" si="12"/>
        <v>0</v>
      </c>
      <c r="AR80" s="622">
        <f t="shared" si="13"/>
        <v>0</v>
      </c>
      <c r="AS80" s="621">
        <f t="shared" si="14"/>
        <v>0</v>
      </c>
      <c r="AT80" s="621">
        <f t="shared" si="15"/>
        <v>0</v>
      </c>
      <c r="AV80" s="620">
        <f t="shared" si="16"/>
        <v>0</v>
      </c>
      <c r="AW80" s="620">
        <f t="shared" si="17"/>
        <v>0</v>
      </c>
    </row>
    <row r="81" spans="1:49">
      <c r="A81" s="613">
        <v>77</v>
      </c>
      <c r="B81" s="612">
        <v>0</v>
      </c>
      <c r="C81" s="612">
        <v>0</v>
      </c>
      <c r="D81" s="611">
        <v>0</v>
      </c>
      <c r="E81" s="611">
        <v>0</v>
      </c>
      <c r="G81" s="612">
        <v>0</v>
      </c>
      <c r="H81" s="612">
        <v>0</v>
      </c>
      <c r="I81" s="611">
        <v>0</v>
      </c>
      <c r="J81" s="611">
        <v>0</v>
      </c>
      <c r="K81" s="612">
        <v>0</v>
      </c>
      <c r="L81" s="612">
        <v>0</v>
      </c>
      <c r="M81" s="611">
        <v>0</v>
      </c>
      <c r="N81" s="611">
        <v>0</v>
      </c>
      <c r="O81" s="612">
        <v>0</v>
      </c>
      <c r="P81" s="612">
        <v>0</v>
      </c>
      <c r="Q81" s="611">
        <v>0</v>
      </c>
      <c r="R81" s="611">
        <v>0</v>
      </c>
      <c r="S81" s="612">
        <v>0</v>
      </c>
      <c r="T81" s="612">
        <v>0</v>
      </c>
      <c r="U81" s="611">
        <v>0</v>
      </c>
      <c r="V81" s="611">
        <v>0</v>
      </c>
      <c r="W81" s="610">
        <v>0</v>
      </c>
      <c r="X81" s="610">
        <v>0</v>
      </c>
      <c r="Y81" s="609">
        <v>0</v>
      </c>
      <c r="Z81" s="609">
        <v>0</v>
      </c>
      <c r="AA81" s="610">
        <v>0</v>
      </c>
      <c r="AB81" s="610">
        <v>0</v>
      </c>
      <c r="AC81" s="609">
        <v>0</v>
      </c>
      <c r="AD81" s="609">
        <v>0</v>
      </c>
      <c r="AE81" s="610">
        <v>0</v>
      </c>
      <c r="AF81" s="610">
        <v>0</v>
      </c>
      <c r="AG81" s="609">
        <v>0</v>
      </c>
      <c r="AH81" s="609">
        <v>0</v>
      </c>
      <c r="AI81" s="610">
        <v>0</v>
      </c>
      <c r="AJ81" s="610">
        <v>0</v>
      </c>
      <c r="AK81" s="609">
        <v>0</v>
      </c>
      <c r="AL81" s="609">
        <v>0</v>
      </c>
      <c r="AM81" s="610">
        <v>0</v>
      </c>
      <c r="AN81" s="610">
        <v>0</v>
      </c>
      <c r="AO81" s="609">
        <v>0</v>
      </c>
      <c r="AP81" s="609">
        <v>0</v>
      </c>
      <c r="AQ81" s="622">
        <f t="shared" si="12"/>
        <v>0</v>
      </c>
      <c r="AR81" s="622">
        <f t="shared" si="13"/>
        <v>0</v>
      </c>
      <c r="AS81" s="621">
        <f t="shared" si="14"/>
        <v>0</v>
      </c>
      <c r="AT81" s="621">
        <f t="shared" si="15"/>
        <v>0</v>
      </c>
      <c r="AV81" s="620">
        <f t="shared" si="16"/>
        <v>0</v>
      </c>
      <c r="AW81" s="620">
        <f t="shared" si="17"/>
        <v>0</v>
      </c>
    </row>
    <row r="82" spans="1:49">
      <c r="A82" s="613">
        <v>78</v>
      </c>
      <c r="B82" s="612">
        <v>0</v>
      </c>
      <c r="C82" s="612">
        <v>0</v>
      </c>
      <c r="D82" s="611">
        <v>0</v>
      </c>
      <c r="E82" s="611">
        <v>0</v>
      </c>
      <c r="G82" s="612">
        <v>0</v>
      </c>
      <c r="H82" s="612">
        <v>0</v>
      </c>
      <c r="I82" s="611">
        <v>0</v>
      </c>
      <c r="J82" s="611">
        <v>0</v>
      </c>
      <c r="K82" s="612">
        <v>0</v>
      </c>
      <c r="L82" s="612">
        <v>0</v>
      </c>
      <c r="M82" s="611">
        <v>0</v>
      </c>
      <c r="N82" s="611">
        <v>0</v>
      </c>
      <c r="O82" s="612">
        <v>0</v>
      </c>
      <c r="P82" s="612">
        <v>0</v>
      </c>
      <c r="Q82" s="611">
        <v>0</v>
      </c>
      <c r="R82" s="611">
        <v>0</v>
      </c>
      <c r="S82" s="612">
        <v>0</v>
      </c>
      <c r="T82" s="612">
        <v>0</v>
      </c>
      <c r="U82" s="611">
        <v>0</v>
      </c>
      <c r="V82" s="611">
        <v>0</v>
      </c>
      <c r="W82" s="610">
        <v>0</v>
      </c>
      <c r="X82" s="610">
        <v>0</v>
      </c>
      <c r="Y82" s="609">
        <v>0</v>
      </c>
      <c r="Z82" s="609">
        <v>0</v>
      </c>
      <c r="AA82" s="610">
        <v>0</v>
      </c>
      <c r="AB82" s="610">
        <v>0</v>
      </c>
      <c r="AC82" s="609">
        <v>0</v>
      </c>
      <c r="AD82" s="609">
        <v>0</v>
      </c>
      <c r="AE82" s="610">
        <v>0</v>
      </c>
      <c r="AF82" s="610">
        <v>0</v>
      </c>
      <c r="AG82" s="609">
        <v>0</v>
      </c>
      <c r="AH82" s="609">
        <v>0</v>
      </c>
      <c r="AI82" s="610">
        <v>0</v>
      </c>
      <c r="AJ82" s="610">
        <v>0</v>
      </c>
      <c r="AK82" s="609">
        <v>0</v>
      </c>
      <c r="AL82" s="609">
        <v>0</v>
      </c>
      <c r="AM82" s="610">
        <v>0</v>
      </c>
      <c r="AN82" s="610">
        <v>0</v>
      </c>
      <c r="AO82" s="609">
        <v>0</v>
      </c>
      <c r="AP82" s="609">
        <v>0</v>
      </c>
      <c r="AQ82" s="622">
        <f t="shared" si="12"/>
        <v>0</v>
      </c>
      <c r="AR82" s="622">
        <f t="shared" si="13"/>
        <v>0</v>
      </c>
      <c r="AS82" s="621">
        <f t="shared" si="14"/>
        <v>0</v>
      </c>
      <c r="AT82" s="621">
        <f t="shared" si="15"/>
        <v>0</v>
      </c>
      <c r="AV82" s="620">
        <f t="shared" si="16"/>
        <v>0</v>
      </c>
      <c r="AW82" s="620">
        <f t="shared" si="17"/>
        <v>0</v>
      </c>
    </row>
    <row r="83" spans="1:49">
      <c r="A83" s="613">
        <v>79</v>
      </c>
      <c r="B83" s="612">
        <v>0</v>
      </c>
      <c r="C83" s="612">
        <v>0</v>
      </c>
      <c r="D83" s="611">
        <v>0</v>
      </c>
      <c r="E83" s="611">
        <v>0</v>
      </c>
      <c r="G83" s="612">
        <v>0</v>
      </c>
      <c r="H83" s="612">
        <v>0</v>
      </c>
      <c r="I83" s="611">
        <v>0</v>
      </c>
      <c r="J83" s="611">
        <v>0</v>
      </c>
      <c r="K83" s="612">
        <v>0</v>
      </c>
      <c r="L83" s="612">
        <v>0</v>
      </c>
      <c r="M83" s="611">
        <v>0</v>
      </c>
      <c r="N83" s="611">
        <v>0</v>
      </c>
      <c r="O83" s="612">
        <v>0</v>
      </c>
      <c r="P83" s="612">
        <v>0</v>
      </c>
      <c r="Q83" s="611">
        <v>0</v>
      </c>
      <c r="R83" s="611">
        <v>0</v>
      </c>
      <c r="S83" s="612">
        <v>0</v>
      </c>
      <c r="T83" s="612">
        <v>0</v>
      </c>
      <c r="U83" s="611">
        <v>0</v>
      </c>
      <c r="V83" s="611">
        <v>0</v>
      </c>
      <c r="W83" s="610">
        <v>0</v>
      </c>
      <c r="X83" s="610">
        <v>0</v>
      </c>
      <c r="Y83" s="609">
        <v>0</v>
      </c>
      <c r="Z83" s="609">
        <v>0</v>
      </c>
      <c r="AA83" s="610">
        <v>0</v>
      </c>
      <c r="AB83" s="610">
        <v>0</v>
      </c>
      <c r="AC83" s="609">
        <v>0</v>
      </c>
      <c r="AD83" s="609">
        <v>0</v>
      </c>
      <c r="AE83" s="610">
        <v>0</v>
      </c>
      <c r="AF83" s="610">
        <v>0</v>
      </c>
      <c r="AG83" s="609">
        <v>0</v>
      </c>
      <c r="AH83" s="609">
        <v>0</v>
      </c>
      <c r="AI83" s="610">
        <v>0</v>
      </c>
      <c r="AJ83" s="610">
        <v>0</v>
      </c>
      <c r="AK83" s="609">
        <v>0</v>
      </c>
      <c r="AL83" s="609">
        <v>0</v>
      </c>
      <c r="AM83" s="610">
        <v>0</v>
      </c>
      <c r="AN83" s="610">
        <v>0</v>
      </c>
      <c r="AO83" s="609">
        <v>0</v>
      </c>
      <c r="AP83" s="609">
        <v>0</v>
      </c>
      <c r="AQ83" s="622">
        <f t="shared" si="12"/>
        <v>0</v>
      </c>
      <c r="AR83" s="622">
        <f t="shared" si="13"/>
        <v>0</v>
      </c>
      <c r="AS83" s="621">
        <f t="shared" si="14"/>
        <v>0</v>
      </c>
      <c r="AT83" s="621">
        <f t="shared" si="15"/>
        <v>0</v>
      </c>
      <c r="AV83" s="620">
        <f t="shared" si="16"/>
        <v>0</v>
      </c>
      <c r="AW83" s="620">
        <f t="shared" si="17"/>
        <v>0</v>
      </c>
    </row>
    <row r="84" spans="1:49">
      <c r="A84" s="613">
        <v>80</v>
      </c>
      <c r="B84" s="612">
        <v>0</v>
      </c>
      <c r="C84" s="612">
        <v>0</v>
      </c>
      <c r="D84" s="611">
        <v>0</v>
      </c>
      <c r="E84" s="611">
        <v>0</v>
      </c>
      <c r="G84" s="612">
        <v>0</v>
      </c>
      <c r="H84" s="612">
        <v>0</v>
      </c>
      <c r="I84" s="611">
        <v>0</v>
      </c>
      <c r="J84" s="611">
        <v>0</v>
      </c>
      <c r="K84" s="612">
        <v>0</v>
      </c>
      <c r="L84" s="612">
        <v>0</v>
      </c>
      <c r="M84" s="611">
        <v>0</v>
      </c>
      <c r="N84" s="611">
        <v>0</v>
      </c>
      <c r="O84" s="612">
        <v>0</v>
      </c>
      <c r="P84" s="612">
        <v>0</v>
      </c>
      <c r="Q84" s="611">
        <v>0</v>
      </c>
      <c r="R84" s="611">
        <v>0</v>
      </c>
      <c r="S84" s="612">
        <v>0</v>
      </c>
      <c r="T84" s="612">
        <v>0</v>
      </c>
      <c r="U84" s="611">
        <v>0</v>
      </c>
      <c r="V84" s="611">
        <v>0</v>
      </c>
      <c r="W84" s="610">
        <v>0</v>
      </c>
      <c r="X84" s="610">
        <v>0</v>
      </c>
      <c r="Y84" s="609">
        <v>0</v>
      </c>
      <c r="Z84" s="609">
        <v>0</v>
      </c>
      <c r="AA84" s="610">
        <v>0</v>
      </c>
      <c r="AB84" s="610">
        <v>0</v>
      </c>
      <c r="AC84" s="609">
        <v>0</v>
      </c>
      <c r="AD84" s="609">
        <v>0</v>
      </c>
      <c r="AE84" s="610">
        <v>0</v>
      </c>
      <c r="AF84" s="610">
        <v>0</v>
      </c>
      <c r="AG84" s="609">
        <v>0</v>
      </c>
      <c r="AH84" s="609">
        <v>0</v>
      </c>
      <c r="AI84" s="610">
        <v>0</v>
      </c>
      <c r="AJ84" s="610">
        <v>0</v>
      </c>
      <c r="AK84" s="609">
        <v>0</v>
      </c>
      <c r="AL84" s="609">
        <v>0</v>
      </c>
      <c r="AM84" s="610">
        <v>0</v>
      </c>
      <c r="AN84" s="610">
        <v>0</v>
      </c>
      <c r="AO84" s="609">
        <v>0</v>
      </c>
      <c r="AP84" s="609">
        <v>0</v>
      </c>
      <c r="AQ84" s="622">
        <f t="shared" si="12"/>
        <v>0</v>
      </c>
      <c r="AR84" s="622">
        <f t="shared" si="13"/>
        <v>0</v>
      </c>
      <c r="AS84" s="621">
        <f t="shared" si="14"/>
        <v>0</v>
      </c>
      <c r="AT84" s="621">
        <f t="shared" si="15"/>
        <v>0</v>
      </c>
      <c r="AV84" s="620">
        <f t="shared" si="16"/>
        <v>0</v>
      </c>
      <c r="AW84" s="620">
        <f t="shared" si="17"/>
        <v>0</v>
      </c>
    </row>
    <row r="85" spans="1:49">
      <c r="A85" s="613">
        <v>81</v>
      </c>
      <c r="B85" s="612">
        <v>0</v>
      </c>
      <c r="C85" s="612">
        <v>0</v>
      </c>
      <c r="D85" s="611">
        <v>0</v>
      </c>
      <c r="E85" s="611">
        <v>0</v>
      </c>
      <c r="G85" s="612">
        <v>0</v>
      </c>
      <c r="H85" s="612">
        <v>0</v>
      </c>
      <c r="I85" s="611">
        <v>0</v>
      </c>
      <c r="J85" s="611">
        <v>0</v>
      </c>
      <c r="K85" s="612">
        <v>0</v>
      </c>
      <c r="L85" s="612">
        <v>0</v>
      </c>
      <c r="M85" s="611">
        <v>0</v>
      </c>
      <c r="N85" s="611">
        <v>0</v>
      </c>
      <c r="O85" s="612">
        <v>0</v>
      </c>
      <c r="P85" s="612">
        <v>0</v>
      </c>
      <c r="Q85" s="611">
        <v>0</v>
      </c>
      <c r="R85" s="611">
        <v>0</v>
      </c>
      <c r="S85" s="612">
        <v>0</v>
      </c>
      <c r="T85" s="612">
        <v>0</v>
      </c>
      <c r="U85" s="611">
        <v>0</v>
      </c>
      <c r="V85" s="611">
        <v>0</v>
      </c>
      <c r="W85" s="610">
        <v>0</v>
      </c>
      <c r="X85" s="610">
        <v>0</v>
      </c>
      <c r="Y85" s="609">
        <v>0</v>
      </c>
      <c r="Z85" s="609">
        <v>0</v>
      </c>
      <c r="AA85" s="610">
        <v>0</v>
      </c>
      <c r="AB85" s="610">
        <v>0</v>
      </c>
      <c r="AC85" s="609">
        <v>0</v>
      </c>
      <c r="AD85" s="609">
        <v>0</v>
      </c>
      <c r="AE85" s="610">
        <v>0</v>
      </c>
      <c r="AF85" s="610">
        <v>0</v>
      </c>
      <c r="AG85" s="609">
        <v>0</v>
      </c>
      <c r="AH85" s="609">
        <v>0</v>
      </c>
      <c r="AI85" s="610">
        <v>0</v>
      </c>
      <c r="AJ85" s="610">
        <v>0</v>
      </c>
      <c r="AK85" s="609">
        <v>0</v>
      </c>
      <c r="AL85" s="609">
        <v>0</v>
      </c>
      <c r="AM85" s="610">
        <v>0</v>
      </c>
      <c r="AN85" s="610">
        <v>0</v>
      </c>
      <c r="AO85" s="609">
        <v>0</v>
      </c>
      <c r="AP85" s="609">
        <v>0</v>
      </c>
      <c r="AQ85" s="622">
        <f t="shared" si="12"/>
        <v>0</v>
      </c>
      <c r="AR85" s="622">
        <f t="shared" si="13"/>
        <v>0</v>
      </c>
      <c r="AS85" s="621">
        <f t="shared" si="14"/>
        <v>0</v>
      </c>
      <c r="AT85" s="621">
        <f t="shared" si="15"/>
        <v>0</v>
      </c>
      <c r="AV85" s="620">
        <f t="shared" si="16"/>
        <v>0</v>
      </c>
      <c r="AW85" s="620">
        <f t="shared" si="17"/>
        <v>0</v>
      </c>
    </row>
    <row r="86" spans="1:49">
      <c r="A86" s="613">
        <v>82</v>
      </c>
      <c r="B86" s="612">
        <v>0</v>
      </c>
      <c r="C86" s="612">
        <v>0</v>
      </c>
      <c r="D86" s="611">
        <v>0</v>
      </c>
      <c r="E86" s="611">
        <v>0</v>
      </c>
      <c r="G86" s="612">
        <v>0</v>
      </c>
      <c r="H86" s="612">
        <v>0</v>
      </c>
      <c r="I86" s="611">
        <v>0</v>
      </c>
      <c r="J86" s="611">
        <v>0</v>
      </c>
      <c r="K86" s="612">
        <v>0</v>
      </c>
      <c r="L86" s="612">
        <v>0</v>
      </c>
      <c r="M86" s="611">
        <v>0</v>
      </c>
      <c r="N86" s="611">
        <v>0</v>
      </c>
      <c r="O86" s="612">
        <v>0</v>
      </c>
      <c r="P86" s="612">
        <v>0</v>
      </c>
      <c r="Q86" s="611">
        <v>0</v>
      </c>
      <c r="R86" s="611">
        <v>0</v>
      </c>
      <c r="S86" s="612">
        <v>0</v>
      </c>
      <c r="T86" s="612">
        <v>0</v>
      </c>
      <c r="U86" s="611">
        <v>0</v>
      </c>
      <c r="V86" s="611">
        <v>0</v>
      </c>
      <c r="W86" s="610">
        <v>0</v>
      </c>
      <c r="X86" s="610">
        <v>0</v>
      </c>
      <c r="Y86" s="609">
        <v>0</v>
      </c>
      <c r="Z86" s="609">
        <v>0</v>
      </c>
      <c r="AA86" s="610">
        <v>0</v>
      </c>
      <c r="AB86" s="610">
        <v>0</v>
      </c>
      <c r="AC86" s="609">
        <v>0</v>
      </c>
      <c r="AD86" s="609">
        <v>0</v>
      </c>
      <c r="AE86" s="610">
        <v>0</v>
      </c>
      <c r="AF86" s="610">
        <v>0</v>
      </c>
      <c r="AG86" s="609">
        <v>0</v>
      </c>
      <c r="AH86" s="609">
        <v>0</v>
      </c>
      <c r="AI86" s="610">
        <v>0</v>
      </c>
      <c r="AJ86" s="610">
        <v>0</v>
      </c>
      <c r="AK86" s="609">
        <v>0</v>
      </c>
      <c r="AL86" s="609">
        <v>0</v>
      </c>
      <c r="AM86" s="610">
        <v>0</v>
      </c>
      <c r="AN86" s="610">
        <v>0</v>
      </c>
      <c r="AO86" s="609">
        <v>0</v>
      </c>
      <c r="AP86" s="609">
        <v>0</v>
      </c>
      <c r="AQ86" s="622">
        <f t="shared" si="12"/>
        <v>0</v>
      </c>
      <c r="AR86" s="622">
        <f t="shared" si="13"/>
        <v>0</v>
      </c>
      <c r="AS86" s="621">
        <f t="shared" si="14"/>
        <v>0</v>
      </c>
      <c r="AT86" s="621">
        <f t="shared" si="15"/>
        <v>0</v>
      </c>
      <c r="AV86" s="620">
        <f t="shared" si="16"/>
        <v>0</v>
      </c>
      <c r="AW86" s="620">
        <f t="shared" si="17"/>
        <v>0</v>
      </c>
    </row>
    <row r="87" spans="1:49">
      <c r="A87" s="613">
        <v>83</v>
      </c>
      <c r="B87" s="612">
        <v>0</v>
      </c>
      <c r="C87" s="612">
        <v>0</v>
      </c>
      <c r="D87" s="611">
        <v>0</v>
      </c>
      <c r="E87" s="611">
        <v>0</v>
      </c>
      <c r="G87" s="612">
        <v>0</v>
      </c>
      <c r="H87" s="612">
        <v>0</v>
      </c>
      <c r="I87" s="611">
        <v>0</v>
      </c>
      <c r="J87" s="611">
        <v>0</v>
      </c>
      <c r="K87" s="612">
        <v>0</v>
      </c>
      <c r="L87" s="612">
        <v>0</v>
      </c>
      <c r="M87" s="611">
        <v>0</v>
      </c>
      <c r="N87" s="611">
        <v>0</v>
      </c>
      <c r="O87" s="612">
        <v>0</v>
      </c>
      <c r="P87" s="612">
        <v>0</v>
      </c>
      <c r="Q87" s="611">
        <v>0</v>
      </c>
      <c r="R87" s="611">
        <v>0</v>
      </c>
      <c r="S87" s="612">
        <v>0</v>
      </c>
      <c r="T87" s="612">
        <v>0</v>
      </c>
      <c r="U87" s="611">
        <v>0</v>
      </c>
      <c r="V87" s="611">
        <v>0</v>
      </c>
      <c r="W87" s="610">
        <v>0</v>
      </c>
      <c r="X87" s="610">
        <v>0</v>
      </c>
      <c r="Y87" s="609">
        <v>0</v>
      </c>
      <c r="Z87" s="609">
        <v>0</v>
      </c>
      <c r="AA87" s="610">
        <v>1</v>
      </c>
      <c r="AB87" s="610">
        <v>83</v>
      </c>
      <c r="AC87" s="609">
        <v>1</v>
      </c>
      <c r="AD87" s="609">
        <v>83</v>
      </c>
      <c r="AE87" s="610">
        <v>0</v>
      </c>
      <c r="AF87" s="610">
        <v>0</v>
      </c>
      <c r="AG87" s="609">
        <v>0</v>
      </c>
      <c r="AH87" s="609">
        <v>0</v>
      </c>
      <c r="AI87" s="610">
        <v>0</v>
      </c>
      <c r="AJ87" s="610">
        <v>0</v>
      </c>
      <c r="AK87" s="609">
        <v>0</v>
      </c>
      <c r="AL87" s="609">
        <v>0</v>
      </c>
      <c r="AM87" s="610">
        <v>0</v>
      </c>
      <c r="AN87" s="610">
        <v>0</v>
      </c>
      <c r="AO87" s="609">
        <v>0</v>
      </c>
      <c r="AP87" s="609">
        <v>0</v>
      </c>
      <c r="AQ87" s="622">
        <f t="shared" si="12"/>
        <v>1</v>
      </c>
      <c r="AR87" s="622">
        <f t="shared" si="13"/>
        <v>83</v>
      </c>
      <c r="AS87" s="621">
        <f t="shared" si="14"/>
        <v>1</v>
      </c>
      <c r="AT87" s="621">
        <f t="shared" si="15"/>
        <v>83</v>
      </c>
      <c r="AV87" s="620">
        <f t="shared" si="16"/>
        <v>1</v>
      </c>
      <c r="AW87" s="620">
        <f t="shared" si="17"/>
        <v>83</v>
      </c>
    </row>
    <row r="88" spans="1:49">
      <c r="A88" s="613">
        <v>84</v>
      </c>
      <c r="B88" s="612">
        <v>0</v>
      </c>
      <c r="C88" s="612">
        <v>0</v>
      </c>
      <c r="D88" s="611">
        <v>0</v>
      </c>
      <c r="E88" s="611">
        <v>0</v>
      </c>
      <c r="G88" s="612">
        <v>0</v>
      </c>
      <c r="H88" s="612">
        <v>0</v>
      </c>
      <c r="I88" s="611">
        <v>0</v>
      </c>
      <c r="J88" s="611">
        <v>0</v>
      </c>
      <c r="K88" s="612">
        <v>0</v>
      </c>
      <c r="L88" s="612">
        <v>0</v>
      </c>
      <c r="M88" s="611">
        <v>0</v>
      </c>
      <c r="N88" s="611">
        <v>0</v>
      </c>
      <c r="O88" s="612">
        <v>0</v>
      </c>
      <c r="P88" s="612">
        <v>0</v>
      </c>
      <c r="Q88" s="611">
        <v>0</v>
      </c>
      <c r="R88" s="611">
        <v>0</v>
      </c>
      <c r="S88" s="612">
        <v>0</v>
      </c>
      <c r="T88" s="612">
        <v>0</v>
      </c>
      <c r="U88" s="611">
        <v>0</v>
      </c>
      <c r="V88" s="611">
        <v>0</v>
      </c>
      <c r="W88" s="610">
        <v>0</v>
      </c>
      <c r="X88" s="610">
        <v>0</v>
      </c>
      <c r="Y88" s="609">
        <v>0</v>
      </c>
      <c r="Z88" s="609">
        <v>0</v>
      </c>
      <c r="AA88" s="610">
        <v>0</v>
      </c>
      <c r="AB88" s="610">
        <v>0</v>
      </c>
      <c r="AC88" s="609">
        <v>0</v>
      </c>
      <c r="AD88" s="609">
        <v>0</v>
      </c>
      <c r="AE88" s="610">
        <v>0</v>
      </c>
      <c r="AF88" s="610">
        <v>0</v>
      </c>
      <c r="AG88" s="609">
        <v>0</v>
      </c>
      <c r="AH88" s="609">
        <v>0</v>
      </c>
      <c r="AI88" s="610">
        <v>0</v>
      </c>
      <c r="AJ88" s="610">
        <v>0</v>
      </c>
      <c r="AK88" s="609">
        <v>0</v>
      </c>
      <c r="AL88" s="609">
        <v>0</v>
      </c>
      <c r="AM88" s="610">
        <v>0</v>
      </c>
      <c r="AN88" s="610">
        <v>0</v>
      </c>
      <c r="AO88" s="609">
        <v>0</v>
      </c>
      <c r="AP88" s="609">
        <v>0</v>
      </c>
      <c r="AQ88" s="622">
        <f t="shared" si="12"/>
        <v>0</v>
      </c>
      <c r="AR88" s="622">
        <f t="shared" si="13"/>
        <v>0</v>
      </c>
      <c r="AS88" s="621">
        <f t="shared" si="14"/>
        <v>0</v>
      </c>
      <c r="AT88" s="621">
        <f t="shared" si="15"/>
        <v>0</v>
      </c>
      <c r="AV88" s="620">
        <f t="shared" si="16"/>
        <v>0</v>
      </c>
      <c r="AW88" s="620">
        <f t="shared" si="17"/>
        <v>0</v>
      </c>
    </row>
    <row r="89" spans="1:49">
      <c r="A89" s="613">
        <v>85</v>
      </c>
      <c r="B89" s="612">
        <v>0</v>
      </c>
      <c r="C89" s="612">
        <v>0</v>
      </c>
      <c r="D89" s="611">
        <v>0</v>
      </c>
      <c r="E89" s="611">
        <v>0</v>
      </c>
      <c r="G89" s="612">
        <v>0</v>
      </c>
      <c r="H89" s="612">
        <v>0</v>
      </c>
      <c r="I89" s="611">
        <v>0</v>
      </c>
      <c r="J89" s="611">
        <v>0</v>
      </c>
      <c r="K89" s="612">
        <v>0</v>
      </c>
      <c r="L89" s="612">
        <v>0</v>
      </c>
      <c r="M89" s="611">
        <v>0</v>
      </c>
      <c r="N89" s="611">
        <v>0</v>
      </c>
      <c r="O89" s="612">
        <v>0</v>
      </c>
      <c r="P89" s="612">
        <v>0</v>
      </c>
      <c r="Q89" s="611">
        <v>0</v>
      </c>
      <c r="R89" s="611">
        <v>0</v>
      </c>
      <c r="S89" s="612">
        <v>0</v>
      </c>
      <c r="T89" s="612">
        <v>0</v>
      </c>
      <c r="U89" s="611">
        <v>0</v>
      </c>
      <c r="V89" s="611">
        <v>0</v>
      </c>
      <c r="W89" s="610">
        <v>0</v>
      </c>
      <c r="X89" s="610">
        <v>0</v>
      </c>
      <c r="Y89" s="609">
        <v>0</v>
      </c>
      <c r="Z89" s="609">
        <v>0</v>
      </c>
      <c r="AA89" s="610">
        <v>0</v>
      </c>
      <c r="AB89" s="610">
        <v>0</v>
      </c>
      <c r="AC89" s="609">
        <v>0</v>
      </c>
      <c r="AD89" s="609">
        <v>0</v>
      </c>
      <c r="AE89" s="610">
        <v>0</v>
      </c>
      <c r="AF89" s="610">
        <v>0</v>
      </c>
      <c r="AG89" s="609">
        <v>0</v>
      </c>
      <c r="AH89" s="609">
        <v>0</v>
      </c>
      <c r="AI89" s="610">
        <v>0</v>
      </c>
      <c r="AJ89" s="610">
        <v>0</v>
      </c>
      <c r="AK89" s="609">
        <v>0</v>
      </c>
      <c r="AL89" s="609">
        <v>0</v>
      </c>
      <c r="AM89" s="610">
        <v>0</v>
      </c>
      <c r="AN89" s="610">
        <v>0</v>
      </c>
      <c r="AO89" s="609">
        <v>0</v>
      </c>
      <c r="AP89" s="609">
        <v>0</v>
      </c>
      <c r="AQ89" s="622">
        <f t="shared" si="12"/>
        <v>0</v>
      </c>
      <c r="AR89" s="622">
        <f t="shared" si="13"/>
        <v>0</v>
      </c>
      <c r="AS89" s="621">
        <f t="shared" si="14"/>
        <v>0</v>
      </c>
      <c r="AT89" s="621">
        <f t="shared" si="15"/>
        <v>0</v>
      </c>
      <c r="AV89" s="620">
        <f t="shared" si="16"/>
        <v>0</v>
      </c>
      <c r="AW89" s="620">
        <f t="shared" si="17"/>
        <v>0</v>
      </c>
    </row>
    <row r="90" spans="1:49">
      <c r="A90" s="613">
        <v>86</v>
      </c>
      <c r="B90" s="612">
        <v>0</v>
      </c>
      <c r="C90" s="612">
        <v>0</v>
      </c>
      <c r="D90" s="611">
        <v>0</v>
      </c>
      <c r="E90" s="611">
        <v>0</v>
      </c>
      <c r="G90" s="612">
        <v>0</v>
      </c>
      <c r="H90" s="612">
        <v>0</v>
      </c>
      <c r="I90" s="611">
        <v>0</v>
      </c>
      <c r="J90" s="611">
        <v>0</v>
      </c>
      <c r="K90" s="612">
        <v>0</v>
      </c>
      <c r="L90" s="612">
        <v>0</v>
      </c>
      <c r="M90" s="611">
        <v>0</v>
      </c>
      <c r="N90" s="611">
        <v>0</v>
      </c>
      <c r="O90" s="612">
        <v>0</v>
      </c>
      <c r="P90" s="612">
        <v>0</v>
      </c>
      <c r="Q90" s="611">
        <v>0</v>
      </c>
      <c r="R90" s="611">
        <v>0</v>
      </c>
      <c r="S90" s="612">
        <v>0</v>
      </c>
      <c r="T90" s="612">
        <v>0</v>
      </c>
      <c r="U90" s="611">
        <v>0</v>
      </c>
      <c r="V90" s="611">
        <v>0</v>
      </c>
      <c r="W90" s="610">
        <v>0</v>
      </c>
      <c r="X90" s="610">
        <v>0</v>
      </c>
      <c r="Y90" s="609">
        <v>0</v>
      </c>
      <c r="Z90" s="609">
        <v>0</v>
      </c>
      <c r="AA90" s="610">
        <v>0</v>
      </c>
      <c r="AB90" s="610">
        <v>0</v>
      </c>
      <c r="AC90" s="609">
        <v>0</v>
      </c>
      <c r="AD90" s="609">
        <v>0</v>
      </c>
      <c r="AE90" s="610">
        <v>0</v>
      </c>
      <c r="AF90" s="610">
        <v>0</v>
      </c>
      <c r="AG90" s="609">
        <v>0</v>
      </c>
      <c r="AH90" s="609">
        <v>0</v>
      </c>
      <c r="AI90" s="610">
        <v>0</v>
      </c>
      <c r="AJ90" s="610">
        <v>0</v>
      </c>
      <c r="AK90" s="609">
        <v>0</v>
      </c>
      <c r="AL90" s="609">
        <v>0</v>
      </c>
      <c r="AM90" s="610">
        <v>0</v>
      </c>
      <c r="AN90" s="610">
        <v>0</v>
      </c>
      <c r="AO90" s="609">
        <v>0</v>
      </c>
      <c r="AP90" s="609">
        <v>0</v>
      </c>
      <c r="AQ90" s="622">
        <f t="shared" si="12"/>
        <v>0</v>
      </c>
      <c r="AR90" s="622">
        <f t="shared" si="13"/>
        <v>0</v>
      </c>
      <c r="AS90" s="621">
        <f t="shared" si="14"/>
        <v>0</v>
      </c>
      <c r="AT90" s="621">
        <f t="shared" si="15"/>
        <v>0</v>
      </c>
      <c r="AV90" s="620">
        <f t="shared" si="16"/>
        <v>0</v>
      </c>
      <c r="AW90" s="620">
        <f t="shared" si="17"/>
        <v>0</v>
      </c>
    </row>
    <row r="91" spans="1:49">
      <c r="A91" s="613">
        <v>87</v>
      </c>
      <c r="B91" s="612">
        <v>0</v>
      </c>
      <c r="C91" s="612">
        <v>0</v>
      </c>
      <c r="D91" s="611">
        <v>0</v>
      </c>
      <c r="E91" s="611">
        <v>0</v>
      </c>
      <c r="G91" s="612">
        <v>0</v>
      </c>
      <c r="H91" s="612">
        <v>0</v>
      </c>
      <c r="I91" s="611">
        <v>0</v>
      </c>
      <c r="J91" s="611">
        <v>0</v>
      </c>
      <c r="K91" s="612">
        <v>0</v>
      </c>
      <c r="L91" s="612">
        <v>0</v>
      </c>
      <c r="M91" s="611">
        <v>0</v>
      </c>
      <c r="N91" s="611">
        <v>0</v>
      </c>
      <c r="O91" s="612">
        <v>0</v>
      </c>
      <c r="P91" s="612">
        <v>0</v>
      </c>
      <c r="Q91" s="611">
        <v>0</v>
      </c>
      <c r="R91" s="611">
        <v>0</v>
      </c>
      <c r="S91" s="612">
        <v>0</v>
      </c>
      <c r="T91" s="612">
        <v>0</v>
      </c>
      <c r="U91" s="611">
        <v>0</v>
      </c>
      <c r="V91" s="611">
        <v>0</v>
      </c>
      <c r="W91" s="610">
        <v>0</v>
      </c>
      <c r="X91" s="610">
        <v>0</v>
      </c>
      <c r="Y91" s="609">
        <v>0</v>
      </c>
      <c r="Z91" s="609">
        <v>0</v>
      </c>
      <c r="AA91" s="610">
        <v>1</v>
      </c>
      <c r="AB91" s="610">
        <v>87</v>
      </c>
      <c r="AC91" s="609">
        <v>1</v>
      </c>
      <c r="AD91" s="609">
        <v>87</v>
      </c>
      <c r="AE91" s="610">
        <v>0</v>
      </c>
      <c r="AF91" s="610">
        <v>0</v>
      </c>
      <c r="AG91" s="609">
        <v>0</v>
      </c>
      <c r="AH91" s="609">
        <v>0</v>
      </c>
      <c r="AI91" s="610">
        <v>0</v>
      </c>
      <c r="AJ91" s="610">
        <v>0</v>
      </c>
      <c r="AK91" s="609">
        <v>0</v>
      </c>
      <c r="AL91" s="609">
        <v>0</v>
      </c>
      <c r="AM91" s="610">
        <v>1</v>
      </c>
      <c r="AN91" s="610">
        <v>87</v>
      </c>
      <c r="AO91" s="609">
        <v>1</v>
      </c>
      <c r="AP91" s="609">
        <v>87</v>
      </c>
      <c r="AQ91" s="622">
        <f t="shared" si="12"/>
        <v>2</v>
      </c>
      <c r="AR91" s="622">
        <f t="shared" si="13"/>
        <v>174</v>
      </c>
      <c r="AS91" s="621">
        <f t="shared" si="14"/>
        <v>2</v>
      </c>
      <c r="AT91" s="621">
        <f t="shared" si="15"/>
        <v>174</v>
      </c>
      <c r="AV91" s="620">
        <f t="shared" si="16"/>
        <v>2</v>
      </c>
      <c r="AW91" s="620">
        <f t="shared" si="17"/>
        <v>174</v>
      </c>
    </row>
    <row r="92" spans="1:49">
      <c r="A92" s="613">
        <v>88</v>
      </c>
      <c r="B92" s="612">
        <v>1</v>
      </c>
      <c r="C92" s="612">
        <v>88</v>
      </c>
      <c r="D92" s="611">
        <v>1</v>
      </c>
      <c r="E92" s="611">
        <v>88</v>
      </c>
      <c r="G92" s="612">
        <v>0</v>
      </c>
      <c r="H92" s="612">
        <v>0</v>
      </c>
      <c r="I92" s="611">
        <v>0</v>
      </c>
      <c r="J92" s="611">
        <v>0</v>
      </c>
      <c r="K92" s="612">
        <v>0</v>
      </c>
      <c r="L92" s="612">
        <v>0</v>
      </c>
      <c r="M92" s="611">
        <v>0</v>
      </c>
      <c r="N92" s="611">
        <v>0</v>
      </c>
      <c r="O92" s="612">
        <v>0</v>
      </c>
      <c r="P92" s="612">
        <v>0</v>
      </c>
      <c r="Q92" s="611">
        <v>0</v>
      </c>
      <c r="R92" s="611">
        <v>0</v>
      </c>
      <c r="S92" s="612">
        <v>0</v>
      </c>
      <c r="T92" s="612">
        <v>0</v>
      </c>
      <c r="U92" s="611">
        <v>0</v>
      </c>
      <c r="V92" s="611">
        <v>0</v>
      </c>
      <c r="W92" s="610">
        <v>0</v>
      </c>
      <c r="X92" s="610">
        <v>0</v>
      </c>
      <c r="Y92" s="609">
        <v>0</v>
      </c>
      <c r="Z92" s="609">
        <v>0</v>
      </c>
      <c r="AA92" s="610">
        <v>0</v>
      </c>
      <c r="AB92" s="610">
        <v>0</v>
      </c>
      <c r="AC92" s="609">
        <v>0</v>
      </c>
      <c r="AD92" s="609">
        <v>0</v>
      </c>
      <c r="AE92" s="610">
        <v>0</v>
      </c>
      <c r="AF92" s="610">
        <v>0</v>
      </c>
      <c r="AG92" s="609">
        <v>0</v>
      </c>
      <c r="AH92" s="609">
        <v>0</v>
      </c>
      <c r="AI92" s="610">
        <v>0</v>
      </c>
      <c r="AJ92" s="610">
        <v>0</v>
      </c>
      <c r="AK92" s="609">
        <v>0</v>
      </c>
      <c r="AL92" s="609">
        <v>0</v>
      </c>
      <c r="AM92" s="610">
        <v>0</v>
      </c>
      <c r="AN92" s="610">
        <v>0</v>
      </c>
      <c r="AO92" s="609">
        <v>0</v>
      </c>
      <c r="AP92" s="609">
        <v>0</v>
      </c>
      <c r="AQ92" s="622">
        <f t="shared" si="12"/>
        <v>1</v>
      </c>
      <c r="AR92" s="622">
        <f t="shared" si="13"/>
        <v>88</v>
      </c>
      <c r="AS92" s="621">
        <f t="shared" si="14"/>
        <v>1</v>
      </c>
      <c r="AT92" s="621">
        <f t="shared" si="15"/>
        <v>88</v>
      </c>
      <c r="AV92" s="620">
        <f t="shared" si="16"/>
        <v>1</v>
      </c>
      <c r="AW92" s="620">
        <f t="shared" si="17"/>
        <v>88</v>
      </c>
    </row>
    <row r="93" spans="1:49">
      <c r="A93" s="613">
        <v>89</v>
      </c>
      <c r="B93" s="612">
        <v>0</v>
      </c>
      <c r="C93" s="612">
        <v>0</v>
      </c>
      <c r="D93" s="611">
        <v>0</v>
      </c>
      <c r="E93" s="611">
        <v>0</v>
      </c>
      <c r="G93" s="612">
        <v>0</v>
      </c>
      <c r="H93" s="612">
        <v>0</v>
      </c>
      <c r="I93" s="611">
        <v>0</v>
      </c>
      <c r="J93" s="611">
        <v>0</v>
      </c>
      <c r="K93" s="612">
        <v>0</v>
      </c>
      <c r="L93" s="612">
        <v>0</v>
      </c>
      <c r="M93" s="611">
        <v>0</v>
      </c>
      <c r="N93" s="611">
        <v>0</v>
      </c>
      <c r="O93" s="612">
        <v>0</v>
      </c>
      <c r="P93" s="612">
        <v>0</v>
      </c>
      <c r="Q93" s="611">
        <v>0</v>
      </c>
      <c r="R93" s="611">
        <v>0</v>
      </c>
      <c r="S93" s="612">
        <v>0</v>
      </c>
      <c r="T93" s="612">
        <v>0</v>
      </c>
      <c r="U93" s="611">
        <v>0</v>
      </c>
      <c r="V93" s="611">
        <v>0</v>
      </c>
      <c r="W93" s="610">
        <v>0</v>
      </c>
      <c r="X93" s="610">
        <v>0</v>
      </c>
      <c r="Y93" s="609">
        <v>0</v>
      </c>
      <c r="Z93" s="609">
        <v>0</v>
      </c>
      <c r="AA93" s="610">
        <v>0</v>
      </c>
      <c r="AB93" s="610">
        <v>0</v>
      </c>
      <c r="AC93" s="609">
        <v>0</v>
      </c>
      <c r="AD93" s="609">
        <v>0</v>
      </c>
      <c r="AE93" s="610">
        <v>0</v>
      </c>
      <c r="AF93" s="610">
        <v>0</v>
      </c>
      <c r="AG93" s="609">
        <v>0</v>
      </c>
      <c r="AH93" s="609">
        <v>0</v>
      </c>
      <c r="AI93" s="610">
        <v>0</v>
      </c>
      <c r="AJ93" s="610">
        <v>0</v>
      </c>
      <c r="AK93" s="609">
        <v>0</v>
      </c>
      <c r="AL93" s="609">
        <v>0</v>
      </c>
      <c r="AM93" s="610">
        <v>0</v>
      </c>
      <c r="AN93" s="610">
        <v>0</v>
      </c>
      <c r="AO93" s="609">
        <v>0</v>
      </c>
      <c r="AP93" s="609">
        <v>0</v>
      </c>
      <c r="AQ93" s="622">
        <f t="shared" si="12"/>
        <v>0</v>
      </c>
      <c r="AR93" s="622">
        <f t="shared" si="13"/>
        <v>0</v>
      </c>
      <c r="AS93" s="621">
        <f t="shared" si="14"/>
        <v>0</v>
      </c>
      <c r="AT93" s="621">
        <f t="shared" si="15"/>
        <v>0</v>
      </c>
      <c r="AV93" s="620">
        <f t="shared" si="16"/>
        <v>0</v>
      </c>
      <c r="AW93" s="620">
        <f t="shared" si="17"/>
        <v>0</v>
      </c>
    </row>
    <row r="94" spans="1:49">
      <c r="A94" s="613">
        <v>90</v>
      </c>
      <c r="B94" s="612">
        <v>0</v>
      </c>
      <c r="C94" s="612">
        <v>0</v>
      </c>
      <c r="D94" s="611">
        <v>0</v>
      </c>
      <c r="E94" s="611">
        <v>0</v>
      </c>
      <c r="G94" s="612">
        <v>0</v>
      </c>
      <c r="H94" s="612">
        <v>0</v>
      </c>
      <c r="I94" s="611">
        <v>0</v>
      </c>
      <c r="J94" s="611">
        <v>0</v>
      </c>
      <c r="K94" s="612">
        <v>0</v>
      </c>
      <c r="L94" s="612">
        <v>0</v>
      </c>
      <c r="M94" s="611">
        <v>0</v>
      </c>
      <c r="N94" s="611">
        <v>0</v>
      </c>
      <c r="O94" s="612">
        <v>1</v>
      </c>
      <c r="P94" s="612">
        <v>90</v>
      </c>
      <c r="Q94" s="611">
        <v>1</v>
      </c>
      <c r="R94" s="611">
        <v>90</v>
      </c>
      <c r="S94" s="612">
        <v>0</v>
      </c>
      <c r="T94" s="612">
        <v>0</v>
      </c>
      <c r="U94" s="611">
        <v>0</v>
      </c>
      <c r="V94" s="611">
        <v>0</v>
      </c>
      <c r="W94" s="610">
        <v>0</v>
      </c>
      <c r="X94" s="610">
        <v>0</v>
      </c>
      <c r="Y94" s="609">
        <v>0</v>
      </c>
      <c r="Z94" s="609">
        <v>0</v>
      </c>
      <c r="AA94" s="610">
        <v>0</v>
      </c>
      <c r="AB94" s="610">
        <v>0</v>
      </c>
      <c r="AC94" s="609">
        <v>0</v>
      </c>
      <c r="AD94" s="609">
        <v>0</v>
      </c>
      <c r="AE94" s="610">
        <v>0</v>
      </c>
      <c r="AF94" s="610">
        <v>0</v>
      </c>
      <c r="AG94" s="609">
        <v>0</v>
      </c>
      <c r="AH94" s="609">
        <v>0</v>
      </c>
      <c r="AI94" s="610">
        <v>0</v>
      </c>
      <c r="AJ94" s="610">
        <v>0</v>
      </c>
      <c r="AK94" s="609">
        <v>0</v>
      </c>
      <c r="AL94" s="609">
        <v>0</v>
      </c>
      <c r="AM94" s="610">
        <v>0</v>
      </c>
      <c r="AN94" s="610">
        <v>0</v>
      </c>
      <c r="AO94" s="609">
        <v>0</v>
      </c>
      <c r="AP94" s="609">
        <v>0</v>
      </c>
      <c r="AQ94" s="622">
        <f t="shared" si="12"/>
        <v>1</v>
      </c>
      <c r="AR94" s="622">
        <f t="shared" si="13"/>
        <v>90</v>
      </c>
      <c r="AS94" s="621">
        <f t="shared" si="14"/>
        <v>1</v>
      </c>
      <c r="AT94" s="621">
        <f t="shared" si="15"/>
        <v>90</v>
      </c>
      <c r="AV94" s="620">
        <f t="shared" si="16"/>
        <v>1</v>
      </c>
      <c r="AW94" s="620">
        <f t="shared" si="17"/>
        <v>90</v>
      </c>
    </row>
    <row r="95" spans="1:49">
      <c r="A95" s="613">
        <v>91</v>
      </c>
      <c r="B95" s="612">
        <v>0</v>
      </c>
      <c r="C95" s="612">
        <v>0</v>
      </c>
      <c r="D95" s="611">
        <v>0</v>
      </c>
      <c r="E95" s="611">
        <v>0</v>
      </c>
      <c r="G95" s="612">
        <v>0</v>
      </c>
      <c r="H95" s="612">
        <v>0</v>
      </c>
      <c r="I95" s="611">
        <v>0</v>
      </c>
      <c r="J95" s="611">
        <v>0</v>
      </c>
      <c r="K95" s="612">
        <v>0</v>
      </c>
      <c r="L95" s="612">
        <v>0</v>
      </c>
      <c r="M95" s="611">
        <v>0</v>
      </c>
      <c r="N95" s="611">
        <v>0</v>
      </c>
      <c r="O95" s="612">
        <v>0</v>
      </c>
      <c r="P95" s="612">
        <v>0</v>
      </c>
      <c r="Q95" s="611">
        <v>0</v>
      </c>
      <c r="R95" s="611">
        <v>0</v>
      </c>
      <c r="S95" s="612">
        <v>0</v>
      </c>
      <c r="T95" s="612">
        <v>0</v>
      </c>
      <c r="U95" s="611">
        <v>0</v>
      </c>
      <c r="V95" s="611">
        <v>0</v>
      </c>
      <c r="W95" s="610">
        <v>0</v>
      </c>
      <c r="X95" s="610">
        <v>0</v>
      </c>
      <c r="Y95" s="609">
        <v>0</v>
      </c>
      <c r="Z95" s="609">
        <v>0</v>
      </c>
      <c r="AA95" s="610">
        <v>0</v>
      </c>
      <c r="AB95" s="610">
        <v>0</v>
      </c>
      <c r="AC95" s="609">
        <v>0</v>
      </c>
      <c r="AD95" s="609">
        <v>0</v>
      </c>
      <c r="AE95" s="610">
        <v>0</v>
      </c>
      <c r="AF95" s="610">
        <v>0</v>
      </c>
      <c r="AG95" s="609">
        <v>0</v>
      </c>
      <c r="AH95" s="609">
        <v>0</v>
      </c>
      <c r="AI95" s="610">
        <v>0</v>
      </c>
      <c r="AJ95" s="610">
        <v>0</v>
      </c>
      <c r="AK95" s="609">
        <v>0</v>
      </c>
      <c r="AL95" s="609">
        <v>0</v>
      </c>
      <c r="AM95" s="610">
        <v>1</v>
      </c>
      <c r="AN95" s="610">
        <v>91</v>
      </c>
      <c r="AO95" s="609">
        <v>1</v>
      </c>
      <c r="AP95" s="609">
        <v>91</v>
      </c>
      <c r="AQ95" s="622">
        <f t="shared" si="12"/>
        <v>1</v>
      </c>
      <c r="AR95" s="622">
        <f t="shared" si="13"/>
        <v>91</v>
      </c>
      <c r="AS95" s="621">
        <f t="shared" si="14"/>
        <v>1</v>
      </c>
      <c r="AT95" s="621">
        <f t="shared" si="15"/>
        <v>91</v>
      </c>
      <c r="AV95" s="620">
        <f t="shared" si="16"/>
        <v>1</v>
      </c>
      <c r="AW95" s="620">
        <f t="shared" si="17"/>
        <v>91</v>
      </c>
    </row>
    <row r="96" spans="1:49">
      <c r="A96" s="613">
        <v>92</v>
      </c>
      <c r="B96" s="612">
        <v>0</v>
      </c>
      <c r="C96" s="612">
        <v>0</v>
      </c>
      <c r="D96" s="611">
        <v>0</v>
      </c>
      <c r="E96" s="611">
        <v>0</v>
      </c>
      <c r="G96" s="612">
        <v>0</v>
      </c>
      <c r="H96" s="612">
        <v>0</v>
      </c>
      <c r="I96" s="611">
        <v>0</v>
      </c>
      <c r="J96" s="611">
        <v>0</v>
      </c>
      <c r="K96" s="612">
        <v>0</v>
      </c>
      <c r="L96" s="612">
        <v>0</v>
      </c>
      <c r="M96" s="611">
        <v>0</v>
      </c>
      <c r="N96" s="611">
        <v>0</v>
      </c>
      <c r="O96" s="612">
        <v>0</v>
      </c>
      <c r="P96" s="612">
        <v>0</v>
      </c>
      <c r="Q96" s="611">
        <v>0</v>
      </c>
      <c r="R96" s="611">
        <v>0</v>
      </c>
      <c r="S96" s="612">
        <v>0</v>
      </c>
      <c r="T96" s="612">
        <v>0</v>
      </c>
      <c r="U96" s="611">
        <v>0</v>
      </c>
      <c r="V96" s="611">
        <v>0</v>
      </c>
      <c r="W96" s="610">
        <v>0</v>
      </c>
      <c r="X96" s="610">
        <v>0</v>
      </c>
      <c r="Y96" s="609">
        <v>0</v>
      </c>
      <c r="Z96" s="609">
        <v>0</v>
      </c>
      <c r="AA96" s="610">
        <v>0</v>
      </c>
      <c r="AB96" s="610">
        <v>0</v>
      </c>
      <c r="AC96" s="609">
        <v>0</v>
      </c>
      <c r="AD96" s="609">
        <v>0</v>
      </c>
      <c r="AE96" s="610">
        <v>0</v>
      </c>
      <c r="AF96" s="610">
        <v>0</v>
      </c>
      <c r="AG96" s="609">
        <v>0</v>
      </c>
      <c r="AH96" s="609">
        <v>0</v>
      </c>
      <c r="AI96" s="610">
        <v>0</v>
      </c>
      <c r="AJ96" s="610">
        <v>0</v>
      </c>
      <c r="AK96" s="609">
        <v>0</v>
      </c>
      <c r="AL96" s="609">
        <v>0</v>
      </c>
      <c r="AM96" s="610">
        <v>0</v>
      </c>
      <c r="AN96" s="610">
        <v>0</v>
      </c>
      <c r="AO96" s="609">
        <v>0</v>
      </c>
      <c r="AP96" s="609">
        <v>0</v>
      </c>
      <c r="AQ96" s="622">
        <f t="shared" si="12"/>
        <v>0</v>
      </c>
      <c r="AR96" s="622">
        <f t="shared" si="13"/>
        <v>0</v>
      </c>
      <c r="AS96" s="621">
        <f t="shared" si="14"/>
        <v>0</v>
      </c>
      <c r="AT96" s="621">
        <f t="shared" si="15"/>
        <v>0</v>
      </c>
      <c r="AV96" s="620">
        <f t="shared" si="16"/>
        <v>0</v>
      </c>
      <c r="AW96" s="620">
        <f t="shared" si="17"/>
        <v>0</v>
      </c>
    </row>
    <row r="97" spans="1:50">
      <c r="A97" s="613">
        <v>93</v>
      </c>
      <c r="B97" s="612">
        <v>0</v>
      </c>
      <c r="C97" s="612">
        <v>0</v>
      </c>
      <c r="D97" s="611">
        <v>0</v>
      </c>
      <c r="E97" s="611">
        <v>0</v>
      </c>
      <c r="G97" s="612">
        <v>0</v>
      </c>
      <c r="H97" s="612">
        <v>0</v>
      </c>
      <c r="I97" s="611">
        <v>0</v>
      </c>
      <c r="J97" s="611">
        <v>0</v>
      </c>
      <c r="K97" s="612">
        <v>0</v>
      </c>
      <c r="L97" s="612">
        <v>0</v>
      </c>
      <c r="M97" s="611">
        <v>0</v>
      </c>
      <c r="N97" s="611">
        <v>0</v>
      </c>
      <c r="O97" s="612">
        <v>0</v>
      </c>
      <c r="P97" s="612">
        <v>0</v>
      </c>
      <c r="Q97" s="611">
        <v>0</v>
      </c>
      <c r="R97" s="611">
        <v>0</v>
      </c>
      <c r="S97" s="612">
        <v>0</v>
      </c>
      <c r="T97" s="612">
        <v>0</v>
      </c>
      <c r="U97" s="611">
        <v>0</v>
      </c>
      <c r="V97" s="611">
        <v>0</v>
      </c>
      <c r="W97" s="610">
        <v>0</v>
      </c>
      <c r="X97" s="610">
        <v>0</v>
      </c>
      <c r="Y97" s="609">
        <v>0</v>
      </c>
      <c r="Z97" s="609">
        <v>0</v>
      </c>
      <c r="AA97" s="610">
        <v>1</v>
      </c>
      <c r="AB97" s="610">
        <v>93</v>
      </c>
      <c r="AC97" s="609">
        <v>1</v>
      </c>
      <c r="AD97" s="609">
        <v>93</v>
      </c>
      <c r="AE97" s="610">
        <v>0</v>
      </c>
      <c r="AF97" s="610">
        <v>0</v>
      </c>
      <c r="AG97" s="609">
        <v>0</v>
      </c>
      <c r="AH97" s="609">
        <v>0</v>
      </c>
      <c r="AI97" s="610">
        <v>0</v>
      </c>
      <c r="AJ97" s="610">
        <v>0</v>
      </c>
      <c r="AK97" s="609">
        <v>0</v>
      </c>
      <c r="AL97" s="609">
        <v>0</v>
      </c>
      <c r="AM97" s="610">
        <v>0</v>
      </c>
      <c r="AN97" s="610">
        <v>0</v>
      </c>
      <c r="AO97" s="609">
        <v>0</v>
      </c>
      <c r="AP97" s="609">
        <v>0</v>
      </c>
      <c r="AQ97" s="622">
        <f t="shared" si="12"/>
        <v>1</v>
      </c>
      <c r="AR97" s="622">
        <f t="shared" si="13"/>
        <v>93</v>
      </c>
      <c r="AS97" s="621">
        <f t="shared" si="14"/>
        <v>1</v>
      </c>
      <c r="AT97" s="621">
        <f t="shared" si="15"/>
        <v>93</v>
      </c>
      <c r="AV97" s="620">
        <f t="shared" si="16"/>
        <v>1</v>
      </c>
      <c r="AW97" s="620">
        <f t="shared" si="17"/>
        <v>93</v>
      </c>
    </row>
    <row r="98" spans="1:50">
      <c r="A98" s="613">
        <v>94</v>
      </c>
      <c r="B98" s="612">
        <v>0</v>
      </c>
      <c r="C98" s="612">
        <v>0</v>
      </c>
      <c r="D98" s="611">
        <v>0</v>
      </c>
      <c r="E98" s="611">
        <v>0</v>
      </c>
      <c r="G98" s="612">
        <v>0</v>
      </c>
      <c r="H98" s="612">
        <v>0</v>
      </c>
      <c r="I98" s="611">
        <v>0</v>
      </c>
      <c r="J98" s="611">
        <v>0</v>
      </c>
      <c r="K98" s="612">
        <v>0</v>
      </c>
      <c r="L98" s="612">
        <v>0</v>
      </c>
      <c r="M98" s="611">
        <v>0</v>
      </c>
      <c r="N98" s="611">
        <v>0</v>
      </c>
      <c r="O98" s="612">
        <v>0</v>
      </c>
      <c r="P98" s="612">
        <v>0</v>
      </c>
      <c r="Q98" s="611">
        <v>0</v>
      </c>
      <c r="R98" s="611">
        <v>0</v>
      </c>
      <c r="S98" s="612">
        <v>0</v>
      </c>
      <c r="T98" s="612">
        <v>0</v>
      </c>
      <c r="U98" s="611">
        <v>0</v>
      </c>
      <c r="V98" s="611">
        <v>0</v>
      </c>
      <c r="W98" s="610">
        <v>0</v>
      </c>
      <c r="X98" s="610">
        <v>0</v>
      </c>
      <c r="Y98" s="609">
        <v>0</v>
      </c>
      <c r="Z98" s="609">
        <v>0</v>
      </c>
      <c r="AA98" s="610">
        <v>0</v>
      </c>
      <c r="AB98" s="610">
        <v>0</v>
      </c>
      <c r="AC98" s="609">
        <v>0</v>
      </c>
      <c r="AD98" s="609">
        <v>0</v>
      </c>
      <c r="AE98" s="610">
        <v>0</v>
      </c>
      <c r="AF98" s="610">
        <v>0</v>
      </c>
      <c r="AG98" s="609">
        <v>0</v>
      </c>
      <c r="AH98" s="609">
        <v>0</v>
      </c>
      <c r="AI98" s="610">
        <v>0</v>
      </c>
      <c r="AJ98" s="610">
        <v>0</v>
      </c>
      <c r="AK98" s="609">
        <v>0</v>
      </c>
      <c r="AL98" s="609">
        <v>0</v>
      </c>
      <c r="AM98" s="610">
        <v>0</v>
      </c>
      <c r="AN98" s="610">
        <v>0</v>
      </c>
      <c r="AO98" s="609">
        <v>0</v>
      </c>
      <c r="AP98" s="609">
        <v>0</v>
      </c>
      <c r="AQ98" s="622">
        <f t="shared" si="12"/>
        <v>0</v>
      </c>
      <c r="AR98" s="622">
        <f t="shared" si="13"/>
        <v>0</v>
      </c>
      <c r="AS98" s="621">
        <f t="shared" si="14"/>
        <v>0</v>
      </c>
      <c r="AT98" s="621">
        <f t="shared" si="15"/>
        <v>0</v>
      </c>
      <c r="AV98" s="620">
        <f t="shared" si="16"/>
        <v>0</v>
      </c>
      <c r="AW98" s="620">
        <f t="shared" si="17"/>
        <v>0</v>
      </c>
    </row>
    <row r="99" spans="1:50">
      <c r="A99" s="613">
        <v>95</v>
      </c>
      <c r="B99" s="612">
        <v>0</v>
      </c>
      <c r="C99" s="612">
        <v>0</v>
      </c>
      <c r="D99" s="611">
        <v>0</v>
      </c>
      <c r="E99" s="611">
        <v>0</v>
      </c>
      <c r="G99" s="612">
        <v>0</v>
      </c>
      <c r="H99" s="612">
        <v>0</v>
      </c>
      <c r="I99" s="611">
        <v>0</v>
      </c>
      <c r="J99" s="611">
        <v>0</v>
      </c>
      <c r="K99" s="612">
        <v>0</v>
      </c>
      <c r="L99" s="612">
        <v>0</v>
      </c>
      <c r="M99" s="611">
        <v>0</v>
      </c>
      <c r="N99" s="611">
        <v>0</v>
      </c>
      <c r="O99" s="612">
        <v>0</v>
      </c>
      <c r="P99" s="612">
        <v>0</v>
      </c>
      <c r="Q99" s="611">
        <v>0</v>
      </c>
      <c r="R99" s="611">
        <v>0</v>
      </c>
      <c r="S99" s="612">
        <v>0</v>
      </c>
      <c r="T99" s="612">
        <v>0</v>
      </c>
      <c r="U99" s="611">
        <v>0</v>
      </c>
      <c r="V99" s="611">
        <v>0</v>
      </c>
      <c r="W99" s="610">
        <v>0</v>
      </c>
      <c r="X99" s="610">
        <v>0</v>
      </c>
      <c r="Y99" s="609">
        <v>0</v>
      </c>
      <c r="Z99" s="609">
        <v>0</v>
      </c>
      <c r="AA99" s="610">
        <v>0</v>
      </c>
      <c r="AB99" s="610">
        <v>0</v>
      </c>
      <c r="AC99" s="609">
        <v>0</v>
      </c>
      <c r="AD99" s="609">
        <v>0</v>
      </c>
      <c r="AE99" s="610">
        <v>0</v>
      </c>
      <c r="AF99" s="610">
        <v>0</v>
      </c>
      <c r="AG99" s="609">
        <v>0</v>
      </c>
      <c r="AH99" s="609">
        <v>0</v>
      </c>
      <c r="AI99" s="610">
        <v>0</v>
      </c>
      <c r="AJ99" s="610">
        <v>0</v>
      </c>
      <c r="AK99" s="609">
        <v>0</v>
      </c>
      <c r="AL99" s="609">
        <v>0</v>
      </c>
      <c r="AM99" s="610">
        <v>0</v>
      </c>
      <c r="AN99" s="610">
        <v>0</v>
      </c>
      <c r="AO99" s="609">
        <v>0</v>
      </c>
      <c r="AP99" s="609">
        <v>0</v>
      </c>
      <c r="AQ99" s="622">
        <f t="shared" si="12"/>
        <v>0</v>
      </c>
      <c r="AR99" s="622">
        <f t="shared" si="13"/>
        <v>0</v>
      </c>
      <c r="AS99" s="621">
        <f t="shared" si="14"/>
        <v>0</v>
      </c>
      <c r="AT99" s="621">
        <f t="shared" si="15"/>
        <v>0</v>
      </c>
      <c r="AV99" s="620">
        <f t="shared" si="16"/>
        <v>0</v>
      </c>
      <c r="AW99" s="620">
        <f t="shared" si="17"/>
        <v>0</v>
      </c>
    </row>
    <row r="100" spans="1:50">
      <c r="A100" s="613">
        <v>96</v>
      </c>
      <c r="B100" s="612">
        <v>0</v>
      </c>
      <c r="C100" s="612">
        <v>0</v>
      </c>
      <c r="D100" s="611">
        <v>0</v>
      </c>
      <c r="E100" s="611">
        <v>0</v>
      </c>
      <c r="G100" s="612">
        <v>0</v>
      </c>
      <c r="H100" s="612">
        <v>0</v>
      </c>
      <c r="I100" s="611">
        <v>0</v>
      </c>
      <c r="J100" s="611">
        <v>0</v>
      </c>
      <c r="K100" s="612">
        <v>0</v>
      </c>
      <c r="L100" s="612">
        <v>0</v>
      </c>
      <c r="M100" s="611">
        <v>0</v>
      </c>
      <c r="N100" s="611">
        <v>0</v>
      </c>
      <c r="O100" s="612">
        <v>0</v>
      </c>
      <c r="P100" s="612">
        <v>0</v>
      </c>
      <c r="Q100" s="611">
        <v>0</v>
      </c>
      <c r="R100" s="611">
        <v>0</v>
      </c>
      <c r="S100" s="612">
        <v>0</v>
      </c>
      <c r="T100" s="612">
        <v>0</v>
      </c>
      <c r="U100" s="611">
        <v>0</v>
      </c>
      <c r="V100" s="611">
        <v>0</v>
      </c>
      <c r="W100" s="610">
        <v>0</v>
      </c>
      <c r="X100" s="610">
        <v>0</v>
      </c>
      <c r="Y100" s="609">
        <v>0</v>
      </c>
      <c r="Z100" s="609">
        <v>0</v>
      </c>
      <c r="AA100" s="610">
        <v>0</v>
      </c>
      <c r="AB100" s="610">
        <v>0</v>
      </c>
      <c r="AC100" s="609">
        <v>0</v>
      </c>
      <c r="AD100" s="609">
        <v>0</v>
      </c>
      <c r="AE100" s="610">
        <v>0</v>
      </c>
      <c r="AF100" s="610">
        <v>0</v>
      </c>
      <c r="AG100" s="609">
        <v>0</v>
      </c>
      <c r="AH100" s="609">
        <v>0</v>
      </c>
      <c r="AI100" s="610">
        <v>0</v>
      </c>
      <c r="AJ100" s="610">
        <v>0</v>
      </c>
      <c r="AK100" s="609">
        <v>0</v>
      </c>
      <c r="AL100" s="609">
        <v>0</v>
      </c>
      <c r="AM100" s="610">
        <v>0</v>
      </c>
      <c r="AN100" s="610">
        <v>0</v>
      </c>
      <c r="AO100" s="609">
        <v>0</v>
      </c>
      <c r="AP100" s="609">
        <v>0</v>
      </c>
      <c r="AQ100" s="622">
        <f t="shared" ref="AQ100:AQ109" si="18">AM100+AI100+AE100+AA100+W100+S100+O100+K100+G100+B100</f>
        <v>0</v>
      </c>
      <c r="AR100" s="622">
        <f t="shared" ref="AR100:AR109" si="19">AN100+AJ100+AF100+AB100+X100+T100+P100+L100+H100+C100</f>
        <v>0</v>
      </c>
      <c r="AS100" s="621">
        <f t="shared" ref="AS100:AS109" si="20">AO100+AK100+AG100+AC100+Y100+U100+Q100+M100+I100+D100</f>
        <v>0</v>
      </c>
      <c r="AT100" s="621">
        <f t="shared" ref="AT100:AT109" si="21">AP100+AL100+AH100+AD100+Z100+V100+R100+N100+J100+E100</f>
        <v>0</v>
      </c>
      <c r="AV100" s="620">
        <f t="shared" ref="AV100:AV109" si="22">D100+I100+M100+Q100+U100+Y100+AC100+AG100+AK100+AO100</f>
        <v>0</v>
      </c>
      <c r="AW100" s="620">
        <f t="shared" ref="AW100:AW109" si="23">E100+J100+N100+R100+V100+Z100+AD100+AH100+AL100+AP100</f>
        <v>0</v>
      </c>
    </row>
    <row r="101" spans="1:50">
      <c r="A101" s="613">
        <v>97</v>
      </c>
      <c r="B101" s="612">
        <v>0</v>
      </c>
      <c r="C101" s="612">
        <v>0</v>
      </c>
      <c r="D101" s="611">
        <v>0</v>
      </c>
      <c r="E101" s="611">
        <v>0</v>
      </c>
      <c r="G101" s="612">
        <v>0</v>
      </c>
      <c r="H101" s="612">
        <v>0</v>
      </c>
      <c r="I101" s="611">
        <v>0</v>
      </c>
      <c r="J101" s="611">
        <v>0</v>
      </c>
      <c r="K101" s="612">
        <v>0</v>
      </c>
      <c r="L101" s="612">
        <v>0</v>
      </c>
      <c r="M101" s="611">
        <v>0</v>
      </c>
      <c r="N101" s="611">
        <v>0</v>
      </c>
      <c r="O101" s="612">
        <v>0</v>
      </c>
      <c r="P101" s="612">
        <v>0</v>
      </c>
      <c r="Q101" s="611">
        <v>0</v>
      </c>
      <c r="R101" s="611">
        <v>0</v>
      </c>
      <c r="S101" s="612">
        <v>0</v>
      </c>
      <c r="T101" s="612">
        <v>0</v>
      </c>
      <c r="U101" s="611">
        <v>0</v>
      </c>
      <c r="V101" s="611">
        <v>0</v>
      </c>
      <c r="W101" s="610">
        <v>0</v>
      </c>
      <c r="X101" s="610">
        <v>0</v>
      </c>
      <c r="Y101" s="609">
        <v>0</v>
      </c>
      <c r="Z101" s="609">
        <v>0</v>
      </c>
      <c r="AA101" s="610">
        <v>0</v>
      </c>
      <c r="AB101" s="610">
        <v>0</v>
      </c>
      <c r="AC101" s="609">
        <v>0</v>
      </c>
      <c r="AD101" s="609">
        <v>0</v>
      </c>
      <c r="AE101" s="610">
        <v>0</v>
      </c>
      <c r="AF101" s="610">
        <v>0</v>
      </c>
      <c r="AG101" s="609">
        <v>0</v>
      </c>
      <c r="AH101" s="609">
        <v>0</v>
      </c>
      <c r="AI101" s="610">
        <v>0</v>
      </c>
      <c r="AJ101" s="610">
        <v>0</v>
      </c>
      <c r="AK101" s="609">
        <v>0</v>
      </c>
      <c r="AL101" s="609">
        <v>0</v>
      </c>
      <c r="AM101" s="610">
        <v>0</v>
      </c>
      <c r="AN101" s="610">
        <v>0</v>
      </c>
      <c r="AO101" s="609">
        <v>0</v>
      </c>
      <c r="AP101" s="609">
        <v>0</v>
      </c>
      <c r="AQ101" s="622">
        <f t="shared" si="18"/>
        <v>0</v>
      </c>
      <c r="AR101" s="622">
        <f t="shared" si="19"/>
        <v>0</v>
      </c>
      <c r="AS101" s="621">
        <f t="shared" si="20"/>
        <v>0</v>
      </c>
      <c r="AT101" s="621">
        <f t="shared" si="21"/>
        <v>0</v>
      </c>
      <c r="AV101" s="620">
        <f t="shared" si="22"/>
        <v>0</v>
      </c>
      <c r="AW101" s="620">
        <f t="shared" si="23"/>
        <v>0</v>
      </c>
    </row>
    <row r="102" spans="1:50">
      <c r="A102" s="613">
        <v>98</v>
      </c>
      <c r="B102" s="612">
        <v>0</v>
      </c>
      <c r="C102" s="612">
        <v>0</v>
      </c>
      <c r="D102" s="611">
        <v>0</v>
      </c>
      <c r="E102" s="611">
        <v>0</v>
      </c>
      <c r="G102" s="612">
        <v>0</v>
      </c>
      <c r="H102" s="612">
        <v>0</v>
      </c>
      <c r="I102" s="611">
        <v>0</v>
      </c>
      <c r="J102" s="611">
        <v>0</v>
      </c>
      <c r="K102" s="612">
        <v>0</v>
      </c>
      <c r="L102" s="612">
        <v>0</v>
      </c>
      <c r="M102" s="611">
        <v>0</v>
      </c>
      <c r="N102" s="611">
        <v>0</v>
      </c>
      <c r="O102" s="612">
        <v>0</v>
      </c>
      <c r="P102" s="612">
        <v>0</v>
      </c>
      <c r="Q102" s="611">
        <v>0</v>
      </c>
      <c r="R102" s="611">
        <v>0</v>
      </c>
      <c r="S102" s="612">
        <v>0</v>
      </c>
      <c r="T102" s="612">
        <v>0</v>
      </c>
      <c r="U102" s="611">
        <v>0</v>
      </c>
      <c r="V102" s="611">
        <v>0</v>
      </c>
      <c r="W102" s="610">
        <v>0</v>
      </c>
      <c r="X102" s="610">
        <v>0</v>
      </c>
      <c r="Y102" s="609">
        <v>0</v>
      </c>
      <c r="Z102" s="609">
        <v>0</v>
      </c>
      <c r="AA102" s="610">
        <v>0</v>
      </c>
      <c r="AB102" s="610">
        <v>0</v>
      </c>
      <c r="AC102" s="609">
        <v>0</v>
      </c>
      <c r="AD102" s="609">
        <v>0</v>
      </c>
      <c r="AE102" s="610">
        <v>0</v>
      </c>
      <c r="AF102" s="610">
        <v>0</v>
      </c>
      <c r="AG102" s="609">
        <v>0</v>
      </c>
      <c r="AH102" s="609">
        <v>0</v>
      </c>
      <c r="AI102" s="610">
        <v>0</v>
      </c>
      <c r="AJ102" s="610">
        <v>0</v>
      </c>
      <c r="AK102" s="609">
        <v>0</v>
      </c>
      <c r="AL102" s="609">
        <v>0</v>
      </c>
      <c r="AM102" s="610">
        <v>0</v>
      </c>
      <c r="AN102" s="610">
        <v>0</v>
      </c>
      <c r="AO102" s="609">
        <v>0</v>
      </c>
      <c r="AP102" s="609">
        <v>0</v>
      </c>
      <c r="AQ102" s="622">
        <f t="shared" si="18"/>
        <v>0</v>
      </c>
      <c r="AR102" s="622">
        <f t="shared" si="19"/>
        <v>0</v>
      </c>
      <c r="AS102" s="621">
        <f t="shared" si="20"/>
        <v>0</v>
      </c>
      <c r="AT102" s="621">
        <f t="shared" si="21"/>
        <v>0</v>
      </c>
      <c r="AV102" s="620">
        <f t="shared" si="22"/>
        <v>0</v>
      </c>
      <c r="AW102" s="620">
        <f t="shared" si="23"/>
        <v>0</v>
      </c>
    </row>
    <row r="103" spans="1:50">
      <c r="A103" s="613">
        <v>99</v>
      </c>
      <c r="B103" s="612">
        <v>0</v>
      </c>
      <c r="C103" s="612">
        <v>0</v>
      </c>
      <c r="D103" s="611">
        <v>0</v>
      </c>
      <c r="E103" s="611">
        <v>0</v>
      </c>
      <c r="G103" s="612">
        <v>0</v>
      </c>
      <c r="H103" s="612">
        <v>0</v>
      </c>
      <c r="I103" s="611">
        <v>0</v>
      </c>
      <c r="J103" s="611">
        <v>0</v>
      </c>
      <c r="K103" s="612">
        <v>0</v>
      </c>
      <c r="L103" s="612">
        <v>0</v>
      </c>
      <c r="M103" s="611">
        <v>0</v>
      </c>
      <c r="N103" s="611">
        <v>0</v>
      </c>
      <c r="O103" s="612">
        <v>0</v>
      </c>
      <c r="P103" s="612">
        <v>0</v>
      </c>
      <c r="Q103" s="611">
        <v>0</v>
      </c>
      <c r="R103" s="611">
        <v>0</v>
      </c>
      <c r="S103" s="612">
        <v>0</v>
      </c>
      <c r="T103" s="612">
        <v>0</v>
      </c>
      <c r="U103" s="611">
        <v>0</v>
      </c>
      <c r="V103" s="611">
        <v>0</v>
      </c>
      <c r="W103" s="610">
        <v>0</v>
      </c>
      <c r="X103" s="610">
        <v>0</v>
      </c>
      <c r="Y103" s="609">
        <v>0</v>
      </c>
      <c r="Z103" s="609">
        <v>0</v>
      </c>
      <c r="AA103" s="610">
        <v>0</v>
      </c>
      <c r="AB103" s="610">
        <v>0</v>
      </c>
      <c r="AC103" s="609">
        <v>0</v>
      </c>
      <c r="AD103" s="609">
        <v>0</v>
      </c>
      <c r="AE103" s="610">
        <v>0</v>
      </c>
      <c r="AF103" s="610">
        <v>0</v>
      </c>
      <c r="AG103" s="609">
        <v>0</v>
      </c>
      <c r="AH103" s="609">
        <v>0</v>
      </c>
      <c r="AI103" s="610">
        <v>0</v>
      </c>
      <c r="AJ103" s="610">
        <v>0</v>
      </c>
      <c r="AK103" s="609">
        <v>0</v>
      </c>
      <c r="AL103" s="609">
        <v>0</v>
      </c>
      <c r="AM103" s="610">
        <v>1</v>
      </c>
      <c r="AN103" s="610">
        <v>99</v>
      </c>
      <c r="AO103" s="609">
        <v>1</v>
      </c>
      <c r="AP103" s="609">
        <v>99</v>
      </c>
      <c r="AQ103" s="622">
        <f t="shared" si="18"/>
        <v>1</v>
      </c>
      <c r="AR103" s="622">
        <f t="shared" si="19"/>
        <v>99</v>
      </c>
      <c r="AS103" s="621">
        <f t="shared" si="20"/>
        <v>1</v>
      </c>
      <c r="AT103" s="621">
        <f t="shared" si="21"/>
        <v>99</v>
      </c>
      <c r="AV103" s="620">
        <f t="shared" si="22"/>
        <v>1</v>
      </c>
      <c r="AW103" s="620">
        <f t="shared" si="23"/>
        <v>99</v>
      </c>
    </row>
    <row r="104" spans="1:50">
      <c r="A104" s="613">
        <v>100</v>
      </c>
      <c r="B104" s="612">
        <v>0</v>
      </c>
      <c r="C104" s="612">
        <v>0</v>
      </c>
      <c r="D104" s="611">
        <v>0</v>
      </c>
      <c r="E104" s="611">
        <v>0</v>
      </c>
      <c r="G104" s="612">
        <v>0</v>
      </c>
      <c r="H104" s="612">
        <v>0</v>
      </c>
      <c r="I104" s="611">
        <v>0</v>
      </c>
      <c r="J104" s="611">
        <v>0</v>
      </c>
      <c r="K104" s="612">
        <v>0</v>
      </c>
      <c r="L104" s="612">
        <v>0</v>
      </c>
      <c r="M104" s="611">
        <v>0</v>
      </c>
      <c r="N104" s="611">
        <v>0</v>
      </c>
      <c r="O104" s="612">
        <v>0</v>
      </c>
      <c r="P104" s="612">
        <v>0</v>
      </c>
      <c r="Q104" s="611">
        <v>0</v>
      </c>
      <c r="R104" s="611">
        <v>0</v>
      </c>
      <c r="S104" s="612">
        <v>0</v>
      </c>
      <c r="T104" s="612">
        <v>0</v>
      </c>
      <c r="U104" s="611">
        <v>0</v>
      </c>
      <c r="V104" s="611">
        <v>0</v>
      </c>
      <c r="W104" s="610">
        <v>0</v>
      </c>
      <c r="X104" s="610">
        <v>0</v>
      </c>
      <c r="Y104" s="609">
        <v>0</v>
      </c>
      <c r="Z104" s="609">
        <v>0</v>
      </c>
      <c r="AA104" s="610">
        <v>0</v>
      </c>
      <c r="AB104" s="610">
        <v>0</v>
      </c>
      <c r="AC104" s="609">
        <v>0</v>
      </c>
      <c r="AD104" s="609">
        <v>0</v>
      </c>
      <c r="AE104" s="610">
        <v>0</v>
      </c>
      <c r="AF104" s="610">
        <v>0</v>
      </c>
      <c r="AG104" s="609">
        <v>0</v>
      </c>
      <c r="AH104" s="609">
        <v>0</v>
      </c>
      <c r="AI104" s="610">
        <v>0</v>
      </c>
      <c r="AJ104" s="610">
        <v>0</v>
      </c>
      <c r="AK104" s="609">
        <v>0</v>
      </c>
      <c r="AL104" s="609">
        <v>0</v>
      </c>
      <c r="AM104" s="610">
        <v>0</v>
      </c>
      <c r="AN104" s="610">
        <v>0</v>
      </c>
      <c r="AO104" s="609">
        <v>0</v>
      </c>
      <c r="AP104" s="609">
        <v>0</v>
      </c>
      <c r="AQ104" s="622">
        <f t="shared" si="18"/>
        <v>0</v>
      </c>
      <c r="AR104" s="622">
        <f t="shared" si="19"/>
        <v>0</v>
      </c>
      <c r="AS104" s="621">
        <f t="shared" si="20"/>
        <v>0</v>
      </c>
      <c r="AT104" s="621">
        <f t="shared" si="21"/>
        <v>0</v>
      </c>
      <c r="AV104" s="620">
        <f t="shared" si="22"/>
        <v>0</v>
      </c>
      <c r="AW104" s="620">
        <f t="shared" si="23"/>
        <v>0</v>
      </c>
    </row>
    <row r="105" spans="1:50">
      <c r="A105" s="613">
        <v>101</v>
      </c>
      <c r="B105" s="612">
        <v>0</v>
      </c>
      <c r="C105" s="612">
        <v>0</v>
      </c>
      <c r="D105" s="611">
        <v>0</v>
      </c>
      <c r="E105" s="611">
        <v>0</v>
      </c>
      <c r="G105" s="612">
        <v>0</v>
      </c>
      <c r="H105" s="612">
        <v>0</v>
      </c>
      <c r="I105" s="611">
        <v>0</v>
      </c>
      <c r="J105" s="611">
        <v>0</v>
      </c>
      <c r="K105" s="612">
        <v>0</v>
      </c>
      <c r="L105" s="612">
        <v>0</v>
      </c>
      <c r="M105" s="611">
        <v>0</v>
      </c>
      <c r="N105" s="611">
        <v>0</v>
      </c>
      <c r="O105" s="612">
        <v>0</v>
      </c>
      <c r="P105" s="612">
        <v>0</v>
      </c>
      <c r="Q105" s="611">
        <v>0</v>
      </c>
      <c r="R105" s="611">
        <v>0</v>
      </c>
      <c r="S105" s="612">
        <v>0</v>
      </c>
      <c r="T105" s="612">
        <v>0</v>
      </c>
      <c r="U105" s="611">
        <v>0</v>
      </c>
      <c r="V105" s="611">
        <v>0</v>
      </c>
      <c r="W105" s="610">
        <v>0</v>
      </c>
      <c r="X105" s="610">
        <v>0</v>
      </c>
      <c r="Y105" s="609">
        <v>0</v>
      </c>
      <c r="Z105" s="609">
        <v>0</v>
      </c>
      <c r="AA105" s="610">
        <v>0</v>
      </c>
      <c r="AB105" s="610">
        <v>0</v>
      </c>
      <c r="AC105" s="609">
        <v>0</v>
      </c>
      <c r="AD105" s="609">
        <v>0</v>
      </c>
      <c r="AE105" s="610">
        <v>0</v>
      </c>
      <c r="AF105" s="610">
        <v>0</v>
      </c>
      <c r="AG105" s="609">
        <v>0</v>
      </c>
      <c r="AH105" s="609">
        <v>0</v>
      </c>
      <c r="AI105" s="610">
        <v>0</v>
      </c>
      <c r="AJ105" s="610">
        <v>0</v>
      </c>
      <c r="AK105" s="609">
        <v>0</v>
      </c>
      <c r="AL105" s="609">
        <v>0</v>
      </c>
      <c r="AM105" s="610">
        <v>0</v>
      </c>
      <c r="AN105" s="610">
        <v>0</v>
      </c>
      <c r="AO105" s="609">
        <v>0</v>
      </c>
      <c r="AP105" s="609">
        <v>0</v>
      </c>
      <c r="AQ105" s="622">
        <f t="shared" si="18"/>
        <v>0</v>
      </c>
      <c r="AR105" s="622">
        <f t="shared" si="19"/>
        <v>0</v>
      </c>
      <c r="AS105" s="621">
        <f t="shared" si="20"/>
        <v>0</v>
      </c>
      <c r="AT105" s="621">
        <f t="shared" si="21"/>
        <v>0</v>
      </c>
      <c r="AV105" s="620">
        <f t="shared" si="22"/>
        <v>0</v>
      </c>
      <c r="AW105" s="620">
        <f t="shared" si="23"/>
        <v>0</v>
      </c>
    </row>
    <row r="106" spans="1:50">
      <c r="A106" s="613">
        <v>113</v>
      </c>
      <c r="B106" s="612">
        <v>0</v>
      </c>
      <c r="C106" s="612">
        <v>0</v>
      </c>
      <c r="D106" s="611">
        <v>0</v>
      </c>
      <c r="E106" s="611">
        <v>0</v>
      </c>
      <c r="G106" s="612">
        <v>0</v>
      </c>
      <c r="H106" s="612">
        <v>0</v>
      </c>
      <c r="I106" s="611">
        <v>0</v>
      </c>
      <c r="J106" s="611">
        <v>0</v>
      </c>
      <c r="K106" s="612">
        <v>0</v>
      </c>
      <c r="L106" s="612">
        <v>0</v>
      </c>
      <c r="M106" s="611">
        <v>0</v>
      </c>
      <c r="N106" s="611">
        <v>0</v>
      </c>
      <c r="O106" s="612">
        <v>0</v>
      </c>
      <c r="P106" s="612">
        <v>0</v>
      </c>
      <c r="Q106" s="611">
        <v>0</v>
      </c>
      <c r="R106" s="611">
        <v>0</v>
      </c>
      <c r="S106" s="612">
        <v>0</v>
      </c>
      <c r="T106" s="612">
        <v>0</v>
      </c>
      <c r="U106" s="611">
        <v>0</v>
      </c>
      <c r="V106" s="611">
        <v>0</v>
      </c>
      <c r="W106" s="610">
        <v>0</v>
      </c>
      <c r="X106" s="610">
        <v>0</v>
      </c>
      <c r="Y106" s="609">
        <v>0</v>
      </c>
      <c r="Z106" s="609">
        <v>0</v>
      </c>
      <c r="AA106" s="610">
        <v>0</v>
      </c>
      <c r="AB106" s="610">
        <v>0</v>
      </c>
      <c r="AC106" s="609">
        <v>0</v>
      </c>
      <c r="AD106" s="609">
        <v>0</v>
      </c>
      <c r="AE106" s="610">
        <v>0</v>
      </c>
      <c r="AF106" s="610">
        <v>0</v>
      </c>
      <c r="AG106" s="609">
        <v>0</v>
      </c>
      <c r="AH106" s="609">
        <v>0</v>
      </c>
      <c r="AI106" s="610">
        <v>0</v>
      </c>
      <c r="AJ106" s="610">
        <v>0</v>
      </c>
      <c r="AK106" s="609">
        <v>0</v>
      </c>
      <c r="AL106" s="609">
        <v>0</v>
      </c>
      <c r="AM106" s="610">
        <v>1</v>
      </c>
      <c r="AN106" s="610">
        <v>113</v>
      </c>
      <c r="AO106" s="609">
        <v>1</v>
      </c>
      <c r="AP106" s="609">
        <v>113</v>
      </c>
      <c r="AQ106" s="622">
        <f t="shared" si="18"/>
        <v>1</v>
      </c>
      <c r="AR106" s="622">
        <f t="shared" si="19"/>
        <v>113</v>
      </c>
      <c r="AS106" s="621">
        <f t="shared" si="20"/>
        <v>1</v>
      </c>
      <c r="AT106" s="621">
        <f t="shared" si="21"/>
        <v>113</v>
      </c>
      <c r="AV106" s="620">
        <f t="shared" si="22"/>
        <v>1</v>
      </c>
      <c r="AW106" s="620">
        <f t="shared" si="23"/>
        <v>113</v>
      </c>
    </row>
    <row r="107" spans="1:50">
      <c r="A107" s="613">
        <v>134</v>
      </c>
      <c r="B107" s="612">
        <v>0</v>
      </c>
      <c r="C107" s="612">
        <v>0</v>
      </c>
      <c r="D107" s="611">
        <v>0</v>
      </c>
      <c r="E107" s="611">
        <v>0</v>
      </c>
      <c r="G107" s="612">
        <v>0</v>
      </c>
      <c r="H107" s="612">
        <v>0</v>
      </c>
      <c r="I107" s="611">
        <v>0</v>
      </c>
      <c r="J107" s="611">
        <v>0</v>
      </c>
      <c r="K107" s="612">
        <v>0</v>
      </c>
      <c r="L107" s="612">
        <v>0</v>
      </c>
      <c r="M107" s="611">
        <v>0</v>
      </c>
      <c r="N107" s="611">
        <v>0</v>
      </c>
      <c r="O107" s="612">
        <v>0</v>
      </c>
      <c r="P107" s="612">
        <v>0</v>
      </c>
      <c r="Q107" s="611">
        <v>0</v>
      </c>
      <c r="R107" s="611">
        <v>0</v>
      </c>
      <c r="S107" s="612">
        <v>0</v>
      </c>
      <c r="T107" s="612">
        <v>0</v>
      </c>
      <c r="U107" s="611">
        <v>0</v>
      </c>
      <c r="V107" s="611">
        <v>0</v>
      </c>
      <c r="W107" s="610">
        <v>0</v>
      </c>
      <c r="X107" s="610">
        <v>0</v>
      </c>
      <c r="Y107" s="609">
        <v>0</v>
      </c>
      <c r="Z107" s="609">
        <v>0</v>
      </c>
      <c r="AA107" s="610">
        <v>0</v>
      </c>
      <c r="AB107" s="610">
        <v>0</v>
      </c>
      <c r="AC107" s="609">
        <v>0</v>
      </c>
      <c r="AD107" s="609">
        <v>0</v>
      </c>
      <c r="AE107" s="610">
        <v>0</v>
      </c>
      <c r="AF107" s="610">
        <v>0</v>
      </c>
      <c r="AG107" s="609">
        <v>0</v>
      </c>
      <c r="AH107" s="609">
        <v>0</v>
      </c>
      <c r="AI107" s="610">
        <v>0</v>
      </c>
      <c r="AJ107" s="610">
        <v>0</v>
      </c>
      <c r="AK107" s="609">
        <v>0</v>
      </c>
      <c r="AL107" s="609">
        <v>0</v>
      </c>
      <c r="AM107" s="610">
        <v>1</v>
      </c>
      <c r="AN107" s="610">
        <v>134</v>
      </c>
      <c r="AO107" s="609">
        <v>1</v>
      </c>
      <c r="AP107" s="609">
        <v>134</v>
      </c>
      <c r="AQ107" s="622">
        <f t="shared" si="18"/>
        <v>1</v>
      </c>
      <c r="AR107" s="622">
        <f t="shared" si="19"/>
        <v>134</v>
      </c>
      <c r="AS107" s="621">
        <f t="shared" si="20"/>
        <v>1</v>
      </c>
      <c r="AT107" s="621">
        <f t="shared" si="21"/>
        <v>134</v>
      </c>
      <c r="AV107" s="620">
        <f t="shared" si="22"/>
        <v>1</v>
      </c>
      <c r="AW107" s="620">
        <f t="shared" si="23"/>
        <v>134</v>
      </c>
    </row>
    <row r="108" spans="1:50">
      <c r="A108" s="613">
        <v>135</v>
      </c>
      <c r="B108" s="612">
        <v>1</v>
      </c>
      <c r="C108" s="612">
        <v>135</v>
      </c>
      <c r="D108" s="611">
        <v>1</v>
      </c>
      <c r="E108" s="611">
        <v>135</v>
      </c>
      <c r="G108" s="612">
        <v>0</v>
      </c>
      <c r="H108" s="612">
        <v>0</v>
      </c>
      <c r="I108" s="611">
        <v>0</v>
      </c>
      <c r="J108" s="611">
        <v>0</v>
      </c>
      <c r="K108" s="612">
        <v>0</v>
      </c>
      <c r="L108" s="612">
        <v>0</v>
      </c>
      <c r="M108" s="611">
        <v>0</v>
      </c>
      <c r="N108" s="611">
        <v>0</v>
      </c>
      <c r="O108" s="612">
        <v>0</v>
      </c>
      <c r="P108" s="612">
        <v>0</v>
      </c>
      <c r="Q108" s="611">
        <v>0</v>
      </c>
      <c r="R108" s="611">
        <v>0</v>
      </c>
      <c r="S108" s="612">
        <v>0</v>
      </c>
      <c r="T108" s="612">
        <v>0</v>
      </c>
      <c r="U108" s="611">
        <v>0</v>
      </c>
      <c r="V108" s="611">
        <v>0</v>
      </c>
      <c r="W108" s="610">
        <v>0</v>
      </c>
      <c r="X108" s="610">
        <v>0</v>
      </c>
      <c r="Y108" s="609">
        <v>0</v>
      </c>
      <c r="Z108" s="609">
        <v>0</v>
      </c>
      <c r="AA108" s="610">
        <v>0</v>
      </c>
      <c r="AB108" s="610">
        <v>0</v>
      </c>
      <c r="AC108" s="609">
        <v>0</v>
      </c>
      <c r="AD108" s="609">
        <v>0</v>
      </c>
      <c r="AE108" s="610">
        <v>0</v>
      </c>
      <c r="AF108" s="610">
        <v>0</v>
      </c>
      <c r="AG108" s="609">
        <v>0</v>
      </c>
      <c r="AH108" s="609">
        <v>0</v>
      </c>
      <c r="AI108" s="610">
        <v>0</v>
      </c>
      <c r="AJ108" s="610">
        <v>0</v>
      </c>
      <c r="AK108" s="609">
        <v>0</v>
      </c>
      <c r="AL108" s="609">
        <v>0</v>
      </c>
      <c r="AM108" s="610">
        <v>0</v>
      </c>
      <c r="AN108" s="610">
        <v>0</v>
      </c>
      <c r="AO108" s="609">
        <v>0</v>
      </c>
      <c r="AP108" s="609">
        <v>0</v>
      </c>
      <c r="AQ108" s="622">
        <f t="shared" si="18"/>
        <v>1</v>
      </c>
      <c r="AR108" s="622">
        <f t="shared" si="19"/>
        <v>135</v>
      </c>
      <c r="AS108" s="621">
        <f t="shared" si="20"/>
        <v>1</v>
      </c>
      <c r="AT108" s="621">
        <f t="shared" si="21"/>
        <v>135</v>
      </c>
      <c r="AV108" s="620">
        <f t="shared" si="22"/>
        <v>1</v>
      </c>
      <c r="AW108" s="620">
        <f t="shared" si="23"/>
        <v>135</v>
      </c>
    </row>
    <row r="109" spans="1:50">
      <c r="A109" s="613">
        <v>181</v>
      </c>
      <c r="B109" s="612">
        <v>0</v>
      </c>
      <c r="C109" s="612">
        <v>0</v>
      </c>
      <c r="D109" s="611">
        <v>0</v>
      </c>
      <c r="E109" s="611">
        <v>0</v>
      </c>
      <c r="G109" s="612">
        <v>0</v>
      </c>
      <c r="H109" s="612">
        <v>0</v>
      </c>
      <c r="I109" s="611">
        <v>0</v>
      </c>
      <c r="J109" s="611">
        <v>0</v>
      </c>
      <c r="K109" s="612">
        <v>0</v>
      </c>
      <c r="L109" s="612">
        <v>0</v>
      </c>
      <c r="M109" s="611">
        <v>0</v>
      </c>
      <c r="N109" s="611">
        <v>0</v>
      </c>
      <c r="O109" s="612">
        <v>1</v>
      </c>
      <c r="P109" s="612">
        <v>181</v>
      </c>
      <c r="Q109" s="611">
        <v>1</v>
      </c>
      <c r="R109" s="611">
        <v>181</v>
      </c>
      <c r="S109" s="612">
        <v>0</v>
      </c>
      <c r="T109" s="612">
        <v>0</v>
      </c>
      <c r="U109" s="611">
        <v>0</v>
      </c>
      <c r="V109" s="611">
        <v>0</v>
      </c>
      <c r="W109" s="610">
        <v>0</v>
      </c>
      <c r="X109" s="610">
        <v>0</v>
      </c>
      <c r="Y109" s="609">
        <v>0</v>
      </c>
      <c r="Z109" s="609">
        <v>0</v>
      </c>
      <c r="AA109" s="610">
        <v>0</v>
      </c>
      <c r="AB109" s="610">
        <v>0</v>
      </c>
      <c r="AC109" s="609">
        <v>0</v>
      </c>
      <c r="AD109" s="609">
        <v>0</v>
      </c>
      <c r="AE109" s="610">
        <v>0</v>
      </c>
      <c r="AF109" s="610">
        <v>0</v>
      </c>
      <c r="AG109" s="609">
        <v>0</v>
      </c>
      <c r="AH109" s="609">
        <v>0</v>
      </c>
      <c r="AI109" s="610">
        <v>0</v>
      </c>
      <c r="AJ109" s="610">
        <v>0</v>
      </c>
      <c r="AK109" s="609">
        <v>0</v>
      </c>
      <c r="AL109" s="609">
        <v>0</v>
      </c>
      <c r="AM109" s="610">
        <v>0</v>
      </c>
      <c r="AN109" s="610">
        <v>0</v>
      </c>
      <c r="AO109" s="609">
        <v>0</v>
      </c>
      <c r="AP109" s="609">
        <v>0</v>
      </c>
      <c r="AQ109" s="622">
        <f t="shared" si="18"/>
        <v>1</v>
      </c>
      <c r="AR109" s="622">
        <f t="shared" si="19"/>
        <v>181</v>
      </c>
      <c r="AS109" s="621">
        <f t="shared" si="20"/>
        <v>1</v>
      </c>
      <c r="AT109" s="621">
        <f t="shared" si="21"/>
        <v>181</v>
      </c>
      <c r="AV109" s="620">
        <f t="shared" si="22"/>
        <v>1</v>
      </c>
      <c r="AW109" s="620">
        <f t="shared" si="23"/>
        <v>181</v>
      </c>
    </row>
    <row r="110" spans="1:50">
      <c r="B110" s="641"/>
      <c r="C110" s="641"/>
      <c r="D110" s="641">
        <f>SUM(D4:D109)</f>
        <v>3741</v>
      </c>
      <c r="E110" s="641">
        <f>SUM(E4:E109)</f>
        <v>38050</v>
      </c>
      <c r="F110" s="641"/>
      <c r="G110" s="641"/>
      <c r="H110" s="641"/>
      <c r="I110" s="641">
        <f>SUM(I4:I109)</f>
        <v>24</v>
      </c>
      <c r="J110" s="641">
        <f>SUM(J4:J109)</f>
        <v>239</v>
      </c>
      <c r="K110" s="641"/>
      <c r="L110" s="641"/>
      <c r="M110" s="641">
        <f>SUM(M4:M109)</f>
        <v>0</v>
      </c>
      <c r="N110" s="641">
        <f>SUM(N4:N109)</f>
        <v>0</v>
      </c>
      <c r="O110" s="641"/>
      <c r="P110" s="641"/>
      <c r="Q110" s="641">
        <f>SUM(Q4:Q109)</f>
        <v>397</v>
      </c>
      <c r="R110" s="641">
        <f>SUM(R4:R109)</f>
        <v>4279</v>
      </c>
      <c r="S110" s="641"/>
      <c r="T110" s="641"/>
      <c r="U110" s="641">
        <f>SUM(U4:U109)</f>
        <v>2</v>
      </c>
      <c r="V110" s="641">
        <f>SUM(V4:V109)</f>
        <v>16</v>
      </c>
      <c r="W110" s="642"/>
      <c r="X110" s="642"/>
      <c r="Y110" s="642">
        <f>SUM(Y4:Y109)</f>
        <v>0</v>
      </c>
      <c r="Z110" s="642">
        <f>SUM(Z4:Z109)</f>
        <v>0</v>
      </c>
      <c r="AA110" s="642"/>
      <c r="AB110" s="642"/>
      <c r="AC110" s="642">
        <f>SUM(AC4:AC109)</f>
        <v>78</v>
      </c>
      <c r="AD110" s="642">
        <f>SUM(AD4:AD109)</f>
        <v>1379</v>
      </c>
      <c r="AE110" s="642"/>
      <c r="AF110" s="642"/>
      <c r="AG110" s="642">
        <f>SUM(AG4:AG109)</f>
        <v>1</v>
      </c>
      <c r="AH110" s="642">
        <f>SUM(AH4:AH109)</f>
        <v>10</v>
      </c>
      <c r="AI110" s="642"/>
      <c r="AJ110" s="642"/>
      <c r="AK110" s="642">
        <f>SUM(AK4:AK109)</f>
        <v>0</v>
      </c>
      <c r="AL110" s="642">
        <f>SUM(AL4:AL109)</f>
        <v>0</v>
      </c>
      <c r="AM110" s="642"/>
      <c r="AN110" s="642"/>
      <c r="AO110" s="642">
        <f>SUM(AO4:AO109)</f>
        <v>61</v>
      </c>
      <c r="AP110" s="642">
        <f>SUM(AP4:AP109)</f>
        <v>1342</v>
      </c>
      <c r="AV110" s="620">
        <f>SUM(AV4:AV109)</f>
        <v>4304</v>
      </c>
      <c r="AW110" s="620">
        <f>SUM(AW4:AW109)</f>
        <v>45315</v>
      </c>
    </row>
    <row r="111" spans="1:50">
      <c r="B111" s="614"/>
      <c r="C111" s="614"/>
      <c r="D111" s="614"/>
      <c r="E111" s="614"/>
      <c r="F111" s="614"/>
      <c r="G111" s="614"/>
      <c r="H111" s="614"/>
      <c r="I111" s="614"/>
      <c r="J111" s="614"/>
      <c r="K111" s="614"/>
      <c r="L111" s="614"/>
      <c r="M111" s="614"/>
      <c r="N111" s="614"/>
      <c r="O111" s="614"/>
      <c r="P111" s="614"/>
      <c r="Q111" s="614"/>
      <c r="R111" s="614"/>
      <c r="S111" s="614"/>
      <c r="T111" s="614"/>
      <c r="U111" s="614"/>
      <c r="V111" s="614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1:50">
      <c r="B112" s="614"/>
      <c r="C112" s="614"/>
      <c r="D112" s="614" t="s">
        <v>729</v>
      </c>
      <c r="E112" s="618">
        <f>E110/D110</f>
        <v>10.171077252071639</v>
      </c>
      <c r="F112" s="614" t="s">
        <v>728</v>
      </c>
      <c r="G112" s="614">
        <f>E112/30*1000</f>
        <v>339.03590840238797</v>
      </c>
      <c r="H112" s="614"/>
      <c r="I112" s="614"/>
      <c r="J112" s="614"/>
      <c r="K112" s="614"/>
      <c r="L112" s="614"/>
      <c r="M112" s="614"/>
      <c r="N112" s="614"/>
      <c r="O112" s="614"/>
      <c r="P112" s="614"/>
      <c r="Q112" s="614"/>
      <c r="R112" s="614"/>
      <c r="S112" s="614"/>
      <c r="T112" s="614"/>
      <c r="U112" s="614"/>
      <c r="V112" s="614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V112" t="s">
        <v>727</v>
      </c>
      <c r="AW112" s="619">
        <f>AW110/AV110</f>
        <v>10.528578066914498</v>
      </c>
      <c r="AX112" t="s">
        <v>726</v>
      </c>
    </row>
    <row r="113" spans="2:50">
      <c r="B113" s="614"/>
      <c r="C113" s="614"/>
      <c r="E113" s="618">
        <v>2.81</v>
      </c>
      <c r="F113" s="614" t="s">
        <v>725</v>
      </c>
      <c r="H113" s="614"/>
      <c r="I113" s="614"/>
      <c r="J113" s="614"/>
      <c r="K113" s="614"/>
      <c r="L113" s="614"/>
      <c r="M113" s="614"/>
      <c r="N113" s="614"/>
      <c r="O113" s="614"/>
      <c r="P113" s="614"/>
      <c r="Q113" s="614"/>
      <c r="R113" s="614"/>
      <c r="S113" s="614"/>
      <c r="T113" s="614"/>
      <c r="U113" s="614"/>
      <c r="V113" s="614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W113" s="617">
        <f>E113</f>
        <v>2.81</v>
      </c>
      <c r="AX113" s="617" t="str">
        <f>F113</f>
        <v>hab/economia</v>
      </c>
    </row>
    <row r="114" spans="2:50">
      <c r="B114" s="614"/>
      <c r="C114" s="614" t="s">
        <v>724</v>
      </c>
      <c r="D114" s="614"/>
      <c r="E114" s="626">
        <f>G112/E113</f>
        <v>120.6533481859032</v>
      </c>
      <c r="F114" s="614"/>
      <c r="G114" s="614"/>
      <c r="H114" s="614"/>
      <c r="I114" s="614"/>
      <c r="J114" s="614"/>
      <c r="K114" s="614"/>
      <c r="L114" s="614"/>
      <c r="M114" s="614"/>
      <c r="N114" s="614"/>
      <c r="O114" s="614"/>
      <c r="P114" s="614"/>
      <c r="Q114" s="614"/>
      <c r="R114" s="614"/>
      <c r="S114" s="614"/>
      <c r="T114" s="614"/>
      <c r="U114" s="614"/>
      <c r="V114" s="6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V114" s="616" t="s">
        <v>723</v>
      </c>
      <c r="AW114" s="615">
        <f>AW112/30*1000/AW113</f>
        <v>124.89416449483392</v>
      </c>
      <c r="AX114" t="s">
        <v>722</v>
      </c>
    </row>
    <row r="115" spans="2:50">
      <c r="B115" s="614"/>
      <c r="C115" s="614"/>
      <c r="D115" s="614"/>
      <c r="E115" s="614"/>
      <c r="F115" s="614"/>
      <c r="G115" s="614"/>
      <c r="H115" s="614"/>
      <c r="I115" s="614"/>
      <c r="J115" s="614">
        <f>SUM(E110,J110,N110)</f>
        <v>38289</v>
      </c>
      <c r="K115" s="614"/>
      <c r="L115" s="614"/>
      <c r="M115" s="614"/>
      <c r="N115" s="614"/>
      <c r="O115" s="614"/>
      <c r="P115" s="614"/>
      <c r="Q115" s="614"/>
      <c r="R115" s="614"/>
      <c r="S115" s="614"/>
      <c r="T115" s="614"/>
      <c r="U115" s="614"/>
      <c r="V115" s="614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</row>
    <row r="116" spans="2:50">
      <c r="B116" s="614"/>
      <c r="C116" s="614"/>
      <c r="D116" s="614"/>
      <c r="E116" s="614"/>
      <c r="F116" s="614"/>
      <c r="G116" s="614"/>
      <c r="H116" s="614"/>
      <c r="I116" s="614"/>
      <c r="J116" s="614"/>
      <c r="K116" s="614"/>
      <c r="L116" s="614"/>
      <c r="M116" s="614"/>
      <c r="N116" s="614"/>
      <c r="O116" s="614"/>
      <c r="P116" s="614"/>
      <c r="Q116" s="614"/>
      <c r="R116" s="614"/>
      <c r="S116" s="614"/>
      <c r="T116" s="614"/>
      <c r="U116" s="614"/>
      <c r="V116" s="614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</row>
    <row r="117" spans="2:50" ht="28.8">
      <c r="B117" s="614"/>
      <c r="C117" s="644"/>
      <c r="D117" s="652" t="s">
        <v>544</v>
      </c>
      <c r="E117" s="661" t="s">
        <v>773</v>
      </c>
      <c r="F117" s="661" t="s">
        <v>777</v>
      </c>
      <c r="G117" s="652" t="s">
        <v>226</v>
      </c>
      <c r="H117" s="643"/>
      <c r="I117" s="614"/>
      <c r="J117" s="614"/>
      <c r="K117" s="614"/>
      <c r="L117" s="614"/>
      <c r="M117" s="614"/>
      <c r="N117" s="614"/>
      <c r="O117" s="614"/>
      <c r="P117" s="614"/>
      <c r="Q117" s="614"/>
      <c r="R117" s="614"/>
      <c r="S117" s="614"/>
      <c r="T117" s="614"/>
      <c r="U117" s="614"/>
      <c r="V117" s="614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</row>
    <row r="118" spans="2:50">
      <c r="B118" s="614"/>
      <c r="C118" s="614"/>
      <c r="D118" s="660" t="s">
        <v>746</v>
      </c>
      <c r="E118" s="646">
        <v>3741</v>
      </c>
      <c r="F118" s="646">
        <v>38050</v>
      </c>
      <c r="G118" s="655">
        <f>F118/F128</f>
        <v>0.83967781087939974</v>
      </c>
      <c r="H118" s="614"/>
      <c r="I118" s="614"/>
      <c r="J118" s="614"/>
      <c r="K118" s="614"/>
      <c r="L118" s="614"/>
      <c r="M118" s="614"/>
      <c r="N118" s="614"/>
      <c r="O118" s="614"/>
      <c r="P118" s="614"/>
      <c r="Q118" s="614"/>
      <c r="R118" s="614"/>
      <c r="S118" s="614"/>
      <c r="T118" s="614"/>
      <c r="U118" s="614"/>
      <c r="V118" s="614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</row>
    <row r="119" spans="2:50">
      <c r="B119" s="614"/>
      <c r="C119" s="614"/>
      <c r="D119" s="660" t="s">
        <v>745</v>
      </c>
      <c r="E119" s="646">
        <v>24</v>
      </c>
      <c r="F119" s="646">
        <v>239</v>
      </c>
      <c r="G119" s="656">
        <f>F119/F128</f>
        <v>5.2741917687300008E-3</v>
      </c>
      <c r="H119" s="614"/>
      <c r="I119" s="614"/>
      <c r="J119" s="614"/>
      <c r="K119" s="614"/>
      <c r="L119" s="614"/>
      <c r="M119" s="614"/>
      <c r="N119" s="614"/>
      <c r="O119" s="614"/>
      <c r="P119" s="614"/>
      <c r="Q119" s="614"/>
      <c r="R119" s="614"/>
      <c r="S119" s="614"/>
      <c r="T119" s="614"/>
      <c r="U119" s="614"/>
      <c r="V119" s="61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</row>
    <row r="120" spans="2:50">
      <c r="B120" s="614"/>
      <c r="C120" s="614"/>
      <c r="D120" s="660" t="s">
        <v>744</v>
      </c>
      <c r="E120" s="646">
        <v>0</v>
      </c>
      <c r="F120" s="646">
        <v>0</v>
      </c>
      <c r="G120" s="657">
        <f>F120/F128</f>
        <v>0</v>
      </c>
      <c r="H120" s="614"/>
      <c r="I120" s="614"/>
      <c r="J120" s="614"/>
      <c r="K120" s="614"/>
      <c r="L120" s="614"/>
      <c r="M120" s="614"/>
      <c r="N120" s="614"/>
      <c r="O120" s="614"/>
      <c r="P120" s="614"/>
      <c r="Q120" s="614"/>
      <c r="R120" s="614"/>
      <c r="S120" s="614"/>
      <c r="T120" s="614"/>
      <c r="U120" s="614"/>
      <c r="V120" s="614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</row>
    <row r="121" spans="2:50">
      <c r="B121" s="614"/>
      <c r="C121" s="614"/>
      <c r="D121" s="660" t="s">
        <v>743</v>
      </c>
      <c r="E121" s="646">
        <v>397</v>
      </c>
      <c r="F121" s="646">
        <v>4279</v>
      </c>
      <c r="G121" s="655">
        <f>F121/F128</f>
        <v>9.4427893633454704E-2</v>
      </c>
      <c r="H121" s="614"/>
      <c r="I121" s="614"/>
      <c r="J121" s="614"/>
      <c r="K121" s="614"/>
      <c r="L121" s="614"/>
      <c r="M121" s="614"/>
      <c r="N121" s="614"/>
      <c r="O121" s="614"/>
      <c r="P121" s="614"/>
      <c r="Q121" s="614"/>
      <c r="R121" s="614"/>
      <c r="S121" s="614"/>
      <c r="T121" s="614"/>
      <c r="U121" s="614"/>
      <c r="V121" s="614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</row>
    <row r="122" spans="2:50">
      <c r="B122" s="614"/>
      <c r="C122" s="614"/>
      <c r="D122" s="660" t="s">
        <v>742</v>
      </c>
      <c r="E122" s="646">
        <v>2</v>
      </c>
      <c r="F122" s="646">
        <v>16</v>
      </c>
      <c r="G122" s="656">
        <f>F122/F128</f>
        <v>3.5308396778108793E-4</v>
      </c>
      <c r="H122" s="614"/>
      <c r="I122" s="614"/>
      <c r="J122" s="614"/>
      <c r="K122" s="614"/>
      <c r="L122" s="614"/>
      <c r="M122" s="614"/>
      <c r="N122" s="614"/>
      <c r="O122" s="614"/>
      <c r="P122" s="614"/>
      <c r="Q122" s="614"/>
      <c r="R122" s="614"/>
      <c r="S122" s="614"/>
      <c r="T122" s="614"/>
      <c r="U122" s="614"/>
      <c r="V122" s="614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</row>
    <row r="123" spans="2:50">
      <c r="B123" s="614"/>
      <c r="C123" s="614"/>
      <c r="D123" s="660" t="s">
        <v>741</v>
      </c>
      <c r="E123" s="646">
        <v>0</v>
      </c>
      <c r="F123" s="646">
        <v>0</v>
      </c>
      <c r="G123" s="657">
        <f>F123/F128</f>
        <v>0</v>
      </c>
      <c r="H123" s="614"/>
      <c r="I123" s="614"/>
      <c r="J123" s="614"/>
      <c r="K123" s="614"/>
      <c r="L123" s="614"/>
      <c r="M123" s="614"/>
      <c r="N123" s="614"/>
      <c r="O123" s="614"/>
      <c r="P123" s="614"/>
      <c r="Q123" s="614"/>
      <c r="R123" s="614"/>
      <c r="S123" s="614"/>
      <c r="T123" s="614"/>
      <c r="U123" s="614"/>
      <c r="V123" s="614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2:50">
      <c r="B124" s="614"/>
      <c r="C124" s="614"/>
      <c r="D124" s="660" t="s">
        <v>740</v>
      </c>
      <c r="E124" s="646">
        <v>78</v>
      </c>
      <c r="F124" s="646">
        <v>1379</v>
      </c>
      <c r="G124" s="655">
        <f>F124/F128</f>
        <v>3.0431424473132518E-2</v>
      </c>
      <c r="H124" s="614"/>
      <c r="I124" s="614"/>
      <c r="J124" s="614"/>
      <c r="K124" s="614"/>
      <c r="L124" s="614"/>
      <c r="M124" s="614"/>
      <c r="N124" s="614"/>
      <c r="O124" s="614"/>
      <c r="P124" s="614"/>
      <c r="Q124" s="614"/>
      <c r="R124" s="614"/>
      <c r="S124" s="614"/>
      <c r="T124" s="614"/>
      <c r="U124" s="614"/>
      <c r="V124" s="61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2:50">
      <c r="B125" s="614"/>
      <c r="C125" s="614"/>
      <c r="D125" s="660" t="s">
        <v>739</v>
      </c>
      <c r="E125" s="646">
        <v>1</v>
      </c>
      <c r="F125" s="646">
        <v>10</v>
      </c>
      <c r="G125" s="656">
        <f>F125/F128</f>
        <v>2.2067747986317997E-4</v>
      </c>
      <c r="H125" s="614"/>
      <c r="I125" s="614"/>
      <c r="J125" s="614"/>
      <c r="K125" s="614"/>
      <c r="L125" s="614"/>
      <c r="M125" s="614"/>
      <c r="N125" s="614"/>
      <c r="O125" s="614"/>
      <c r="P125" s="614"/>
      <c r="Q125" s="614"/>
      <c r="R125" s="614"/>
      <c r="S125" s="614"/>
      <c r="T125" s="614"/>
      <c r="U125" s="614"/>
      <c r="V125" s="614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2:50">
      <c r="B126" s="614"/>
      <c r="C126" s="614"/>
      <c r="D126" s="660" t="s">
        <v>738</v>
      </c>
      <c r="E126" s="646">
        <v>0</v>
      </c>
      <c r="F126" s="646">
        <v>0</v>
      </c>
      <c r="G126" s="657">
        <f>F126/F128</f>
        <v>0</v>
      </c>
      <c r="H126" s="614"/>
      <c r="I126" s="614"/>
      <c r="J126" s="614"/>
      <c r="K126" s="614"/>
      <c r="L126" s="614"/>
      <c r="M126" s="614"/>
      <c r="N126" s="614"/>
      <c r="O126" s="614"/>
      <c r="P126" s="614"/>
      <c r="Q126" s="614"/>
      <c r="R126" s="614"/>
      <c r="S126" s="614"/>
      <c r="T126" s="614"/>
      <c r="U126" s="614"/>
      <c r="V126" s="614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</row>
    <row r="127" spans="2:50">
      <c r="B127" s="614"/>
      <c r="C127" s="614"/>
      <c r="D127" s="660" t="s">
        <v>737</v>
      </c>
      <c r="E127" s="646">
        <v>61</v>
      </c>
      <c r="F127" s="646">
        <v>1342</v>
      </c>
      <c r="G127" s="654">
        <f>F127/F128</f>
        <v>2.9614917797638751E-2</v>
      </c>
      <c r="H127" s="614"/>
      <c r="I127" s="614"/>
      <c r="J127" s="614"/>
      <c r="K127" s="614"/>
      <c r="L127" s="614"/>
      <c r="M127" s="614"/>
      <c r="N127" s="614"/>
      <c r="O127" s="614"/>
      <c r="P127" s="614"/>
      <c r="Q127" s="614"/>
      <c r="R127" s="614"/>
      <c r="S127" s="614"/>
      <c r="T127" s="614"/>
      <c r="U127" s="614"/>
      <c r="V127" s="614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</row>
    <row r="128" spans="2:50">
      <c r="B128" s="614"/>
      <c r="C128" s="614"/>
      <c r="D128" s="662" t="s">
        <v>716</v>
      </c>
      <c r="E128" s="651">
        <f>SUM(E118:E127)</f>
        <v>4304</v>
      </c>
      <c r="F128" s="651">
        <f>SUM(F118:F127)</f>
        <v>45315</v>
      </c>
      <c r="G128" s="658">
        <f>SUM(G118:G127)</f>
        <v>1</v>
      </c>
      <c r="H128" s="614"/>
      <c r="I128" s="614"/>
      <c r="J128" s="614"/>
      <c r="K128" s="614"/>
      <c r="L128" s="614"/>
      <c r="M128" s="614"/>
      <c r="N128" s="614"/>
      <c r="O128" s="614"/>
      <c r="P128" s="614"/>
      <c r="Q128" s="614"/>
      <c r="R128" s="614"/>
      <c r="S128" s="614"/>
      <c r="T128" s="614"/>
      <c r="U128" s="614"/>
      <c r="V128" s="614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spans="2:46">
      <c r="B129" s="614"/>
      <c r="C129" s="614"/>
      <c r="D129" s="614"/>
      <c r="E129" s="614"/>
      <c r="F129" s="614"/>
      <c r="G129" s="614"/>
      <c r="H129" s="614"/>
      <c r="I129" s="614"/>
      <c r="J129" s="614"/>
      <c r="K129" s="614"/>
      <c r="L129" s="614"/>
      <c r="M129" s="614"/>
      <c r="N129" s="614"/>
      <c r="O129" s="614"/>
      <c r="P129" s="614"/>
      <c r="Q129" s="614"/>
      <c r="R129" s="614"/>
      <c r="S129" s="614"/>
      <c r="T129" s="614"/>
      <c r="U129" s="614"/>
      <c r="V129" s="614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</row>
    <row r="130" spans="2:46">
      <c r="B130" s="614"/>
      <c r="C130" s="614"/>
      <c r="D130" s="652" t="s">
        <v>544</v>
      </c>
      <c r="E130" s="652" t="s">
        <v>140</v>
      </c>
      <c r="F130" s="653" t="s">
        <v>226</v>
      </c>
      <c r="G130" s="614"/>
      <c r="H130" s="614"/>
      <c r="I130" s="614"/>
      <c r="J130" s="614"/>
      <c r="K130" s="614"/>
      <c r="L130" s="614"/>
      <c r="M130" s="614"/>
      <c r="N130" s="614"/>
      <c r="O130" s="614"/>
      <c r="P130" s="614"/>
      <c r="Q130" s="614"/>
      <c r="R130" s="614"/>
      <c r="S130" s="614"/>
      <c r="T130" s="614"/>
      <c r="U130" s="614"/>
      <c r="V130" s="614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</row>
    <row r="131" spans="2:46">
      <c r="B131" s="614"/>
      <c r="C131" s="614"/>
      <c r="D131" s="647" t="s">
        <v>774</v>
      </c>
      <c r="E131" s="648">
        <v>38289</v>
      </c>
      <c r="F131" s="649">
        <f>E131*F136/E136</f>
        <v>0.84495200264812975</v>
      </c>
      <c r="G131" s="614"/>
      <c r="H131" s="614"/>
      <c r="I131" s="614"/>
      <c r="J131" s="614"/>
      <c r="K131" s="614"/>
      <c r="L131" s="614"/>
      <c r="M131" s="614"/>
      <c r="N131" s="614"/>
      <c r="O131" s="614"/>
      <c r="P131" s="614"/>
      <c r="Q131" s="614"/>
      <c r="R131" s="614"/>
      <c r="S131" s="614"/>
      <c r="T131" s="614"/>
      <c r="U131" s="614"/>
      <c r="V131" s="614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</row>
    <row r="132" spans="2:46">
      <c r="B132" s="614"/>
      <c r="C132" s="614"/>
      <c r="D132" s="647" t="s">
        <v>775</v>
      </c>
      <c r="E132" s="648">
        <v>4295</v>
      </c>
      <c r="F132" s="649">
        <f>E132*F136/E136</f>
        <v>9.47809776012358E-2</v>
      </c>
      <c r="G132" s="614"/>
      <c r="H132" s="614"/>
      <c r="I132" s="614"/>
      <c r="J132" s="614"/>
      <c r="K132" s="614"/>
      <c r="L132" s="614"/>
      <c r="M132" s="614"/>
      <c r="N132" s="614"/>
      <c r="O132" s="614"/>
      <c r="P132" s="614"/>
      <c r="Q132" s="614"/>
      <c r="R132" s="614"/>
      <c r="S132" s="614"/>
      <c r="T132" s="614"/>
      <c r="U132" s="614"/>
      <c r="V132" s="614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</row>
    <row r="133" spans="2:46">
      <c r="B133" s="614"/>
      <c r="C133" s="614"/>
      <c r="D133" s="647" t="s">
        <v>776</v>
      </c>
      <c r="E133" s="648">
        <v>1389</v>
      </c>
      <c r="F133" s="649">
        <f>E133*F136/E136</f>
        <v>3.0652101952995697E-2</v>
      </c>
      <c r="G133" s="614"/>
      <c r="H133" s="614"/>
      <c r="I133" s="614"/>
      <c r="J133" s="614"/>
      <c r="K133" s="614"/>
      <c r="L133" s="614"/>
      <c r="M133" s="614"/>
      <c r="N133" s="614"/>
      <c r="O133" s="614"/>
      <c r="P133" s="614"/>
      <c r="Q133" s="614"/>
      <c r="R133" s="614"/>
      <c r="S133" s="614"/>
      <c r="T133" s="614"/>
      <c r="U133" s="614"/>
      <c r="V133" s="614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</row>
    <row r="134" spans="2:46">
      <c r="B134" s="614"/>
      <c r="C134" s="614"/>
      <c r="D134" s="647" t="s">
        <v>737</v>
      </c>
      <c r="E134" s="648">
        <v>1342</v>
      </c>
      <c r="F134" s="649">
        <f>E134*F136/E136</f>
        <v>2.9614917797638751E-2</v>
      </c>
      <c r="G134" s="614"/>
      <c r="H134" s="614"/>
      <c r="I134" s="614"/>
      <c r="J134" s="614"/>
      <c r="K134" s="614"/>
      <c r="L134" s="614"/>
      <c r="M134" s="614"/>
      <c r="N134" s="614"/>
      <c r="O134" s="614"/>
      <c r="P134" s="614"/>
      <c r="Q134" s="614"/>
      <c r="R134" s="614"/>
      <c r="S134" s="614"/>
      <c r="T134" s="614"/>
      <c r="U134" s="614"/>
      <c r="V134" s="61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</row>
    <row r="135" spans="2:46">
      <c r="B135" s="614"/>
      <c r="C135" s="614"/>
      <c r="D135" s="614"/>
      <c r="E135" s="614"/>
      <c r="F135" s="614"/>
      <c r="G135" s="614"/>
      <c r="H135" s="614"/>
      <c r="I135" s="614"/>
      <c r="J135" s="614"/>
      <c r="K135" s="614"/>
      <c r="L135" s="614"/>
      <c r="M135" s="614"/>
      <c r="N135" s="614"/>
      <c r="O135" s="614"/>
      <c r="P135" s="614"/>
      <c r="Q135" s="614"/>
      <c r="R135" s="614"/>
      <c r="S135" s="614"/>
      <c r="T135" s="614"/>
      <c r="U135" s="614"/>
      <c r="V135" s="614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</row>
    <row r="136" spans="2:46">
      <c r="B136" s="614"/>
      <c r="C136" s="614"/>
      <c r="D136" s="643" t="s">
        <v>716</v>
      </c>
      <c r="E136" s="614">
        <f>SUM(E131:E134)</f>
        <v>45315</v>
      </c>
      <c r="F136" s="645">
        <v>1</v>
      </c>
      <c r="G136" s="614"/>
      <c r="H136" s="614"/>
      <c r="I136" s="614"/>
      <c r="J136" s="614"/>
      <c r="K136" s="614"/>
      <c r="L136" s="614"/>
      <c r="M136" s="614"/>
      <c r="N136" s="614"/>
      <c r="O136" s="614"/>
      <c r="P136" s="614"/>
      <c r="Q136" s="614"/>
      <c r="R136" s="614"/>
      <c r="S136" s="614"/>
      <c r="T136" s="614"/>
      <c r="U136" s="614"/>
      <c r="V136" s="614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</row>
    <row r="137" spans="2:46">
      <c r="B137" s="614"/>
      <c r="C137" s="614"/>
      <c r="D137" s="614"/>
      <c r="E137" s="614"/>
      <c r="F137" s="614"/>
      <c r="G137" s="614"/>
      <c r="H137" s="614"/>
      <c r="I137" s="614"/>
      <c r="J137" s="614"/>
      <c r="K137" s="614"/>
      <c r="L137" s="614"/>
      <c r="M137" s="614"/>
      <c r="N137" s="614"/>
      <c r="O137" s="614"/>
      <c r="P137" s="614"/>
      <c r="Q137" s="614"/>
      <c r="R137" s="614"/>
      <c r="S137" s="614"/>
      <c r="T137" s="614"/>
      <c r="U137" s="614"/>
      <c r="V137" s="614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</row>
    <row r="138" spans="2:46">
      <c r="B138" s="614"/>
      <c r="C138" s="614"/>
      <c r="D138" s="614"/>
      <c r="E138" s="614"/>
      <c r="F138" s="614"/>
      <c r="G138" s="614"/>
      <c r="H138" s="614"/>
      <c r="I138" s="614"/>
      <c r="J138" s="614"/>
      <c r="K138" s="614"/>
      <c r="L138" s="614"/>
      <c r="M138" s="614"/>
      <c r="N138" s="614"/>
      <c r="O138" s="614"/>
      <c r="P138" s="614"/>
      <c r="Q138" s="614"/>
      <c r="R138" s="614"/>
      <c r="S138" s="614"/>
      <c r="T138" s="614"/>
      <c r="U138" s="614"/>
      <c r="V138" s="614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</row>
    <row r="139" spans="2:46">
      <c r="B139" s="614"/>
      <c r="C139" s="614"/>
      <c r="D139" s="614"/>
      <c r="E139" s="614"/>
      <c r="F139" s="614"/>
      <c r="G139" s="614"/>
      <c r="H139" s="614"/>
      <c r="I139" s="614"/>
      <c r="J139" s="614"/>
      <c r="K139" s="614"/>
      <c r="L139" s="614"/>
      <c r="M139" s="614"/>
      <c r="N139" s="614"/>
      <c r="O139" s="614"/>
      <c r="P139" s="614"/>
      <c r="Q139" s="614"/>
      <c r="R139" s="614"/>
      <c r="S139" s="614"/>
      <c r="T139" s="614"/>
      <c r="U139" s="614"/>
      <c r="V139" s="614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</row>
    <row r="140" spans="2:46">
      <c r="B140" s="614"/>
      <c r="C140" s="614"/>
      <c r="D140" s="614"/>
      <c r="E140" s="614"/>
      <c r="F140" s="614"/>
      <c r="G140" s="614"/>
      <c r="H140" s="614"/>
      <c r="I140" s="614"/>
      <c r="J140" s="614"/>
      <c r="K140" s="614"/>
      <c r="L140" s="614"/>
      <c r="M140" s="614"/>
      <c r="N140" s="614"/>
      <c r="O140" s="614"/>
      <c r="P140" s="614"/>
      <c r="Q140" s="614"/>
      <c r="R140" s="614"/>
      <c r="S140" s="614"/>
      <c r="T140" s="614"/>
      <c r="U140" s="614"/>
      <c r="V140" s="614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</row>
    <row r="141" spans="2:46">
      <c r="B141" s="614"/>
      <c r="C141" s="614"/>
      <c r="D141" s="614"/>
      <c r="E141" s="614"/>
      <c r="F141" s="614"/>
      <c r="G141" s="614"/>
      <c r="H141" s="614"/>
      <c r="I141" s="614"/>
      <c r="J141" s="614"/>
      <c r="K141" s="614"/>
      <c r="L141" s="614"/>
      <c r="M141" s="614"/>
      <c r="N141" s="614"/>
      <c r="O141" s="614"/>
      <c r="P141" s="614"/>
      <c r="Q141" s="614"/>
      <c r="R141" s="614"/>
      <c r="S141" s="614"/>
      <c r="T141" s="614"/>
      <c r="U141" s="614"/>
      <c r="V141" s="614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</row>
    <row r="142" spans="2:46">
      <c r="B142" s="614"/>
      <c r="C142" s="614"/>
      <c r="D142" s="614"/>
      <c r="E142" s="614"/>
      <c r="F142" s="614"/>
      <c r="G142" s="614"/>
      <c r="H142" s="614"/>
      <c r="I142" s="614"/>
      <c r="J142" s="614"/>
      <c r="K142" s="614"/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</row>
    <row r="143" spans="2:46">
      <c r="B143" s="614"/>
      <c r="C143" s="614"/>
      <c r="D143" s="614"/>
      <c r="E143" s="614"/>
      <c r="F143" s="614"/>
      <c r="G143" s="614"/>
      <c r="H143" s="614"/>
      <c r="I143" s="614"/>
      <c r="J143" s="614"/>
      <c r="K143" s="614"/>
      <c r="L143" s="614"/>
      <c r="M143" s="614"/>
      <c r="N143" s="614"/>
      <c r="O143" s="614"/>
      <c r="P143" s="614"/>
      <c r="Q143" s="614"/>
      <c r="R143" s="614"/>
      <c r="S143" s="614"/>
      <c r="T143" s="614"/>
      <c r="U143" s="614"/>
      <c r="V143" s="614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</row>
    <row r="144" spans="2:46">
      <c r="B144" s="614"/>
      <c r="C144" s="614"/>
      <c r="D144" s="614"/>
      <c r="E144" s="614"/>
      <c r="F144" s="614"/>
      <c r="G144" s="614"/>
      <c r="H144" s="614"/>
      <c r="I144" s="614"/>
      <c r="J144" s="614"/>
      <c r="K144" s="614"/>
      <c r="L144" s="614"/>
      <c r="M144" s="614"/>
      <c r="N144" s="614"/>
      <c r="O144" s="614"/>
      <c r="P144" s="614"/>
      <c r="Q144" s="614"/>
      <c r="R144" s="614"/>
      <c r="S144" s="614"/>
      <c r="T144" s="614"/>
      <c r="U144" s="614"/>
      <c r="V144" s="61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</row>
    <row r="145" spans="2:46">
      <c r="B145" s="614"/>
      <c r="C145" s="614"/>
      <c r="D145" s="614"/>
      <c r="E145" s="614"/>
      <c r="F145" s="614"/>
      <c r="G145" s="614"/>
      <c r="H145" s="614"/>
      <c r="I145" s="614"/>
      <c r="J145" s="614"/>
      <c r="K145" s="614"/>
      <c r="L145" s="614"/>
      <c r="M145" s="614"/>
      <c r="N145" s="614"/>
      <c r="O145" s="614"/>
      <c r="P145" s="614"/>
      <c r="Q145" s="614"/>
      <c r="R145" s="614"/>
      <c r="S145" s="614"/>
      <c r="T145" s="614"/>
      <c r="U145" s="614"/>
      <c r="V145" s="614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</row>
    <row r="146" spans="2:46">
      <c r="B146" s="614"/>
      <c r="C146" s="614"/>
      <c r="D146" s="614"/>
      <c r="E146" s="614"/>
      <c r="F146" s="614"/>
      <c r="G146" s="614"/>
      <c r="H146" s="614"/>
      <c r="I146" s="614"/>
      <c r="J146" s="614"/>
      <c r="K146" s="614"/>
      <c r="L146" s="614"/>
      <c r="M146" s="614"/>
      <c r="N146" s="614"/>
      <c r="O146" s="614"/>
      <c r="P146" s="614"/>
      <c r="Q146" s="614"/>
      <c r="R146" s="614"/>
      <c r="S146" s="614"/>
      <c r="T146" s="614"/>
      <c r="U146" s="614"/>
      <c r="V146" s="614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</row>
    <row r="147" spans="2:46">
      <c r="B147" s="614"/>
      <c r="C147" s="614"/>
      <c r="D147" s="614"/>
      <c r="E147" s="614"/>
      <c r="F147" s="614"/>
      <c r="G147" s="614"/>
      <c r="H147" s="614"/>
      <c r="I147" s="614"/>
      <c r="J147" s="614"/>
      <c r="K147" s="614"/>
      <c r="L147" s="614"/>
      <c r="M147" s="614"/>
      <c r="N147" s="614"/>
      <c r="O147" s="614"/>
      <c r="P147" s="614"/>
      <c r="Q147" s="614"/>
      <c r="R147" s="614"/>
      <c r="S147" s="614"/>
      <c r="T147" s="614"/>
      <c r="U147" s="614"/>
      <c r="V147" s="614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</row>
    <row r="148" spans="2:46">
      <c r="B148" s="614"/>
      <c r="C148" s="614"/>
      <c r="D148" s="614"/>
      <c r="E148" s="614"/>
      <c r="F148" s="614"/>
      <c r="G148" s="614"/>
      <c r="H148" s="614"/>
      <c r="I148" s="614"/>
      <c r="J148" s="614"/>
      <c r="K148" s="614"/>
      <c r="L148" s="614"/>
      <c r="M148" s="614"/>
      <c r="N148" s="614"/>
      <c r="O148" s="614"/>
      <c r="P148" s="614"/>
      <c r="Q148" s="614"/>
      <c r="R148" s="614"/>
      <c r="S148" s="614"/>
      <c r="T148" s="614"/>
      <c r="U148" s="614"/>
      <c r="V148" s="614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</row>
    <row r="149" spans="2:46">
      <c r="B149" s="614"/>
      <c r="C149" s="614"/>
      <c r="D149" s="614"/>
      <c r="E149" s="614"/>
      <c r="F149" s="614"/>
      <c r="G149" s="614"/>
      <c r="H149" s="614"/>
      <c r="I149" s="614"/>
      <c r="J149" s="614"/>
      <c r="K149" s="614"/>
      <c r="L149" s="614"/>
      <c r="M149" s="614"/>
      <c r="N149" s="614"/>
      <c r="O149" s="614"/>
      <c r="P149" s="614"/>
      <c r="Q149" s="614"/>
      <c r="R149" s="614"/>
      <c r="S149" s="614"/>
      <c r="T149" s="614"/>
      <c r="U149" s="614"/>
      <c r="V149" s="614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</row>
    <row r="150" spans="2:46">
      <c r="B150" s="614"/>
      <c r="C150" s="614"/>
      <c r="D150" s="614"/>
      <c r="E150" s="614"/>
      <c r="F150" s="614"/>
      <c r="G150" s="614"/>
      <c r="H150" s="614"/>
      <c r="I150" s="614"/>
      <c r="J150" s="614"/>
      <c r="K150" s="614"/>
      <c r="L150" s="614"/>
      <c r="M150" s="614"/>
      <c r="N150" s="614"/>
      <c r="O150" s="614"/>
      <c r="P150" s="614"/>
      <c r="Q150" s="614"/>
      <c r="R150" s="614"/>
      <c r="S150" s="614"/>
      <c r="T150" s="614"/>
      <c r="U150" s="614"/>
      <c r="V150" s="614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</row>
    <row r="151" spans="2:46">
      <c r="B151" s="614"/>
      <c r="C151" s="614"/>
      <c r="D151" s="614"/>
      <c r="E151" s="614"/>
      <c r="F151" s="614"/>
      <c r="G151" s="614"/>
      <c r="H151" s="614"/>
      <c r="I151" s="614"/>
      <c r="J151" s="614"/>
      <c r="K151" s="614"/>
      <c r="L151" s="614"/>
      <c r="M151" s="614"/>
      <c r="N151" s="614"/>
      <c r="O151" s="614"/>
      <c r="P151" s="614"/>
      <c r="Q151" s="614"/>
      <c r="R151" s="614"/>
      <c r="S151" s="614"/>
      <c r="T151" s="614"/>
      <c r="U151" s="614"/>
      <c r="V151" s="614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</row>
    <row r="152" spans="2:46">
      <c r="B152" s="614"/>
      <c r="C152" s="614"/>
      <c r="D152" s="614"/>
      <c r="E152" s="614"/>
      <c r="F152" s="614"/>
      <c r="G152" s="614"/>
      <c r="H152" s="614"/>
      <c r="I152" s="614"/>
      <c r="J152" s="614"/>
      <c r="K152" s="614"/>
      <c r="L152" s="614"/>
      <c r="M152" s="614"/>
      <c r="N152" s="614"/>
      <c r="O152" s="614"/>
      <c r="P152" s="614"/>
      <c r="Q152" s="614"/>
      <c r="R152" s="614"/>
      <c r="S152" s="614"/>
      <c r="T152" s="614"/>
      <c r="U152" s="614"/>
      <c r="V152" s="614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</row>
    <row r="153" spans="2:46"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</row>
    <row r="154" spans="2:46">
      <c r="B154" s="614"/>
      <c r="C154" s="614"/>
      <c r="D154" s="614"/>
      <c r="E154" s="614"/>
      <c r="F154" s="614"/>
      <c r="G154" s="614"/>
      <c r="H154" s="614"/>
      <c r="I154" s="614"/>
      <c r="J154" s="614"/>
      <c r="K154" s="614"/>
      <c r="L154" s="614"/>
      <c r="M154" s="614"/>
      <c r="N154" s="614"/>
      <c r="O154" s="614"/>
      <c r="P154" s="614"/>
      <c r="Q154" s="614"/>
      <c r="R154" s="614"/>
      <c r="S154" s="614"/>
      <c r="T154" s="614"/>
      <c r="U154" s="614"/>
      <c r="V154" s="61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</row>
    <row r="155" spans="2:46">
      <c r="B155" s="614"/>
      <c r="C155" s="614"/>
      <c r="D155" s="614"/>
      <c r="E155" s="614"/>
      <c r="F155" s="614"/>
      <c r="G155" s="614"/>
      <c r="H155" s="614"/>
      <c r="I155" s="614"/>
      <c r="J155" s="614"/>
      <c r="K155" s="614"/>
      <c r="L155" s="614"/>
      <c r="M155" s="614"/>
      <c r="N155" s="614"/>
      <c r="O155" s="614"/>
      <c r="P155" s="614"/>
      <c r="Q155" s="614"/>
      <c r="R155" s="614"/>
      <c r="S155" s="614"/>
      <c r="T155" s="614"/>
      <c r="U155" s="614"/>
      <c r="V155" s="614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</row>
    <row r="156" spans="2:46">
      <c r="B156" s="614"/>
      <c r="C156" s="614"/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  <c r="N156" s="614"/>
      <c r="O156" s="614"/>
      <c r="P156" s="614"/>
      <c r="Q156" s="614"/>
      <c r="R156" s="614"/>
      <c r="S156" s="614"/>
      <c r="T156" s="614"/>
      <c r="U156" s="614"/>
      <c r="V156" s="614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</row>
    <row r="157" spans="2:46">
      <c r="B157" s="614"/>
      <c r="C157" s="614"/>
      <c r="D157" s="614"/>
      <c r="E157" s="614"/>
      <c r="F157" s="614"/>
      <c r="G157" s="614"/>
      <c r="H157" s="614"/>
      <c r="I157" s="614"/>
      <c r="J157" s="614"/>
      <c r="K157" s="614"/>
      <c r="L157" s="614"/>
      <c r="M157" s="614"/>
      <c r="N157" s="614"/>
      <c r="O157" s="614"/>
      <c r="P157" s="614"/>
      <c r="Q157" s="614"/>
      <c r="R157" s="614"/>
      <c r="S157" s="614"/>
      <c r="T157" s="614"/>
      <c r="U157" s="614"/>
      <c r="V157" s="614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</row>
    <row r="158" spans="2:46">
      <c r="B158" s="614"/>
      <c r="C158" s="614"/>
      <c r="D158" s="614"/>
      <c r="E158" s="614"/>
      <c r="F158" s="614"/>
      <c r="G158" s="614"/>
      <c r="H158" s="614"/>
      <c r="I158" s="614"/>
      <c r="J158" s="614"/>
      <c r="K158" s="614"/>
      <c r="L158" s="614"/>
      <c r="M158" s="614"/>
      <c r="N158" s="614"/>
      <c r="O158" s="614"/>
      <c r="P158" s="614"/>
      <c r="Q158" s="614"/>
      <c r="R158" s="614"/>
      <c r="S158" s="614"/>
      <c r="T158" s="614"/>
      <c r="U158" s="614"/>
      <c r="V158" s="614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</row>
    <row r="159" spans="2:46">
      <c r="B159" s="614"/>
      <c r="C159" s="614"/>
      <c r="D159" s="614"/>
      <c r="E159" s="614"/>
      <c r="F159" s="614"/>
      <c r="G159" s="614"/>
      <c r="H159" s="614"/>
      <c r="I159" s="614"/>
      <c r="J159" s="614"/>
      <c r="K159" s="614"/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</row>
    <row r="160" spans="2:46">
      <c r="B160" s="614"/>
      <c r="C160" s="614"/>
      <c r="D160" s="614"/>
      <c r="E160" s="614"/>
      <c r="F160" s="614"/>
      <c r="G160" s="614"/>
      <c r="H160" s="614"/>
      <c r="I160" s="614"/>
      <c r="J160" s="614"/>
      <c r="K160" s="614"/>
      <c r="L160" s="614"/>
      <c r="M160" s="614"/>
      <c r="N160" s="614"/>
      <c r="O160" s="614"/>
      <c r="P160" s="614"/>
      <c r="Q160" s="614"/>
      <c r="R160" s="614"/>
      <c r="S160" s="614"/>
      <c r="T160" s="614"/>
      <c r="U160" s="614"/>
      <c r="V160" s="614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</row>
    <row r="161" spans="2:46">
      <c r="B161" s="614"/>
      <c r="C161" s="614"/>
      <c r="D161" s="614"/>
      <c r="E161" s="614"/>
      <c r="F161" s="614"/>
      <c r="G161" s="614"/>
      <c r="H161" s="614"/>
      <c r="I161" s="614"/>
      <c r="J161" s="614"/>
      <c r="K161" s="614"/>
      <c r="L161" s="614"/>
      <c r="M161" s="614"/>
      <c r="N161" s="614"/>
      <c r="O161" s="614"/>
      <c r="P161" s="614"/>
      <c r="Q161" s="614"/>
      <c r="R161" s="614"/>
      <c r="S161" s="614"/>
      <c r="T161" s="614"/>
      <c r="U161" s="614"/>
      <c r="V161" s="614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</row>
    <row r="162" spans="2:46">
      <c r="B162" s="614"/>
      <c r="C162" s="614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  <c r="N162" s="614"/>
      <c r="O162" s="614"/>
      <c r="P162" s="614"/>
      <c r="Q162" s="614"/>
      <c r="R162" s="614"/>
      <c r="S162" s="614"/>
      <c r="T162" s="614"/>
      <c r="U162" s="614"/>
      <c r="V162" s="614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</row>
    <row r="163" spans="2:46">
      <c r="B163" s="614"/>
      <c r="C163" s="614"/>
      <c r="D163" s="614"/>
      <c r="E163" s="614"/>
      <c r="F163" s="614"/>
      <c r="G163" s="614"/>
      <c r="H163" s="614"/>
      <c r="I163" s="614"/>
      <c r="J163" s="614"/>
      <c r="K163" s="614"/>
      <c r="L163" s="614"/>
      <c r="M163" s="614"/>
      <c r="N163" s="614"/>
      <c r="O163" s="614"/>
      <c r="P163" s="614"/>
      <c r="Q163" s="614"/>
      <c r="R163" s="614"/>
      <c r="S163" s="614"/>
      <c r="T163" s="614"/>
      <c r="U163" s="614"/>
      <c r="V163" s="614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</row>
    <row r="164" spans="2:46">
      <c r="B164" s="614"/>
      <c r="C164" s="614"/>
      <c r="D164" s="614"/>
      <c r="E164" s="614"/>
      <c r="F164" s="614"/>
      <c r="G164" s="614"/>
      <c r="H164" s="614"/>
      <c r="I164" s="614"/>
      <c r="J164" s="614"/>
      <c r="K164" s="614"/>
      <c r="L164" s="614"/>
      <c r="M164" s="614"/>
      <c r="N164" s="614"/>
      <c r="O164" s="614"/>
      <c r="P164" s="614"/>
      <c r="Q164" s="614"/>
      <c r="R164" s="614"/>
      <c r="S164" s="614"/>
      <c r="T164" s="614"/>
      <c r="U164" s="614"/>
      <c r="V164" s="61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</row>
    <row r="165" spans="2:46">
      <c r="B165" s="614"/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4"/>
      <c r="Q165" s="614"/>
      <c r="R165" s="614"/>
      <c r="S165" s="614"/>
      <c r="T165" s="614"/>
      <c r="U165" s="614"/>
      <c r="V165" s="614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</row>
    <row r="166" spans="2:46">
      <c r="B166" s="614"/>
      <c r="C166" s="614"/>
      <c r="D166" s="614"/>
      <c r="E166" s="614"/>
      <c r="F166" s="614"/>
      <c r="G166" s="614"/>
      <c r="H166" s="614"/>
      <c r="I166" s="614"/>
      <c r="J166" s="614"/>
      <c r="K166" s="614"/>
      <c r="L166" s="614"/>
      <c r="M166" s="614"/>
      <c r="N166" s="614"/>
      <c r="O166" s="614"/>
      <c r="P166" s="614"/>
      <c r="Q166" s="614"/>
      <c r="R166" s="614"/>
      <c r="S166" s="614"/>
      <c r="T166" s="614"/>
      <c r="U166" s="614"/>
      <c r="V166" s="614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</row>
    <row r="167" spans="2:46">
      <c r="B167" s="614"/>
      <c r="C167" s="614"/>
      <c r="D167" s="614"/>
      <c r="E167" s="614"/>
      <c r="F167" s="614"/>
      <c r="G167" s="614"/>
      <c r="H167" s="614"/>
      <c r="I167" s="614"/>
      <c r="J167" s="614"/>
      <c r="K167" s="614"/>
      <c r="L167" s="614"/>
      <c r="M167" s="614"/>
      <c r="N167" s="614"/>
      <c r="O167" s="614"/>
      <c r="P167" s="614"/>
      <c r="Q167" s="614"/>
      <c r="R167" s="614"/>
      <c r="S167" s="614"/>
      <c r="T167" s="614"/>
      <c r="U167" s="614"/>
      <c r="V167" s="614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</row>
    <row r="168" spans="2:46">
      <c r="B168" s="614"/>
      <c r="C168" s="614"/>
      <c r="D168" s="614"/>
      <c r="E168" s="614"/>
      <c r="F168" s="614"/>
      <c r="G168" s="614"/>
      <c r="H168" s="614"/>
      <c r="I168" s="614"/>
      <c r="J168" s="614"/>
      <c r="K168" s="614"/>
      <c r="L168" s="614"/>
      <c r="M168" s="614"/>
      <c r="N168" s="614"/>
      <c r="O168" s="614"/>
      <c r="P168" s="614"/>
      <c r="Q168" s="614"/>
      <c r="R168" s="614"/>
      <c r="S168" s="614"/>
      <c r="T168" s="614"/>
      <c r="U168" s="614"/>
      <c r="V168" s="614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</row>
    <row r="169" spans="2:46">
      <c r="B169" s="614"/>
      <c r="C169" s="614"/>
      <c r="D169" s="614"/>
      <c r="E169" s="614"/>
      <c r="F169" s="614"/>
      <c r="G169" s="614"/>
      <c r="H169" s="614"/>
      <c r="I169" s="614"/>
      <c r="J169" s="614"/>
      <c r="K169" s="614"/>
      <c r="L169" s="614"/>
      <c r="M169" s="614"/>
      <c r="N169" s="614"/>
      <c r="O169" s="614"/>
      <c r="P169" s="614"/>
      <c r="Q169" s="614"/>
      <c r="R169" s="614"/>
      <c r="S169" s="614"/>
      <c r="T169" s="614"/>
      <c r="U169" s="614"/>
      <c r="V169" s="614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</row>
    <row r="170" spans="2:46">
      <c r="B170" s="614"/>
      <c r="C170" s="614"/>
      <c r="D170" s="614"/>
      <c r="E170" s="614"/>
      <c r="F170" s="614"/>
      <c r="G170" s="614"/>
      <c r="H170" s="614"/>
      <c r="I170" s="614"/>
      <c r="J170" s="614"/>
      <c r="K170" s="614"/>
      <c r="L170" s="614"/>
      <c r="M170" s="614"/>
      <c r="N170" s="614"/>
      <c r="O170" s="614"/>
      <c r="P170" s="614"/>
      <c r="Q170" s="614"/>
      <c r="R170" s="614"/>
      <c r="S170" s="614"/>
      <c r="T170" s="614"/>
      <c r="U170" s="614"/>
      <c r="V170" s="614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</row>
    <row r="171" spans="2:46">
      <c r="B171" s="614"/>
      <c r="C171" s="614"/>
      <c r="D171" s="614"/>
      <c r="E171" s="614"/>
      <c r="F171" s="614"/>
      <c r="G171" s="614"/>
      <c r="H171" s="614"/>
      <c r="I171" s="614"/>
      <c r="J171" s="614"/>
      <c r="K171" s="614"/>
      <c r="L171" s="614"/>
      <c r="M171" s="614"/>
      <c r="N171" s="614"/>
      <c r="O171" s="614"/>
      <c r="P171" s="614"/>
      <c r="Q171" s="614"/>
      <c r="R171" s="614"/>
      <c r="S171" s="614"/>
      <c r="T171" s="614"/>
      <c r="U171" s="614"/>
      <c r="V171" s="614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</row>
    <row r="172" spans="2:46">
      <c r="B172" s="614"/>
      <c r="C172" s="614"/>
      <c r="D172" s="614"/>
      <c r="E172" s="614"/>
      <c r="F172" s="614"/>
      <c r="G172" s="614"/>
      <c r="H172" s="614"/>
      <c r="I172" s="614"/>
      <c r="J172" s="614"/>
      <c r="K172" s="614"/>
      <c r="L172" s="614"/>
      <c r="M172" s="614"/>
      <c r="N172" s="614"/>
      <c r="O172" s="614"/>
      <c r="P172" s="614"/>
      <c r="Q172" s="614"/>
      <c r="R172" s="614"/>
      <c r="S172" s="614"/>
      <c r="T172" s="614"/>
      <c r="U172" s="614"/>
      <c r="V172" s="614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</row>
    <row r="173" spans="2:46">
      <c r="B173" s="614"/>
      <c r="C173" s="614"/>
      <c r="D173" s="614"/>
      <c r="E173" s="614"/>
      <c r="F173" s="614"/>
      <c r="G173" s="614"/>
      <c r="H173" s="614"/>
      <c r="I173" s="614"/>
      <c r="J173" s="614"/>
      <c r="K173" s="614"/>
      <c r="L173" s="614"/>
      <c r="M173" s="614"/>
      <c r="N173" s="614"/>
      <c r="O173" s="614"/>
      <c r="P173" s="614"/>
      <c r="Q173" s="614"/>
      <c r="R173" s="614"/>
      <c r="S173" s="614"/>
      <c r="T173" s="614"/>
      <c r="U173" s="614"/>
      <c r="V173" s="614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</row>
    <row r="174" spans="2:46">
      <c r="B174" s="614"/>
      <c r="C174" s="614"/>
      <c r="D174" s="614"/>
      <c r="E174" s="614"/>
      <c r="F174" s="614"/>
      <c r="G174" s="614"/>
      <c r="H174" s="614"/>
      <c r="I174" s="614"/>
      <c r="J174" s="614"/>
      <c r="K174" s="614"/>
      <c r="L174" s="614"/>
      <c r="M174" s="614"/>
      <c r="N174" s="614"/>
      <c r="O174" s="614"/>
      <c r="P174" s="614"/>
      <c r="Q174" s="614"/>
      <c r="R174" s="614"/>
      <c r="S174" s="614"/>
      <c r="T174" s="614"/>
      <c r="U174" s="614"/>
      <c r="V174" s="61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</row>
    <row r="175" spans="2:46">
      <c r="B175" s="614"/>
      <c r="C175" s="614"/>
      <c r="D175" s="614"/>
      <c r="E175" s="614"/>
      <c r="F175" s="614"/>
      <c r="G175" s="614"/>
      <c r="H175" s="614"/>
      <c r="I175" s="614"/>
      <c r="J175" s="614"/>
      <c r="K175" s="614"/>
      <c r="L175" s="614"/>
      <c r="M175" s="614"/>
      <c r="N175" s="614"/>
      <c r="O175" s="614"/>
      <c r="P175" s="614"/>
      <c r="Q175" s="614"/>
      <c r="R175" s="614"/>
      <c r="S175" s="614"/>
      <c r="T175" s="614"/>
      <c r="U175" s="614"/>
      <c r="V175" s="614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</row>
    <row r="176" spans="2:46">
      <c r="B176" s="614"/>
      <c r="C176" s="614"/>
      <c r="D176" s="614"/>
      <c r="E176" s="614"/>
      <c r="F176" s="614"/>
      <c r="G176" s="614"/>
      <c r="H176" s="614"/>
      <c r="I176" s="614"/>
      <c r="J176" s="614"/>
      <c r="K176" s="614"/>
      <c r="L176" s="614"/>
      <c r="M176" s="614"/>
      <c r="N176" s="614"/>
      <c r="O176" s="614"/>
      <c r="P176" s="614"/>
      <c r="Q176" s="614"/>
      <c r="R176" s="614"/>
      <c r="S176" s="614"/>
      <c r="T176" s="614"/>
      <c r="U176" s="614"/>
      <c r="V176" s="614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</row>
    <row r="177" spans="2:46">
      <c r="B177" s="614"/>
      <c r="C177" s="614"/>
      <c r="D177" s="614"/>
      <c r="E177" s="614"/>
      <c r="F177" s="614"/>
      <c r="G177" s="614"/>
      <c r="H177" s="614"/>
      <c r="I177" s="614"/>
      <c r="J177" s="614"/>
      <c r="K177" s="614"/>
      <c r="L177" s="614"/>
      <c r="M177" s="614"/>
      <c r="N177" s="614"/>
      <c r="O177" s="614"/>
      <c r="P177" s="614"/>
      <c r="Q177" s="614"/>
      <c r="R177" s="614"/>
      <c r="S177" s="614"/>
      <c r="T177" s="614"/>
      <c r="U177" s="614"/>
      <c r="V177" s="614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</row>
    <row r="178" spans="2:46">
      <c r="B178" s="614"/>
      <c r="C178" s="614"/>
      <c r="D178" s="614"/>
      <c r="E178" s="614"/>
      <c r="F178" s="614"/>
      <c r="G178" s="614"/>
      <c r="H178" s="614"/>
      <c r="I178" s="614"/>
      <c r="J178" s="614"/>
      <c r="K178" s="614"/>
      <c r="L178" s="614"/>
      <c r="M178" s="614"/>
      <c r="N178" s="614"/>
      <c r="O178" s="614"/>
      <c r="P178" s="614"/>
      <c r="Q178" s="614"/>
      <c r="R178" s="614"/>
      <c r="S178" s="614"/>
      <c r="T178" s="614"/>
      <c r="U178" s="614"/>
      <c r="V178" s="614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</row>
    <row r="179" spans="2:46">
      <c r="B179" s="614"/>
      <c r="C179" s="614"/>
      <c r="D179" s="614"/>
      <c r="E179" s="614"/>
      <c r="F179" s="614"/>
      <c r="G179" s="614"/>
      <c r="H179" s="614"/>
      <c r="I179" s="614"/>
      <c r="J179" s="614"/>
      <c r="K179" s="614"/>
      <c r="L179" s="614"/>
      <c r="M179" s="614"/>
      <c r="N179" s="614"/>
      <c r="O179" s="614"/>
      <c r="P179" s="614"/>
      <c r="Q179" s="614"/>
      <c r="R179" s="614"/>
      <c r="S179" s="614"/>
      <c r="T179" s="614"/>
      <c r="U179" s="614"/>
      <c r="V179" s="614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</row>
    <row r="180" spans="2:46">
      <c r="B180" s="614"/>
      <c r="C180" s="614"/>
      <c r="D180" s="614"/>
      <c r="E180" s="614"/>
      <c r="F180" s="614"/>
      <c r="G180" s="614"/>
      <c r="H180" s="614"/>
      <c r="I180" s="614"/>
      <c r="J180" s="614"/>
      <c r="K180" s="614"/>
      <c r="L180" s="614"/>
      <c r="M180" s="614"/>
      <c r="N180" s="614"/>
      <c r="O180" s="614"/>
      <c r="P180" s="614"/>
      <c r="Q180" s="614"/>
      <c r="R180" s="614"/>
      <c r="S180" s="614"/>
      <c r="T180" s="614"/>
      <c r="U180" s="614"/>
      <c r="V180" s="614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</row>
    <row r="181" spans="2:46">
      <c r="B181" s="614"/>
      <c r="C181" s="614"/>
      <c r="D181" s="614"/>
      <c r="E181" s="614"/>
      <c r="F181" s="614"/>
      <c r="G181" s="614"/>
      <c r="H181" s="614"/>
      <c r="I181" s="614"/>
      <c r="J181" s="614"/>
      <c r="K181" s="614"/>
      <c r="L181" s="614"/>
      <c r="M181" s="614"/>
      <c r="N181" s="614"/>
      <c r="O181" s="614"/>
      <c r="P181" s="614"/>
      <c r="Q181" s="614"/>
      <c r="R181" s="614"/>
      <c r="S181" s="614"/>
      <c r="T181" s="614"/>
      <c r="U181" s="614"/>
      <c r="V181" s="614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</row>
    <row r="182" spans="2:46">
      <c r="B182" s="614"/>
      <c r="C182" s="614"/>
      <c r="D182" s="614"/>
      <c r="E182" s="614"/>
      <c r="F182" s="614"/>
      <c r="G182" s="614"/>
      <c r="H182" s="614"/>
      <c r="I182" s="614"/>
      <c r="J182" s="614"/>
      <c r="K182" s="614"/>
      <c r="L182" s="614"/>
      <c r="M182" s="614"/>
      <c r="N182" s="614"/>
      <c r="O182" s="614"/>
      <c r="P182" s="614"/>
      <c r="Q182" s="614"/>
      <c r="R182" s="614"/>
      <c r="S182" s="614"/>
      <c r="T182" s="614"/>
      <c r="U182" s="614"/>
      <c r="V182" s="614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</row>
    <row r="183" spans="2:46">
      <c r="B183" s="614"/>
      <c r="C183" s="614"/>
      <c r="D183" s="614"/>
      <c r="E183" s="614"/>
      <c r="F183" s="614"/>
      <c r="G183" s="614"/>
      <c r="H183" s="614"/>
      <c r="I183" s="614"/>
      <c r="J183" s="614"/>
      <c r="K183" s="614"/>
      <c r="L183" s="614"/>
      <c r="M183" s="614"/>
      <c r="N183" s="614"/>
      <c r="O183" s="614"/>
      <c r="P183" s="614"/>
      <c r="Q183" s="614"/>
      <c r="R183" s="614"/>
      <c r="S183" s="614"/>
      <c r="T183" s="614"/>
      <c r="U183" s="614"/>
      <c r="V183" s="614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</row>
    <row r="184" spans="2:46">
      <c r="B184" s="614"/>
      <c r="C184" s="614"/>
      <c r="D184" s="614"/>
      <c r="E184" s="614"/>
      <c r="F184" s="614"/>
      <c r="G184" s="614"/>
      <c r="H184" s="614"/>
      <c r="I184" s="614"/>
      <c r="J184" s="614"/>
      <c r="K184" s="614"/>
      <c r="L184" s="614"/>
      <c r="M184" s="614"/>
      <c r="N184" s="614"/>
      <c r="O184" s="614"/>
      <c r="P184" s="614"/>
      <c r="Q184" s="614"/>
      <c r="R184" s="614"/>
      <c r="S184" s="614"/>
      <c r="T184" s="614"/>
      <c r="U184" s="614"/>
      <c r="V184" s="61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</row>
    <row r="185" spans="2:46">
      <c r="B185" s="614"/>
      <c r="C185" s="614"/>
      <c r="D185" s="614"/>
      <c r="E185" s="614"/>
      <c r="F185" s="614"/>
      <c r="G185" s="614"/>
      <c r="H185" s="614"/>
      <c r="I185" s="614"/>
      <c r="J185" s="614"/>
      <c r="K185" s="614"/>
      <c r="L185" s="614"/>
      <c r="M185" s="614"/>
      <c r="N185" s="614"/>
      <c r="O185" s="614"/>
      <c r="P185" s="614"/>
      <c r="Q185" s="614"/>
      <c r="R185" s="614"/>
      <c r="S185" s="614"/>
      <c r="T185" s="614"/>
      <c r="U185" s="614"/>
      <c r="V185" s="614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</row>
    <row r="186" spans="2:46">
      <c r="B186" s="614"/>
      <c r="C186" s="614"/>
      <c r="D186" s="614"/>
      <c r="E186" s="614"/>
      <c r="F186" s="614"/>
      <c r="G186" s="614"/>
      <c r="H186" s="614"/>
      <c r="I186" s="614"/>
      <c r="J186" s="614"/>
      <c r="K186" s="614"/>
      <c r="L186" s="614"/>
      <c r="M186" s="614"/>
      <c r="N186" s="614"/>
      <c r="O186" s="614"/>
      <c r="P186" s="614"/>
      <c r="Q186" s="614"/>
      <c r="R186" s="614"/>
      <c r="S186" s="614"/>
      <c r="T186" s="614"/>
      <c r="U186" s="614"/>
      <c r="V186" s="614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</row>
    <row r="187" spans="2:46">
      <c r="B187" s="614"/>
      <c r="C187" s="614"/>
      <c r="D187" s="614"/>
      <c r="E187" s="614"/>
      <c r="F187" s="614"/>
      <c r="G187" s="614"/>
      <c r="H187" s="614"/>
      <c r="I187" s="614"/>
      <c r="J187" s="614"/>
      <c r="K187" s="614"/>
      <c r="L187" s="614"/>
      <c r="M187" s="614"/>
      <c r="N187" s="614"/>
      <c r="O187" s="614"/>
      <c r="P187" s="614"/>
      <c r="Q187" s="614"/>
      <c r="R187" s="614"/>
      <c r="S187" s="614"/>
      <c r="T187" s="614"/>
      <c r="U187" s="614"/>
      <c r="V187" s="614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</row>
    <row r="188" spans="2:46">
      <c r="B188" s="614"/>
      <c r="C188" s="614"/>
      <c r="D188" s="614"/>
      <c r="E188" s="614"/>
      <c r="F188" s="614"/>
      <c r="G188" s="614"/>
      <c r="H188" s="614"/>
      <c r="I188" s="614"/>
      <c r="J188" s="614"/>
      <c r="K188" s="614"/>
      <c r="L188" s="614"/>
      <c r="M188" s="614"/>
      <c r="N188" s="614"/>
      <c r="O188" s="614"/>
      <c r="P188" s="614"/>
      <c r="Q188" s="614"/>
      <c r="R188" s="614"/>
      <c r="S188" s="614"/>
      <c r="T188" s="614"/>
      <c r="U188" s="614"/>
      <c r="V188" s="614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</row>
    <row r="189" spans="2:46">
      <c r="B189" s="614"/>
      <c r="C189" s="614"/>
      <c r="D189" s="614"/>
      <c r="E189" s="614"/>
      <c r="F189" s="614"/>
      <c r="G189" s="614"/>
      <c r="H189" s="614"/>
      <c r="I189" s="614"/>
      <c r="J189" s="614"/>
      <c r="K189" s="614"/>
      <c r="L189" s="614"/>
      <c r="M189" s="614"/>
      <c r="N189" s="614"/>
      <c r="O189" s="614"/>
      <c r="P189" s="614"/>
      <c r="Q189" s="614"/>
      <c r="R189" s="614"/>
      <c r="S189" s="614"/>
      <c r="T189" s="614"/>
      <c r="U189" s="614"/>
      <c r="V189" s="614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</row>
    <row r="190" spans="2:46">
      <c r="B190" s="614"/>
      <c r="C190" s="614"/>
      <c r="D190" s="614"/>
      <c r="E190" s="614"/>
      <c r="F190" s="614"/>
      <c r="G190" s="614"/>
      <c r="H190" s="614"/>
      <c r="I190" s="614"/>
      <c r="J190" s="614"/>
      <c r="K190" s="614"/>
      <c r="L190" s="614"/>
      <c r="M190" s="614"/>
      <c r="N190" s="614"/>
      <c r="O190" s="614"/>
      <c r="P190" s="614"/>
      <c r="Q190" s="614"/>
      <c r="R190" s="614"/>
      <c r="S190" s="614"/>
      <c r="T190" s="614"/>
      <c r="U190" s="614"/>
      <c r="V190" s="614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</row>
    <row r="191" spans="2:46">
      <c r="B191" s="614"/>
      <c r="C191" s="614"/>
      <c r="D191" s="614"/>
      <c r="E191" s="614"/>
      <c r="F191" s="614"/>
      <c r="G191" s="614"/>
      <c r="H191" s="614"/>
      <c r="I191" s="614"/>
      <c r="J191" s="614"/>
      <c r="K191" s="614"/>
      <c r="L191" s="614"/>
      <c r="M191" s="614"/>
      <c r="N191" s="614"/>
      <c r="O191" s="614"/>
      <c r="P191" s="614"/>
      <c r="Q191" s="614"/>
      <c r="R191" s="614"/>
      <c r="S191" s="614"/>
      <c r="T191" s="614"/>
      <c r="U191" s="614"/>
      <c r="V191" s="614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</row>
    <row r="192" spans="2:46">
      <c r="B192" s="614"/>
      <c r="C192" s="614"/>
      <c r="D192" s="614"/>
      <c r="E192" s="614"/>
      <c r="F192" s="614"/>
      <c r="G192" s="614"/>
      <c r="H192" s="614"/>
      <c r="I192" s="614"/>
      <c r="J192" s="614"/>
      <c r="K192" s="614"/>
      <c r="L192" s="614"/>
      <c r="M192" s="614"/>
      <c r="N192" s="614"/>
      <c r="O192" s="614"/>
      <c r="P192" s="614"/>
      <c r="Q192" s="614"/>
      <c r="R192" s="614"/>
      <c r="S192" s="614"/>
      <c r="T192" s="614"/>
      <c r="U192" s="614"/>
      <c r="V192" s="614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</row>
    <row r="193" spans="2:46">
      <c r="B193" s="614"/>
      <c r="C193" s="614"/>
      <c r="D193" s="614"/>
      <c r="E193" s="614"/>
      <c r="F193" s="614"/>
      <c r="G193" s="614"/>
      <c r="H193" s="614"/>
      <c r="I193" s="614"/>
      <c r="J193" s="614"/>
      <c r="K193" s="614"/>
      <c r="L193" s="614"/>
      <c r="M193" s="614"/>
      <c r="N193" s="614"/>
      <c r="O193" s="614"/>
      <c r="P193" s="614"/>
      <c r="Q193" s="614"/>
      <c r="R193" s="614"/>
      <c r="S193" s="614"/>
      <c r="T193" s="614"/>
      <c r="U193" s="614"/>
      <c r="V193" s="614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</row>
    <row r="194" spans="2:46">
      <c r="B194" s="614"/>
      <c r="C194" s="614"/>
      <c r="D194" s="614"/>
      <c r="E194" s="614"/>
      <c r="F194" s="614"/>
      <c r="G194" s="614"/>
      <c r="H194" s="614"/>
      <c r="I194" s="614"/>
      <c r="J194" s="614"/>
      <c r="K194" s="614"/>
      <c r="L194" s="614"/>
      <c r="M194" s="614"/>
      <c r="N194" s="614"/>
      <c r="O194" s="614"/>
      <c r="P194" s="614"/>
      <c r="Q194" s="614"/>
      <c r="R194" s="614"/>
      <c r="S194" s="614"/>
      <c r="T194" s="614"/>
      <c r="U194" s="614"/>
      <c r="V194" s="61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</row>
    <row r="195" spans="2:46">
      <c r="B195" s="614"/>
      <c r="C195" s="614"/>
      <c r="D195" s="614"/>
      <c r="E195" s="614"/>
      <c r="F195" s="614"/>
      <c r="G195" s="614"/>
      <c r="H195" s="614"/>
      <c r="I195" s="614"/>
      <c r="J195" s="614"/>
      <c r="K195" s="614"/>
      <c r="L195" s="614"/>
      <c r="M195" s="614"/>
      <c r="N195" s="614"/>
      <c r="O195" s="614"/>
      <c r="P195" s="614"/>
      <c r="Q195" s="614"/>
      <c r="R195" s="614"/>
      <c r="S195" s="614"/>
      <c r="T195" s="614"/>
      <c r="U195" s="614"/>
      <c r="V195" s="614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</row>
    <row r="196" spans="2:46">
      <c r="B196" s="614"/>
      <c r="C196" s="614"/>
      <c r="D196" s="614"/>
      <c r="E196" s="614"/>
      <c r="F196" s="614"/>
      <c r="G196" s="614"/>
      <c r="H196" s="614"/>
      <c r="I196" s="614"/>
      <c r="J196" s="614"/>
      <c r="K196" s="614"/>
      <c r="L196" s="614"/>
      <c r="M196" s="614"/>
      <c r="N196" s="614"/>
      <c r="O196" s="614"/>
      <c r="P196" s="614"/>
      <c r="Q196" s="614"/>
      <c r="R196" s="614"/>
      <c r="S196" s="614"/>
      <c r="T196" s="614"/>
      <c r="U196" s="614"/>
      <c r="V196" s="614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</row>
    <row r="197" spans="2:46">
      <c r="B197" s="614"/>
      <c r="C197" s="614"/>
      <c r="D197" s="614"/>
      <c r="E197" s="614"/>
      <c r="F197" s="614"/>
      <c r="G197" s="614"/>
      <c r="H197" s="614"/>
      <c r="I197" s="614"/>
      <c r="J197" s="614"/>
      <c r="K197" s="614"/>
      <c r="L197" s="614"/>
      <c r="M197" s="614"/>
      <c r="N197" s="614"/>
      <c r="O197" s="614"/>
      <c r="P197" s="614"/>
      <c r="Q197" s="614"/>
      <c r="R197" s="614"/>
      <c r="S197" s="614"/>
      <c r="T197" s="614"/>
      <c r="U197" s="614"/>
      <c r="V197" s="614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</row>
    <row r="198" spans="2:46">
      <c r="B198" s="614"/>
      <c r="C198" s="614"/>
      <c r="D198" s="614"/>
      <c r="E198" s="614"/>
      <c r="F198" s="614"/>
      <c r="G198" s="614"/>
      <c r="H198" s="614"/>
      <c r="I198" s="614"/>
      <c r="J198" s="614"/>
      <c r="K198" s="614"/>
      <c r="L198" s="614"/>
      <c r="M198" s="614"/>
      <c r="N198" s="614"/>
      <c r="O198" s="614"/>
      <c r="P198" s="614"/>
      <c r="Q198" s="614"/>
      <c r="R198" s="614"/>
      <c r="S198" s="614"/>
      <c r="T198" s="614"/>
      <c r="U198" s="614"/>
      <c r="V198" s="614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</row>
    <row r="199" spans="2:46">
      <c r="B199" s="614"/>
      <c r="C199" s="614"/>
      <c r="D199" s="614"/>
      <c r="E199" s="614"/>
      <c r="F199" s="614"/>
      <c r="G199" s="614"/>
      <c r="H199" s="614"/>
      <c r="I199" s="614"/>
      <c r="J199" s="614"/>
      <c r="K199" s="614"/>
      <c r="L199" s="614"/>
      <c r="M199" s="614"/>
      <c r="N199" s="614"/>
      <c r="O199" s="614"/>
      <c r="P199" s="614"/>
      <c r="Q199" s="614"/>
      <c r="R199" s="614"/>
      <c r="S199" s="614"/>
      <c r="T199" s="614"/>
      <c r="U199" s="614"/>
      <c r="V199" s="614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</row>
    <row r="200" spans="2:46">
      <c r="B200" s="614"/>
      <c r="C200" s="614"/>
      <c r="D200" s="614"/>
      <c r="E200" s="614"/>
      <c r="F200" s="614"/>
      <c r="G200" s="614"/>
      <c r="H200" s="614"/>
      <c r="I200" s="614"/>
      <c r="J200" s="614"/>
      <c r="K200" s="614"/>
      <c r="L200" s="614"/>
      <c r="M200" s="614"/>
      <c r="N200" s="614"/>
      <c r="O200" s="614"/>
      <c r="P200" s="614"/>
      <c r="Q200" s="614"/>
      <c r="R200" s="614"/>
      <c r="S200" s="614"/>
      <c r="T200" s="614"/>
      <c r="U200" s="614"/>
      <c r="V200" s="614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</row>
    <row r="201" spans="2:46">
      <c r="B201" s="614"/>
      <c r="C201" s="614"/>
      <c r="D201" s="614"/>
      <c r="E201" s="614"/>
      <c r="F201" s="614"/>
      <c r="G201" s="614"/>
      <c r="H201" s="614"/>
      <c r="I201" s="614"/>
      <c r="J201" s="614"/>
      <c r="K201" s="614"/>
      <c r="L201" s="614"/>
      <c r="M201" s="614"/>
      <c r="N201" s="614"/>
      <c r="O201" s="614"/>
      <c r="P201" s="614"/>
      <c r="Q201" s="614"/>
      <c r="R201" s="614"/>
      <c r="S201" s="614"/>
      <c r="T201" s="614"/>
      <c r="U201" s="614"/>
      <c r="V201" s="614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</row>
    <row r="202" spans="2:46">
      <c r="B202" s="614"/>
      <c r="C202" s="614"/>
      <c r="D202" s="614"/>
      <c r="E202" s="614"/>
      <c r="F202" s="614"/>
      <c r="G202" s="614"/>
      <c r="H202" s="614"/>
      <c r="I202" s="614"/>
      <c r="J202" s="614"/>
      <c r="K202" s="614"/>
      <c r="L202" s="614"/>
      <c r="M202" s="614"/>
      <c r="N202" s="614"/>
      <c r="O202" s="614"/>
      <c r="P202" s="614"/>
      <c r="Q202" s="614"/>
      <c r="R202" s="614"/>
      <c r="S202" s="614"/>
      <c r="T202" s="614"/>
      <c r="U202" s="614"/>
      <c r="V202" s="614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</row>
    <row r="203" spans="2:46">
      <c r="B203" s="614"/>
      <c r="C203" s="614"/>
      <c r="D203" s="614"/>
      <c r="E203" s="614"/>
      <c r="F203" s="614"/>
      <c r="G203" s="614"/>
      <c r="H203" s="614"/>
      <c r="I203" s="614"/>
      <c r="J203" s="614"/>
      <c r="K203" s="614"/>
      <c r="L203" s="614"/>
      <c r="M203" s="614"/>
      <c r="N203" s="614"/>
      <c r="O203" s="614"/>
      <c r="P203" s="614"/>
      <c r="Q203" s="614"/>
      <c r="R203" s="614"/>
      <c r="S203" s="614"/>
      <c r="T203" s="614"/>
      <c r="U203" s="614"/>
      <c r="V203" s="614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</row>
    <row r="204" spans="2:46">
      <c r="B204" s="614"/>
      <c r="C204" s="614"/>
      <c r="D204" s="614"/>
      <c r="E204" s="614"/>
      <c r="F204" s="614"/>
      <c r="G204" s="614"/>
      <c r="H204" s="614"/>
      <c r="I204" s="614"/>
      <c r="J204" s="614"/>
      <c r="K204" s="614"/>
      <c r="L204" s="614"/>
      <c r="M204" s="614"/>
      <c r="N204" s="614"/>
      <c r="O204" s="614"/>
      <c r="P204" s="614"/>
      <c r="Q204" s="614"/>
      <c r="R204" s="614"/>
      <c r="S204" s="614"/>
      <c r="T204" s="614"/>
      <c r="U204" s="614"/>
      <c r="V204" s="61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</row>
    <row r="205" spans="2:46">
      <c r="B205" s="614"/>
      <c r="C205" s="614"/>
      <c r="D205" s="614"/>
      <c r="E205" s="614"/>
      <c r="F205" s="614"/>
      <c r="G205" s="614"/>
      <c r="H205" s="614"/>
      <c r="I205" s="614"/>
      <c r="J205" s="614"/>
      <c r="K205" s="614"/>
      <c r="L205" s="614"/>
      <c r="M205" s="614"/>
      <c r="N205" s="614"/>
      <c r="O205" s="614"/>
      <c r="P205" s="614"/>
      <c r="Q205" s="614"/>
      <c r="R205" s="614"/>
      <c r="S205" s="614"/>
      <c r="T205" s="614"/>
      <c r="U205" s="614"/>
      <c r="V205" s="614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</row>
    <row r="206" spans="2:46">
      <c r="B206" s="614"/>
      <c r="C206" s="614"/>
      <c r="D206" s="614"/>
      <c r="E206" s="614"/>
      <c r="F206" s="614"/>
      <c r="G206" s="614"/>
      <c r="H206" s="614"/>
      <c r="I206" s="614"/>
      <c r="J206" s="614"/>
      <c r="K206" s="614"/>
      <c r="L206" s="614"/>
      <c r="M206" s="614"/>
      <c r="N206" s="614"/>
      <c r="O206" s="614"/>
      <c r="P206" s="614"/>
      <c r="Q206" s="614"/>
      <c r="R206" s="614"/>
      <c r="S206" s="614"/>
      <c r="T206" s="614"/>
      <c r="U206" s="614"/>
      <c r="V206" s="614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</row>
    <row r="207" spans="2:46">
      <c r="B207" s="614"/>
      <c r="C207" s="614"/>
      <c r="D207" s="614"/>
      <c r="E207" s="614"/>
      <c r="F207" s="614"/>
      <c r="G207" s="614"/>
      <c r="H207" s="614"/>
      <c r="I207" s="614"/>
      <c r="J207" s="614"/>
      <c r="K207" s="614"/>
      <c r="L207" s="614"/>
      <c r="M207" s="614"/>
      <c r="N207" s="614"/>
      <c r="O207" s="614"/>
      <c r="P207" s="614"/>
      <c r="Q207" s="614"/>
      <c r="R207" s="614"/>
      <c r="S207" s="614"/>
      <c r="T207" s="614"/>
      <c r="U207" s="614"/>
      <c r="V207" s="614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</row>
    <row r="208" spans="2:46">
      <c r="B208" s="614"/>
      <c r="C208" s="614"/>
      <c r="D208" s="614"/>
      <c r="E208" s="614"/>
      <c r="F208" s="614"/>
      <c r="G208" s="614"/>
      <c r="H208" s="614"/>
      <c r="I208" s="614"/>
      <c r="J208" s="614"/>
      <c r="K208" s="614"/>
      <c r="L208" s="614"/>
      <c r="M208" s="614"/>
      <c r="N208" s="614"/>
      <c r="O208" s="614"/>
      <c r="P208" s="614"/>
      <c r="Q208" s="614"/>
      <c r="R208" s="614"/>
      <c r="S208" s="614"/>
      <c r="T208" s="614"/>
      <c r="U208" s="614"/>
      <c r="V208" s="614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</row>
    <row r="209" spans="2:46">
      <c r="B209" s="614"/>
      <c r="C209" s="614"/>
      <c r="D209" s="614"/>
      <c r="E209" s="614"/>
      <c r="F209" s="614"/>
      <c r="G209" s="614"/>
      <c r="H209" s="614"/>
      <c r="I209" s="614"/>
      <c r="J209" s="614"/>
      <c r="K209" s="614"/>
      <c r="L209" s="614"/>
      <c r="M209" s="614"/>
      <c r="N209" s="614"/>
      <c r="O209" s="614"/>
      <c r="P209" s="614"/>
      <c r="Q209" s="614"/>
      <c r="R209" s="614"/>
      <c r="S209" s="614"/>
      <c r="T209" s="614"/>
      <c r="U209" s="614"/>
      <c r="V209" s="614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</row>
    <row r="210" spans="2:46">
      <c r="B210" s="614"/>
      <c r="C210" s="614"/>
      <c r="D210" s="614"/>
      <c r="E210" s="614"/>
      <c r="F210" s="614"/>
      <c r="G210" s="614"/>
      <c r="H210" s="614"/>
      <c r="I210" s="614"/>
      <c r="J210" s="614"/>
      <c r="K210" s="614"/>
      <c r="L210" s="614"/>
      <c r="M210" s="614"/>
      <c r="N210" s="614"/>
      <c r="O210" s="614"/>
      <c r="P210" s="614"/>
      <c r="Q210" s="614"/>
      <c r="R210" s="614"/>
      <c r="S210" s="614"/>
      <c r="T210" s="614"/>
      <c r="U210" s="614"/>
      <c r="V210" s="614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</row>
    <row r="211" spans="2:46">
      <c r="B211" s="614"/>
      <c r="C211" s="614"/>
      <c r="D211" s="614"/>
      <c r="E211" s="614"/>
      <c r="F211" s="614"/>
      <c r="G211" s="614"/>
      <c r="H211" s="614"/>
      <c r="I211" s="614"/>
      <c r="J211" s="614"/>
      <c r="K211" s="614"/>
      <c r="L211" s="614"/>
      <c r="M211" s="614"/>
      <c r="N211" s="614"/>
      <c r="O211" s="614"/>
      <c r="P211" s="614"/>
      <c r="Q211" s="614"/>
      <c r="R211" s="614"/>
      <c r="S211" s="614"/>
      <c r="T211" s="614"/>
      <c r="U211" s="614"/>
      <c r="V211" s="614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</row>
    <row r="212" spans="2:46">
      <c r="B212" s="614"/>
      <c r="C212" s="614"/>
      <c r="D212" s="614"/>
      <c r="E212" s="614"/>
      <c r="F212" s="614"/>
      <c r="G212" s="614"/>
      <c r="H212" s="614"/>
      <c r="I212" s="614"/>
      <c r="J212" s="614"/>
      <c r="K212" s="614"/>
      <c r="L212" s="614"/>
      <c r="M212" s="614"/>
      <c r="N212" s="614"/>
      <c r="O212" s="614"/>
      <c r="P212" s="614"/>
      <c r="Q212" s="614"/>
      <c r="R212" s="614"/>
      <c r="S212" s="614"/>
      <c r="T212" s="614"/>
      <c r="U212" s="614"/>
      <c r="V212" s="614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</row>
    <row r="213" spans="2:46">
      <c r="B213" s="614"/>
      <c r="C213" s="614"/>
      <c r="D213" s="614"/>
      <c r="E213" s="614"/>
      <c r="F213" s="614"/>
      <c r="G213" s="614"/>
      <c r="H213" s="614"/>
      <c r="I213" s="614"/>
      <c r="J213" s="614"/>
      <c r="K213" s="614"/>
      <c r="L213" s="614"/>
      <c r="M213" s="614"/>
      <c r="N213" s="614"/>
      <c r="O213" s="614"/>
      <c r="P213" s="614"/>
      <c r="Q213" s="614"/>
      <c r="R213" s="614"/>
      <c r="S213" s="614"/>
      <c r="T213" s="614"/>
      <c r="U213" s="614"/>
      <c r="V213" s="614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</row>
    <row r="214" spans="2:46">
      <c r="B214" s="614"/>
      <c r="C214" s="614"/>
      <c r="D214" s="614"/>
      <c r="E214" s="614"/>
      <c r="F214" s="614"/>
      <c r="G214" s="614"/>
      <c r="H214" s="614"/>
      <c r="I214" s="614"/>
      <c r="J214" s="614"/>
      <c r="K214" s="614"/>
      <c r="L214" s="614"/>
      <c r="M214" s="614"/>
      <c r="N214" s="614"/>
      <c r="O214" s="614"/>
      <c r="P214" s="614"/>
      <c r="Q214" s="614"/>
      <c r="R214" s="614"/>
      <c r="S214" s="614"/>
      <c r="T214" s="614"/>
      <c r="U214" s="614"/>
      <c r="V214" s="6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</row>
    <row r="215" spans="2:46">
      <c r="B215" s="614"/>
      <c r="C215" s="614"/>
      <c r="D215" s="614"/>
      <c r="E215" s="614"/>
      <c r="F215" s="614"/>
      <c r="G215" s="614"/>
      <c r="H215" s="614"/>
      <c r="I215" s="614"/>
      <c r="J215" s="614"/>
      <c r="K215" s="614"/>
      <c r="L215" s="614"/>
      <c r="M215" s="614"/>
      <c r="N215" s="614"/>
      <c r="O215" s="614"/>
      <c r="P215" s="614"/>
      <c r="Q215" s="614"/>
      <c r="R215" s="614"/>
      <c r="S215" s="614"/>
      <c r="T215" s="614"/>
      <c r="U215" s="614"/>
      <c r="V215" s="614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2:46">
      <c r="B216" s="614"/>
      <c r="C216" s="614"/>
      <c r="D216" s="614"/>
      <c r="E216" s="614"/>
      <c r="F216" s="614"/>
      <c r="G216" s="614"/>
      <c r="H216" s="614"/>
      <c r="I216" s="614"/>
      <c r="J216" s="614"/>
      <c r="K216" s="614"/>
      <c r="L216" s="614"/>
      <c r="M216" s="614"/>
      <c r="N216" s="614"/>
      <c r="O216" s="614"/>
      <c r="P216" s="614"/>
      <c r="Q216" s="614"/>
      <c r="R216" s="614"/>
      <c r="S216" s="614"/>
      <c r="T216" s="614"/>
      <c r="U216" s="614"/>
      <c r="V216" s="614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</row>
    <row r="217" spans="2:46">
      <c r="B217" s="614"/>
      <c r="C217" s="614"/>
      <c r="D217" s="614"/>
      <c r="E217" s="614"/>
      <c r="F217" s="614"/>
      <c r="G217" s="614"/>
      <c r="H217" s="614"/>
      <c r="I217" s="614"/>
      <c r="J217" s="614"/>
      <c r="K217" s="614"/>
      <c r="L217" s="614"/>
      <c r="M217" s="614"/>
      <c r="N217" s="614"/>
      <c r="O217" s="614"/>
      <c r="P217" s="614"/>
      <c r="Q217" s="614"/>
      <c r="R217" s="614"/>
      <c r="S217" s="614"/>
      <c r="T217" s="614"/>
      <c r="U217" s="614"/>
      <c r="V217" s="614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</row>
    <row r="218" spans="2:46">
      <c r="B218" s="614"/>
      <c r="C218" s="614"/>
      <c r="D218" s="614"/>
      <c r="E218" s="614"/>
      <c r="F218" s="614"/>
      <c r="G218" s="614"/>
      <c r="H218" s="614"/>
      <c r="I218" s="614"/>
      <c r="J218" s="614"/>
      <c r="K218" s="614"/>
      <c r="L218" s="614"/>
      <c r="M218" s="614"/>
      <c r="N218" s="614"/>
      <c r="O218" s="614"/>
      <c r="P218" s="614"/>
      <c r="Q218" s="614"/>
      <c r="R218" s="614"/>
      <c r="S218" s="614"/>
      <c r="T218" s="614"/>
      <c r="U218" s="614"/>
      <c r="V218" s="614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</row>
    <row r="219" spans="2:46">
      <c r="B219" s="614"/>
      <c r="C219" s="614"/>
      <c r="D219" s="614"/>
      <c r="E219" s="614"/>
      <c r="F219" s="614"/>
      <c r="G219" s="614"/>
      <c r="H219" s="614"/>
      <c r="I219" s="614"/>
      <c r="J219" s="614"/>
      <c r="K219" s="614"/>
      <c r="L219" s="614"/>
      <c r="M219" s="614"/>
      <c r="N219" s="614"/>
      <c r="O219" s="614"/>
      <c r="P219" s="614"/>
      <c r="Q219" s="614"/>
      <c r="R219" s="614"/>
      <c r="S219" s="614"/>
      <c r="T219" s="614"/>
      <c r="U219" s="614"/>
      <c r="V219" s="614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</row>
    <row r="220" spans="2:46">
      <c r="B220" s="614"/>
      <c r="C220" s="614"/>
      <c r="D220" s="614"/>
      <c r="E220" s="614"/>
      <c r="F220" s="614"/>
      <c r="G220" s="614"/>
      <c r="H220" s="614"/>
      <c r="I220" s="614"/>
      <c r="J220" s="614"/>
      <c r="K220" s="614"/>
      <c r="L220" s="614"/>
      <c r="M220" s="614"/>
      <c r="N220" s="614"/>
      <c r="O220" s="614"/>
      <c r="P220" s="614"/>
      <c r="Q220" s="614"/>
      <c r="R220" s="614"/>
      <c r="S220" s="614"/>
      <c r="T220" s="614"/>
      <c r="U220" s="614"/>
      <c r="V220" s="614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</row>
    <row r="221" spans="2:46">
      <c r="B221" s="614"/>
      <c r="C221" s="614"/>
      <c r="D221" s="614"/>
      <c r="E221" s="614"/>
      <c r="F221" s="614"/>
      <c r="G221" s="614"/>
      <c r="H221" s="614"/>
      <c r="I221" s="614"/>
      <c r="J221" s="614"/>
      <c r="K221" s="614"/>
      <c r="L221" s="614"/>
      <c r="M221" s="614"/>
      <c r="N221" s="614"/>
      <c r="O221" s="614"/>
      <c r="P221" s="614"/>
      <c r="Q221" s="614"/>
      <c r="R221" s="614"/>
      <c r="S221" s="614"/>
      <c r="T221" s="614"/>
      <c r="U221" s="614"/>
      <c r="V221" s="614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</row>
    <row r="222" spans="2:46">
      <c r="B222" s="614"/>
      <c r="C222" s="614"/>
      <c r="D222" s="614"/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4"/>
      <c r="Q222" s="614"/>
      <c r="R222" s="614"/>
      <c r="S222" s="614"/>
      <c r="T222" s="614"/>
      <c r="U222" s="614"/>
      <c r="V222" s="614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</row>
    <row r="223" spans="2:46">
      <c r="B223" s="614"/>
      <c r="C223" s="614"/>
      <c r="D223" s="614"/>
      <c r="E223" s="614"/>
      <c r="F223" s="614"/>
      <c r="G223" s="614"/>
      <c r="H223" s="614"/>
      <c r="I223" s="614"/>
      <c r="J223" s="614"/>
      <c r="K223" s="614"/>
      <c r="L223" s="614"/>
      <c r="M223" s="614"/>
      <c r="N223" s="614"/>
      <c r="O223" s="614"/>
      <c r="P223" s="614"/>
      <c r="Q223" s="614"/>
      <c r="R223" s="614"/>
      <c r="S223" s="614"/>
      <c r="T223" s="614"/>
      <c r="U223" s="614"/>
      <c r="V223" s="614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</row>
    <row r="224" spans="2:46">
      <c r="B224" s="614"/>
      <c r="C224" s="614"/>
      <c r="D224" s="614"/>
      <c r="E224" s="614"/>
      <c r="F224" s="614"/>
      <c r="G224" s="614"/>
      <c r="H224" s="614"/>
      <c r="I224" s="614"/>
      <c r="J224" s="614"/>
      <c r="K224" s="614"/>
      <c r="L224" s="614"/>
      <c r="M224" s="614"/>
      <c r="N224" s="614"/>
      <c r="O224" s="614"/>
      <c r="P224" s="614"/>
      <c r="Q224" s="614"/>
      <c r="R224" s="614"/>
      <c r="S224" s="614"/>
      <c r="T224" s="614"/>
      <c r="U224" s="614"/>
      <c r="V224" s="61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</row>
    <row r="225" spans="2:46">
      <c r="B225" s="614"/>
      <c r="C225" s="614"/>
      <c r="D225" s="614"/>
      <c r="E225" s="614"/>
      <c r="F225" s="614"/>
      <c r="G225" s="614"/>
      <c r="H225" s="614"/>
      <c r="I225" s="614"/>
      <c r="J225" s="614"/>
      <c r="K225" s="614"/>
      <c r="L225" s="614"/>
      <c r="M225" s="614"/>
      <c r="N225" s="614"/>
      <c r="O225" s="614"/>
      <c r="P225" s="614"/>
      <c r="Q225" s="614"/>
      <c r="R225" s="614"/>
      <c r="S225" s="614"/>
      <c r="T225" s="614"/>
      <c r="U225" s="614"/>
      <c r="V225" s="614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</row>
    <row r="226" spans="2:46">
      <c r="B226" s="614"/>
      <c r="C226" s="614"/>
      <c r="D226" s="614"/>
      <c r="E226" s="614"/>
      <c r="F226" s="614"/>
      <c r="G226" s="614"/>
      <c r="H226" s="614"/>
      <c r="I226" s="614"/>
      <c r="J226" s="614"/>
      <c r="K226" s="614"/>
      <c r="L226" s="614"/>
      <c r="M226" s="614"/>
      <c r="N226" s="614"/>
      <c r="O226" s="614"/>
      <c r="P226" s="614"/>
      <c r="Q226" s="614"/>
      <c r="R226" s="614"/>
      <c r="S226" s="614"/>
      <c r="T226" s="614"/>
      <c r="U226" s="614"/>
      <c r="V226" s="614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</row>
    <row r="227" spans="2:46">
      <c r="B227" s="614"/>
      <c r="C227" s="614"/>
      <c r="D227" s="614"/>
      <c r="E227" s="614"/>
      <c r="F227" s="614"/>
      <c r="G227" s="614"/>
      <c r="H227" s="614"/>
      <c r="I227" s="614"/>
      <c r="J227" s="614"/>
      <c r="K227" s="614"/>
      <c r="L227" s="614"/>
      <c r="M227" s="614"/>
      <c r="N227" s="614"/>
      <c r="O227" s="614"/>
      <c r="P227" s="614"/>
      <c r="Q227" s="614"/>
      <c r="R227" s="614"/>
      <c r="S227" s="614"/>
      <c r="T227" s="614"/>
      <c r="U227" s="614"/>
      <c r="V227" s="614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</row>
    <row r="228" spans="2:46">
      <c r="B228" s="614"/>
      <c r="C228" s="614"/>
      <c r="D228" s="614"/>
      <c r="E228" s="614"/>
      <c r="F228" s="614"/>
      <c r="G228" s="614"/>
      <c r="H228" s="614"/>
      <c r="I228" s="614"/>
      <c r="J228" s="614"/>
      <c r="K228" s="614"/>
      <c r="L228" s="614"/>
      <c r="M228" s="614"/>
      <c r="N228" s="614"/>
      <c r="O228" s="614"/>
      <c r="P228" s="614"/>
      <c r="Q228" s="614"/>
      <c r="R228" s="614"/>
      <c r="S228" s="614"/>
      <c r="T228" s="614"/>
      <c r="U228" s="614"/>
      <c r="V228" s="614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</row>
    <row r="229" spans="2:46">
      <c r="B229" s="614"/>
      <c r="C229" s="614"/>
      <c r="D229" s="614"/>
      <c r="E229" s="614"/>
      <c r="F229" s="614"/>
      <c r="G229" s="614"/>
      <c r="H229" s="614"/>
      <c r="I229" s="614"/>
      <c r="J229" s="614"/>
      <c r="K229" s="614"/>
      <c r="L229" s="614"/>
      <c r="M229" s="614"/>
      <c r="N229" s="614"/>
      <c r="O229" s="614"/>
      <c r="P229" s="614"/>
      <c r="Q229" s="614"/>
      <c r="R229" s="614"/>
      <c r="S229" s="614"/>
      <c r="T229" s="614"/>
      <c r="U229" s="614"/>
      <c r="V229" s="614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</row>
    <row r="230" spans="2:46">
      <c r="B230" s="614"/>
      <c r="C230" s="614"/>
      <c r="D230" s="614"/>
      <c r="E230" s="614"/>
      <c r="F230" s="614"/>
      <c r="G230" s="614"/>
      <c r="H230" s="614"/>
      <c r="I230" s="614"/>
      <c r="J230" s="614"/>
      <c r="K230" s="614"/>
      <c r="L230" s="614"/>
      <c r="M230" s="614"/>
      <c r="N230" s="614"/>
      <c r="O230" s="614"/>
      <c r="P230" s="614"/>
      <c r="Q230" s="614"/>
      <c r="R230" s="614"/>
      <c r="S230" s="614"/>
      <c r="T230" s="614"/>
      <c r="U230" s="614"/>
      <c r="V230" s="614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</row>
    <row r="231" spans="2:46">
      <c r="B231" s="614"/>
      <c r="C231" s="614"/>
      <c r="D231" s="614"/>
      <c r="E231" s="614"/>
      <c r="F231" s="614"/>
      <c r="G231" s="614"/>
      <c r="H231" s="614"/>
      <c r="I231" s="614"/>
      <c r="J231" s="614"/>
      <c r="K231" s="614"/>
      <c r="L231" s="614"/>
      <c r="M231" s="614"/>
      <c r="N231" s="614"/>
      <c r="O231" s="614"/>
      <c r="P231" s="614"/>
      <c r="Q231" s="614"/>
      <c r="R231" s="614"/>
      <c r="S231" s="614"/>
      <c r="T231" s="614"/>
      <c r="U231" s="614"/>
      <c r="V231" s="614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</row>
    <row r="232" spans="2:46">
      <c r="B232" s="614"/>
      <c r="C232" s="614"/>
      <c r="D232" s="614"/>
      <c r="E232" s="614"/>
      <c r="F232" s="614"/>
      <c r="G232" s="614"/>
      <c r="H232" s="614"/>
      <c r="I232" s="614"/>
      <c r="J232" s="614"/>
      <c r="K232" s="614"/>
      <c r="L232" s="614"/>
      <c r="M232" s="614"/>
      <c r="N232" s="614"/>
      <c r="O232" s="614"/>
      <c r="P232" s="614"/>
      <c r="Q232" s="614"/>
      <c r="R232" s="614"/>
      <c r="S232" s="614"/>
      <c r="T232" s="614"/>
      <c r="U232" s="614"/>
      <c r="V232" s="614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</row>
    <row r="233" spans="2:46">
      <c r="B233" s="614"/>
      <c r="C233" s="614"/>
      <c r="D233" s="614"/>
      <c r="E233" s="614"/>
      <c r="F233" s="614"/>
      <c r="G233" s="614"/>
      <c r="H233" s="614"/>
      <c r="I233" s="614"/>
      <c r="J233" s="614"/>
      <c r="K233" s="614"/>
      <c r="L233" s="614"/>
      <c r="M233" s="614"/>
      <c r="N233" s="614"/>
      <c r="O233" s="614"/>
      <c r="P233" s="614"/>
      <c r="Q233" s="614"/>
      <c r="R233" s="614"/>
      <c r="S233" s="614"/>
      <c r="T233" s="614"/>
      <c r="U233" s="614"/>
      <c r="V233" s="614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</row>
    <row r="234" spans="2:46">
      <c r="B234" s="614"/>
      <c r="C234" s="614"/>
      <c r="D234" s="614"/>
      <c r="E234" s="614"/>
      <c r="F234" s="614"/>
      <c r="G234" s="614"/>
      <c r="H234" s="614"/>
      <c r="I234" s="614"/>
      <c r="J234" s="614"/>
      <c r="K234" s="614"/>
      <c r="L234" s="614"/>
      <c r="M234" s="614"/>
      <c r="N234" s="614"/>
      <c r="O234" s="614"/>
      <c r="P234" s="614"/>
      <c r="Q234" s="614"/>
      <c r="R234" s="614"/>
      <c r="S234" s="614"/>
      <c r="T234" s="614"/>
      <c r="U234" s="614"/>
      <c r="V234" s="61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</row>
    <row r="235" spans="2:46">
      <c r="B235" s="614"/>
      <c r="C235" s="614"/>
      <c r="D235" s="614"/>
      <c r="E235" s="614"/>
      <c r="F235" s="614"/>
      <c r="G235" s="614"/>
      <c r="H235" s="614"/>
      <c r="I235" s="614"/>
      <c r="J235" s="614"/>
      <c r="K235" s="614"/>
      <c r="L235" s="614"/>
      <c r="M235" s="614"/>
      <c r="N235" s="614"/>
      <c r="O235" s="614"/>
      <c r="P235" s="614"/>
      <c r="Q235" s="614"/>
      <c r="R235" s="614"/>
      <c r="S235" s="614"/>
      <c r="T235" s="614"/>
      <c r="U235" s="614"/>
      <c r="V235" s="614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</row>
    <row r="236" spans="2:46">
      <c r="B236" s="614"/>
      <c r="C236" s="614"/>
      <c r="D236" s="614"/>
      <c r="E236" s="614"/>
      <c r="F236" s="614"/>
      <c r="G236" s="614"/>
      <c r="H236" s="614"/>
      <c r="I236" s="614"/>
      <c r="J236" s="614"/>
      <c r="K236" s="614"/>
      <c r="L236" s="614"/>
      <c r="M236" s="614"/>
      <c r="N236" s="614"/>
      <c r="O236" s="614"/>
      <c r="P236" s="614"/>
      <c r="Q236" s="614"/>
      <c r="R236" s="614"/>
      <c r="S236" s="614"/>
      <c r="T236" s="614"/>
      <c r="U236" s="614"/>
      <c r="V236" s="614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</row>
  </sheetData>
  <mergeCells count="33">
    <mergeCell ref="B1:E1"/>
    <mergeCell ref="G1:J1"/>
    <mergeCell ref="K1:N1"/>
    <mergeCell ref="B2:C2"/>
    <mergeCell ref="D2:E2"/>
    <mergeCell ref="G2:H2"/>
    <mergeCell ref="I2:J2"/>
    <mergeCell ref="K2:L2"/>
    <mergeCell ref="O1:R1"/>
    <mergeCell ref="S1:V1"/>
    <mergeCell ref="M2:N2"/>
    <mergeCell ref="O2:P2"/>
    <mergeCell ref="Q2:R2"/>
    <mergeCell ref="S2:T2"/>
    <mergeCell ref="U2:V2"/>
    <mergeCell ref="W2:X2"/>
    <mergeCell ref="Y2:Z2"/>
    <mergeCell ref="W1:Z1"/>
    <mergeCell ref="AA1:AD1"/>
    <mergeCell ref="AA2:AB2"/>
    <mergeCell ref="AC2:AD2"/>
    <mergeCell ref="AE1:AH1"/>
    <mergeCell ref="AE2:AF2"/>
    <mergeCell ref="AG2:AH2"/>
    <mergeCell ref="AI1:AL1"/>
    <mergeCell ref="AI2:AJ2"/>
    <mergeCell ref="AK2:AL2"/>
    <mergeCell ref="AM1:AP1"/>
    <mergeCell ref="AM2:AN2"/>
    <mergeCell ref="AO2:AP2"/>
    <mergeCell ref="AQ1:AT1"/>
    <mergeCell ref="AQ2:AR2"/>
    <mergeCell ref="AS2:AT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B2:Q33"/>
  <sheetViews>
    <sheetView showGridLines="0" zoomScale="85" zoomScaleNormal="85" workbookViewId="0">
      <selection activeCell="D2" sqref="D2:H26"/>
    </sheetView>
  </sheetViews>
  <sheetFormatPr defaultColWidth="9.109375" defaultRowHeight="13.2"/>
  <cols>
    <col min="1" max="1" width="19.77734375" style="307" customWidth="1"/>
    <col min="2" max="2" width="10.77734375" style="309" customWidth="1"/>
    <col min="3" max="3" width="23.6640625" style="309" customWidth="1"/>
    <col min="4" max="4" width="24.6640625" style="309" bestFit="1" customWidth="1"/>
    <col min="5" max="5" width="12.6640625" style="309" bestFit="1" customWidth="1"/>
    <col min="6" max="7" width="11.6640625" style="309" bestFit="1" customWidth="1"/>
    <col min="8" max="8" width="9.44140625" style="307" bestFit="1" customWidth="1"/>
    <col min="9" max="9" width="9.109375" style="307"/>
    <col min="10" max="10" width="14.6640625" style="272" customWidth="1"/>
    <col min="11" max="12" width="9.109375" style="272"/>
    <col min="13" max="16384" width="9.109375" style="307"/>
  </cols>
  <sheetData>
    <row r="2" spans="4:17">
      <c r="D2" s="940">
        <v>2020</v>
      </c>
      <c r="E2" s="941"/>
      <c r="F2" s="941"/>
      <c r="G2" s="941"/>
      <c r="H2" s="942"/>
    </row>
    <row r="3" spans="4:17">
      <c r="D3" s="468" t="s">
        <v>591</v>
      </c>
      <c r="E3" s="469" t="s">
        <v>592</v>
      </c>
      <c r="F3" s="469" t="s">
        <v>593</v>
      </c>
      <c r="G3" s="469" t="s">
        <v>594</v>
      </c>
      <c r="H3" s="470" t="s">
        <v>595</v>
      </c>
      <c r="J3" s="276" t="s">
        <v>429</v>
      </c>
      <c r="K3" s="276" t="s">
        <v>496</v>
      </c>
      <c r="L3" s="276" t="s">
        <v>226</v>
      </c>
    </row>
    <row r="4" spans="4:17">
      <c r="D4" s="471">
        <v>0</v>
      </c>
      <c r="E4" s="472">
        <v>0</v>
      </c>
      <c r="F4" s="472">
        <v>0</v>
      </c>
      <c r="G4" s="472">
        <v>0</v>
      </c>
      <c r="H4" s="473">
        <v>0</v>
      </c>
      <c r="J4" s="275" t="s">
        <v>607</v>
      </c>
      <c r="K4" s="294">
        <f>E26</f>
        <v>1136292</v>
      </c>
      <c r="L4" s="295">
        <f>K4/$K$9</f>
        <v>0.89381514580152488</v>
      </c>
      <c r="N4" s="308" t="s">
        <v>519</v>
      </c>
      <c r="O4" s="308"/>
      <c r="P4" s="308"/>
      <c r="Q4" s="308"/>
    </row>
    <row r="5" spans="4:17">
      <c r="D5" s="471">
        <v>1</v>
      </c>
      <c r="E5" s="472">
        <v>2619</v>
      </c>
      <c r="F5" s="472">
        <v>738</v>
      </c>
      <c r="G5" s="472">
        <v>48</v>
      </c>
      <c r="H5" s="473">
        <v>191</v>
      </c>
      <c r="J5" s="275" t="s">
        <v>608</v>
      </c>
      <c r="K5" s="294">
        <f>F26</f>
        <v>78694</v>
      </c>
      <c r="L5" s="295">
        <f>K5/$K$9</f>
        <v>6.1901244648123195E-2</v>
      </c>
      <c r="N5" s="308" t="s">
        <v>520</v>
      </c>
    </row>
    <row r="6" spans="4:17">
      <c r="D6" s="471">
        <v>2</v>
      </c>
      <c r="E6" s="472">
        <v>10088</v>
      </c>
      <c r="F6" s="472">
        <v>1160</v>
      </c>
      <c r="G6" s="472">
        <v>84</v>
      </c>
      <c r="H6" s="473">
        <v>264</v>
      </c>
      <c r="J6" s="275" t="s">
        <v>609</v>
      </c>
      <c r="K6" s="294">
        <f>G26</f>
        <v>9365</v>
      </c>
      <c r="L6" s="295">
        <f>K6/$K$9</f>
        <v>7.3665737683898868E-3</v>
      </c>
    </row>
    <row r="7" spans="4:17">
      <c r="D7" s="471">
        <v>3</v>
      </c>
      <c r="E7" s="472">
        <v>11295</v>
      </c>
      <c r="F7" s="472">
        <v>1608</v>
      </c>
      <c r="G7" s="472">
        <v>93</v>
      </c>
      <c r="H7" s="473">
        <v>264</v>
      </c>
      <c r="J7" s="275" t="s">
        <v>610</v>
      </c>
      <c r="K7" s="294">
        <f>H26</f>
        <v>46932</v>
      </c>
      <c r="L7" s="295">
        <f>K7/$K$9</f>
        <v>3.6917035781962003E-2</v>
      </c>
    </row>
    <row r="8" spans="4:17">
      <c r="D8" s="471">
        <v>4</v>
      </c>
      <c r="E8" s="472">
        <v>18388</v>
      </c>
      <c r="F8" s="472">
        <v>1844</v>
      </c>
      <c r="G8" s="472">
        <v>100</v>
      </c>
      <c r="H8" s="473">
        <v>276</v>
      </c>
    </row>
    <row r="9" spans="4:17">
      <c r="D9" s="471">
        <v>5</v>
      </c>
      <c r="E9" s="472">
        <v>26490</v>
      </c>
      <c r="F9" s="472">
        <v>1835</v>
      </c>
      <c r="G9" s="472">
        <v>170</v>
      </c>
      <c r="H9" s="473">
        <v>335</v>
      </c>
      <c r="J9" s="277" t="s">
        <v>4</v>
      </c>
      <c r="K9" s="278">
        <f>SUM(K4:K7)</f>
        <v>1271283</v>
      </c>
      <c r="L9" s="304">
        <f>SUM(L4:L7)</f>
        <v>1</v>
      </c>
    </row>
    <row r="10" spans="4:17">
      <c r="D10" s="471">
        <v>6</v>
      </c>
      <c r="E10" s="472">
        <v>35826</v>
      </c>
      <c r="F10" s="472">
        <v>1938</v>
      </c>
      <c r="G10" s="472">
        <v>120</v>
      </c>
      <c r="H10" s="473">
        <v>330</v>
      </c>
    </row>
    <row r="11" spans="4:17">
      <c r="D11" s="471">
        <v>7</v>
      </c>
      <c r="E11" s="472">
        <v>43596</v>
      </c>
      <c r="F11" s="472">
        <v>2156</v>
      </c>
      <c r="G11" s="472">
        <v>161</v>
      </c>
      <c r="H11" s="473">
        <v>308</v>
      </c>
    </row>
    <row r="12" spans="4:17">
      <c r="D12" s="471">
        <v>8</v>
      </c>
      <c r="E12" s="472">
        <v>50720</v>
      </c>
      <c r="F12" s="472">
        <v>1968</v>
      </c>
      <c r="G12" s="472">
        <v>104</v>
      </c>
      <c r="H12" s="473">
        <v>360</v>
      </c>
      <c r="K12" s="499" t="s">
        <v>607</v>
      </c>
      <c r="L12" s="499">
        <v>0.84882001861687562</v>
      </c>
    </row>
    <row r="13" spans="4:17">
      <c r="D13" s="471">
        <v>9</v>
      </c>
      <c r="E13" s="472">
        <v>53703</v>
      </c>
      <c r="F13" s="472">
        <v>1971</v>
      </c>
      <c r="G13" s="472">
        <v>144</v>
      </c>
      <c r="H13" s="473">
        <v>243</v>
      </c>
      <c r="K13" s="499" t="s">
        <v>714</v>
      </c>
      <c r="L13" s="499">
        <v>5.4207961452116303E-3</v>
      </c>
    </row>
    <row r="14" spans="4:17">
      <c r="D14" s="471">
        <v>10</v>
      </c>
      <c r="E14" s="472">
        <v>98610</v>
      </c>
      <c r="F14" s="472">
        <v>1930</v>
      </c>
      <c r="G14" s="472">
        <v>140</v>
      </c>
      <c r="H14" s="473">
        <v>410</v>
      </c>
      <c r="K14" s="499" t="s">
        <v>608</v>
      </c>
      <c r="L14" s="499">
        <v>9.2883608023508368E-2</v>
      </c>
    </row>
    <row r="15" spans="4:17">
      <c r="D15" s="471" t="s">
        <v>596</v>
      </c>
      <c r="E15" s="472">
        <v>240196</v>
      </c>
      <c r="F15" s="472">
        <v>9301</v>
      </c>
      <c r="G15" s="472">
        <v>913</v>
      </c>
      <c r="H15" s="473">
        <v>1376</v>
      </c>
      <c r="K15" s="499" t="s">
        <v>609</v>
      </c>
      <c r="L15" s="499">
        <v>2.5680337293982367E-2</v>
      </c>
    </row>
    <row r="16" spans="4:17">
      <c r="D16" s="471" t="s">
        <v>597</v>
      </c>
      <c r="E16" s="472">
        <v>146784</v>
      </c>
      <c r="F16" s="472">
        <v>7895</v>
      </c>
      <c r="G16" s="472">
        <v>1036</v>
      </c>
      <c r="H16" s="473">
        <v>1331</v>
      </c>
      <c r="K16" s="499" t="s">
        <v>715</v>
      </c>
      <c r="L16" s="499">
        <v>2.7195239920421981E-2</v>
      </c>
    </row>
    <row r="17" spans="3:12">
      <c r="D17" s="471" t="s">
        <v>598</v>
      </c>
      <c r="E17" s="472">
        <v>74982</v>
      </c>
      <c r="F17" s="472">
        <v>6073</v>
      </c>
      <c r="G17" s="472">
        <v>776</v>
      </c>
      <c r="H17" s="473">
        <v>1279</v>
      </c>
      <c r="K17" s="499" t="s">
        <v>4</v>
      </c>
      <c r="L17" s="499">
        <f>SUM(L12:L16)</f>
        <v>0.99999999999999989</v>
      </c>
    </row>
    <row r="18" spans="3:12">
      <c r="D18" s="471" t="s">
        <v>599</v>
      </c>
      <c r="E18" s="472">
        <v>48214</v>
      </c>
      <c r="F18" s="472">
        <v>4833</v>
      </c>
      <c r="G18" s="472">
        <v>465</v>
      </c>
      <c r="H18" s="473">
        <v>1147</v>
      </c>
    </row>
    <row r="19" spans="3:12">
      <c r="D19" s="471" t="s">
        <v>600</v>
      </c>
      <c r="E19" s="472">
        <v>30042</v>
      </c>
      <c r="F19" s="472">
        <v>4305</v>
      </c>
      <c r="G19" s="472">
        <v>465</v>
      </c>
      <c r="H19" s="473">
        <v>1092</v>
      </c>
    </row>
    <row r="20" spans="3:12">
      <c r="D20" s="471" t="s">
        <v>601</v>
      </c>
      <c r="E20" s="472">
        <v>17037</v>
      </c>
      <c r="F20" s="472">
        <v>3469</v>
      </c>
      <c r="G20" s="472">
        <v>381</v>
      </c>
      <c r="H20" s="473">
        <v>526</v>
      </c>
    </row>
    <row r="21" spans="3:12">
      <c r="D21" s="471" t="s">
        <v>602</v>
      </c>
      <c r="E21" s="472">
        <v>12390</v>
      </c>
      <c r="F21" s="472">
        <v>2505</v>
      </c>
      <c r="G21" s="472">
        <v>977</v>
      </c>
      <c r="H21" s="473">
        <v>344</v>
      </c>
    </row>
    <row r="22" spans="3:12">
      <c r="D22" s="471" t="s">
        <v>603</v>
      </c>
      <c r="E22" s="472">
        <v>9450</v>
      </c>
      <c r="F22" s="472">
        <v>2421</v>
      </c>
      <c r="G22" s="472">
        <v>817</v>
      </c>
      <c r="H22" s="473">
        <v>859</v>
      </c>
    </row>
    <row r="23" spans="3:12">
      <c r="D23" s="471" t="s">
        <v>604</v>
      </c>
      <c r="E23" s="472">
        <v>59513</v>
      </c>
      <c r="F23" s="472">
        <v>11647</v>
      </c>
      <c r="G23" s="472">
        <v>2371</v>
      </c>
      <c r="H23" s="473">
        <v>6258</v>
      </c>
    </row>
    <row r="24" spans="3:12">
      <c r="D24" s="471" t="s">
        <v>605</v>
      </c>
      <c r="E24" s="472">
        <v>94362</v>
      </c>
      <c r="F24" s="472">
        <v>8787</v>
      </c>
      <c r="G24" s="472">
        <v>0</v>
      </c>
      <c r="H24" s="473">
        <v>4234</v>
      </c>
    </row>
    <row r="25" spans="3:12">
      <c r="D25" s="471" t="s">
        <v>606</v>
      </c>
      <c r="E25" s="472">
        <v>51987</v>
      </c>
      <c r="F25" s="472">
        <v>310</v>
      </c>
      <c r="G25" s="472">
        <v>0</v>
      </c>
      <c r="H25" s="473">
        <v>25505</v>
      </c>
    </row>
    <row r="26" spans="3:12">
      <c r="D26" s="474"/>
      <c r="E26" s="475">
        <f>SUM(E4:E25)</f>
        <v>1136292</v>
      </c>
      <c r="F26" s="475">
        <f t="shared" ref="F26:G26" si="0">SUM(F4:F25)</f>
        <v>78694</v>
      </c>
      <c r="G26" s="475">
        <f t="shared" si="0"/>
        <v>9365</v>
      </c>
      <c r="H26" s="476">
        <f>SUM(H4:H25)</f>
        <v>46932</v>
      </c>
    </row>
    <row r="27" spans="3:12">
      <c r="E27" s="377">
        <v>0.89381514580152499</v>
      </c>
      <c r="F27" s="377">
        <v>6.1901244648123195E-2</v>
      </c>
      <c r="G27" s="377">
        <v>7.3665737683898868E-3</v>
      </c>
      <c r="H27" s="378">
        <v>3.6917035781962003E-2</v>
      </c>
      <c r="I27" s="378"/>
    </row>
    <row r="32" spans="3:12">
      <c r="C32" s="499" t="s">
        <v>607</v>
      </c>
      <c r="D32" s="499" t="s">
        <v>714</v>
      </c>
      <c r="E32" s="499" t="s">
        <v>608</v>
      </c>
      <c r="F32" s="499" t="s">
        <v>609</v>
      </c>
      <c r="G32" s="499" t="s">
        <v>715</v>
      </c>
      <c r="H32" s="499" t="s">
        <v>4</v>
      </c>
    </row>
    <row r="33" spans="3:8">
      <c r="C33" s="499">
        <v>0.84882001861687562</v>
      </c>
      <c r="D33" s="499">
        <v>5.4207961452116303E-3</v>
      </c>
      <c r="E33" s="499">
        <v>9.2883608023508368E-2</v>
      </c>
      <c r="F33" s="499">
        <v>2.5680337293982367E-2</v>
      </c>
      <c r="G33" s="499">
        <v>2.7195239920421981E-2</v>
      </c>
      <c r="H33" s="499">
        <f>SUM(C33:G33)</f>
        <v>0.99999999999999989</v>
      </c>
    </row>
  </sheetData>
  <mergeCells count="1">
    <mergeCell ref="D2:H2"/>
  </mergeCells>
  <pageMargins left="0.7" right="0.7" top="0.75" bottom="0.75" header="0.3" footer="0.3"/>
  <pageSetup paperSize="9" orientation="portrait" horizontalDpi="360" verticalDpi="36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B1:J130"/>
  <sheetViews>
    <sheetView showGridLines="0" topLeftCell="C65" zoomScale="130" zoomScaleNormal="130" zoomScalePageLayoutView="110" workbookViewId="0">
      <selection activeCell="H70" sqref="H70"/>
    </sheetView>
  </sheetViews>
  <sheetFormatPr defaultColWidth="9.109375" defaultRowHeight="15" customHeight="1"/>
  <cols>
    <col min="1" max="1" width="9.109375" style="28"/>
    <col min="2" max="2" width="73.44140625" style="28" customWidth="1"/>
    <col min="3" max="3" width="40.77734375" style="16" bestFit="1" customWidth="1"/>
    <col min="4" max="4" width="19.44140625" style="16" bestFit="1" customWidth="1"/>
    <col min="5" max="5" width="18.33203125" style="16" bestFit="1" customWidth="1"/>
    <col min="6" max="6" width="16.77734375" style="16" bestFit="1" customWidth="1"/>
    <col min="7" max="7" width="21.44140625" style="136" customWidth="1"/>
    <col min="8" max="8" width="27.77734375" style="28" customWidth="1"/>
    <col min="9" max="9" width="18.109375" style="28" customWidth="1"/>
    <col min="10" max="10" width="13.33203125" style="28" customWidth="1"/>
    <col min="11" max="16384" width="9.109375" style="28"/>
  </cols>
  <sheetData>
    <row r="1" spans="2:7" ht="40.049999999999997" customHeight="1" thickBot="1">
      <c r="B1" s="943" t="s">
        <v>51</v>
      </c>
      <c r="C1" s="944"/>
      <c r="D1" s="944"/>
      <c r="E1" s="945"/>
      <c r="F1" s="945"/>
      <c r="G1" s="946"/>
    </row>
    <row r="2" spans="2:7" ht="15" customHeight="1" thickBot="1">
      <c r="B2" s="267"/>
      <c r="C2" s="267"/>
      <c r="D2" s="267"/>
      <c r="E2" s="267"/>
      <c r="F2" s="267"/>
    </row>
    <row r="3" spans="2:7" ht="13.8" thickBot="1">
      <c r="B3" s="564" t="s">
        <v>517</v>
      </c>
      <c r="C3" s="565" t="s">
        <v>65</v>
      </c>
      <c r="D3" s="565" t="s">
        <v>849</v>
      </c>
      <c r="E3" s="565" t="s">
        <v>850</v>
      </c>
      <c r="F3" s="565" t="s">
        <v>851</v>
      </c>
      <c r="G3" s="673" t="s">
        <v>143</v>
      </c>
    </row>
    <row r="4" spans="2:7" ht="15" customHeight="1">
      <c r="B4" s="253" t="s">
        <v>809</v>
      </c>
      <c r="C4" s="254" t="s">
        <v>145</v>
      </c>
      <c r="D4" s="769">
        <v>103996</v>
      </c>
      <c r="E4" s="671">
        <v>308</v>
      </c>
      <c r="F4" s="671">
        <v>47</v>
      </c>
      <c r="G4" s="671" t="s">
        <v>854</v>
      </c>
    </row>
    <row r="5" spans="2:7" ht="15" customHeight="1">
      <c r="B5" s="135" t="s">
        <v>810</v>
      </c>
      <c r="C5" s="75" t="s">
        <v>145</v>
      </c>
      <c r="D5" s="769">
        <v>0</v>
      </c>
      <c r="E5" s="671">
        <v>0</v>
      </c>
      <c r="F5" s="671">
        <v>0</v>
      </c>
      <c r="G5" s="671" t="s">
        <v>843</v>
      </c>
    </row>
    <row r="6" spans="2:7" ht="15" customHeight="1">
      <c r="B6" s="135" t="s">
        <v>812</v>
      </c>
      <c r="C6" s="75" t="s">
        <v>145</v>
      </c>
      <c r="D6" s="769">
        <v>103996</v>
      </c>
      <c r="E6" s="671">
        <f>E4</f>
        <v>308</v>
      </c>
      <c r="F6" s="671">
        <f>F4</f>
        <v>47</v>
      </c>
      <c r="G6" s="321" t="s">
        <v>389</v>
      </c>
    </row>
    <row r="7" spans="2:7" ht="15" customHeight="1">
      <c r="B7" s="135" t="s">
        <v>811</v>
      </c>
      <c r="C7" s="75" t="s">
        <v>146</v>
      </c>
      <c r="D7" s="134">
        <v>1</v>
      </c>
      <c r="E7" s="134">
        <v>1</v>
      </c>
      <c r="F7" s="134">
        <v>1</v>
      </c>
      <c r="G7" s="671" t="s">
        <v>843</v>
      </c>
    </row>
    <row r="8" spans="2:7" ht="15" customHeight="1">
      <c r="B8" s="135" t="s">
        <v>813</v>
      </c>
      <c r="C8" s="75" t="s">
        <v>146</v>
      </c>
      <c r="D8" s="218">
        <v>0</v>
      </c>
      <c r="E8" s="218">
        <v>0</v>
      </c>
      <c r="F8" s="218">
        <v>0</v>
      </c>
      <c r="G8" s="672" t="s">
        <v>139</v>
      </c>
    </row>
    <row r="9" spans="2:7" ht="15" customHeight="1">
      <c r="B9" s="317" t="s">
        <v>814</v>
      </c>
      <c r="C9" s="318" t="s">
        <v>145</v>
      </c>
      <c r="D9" s="321">
        <f>4315</f>
        <v>4315</v>
      </c>
      <c r="E9" s="321">
        <v>636</v>
      </c>
      <c r="F9" s="321">
        <v>397</v>
      </c>
      <c r="G9" s="17" t="s">
        <v>844</v>
      </c>
    </row>
    <row r="10" spans="2:7" ht="15" customHeight="1" thickBot="1">
      <c r="D10" s="252"/>
      <c r="E10" s="252"/>
      <c r="F10" s="252"/>
      <c r="G10" s="252"/>
    </row>
    <row r="11" spans="2:7" ht="15" customHeight="1" thickBot="1">
      <c r="B11" s="496" t="s">
        <v>481</v>
      </c>
      <c r="C11" s="497" t="s">
        <v>65</v>
      </c>
      <c r="D11" s="565" t="s">
        <v>849</v>
      </c>
      <c r="E11" s="565" t="s">
        <v>850</v>
      </c>
      <c r="F11" s="565" t="s">
        <v>851</v>
      </c>
      <c r="G11" s="674" t="s">
        <v>143</v>
      </c>
    </row>
    <row r="12" spans="2:7" ht="15" customHeight="1">
      <c r="B12" s="253" t="s">
        <v>426</v>
      </c>
      <c r="C12" s="254" t="s">
        <v>142</v>
      </c>
      <c r="D12" s="769">
        <v>54924</v>
      </c>
      <c r="E12" s="671">
        <v>147</v>
      </c>
      <c r="F12" s="671">
        <v>52</v>
      </c>
      <c r="G12" s="671" t="s">
        <v>1162</v>
      </c>
    </row>
    <row r="13" spans="2:7" ht="15" customHeight="1">
      <c r="B13" s="135" t="s">
        <v>427</v>
      </c>
      <c r="C13" s="75" t="s">
        <v>142</v>
      </c>
      <c r="D13" s="17">
        <v>0</v>
      </c>
      <c r="E13" s="671">
        <v>0</v>
      </c>
      <c r="F13" s="671">
        <v>0</v>
      </c>
      <c r="G13" s="671" t="s">
        <v>843</v>
      </c>
    </row>
    <row r="14" spans="2:7" ht="15" customHeight="1">
      <c r="B14" s="135" t="s">
        <v>845</v>
      </c>
      <c r="C14" s="75" t="s">
        <v>142</v>
      </c>
      <c r="D14" s="321">
        <v>49171</v>
      </c>
      <c r="E14" s="671">
        <f>E12</f>
        <v>147</v>
      </c>
      <c r="F14" s="671">
        <f>F12</f>
        <v>52</v>
      </c>
      <c r="G14" s="671" t="s">
        <v>1162</v>
      </c>
    </row>
    <row r="15" spans="2:7" ht="15" customHeight="1">
      <c r="B15" s="135" t="s">
        <v>815</v>
      </c>
      <c r="C15" s="226" t="s">
        <v>255</v>
      </c>
      <c r="D15" s="17">
        <v>33737</v>
      </c>
      <c r="E15" s="671">
        <f>E12/E17</f>
        <v>147</v>
      </c>
      <c r="F15" s="671">
        <f>F12/F17</f>
        <v>52</v>
      </c>
      <c r="G15" s="671" t="s">
        <v>1162</v>
      </c>
    </row>
    <row r="16" spans="2:7" ht="15" customHeight="1">
      <c r="B16" s="135" t="s">
        <v>816</v>
      </c>
      <c r="C16" s="226" t="s">
        <v>255</v>
      </c>
      <c r="D16" s="17">
        <v>0</v>
      </c>
      <c r="E16" s="671">
        <v>0</v>
      </c>
      <c r="F16" s="671">
        <v>0</v>
      </c>
      <c r="G16" s="671" t="s">
        <v>843</v>
      </c>
    </row>
    <row r="17" spans="2:7" ht="15" customHeight="1">
      <c r="B17" s="135" t="s">
        <v>261</v>
      </c>
      <c r="C17" s="75" t="s">
        <v>151</v>
      </c>
      <c r="D17" s="133">
        <f>D12/D15</f>
        <v>1.6280048611316951</v>
      </c>
      <c r="E17" s="133">
        <v>1</v>
      </c>
      <c r="F17" s="133">
        <v>1</v>
      </c>
      <c r="G17" s="559" t="s">
        <v>139</v>
      </c>
    </row>
    <row r="18" spans="2:7" ht="15" customHeight="1">
      <c r="B18" s="181" t="s">
        <v>817</v>
      </c>
      <c r="C18" s="156" t="s">
        <v>144</v>
      </c>
      <c r="D18" s="251">
        <f>D4/D12</f>
        <v>1.8934527711018863</v>
      </c>
      <c r="E18" s="251">
        <f>E4/E12</f>
        <v>2.0952380952380953</v>
      </c>
      <c r="F18" s="251">
        <f>F4/F12</f>
        <v>0.90384615384615385</v>
      </c>
      <c r="G18" s="559" t="s">
        <v>139</v>
      </c>
    </row>
    <row r="19" spans="2:7" ht="15" customHeight="1">
      <c r="B19" s="135" t="s">
        <v>818</v>
      </c>
      <c r="C19" s="75" t="s">
        <v>147</v>
      </c>
      <c r="D19" s="17">
        <f>ROUND(536179.75*12,0)</f>
        <v>6434157</v>
      </c>
      <c r="E19" s="671">
        <f>9*E12*12</f>
        <v>15876</v>
      </c>
      <c r="F19" s="671">
        <f>7*F12*12</f>
        <v>4368</v>
      </c>
      <c r="G19" s="671" t="s">
        <v>1162</v>
      </c>
    </row>
    <row r="20" spans="2:7" ht="15" customHeight="1">
      <c r="B20" s="135" t="s">
        <v>819</v>
      </c>
      <c r="C20" s="75" t="s">
        <v>147</v>
      </c>
      <c r="D20" s="17">
        <f>ROUND(519219.4*12,0)</f>
        <v>6230633</v>
      </c>
      <c r="E20" s="671">
        <f>E19</f>
        <v>15876</v>
      </c>
      <c r="F20" s="671">
        <f>F19</f>
        <v>4368</v>
      </c>
      <c r="G20" s="671" t="s">
        <v>1162</v>
      </c>
    </row>
    <row r="21" spans="2:7" ht="15" customHeight="1">
      <c r="B21" s="135" t="s">
        <v>820</v>
      </c>
      <c r="C21" s="75" t="s">
        <v>147</v>
      </c>
      <c r="D21" s="17">
        <f>ROUND(972691*12,0)</f>
        <v>11672292</v>
      </c>
      <c r="E21" s="671">
        <f>(D21/D4)*E4</f>
        <v>34569.271279664601</v>
      </c>
      <c r="F21" s="671">
        <f>(D21/D4)*F4</f>
        <v>5275.1810069618068</v>
      </c>
      <c r="G21" s="671" t="s">
        <v>1162</v>
      </c>
    </row>
    <row r="22" spans="2:7" ht="15" customHeight="1">
      <c r="B22" s="135" t="s">
        <v>149</v>
      </c>
      <c r="C22" s="75" t="s">
        <v>150</v>
      </c>
      <c r="D22" s="133">
        <f>D19/D20</f>
        <v>1.0326650598743339</v>
      </c>
      <c r="E22" s="559">
        <v>1</v>
      </c>
      <c r="F22" s="559">
        <v>1</v>
      </c>
      <c r="G22" s="675" t="s">
        <v>139</v>
      </c>
    </row>
    <row r="23" spans="2:7" ht="15" customHeight="1">
      <c r="B23" s="135" t="s">
        <v>534</v>
      </c>
      <c r="C23" s="75" t="s">
        <v>392</v>
      </c>
      <c r="D23" s="133">
        <f>((D20*1000)/365)/D4</f>
        <v>164.14311509346777</v>
      </c>
      <c r="E23" s="133">
        <v>164.14</v>
      </c>
      <c r="F23" s="133">
        <f>D23</f>
        <v>164.14311509346777</v>
      </c>
      <c r="G23" s="671" t="s">
        <v>1165</v>
      </c>
    </row>
    <row r="24" spans="2:7" ht="15" customHeight="1" thickBot="1">
      <c r="C24" s="28"/>
      <c r="D24" s="28"/>
      <c r="E24" s="28"/>
      <c r="F24" s="28"/>
      <c r="G24" s="28"/>
    </row>
    <row r="25" spans="2:7" ht="15" customHeight="1" thickBot="1">
      <c r="B25" s="496" t="s">
        <v>484</v>
      </c>
      <c r="C25" s="497" t="s">
        <v>65</v>
      </c>
      <c r="D25" s="565" t="s">
        <v>849</v>
      </c>
      <c r="E25" s="565" t="s">
        <v>850</v>
      </c>
      <c r="F25" s="565" t="s">
        <v>851</v>
      </c>
      <c r="G25" s="674" t="s">
        <v>143</v>
      </c>
    </row>
    <row r="26" spans="2:7" ht="15" customHeight="1">
      <c r="B26" s="253" t="s">
        <v>535</v>
      </c>
      <c r="C26" s="268" t="s">
        <v>375</v>
      </c>
      <c r="D26" s="769">
        <v>42980976.340000004</v>
      </c>
      <c r="E26" s="671">
        <f>E20*E64</f>
        <v>168000.62411396878</v>
      </c>
      <c r="F26" s="671">
        <f>F20*F64</f>
        <v>46222.393936118395</v>
      </c>
      <c r="G26" s="671" t="s">
        <v>1163</v>
      </c>
    </row>
    <row r="27" spans="2:7" ht="15" customHeight="1">
      <c r="B27" s="253" t="s">
        <v>536</v>
      </c>
      <c r="C27" s="268" t="s">
        <v>375</v>
      </c>
      <c r="D27" s="769">
        <v>0</v>
      </c>
      <c r="E27" s="671">
        <v>0</v>
      </c>
      <c r="F27" s="671">
        <v>0</v>
      </c>
      <c r="G27" s="671" t="s">
        <v>843</v>
      </c>
    </row>
    <row r="28" spans="2:7" ht="15" customHeight="1">
      <c r="B28" s="253" t="s">
        <v>526</v>
      </c>
      <c r="C28" s="268" t="s">
        <v>375</v>
      </c>
      <c r="D28" s="769">
        <f>D26+D27</f>
        <v>42980976.340000004</v>
      </c>
      <c r="E28" s="671">
        <f>E26</f>
        <v>168000.62411396878</v>
      </c>
      <c r="F28" s="671">
        <f>F26</f>
        <v>46222.393936118395</v>
      </c>
      <c r="G28" s="671" t="s">
        <v>1163</v>
      </c>
    </row>
    <row r="29" spans="2:7" ht="15" customHeight="1">
      <c r="B29" s="264" t="s">
        <v>1164</v>
      </c>
      <c r="C29" s="265" t="s">
        <v>375</v>
      </c>
      <c r="D29" s="770">
        <v>1242985.07</v>
      </c>
      <c r="E29" s="771">
        <f>(D29/D4)*E4</f>
        <v>3681.2896799876921</v>
      </c>
      <c r="F29" s="771">
        <f>(D29/D4)*F4</f>
        <v>561.75524337474519</v>
      </c>
      <c r="G29" s="671" t="s">
        <v>1163</v>
      </c>
    </row>
    <row r="30" spans="2:7" ht="15" customHeight="1" thickBot="1"/>
    <row r="31" spans="2:7" ht="15" customHeight="1" thickBot="1">
      <c r="B31" s="496" t="s">
        <v>483</v>
      </c>
      <c r="C31" s="497" t="s">
        <v>65</v>
      </c>
      <c r="D31" s="565" t="s">
        <v>849</v>
      </c>
      <c r="E31" s="565" t="s">
        <v>850</v>
      </c>
      <c r="F31" s="565" t="s">
        <v>851</v>
      </c>
      <c r="G31" s="674" t="s">
        <v>143</v>
      </c>
    </row>
    <row r="32" spans="2:7" ht="15" customHeight="1">
      <c r="B32" s="253" t="s">
        <v>821</v>
      </c>
      <c r="C32" s="254" t="s">
        <v>402</v>
      </c>
      <c r="D32" s="671">
        <v>467789</v>
      </c>
      <c r="E32" s="671">
        <v>6700</v>
      </c>
      <c r="F32" s="671">
        <v>1100</v>
      </c>
      <c r="G32" s="671" t="s">
        <v>1162</v>
      </c>
    </row>
    <row r="33" spans="2:7" ht="15" customHeight="1">
      <c r="B33" s="181" t="s">
        <v>822</v>
      </c>
      <c r="C33" s="156" t="s">
        <v>402</v>
      </c>
      <c r="D33" s="321">
        <v>0</v>
      </c>
      <c r="E33" s="671">
        <v>0</v>
      </c>
      <c r="F33" s="671">
        <v>0</v>
      </c>
      <c r="G33" s="671" t="s">
        <v>843</v>
      </c>
    </row>
    <row r="34" spans="2:7" ht="15" customHeight="1">
      <c r="B34" s="181" t="s">
        <v>823</v>
      </c>
      <c r="C34" s="156" t="s">
        <v>140</v>
      </c>
      <c r="D34" s="321">
        <v>8740</v>
      </c>
      <c r="E34" s="321">
        <v>40</v>
      </c>
      <c r="F34" s="321">
        <v>20</v>
      </c>
      <c r="G34" s="676" t="s">
        <v>1162</v>
      </c>
    </row>
    <row r="35" spans="2:7" ht="15" customHeight="1">
      <c r="B35" s="317" t="s">
        <v>587</v>
      </c>
      <c r="C35" s="318" t="s">
        <v>372</v>
      </c>
      <c r="D35" s="685">
        <v>2</v>
      </c>
      <c r="E35" s="321">
        <v>0</v>
      </c>
      <c r="F35" s="321">
        <v>0</v>
      </c>
      <c r="G35" s="676" t="s">
        <v>1162</v>
      </c>
    </row>
    <row r="36" spans="2:7" ht="15" customHeight="1">
      <c r="B36" s="317" t="s">
        <v>588</v>
      </c>
      <c r="C36" s="318" t="s">
        <v>372</v>
      </c>
      <c r="D36" s="321">
        <v>0</v>
      </c>
      <c r="E36" s="321">
        <v>0</v>
      </c>
      <c r="F36" s="321">
        <v>0</v>
      </c>
      <c r="G36" s="676" t="s">
        <v>1162</v>
      </c>
    </row>
    <row r="37" spans="2:7" ht="15" customHeight="1">
      <c r="B37" s="181" t="s">
        <v>824</v>
      </c>
      <c r="C37" s="156" t="s">
        <v>415</v>
      </c>
      <c r="D37" s="559">
        <v>430</v>
      </c>
      <c r="E37" s="675">
        <v>0</v>
      </c>
      <c r="F37" s="675">
        <v>0</v>
      </c>
      <c r="G37" s="676" t="s">
        <v>1162</v>
      </c>
    </row>
    <row r="38" spans="2:7" ht="15" customHeight="1">
      <c r="B38" s="181" t="s">
        <v>825</v>
      </c>
      <c r="C38" s="156" t="s">
        <v>415</v>
      </c>
      <c r="D38" s="559">
        <v>18.61</v>
      </c>
      <c r="E38" s="559">
        <f>12/3.6*2</f>
        <v>6.6666666666666661</v>
      </c>
      <c r="F38" s="559">
        <f>10/3.6</f>
        <v>2.7777777777777777</v>
      </c>
      <c r="G38" s="676" t="s">
        <v>1162</v>
      </c>
    </row>
    <row r="39" spans="2:7" ht="14.55" customHeight="1">
      <c r="B39" s="181" t="s">
        <v>826</v>
      </c>
      <c r="C39" s="156" t="s">
        <v>415</v>
      </c>
      <c r="D39" s="675">
        <v>0</v>
      </c>
      <c r="E39" s="675">
        <v>0</v>
      </c>
      <c r="F39" s="675">
        <v>0</v>
      </c>
      <c r="G39" s="321" t="s">
        <v>843</v>
      </c>
    </row>
    <row r="40" spans="2:7" ht="15" customHeight="1">
      <c r="B40" s="181" t="s">
        <v>262</v>
      </c>
      <c r="C40" s="255" t="s">
        <v>248</v>
      </c>
      <c r="D40" s="559">
        <f>D32/D4</f>
        <v>4.4981441593907459</v>
      </c>
      <c r="E40" s="559">
        <f>E32/E4</f>
        <v>21.753246753246753</v>
      </c>
      <c r="F40" s="559">
        <f>F32/F4</f>
        <v>23.404255319148938</v>
      </c>
      <c r="G40" s="321" t="s">
        <v>139</v>
      </c>
    </row>
    <row r="41" spans="2:7" ht="15" customHeight="1">
      <c r="B41" s="256" t="s">
        <v>256</v>
      </c>
      <c r="C41" s="156" t="s">
        <v>401</v>
      </c>
      <c r="D41" s="559">
        <f>D32/D15</f>
        <v>13.86575569849127</v>
      </c>
      <c r="E41" s="559">
        <f>E32/E15</f>
        <v>45.57823129251701</v>
      </c>
      <c r="F41" s="559">
        <f t="shared" ref="F41" si="0">F32/F15</f>
        <v>21.153846153846153</v>
      </c>
      <c r="G41" s="321" t="s">
        <v>139</v>
      </c>
    </row>
    <row r="42" spans="2:7" ht="15" customHeight="1">
      <c r="B42" s="181" t="s">
        <v>269</v>
      </c>
      <c r="C42" s="156" t="s">
        <v>401</v>
      </c>
      <c r="D42" s="559">
        <v>15</v>
      </c>
      <c r="E42" s="559">
        <v>15</v>
      </c>
      <c r="F42" s="559">
        <v>15</v>
      </c>
      <c r="G42" s="321" t="s">
        <v>148</v>
      </c>
    </row>
    <row r="43" spans="2:7" ht="15" customHeight="1">
      <c r="B43" s="145" t="s">
        <v>785</v>
      </c>
      <c r="C43" s="226" t="s">
        <v>248</v>
      </c>
      <c r="D43" s="559">
        <f>D40</f>
        <v>4.4981441593907459</v>
      </c>
      <c r="E43" s="559">
        <f>E40</f>
        <v>21.753246753246753</v>
      </c>
      <c r="F43" s="559">
        <f>F40</f>
        <v>23.404255319148938</v>
      </c>
      <c r="G43" s="321" t="s">
        <v>139</v>
      </c>
    </row>
    <row r="44" spans="2:7" ht="15" customHeight="1">
      <c r="B44" s="145" t="s">
        <v>786</v>
      </c>
      <c r="C44" s="75" t="s">
        <v>400</v>
      </c>
      <c r="D44" s="559">
        <f>D41</f>
        <v>13.86575569849127</v>
      </c>
      <c r="E44" s="559">
        <f t="shared" ref="E44:F44" si="1">E41</f>
        <v>45.57823129251701</v>
      </c>
      <c r="F44" s="559">
        <f t="shared" si="1"/>
        <v>21.153846153846153</v>
      </c>
      <c r="G44" s="321" t="s">
        <v>139</v>
      </c>
    </row>
    <row r="45" spans="2:7" ht="15" customHeight="1">
      <c r="B45" s="135" t="s">
        <v>787</v>
      </c>
      <c r="C45" s="75" t="s">
        <v>400</v>
      </c>
      <c r="D45" s="559">
        <f>D42</f>
        <v>15</v>
      </c>
      <c r="E45" s="559">
        <v>15</v>
      </c>
      <c r="F45" s="559">
        <v>15</v>
      </c>
      <c r="G45" s="321" t="s">
        <v>148</v>
      </c>
    </row>
    <row r="46" spans="2:7" ht="15" customHeight="1" thickBot="1">
      <c r="C46" s="28"/>
      <c r="D46" s="28"/>
      <c r="E46" s="28"/>
      <c r="F46" s="28"/>
      <c r="G46" s="28"/>
    </row>
    <row r="47" spans="2:7" ht="15" customHeight="1" thickBot="1">
      <c r="B47" s="496" t="s">
        <v>482</v>
      </c>
      <c r="C47" s="497" t="s">
        <v>65</v>
      </c>
      <c r="D47" s="565" t="s">
        <v>849</v>
      </c>
      <c r="E47" s="565" t="s">
        <v>850</v>
      </c>
      <c r="F47" s="565" t="s">
        <v>851</v>
      </c>
      <c r="G47" s="674" t="s">
        <v>143</v>
      </c>
    </row>
    <row r="48" spans="2:7" ht="15" customHeight="1">
      <c r="B48" s="266" t="s">
        <v>487</v>
      </c>
      <c r="C48" s="254" t="s">
        <v>485</v>
      </c>
      <c r="D48" s="769">
        <v>13117706</v>
      </c>
      <c r="E48" s="671">
        <f>(D48/D4)*E4</f>
        <v>38850.085080195393</v>
      </c>
      <c r="F48" s="671">
        <f>(D48/D4)*F4</f>
        <v>5928.4220739259199</v>
      </c>
      <c r="G48" s="677" t="s">
        <v>1163</v>
      </c>
    </row>
    <row r="49" spans="2:7" ht="15" customHeight="1">
      <c r="B49" s="262" t="s">
        <v>488</v>
      </c>
      <c r="C49" s="156" t="s">
        <v>485</v>
      </c>
      <c r="D49" s="772">
        <v>0</v>
      </c>
      <c r="E49" s="671">
        <v>0</v>
      </c>
      <c r="F49" s="671">
        <v>0</v>
      </c>
      <c r="G49" s="677" t="s">
        <v>843</v>
      </c>
    </row>
    <row r="50" spans="2:7" ht="15" customHeight="1">
      <c r="B50" s="262" t="s">
        <v>486</v>
      </c>
      <c r="C50" s="156" t="s">
        <v>375</v>
      </c>
      <c r="D50" s="769">
        <v>9203827.7799999993</v>
      </c>
      <c r="E50" s="671">
        <f>(D50/D4)*E4</f>
        <v>27258.538369168044</v>
      </c>
      <c r="F50" s="671">
        <f>(D50/D4)*F4</f>
        <v>4159.5821537366819</v>
      </c>
      <c r="G50" s="677" t="s">
        <v>852</v>
      </c>
    </row>
    <row r="51" spans="2:7" ht="15" customHeight="1">
      <c r="B51" s="262" t="s">
        <v>263</v>
      </c>
      <c r="C51" s="156" t="s">
        <v>159</v>
      </c>
      <c r="D51" s="559">
        <f>D50/D48</f>
        <v>0.70163394270309143</v>
      </c>
      <c r="E51" s="559">
        <f>D51</f>
        <v>0.70163394270309143</v>
      </c>
      <c r="F51" s="559">
        <f>E51</f>
        <v>0.70163394270309143</v>
      </c>
      <c r="G51" s="251" t="s">
        <v>139</v>
      </c>
    </row>
    <row r="52" spans="2:7" ht="15" customHeight="1">
      <c r="B52" s="262" t="s">
        <v>244</v>
      </c>
      <c r="C52" s="156" t="s">
        <v>159</v>
      </c>
      <c r="D52" s="559">
        <f>D51</f>
        <v>0.70163394270309143</v>
      </c>
      <c r="E52" s="559">
        <f t="shared" ref="E52:F52" si="2">E51</f>
        <v>0.70163394270309143</v>
      </c>
      <c r="F52" s="559">
        <f t="shared" si="2"/>
        <v>0.70163394270309143</v>
      </c>
      <c r="G52" s="251" t="s">
        <v>139</v>
      </c>
    </row>
    <row r="53" spans="2:7" ht="15" customHeight="1">
      <c r="B53" s="135" t="s">
        <v>264</v>
      </c>
      <c r="C53" s="75" t="s">
        <v>266</v>
      </c>
      <c r="D53" s="559">
        <f>D48/D21</f>
        <v>1.1238329198755479</v>
      </c>
      <c r="E53" s="559">
        <f t="shared" ref="E53:F53" si="3">E48/E21</f>
        <v>1.1238329198755481</v>
      </c>
      <c r="F53" s="559">
        <f t="shared" si="3"/>
        <v>1.1238329198755479</v>
      </c>
      <c r="G53" s="251" t="s">
        <v>139</v>
      </c>
    </row>
    <row r="54" spans="2:7" ht="15" customHeight="1">
      <c r="B54" s="135" t="s">
        <v>527</v>
      </c>
      <c r="C54" s="75" t="s">
        <v>266</v>
      </c>
      <c r="D54" s="559">
        <f>D53</f>
        <v>1.1238329198755479</v>
      </c>
      <c r="E54" s="559">
        <f t="shared" ref="E54:F54" si="4">E53</f>
        <v>1.1238329198755481</v>
      </c>
      <c r="F54" s="559">
        <f t="shared" si="4"/>
        <v>1.1238329198755479</v>
      </c>
      <c r="G54" s="251" t="s">
        <v>853</v>
      </c>
    </row>
    <row r="55" spans="2:7" ht="15" customHeight="1">
      <c r="B55" s="135" t="s">
        <v>768</v>
      </c>
      <c r="C55" s="75" t="s">
        <v>770</v>
      </c>
      <c r="D55" s="559">
        <f>D54</f>
        <v>1.1238329198755479</v>
      </c>
      <c r="E55" s="559">
        <f>E54</f>
        <v>1.1238329198755481</v>
      </c>
      <c r="F55" s="559">
        <f>F54</f>
        <v>1.1238329198755479</v>
      </c>
      <c r="G55" s="251" t="s">
        <v>853</v>
      </c>
    </row>
    <row r="56" spans="2:7" ht="15" customHeight="1">
      <c r="B56" s="135" t="s">
        <v>769</v>
      </c>
      <c r="C56" s="75" t="s">
        <v>770</v>
      </c>
      <c r="D56" s="559">
        <f>D55</f>
        <v>1.1238329198755479</v>
      </c>
      <c r="E56" s="559">
        <f t="shared" ref="E56:F56" si="5">E55</f>
        <v>1.1238329198755481</v>
      </c>
      <c r="F56" s="559">
        <f t="shared" si="5"/>
        <v>1.1238329198755479</v>
      </c>
      <c r="G56" s="251" t="s">
        <v>853</v>
      </c>
    </row>
    <row r="57" spans="2:7" ht="15" customHeight="1">
      <c r="B57" s="135" t="s">
        <v>393</v>
      </c>
      <c r="C57" s="75" t="s">
        <v>265</v>
      </c>
      <c r="D57" s="559">
        <v>0.7</v>
      </c>
      <c r="E57" s="559">
        <v>0.7</v>
      </c>
      <c r="F57" s="559">
        <v>0.7</v>
      </c>
      <c r="G57" s="17" t="s">
        <v>148</v>
      </c>
    </row>
    <row r="58" spans="2:7" ht="15" customHeight="1">
      <c r="B58" s="135" t="s">
        <v>528</v>
      </c>
      <c r="C58" s="75" t="s">
        <v>266</v>
      </c>
      <c r="D58" s="559">
        <f>D57</f>
        <v>0.7</v>
      </c>
      <c r="E58" s="559">
        <f>E57</f>
        <v>0.7</v>
      </c>
      <c r="F58" s="559">
        <f>F57</f>
        <v>0.7</v>
      </c>
      <c r="G58" s="17" t="s">
        <v>148</v>
      </c>
    </row>
    <row r="59" spans="2:7" ht="15" customHeight="1" thickBot="1"/>
    <row r="60" spans="2:7" ht="15" customHeight="1" thickBot="1">
      <c r="B60" s="496" t="s">
        <v>490</v>
      </c>
      <c r="C60" s="497" t="s">
        <v>65</v>
      </c>
      <c r="D60" s="565" t="s">
        <v>849</v>
      </c>
      <c r="E60" s="565" t="s">
        <v>850</v>
      </c>
      <c r="F60" s="565" t="s">
        <v>851</v>
      </c>
      <c r="G60" s="674" t="s">
        <v>143</v>
      </c>
    </row>
    <row r="61" spans="2:7" ht="15" customHeight="1">
      <c r="B61" s="135" t="s">
        <v>414</v>
      </c>
      <c r="C61" s="75" t="s">
        <v>146</v>
      </c>
      <c r="D61" s="134">
        <f>(D21-D20)/D21</f>
        <v>0.46620312445918932</v>
      </c>
      <c r="E61" s="134">
        <f>D61</f>
        <v>0.46620312445918932</v>
      </c>
      <c r="F61" s="134">
        <f>E61</f>
        <v>0.46620312445918932</v>
      </c>
      <c r="G61" s="321" t="s">
        <v>1165</v>
      </c>
    </row>
    <row r="62" spans="2:7" ht="13.2">
      <c r="B62" s="253" t="s">
        <v>245</v>
      </c>
      <c r="C62" s="254" t="s">
        <v>52</v>
      </c>
      <c r="D62" s="805">
        <v>9.59</v>
      </c>
      <c r="E62" s="805">
        <v>9.59</v>
      </c>
      <c r="F62" s="805">
        <v>9.59</v>
      </c>
      <c r="G62" s="321" t="s">
        <v>852</v>
      </c>
    </row>
    <row r="63" spans="2:7" ht="13.2">
      <c r="B63" s="135" t="s">
        <v>838</v>
      </c>
      <c r="C63" s="75" t="s">
        <v>146</v>
      </c>
      <c r="D63" s="806"/>
      <c r="E63" s="755"/>
      <c r="F63" s="755"/>
      <c r="G63" s="321" t="s">
        <v>711</v>
      </c>
    </row>
    <row r="64" spans="2:7" ht="15" customHeight="1">
      <c r="B64" s="135" t="s">
        <v>827</v>
      </c>
      <c r="C64" s="75" t="s">
        <v>52</v>
      </c>
      <c r="D64" s="133">
        <v>10.582049893799999</v>
      </c>
      <c r="E64" s="133">
        <v>10.582049893799999</v>
      </c>
      <c r="F64" s="133">
        <v>10.582049893799999</v>
      </c>
      <c r="G64" s="559" t="s">
        <v>139</v>
      </c>
    </row>
    <row r="65" spans="2:10" ht="15" customHeight="1">
      <c r="B65" s="135" t="s">
        <v>799</v>
      </c>
      <c r="C65" s="75" t="s">
        <v>146</v>
      </c>
      <c r="D65" s="134">
        <v>0</v>
      </c>
      <c r="E65" s="134">
        <f>D65</f>
        <v>0</v>
      </c>
      <c r="F65" s="134">
        <f>E65</f>
        <v>0</v>
      </c>
      <c r="G65" s="559" t="s">
        <v>148</v>
      </c>
      <c r="I65" s="792"/>
    </row>
    <row r="66" spans="2:10" ht="13.2">
      <c r="B66" s="135" t="s">
        <v>784</v>
      </c>
      <c r="C66" s="75" t="s">
        <v>52</v>
      </c>
      <c r="D66" s="864">
        <f>D64*(1+D65)</f>
        <v>10.582049893799999</v>
      </c>
      <c r="E66" s="864">
        <f t="shared" ref="E66:F66" si="6">E64*(1+E65)</f>
        <v>10.582049893799999</v>
      </c>
      <c r="F66" s="864">
        <f t="shared" si="6"/>
        <v>10.582049893799999</v>
      </c>
      <c r="G66" s="559" t="s">
        <v>139</v>
      </c>
      <c r="I66" s="792"/>
      <c r="J66" s="860"/>
    </row>
    <row r="67" spans="2:10" ht="15" customHeight="1">
      <c r="B67" s="181" t="s">
        <v>396</v>
      </c>
      <c r="C67" s="156" t="s">
        <v>226</v>
      </c>
      <c r="D67" s="216">
        <f>D29/D28</f>
        <v>2.8919423797342244E-2</v>
      </c>
      <c r="E67" s="216">
        <f>D67</f>
        <v>2.8919423797342244E-2</v>
      </c>
      <c r="F67" s="216">
        <f>E67</f>
        <v>2.8919423797342244E-2</v>
      </c>
      <c r="G67" s="321" t="s">
        <v>148</v>
      </c>
    </row>
    <row r="68" spans="2:10" ht="15" customHeight="1" thickBot="1">
      <c r="B68" s="317"/>
      <c r="C68" s="318"/>
      <c r="D68" s="320"/>
      <c r="E68" s="320"/>
      <c r="F68" s="320"/>
      <c r="G68" s="321"/>
    </row>
    <row r="69" spans="2:10" ht="15" customHeight="1" thickBot="1">
      <c r="B69" s="496" t="s">
        <v>1258</v>
      </c>
      <c r="C69" s="497" t="s">
        <v>65</v>
      </c>
      <c r="D69" s="497" t="s">
        <v>66</v>
      </c>
      <c r="E69" s="720"/>
      <c r="F69" s="720"/>
      <c r="G69" s="674" t="s">
        <v>143</v>
      </c>
    </row>
    <row r="70" spans="2:10" ht="15" customHeight="1">
      <c r="B70" s="262" t="s">
        <v>1259</v>
      </c>
      <c r="C70" s="263" t="s">
        <v>172</v>
      </c>
      <c r="D70" s="804">
        <v>1080000</v>
      </c>
      <c r="E70" s="721"/>
      <c r="F70" s="721"/>
      <c r="G70" s="263"/>
      <c r="H70" s="881">
        <f>'Fluxo Sem Financiamento'!B31</f>
        <v>8.7917646999729815E-2</v>
      </c>
    </row>
    <row r="71" spans="2:10" ht="15" customHeight="1" thickBot="1">
      <c r="C71" s="28"/>
      <c r="D71" s="561"/>
      <c r="E71" s="561"/>
      <c r="F71" s="561"/>
      <c r="G71" s="28"/>
    </row>
    <row r="72" spans="2:10" ht="15" customHeight="1" thickBot="1">
      <c r="B72" s="496" t="s">
        <v>1201</v>
      </c>
      <c r="C72" s="497" t="s">
        <v>65</v>
      </c>
      <c r="D72" s="497" t="s">
        <v>66</v>
      </c>
      <c r="E72" s="720"/>
      <c r="F72" s="720"/>
      <c r="G72" s="674" t="s">
        <v>143</v>
      </c>
    </row>
    <row r="73" spans="2:10" ht="15" customHeight="1">
      <c r="B73" s="262" t="s">
        <v>1202</v>
      </c>
      <c r="C73" s="263" t="s">
        <v>172</v>
      </c>
      <c r="D73" s="769">
        <v>140000000</v>
      </c>
      <c r="E73" s="721"/>
      <c r="F73" s="721"/>
      <c r="G73" s="263" t="s">
        <v>1172</v>
      </c>
    </row>
    <row r="74" spans="2:10" ht="15" customHeight="1" thickBot="1">
      <c r="C74" s="28"/>
      <c r="D74" s="561"/>
      <c r="E74" s="561"/>
      <c r="F74" s="561"/>
      <c r="G74" s="28"/>
    </row>
    <row r="75" spans="2:10" ht="15" customHeight="1" thickBot="1">
      <c r="B75" s="496" t="s">
        <v>491</v>
      </c>
      <c r="C75" s="497" t="s">
        <v>65</v>
      </c>
      <c r="D75" s="497" t="s">
        <v>66</v>
      </c>
      <c r="E75" s="720"/>
      <c r="F75" s="720"/>
      <c r="G75" s="674" t="s">
        <v>143</v>
      </c>
    </row>
    <row r="76" spans="2:10" ht="15" customHeight="1">
      <c r="B76" s="258" t="s">
        <v>525</v>
      </c>
      <c r="C76" s="257" t="s">
        <v>259</v>
      </c>
      <c r="D76" s="562">
        <v>1.2</v>
      </c>
      <c r="E76" s="562">
        <v>1.2</v>
      </c>
      <c r="F76" s="562">
        <v>1.2</v>
      </c>
      <c r="G76" s="678" t="s">
        <v>148</v>
      </c>
    </row>
    <row r="77" spans="2:10" ht="15" customHeight="1">
      <c r="B77" s="259" t="s">
        <v>524</v>
      </c>
      <c r="C77" s="156" t="s">
        <v>259</v>
      </c>
      <c r="D77" s="251">
        <v>1.5</v>
      </c>
      <c r="E77" s="251">
        <v>1.5</v>
      </c>
      <c r="F77" s="251">
        <v>1.5</v>
      </c>
      <c r="G77" s="679" t="s">
        <v>148</v>
      </c>
    </row>
    <row r="78" spans="2:10" ht="15" customHeight="1">
      <c r="B78" s="259" t="s">
        <v>57</v>
      </c>
      <c r="C78" s="156" t="s">
        <v>259</v>
      </c>
      <c r="D78" s="251">
        <v>0.8</v>
      </c>
      <c r="E78" s="251">
        <v>0.8</v>
      </c>
      <c r="F78" s="251">
        <v>0.8</v>
      </c>
      <c r="G78" s="680" t="s">
        <v>148</v>
      </c>
    </row>
    <row r="79" spans="2:10" ht="15" customHeight="1" thickBot="1">
      <c r="B79" s="260" t="s">
        <v>178</v>
      </c>
      <c r="C79" s="261" t="s">
        <v>798</v>
      </c>
      <c r="D79" s="563">
        <v>0.1</v>
      </c>
      <c r="E79" s="563">
        <v>0.1</v>
      </c>
      <c r="F79" s="563">
        <v>0.1</v>
      </c>
      <c r="G79" s="681" t="s">
        <v>148</v>
      </c>
    </row>
    <row r="80" spans="2:10" ht="15" customHeight="1" thickBot="1"/>
    <row r="81" spans="2:9" ht="15" customHeight="1" thickBot="1">
      <c r="B81" s="496" t="s">
        <v>489</v>
      </c>
      <c r="C81" s="497" t="s">
        <v>65</v>
      </c>
      <c r="D81" s="497" t="s">
        <v>66</v>
      </c>
      <c r="E81" s="720"/>
      <c r="F81" s="720"/>
      <c r="G81" s="674" t="s">
        <v>143</v>
      </c>
    </row>
    <row r="82" spans="2:9" ht="15" customHeight="1">
      <c r="B82" s="135" t="s">
        <v>220</v>
      </c>
      <c r="C82" s="75" t="s">
        <v>1199</v>
      </c>
      <c r="D82" s="867">
        <v>35</v>
      </c>
      <c r="E82" s="685"/>
      <c r="F82" s="685"/>
      <c r="G82" s="133" t="s">
        <v>148</v>
      </c>
    </row>
    <row r="83" spans="2:9" ht="15" customHeight="1">
      <c r="B83" s="135" t="s">
        <v>249</v>
      </c>
      <c r="C83" s="75" t="s">
        <v>1199</v>
      </c>
      <c r="D83" s="867">
        <v>6</v>
      </c>
      <c r="E83" s="685"/>
      <c r="F83" s="685"/>
      <c r="G83" s="133" t="s">
        <v>148</v>
      </c>
    </row>
    <row r="84" spans="2:9" ht="15" customHeight="1">
      <c r="B84" s="135" t="s">
        <v>221</v>
      </c>
      <c r="C84" s="75" t="s">
        <v>1199</v>
      </c>
      <c r="D84" s="867">
        <v>4</v>
      </c>
      <c r="E84" s="685"/>
      <c r="F84" s="685"/>
      <c r="G84" s="133" t="s">
        <v>148</v>
      </c>
      <c r="H84" s="792"/>
    </row>
    <row r="85" spans="2:9" ht="15" customHeight="1">
      <c r="B85" s="135" t="s">
        <v>187</v>
      </c>
      <c r="C85" s="75" t="s">
        <v>146</v>
      </c>
      <c r="D85" s="134">
        <v>0.01</v>
      </c>
      <c r="E85" s="672"/>
      <c r="F85" s="672"/>
      <c r="G85" s="133" t="s">
        <v>188</v>
      </c>
    </row>
    <row r="86" spans="2:9" ht="15" customHeight="1">
      <c r="B86" s="135" t="s">
        <v>189</v>
      </c>
      <c r="C86" s="75" t="s">
        <v>146</v>
      </c>
      <c r="D86" s="134">
        <v>0.01</v>
      </c>
      <c r="E86" s="672"/>
      <c r="F86" s="672"/>
      <c r="G86" s="133" t="s">
        <v>188</v>
      </c>
    </row>
    <row r="87" spans="2:9" ht="15" customHeight="1">
      <c r="B87" s="135"/>
      <c r="C87" s="75"/>
      <c r="D87" s="807"/>
      <c r="E87" s="808"/>
      <c r="F87" s="808"/>
      <c r="G87" s="809"/>
      <c r="I87" s="792"/>
    </row>
    <row r="88" spans="2:9" ht="15" customHeight="1">
      <c r="B88" s="135" t="s">
        <v>1212</v>
      </c>
      <c r="C88" s="75" t="s">
        <v>1211</v>
      </c>
      <c r="D88" s="134">
        <v>0.02</v>
      </c>
      <c r="E88" s="808"/>
      <c r="F88" s="808"/>
      <c r="G88" s="809" t="s">
        <v>1166</v>
      </c>
      <c r="I88" s="792"/>
    </row>
    <row r="89" spans="2:9" ht="15" customHeight="1">
      <c r="B89" s="135" t="s">
        <v>1213</v>
      </c>
      <c r="C89" s="75" t="s">
        <v>1211</v>
      </c>
      <c r="D89" s="134">
        <v>1.4999999999999999E-2</v>
      </c>
      <c r="E89" s="808"/>
      <c r="F89" s="808"/>
      <c r="G89" s="809" t="s">
        <v>1166</v>
      </c>
      <c r="I89" s="792"/>
    </row>
    <row r="90" spans="2:9" ht="15" customHeight="1">
      <c r="B90" s="135" t="s">
        <v>1215</v>
      </c>
      <c r="C90" s="75" t="s">
        <v>1216</v>
      </c>
      <c r="D90" s="812">
        <v>0</v>
      </c>
      <c r="E90" s="808"/>
      <c r="F90" s="808"/>
      <c r="G90" s="809" t="s">
        <v>1166</v>
      </c>
      <c r="I90" s="792"/>
    </row>
    <row r="91" spans="2:9" ht="15" customHeight="1">
      <c r="B91" s="145" t="s">
        <v>246</v>
      </c>
      <c r="C91" s="75" t="s">
        <v>219</v>
      </c>
      <c r="D91" s="134">
        <v>0</v>
      </c>
      <c r="E91" s="672"/>
      <c r="F91" s="672"/>
      <c r="G91" s="17"/>
    </row>
    <row r="92" spans="2:9" ht="15" customHeight="1">
      <c r="B92" s="181" t="s">
        <v>386</v>
      </c>
      <c r="C92" s="156" t="s">
        <v>226</v>
      </c>
      <c r="D92" s="810">
        <v>0.2</v>
      </c>
      <c r="E92" s="811"/>
      <c r="F92" s="811"/>
      <c r="G92" s="251" t="s">
        <v>385</v>
      </c>
    </row>
    <row r="93" spans="2:9" ht="15" customHeight="1">
      <c r="B93" s="181" t="s">
        <v>541</v>
      </c>
      <c r="C93" s="263" t="s">
        <v>226</v>
      </c>
      <c r="D93" s="482">
        <v>0.1</v>
      </c>
      <c r="E93" s="722"/>
      <c r="F93" s="722"/>
      <c r="G93" s="263" t="s">
        <v>385</v>
      </c>
    </row>
    <row r="94" spans="2:9" ht="15" customHeight="1">
      <c r="B94" s="181" t="s">
        <v>542</v>
      </c>
      <c r="C94" s="263" t="s">
        <v>226</v>
      </c>
      <c r="D94" s="482">
        <v>0.1</v>
      </c>
      <c r="E94" s="722"/>
      <c r="F94" s="722"/>
      <c r="G94" s="263" t="s">
        <v>385</v>
      </c>
    </row>
    <row r="95" spans="2:9" ht="15" customHeight="1">
      <c r="B95" s="181" t="s">
        <v>836</v>
      </c>
      <c r="C95" s="263" t="s">
        <v>226</v>
      </c>
      <c r="D95" s="482">
        <v>0.1</v>
      </c>
      <c r="E95" s="722"/>
      <c r="F95" s="722"/>
      <c r="G95" s="263" t="s">
        <v>385</v>
      </c>
    </row>
    <row r="96" spans="2:9" ht="15" customHeight="1">
      <c r="B96" s="181" t="s">
        <v>837</v>
      </c>
      <c r="C96" s="263" t="s">
        <v>226</v>
      </c>
      <c r="D96" s="482">
        <f>100%-D94</f>
        <v>0.9</v>
      </c>
      <c r="E96" s="722"/>
      <c r="F96" s="722"/>
      <c r="G96" s="263" t="s">
        <v>385</v>
      </c>
    </row>
    <row r="97" spans="2:8" ht="15" customHeight="1">
      <c r="B97" s="181" t="s">
        <v>1238</v>
      </c>
      <c r="C97" s="263" t="s">
        <v>226</v>
      </c>
      <c r="D97" s="859">
        <v>0</v>
      </c>
      <c r="E97" s="722"/>
      <c r="F97" s="722"/>
      <c r="G97" s="263" t="s">
        <v>385</v>
      </c>
      <c r="H97" s="858"/>
    </row>
    <row r="98" spans="2:8" ht="15" customHeight="1">
      <c r="B98" s="181"/>
      <c r="C98" s="263"/>
      <c r="D98" s="855"/>
      <c r="E98" s="722"/>
      <c r="F98" s="722"/>
      <c r="G98" s="263" t="s">
        <v>385</v>
      </c>
    </row>
    <row r="100" spans="2:8" ht="15" customHeight="1">
      <c r="B100" s="815" t="s">
        <v>1204</v>
      </c>
      <c r="C100" s="684" t="s">
        <v>1205</v>
      </c>
      <c r="D100" s="684" t="s">
        <v>1207</v>
      </c>
      <c r="E100" s="684" t="s">
        <v>1210</v>
      </c>
      <c r="F100" s="684" t="s">
        <v>1206</v>
      </c>
      <c r="G100" s="684" t="s">
        <v>1208</v>
      </c>
      <c r="H100" s="815" t="s">
        <v>1209</v>
      </c>
    </row>
    <row r="101" spans="2:8" ht="15" customHeight="1">
      <c r="B101" s="634">
        <v>1</v>
      </c>
      <c r="C101" s="813">
        <v>0.2</v>
      </c>
      <c r="D101" s="811">
        <v>0</v>
      </c>
      <c r="E101" s="811">
        <v>0.01</v>
      </c>
      <c r="F101" s="811">
        <v>0</v>
      </c>
      <c r="G101" s="811"/>
      <c r="H101" s="814"/>
    </row>
    <row r="102" spans="2:8" ht="15" customHeight="1">
      <c r="B102" s="634">
        <v>2</v>
      </c>
      <c r="C102" s="813">
        <v>0.2</v>
      </c>
      <c r="D102" s="811">
        <v>0.02</v>
      </c>
      <c r="E102" s="811">
        <v>0.01</v>
      </c>
      <c r="F102" s="811">
        <v>0.02</v>
      </c>
      <c r="G102" s="811"/>
      <c r="H102" s="814"/>
    </row>
    <row r="103" spans="2:8" ht="15" customHeight="1">
      <c r="B103" s="634">
        <v>3</v>
      </c>
      <c r="C103" s="813">
        <v>0.2</v>
      </c>
      <c r="D103" s="811">
        <v>0.02</v>
      </c>
      <c r="E103" s="811">
        <v>0.01</v>
      </c>
      <c r="F103" s="811">
        <v>0.02</v>
      </c>
      <c r="G103" s="811"/>
      <c r="H103" s="814"/>
    </row>
    <row r="104" spans="2:8" ht="15" customHeight="1">
      <c r="B104" s="634">
        <v>4</v>
      </c>
      <c r="C104" s="813">
        <v>0.2</v>
      </c>
      <c r="D104" s="811">
        <v>0</v>
      </c>
      <c r="E104" s="811">
        <v>0.01</v>
      </c>
      <c r="F104" s="811">
        <v>0.02</v>
      </c>
      <c r="G104" s="811"/>
      <c r="H104" s="814"/>
    </row>
    <row r="105" spans="2:8" ht="15" customHeight="1">
      <c r="B105" s="634">
        <v>5</v>
      </c>
      <c r="C105" s="813">
        <v>0.2</v>
      </c>
      <c r="D105" s="811">
        <v>0</v>
      </c>
      <c r="E105" s="814">
        <v>0.01</v>
      </c>
      <c r="F105" s="811">
        <v>0.02</v>
      </c>
      <c r="G105" s="814"/>
      <c r="H105" s="814"/>
    </row>
    <row r="106" spans="2:8" ht="15" customHeight="1">
      <c r="B106" s="634">
        <v>6</v>
      </c>
      <c r="C106" s="722">
        <v>0.2</v>
      </c>
      <c r="D106" s="811">
        <v>0</v>
      </c>
      <c r="E106" s="814">
        <v>0</v>
      </c>
      <c r="F106" s="811">
        <v>0.02</v>
      </c>
      <c r="G106" s="814"/>
      <c r="H106" s="814"/>
    </row>
    <row r="107" spans="2:8" ht="15" customHeight="1">
      <c r="B107" s="634">
        <v>7</v>
      </c>
      <c r="C107" s="722">
        <v>0.2</v>
      </c>
      <c r="D107" s="811">
        <v>0</v>
      </c>
      <c r="E107" s="814">
        <v>0</v>
      </c>
      <c r="F107" s="811">
        <v>0.02</v>
      </c>
      <c r="G107" s="814"/>
      <c r="H107" s="814"/>
    </row>
    <row r="108" spans="2:8" ht="15" customHeight="1">
      <c r="B108" s="634">
        <v>8</v>
      </c>
      <c r="C108" s="722">
        <v>0.2</v>
      </c>
      <c r="D108" s="811">
        <v>0</v>
      </c>
      <c r="E108" s="814">
        <v>0</v>
      </c>
      <c r="F108" s="811">
        <v>0.02</v>
      </c>
      <c r="G108" s="814"/>
      <c r="H108" s="814"/>
    </row>
    <row r="109" spans="2:8" ht="15" customHeight="1">
      <c r="B109" s="634">
        <v>9</v>
      </c>
      <c r="C109" s="722">
        <v>0.2</v>
      </c>
      <c r="D109" s="811">
        <v>0</v>
      </c>
      <c r="E109" s="814">
        <v>0</v>
      </c>
      <c r="F109" s="811">
        <v>0.02</v>
      </c>
      <c r="G109" s="811"/>
      <c r="H109" s="814"/>
    </row>
    <row r="110" spans="2:8" ht="15" customHeight="1">
      <c r="B110" s="634">
        <v>10</v>
      </c>
      <c r="C110" s="722">
        <v>0.2</v>
      </c>
      <c r="D110" s="811">
        <v>0</v>
      </c>
      <c r="E110" s="814">
        <v>0</v>
      </c>
      <c r="F110" s="811">
        <v>0.02</v>
      </c>
      <c r="G110" s="811"/>
      <c r="H110" s="814"/>
    </row>
    <row r="111" spans="2:8" ht="15" customHeight="1">
      <c r="B111" s="634">
        <v>11</v>
      </c>
      <c r="C111" s="722">
        <v>0.2</v>
      </c>
      <c r="D111" s="811">
        <v>0</v>
      </c>
      <c r="E111" s="814">
        <v>0</v>
      </c>
      <c r="F111" s="811">
        <v>0.02</v>
      </c>
      <c r="G111" s="811"/>
      <c r="H111" s="814"/>
    </row>
    <row r="112" spans="2:8" ht="15" customHeight="1">
      <c r="B112" s="634">
        <v>12</v>
      </c>
      <c r="C112" s="722">
        <v>0.2</v>
      </c>
      <c r="D112" s="811">
        <v>0</v>
      </c>
      <c r="E112" s="814">
        <v>0</v>
      </c>
      <c r="F112" s="811">
        <v>0</v>
      </c>
      <c r="G112" s="811"/>
      <c r="H112" s="814"/>
    </row>
    <row r="113" spans="2:8" ht="15" customHeight="1">
      <c r="B113" s="634">
        <v>13</v>
      </c>
      <c r="C113" s="722">
        <v>0.2</v>
      </c>
      <c r="D113" s="811">
        <v>0</v>
      </c>
      <c r="E113" s="814">
        <v>0</v>
      </c>
      <c r="F113" s="811">
        <v>0</v>
      </c>
      <c r="G113" s="811"/>
      <c r="H113" s="814"/>
    </row>
    <row r="114" spans="2:8" ht="15" customHeight="1">
      <c r="B114" s="634">
        <v>14</v>
      </c>
      <c r="C114" s="722">
        <v>0.2</v>
      </c>
      <c r="D114" s="811">
        <v>0</v>
      </c>
      <c r="E114" s="814">
        <v>0</v>
      </c>
      <c r="F114" s="811">
        <v>0</v>
      </c>
      <c r="G114" s="811"/>
      <c r="H114" s="814"/>
    </row>
    <row r="115" spans="2:8" ht="15" customHeight="1">
      <c r="B115" s="634">
        <v>15</v>
      </c>
      <c r="C115" s="722">
        <v>0.2</v>
      </c>
      <c r="D115" s="811">
        <v>0</v>
      </c>
      <c r="E115" s="814">
        <v>0</v>
      </c>
      <c r="F115" s="811">
        <v>0</v>
      </c>
      <c r="G115" s="811"/>
      <c r="H115" s="814"/>
    </row>
    <row r="116" spans="2:8" ht="15" customHeight="1">
      <c r="B116" s="634">
        <v>16</v>
      </c>
      <c r="C116" s="722">
        <v>0.2</v>
      </c>
      <c r="D116" s="811">
        <v>0</v>
      </c>
      <c r="E116" s="814">
        <v>0</v>
      </c>
      <c r="F116" s="811">
        <v>0</v>
      </c>
      <c r="G116" s="811"/>
      <c r="H116" s="814"/>
    </row>
    <row r="117" spans="2:8" ht="15" customHeight="1">
      <c r="B117" s="634">
        <v>17</v>
      </c>
      <c r="C117" s="722">
        <v>0.2</v>
      </c>
      <c r="D117" s="811">
        <v>0</v>
      </c>
      <c r="E117" s="814">
        <v>0</v>
      </c>
      <c r="F117" s="811">
        <v>0</v>
      </c>
      <c r="G117" s="811"/>
      <c r="H117" s="814"/>
    </row>
    <row r="118" spans="2:8" ht="15" customHeight="1">
      <c r="B118" s="634">
        <v>18</v>
      </c>
      <c r="C118" s="722">
        <v>0.2</v>
      </c>
      <c r="D118" s="811">
        <v>0</v>
      </c>
      <c r="E118" s="814">
        <v>0</v>
      </c>
      <c r="F118" s="811">
        <v>0</v>
      </c>
      <c r="G118" s="811"/>
      <c r="H118" s="814"/>
    </row>
    <row r="119" spans="2:8" ht="15" customHeight="1">
      <c r="B119" s="634">
        <v>19</v>
      </c>
      <c r="C119" s="722">
        <v>0.2</v>
      </c>
      <c r="D119" s="811">
        <v>0</v>
      </c>
      <c r="E119" s="814">
        <v>0</v>
      </c>
      <c r="F119" s="811">
        <v>0</v>
      </c>
      <c r="G119" s="811"/>
      <c r="H119" s="814"/>
    </row>
    <row r="120" spans="2:8" ht="15" customHeight="1">
      <c r="B120" s="634">
        <v>20</v>
      </c>
      <c r="C120" s="722">
        <v>0.2</v>
      </c>
      <c r="D120" s="811">
        <v>0</v>
      </c>
      <c r="E120" s="814">
        <v>0</v>
      </c>
      <c r="F120" s="811">
        <v>0</v>
      </c>
      <c r="G120" s="811"/>
      <c r="H120" s="814"/>
    </row>
    <row r="121" spans="2:8" ht="15" customHeight="1">
      <c r="B121" s="634">
        <v>21</v>
      </c>
      <c r="C121" s="722">
        <v>0.2</v>
      </c>
      <c r="D121" s="811">
        <v>0</v>
      </c>
      <c r="E121" s="814">
        <v>0</v>
      </c>
      <c r="F121" s="811">
        <v>0</v>
      </c>
      <c r="G121" s="811"/>
      <c r="H121" s="814"/>
    </row>
    <row r="122" spans="2:8" ht="15" customHeight="1">
      <c r="B122" s="634">
        <v>22</v>
      </c>
      <c r="C122" s="722">
        <v>0.2</v>
      </c>
      <c r="D122" s="811">
        <v>0</v>
      </c>
      <c r="E122" s="814">
        <v>0</v>
      </c>
      <c r="F122" s="811">
        <v>0</v>
      </c>
      <c r="G122" s="811"/>
      <c r="H122" s="814"/>
    </row>
    <row r="123" spans="2:8" ht="15" customHeight="1">
      <c r="B123" s="634">
        <v>23</v>
      </c>
      <c r="C123" s="722">
        <v>0.2</v>
      </c>
      <c r="D123" s="811">
        <v>0</v>
      </c>
      <c r="E123" s="814">
        <v>0</v>
      </c>
      <c r="F123" s="811">
        <v>0</v>
      </c>
      <c r="G123" s="811"/>
      <c r="H123" s="814"/>
    </row>
    <row r="124" spans="2:8" ht="15" customHeight="1">
      <c r="B124" s="634">
        <v>24</v>
      </c>
      <c r="C124" s="722">
        <v>0.2</v>
      </c>
      <c r="D124" s="811">
        <v>0</v>
      </c>
      <c r="E124" s="814">
        <v>0</v>
      </c>
      <c r="F124" s="811">
        <v>0</v>
      </c>
      <c r="G124" s="811"/>
      <c r="H124" s="814"/>
    </row>
    <row r="125" spans="2:8" ht="15" customHeight="1">
      <c r="B125" s="634">
        <v>25</v>
      </c>
      <c r="C125" s="722">
        <v>0.2</v>
      </c>
      <c r="D125" s="811">
        <v>0</v>
      </c>
      <c r="E125" s="814">
        <v>0</v>
      </c>
      <c r="F125" s="811">
        <v>0</v>
      </c>
      <c r="G125" s="811"/>
      <c r="H125" s="814"/>
    </row>
    <row r="126" spans="2:8" ht="15" customHeight="1">
      <c r="B126" s="634">
        <v>26</v>
      </c>
      <c r="C126" s="722">
        <v>0.2</v>
      </c>
      <c r="D126" s="811">
        <v>0</v>
      </c>
      <c r="E126" s="814">
        <v>0</v>
      </c>
      <c r="F126" s="811">
        <v>0</v>
      </c>
      <c r="G126" s="811"/>
      <c r="H126" s="814"/>
    </row>
    <row r="127" spans="2:8" ht="15" customHeight="1">
      <c r="B127" s="634">
        <v>27</v>
      </c>
      <c r="C127" s="722">
        <v>0.2</v>
      </c>
      <c r="D127" s="811">
        <v>0</v>
      </c>
      <c r="E127" s="814">
        <v>0</v>
      </c>
      <c r="F127" s="811">
        <v>0</v>
      </c>
      <c r="G127" s="811"/>
      <c r="H127" s="814"/>
    </row>
    <row r="128" spans="2:8" ht="15" customHeight="1">
      <c r="B128" s="634">
        <v>28</v>
      </c>
      <c r="C128" s="722">
        <v>0.2</v>
      </c>
      <c r="D128" s="811">
        <v>0</v>
      </c>
      <c r="E128" s="814">
        <v>0</v>
      </c>
      <c r="F128" s="811">
        <v>0</v>
      </c>
      <c r="G128" s="811"/>
      <c r="H128" s="814"/>
    </row>
    <row r="129" spans="2:8" ht="15" customHeight="1">
      <c r="B129" s="634">
        <v>29</v>
      </c>
      <c r="C129" s="722">
        <v>0.2</v>
      </c>
      <c r="D129" s="811">
        <v>0</v>
      </c>
      <c r="E129" s="814">
        <v>0</v>
      </c>
      <c r="F129" s="811">
        <v>0</v>
      </c>
      <c r="G129" s="811"/>
      <c r="H129" s="814"/>
    </row>
    <row r="130" spans="2:8" ht="15" customHeight="1">
      <c r="B130" s="634">
        <v>30</v>
      </c>
      <c r="C130" s="722">
        <v>0.2</v>
      </c>
      <c r="D130" s="811">
        <v>0</v>
      </c>
      <c r="E130" s="814">
        <v>0</v>
      </c>
      <c r="F130" s="811">
        <v>0</v>
      </c>
      <c r="G130" s="811"/>
      <c r="H130" s="814"/>
    </row>
  </sheetData>
  <mergeCells count="1">
    <mergeCell ref="B1:G1"/>
  </mergeCells>
  <phoneticPr fontId="12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D53 E53:F5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G125"/>
  <sheetViews>
    <sheetView showGridLines="0" zoomScale="55" zoomScaleNormal="55" zoomScalePageLayoutView="90" workbookViewId="0">
      <selection activeCell="C6" sqref="C6"/>
    </sheetView>
  </sheetViews>
  <sheetFormatPr defaultColWidth="10.77734375" defaultRowHeight="19.95" customHeight="1"/>
  <cols>
    <col min="1" max="1" width="3.77734375" style="155" bestFit="1" customWidth="1"/>
    <col min="2" max="2" width="6.77734375" style="155" bestFit="1" customWidth="1"/>
    <col min="3" max="3" width="32.33203125" style="155" customWidth="1"/>
    <col min="4" max="4" width="25" style="155" customWidth="1"/>
    <col min="5" max="6" width="34.33203125" style="155" customWidth="1"/>
    <col min="7" max="7" width="27.77734375" style="155" customWidth="1"/>
    <col min="8" max="16384" width="10.77734375" style="155"/>
  </cols>
  <sheetData>
    <row r="1" spans="1:7" s="13" customFormat="1" ht="40.049999999999997" customHeight="1">
      <c r="A1" s="948" t="s">
        <v>478</v>
      </c>
      <c r="B1" s="949"/>
      <c r="C1" s="949"/>
      <c r="D1" s="949"/>
      <c r="E1" s="949"/>
      <c r="F1" s="949"/>
      <c r="G1" s="949"/>
    </row>
    <row r="2" spans="1:7" s="13" customFormat="1" ht="25.5" customHeight="1">
      <c r="A2" s="155"/>
      <c r="B2" s="155"/>
      <c r="C2" s="155"/>
      <c r="D2" s="155"/>
      <c r="E2" s="155"/>
      <c r="F2" s="155"/>
      <c r="G2" s="155"/>
    </row>
    <row r="3" spans="1:7" ht="33" customHeight="1">
      <c r="A3" s="947" t="s">
        <v>48</v>
      </c>
      <c r="B3" s="947"/>
      <c r="C3" s="692" t="s">
        <v>1241</v>
      </c>
      <c r="D3" s="670" t="s">
        <v>846</v>
      </c>
      <c r="E3" s="670" t="s">
        <v>847</v>
      </c>
      <c r="F3" s="692" t="s">
        <v>848</v>
      </c>
      <c r="G3" s="692" t="s">
        <v>1240</v>
      </c>
    </row>
    <row r="4" spans="1:7" ht="19.95" customHeight="1">
      <c r="A4" s="323">
        <v>-2</v>
      </c>
      <c r="B4" s="217">
        <v>2022</v>
      </c>
      <c r="C4" s="323">
        <v>105705</v>
      </c>
      <c r="D4" s="323">
        <v>101045</v>
      </c>
      <c r="E4" s="323">
        <v>300</v>
      </c>
      <c r="F4" s="719">
        <v>45</v>
      </c>
      <c r="G4" s="719">
        <f>C4-D4-E4-F4</f>
        <v>4315</v>
      </c>
    </row>
    <row r="5" spans="1:7" ht="19.95" customHeight="1">
      <c r="A5" s="323">
        <v>-1</v>
      </c>
      <c r="B5" s="217">
        <v>2023</v>
      </c>
      <c r="C5" s="323">
        <v>107248.29300000001</v>
      </c>
      <c r="D5" s="323">
        <v>102520</v>
      </c>
      <c r="E5" s="323">
        <v>304</v>
      </c>
      <c r="F5" s="719">
        <v>46</v>
      </c>
      <c r="G5" s="719">
        <f>C5-D5-E5-F5</f>
        <v>4378.2930000000051</v>
      </c>
    </row>
    <row r="6" spans="1:7" ht="14.4">
      <c r="A6" s="323">
        <v>0</v>
      </c>
      <c r="B6" s="217">
        <v>2024</v>
      </c>
      <c r="C6" s="323">
        <v>108792.66841920001</v>
      </c>
      <c r="D6" s="323">
        <v>103996</v>
      </c>
      <c r="E6" s="323">
        <v>308</v>
      </c>
      <c r="F6" s="719">
        <v>47</v>
      </c>
      <c r="G6" s="719">
        <f t="shared" ref="G6:G36" si="0">C6-D6-E6-F6</f>
        <v>4441.6684192000102</v>
      </c>
    </row>
    <row r="7" spans="1:7" ht="19.95" customHeight="1">
      <c r="A7" s="323">
        <v>1</v>
      </c>
      <c r="B7" s="217">
        <v>2025</v>
      </c>
      <c r="C7" s="323">
        <v>110333.50794708365</v>
      </c>
      <c r="D7" s="323">
        <v>105469</v>
      </c>
      <c r="E7" s="323">
        <v>312</v>
      </c>
      <c r="F7" s="719">
        <v>48</v>
      </c>
      <c r="G7" s="719">
        <f t="shared" si="0"/>
        <v>4504.5079470836499</v>
      </c>
    </row>
    <row r="8" spans="1:7" ht="19.95" customHeight="1">
      <c r="A8" s="323">
        <v>2</v>
      </c>
      <c r="B8" s="217">
        <v>2026</v>
      </c>
      <c r="C8" s="323">
        <v>111874.34747496729</v>
      </c>
      <c r="D8" s="323">
        <v>106942</v>
      </c>
      <c r="E8" s="323">
        <v>316</v>
      </c>
      <c r="F8" s="719">
        <v>49</v>
      </c>
      <c r="G8" s="719">
        <f t="shared" si="0"/>
        <v>4567.3474749672896</v>
      </c>
    </row>
    <row r="9" spans="1:7" ht="19.95" customHeight="1">
      <c r="A9" s="323">
        <v>3</v>
      </c>
      <c r="B9" s="217">
        <v>2027</v>
      </c>
      <c r="C9" s="323">
        <v>113415.18700285093</v>
      </c>
      <c r="D9" s="323">
        <v>108415</v>
      </c>
      <c r="E9" s="323">
        <v>320</v>
      </c>
      <c r="F9" s="719">
        <v>50</v>
      </c>
      <c r="G9" s="719">
        <f t="shared" si="0"/>
        <v>4630.1870028509293</v>
      </c>
    </row>
    <row r="10" spans="1:7" ht="19.95" customHeight="1">
      <c r="A10" s="323">
        <v>4</v>
      </c>
      <c r="B10" s="217">
        <v>2028</v>
      </c>
      <c r="C10" s="323">
        <v>114956.02653073457</v>
      </c>
      <c r="D10" s="323">
        <v>109888</v>
      </c>
      <c r="E10" s="323">
        <v>324</v>
      </c>
      <c r="F10" s="719">
        <v>51</v>
      </c>
      <c r="G10" s="719">
        <f t="shared" si="0"/>
        <v>4693.026530734569</v>
      </c>
    </row>
    <row r="11" spans="1:7" ht="19.95" customHeight="1">
      <c r="A11" s="323">
        <v>5</v>
      </c>
      <c r="B11" s="217">
        <v>2029</v>
      </c>
      <c r="C11" s="323">
        <v>116496.86605861821</v>
      </c>
      <c r="D11" s="323">
        <v>111361</v>
      </c>
      <c r="E11" s="323">
        <v>328</v>
      </c>
      <c r="F11" s="719">
        <v>52</v>
      </c>
      <c r="G11" s="719">
        <f t="shared" si="0"/>
        <v>4755.8660586182086</v>
      </c>
    </row>
    <row r="12" spans="1:7" ht="19.95" customHeight="1">
      <c r="A12" s="323">
        <v>6</v>
      </c>
      <c r="B12" s="217">
        <v>2030</v>
      </c>
      <c r="C12" s="323">
        <v>118038.68451885755</v>
      </c>
      <c r="D12" s="323">
        <v>112835</v>
      </c>
      <c r="E12" s="323">
        <v>332</v>
      </c>
      <c r="F12" s="719">
        <v>53</v>
      </c>
      <c r="G12" s="719">
        <f t="shared" si="0"/>
        <v>4818.6845188575535</v>
      </c>
    </row>
    <row r="13" spans="1:7" ht="19.95" customHeight="1">
      <c r="A13" s="323">
        <v>7</v>
      </c>
      <c r="B13" s="217">
        <v>2031</v>
      </c>
      <c r="C13" s="323">
        <v>119579.52404674119</v>
      </c>
      <c r="D13" s="323">
        <v>114308</v>
      </c>
      <c r="E13" s="323">
        <v>336</v>
      </c>
      <c r="F13" s="719">
        <v>54</v>
      </c>
      <c r="G13" s="719">
        <f t="shared" si="0"/>
        <v>4881.5240467411932</v>
      </c>
    </row>
    <row r="14" spans="1:7" ht="19.95" customHeight="1">
      <c r="A14" s="323">
        <v>8</v>
      </c>
      <c r="B14" s="217">
        <v>2032</v>
      </c>
      <c r="C14" s="323">
        <v>121120.36357462483</v>
      </c>
      <c r="D14" s="323">
        <v>115781</v>
      </c>
      <c r="E14" s="323">
        <v>340</v>
      </c>
      <c r="F14" s="719">
        <v>55</v>
      </c>
      <c r="G14" s="719">
        <f t="shared" si="0"/>
        <v>4944.3635746248328</v>
      </c>
    </row>
    <row r="15" spans="1:7" ht="19.95" customHeight="1">
      <c r="A15" s="323">
        <v>9</v>
      </c>
      <c r="B15" s="217">
        <v>2033</v>
      </c>
      <c r="C15" s="323">
        <v>122661.20310250847</v>
      </c>
      <c r="D15" s="323">
        <v>117254</v>
      </c>
      <c r="E15" s="323">
        <v>344</v>
      </c>
      <c r="F15" s="719">
        <v>56</v>
      </c>
      <c r="G15" s="719">
        <f t="shared" si="0"/>
        <v>5007.2031025084725</v>
      </c>
    </row>
    <row r="16" spans="1:7" ht="19.95" customHeight="1">
      <c r="A16" s="323">
        <v>10</v>
      </c>
      <c r="B16" s="217">
        <v>2034</v>
      </c>
      <c r="C16" s="323">
        <v>124202.04263039211</v>
      </c>
      <c r="D16" s="323">
        <v>118727</v>
      </c>
      <c r="E16" s="323">
        <v>348</v>
      </c>
      <c r="F16" s="719">
        <v>57</v>
      </c>
      <c r="G16" s="719">
        <f t="shared" si="0"/>
        <v>5070.0426303921122</v>
      </c>
    </row>
    <row r="17" spans="1:7" ht="19.95" customHeight="1">
      <c r="A17" s="323">
        <v>11</v>
      </c>
      <c r="B17" s="217">
        <v>2035</v>
      </c>
      <c r="C17" s="323">
        <v>125742.88215827575</v>
      </c>
      <c r="D17" s="323">
        <v>120200</v>
      </c>
      <c r="E17" s="323">
        <v>352</v>
      </c>
      <c r="F17" s="719">
        <v>58</v>
      </c>
      <c r="G17" s="719">
        <f t="shared" si="0"/>
        <v>5132.8821582757519</v>
      </c>
    </row>
    <row r="18" spans="1:7" ht="19.95" customHeight="1">
      <c r="A18" s="323">
        <v>12</v>
      </c>
      <c r="B18" s="217">
        <v>2036</v>
      </c>
      <c r="C18" s="323">
        <v>127283.72168615939</v>
      </c>
      <c r="D18" s="323">
        <v>121673</v>
      </c>
      <c r="E18" s="323">
        <v>356</v>
      </c>
      <c r="F18" s="719">
        <v>59</v>
      </c>
      <c r="G18" s="719">
        <f t="shared" si="0"/>
        <v>5195.7216861593915</v>
      </c>
    </row>
    <row r="19" spans="1:7" ht="19.95" customHeight="1">
      <c r="A19" s="323">
        <v>13</v>
      </c>
      <c r="B19" s="217">
        <v>2037</v>
      </c>
      <c r="C19" s="323">
        <v>128824.56121404303</v>
      </c>
      <c r="D19" s="323">
        <v>123146</v>
      </c>
      <c r="E19" s="323">
        <v>360</v>
      </c>
      <c r="F19" s="719">
        <v>60</v>
      </c>
      <c r="G19" s="719">
        <f t="shared" si="0"/>
        <v>5258.5612140430312</v>
      </c>
    </row>
    <row r="20" spans="1:7" ht="19.95" customHeight="1">
      <c r="A20" s="323">
        <v>14</v>
      </c>
      <c r="B20" s="217">
        <v>2038</v>
      </c>
      <c r="C20" s="323">
        <v>130365.40074192667</v>
      </c>
      <c r="D20" s="323">
        <v>124619</v>
      </c>
      <c r="E20" s="323">
        <v>364</v>
      </c>
      <c r="F20" s="719">
        <v>61</v>
      </c>
      <c r="G20" s="719">
        <f t="shared" si="0"/>
        <v>5321.4007419266709</v>
      </c>
    </row>
    <row r="21" spans="1:7" ht="19.95" customHeight="1">
      <c r="A21" s="323">
        <v>15</v>
      </c>
      <c r="B21" s="217">
        <v>2039</v>
      </c>
      <c r="C21" s="323">
        <v>131907.21920216602</v>
      </c>
      <c r="D21" s="323">
        <v>126093</v>
      </c>
      <c r="E21" s="323">
        <v>368</v>
      </c>
      <c r="F21" s="719">
        <v>62</v>
      </c>
      <c r="G21" s="719">
        <f t="shared" si="0"/>
        <v>5384.2192021660157</v>
      </c>
    </row>
    <row r="22" spans="1:7" ht="19.95" customHeight="1">
      <c r="A22" s="323">
        <v>16</v>
      </c>
      <c r="B22" s="217">
        <v>2040</v>
      </c>
      <c r="C22" s="323">
        <v>133448.05873004967</v>
      </c>
      <c r="D22" s="323">
        <v>127566</v>
      </c>
      <c r="E22" s="323">
        <v>372</v>
      </c>
      <c r="F22" s="719">
        <v>63</v>
      </c>
      <c r="G22" s="719">
        <f t="shared" si="0"/>
        <v>5447.05873004967</v>
      </c>
    </row>
    <row r="23" spans="1:7" ht="19.95" customHeight="1">
      <c r="A23" s="323">
        <v>17</v>
      </c>
      <c r="B23" s="217">
        <v>2041</v>
      </c>
      <c r="C23" s="323">
        <v>134988.89825793332</v>
      </c>
      <c r="D23" s="323">
        <v>129039</v>
      </c>
      <c r="E23" s="323">
        <v>376</v>
      </c>
      <c r="F23" s="719">
        <v>64</v>
      </c>
      <c r="G23" s="719">
        <f t="shared" si="0"/>
        <v>5509.8982579333242</v>
      </c>
    </row>
    <row r="24" spans="1:7" ht="19.95" customHeight="1">
      <c r="A24" s="323">
        <v>18</v>
      </c>
      <c r="B24" s="217">
        <v>2042</v>
      </c>
      <c r="C24" s="323">
        <v>136541.48497408547</v>
      </c>
      <c r="D24" s="323">
        <v>130523</v>
      </c>
      <c r="E24" s="323">
        <v>380</v>
      </c>
      <c r="F24" s="719">
        <v>65</v>
      </c>
      <c r="G24" s="719">
        <f t="shared" si="0"/>
        <v>5573.4849740854697</v>
      </c>
    </row>
    <row r="25" spans="1:7" ht="19.95" customHeight="1">
      <c r="A25" s="323">
        <v>19</v>
      </c>
      <c r="B25" s="217">
        <v>2043</v>
      </c>
      <c r="C25" s="323">
        <v>138111.69247264034</v>
      </c>
      <c r="D25" s="323">
        <v>132024</v>
      </c>
      <c r="E25" s="323">
        <v>384</v>
      </c>
      <c r="F25" s="719">
        <v>66</v>
      </c>
      <c r="G25" s="719">
        <f t="shared" si="0"/>
        <v>5637.6924726403377</v>
      </c>
    </row>
    <row r="26" spans="1:7" ht="19.95" customHeight="1">
      <c r="A26" s="323">
        <v>20</v>
      </c>
      <c r="B26" s="217">
        <v>2044</v>
      </c>
      <c r="C26" s="323">
        <v>139699.52075359793</v>
      </c>
      <c r="D26" s="323">
        <v>133542</v>
      </c>
      <c r="E26" s="323">
        <v>388</v>
      </c>
      <c r="F26" s="719">
        <v>67</v>
      </c>
      <c r="G26" s="719">
        <f t="shared" si="0"/>
        <v>5702.520753597928</v>
      </c>
    </row>
    <row r="27" spans="1:7" ht="19.95" customHeight="1">
      <c r="A27" s="323">
        <v>21</v>
      </c>
      <c r="B27" s="217">
        <v>2045</v>
      </c>
      <c r="C27" s="323">
        <v>141305.94874931397</v>
      </c>
      <c r="D27" s="323">
        <v>135078</v>
      </c>
      <c r="E27" s="323">
        <v>392</v>
      </c>
      <c r="F27" s="719">
        <v>68</v>
      </c>
      <c r="G27" s="719">
        <f t="shared" si="0"/>
        <v>5767.948749313975</v>
      </c>
    </row>
    <row r="28" spans="1:7" ht="19.95" customHeight="1">
      <c r="A28" s="323">
        <v>22</v>
      </c>
      <c r="B28" s="217">
        <v>2046</v>
      </c>
      <c r="C28" s="323">
        <v>142930.97645978848</v>
      </c>
      <c r="D28" s="323">
        <v>136631</v>
      </c>
      <c r="E28" s="323">
        <v>397</v>
      </c>
      <c r="F28" s="719">
        <v>69</v>
      </c>
      <c r="G28" s="719">
        <f t="shared" si="0"/>
        <v>5833.9764597884787</v>
      </c>
    </row>
    <row r="29" spans="1:7" ht="19.95" customHeight="1">
      <c r="A29" s="323">
        <v>23</v>
      </c>
      <c r="B29" s="217">
        <v>2047</v>
      </c>
      <c r="C29" s="323">
        <v>144574.60388502141</v>
      </c>
      <c r="D29" s="323">
        <v>138202</v>
      </c>
      <c r="E29" s="323">
        <v>402</v>
      </c>
      <c r="F29" s="719">
        <v>70</v>
      </c>
      <c r="G29" s="719">
        <f t="shared" si="0"/>
        <v>5900.60388502141</v>
      </c>
    </row>
    <row r="30" spans="1:7" ht="19.95" customHeight="1">
      <c r="A30" s="323">
        <v>24</v>
      </c>
      <c r="B30" s="217">
        <v>2048</v>
      </c>
      <c r="C30" s="323">
        <v>146237.8099573685</v>
      </c>
      <c r="D30" s="323">
        <v>139792</v>
      </c>
      <c r="E30" s="323">
        <v>407</v>
      </c>
      <c r="F30" s="719">
        <v>71</v>
      </c>
      <c r="G30" s="719">
        <f t="shared" si="0"/>
        <v>5967.8099573685031</v>
      </c>
    </row>
    <row r="31" spans="1:7" ht="19.95" customHeight="1">
      <c r="A31" s="323">
        <v>25</v>
      </c>
      <c r="B31" s="217">
        <v>2049</v>
      </c>
      <c r="C31" s="323">
        <v>147920.59467682973</v>
      </c>
      <c r="D31" s="323">
        <v>141401</v>
      </c>
      <c r="E31" s="323">
        <v>412</v>
      </c>
      <c r="F31" s="719">
        <v>72</v>
      </c>
      <c r="G31" s="719">
        <f t="shared" si="0"/>
        <v>6035.594676829729</v>
      </c>
    </row>
    <row r="32" spans="1:7" ht="19.95" customHeight="1">
      <c r="A32" s="323">
        <v>26</v>
      </c>
      <c r="B32" s="217">
        <v>2050</v>
      </c>
      <c r="C32" s="323">
        <v>149621.97911104941</v>
      </c>
      <c r="D32" s="323">
        <v>143027</v>
      </c>
      <c r="E32" s="323">
        <v>417</v>
      </c>
      <c r="F32" s="719">
        <v>73</v>
      </c>
      <c r="G32" s="719">
        <f t="shared" si="0"/>
        <v>6104.9791110494116</v>
      </c>
    </row>
    <row r="33" spans="1:7" ht="19.95" customHeight="1">
      <c r="A33" s="323">
        <v>27</v>
      </c>
      <c r="B33" s="217">
        <v>2051</v>
      </c>
      <c r="C33" s="323">
        <v>151342.94219238323</v>
      </c>
      <c r="D33" s="323">
        <v>144672</v>
      </c>
      <c r="E33" s="323">
        <v>422</v>
      </c>
      <c r="F33" s="719">
        <v>74</v>
      </c>
      <c r="G33" s="719">
        <f t="shared" si="0"/>
        <v>6174.9421923832269</v>
      </c>
    </row>
    <row r="34" spans="1:7" ht="19.95" customHeight="1">
      <c r="A34" s="323">
        <v>28</v>
      </c>
      <c r="B34" s="217">
        <v>2052</v>
      </c>
      <c r="C34" s="323">
        <v>153083.4839208312</v>
      </c>
      <c r="D34" s="323">
        <v>146336</v>
      </c>
      <c r="E34" s="323">
        <v>427</v>
      </c>
      <c r="F34" s="719">
        <v>75</v>
      </c>
      <c r="G34" s="719">
        <f t="shared" si="0"/>
        <v>6245.4839208312042</v>
      </c>
    </row>
    <row r="35" spans="1:7" ht="19.95" customHeight="1">
      <c r="A35" s="323">
        <v>29</v>
      </c>
      <c r="B35" s="217">
        <v>2053</v>
      </c>
      <c r="C35" s="323">
        <v>154844.58322874905</v>
      </c>
      <c r="D35" s="323">
        <v>148019</v>
      </c>
      <c r="E35" s="323">
        <v>432</v>
      </c>
      <c r="F35" s="719">
        <v>76</v>
      </c>
      <c r="G35" s="719">
        <f t="shared" si="0"/>
        <v>6317.5832287490484</v>
      </c>
    </row>
    <row r="36" spans="1:7" ht="19.95" customHeight="1">
      <c r="A36" s="323">
        <v>30</v>
      </c>
      <c r="B36" s="217">
        <v>2054</v>
      </c>
      <c r="C36" s="323">
        <v>156625.29593587967</v>
      </c>
      <c r="D36" s="323">
        <v>149722</v>
      </c>
      <c r="E36" s="323">
        <v>437</v>
      </c>
      <c r="F36" s="719">
        <v>77</v>
      </c>
      <c r="G36" s="719">
        <f t="shared" si="0"/>
        <v>6389.2959358796652</v>
      </c>
    </row>
    <row r="125" ht="25.95" customHeight="1"/>
  </sheetData>
  <mergeCells count="2">
    <mergeCell ref="A3:B3"/>
    <mergeCell ref="A1:G1"/>
  </mergeCells>
  <pageMargins left="0.511811024" right="0.511811024" top="0.78740157499999996" bottom="0.78740157499999996" header="0.31496062000000002" footer="0.31496062000000002"/>
  <pageSetup paperSize="9" orientation="portrait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C40"/>
  <sheetViews>
    <sheetView showGridLines="0" showZeros="0" topLeftCell="R1" zoomScaleNormal="100" zoomScaleSheetLayoutView="100" zoomScalePageLayoutView="90" workbookViewId="0">
      <selection activeCell="A8" sqref="A8:XFD8"/>
    </sheetView>
  </sheetViews>
  <sheetFormatPr defaultColWidth="11.44140625" defaultRowHeight="13.2"/>
  <cols>
    <col min="1" max="1" width="11.44140625" style="16"/>
    <col min="2" max="2" width="10.77734375" style="16" customWidth="1"/>
    <col min="3" max="7" width="18" style="16" customWidth="1"/>
    <col min="8" max="8" width="18.109375" style="16" customWidth="1"/>
    <col min="9" max="11" width="21.44140625" style="16" customWidth="1"/>
    <col min="12" max="12" width="24" style="16" customWidth="1"/>
    <col min="13" max="13" width="20" style="16" customWidth="1"/>
    <col min="14" max="14" width="19.109375" style="16" customWidth="1"/>
    <col min="15" max="17" width="25.77734375" style="16" customWidth="1"/>
    <col min="18" max="18" width="22.6640625" style="16" bestFit="1" customWidth="1"/>
    <col min="19" max="19" width="25" style="16" bestFit="1" customWidth="1"/>
    <col min="20" max="20" width="22.6640625" style="16" bestFit="1" customWidth="1"/>
    <col min="21" max="21" width="23.5546875" style="16" bestFit="1" customWidth="1"/>
    <col min="22" max="22" width="17.5546875" style="16" bestFit="1" customWidth="1"/>
    <col min="23" max="23" width="27.33203125" style="16" bestFit="1" customWidth="1"/>
    <col min="24" max="24" width="19.33203125" style="16" bestFit="1" customWidth="1"/>
    <col min="25" max="16384" width="11.44140625" style="16"/>
  </cols>
  <sheetData>
    <row r="1" spans="1:29" s="13" customFormat="1" ht="40.049999999999997" customHeight="1">
      <c r="A1" s="952" t="s">
        <v>796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  <c r="X1" s="953"/>
    </row>
    <row r="2" spans="1:29" s="15" customFormat="1" ht="15" customHeight="1">
      <c r="A2" s="954" t="s">
        <v>313</v>
      </c>
      <c r="B2" s="955"/>
      <c r="C2" s="955"/>
      <c r="D2" s="955"/>
      <c r="E2" s="955"/>
      <c r="F2" s="955"/>
      <c r="G2" s="955"/>
      <c r="H2" s="955"/>
      <c r="I2" s="955"/>
      <c r="J2" s="955"/>
      <c r="K2" s="956"/>
      <c r="L2" s="954" t="s">
        <v>805</v>
      </c>
      <c r="M2" s="955"/>
      <c r="N2" s="955"/>
      <c r="O2" s="955"/>
      <c r="P2" s="955"/>
      <c r="Q2" s="955"/>
      <c r="R2" s="955"/>
      <c r="S2" s="955"/>
      <c r="T2" s="955"/>
      <c r="U2" s="957" t="s">
        <v>1231</v>
      </c>
      <c r="V2" s="958"/>
      <c r="W2" s="959"/>
      <c r="X2" s="59"/>
      <c r="Y2" s="59"/>
      <c r="Z2" s="59"/>
      <c r="AA2" s="59"/>
      <c r="AB2" s="59"/>
      <c r="AC2" s="59"/>
    </row>
    <row r="3" spans="1:29" ht="72" customHeight="1">
      <c r="A3" s="950" t="s">
        <v>48</v>
      </c>
      <c r="B3" s="951"/>
      <c r="C3" s="1" t="s">
        <v>789</v>
      </c>
      <c r="D3" s="1" t="s">
        <v>866</v>
      </c>
      <c r="E3" s="584" t="s">
        <v>855</v>
      </c>
      <c r="F3" s="584" t="s">
        <v>856</v>
      </c>
      <c r="G3" s="584" t="s">
        <v>1214</v>
      </c>
      <c r="H3" s="1" t="s">
        <v>53</v>
      </c>
      <c r="I3" s="1" t="s">
        <v>863</v>
      </c>
      <c r="J3" s="1" t="s">
        <v>864</v>
      </c>
      <c r="K3" s="1" t="s">
        <v>865</v>
      </c>
      <c r="L3" s="584" t="s">
        <v>801</v>
      </c>
      <c r="M3" s="1" t="s">
        <v>54</v>
      </c>
      <c r="N3" s="1" t="s">
        <v>56</v>
      </c>
      <c r="O3" s="1" t="s">
        <v>894</v>
      </c>
      <c r="P3" s="1" t="s">
        <v>895</v>
      </c>
      <c r="Q3" s="1" t="s">
        <v>896</v>
      </c>
      <c r="R3" s="1" t="s">
        <v>897</v>
      </c>
      <c r="S3" s="1" t="s">
        <v>898</v>
      </c>
      <c r="T3" s="1" t="s">
        <v>899</v>
      </c>
      <c r="U3" s="821" t="s">
        <v>802</v>
      </c>
      <c r="V3" s="821" t="s">
        <v>54</v>
      </c>
      <c r="W3" s="821" t="s">
        <v>803</v>
      </c>
      <c r="X3" s="584" t="s">
        <v>804</v>
      </c>
    </row>
    <row r="4" spans="1:29" ht="15" customHeight="1">
      <c r="A4" s="684">
        <v>2024</v>
      </c>
      <c r="B4" s="691">
        <v>0</v>
      </c>
      <c r="C4" s="139">
        <f>'Projeção de População'!C6</f>
        <v>108792.66841920001</v>
      </c>
      <c r="D4" s="139">
        <f>'Projeção de População'!D6</f>
        <v>103996</v>
      </c>
      <c r="E4" s="637">
        <f>'Projeção de População'!E6</f>
        <v>308</v>
      </c>
      <c r="F4" s="637">
        <f>'Projeção de População'!F6</f>
        <v>47</v>
      </c>
      <c r="G4" s="637">
        <v>4441.6684192000102</v>
      </c>
      <c r="H4" s="218">
        <f>'Dados de Entrada'!$D$7</f>
        <v>1</v>
      </c>
      <c r="I4" s="139">
        <f t="shared" ref="I4:I34" si="0">D4*H4</f>
        <v>103996</v>
      </c>
      <c r="J4" s="139">
        <f t="shared" ref="J4:J34" si="1">E4*H4</f>
        <v>308</v>
      </c>
      <c r="K4" s="139">
        <f t="shared" ref="K4:K34" si="2">F4*H4</f>
        <v>47</v>
      </c>
      <c r="L4" s="218">
        <v>0</v>
      </c>
      <c r="M4" s="218">
        <f>'Dados de Entrada'!D8</f>
        <v>0</v>
      </c>
      <c r="N4" s="218">
        <v>0</v>
      </c>
      <c r="O4" s="17">
        <f t="shared" ref="O4:O34" si="3" xml:space="preserve"> ( ( D4 ) * (L4) * ( M4 ) )</f>
        <v>0</v>
      </c>
      <c r="P4" s="17">
        <f t="shared" ref="P4:P34" si="4" xml:space="preserve"> ( ( E4 ) * (L4) * ( M4 ) )</f>
        <v>0</v>
      </c>
      <c r="Q4" s="17">
        <f t="shared" ref="Q4:Q34" si="5" xml:space="preserve"> ( ( F4 ) * (L4) * ( M4 ) )</f>
        <v>0</v>
      </c>
      <c r="R4" s="139">
        <f t="shared" ref="R4:R34" si="6" xml:space="preserve"> ROUND(( ( $D4 ) * (L4) * ( $M4 ) * ( $N4 ) ),0)</f>
        <v>0</v>
      </c>
      <c r="S4" s="139">
        <f t="shared" ref="S4:S34" si="7" xml:space="preserve"> ROUND(( ( $E4 ) * (L4) * ( $M4 ) * ( $N4 ) ),0)</f>
        <v>0</v>
      </c>
      <c r="T4" s="139">
        <f t="shared" ref="T4:T34" si="8" xml:space="preserve"> ROUND(( ( $F4 ) * (L4) * ( $M4 ) * ( $N4 ) ),0)</f>
        <v>0</v>
      </c>
      <c r="U4" s="811"/>
      <c r="V4" s="218">
        <v>0</v>
      </c>
      <c r="W4" s="318">
        <f t="shared" ref="W4:W34" si="9">ROUND(I4*U4*V4,0)</f>
        <v>0</v>
      </c>
      <c r="X4" s="321">
        <f>O4+P4+Q4</f>
        <v>0</v>
      </c>
    </row>
    <row r="5" spans="1:29" ht="15" customHeight="1">
      <c r="A5" s="684">
        <v>2025</v>
      </c>
      <c r="B5" s="2">
        <f xml:space="preserve"> ( ( B4 ) + ( 1 ) )</f>
        <v>1</v>
      </c>
      <c r="C5" s="139">
        <f>'Projeção de População'!C7</f>
        <v>110333.50794708365</v>
      </c>
      <c r="D5" s="139">
        <f>'Projeção de População'!D7</f>
        <v>105469</v>
      </c>
      <c r="E5" s="637">
        <f>'Projeção de População'!E7</f>
        <v>312</v>
      </c>
      <c r="F5" s="637">
        <f>'Projeção de População'!F7</f>
        <v>48</v>
      </c>
      <c r="G5" s="637">
        <v>4504.5079470836499</v>
      </c>
      <c r="H5" s="218">
        <f>'Dados de Entrada'!$D$7</f>
        <v>1</v>
      </c>
      <c r="I5" s="139">
        <f t="shared" si="0"/>
        <v>105469</v>
      </c>
      <c r="J5" s="139">
        <f t="shared" si="1"/>
        <v>312</v>
      </c>
      <c r="K5" s="139">
        <f t="shared" si="2"/>
        <v>48</v>
      </c>
      <c r="L5" s="218">
        <v>0</v>
      </c>
      <c r="M5" s="218">
        <f>M4</f>
        <v>0</v>
      </c>
      <c r="N5" s="218">
        <v>0</v>
      </c>
      <c r="O5" s="17">
        <f t="shared" si="3"/>
        <v>0</v>
      </c>
      <c r="P5" s="17">
        <f t="shared" si="4"/>
        <v>0</v>
      </c>
      <c r="Q5" s="17">
        <f t="shared" si="5"/>
        <v>0</v>
      </c>
      <c r="R5" s="139">
        <f t="shared" si="6"/>
        <v>0</v>
      </c>
      <c r="S5" s="139">
        <f t="shared" si="7"/>
        <v>0</v>
      </c>
      <c r="T5" s="139">
        <f t="shared" si="8"/>
        <v>0</v>
      </c>
      <c r="U5" s="811"/>
      <c r="V5" s="218">
        <v>0</v>
      </c>
      <c r="W5" s="318">
        <f t="shared" si="9"/>
        <v>0</v>
      </c>
      <c r="X5" s="321">
        <f t="shared" ref="X5:X6" si="10">O5+P5+Q5</f>
        <v>0</v>
      </c>
    </row>
    <row r="6" spans="1:29" ht="15" customHeight="1">
      <c r="A6" s="684">
        <v>2026</v>
      </c>
      <c r="B6" s="2">
        <f t="shared" ref="B6:B34" si="11" xml:space="preserve"> ( ( B5 ) + ( 1 ) )</f>
        <v>2</v>
      </c>
      <c r="C6" s="139">
        <f>'Projeção de População'!C8</f>
        <v>111874.34747496729</v>
      </c>
      <c r="D6" s="139">
        <f>'Projeção de População'!D8</f>
        <v>106942</v>
      </c>
      <c r="E6" s="637">
        <f>'Projeção de População'!E8</f>
        <v>316</v>
      </c>
      <c r="F6" s="637">
        <f>'Projeção de População'!F8</f>
        <v>49</v>
      </c>
      <c r="G6" s="637">
        <v>4567.3474749672896</v>
      </c>
      <c r="H6" s="218">
        <f>'Dados de Entrada'!$D$7</f>
        <v>1</v>
      </c>
      <c r="I6" s="139">
        <f t="shared" si="0"/>
        <v>106942</v>
      </c>
      <c r="J6" s="139">
        <f t="shared" si="1"/>
        <v>316</v>
      </c>
      <c r="K6" s="139">
        <f t="shared" si="2"/>
        <v>49</v>
      </c>
      <c r="L6" s="218">
        <v>0</v>
      </c>
      <c r="M6" s="218">
        <f>M5</f>
        <v>0</v>
      </c>
      <c r="N6" s="218"/>
      <c r="O6" s="17">
        <f t="shared" si="3"/>
        <v>0</v>
      </c>
      <c r="P6" s="17">
        <f t="shared" si="4"/>
        <v>0</v>
      </c>
      <c r="Q6" s="17">
        <f t="shared" si="5"/>
        <v>0</v>
      </c>
      <c r="R6" s="139">
        <f t="shared" si="6"/>
        <v>0</v>
      </c>
      <c r="S6" s="139">
        <f t="shared" si="7"/>
        <v>0</v>
      </c>
      <c r="T6" s="139">
        <f t="shared" si="8"/>
        <v>0</v>
      </c>
      <c r="U6" s="811"/>
      <c r="V6" s="218">
        <v>0</v>
      </c>
      <c r="W6" s="318">
        <f t="shared" si="9"/>
        <v>0</v>
      </c>
      <c r="X6" s="321">
        <f t="shared" si="10"/>
        <v>0</v>
      </c>
    </row>
    <row r="7" spans="1:29" s="18" customFormat="1" ht="15" customHeight="1">
      <c r="A7" s="684">
        <v>2027</v>
      </c>
      <c r="B7" s="2">
        <f t="shared" si="11"/>
        <v>3</v>
      </c>
      <c r="C7" s="139">
        <f>'Projeção de População'!C9</f>
        <v>113415.18700285093</v>
      </c>
      <c r="D7" s="139">
        <f>'Projeção de População'!D9</f>
        <v>108415</v>
      </c>
      <c r="E7" s="637">
        <f>'Projeção de População'!E9</f>
        <v>320</v>
      </c>
      <c r="F7" s="637">
        <f>'Projeção de População'!F9</f>
        <v>50</v>
      </c>
      <c r="G7" s="637">
        <v>4630.1870028509293</v>
      </c>
      <c r="H7" s="218">
        <f>'Dados de Entrada'!$D$7</f>
        <v>1</v>
      </c>
      <c r="I7" s="139">
        <f t="shared" si="0"/>
        <v>108415</v>
      </c>
      <c r="J7" s="139">
        <f t="shared" si="1"/>
        <v>320</v>
      </c>
      <c r="K7" s="139">
        <f t="shared" si="2"/>
        <v>50</v>
      </c>
      <c r="L7" s="218"/>
      <c r="M7" s="218"/>
      <c r="N7" s="218"/>
      <c r="O7" s="17">
        <f t="shared" si="3"/>
        <v>0</v>
      </c>
      <c r="P7" s="17">
        <f t="shared" si="4"/>
        <v>0</v>
      </c>
      <c r="Q7" s="17">
        <f t="shared" si="5"/>
        <v>0</v>
      </c>
      <c r="R7" s="139">
        <f t="shared" si="6"/>
        <v>0</v>
      </c>
      <c r="S7" s="139">
        <f t="shared" si="7"/>
        <v>0</v>
      </c>
      <c r="T7" s="139">
        <f t="shared" si="8"/>
        <v>0</v>
      </c>
      <c r="U7" s="811"/>
      <c r="V7" s="218"/>
      <c r="W7" s="318">
        <f t="shared" si="9"/>
        <v>0</v>
      </c>
      <c r="X7" s="321">
        <f>O7+P7+Q7</f>
        <v>0</v>
      </c>
    </row>
    <row r="8" spans="1:29" ht="15" customHeight="1">
      <c r="A8" s="684">
        <v>2028</v>
      </c>
      <c r="B8" s="2">
        <f t="shared" si="11"/>
        <v>4</v>
      </c>
      <c r="C8" s="139">
        <f>'Projeção de População'!C10</f>
        <v>114956.02653073457</v>
      </c>
      <c r="D8" s="139">
        <f>'Projeção de População'!D10</f>
        <v>109888</v>
      </c>
      <c r="E8" s="637">
        <f>'Projeção de População'!E10</f>
        <v>324</v>
      </c>
      <c r="F8" s="637">
        <f>'Projeção de População'!F10</f>
        <v>51</v>
      </c>
      <c r="G8" s="637">
        <v>4693.026530734569</v>
      </c>
      <c r="H8" s="218">
        <f>'Dados de Entrada'!$D$7</f>
        <v>1</v>
      </c>
      <c r="I8" s="139">
        <f t="shared" si="0"/>
        <v>109888</v>
      </c>
      <c r="J8" s="139">
        <f t="shared" si="1"/>
        <v>324</v>
      </c>
      <c r="K8" s="139">
        <f t="shared" si="2"/>
        <v>51</v>
      </c>
      <c r="L8" s="218">
        <f t="shared" ref="L8:L34" si="12">100%-(100%*G8)/C8</f>
        <v>0.95917546324133041</v>
      </c>
      <c r="M8" s="218">
        <v>0.2</v>
      </c>
      <c r="N8" s="218">
        <v>1</v>
      </c>
      <c r="O8" s="17">
        <f t="shared" si="3"/>
        <v>21080.374660932663</v>
      </c>
      <c r="P8" s="17">
        <f t="shared" si="4"/>
        <v>62.154570018038214</v>
      </c>
      <c r="Q8" s="17">
        <f t="shared" si="5"/>
        <v>9.7835897250615709</v>
      </c>
      <c r="R8" s="139">
        <f t="shared" si="6"/>
        <v>21080</v>
      </c>
      <c r="S8" s="139">
        <f t="shared" si="7"/>
        <v>62</v>
      </c>
      <c r="T8" s="139">
        <f t="shared" si="8"/>
        <v>10</v>
      </c>
      <c r="U8" s="811">
        <f>100%-L8</f>
        <v>4.0824536758669594E-2</v>
      </c>
      <c r="V8" s="218">
        <v>0.2</v>
      </c>
      <c r="W8" s="318">
        <f t="shared" si="9"/>
        <v>897</v>
      </c>
      <c r="X8" s="321">
        <f>O8+P8+Q8+W8</f>
        <v>22049.312820675765</v>
      </c>
    </row>
    <row r="9" spans="1:29" ht="15" customHeight="1">
      <c r="A9" s="684">
        <v>2029</v>
      </c>
      <c r="B9" s="2">
        <f t="shared" si="11"/>
        <v>5</v>
      </c>
      <c r="C9" s="139">
        <f>'Projeção de População'!C11</f>
        <v>116496.86605861821</v>
      </c>
      <c r="D9" s="139">
        <f>'Projeção de População'!D11</f>
        <v>111361</v>
      </c>
      <c r="E9" s="637">
        <f>'Projeção de População'!E11</f>
        <v>328</v>
      </c>
      <c r="F9" s="637">
        <f>'Projeção de População'!F11</f>
        <v>52</v>
      </c>
      <c r="G9" s="637">
        <v>4755.8660586182086</v>
      </c>
      <c r="H9" s="218">
        <f>'Dados de Entrada'!$D$7</f>
        <v>1</v>
      </c>
      <c r="I9" s="139">
        <f t="shared" si="0"/>
        <v>111361</v>
      </c>
      <c r="J9" s="139">
        <f t="shared" si="1"/>
        <v>328</v>
      </c>
      <c r="K9" s="139">
        <f t="shared" si="2"/>
        <v>52</v>
      </c>
      <c r="L9" s="218">
        <f t="shared" si="12"/>
        <v>0.95917601717950784</v>
      </c>
      <c r="M9" s="218">
        <v>0.4</v>
      </c>
      <c r="N9" s="218">
        <v>1</v>
      </c>
      <c r="O9" s="17">
        <f t="shared" si="3"/>
        <v>42725.920179650871</v>
      </c>
      <c r="P9" s="17">
        <f t="shared" si="4"/>
        <v>125.84389345395144</v>
      </c>
      <c r="Q9" s="17">
        <f t="shared" si="5"/>
        <v>19.950861157333765</v>
      </c>
      <c r="R9" s="139">
        <f t="shared" si="6"/>
        <v>42726</v>
      </c>
      <c r="S9" s="139">
        <f t="shared" si="7"/>
        <v>126</v>
      </c>
      <c r="T9" s="139">
        <f t="shared" si="8"/>
        <v>20</v>
      </c>
      <c r="U9" s="811">
        <f t="shared" ref="U9:U34" si="13">100%-L9</f>
        <v>4.0823982820492155E-2</v>
      </c>
      <c r="V9" s="218">
        <v>0.4</v>
      </c>
      <c r="W9" s="318">
        <f t="shared" si="9"/>
        <v>1818</v>
      </c>
      <c r="X9" s="321">
        <f t="shared" ref="X9:X34" si="14">O9+P9+Q9+W9</f>
        <v>44689.714934262156</v>
      </c>
    </row>
    <row r="10" spans="1:29" ht="15" customHeight="1">
      <c r="A10" s="684">
        <v>2030</v>
      </c>
      <c r="B10" s="2">
        <f t="shared" si="11"/>
        <v>6</v>
      </c>
      <c r="C10" s="139">
        <f>'Projeção de População'!C12</f>
        <v>118038.68451885755</v>
      </c>
      <c r="D10" s="139">
        <f>'Projeção de População'!D12</f>
        <v>112835</v>
      </c>
      <c r="E10" s="637">
        <f>'Projeção de População'!E12</f>
        <v>332</v>
      </c>
      <c r="F10" s="637">
        <f>'Projeção de População'!F12</f>
        <v>53</v>
      </c>
      <c r="G10" s="637">
        <v>4818.6845188575535</v>
      </c>
      <c r="H10" s="218">
        <f>'Dados de Entrada'!$D$7</f>
        <v>1</v>
      </c>
      <c r="I10" s="139">
        <f t="shared" si="0"/>
        <v>112835</v>
      </c>
      <c r="J10" s="139">
        <f t="shared" si="1"/>
        <v>332</v>
      </c>
      <c r="K10" s="139">
        <f t="shared" si="2"/>
        <v>53</v>
      </c>
      <c r="L10" s="218">
        <f t="shared" si="12"/>
        <v>0.95917707369834559</v>
      </c>
      <c r="M10" s="218">
        <v>0.6</v>
      </c>
      <c r="N10" s="218">
        <v>1</v>
      </c>
      <c r="O10" s="17">
        <f t="shared" si="3"/>
        <v>64937.247066451695</v>
      </c>
      <c r="P10" s="17">
        <f t="shared" si="4"/>
        <v>191.06807308071043</v>
      </c>
      <c r="Q10" s="17">
        <f t="shared" si="5"/>
        <v>30.501830943607388</v>
      </c>
      <c r="R10" s="139">
        <f t="shared" si="6"/>
        <v>64937</v>
      </c>
      <c r="S10" s="139">
        <f t="shared" si="7"/>
        <v>191</v>
      </c>
      <c r="T10" s="139">
        <f t="shared" si="8"/>
        <v>31</v>
      </c>
      <c r="U10" s="811">
        <f t="shared" si="13"/>
        <v>4.0822926301654405E-2</v>
      </c>
      <c r="V10" s="218">
        <v>0.6</v>
      </c>
      <c r="W10" s="318">
        <f t="shared" si="9"/>
        <v>2764</v>
      </c>
      <c r="X10" s="321">
        <f t="shared" si="14"/>
        <v>67922.816970476008</v>
      </c>
    </row>
    <row r="11" spans="1:29" s="18" customFormat="1" ht="15" customHeight="1">
      <c r="A11" s="684">
        <v>2031</v>
      </c>
      <c r="B11" s="2">
        <f t="shared" si="11"/>
        <v>7</v>
      </c>
      <c r="C11" s="139">
        <f>'Projeção de População'!C13</f>
        <v>119579.52404674119</v>
      </c>
      <c r="D11" s="139">
        <f>'Projeção de População'!D13</f>
        <v>114308</v>
      </c>
      <c r="E11" s="637">
        <f>'Projeção de População'!E13</f>
        <v>336</v>
      </c>
      <c r="F11" s="637">
        <f>'Projeção de População'!F13</f>
        <v>54</v>
      </c>
      <c r="G11" s="637">
        <v>4881.5240467411932</v>
      </c>
      <c r="H11" s="218">
        <f>'Dados de Entrada'!$D$7</f>
        <v>1</v>
      </c>
      <c r="I11" s="139">
        <f t="shared" si="0"/>
        <v>114308</v>
      </c>
      <c r="J11" s="139">
        <f t="shared" si="1"/>
        <v>336</v>
      </c>
      <c r="K11" s="139">
        <f t="shared" si="2"/>
        <v>54</v>
      </c>
      <c r="L11" s="218">
        <f t="shared" si="12"/>
        <v>0.95917759260495883</v>
      </c>
      <c r="M11" s="218">
        <v>0.7</v>
      </c>
      <c r="N11" s="218">
        <v>1</v>
      </c>
      <c r="O11" s="17">
        <f t="shared" si="3"/>
        <v>76749.170578841338</v>
      </c>
      <c r="P11" s="17">
        <f t="shared" si="4"/>
        <v>225.59856978068629</v>
      </c>
      <c r="Q11" s="17">
        <f t="shared" si="5"/>
        <v>36.256913000467442</v>
      </c>
      <c r="R11" s="139">
        <f t="shared" si="6"/>
        <v>76749</v>
      </c>
      <c r="S11" s="139">
        <f t="shared" si="7"/>
        <v>226</v>
      </c>
      <c r="T11" s="139">
        <f t="shared" si="8"/>
        <v>36</v>
      </c>
      <c r="U11" s="811">
        <f t="shared" si="13"/>
        <v>4.0822407395041171E-2</v>
      </c>
      <c r="V11" s="218">
        <v>0.7</v>
      </c>
      <c r="W11" s="318">
        <f t="shared" si="9"/>
        <v>3266</v>
      </c>
      <c r="X11" s="321">
        <f t="shared" si="14"/>
        <v>80277.026061622499</v>
      </c>
    </row>
    <row r="12" spans="1:29" s="18" customFormat="1" ht="15" customHeight="1">
      <c r="A12" s="684">
        <v>2032</v>
      </c>
      <c r="B12" s="2">
        <f t="shared" si="11"/>
        <v>8</v>
      </c>
      <c r="C12" s="139">
        <f>'Projeção de População'!C14</f>
        <v>121120.36357462483</v>
      </c>
      <c r="D12" s="139">
        <f>'Projeção de População'!D14</f>
        <v>115781</v>
      </c>
      <c r="E12" s="637">
        <f>'Projeção de População'!E14</f>
        <v>340</v>
      </c>
      <c r="F12" s="637">
        <f>'Projeção de População'!F14</f>
        <v>55</v>
      </c>
      <c r="G12" s="637">
        <v>4944.3635746248328</v>
      </c>
      <c r="H12" s="218">
        <f>'Dados de Entrada'!$D$7</f>
        <v>1</v>
      </c>
      <c r="I12" s="139">
        <f t="shared" si="0"/>
        <v>115781</v>
      </c>
      <c r="J12" s="139">
        <f t="shared" si="1"/>
        <v>340</v>
      </c>
      <c r="K12" s="139">
        <f t="shared" si="2"/>
        <v>55</v>
      </c>
      <c r="L12" s="218">
        <f t="shared" si="12"/>
        <v>0.9591780983089726</v>
      </c>
      <c r="M12" s="218">
        <v>0.8</v>
      </c>
      <c r="N12" s="218">
        <v>1</v>
      </c>
      <c r="O12" s="17">
        <f t="shared" si="3"/>
        <v>88843.67952024893</v>
      </c>
      <c r="P12" s="17">
        <f t="shared" si="4"/>
        <v>260.89644274004053</v>
      </c>
      <c r="Q12" s="17">
        <f t="shared" si="5"/>
        <v>42.2038363255948</v>
      </c>
      <c r="R12" s="139">
        <f t="shared" si="6"/>
        <v>88844</v>
      </c>
      <c r="S12" s="139">
        <f t="shared" si="7"/>
        <v>261</v>
      </c>
      <c r="T12" s="139">
        <f t="shared" si="8"/>
        <v>42</v>
      </c>
      <c r="U12" s="811">
        <f t="shared" si="13"/>
        <v>4.0821901691027396E-2</v>
      </c>
      <c r="V12" s="218">
        <v>0.8</v>
      </c>
      <c r="W12" s="318">
        <f t="shared" si="9"/>
        <v>3781</v>
      </c>
      <c r="X12" s="321">
        <f t="shared" si="14"/>
        <v>92927.779799314565</v>
      </c>
    </row>
    <row r="13" spans="1:29" ht="15" customHeight="1">
      <c r="A13" s="684">
        <v>2033</v>
      </c>
      <c r="B13" s="2">
        <f t="shared" si="11"/>
        <v>9</v>
      </c>
      <c r="C13" s="139">
        <f>'Projeção de População'!C15</f>
        <v>122661.20310250847</v>
      </c>
      <c r="D13" s="139">
        <f>'Projeção de População'!D15</f>
        <v>117254</v>
      </c>
      <c r="E13" s="637">
        <f>'Projeção de População'!E15</f>
        <v>344</v>
      </c>
      <c r="F13" s="637">
        <f>'Projeção de População'!F15</f>
        <v>56</v>
      </c>
      <c r="G13" s="637">
        <v>5007.2031025084725</v>
      </c>
      <c r="H13" s="218">
        <f>'Dados de Entrada'!$D$7</f>
        <v>1</v>
      </c>
      <c r="I13" s="139">
        <f t="shared" si="0"/>
        <v>117254</v>
      </c>
      <c r="J13" s="139">
        <f t="shared" si="1"/>
        <v>344</v>
      </c>
      <c r="K13" s="139">
        <f t="shared" si="2"/>
        <v>56</v>
      </c>
      <c r="L13" s="218">
        <f t="shared" si="12"/>
        <v>0.95917859130793026</v>
      </c>
      <c r="M13" s="218">
        <v>0.9</v>
      </c>
      <c r="N13" s="218">
        <v>1</v>
      </c>
      <c r="O13" s="17">
        <f t="shared" si="3"/>
        <v>101220.77389069805</v>
      </c>
      <c r="P13" s="17">
        <f t="shared" si="4"/>
        <v>296.96169186893519</v>
      </c>
      <c r="Q13" s="17">
        <f t="shared" si="5"/>
        <v>48.342601001919689</v>
      </c>
      <c r="R13" s="139">
        <f t="shared" si="6"/>
        <v>101221</v>
      </c>
      <c r="S13" s="139">
        <f t="shared" si="7"/>
        <v>297</v>
      </c>
      <c r="T13" s="139">
        <f t="shared" si="8"/>
        <v>48</v>
      </c>
      <c r="U13" s="811">
        <f t="shared" si="13"/>
        <v>4.0821408692069738E-2</v>
      </c>
      <c r="V13" s="218">
        <v>0.9</v>
      </c>
      <c r="W13" s="318">
        <f t="shared" si="9"/>
        <v>4308</v>
      </c>
      <c r="X13" s="321">
        <f t="shared" si="14"/>
        <v>105874.0781835689</v>
      </c>
    </row>
    <row r="14" spans="1:29" ht="15" customHeight="1">
      <c r="A14" s="684">
        <v>2034</v>
      </c>
      <c r="B14" s="2">
        <f t="shared" si="11"/>
        <v>10</v>
      </c>
      <c r="C14" s="139">
        <f>'Projeção de População'!C16</f>
        <v>124202.04263039211</v>
      </c>
      <c r="D14" s="139">
        <f>'Projeção de População'!D16</f>
        <v>118727</v>
      </c>
      <c r="E14" s="637">
        <f>'Projeção de População'!E16</f>
        <v>348</v>
      </c>
      <c r="F14" s="637">
        <f>'Projeção de População'!F16</f>
        <v>57</v>
      </c>
      <c r="G14" s="637">
        <v>5070.0426303921122</v>
      </c>
      <c r="H14" s="218">
        <f>'Dados de Entrada'!$D$7</f>
        <v>1</v>
      </c>
      <c r="I14" s="139">
        <f t="shared" si="0"/>
        <v>118727</v>
      </c>
      <c r="J14" s="139">
        <f t="shared" si="1"/>
        <v>348</v>
      </c>
      <c r="K14" s="139">
        <f t="shared" si="2"/>
        <v>57</v>
      </c>
      <c r="L14" s="218">
        <f t="shared" si="12"/>
        <v>0.95917907207468522</v>
      </c>
      <c r="M14" s="218">
        <v>0.9</v>
      </c>
      <c r="N14" s="218">
        <v>1</v>
      </c>
      <c r="O14" s="17">
        <f t="shared" si="3"/>
        <v>102492.40832119004</v>
      </c>
      <c r="P14" s="17">
        <f t="shared" si="4"/>
        <v>300.41488537379144</v>
      </c>
      <c r="Q14" s="17">
        <f t="shared" si="5"/>
        <v>49.205886397431357</v>
      </c>
      <c r="R14" s="139">
        <f t="shared" si="6"/>
        <v>102492</v>
      </c>
      <c r="S14" s="139">
        <f t="shared" si="7"/>
        <v>300</v>
      </c>
      <c r="T14" s="139">
        <f t="shared" si="8"/>
        <v>49</v>
      </c>
      <c r="U14" s="811">
        <f t="shared" si="13"/>
        <v>4.0820927925314776E-2</v>
      </c>
      <c r="V14" s="218">
        <v>0.9</v>
      </c>
      <c r="W14" s="318">
        <f t="shared" si="9"/>
        <v>4362</v>
      </c>
      <c r="X14" s="321">
        <f t="shared" si="14"/>
        <v>107204.02909296127</v>
      </c>
    </row>
    <row r="15" spans="1:29" ht="15" customHeight="1">
      <c r="A15" s="684">
        <v>2035</v>
      </c>
      <c r="B15" s="2">
        <f t="shared" si="11"/>
        <v>11</v>
      </c>
      <c r="C15" s="139">
        <f>'Projeção de População'!C17</f>
        <v>125742.88215827575</v>
      </c>
      <c r="D15" s="139">
        <f>'Projeção de População'!D17</f>
        <v>120200</v>
      </c>
      <c r="E15" s="637">
        <f>'Projeção de População'!E17</f>
        <v>352</v>
      </c>
      <c r="F15" s="637">
        <f>'Projeção de População'!F17</f>
        <v>58</v>
      </c>
      <c r="G15" s="637">
        <v>5132.8821582757519</v>
      </c>
      <c r="H15" s="218">
        <f>'Dados de Entrada'!$D$7</f>
        <v>1</v>
      </c>
      <c r="I15" s="139">
        <f t="shared" si="0"/>
        <v>120200</v>
      </c>
      <c r="J15" s="139">
        <f t="shared" si="1"/>
        <v>352</v>
      </c>
      <c r="K15" s="139">
        <f t="shared" si="2"/>
        <v>58</v>
      </c>
      <c r="L15" s="218">
        <f t="shared" si="12"/>
        <v>0.95917954105891368</v>
      </c>
      <c r="M15" s="218">
        <v>0.9</v>
      </c>
      <c r="N15" s="218">
        <v>1</v>
      </c>
      <c r="O15" s="17">
        <f t="shared" si="3"/>
        <v>103764.04275175328</v>
      </c>
      <c r="P15" s="17">
        <f t="shared" si="4"/>
        <v>303.86807860746387</v>
      </c>
      <c r="Q15" s="17">
        <f t="shared" si="5"/>
        <v>50.069172043275294</v>
      </c>
      <c r="R15" s="139">
        <f t="shared" si="6"/>
        <v>103764</v>
      </c>
      <c r="S15" s="139">
        <f t="shared" si="7"/>
        <v>304</v>
      </c>
      <c r="T15" s="139">
        <f t="shared" si="8"/>
        <v>50</v>
      </c>
      <c r="U15" s="811">
        <f t="shared" si="13"/>
        <v>4.0820458941086324E-2</v>
      </c>
      <c r="V15" s="218">
        <v>0.9</v>
      </c>
      <c r="W15" s="318">
        <f t="shared" si="9"/>
        <v>4416</v>
      </c>
      <c r="X15" s="321">
        <f t="shared" si="14"/>
        <v>108533.98000240403</v>
      </c>
    </row>
    <row r="16" spans="1:29" ht="15" customHeight="1">
      <c r="A16" s="684">
        <v>2036</v>
      </c>
      <c r="B16" s="2">
        <f t="shared" si="11"/>
        <v>12</v>
      </c>
      <c r="C16" s="139">
        <f>'Projeção de População'!C18</f>
        <v>127283.72168615939</v>
      </c>
      <c r="D16" s="139">
        <f>'Projeção de População'!D18</f>
        <v>121673</v>
      </c>
      <c r="E16" s="637">
        <f>'Projeção de População'!E18</f>
        <v>356</v>
      </c>
      <c r="F16" s="637">
        <f>'Projeção de População'!F18</f>
        <v>59</v>
      </c>
      <c r="G16" s="637">
        <v>5195.7216861593915</v>
      </c>
      <c r="H16" s="218">
        <f>'Dados de Entrada'!$D$7</f>
        <v>1</v>
      </c>
      <c r="I16" s="139">
        <f t="shared" si="0"/>
        <v>121673</v>
      </c>
      <c r="J16" s="139">
        <f t="shared" si="1"/>
        <v>356</v>
      </c>
      <c r="K16" s="139">
        <f t="shared" si="2"/>
        <v>59</v>
      </c>
      <c r="L16" s="218">
        <f t="shared" si="12"/>
        <v>0.95917999868851755</v>
      </c>
      <c r="M16" s="218">
        <v>0.9</v>
      </c>
      <c r="N16" s="218">
        <v>1</v>
      </c>
      <c r="O16" s="17">
        <f t="shared" si="3"/>
        <v>105035.6771823852</v>
      </c>
      <c r="P16" s="17">
        <f t="shared" si="4"/>
        <v>307.32127157980102</v>
      </c>
      <c r="Q16" s="17">
        <f t="shared" si="5"/>
        <v>50.932457930360279</v>
      </c>
      <c r="R16" s="139">
        <f t="shared" si="6"/>
        <v>105036</v>
      </c>
      <c r="S16" s="139">
        <f t="shared" si="7"/>
        <v>307</v>
      </c>
      <c r="T16" s="139">
        <f t="shared" si="8"/>
        <v>51</v>
      </c>
      <c r="U16" s="811">
        <f t="shared" si="13"/>
        <v>4.0820001311482446E-2</v>
      </c>
      <c r="V16" s="218">
        <v>0.9</v>
      </c>
      <c r="W16" s="318">
        <f t="shared" si="9"/>
        <v>4470</v>
      </c>
      <c r="X16" s="321">
        <f t="shared" si="14"/>
        <v>109863.93091189537</v>
      </c>
    </row>
    <row r="17" spans="1:24" ht="15" customHeight="1">
      <c r="A17" s="684">
        <v>2037</v>
      </c>
      <c r="B17" s="2">
        <f t="shared" si="11"/>
        <v>13</v>
      </c>
      <c r="C17" s="139">
        <f>'Projeção de População'!C19</f>
        <v>128824.56121404303</v>
      </c>
      <c r="D17" s="139">
        <f>'Projeção de População'!D19</f>
        <v>123146</v>
      </c>
      <c r="E17" s="637">
        <f>'Projeção de População'!E19</f>
        <v>360</v>
      </c>
      <c r="F17" s="637">
        <f>'Projeção de População'!F19</f>
        <v>60</v>
      </c>
      <c r="G17" s="637">
        <v>5258.5612140430312</v>
      </c>
      <c r="H17" s="218">
        <f>'Dados de Entrada'!$D$7</f>
        <v>1</v>
      </c>
      <c r="I17" s="139">
        <f t="shared" si="0"/>
        <v>123146</v>
      </c>
      <c r="J17" s="139">
        <f t="shared" si="1"/>
        <v>360</v>
      </c>
      <c r="K17" s="139">
        <f t="shared" si="2"/>
        <v>60</v>
      </c>
      <c r="L17" s="218">
        <f t="shared" si="12"/>
        <v>0.95918044537092662</v>
      </c>
      <c r="M17" s="218">
        <v>0.9</v>
      </c>
      <c r="N17" s="218">
        <v>1</v>
      </c>
      <c r="O17" s="17">
        <f t="shared" si="3"/>
        <v>106307.31161308332</v>
      </c>
      <c r="P17" s="17">
        <f t="shared" si="4"/>
        <v>310.77446430018023</v>
      </c>
      <c r="Q17" s="17">
        <f t="shared" si="5"/>
        <v>51.795744050030038</v>
      </c>
      <c r="R17" s="139">
        <f t="shared" si="6"/>
        <v>106307</v>
      </c>
      <c r="S17" s="139">
        <f t="shared" si="7"/>
        <v>311</v>
      </c>
      <c r="T17" s="139">
        <f t="shared" si="8"/>
        <v>52</v>
      </c>
      <c r="U17" s="811">
        <f t="shared" si="13"/>
        <v>4.0819554629073385E-2</v>
      </c>
      <c r="V17" s="218">
        <v>0.9</v>
      </c>
      <c r="W17" s="318">
        <f t="shared" si="9"/>
        <v>4524</v>
      </c>
      <c r="X17" s="321">
        <f t="shared" si="14"/>
        <v>111193.88182143353</v>
      </c>
    </row>
    <row r="18" spans="1:24" ht="15" customHeight="1">
      <c r="A18" s="684">
        <v>2038</v>
      </c>
      <c r="B18" s="2">
        <f t="shared" si="11"/>
        <v>14</v>
      </c>
      <c r="C18" s="139">
        <f>'Projeção de População'!C20</f>
        <v>130365.40074192667</v>
      </c>
      <c r="D18" s="139">
        <f>'Projeção de População'!D20</f>
        <v>124619</v>
      </c>
      <c r="E18" s="637">
        <f>'Projeção de População'!E20</f>
        <v>364</v>
      </c>
      <c r="F18" s="637">
        <f>'Projeção de População'!F20</f>
        <v>61</v>
      </c>
      <c r="G18" s="637">
        <v>5321.4007419266709</v>
      </c>
      <c r="H18" s="218">
        <f>'Dados de Entrada'!$D$7</f>
        <v>1</v>
      </c>
      <c r="I18" s="139">
        <f t="shared" si="0"/>
        <v>124619</v>
      </c>
      <c r="J18" s="139">
        <f t="shared" si="1"/>
        <v>364</v>
      </c>
      <c r="K18" s="139">
        <f t="shared" si="2"/>
        <v>61</v>
      </c>
      <c r="L18" s="218">
        <f t="shared" si="12"/>
        <v>0.95918088149430847</v>
      </c>
      <c r="M18" s="218">
        <v>0.9</v>
      </c>
      <c r="N18" s="218">
        <v>1</v>
      </c>
      <c r="O18" s="17">
        <f t="shared" si="3"/>
        <v>107578.94604384531</v>
      </c>
      <c r="P18" s="17">
        <f t="shared" si="4"/>
        <v>314.22765677753546</v>
      </c>
      <c r="Q18" s="17">
        <f t="shared" si="5"/>
        <v>52.659030394037536</v>
      </c>
      <c r="R18" s="139">
        <f t="shared" si="6"/>
        <v>107579</v>
      </c>
      <c r="S18" s="139">
        <f t="shared" si="7"/>
        <v>314</v>
      </c>
      <c r="T18" s="139">
        <f t="shared" si="8"/>
        <v>53</v>
      </c>
      <c r="U18" s="811">
        <f t="shared" si="13"/>
        <v>4.0819118505691532E-2</v>
      </c>
      <c r="V18" s="218">
        <v>0.9</v>
      </c>
      <c r="W18" s="318">
        <f t="shared" si="9"/>
        <v>4578</v>
      </c>
      <c r="X18" s="321">
        <f t="shared" si="14"/>
        <v>112523.83273101688</v>
      </c>
    </row>
    <row r="19" spans="1:24" ht="15" customHeight="1">
      <c r="A19" s="684">
        <v>2039</v>
      </c>
      <c r="B19" s="2">
        <f t="shared" si="11"/>
        <v>15</v>
      </c>
      <c r="C19" s="139">
        <f>'Projeção de População'!C21</f>
        <v>131907.21920216602</v>
      </c>
      <c r="D19" s="139">
        <f>'Projeção de População'!D21</f>
        <v>126093</v>
      </c>
      <c r="E19" s="637">
        <f>'Projeção de População'!E21</f>
        <v>368</v>
      </c>
      <c r="F19" s="637">
        <f>'Projeção de População'!F21</f>
        <v>62</v>
      </c>
      <c r="G19" s="637">
        <v>5384.2192021660157</v>
      </c>
      <c r="H19" s="218">
        <f>'Dados de Entrada'!$D$7</f>
        <v>1</v>
      </c>
      <c r="I19" s="139">
        <f t="shared" si="0"/>
        <v>126093</v>
      </c>
      <c r="J19" s="139">
        <f t="shared" si="1"/>
        <v>368</v>
      </c>
      <c r="K19" s="139">
        <f t="shared" si="2"/>
        <v>62</v>
      </c>
      <c r="L19" s="218">
        <f t="shared" si="12"/>
        <v>0.95918177007496497</v>
      </c>
      <c r="M19" s="218">
        <v>0.9</v>
      </c>
      <c r="N19" s="218">
        <v>1</v>
      </c>
      <c r="O19" s="17">
        <f t="shared" si="3"/>
        <v>108851.4962406563</v>
      </c>
      <c r="P19" s="17">
        <f t="shared" si="4"/>
        <v>317.68100224882841</v>
      </c>
      <c r="Q19" s="17">
        <f t="shared" si="5"/>
        <v>53.522342770183045</v>
      </c>
      <c r="R19" s="139">
        <f t="shared" si="6"/>
        <v>108851</v>
      </c>
      <c r="S19" s="139">
        <f t="shared" si="7"/>
        <v>318</v>
      </c>
      <c r="T19" s="139">
        <f t="shared" si="8"/>
        <v>54</v>
      </c>
      <c r="U19" s="811">
        <f t="shared" si="13"/>
        <v>4.0818229925035032E-2</v>
      </c>
      <c r="V19" s="218">
        <v>0.9</v>
      </c>
      <c r="W19" s="318">
        <f t="shared" si="9"/>
        <v>4632</v>
      </c>
      <c r="X19" s="321">
        <f t="shared" si="14"/>
        <v>113854.69958567532</v>
      </c>
    </row>
    <row r="20" spans="1:24" ht="15" customHeight="1">
      <c r="A20" s="684">
        <v>2040</v>
      </c>
      <c r="B20" s="2">
        <f t="shared" si="11"/>
        <v>16</v>
      </c>
      <c r="C20" s="139">
        <f>'Projeção de População'!C22</f>
        <v>133448.05873004967</v>
      </c>
      <c r="D20" s="139">
        <f>'Projeção de População'!D22</f>
        <v>127566</v>
      </c>
      <c r="E20" s="637">
        <f>'Projeção de População'!E22</f>
        <v>372</v>
      </c>
      <c r="F20" s="637">
        <f>'Projeção de População'!F22</f>
        <v>63</v>
      </c>
      <c r="G20" s="637">
        <v>5447.05873004967</v>
      </c>
      <c r="H20" s="218">
        <f>'Dados de Entrada'!$D$7</f>
        <v>1</v>
      </c>
      <c r="I20" s="139">
        <f t="shared" si="0"/>
        <v>127566</v>
      </c>
      <c r="J20" s="139">
        <f t="shared" si="1"/>
        <v>372</v>
      </c>
      <c r="K20" s="139">
        <f t="shared" si="2"/>
        <v>63</v>
      </c>
      <c r="L20" s="218">
        <f t="shared" si="12"/>
        <v>0.95918218082835915</v>
      </c>
      <c r="M20" s="218">
        <v>0.9</v>
      </c>
      <c r="N20" s="218">
        <v>1</v>
      </c>
      <c r="O20" s="17">
        <f t="shared" si="3"/>
        <v>110123.13067159541</v>
      </c>
      <c r="P20" s="17">
        <f t="shared" si="4"/>
        <v>321.13419414133466</v>
      </c>
      <c r="Q20" s="17">
        <f t="shared" si="5"/>
        <v>54.385629652967964</v>
      </c>
      <c r="R20" s="139">
        <f t="shared" si="6"/>
        <v>110123</v>
      </c>
      <c r="S20" s="139">
        <f t="shared" si="7"/>
        <v>321</v>
      </c>
      <c r="T20" s="139">
        <f t="shared" si="8"/>
        <v>54</v>
      </c>
      <c r="U20" s="811">
        <f t="shared" si="13"/>
        <v>4.0817819171640846E-2</v>
      </c>
      <c r="V20" s="218">
        <v>0.9</v>
      </c>
      <c r="W20" s="318">
        <f t="shared" si="9"/>
        <v>4686</v>
      </c>
      <c r="X20" s="321">
        <f t="shared" si="14"/>
        <v>115184.65049538972</v>
      </c>
    </row>
    <row r="21" spans="1:24" ht="15" customHeight="1">
      <c r="A21" s="684">
        <v>2041</v>
      </c>
      <c r="B21" s="2">
        <f t="shared" si="11"/>
        <v>17</v>
      </c>
      <c r="C21" s="139">
        <f>'Projeção de População'!C23</f>
        <v>134988.89825793332</v>
      </c>
      <c r="D21" s="139">
        <f>'Projeção de População'!D23</f>
        <v>129039</v>
      </c>
      <c r="E21" s="637">
        <f>'Projeção de População'!E23</f>
        <v>376</v>
      </c>
      <c r="F21" s="637">
        <f>'Projeção de População'!F23</f>
        <v>64</v>
      </c>
      <c r="G21" s="637">
        <v>5509.8982579333242</v>
      </c>
      <c r="H21" s="218">
        <f>'Dados de Entrada'!$D$7</f>
        <v>1</v>
      </c>
      <c r="I21" s="139">
        <f t="shared" si="0"/>
        <v>129039</v>
      </c>
      <c r="J21" s="139">
        <f t="shared" si="1"/>
        <v>376</v>
      </c>
      <c r="K21" s="139">
        <f t="shared" si="2"/>
        <v>64</v>
      </c>
      <c r="L21" s="218">
        <f t="shared" si="12"/>
        <v>0.95918258220461095</v>
      </c>
      <c r="M21" s="218">
        <v>0.9</v>
      </c>
      <c r="N21" s="218">
        <v>1</v>
      </c>
      <c r="O21" s="17">
        <f t="shared" si="3"/>
        <v>111394.76510259071</v>
      </c>
      <c r="P21" s="17">
        <f t="shared" si="4"/>
        <v>324.58738581804033</v>
      </c>
      <c r="Q21" s="17">
        <f t="shared" si="5"/>
        <v>55.248916734985592</v>
      </c>
      <c r="R21" s="139">
        <f t="shared" si="6"/>
        <v>111395</v>
      </c>
      <c r="S21" s="139">
        <f t="shared" si="7"/>
        <v>325</v>
      </c>
      <c r="T21" s="139">
        <f t="shared" si="8"/>
        <v>55</v>
      </c>
      <c r="U21" s="811">
        <f t="shared" si="13"/>
        <v>4.0817417795389055E-2</v>
      </c>
      <c r="V21" s="218">
        <v>0.9</v>
      </c>
      <c r="W21" s="318">
        <f t="shared" si="9"/>
        <v>4740</v>
      </c>
      <c r="X21" s="321">
        <f t="shared" si="14"/>
        <v>116514.60140514374</v>
      </c>
    </row>
    <row r="22" spans="1:24" ht="15" customHeight="1">
      <c r="A22" s="684">
        <v>2042</v>
      </c>
      <c r="B22" s="2">
        <f t="shared" si="11"/>
        <v>18</v>
      </c>
      <c r="C22" s="139">
        <f>'Projeção de População'!C24</f>
        <v>136541.48497408547</v>
      </c>
      <c r="D22" s="139">
        <f>'Projeção de População'!D24</f>
        <v>130523</v>
      </c>
      <c r="E22" s="637">
        <f>'Projeção de População'!E24</f>
        <v>380</v>
      </c>
      <c r="F22" s="637">
        <f>'Projeção de População'!F24</f>
        <v>65</v>
      </c>
      <c r="G22" s="637">
        <v>5573.4849740854697</v>
      </c>
      <c r="H22" s="218">
        <f>'Dados de Entrada'!$D$7</f>
        <v>1</v>
      </c>
      <c r="I22" s="139">
        <f t="shared" si="0"/>
        <v>130523</v>
      </c>
      <c r="J22" s="139">
        <f t="shared" si="1"/>
        <v>380</v>
      </c>
      <c r="K22" s="139">
        <f t="shared" si="2"/>
        <v>65</v>
      </c>
      <c r="L22" s="218">
        <f t="shared" si="12"/>
        <v>0.9591810139230339</v>
      </c>
      <c r="M22" s="218">
        <v>0.9</v>
      </c>
      <c r="N22" s="218">
        <v>1</v>
      </c>
      <c r="O22" s="17">
        <f t="shared" si="3"/>
        <v>112675.66513224854</v>
      </c>
      <c r="P22" s="17">
        <f t="shared" si="4"/>
        <v>328.03990676167763</v>
      </c>
      <c r="Q22" s="17">
        <f t="shared" si="5"/>
        <v>56.112089314497489</v>
      </c>
      <c r="R22" s="139">
        <f t="shared" si="6"/>
        <v>112676</v>
      </c>
      <c r="S22" s="139">
        <f t="shared" si="7"/>
        <v>328</v>
      </c>
      <c r="T22" s="139">
        <f t="shared" si="8"/>
        <v>56</v>
      </c>
      <c r="U22" s="811">
        <f t="shared" si="13"/>
        <v>4.0818986076966102E-2</v>
      </c>
      <c r="V22" s="218">
        <v>0.9</v>
      </c>
      <c r="W22" s="318">
        <f t="shared" si="9"/>
        <v>4795</v>
      </c>
      <c r="X22" s="321">
        <f t="shared" si="14"/>
        <v>117854.81712832472</v>
      </c>
    </row>
    <row r="23" spans="1:24" ht="15" customHeight="1">
      <c r="A23" s="684">
        <v>2043</v>
      </c>
      <c r="B23" s="2">
        <f t="shared" si="11"/>
        <v>19</v>
      </c>
      <c r="C23" s="139">
        <f>'Projeção de População'!C25</f>
        <v>138111.69247264034</v>
      </c>
      <c r="D23" s="139">
        <f>'Projeção de População'!D25</f>
        <v>132024</v>
      </c>
      <c r="E23" s="637">
        <f>'Projeção de População'!E25</f>
        <v>384</v>
      </c>
      <c r="F23" s="637">
        <f>'Projeção de População'!F25</f>
        <v>66</v>
      </c>
      <c r="G23" s="637">
        <v>5637.6924726403377</v>
      </c>
      <c r="H23" s="218">
        <f>'Dados de Entrada'!$D$7</f>
        <v>1</v>
      </c>
      <c r="I23" s="139">
        <f t="shared" si="0"/>
        <v>132024</v>
      </c>
      <c r="J23" s="139">
        <f t="shared" si="1"/>
        <v>384</v>
      </c>
      <c r="K23" s="139">
        <f t="shared" si="2"/>
        <v>66</v>
      </c>
      <c r="L23" s="218">
        <f t="shared" si="12"/>
        <v>0.95918019414788391</v>
      </c>
      <c r="M23" s="218">
        <v>0.9</v>
      </c>
      <c r="N23" s="218">
        <v>1</v>
      </c>
      <c r="O23" s="17">
        <f t="shared" si="3"/>
        <v>113971.3253569622</v>
      </c>
      <c r="P23" s="17">
        <f t="shared" si="4"/>
        <v>331.49267509750871</v>
      </c>
      <c r="Q23" s="17">
        <f t="shared" si="5"/>
        <v>56.975303532384302</v>
      </c>
      <c r="R23" s="139">
        <f t="shared" si="6"/>
        <v>113971</v>
      </c>
      <c r="S23" s="139">
        <f t="shared" si="7"/>
        <v>331</v>
      </c>
      <c r="T23" s="139">
        <f t="shared" si="8"/>
        <v>57</v>
      </c>
      <c r="U23" s="811">
        <f t="shared" si="13"/>
        <v>4.0819805852116087E-2</v>
      </c>
      <c r="V23" s="218">
        <v>0.9</v>
      </c>
      <c r="W23" s="318">
        <f t="shared" si="9"/>
        <v>4850</v>
      </c>
      <c r="X23" s="321">
        <f t="shared" si="14"/>
        <v>119209.7933355921</v>
      </c>
    </row>
    <row r="24" spans="1:24" ht="15" customHeight="1">
      <c r="A24" s="684">
        <v>2044</v>
      </c>
      <c r="B24" s="2">
        <f t="shared" si="11"/>
        <v>20</v>
      </c>
      <c r="C24" s="139">
        <f>'Projeção de População'!C26</f>
        <v>139699.52075359793</v>
      </c>
      <c r="D24" s="139">
        <f>'Projeção de População'!D26</f>
        <v>133542</v>
      </c>
      <c r="E24" s="637">
        <f>'Projeção de População'!E26</f>
        <v>388</v>
      </c>
      <c r="F24" s="637">
        <f>'Projeção de População'!F26</f>
        <v>67</v>
      </c>
      <c r="G24" s="637">
        <v>5702.520753597928</v>
      </c>
      <c r="H24" s="218">
        <f>'Dados de Entrada'!$D$7</f>
        <v>1</v>
      </c>
      <c r="I24" s="139">
        <f t="shared" si="0"/>
        <v>133542</v>
      </c>
      <c r="J24" s="139">
        <f t="shared" si="1"/>
        <v>388</v>
      </c>
      <c r="K24" s="139">
        <f t="shared" si="2"/>
        <v>67</v>
      </c>
      <c r="L24" s="218">
        <f t="shared" si="12"/>
        <v>0.9591800979499705</v>
      </c>
      <c r="M24" s="218">
        <v>0.9</v>
      </c>
      <c r="N24" s="218">
        <v>1</v>
      </c>
      <c r="O24" s="17">
        <f t="shared" si="3"/>
        <v>115281.74577639147</v>
      </c>
      <c r="P24" s="17">
        <f t="shared" si="4"/>
        <v>334.94569020412973</v>
      </c>
      <c r="Q24" s="17">
        <f t="shared" si="5"/>
        <v>57.838559906383232</v>
      </c>
      <c r="R24" s="139">
        <f t="shared" si="6"/>
        <v>115282</v>
      </c>
      <c r="S24" s="139">
        <f t="shared" si="7"/>
        <v>335</v>
      </c>
      <c r="T24" s="139">
        <f t="shared" si="8"/>
        <v>58</v>
      </c>
      <c r="U24" s="811">
        <f t="shared" si="13"/>
        <v>4.08199020500295E-2</v>
      </c>
      <c r="V24" s="218">
        <v>0.9</v>
      </c>
      <c r="W24" s="318">
        <f t="shared" si="9"/>
        <v>4906</v>
      </c>
      <c r="X24" s="321">
        <f t="shared" si="14"/>
        <v>120580.53002650198</v>
      </c>
    </row>
    <row r="25" spans="1:24" ht="15" customHeight="1">
      <c r="A25" s="684">
        <v>2045</v>
      </c>
      <c r="B25" s="2">
        <f t="shared" si="11"/>
        <v>21</v>
      </c>
      <c r="C25" s="139">
        <f>'Projeção de População'!C27</f>
        <v>141305.94874931397</v>
      </c>
      <c r="D25" s="139">
        <f>'Projeção de População'!D27</f>
        <v>135078</v>
      </c>
      <c r="E25" s="637">
        <f>'Projeção de População'!E27</f>
        <v>392</v>
      </c>
      <c r="F25" s="637">
        <f>'Projeção de População'!F27</f>
        <v>68</v>
      </c>
      <c r="G25" s="637">
        <v>5767.948749313975</v>
      </c>
      <c r="H25" s="218">
        <f>'Dados de Entrada'!$D$7</f>
        <v>1</v>
      </c>
      <c r="I25" s="139">
        <f t="shared" si="0"/>
        <v>135078</v>
      </c>
      <c r="J25" s="139">
        <f t="shared" si="1"/>
        <v>392</v>
      </c>
      <c r="K25" s="139">
        <f t="shared" si="2"/>
        <v>68</v>
      </c>
      <c r="L25" s="218">
        <f t="shared" si="12"/>
        <v>0.95918113285133744</v>
      </c>
      <c r="M25" s="218">
        <v>0.9</v>
      </c>
      <c r="N25" s="218">
        <v>1</v>
      </c>
      <c r="O25" s="17">
        <f t="shared" si="3"/>
        <v>116607.84215696367</v>
      </c>
      <c r="P25" s="17">
        <f t="shared" si="4"/>
        <v>338.3991036699519</v>
      </c>
      <c r="Q25" s="17">
        <f t="shared" si="5"/>
        <v>58.701885330501845</v>
      </c>
      <c r="R25" s="139">
        <f t="shared" si="6"/>
        <v>116608</v>
      </c>
      <c r="S25" s="139">
        <f t="shared" si="7"/>
        <v>338</v>
      </c>
      <c r="T25" s="139">
        <f t="shared" si="8"/>
        <v>59</v>
      </c>
      <c r="U25" s="811">
        <f t="shared" si="13"/>
        <v>4.0818867148662563E-2</v>
      </c>
      <c r="V25" s="218">
        <v>0.9</v>
      </c>
      <c r="W25" s="318">
        <f t="shared" si="9"/>
        <v>4962</v>
      </c>
      <c r="X25" s="321">
        <f t="shared" si="14"/>
        <v>121966.94314596413</v>
      </c>
    </row>
    <row r="26" spans="1:24" s="18" customFormat="1" ht="15" customHeight="1">
      <c r="A26" s="684">
        <v>2046</v>
      </c>
      <c r="B26" s="2">
        <f t="shared" si="11"/>
        <v>22</v>
      </c>
      <c r="C26" s="139">
        <f>'Projeção de População'!C28</f>
        <v>142930.97645978848</v>
      </c>
      <c r="D26" s="139">
        <f>'Projeção de População'!D28</f>
        <v>136631</v>
      </c>
      <c r="E26" s="637">
        <f>'Projeção de População'!E28</f>
        <v>397</v>
      </c>
      <c r="F26" s="637">
        <f>'Projeção de População'!F28</f>
        <v>69</v>
      </c>
      <c r="G26" s="637">
        <v>5833.9764597884787</v>
      </c>
      <c r="H26" s="218">
        <f>'Dados de Entrada'!$D$7</f>
        <v>1</v>
      </c>
      <c r="I26" s="139">
        <f t="shared" si="0"/>
        <v>136631</v>
      </c>
      <c r="J26" s="139">
        <f t="shared" si="1"/>
        <v>397</v>
      </c>
      <c r="K26" s="139">
        <f t="shared" si="2"/>
        <v>69</v>
      </c>
      <c r="L26" s="218">
        <f t="shared" si="12"/>
        <v>0.95918326031005752</v>
      </c>
      <c r="M26" s="218">
        <v>0.9</v>
      </c>
      <c r="N26" s="218">
        <v>1</v>
      </c>
      <c r="O26" s="17">
        <f t="shared" si="3"/>
        <v>117948.75123548113</v>
      </c>
      <c r="P26" s="17">
        <f t="shared" si="4"/>
        <v>342.71617890878355</v>
      </c>
      <c r="Q26" s="17">
        <f t="shared" si="5"/>
        <v>59.565280465254574</v>
      </c>
      <c r="R26" s="139">
        <f t="shared" si="6"/>
        <v>117949</v>
      </c>
      <c r="S26" s="139">
        <f t="shared" si="7"/>
        <v>343</v>
      </c>
      <c r="T26" s="139">
        <f t="shared" si="8"/>
        <v>60</v>
      </c>
      <c r="U26" s="811">
        <f t="shared" si="13"/>
        <v>4.0816739689942483E-2</v>
      </c>
      <c r="V26" s="218">
        <v>0.9</v>
      </c>
      <c r="W26" s="318">
        <f t="shared" si="9"/>
        <v>5019</v>
      </c>
      <c r="X26" s="321">
        <f t="shared" si="14"/>
        <v>123370.03269485517</v>
      </c>
    </row>
    <row r="27" spans="1:24" s="18" customFormat="1" ht="15" customHeight="1">
      <c r="A27" s="684">
        <v>2047</v>
      </c>
      <c r="B27" s="2">
        <f t="shared" si="11"/>
        <v>23</v>
      </c>
      <c r="C27" s="139">
        <f>'Projeção de População'!C29</f>
        <v>144574.60388502141</v>
      </c>
      <c r="D27" s="139">
        <f>'Projeção de População'!D29</f>
        <v>138202</v>
      </c>
      <c r="E27" s="637">
        <f>'Projeção de População'!E29</f>
        <v>402</v>
      </c>
      <c r="F27" s="637">
        <f>'Projeção de População'!F29</f>
        <v>70</v>
      </c>
      <c r="G27" s="637">
        <v>5900.60388502141</v>
      </c>
      <c r="H27" s="218">
        <f>'Dados de Entrada'!$D$7</f>
        <v>1</v>
      </c>
      <c r="I27" s="139">
        <f t="shared" si="0"/>
        <v>138202</v>
      </c>
      <c r="J27" s="139">
        <f t="shared" si="1"/>
        <v>402</v>
      </c>
      <c r="K27" s="139">
        <f t="shared" si="2"/>
        <v>70</v>
      </c>
      <c r="L27" s="218">
        <f t="shared" si="12"/>
        <v>0.95918644266378839</v>
      </c>
      <c r="M27" s="218">
        <v>0.9</v>
      </c>
      <c r="N27" s="218">
        <v>1</v>
      </c>
      <c r="O27" s="17">
        <f t="shared" si="3"/>
        <v>119305.3362741188</v>
      </c>
      <c r="P27" s="17">
        <f t="shared" si="4"/>
        <v>347.03365495575866</v>
      </c>
      <c r="Q27" s="17">
        <f t="shared" si="5"/>
        <v>60.428745887818664</v>
      </c>
      <c r="R27" s="139">
        <f t="shared" si="6"/>
        <v>119305</v>
      </c>
      <c r="S27" s="139">
        <f t="shared" si="7"/>
        <v>347</v>
      </c>
      <c r="T27" s="139">
        <f t="shared" si="8"/>
        <v>60</v>
      </c>
      <c r="U27" s="811">
        <f t="shared" si="13"/>
        <v>4.0813557336211614E-2</v>
      </c>
      <c r="V27" s="218">
        <v>0.9</v>
      </c>
      <c r="W27" s="318">
        <f t="shared" si="9"/>
        <v>5076</v>
      </c>
      <c r="X27" s="321">
        <f t="shared" si="14"/>
        <v>124788.79867496238</v>
      </c>
    </row>
    <row r="28" spans="1:24" ht="15" customHeight="1">
      <c r="A28" s="684">
        <v>2048</v>
      </c>
      <c r="B28" s="2">
        <f t="shared" si="11"/>
        <v>24</v>
      </c>
      <c r="C28" s="139">
        <f>'Projeção de População'!C30</f>
        <v>146237.8099573685</v>
      </c>
      <c r="D28" s="139">
        <f>'Projeção de População'!D30</f>
        <v>139792</v>
      </c>
      <c r="E28" s="637">
        <f>'Projeção de População'!E30</f>
        <v>407</v>
      </c>
      <c r="F28" s="637">
        <f>'Projeção de População'!F30</f>
        <v>71</v>
      </c>
      <c r="G28" s="637">
        <v>5967.8099573685031</v>
      </c>
      <c r="H28" s="218">
        <f>'Dados de Entrada'!$D$7</f>
        <v>1</v>
      </c>
      <c r="I28" s="139">
        <f t="shared" si="0"/>
        <v>139792</v>
      </c>
      <c r="J28" s="139">
        <f t="shared" si="1"/>
        <v>407</v>
      </c>
      <c r="K28" s="139">
        <f t="shared" si="2"/>
        <v>71</v>
      </c>
      <c r="L28" s="218">
        <f t="shared" si="12"/>
        <v>0.95919106037550583</v>
      </c>
      <c r="M28" s="218">
        <v>0.9</v>
      </c>
      <c r="N28" s="218">
        <v>1</v>
      </c>
      <c r="O28" s="17">
        <f t="shared" si="3"/>
        <v>120678.51304081143</v>
      </c>
      <c r="P28" s="17">
        <f t="shared" si="4"/>
        <v>351.35168541554776</v>
      </c>
      <c r="Q28" s="17">
        <f t="shared" si="5"/>
        <v>61.292308757994832</v>
      </c>
      <c r="R28" s="139">
        <f t="shared" si="6"/>
        <v>120679</v>
      </c>
      <c r="S28" s="139">
        <f t="shared" si="7"/>
        <v>351</v>
      </c>
      <c r="T28" s="139">
        <f t="shared" si="8"/>
        <v>61</v>
      </c>
      <c r="U28" s="811">
        <f t="shared" si="13"/>
        <v>4.0808939624494167E-2</v>
      </c>
      <c r="V28" s="218">
        <v>0.9</v>
      </c>
      <c r="W28" s="318">
        <f t="shared" si="9"/>
        <v>5134</v>
      </c>
      <c r="X28" s="321">
        <f t="shared" si="14"/>
        <v>126225.15703498498</v>
      </c>
    </row>
    <row r="29" spans="1:24" s="18" customFormat="1" ht="15" customHeight="1">
      <c r="A29" s="684">
        <v>2049</v>
      </c>
      <c r="B29" s="2">
        <f t="shared" si="11"/>
        <v>25</v>
      </c>
      <c r="C29" s="139">
        <f>'Projeção de População'!C31</f>
        <v>147920.59467682973</v>
      </c>
      <c r="D29" s="139">
        <f>'Projeção de População'!D31</f>
        <v>141401</v>
      </c>
      <c r="E29" s="637">
        <f>'Projeção de População'!E31</f>
        <v>412</v>
      </c>
      <c r="F29" s="637">
        <f>'Projeção de População'!F31</f>
        <v>72</v>
      </c>
      <c r="G29" s="637">
        <v>6035.594676829729</v>
      </c>
      <c r="H29" s="218">
        <f>'Dados de Entrada'!$D$7</f>
        <v>1</v>
      </c>
      <c r="I29" s="139">
        <f t="shared" si="0"/>
        <v>141401</v>
      </c>
      <c r="J29" s="139">
        <f t="shared" si="1"/>
        <v>412</v>
      </c>
      <c r="K29" s="139">
        <f t="shared" si="2"/>
        <v>72</v>
      </c>
      <c r="L29" s="218">
        <f t="shared" si="12"/>
        <v>0.95919706319450637</v>
      </c>
      <c r="M29" s="218">
        <v>0.9</v>
      </c>
      <c r="N29" s="218">
        <v>1</v>
      </c>
      <c r="O29" s="17">
        <f t="shared" si="3"/>
        <v>122068.28153948976</v>
      </c>
      <c r="P29" s="17">
        <f t="shared" si="4"/>
        <v>355.67027103252298</v>
      </c>
      <c r="Q29" s="17">
        <f t="shared" si="5"/>
        <v>62.155969695004018</v>
      </c>
      <c r="R29" s="139">
        <f t="shared" si="6"/>
        <v>122068</v>
      </c>
      <c r="S29" s="139">
        <f t="shared" si="7"/>
        <v>356</v>
      </c>
      <c r="T29" s="139">
        <f t="shared" si="8"/>
        <v>62</v>
      </c>
      <c r="U29" s="811">
        <f t="shared" si="13"/>
        <v>4.0802936805493628E-2</v>
      </c>
      <c r="V29" s="218">
        <v>0.9</v>
      </c>
      <c r="W29" s="318">
        <f t="shared" si="9"/>
        <v>5193</v>
      </c>
      <c r="X29" s="321">
        <f t="shared" si="14"/>
        <v>127679.10778021728</v>
      </c>
    </row>
    <row r="30" spans="1:24" s="18" customFormat="1" ht="15" customHeight="1">
      <c r="A30" s="684">
        <v>2050</v>
      </c>
      <c r="B30" s="2">
        <f t="shared" si="11"/>
        <v>26</v>
      </c>
      <c r="C30" s="139">
        <f>'Projeção de População'!C32</f>
        <v>149621.97911104941</v>
      </c>
      <c r="D30" s="139">
        <f>'Projeção de População'!D32</f>
        <v>143027</v>
      </c>
      <c r="E30" s="637">
        <f>'Projeção de População'!E32</f>
        <v>417</v>
      </c>
      <c r="F30" s="637">
        <f>'Projeção de População'!F32</f>
        <v>73</v>
      </c>
      <c r="G30" s="637">
        <v>6104.9791110494116</v>
      </c>
      <c r="H30" s="218">
        <f>'Dados de Entrada'!$D$7</f>
        <v>1</v>
      </c>
      <c r="I30" s="139">
        <f t="shared" si="0"/>
        <v>143027</v>
      </c>
      <c r="J30" s="139">
        <f t="shared" si="1"/>
        <v>417</v>
      </c>
      <c r="K30" s="139">
        <f t="shared" si="2"/>
        <v>73</v>
      </c>
      <c r="L30" s="218">
        <f t="shared" si="12"/>
        <v>0.95919731080071935</v>
      </c>
      <c r="M30" s="218">
        <v>0.9</v>
      </c>
      <c r="N30" s="218">
        <v>1</v>
      </c>
      <c r="O30" s="17">
        <f t="shared" si="3"/>
        <v>123472.00239470504</v>
      </c>
      <c r="P30" s="17">
        <f t="shared" si="4"/>
        <v>359.98675074351002</v>
      </c>
      <c r="Q30" s="17">
        <f t="shared" si="5"/>
        <v>63.019263319607262</v>
      </c>
      <c r="R30" s="139">
        <f t="shared" si="6"/>
        <v>123472</v>
      </c>
      <c r="S30" s="139">
        <f t="shared" si="7"/>
        <v>360</v>
      </c>
      <c r="T30" s="139">
        <f t="shared" si="8"/>
        <v>63</v>
      </c>
      <c r="U30" s="811">
        <f t="shared" si="13"/>
        <v>4.0802689199280651E-2</v>
      </c>
      <c r="V30" s="218">
        <v>0.9</v>
      </c>
      <c r="W30" s="318">
        <f t="shared" si="9"/>
        <v>5252</v>
      </c>
      <c r="X30" s="321">
        <f t="shared" si="14"/>
        <v>129147.00840876816</v>
      </c>
    </row>
    <row r="31" spans="1:24" s="18" customFormat="1" ht="15" customHeight="1">
      <c r="A31" s="684">
        <v>2051</v>
      </c>
      <c r="B31" s="2">
        <f t="shared" si="11"/>
        <v>27</v>
      </c>
      <c r="C31" s="139">
        <f>'Projeção de População'!C33</f>
        <v>151342.94219238323</v>
      </c>
      <c r="D31" s="139">
        <f>'Projeção de População'!D33</f>
        <v>144672</v>
      </c>
      <c r="E31" s="637">
        <f>'Projeção de População'!E33</f>
        <v>422</v>
      </c>
      <c r="F31" s="637">
        <f>'Projeção de População'!F33</f>
        <v>74</v>
      </c>
      <c r="G31" s="637">
        <v>6174.9421923832269</v>
      </c>
      <c r="H31" s="218">
        <f>'Dados de Entrada'!$D$7</f>
        <v>1</v>
      </c>
      <c r="I31" s="139">
        <f t="shared" si="0"/>
        <v>144672</v>
      </c>
      <c r="J31" s="139">
        <f t="shared" si="1"/>
        <v>422</v>
      </c>
      <c r="K31" s="139">
        <f t="shared" si="2"/>
        <v>74</v>
      </c>
      <c r="L31" s="218">
        <f t="shared" si="12"/>
        <v>0.95919900787620604</v>
      </c>
      <c r="M31" s="218">
        <v>0.9</v>
      </c>
      <c r="N31" s="218">
        <v>1</v>
      </c>
      <c r="O31" s="17">
        <f t="shared" si="3"/>
        <v>124892.31498071984</v>
      </c>
      <c r="P31" s="17">
        <f t="shared" si="4"/>
        <v>364.30378319138305</v>
      </c>
      <c r="Q31" s="17">
        <f t="shared" si="5"/>
        <v>63.882653924555328</v>
      </c>
      <c r="R31" s="139">
        <f t="shared" si="6"/>
        <v>124892</v>
      </c>
      <c r="S31" s="139">
        <f t="shared" si="7"/>
        <v>364</v>
      </c>
      <c r="T31" s="139">
        <f t="shared" si="8"/>
        <v>64</v>
      </c>
      <c r="U31" s="811">
        <f t="shared" si="13"/>
        <v>4.0800992123793955E-2</v>
      </c>
      <c r="V31" s="218">
        <v>0.9</v>
      </c>
      <c r="W31" s="318">
        <f t="shared" si="9"/>
        <v>5312</v>
      </c>
      <c r="X31" s="321">
        <f t="shared" si="14"/>
        <v>130632.50141783577</v>
      </c>
    </row>
    <row r="32" spans="1:24" s="18" customFormat="1" ht="15" customHeight="1">
      <c r="A32" s="684">
        <v>2052</v>
      </c>
      <c r="B32" s="2">
        <f t="shared" si="11"/>
        <v>28</v>
      </c>
      <c r="C32" s="139">
        <f>'Projeção de População'!C34</f>
        <v>153083.4839208312</v>
      </c>
      <c r="D32" s="139">
        <f>'Projeção de População'!D34</f>
        <v>146336</v>
      </c>
      <c r="E32" s="637">
        <f>'Projeção de População'!E34</f>
        <v>427</v>
      </c>
      <c r="F32" s="637">
        <f>'Projeção de População'!F34</f>
        <v>75</v>
      </c>
      <c r="G32" s="637">
        <v>6245.4839208312042</v>
      </c>
      <c r="H32" s="218">
        <f>'Dados de Entrada'!$D$7</f>
        <v>1</v>
      </c>
      <c r="I32" s="139">
        <f t="shared" si="0"/>
        <v>146336</v>
      </c>
      <c r="J32" s="139">
        <f t="shared" si="1"/>
        <v>427</v>
      </c>
      <c r="K32" s="139">
        <f t="shared" si="2"/>
        <v>75</v>
      </c>
      <c r="L32" s="218">
        <f t="shared" si="12"/>
        <v>0.95920210488506308</v>
      </c>
      <c r="M32" s="218">
        <v>0.9</v>
      </c>
      <c r="N32" s="218">
        <v>1</v>
      </c>
      <c r="O32" s="17">
        <f t="shared" si="3"/>
        <v>126329.21929841452</v>
      </c>
      <c r="P32" s="17">
        <f t="shared" si="4"/>
        <v>368.62136890732972</v>
      </c>
      <c r="Q32" s="17">
        <f t="shared" si="5"/>
        <v>64.746142079741759</v>
      </c>
      <c r="R32" s="139">
        <f t="shared" si="6"/>
        <v>126329</v>
      </c>
      <c r="S32" s="139">
        <f t="shared" si="7"/>
        <v>369</v>
      </c>
      <c r="T32" s="139">
        <f t="shared" si="8"/>
        <v>65</v>
      </c>
      <c r="U32" s="811">
        <f t="shared" si="13"/>
        <v>4.0797895114936922E-2</v>
      </c>
      <c r="V32" s="218">
        <v>0.9</v>
      </c>
      <c r="W32" s="318">
        <f t="shared" si="9"/>
        <v>5373</v>
      </c>
      <c r="X32" s="321">
        <f t="shared" si="14"/>
        <v>132135.5868094016</v>
      </c>
    </row>
    <row r="33" spans="1:24" ht="15" customHeight="1">
      <c r="A33" s="684">
        <v>2053</v>
      </c>
      <c r="B33" s="2">
        <f t="shared" si="11"/>
        <v>29</v>
      </c>
      <c r="C33" s="139">
        <f>'Projeção de População'!C35</f>
        <v>154844.58322874905</v>
      </c>
      <c r="D33" s="139">
        <f>'Projeção de População'!D35</f>
        <v>148019</v>
      </c>
      <c r="E33" s="637">
        <f>'Projeção de População'!E35</f>
        <v>432</v>
      </c>
      <c r="F33" s="637">
        <f>'Projeção de População'!F35</f>
        <v>76</v>
      </c>
      <c r="G33" s="637">
        <v>6317.5832287490484</v>
      </c>
      <c r="H33" s="218">
        <f>'Dados de Entrada'!$D$7</f>
        <v>1</v>
      </c>
      <c r="I33" s="139">
        <f t="shared" si="0"/>
        <v>148019</v>
      </c>
      <c r="J33" s="139">
        <f t="shared" si="1"/>
        <v>432</v>
      </c>
      <c r="K33" s="139">
        <f t="shared" si="2"/>
        <v>76</v>
      </c>
      <c r="L33" s="218">
        <f t="shared" si="12"/>
        <v>0.95920048930987656</v>
      </c>
      <c r="M33" s="218">
        <v>0.9</v>
      </c>
      <c r="N33" s="218">
        <v>1</v>
      </c>
      <c r="O33" s="17">
        <f t="shared" si="3"/>
        <v>127781.90750444276</v>
      </c>
      <c r="P33" s="17">
        <f t="shared" si="4"/>
        <v>372.93715024367998</v>
      </c>
      <c r="Q33" s="17">
        <f t="shared" si="5"/>
        <v>65.609313468795563</v>
      </c>
      <c r="R33" s="139">
        <f t="shared" si="6"/>
        <v>127782</v>
      </c>
      <c r="S33" s="139">
        <f t="shared" si="7"/>
        <v>373</v>
      </c>
      <c r="T33" s="139">
        <f t="shared" si="8"/>
        <v>66</v>
      </c>
      <c r="U33" s="811">
        <f t="shared" si="13"/>
        <v>4.0799510690123442E-2</v>
      </c>
      <c r="V33" s="218">
        <v>0.9</v>
      </c>
      <c r="W33" s="318">
        <f t="shared" si="9"/>
        <v>5435</v>
      </c>
      <c r="X33" s="321">
        <f t="shared" si="14"/>
        <v>133655.45396815526</v>
      </c>
    </row>
    <row r="34" spans="1:24">
      <c r="A34" s="684">
        <v>2054</v>
      </c>
      <c r="B34" s="2">
        <f t="shared" si="11"/>
        <v>30</v>
      </c>
      <c r="C34" s="139">
        <f>'Projeção de População'!C36</f>
        <v>156625.29593587967</v>
      </c>
      <c r="D34" s="139">
        <f>'Projeção de População'!D36</f>
        <v>149722</v>
      </c>
      <c r="E34" s="637">
        <f>'Projeção de População'!E36</f>
        <v>437</v>
      </c>
      <c r="F34" s="637">
        <f>'Projeção de População'!F36</f>
        <v>77</v>
      </c>
      <c r="G34" s="637">
        <v>6389.2959358796652</v>
      </c>
      <c r="H34" s="218">
        <v>1</v>
      </c>
      <c r="I34" s="139">
        <f t="shared" si="0"/>
        <v>149722</v>
      </c>
      <c r="J34" s="139">
        <f t="shared" si="1"/>
        <v>437</v>
      </c>
      <c r="K34" s="139">
        <f t="shared" si="2"/>
        <v>77</v>
      </c>
      <c r="L34" s="218">
        <f t="shared" si="12"/>
        <v>0.95920648770237371</v>
      </c>
      <c r="M34" s="218">
        <v>0.9</v>
      </c>
      <c r="N34" s="8">
        <v>1</v>
      </c>
      <c r="O34" s="17">
        <f t="shared" si="3"/>
        <v>129252.88237659734</v>
      </c>
      <c r="P34" s="17">
        <f t="shared" si="4"/>
        <v>377.25591161334359</v>
      </c>
      <c r="Q34" s="17">
        <f t="shared" si="5"/>
        <v>66.473009597774507</v>
      </c>
      <c r="R34" s="139">
        <f t="shared" si="6"/>
        <v>129253</v>
      </c>
      <c r="S34" s="139">
        <f t="shared" si="7"/>
        <v>377</v>
      </c>
      <c r="T34" s="139">
        <f t="shared" si="8"/>
        <v>66</v>
      </c>
      <c r="U34" s="811">
        <f t="shared" si="13"/>
        <v>4.0793512297626289E-2</v>
      </c>
      <c r="V34" s="218">
        <v>0.9</v>
      </c>
      <c r="W34" s="318">
        <f t="shared" si="9"/>
        <v>5497</v>
      </c>
      <c r="X34" s="321">
        <f t="shared" si="14"/>
        <v>135193.61129780847</v>
      </c>
    </row>
    <row r="35" spans="1:24">
      <c r="D35" s="26"/>
      <c r="E35" s="26"/>
      <c r="F35" s="26"/>
      <c r="G35" s="26"/>
    </row>
    <row r="36" spans="1:24">
      <c r="O36" s="708"/>
      <c r="P36" s="708"/>
      <c r="Q36" s="708"/>
      <c r="W36" s="822"/>
      <c r="X36" s="20"/>
    </row>
    <row r="40" spans="1:24">
      <c r="U40" s="823"/>
    </row>
  </sheetData>
  <mergeCells count="5">
    <mergeCell ref="A3:B3"/>
    <mergeCell ref="A1:X1"/>
    <mergeCell ref="A2:K2"/>
    <mergeCell ref="L2:T2"/>
    <mergeCell ref="U2:W2"/>
  </mergeCells>
  <phoneticPr fontId="12" type="noConversion"/>
  <printOptions horizontalCentered="1"/>
  <pageMargins left="1.3779527559055118" right="0.39370078740157483" top="1.1811023622047245" bottom="0.59055118110236227" header="0.39370078740157483" footer="0.39370078740157483"/>
  <pageSetup paperSize="9" scale="8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47</vt:i4>
      </vt:variant>
      <vt:variant>
        <vt:lpstr>Intervalos Nomeados</vt:lpstr>
      </vt:variant>
      <vt:variant>
        <vt:i4>34</vt:i4>
      </vt:variant>
    </vt:vector>
  </HeadingPairs>
  <TitlesOfParts>
    <vt:vector size="81" baseType="lpstr">
      <vt:lpstr>RECUPERAÇÃO DE ATIVOS</vt:lpstr>
      <vt:lpstr>Capa</vt:lpstr>
      <vt:lpstr>Diagnóstico - Ativos</vt:lpstr>
      <vt:lpstr>Histograma Corupá</vt:lpstr>
      <vt:lpstr>HISTOGRAMA (2)</vt:lpstr>
      <vt:lpstr>Histograma</vt:lpstr>
      <vt:lpstr>Dados de Entrada</vt:lpstr>
      <vt:lpstr>Projeção de População</vt:lpstr>
      <vt:lpstr>Evolução Atendimento</vt:lpstr>
      <vt:lpstr>Evolução atendimento INDIVIDUAL</vt:lpstr>
      <vt:lpstr>Evolução Volume</vt:lpstr>
      <vt:lpstr>Vazões</vt:lpstr>
      <vt:lpstr>Reservação</vt:lpstr>
      <vt:lpstr>Produção de Água</vt:lpstr>
      <vt:lpstr>Tratamento de Esgoto</vt:lpstr>
      <vt:lpstr>Evolução Economias</vt:lpstr>
      <vt:lpstr>Evolução Ligações</vt:lpstr>
      <vt:lpstr>Evolução de Rede</vt:lpstr>
      <vt:lpstr>ESTRUTURA TARIFÁRIA</vt:lpstr>
      <vt:lpstr>Composição Faturamento 1</vt:lpstr>
      <vt:lpstr>Composição Faturamento 2</vt:lpstr>
      <vt:lpstr>Perfil da Arrecadação</vt:lpstr>
      <vt:lpstr>Cargos e Salários</vt:lpstr>
      <vt:lpstr>Recursos Humanos 1</vt:lpstr>
      <vt:lpstr>Recursos Humanos 2</vt:lpstr>
      <vt:lpstr>Energia Elétrica</vt:lpstr>
      <vt:lpstr>PQ01-ETA</vt:lpstr>
      <vt:lpstr>PQ02-ETA</vt:lpstr>
      <vt:lpstr>PQ03-ETA</vt:lpstr>
      <vt:lpstr>PA04-ETA</vt:lpstr>
      <vt:lpstr>PQ05-ETA</vt:lpstr>
      <vt:lpstr>PQ06-ETA</vt:lpstr>
      <vt:lpstr>PQ07-ETE</vt:lpstr>
      <vt:lpstr>PQ08-ETE</vt:lpstr>
      <vt:lpstr>PQ09-ETE</vt:lpstr>
      <vt:lpstr>PQ10-ETE</vt:lpstr>
      <vt:lpstr>Total PQ</vt:lpstr>
      <vt:lpstr>Disposição de Lodo</vt:lpstr>
      <vt:lpstr>Veículos e Equipamentos</vt:lpstr>
      <vt:lpstr>Composição de Custeio</vt:lpstr>
      <vt:lpstr>Cronograma Físico das Obras</vt:lpstr>
      <vt:lpstr>Preços Unitários</vt:lpstr>
      <vt:lpstr>Investimento</vt:lpstr>
      <vt:lpstr>Depreciação</vt:lpstr>
      <vt:lpstr>Outorga e Regulação</vt:lpstr>
      <vt:lpstr>DRE Sem Financiamento</vt:lpstr>
      <vt:lpstr>Fluxo Sem Financiamento</vt:lpstr>
      <vt:lpstr>'Composição de Custeio'!Area_de_impressao</vt:lpstr>
      <vt:lpstr>'Composição Faturamento 1'!Area_de_impressao</vt:lpstr>
      <vt:lpstr>'Composição Faturamento 2'!Area_de_impressao</vt:lpstr>
      <vt:lpstr>'Disposição de Lodo'!Area_de_impressao</vt:lpstr>
      <vt:lpstr>'Energia Elétrica'!Area_de_impressao</vt:lpstr>
      <vt:lpstr>'Evolução Atendimento'!Area_de_impressao</vt:lpstr>
      <vt:lpstr>'Evolução de Rede'!Area_de_impressao</vt:lpstr>
      <vt:lpstr>'Evolução Economias'!Area_de_impressao</vt:lpstr>
      <vt:lpstr>'Evolução Ligações'!Area_de_impressao</vt:lpstr>
      <vt:lpstr>'Evolução Volume'!Area_de_impressao</vt:lpstr>
      <vt:lpstr>Investimento!Area_de_impressao</vt:lpstr>
      <vt:lpstr>'Outorga e Regulação'!Area_de_impressao</vt:lpstr>
      <vt:lpstr>'Perfil da Arrecadação'!Area_de_impressao</vt:lpstr>
      <vt:lpstr>'PQ01-ETA'!Area_de_impressao</vt:lpstr>
      <vt:lpstr>'PQ02-ETA'!Area_de_impressao</vt:lpstr>
      <vt:lpstr>'PQ03-ETA'!Area_de_impressao</vt:lpstr>
      <vt:lpstr>'PQ05-ETA'!Area_de_impressao</vt:lpstr>
      <vt:lpstr>'PQ06-ETA'!Area_de_impressao</vt:lpstr>
      <vt:lpstr>'PQ08-ETE'!Area_de_impressao</vt:lpstr>
      <vt:lpstr>Vazões!Area_de_impressao</vt:lpstr>
      <vt:lpstr>'Disposição de Lodo'!Titulos_de_impressao</vt:lpstr>
      <vt:lpstr>'Energia Elétrica'!Titulos_de_impressao</vt:lpstr>
      <vt:lpstr>'Evolução Atendimento'!Titulos_de_impressao</vt:lpstr>
      <vt:lpstr>'Evolução de Rede'!Titulos_de_impressao</vt:lpstr>
      <vt:lpstr>'Evolução Economias'!Titulos_de_impressao</vt:lpstr>
      <vt:lpstr>'Evolução Ligações'!Titulos_de_impressao</vt:lpstr>
      <vt:lpstr>'Evolução Volume'!Titulos_de_impressao</vt:lpstr>
      <vt:lpstr>'PQ01-ETA'!Titulos_de_impressao</vt:lpstr>
      <vt:lpstr>'PQ02-ETA'!Titulos_de_impressao</vt:lpstr>
      <vt:lpstr>'PQ03-ETA'!Titulos_de_impressao</vt:lpstr>
      <vt:lpstr>'PQ05-ETA'!Titulos_de_impressao</vt:lpstr>
      <vt:lpstr>'PQ06-ETA'!Titulos_de_impressao</vt:lpstr>
      <vt:lpstr>'PQ08-ETE'!Titulos_de_impressao</vt:lpstr>
      <vt:lpstr>Vazões!Titulos_de_impressao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Luan Freisleben</dc:creator>
  <cp:lastModifiedBy>Alexandre Figueiredo</cp:lastModifiedBy>
  <cp:lastPrinted>2021-08-19T19:27:18Z</cp:lastPrinted>
  <dcterms:created xsi:type="dcterms:W3CDTF">2007-03-23T12:47:23Z</dcterms:created>
  <dcterms:modified xsi:type="dcterms:W3CDTF">2024-12-20T15:09:10Z</dcterms:modified>
</cp:coreProperties>
</file>